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7.xml" ContentType="application/vnd.openxmlformats-officedocument.drawing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jorie\Documents\GitHub\portfolio\"/>
    </mc:Choice>
  </mc:AlternateContent>
  <bookViews>
    <workbookView xWindow="0" yWindow="60" windowWidth="15480" windowHeight="10620" activeTab="2"/>
  </bookViews>
  <sheets>
    <sheet name="Instructions" sheetId="23" r:id="rId1"/>
    <sheet name="Selections" sheetId="2" state="hidden" r:id="rId2"/>
    <sheet name="At-a-glance" sheetId="1" r:id="rId3"/>
    <sheet name="Funding" sheetId="10" state="hidden" r:id="rId4"/>
    <sheet name="Expense" sheetId="3" state="hidden" r:id="rId5"/>
    <sheet name="HighLikely" sheetId="8" state="hidden" r:id="rId6"/>
    <sheet name="SOFend3Mon" sheetId="11" state="hidden" r:id="rId7"/>
    <sheet name="HighSOF" sheetId="4" state="hidden" r:id="rId8"/>
    <sheet name="HighProject" sheetId="6" state="hidden" r:id="rId9"/>
    <sheet name="SOF Details" sheetId="13" r:id="rId10"/>
    <sheet name="SOFList" sheetId="17" state="hidden" r:id="rId11"/>
    <sheet name="SOFThemeProject" sheetId="16" state="hidden" r:id="rId12"/>
    <sheet name="SOFThemeAcct" sheetId="21" state="hidden" r:id="rId13"/>
    <sheet name="SOFFS" sheetId="18" state="hidden" r:id="rId14"/>
    <sheet name="Project Details" sheetId="24" r:id="rId15"/>
    <sheet name="STProjectList" sheetId="26" state="hidden" r:id="rId16"/>
    <sheet name="STProjectbyMonth" sheetId="27" state="hidden" r:id="rId17"/>
    <sheet name="STProjectbyAcct" sheetId="28" state="hidden" r:id="rId18"/>
    <sheet name="STProjectbySOF" sheetId="29" state="hidden" r:id="rId19"/>
  </sheets>
  <definedNames>
    <definedName name="Aag_Home">'At-a-glance'!$I$1</definedName>
    <definedName name="AAGCells_UnitChange">'At-a-glance'!$F$7:$F$16,'At-a-glance'!$D$19:$F$26,'At-a-glance'!$L$19:$L$21,'At-a-glance'!$J$5:$L$5,'At-a-glance'!$J$24:$K$24,'At-a-glance'!$V$6:$W$16,'At-a-glance'!$V$30:$W$40</definedName>
    <definedName name="Aat_Home">'At-a-glance'!$I$1</definedName>
    <definedName name="Dashboard.accdb" localSheetId="4" hidden="1">Expense!$B$15:$AA$25</definedName>
    <definedName name="Dashboard.accdb" localSheetId="3" hidden="1">Funding!$J$15:$N$25</definedName>
    <definedName name="Dashboard.accdb" localSheetId="5" hidden="1">HighLikely!$B$5:$F$410</definedName>
    <definedName name="Dashboard.accdb" localSheetId="8" hidden="1">HighProject!$B$5:$AA$135</definedName>
    <definedName name="Dashboard.accdb" localSheetId="7" hidden="1">HighSOF!$B$5:$AA$410</definedName>
    <definedName name="Dashboard.accdb" localSheetId="10" hidden="1">SOFList!$B$15:$AA$420</definedName>
    <definedName name="Dashboard.accdb" localSheetId="12" hidden="1">SOFThemeAcct!$B$15:$AB$1204</definedName>
    <definedName name="Dashboard.accdb" localSheetId="11" hidden="1">SOFThemeProject!$B$5:$AB$723</definedName>
    <definedName name="Dashboard.accdb" localSheetId="16" hidden="1">STProjectbyMonth!$B$15:$AB$119</definedName>
    <definedName name="Dashboard.accdb" localSheetId="18" hidden="1">STProjectbySOF!$B$5:$AD$1416</definedName>
    <definedName name="Dashboard.accdb" localSheetId="15" hidden="1">STProjectList!$B$5:$AC$70</definedName>
    <definedName name="Dashboard.accdb_1" localSheetId="4" hidden="1">Expense!$D$32:$AB$40</definedName>
    <definedName name="Dashboard.accdb_1" localSheetId="6" hidden="1">SOFend3Mon!$B$15:$K$77</definedName>
    <definedName name="Dashboard.accdb_1" localSheetId="13" hidden="1">SOFFS!$B$5:$L$116</definedName>
    <definedName name="Dashboard.accdb_1" localSheetId="17" hidden="1">STProjectbyAcct!$A$15:$AC$847</definedName>
    <definedName name="Dashboard.accdb_2" localSheetId="4" hidden="1">Expense!$C$41:$AB$121</definedName>
    <definedName name="HelpGrp">"Group 28"</definedName>
    <definedName name="LastClosedMon">Selections!$F$4</definedName>
    <definedName name="ListForecasts">Selections!$U$9:$U$14</definedName>
    <definedName name="numAccounts">Selections!$E$37</definedName>
    <definedName name="numThemes">Selections!$E$36</definedName>
    <definedName name="_xlnm.Print_Area" localSheetId="2">'At-a-glance'!$A$1:$Z$49</definedName>
    <definedName name="_xlnm.Print_Area" localSheetId="14">'Project Details'!$A$1:$AJ$47</definedName>
    <definedName name="_xlnm.Print_Area" localSheetId="9">'SOF Details'!$A$1:$AL$44</definedName>
    <definedName name="Project_Home">'Project Details'!$N$1</definedName>
    <definedName name="ProjectCells_UnitChange">'Project Details'!$AH$5:$AJ$12,'Project Details'!$Q$20:$R$40,'Project Details'!$W$20:$X$40,'Project Details'!$Z$20:$AA$40,'Project Details'!$L$6:$L$40</definedName>
    <definedName name="ProjectCells_UnitChange2">STProjectbyMonth!$AM$8:$AN$10</definedName>
    <definedName name="Projectdetailrange">'Project Details'!$E$6:$F$40</definedName>
    <definedName name="selHelpShow">Selections!$E$45</definedName>
    <definedName name="selHelpShow2">Selections!$E$46</definedName>
    <definedName name="selHelpShow3">Selections!$E$47</definedName>
    <definedName name="selHelpShow4">Selections!$E$48</definedName>
    <definedName name="selProjectLink">'At-a-glance'!$O$30:$O$34,'At-a-glance'!$O$36:$O$40</definedName>
    <definedName name="selProjectShow">Selections!$E$42</definedName>
    <definedName name="selSOFLink">'At-a-glance'!$O$6:$O$10,'At-a-glance'!$O$12:$O$16,'At-a-glance'!$O$19:$O$26,'At-a-glance'!$I$19:$I$21</definedName>
    <definedName name="selSOFShow">Selections!$E$40</definedName>
    <definedName name="ShowMsg">Selections!$E$41</definedName>
    <definedName name="ShowMsg2">Selections!$E$43</definedName>
    <definedName name="Slider_SOF3mon">SOFend3Mon!$B$1</definedName>
    <definedName name="Slider_SOFList">SOFList!$B$1</definedName>
    <definedName name="Slider_STProjectList">STProjectList!$B$1</definedName>
    <definedName name="Slider_STProjectsSOF">STProjectbySOF!$B$1</definedName>
    <definedName name="SOF_Home">'SOF Details'!$O$2</definedName>
    <definedName name="SOFCells_UnitChange">'SOF Details'!$R$4:$S$8,'SOF Details'!$F$5:$F$38,'SOF Details'!$AB$36:$AE$43</definedName>
    <definedName name="SOFCells_UnitChange2">#REF!</definedName>
    <definedName name="SOFdetailrange">'SOF Details'!$H$5:$H$38</definedName>
    <definedName name="SOFLink_projects">'Project Details'!$O$20:$O$41</definedName>
    <definedName name="Table_HighLikely">HighLikely!$A$5:$F$800</definedName>
    <definedName name="Table_HighProject">HighProject!$A$5:$AE$800</definedName>
    <definedName name="Table_HighSOF">HighSOF!$A$5:$AE$800</definedName>
    <definedName name="Table_SOF3mon">SOFend3Mon!$A$15:$L$100</definedName>
    <definedName name="Table_SOFList">SOFList!$A$15:$AH$810</definedName>
    <definedName name="Table_STProjectList">STProjectList!$A$5:$AI$500</definedName>
    <definedName name="Table_STProjectSOF">STProjectbySOF!$A$5:$AK$3000</definedName>
    <definedName name="ThemeList">'At-a-glance'!$AJ$4:$AJ$14</definedName>
    <definedName name="threshRed">Selections!$F$6</definedName>
    <definedName name="threshYellow">Selections!$F$5</definedName>
    <definedName name="UnitsList">'At-a-glance'!$AL$3:$AL$5</definedName>
    <definedName name="userForecast">Selections!$F$3</definedName>
    <definedName name="userForecast2">Selections!$V$15</definedName>
    <definedName name="userLastUpdate">Selections!$F$2</definedName>
    <definedName name="valCumm">Selections!$E$30</definedName>
    <definedName name="valCumm2">Selections!$G$30</definedName>
    <definedName name="valProjectSort">Selections!$E$33</definedName>
    <definedName name="valProjectSort2">Selections!$G$33</definedName>
    <definedName name="valSOF">Selections!$E$25</definedName>
    <definedName name="valSOF2">Selections!$G$25</definedName>
    <definedName name="valSOFSort">Selections!$E$32</definedName>
    <definedName name="valSOFSort2">Selections!$G$32</definedName>
    <definedName name="valSort">Selections!$E$31</definedName>
    <definedName name="valSort2">Selections!$G$31</definedName>
    <definedName name="valSTProject">Selections!$E$26</definedName>
    <definedName name="valTheme">Selections!$E$23</definedName>
    <definedName name="valTheme2">Selections!$G$23</definedName>
    <definedName name="valThemeOrder">Selections!$H$23</definedName>
    <definedName name="valUnits">Selections!$E$28</definedName>
    <definedName name="valUnits2">Selections!$G$28</definedName>
    <definedName name="valUnits3">Selections!$H$28</definedName>
  </definedNames>
  <calcPr calcId="152511"/>
  <pivotCaches>
    <pivotCache cacheId="5" r:id="rId20"/>
  </pivotCaches>
</workbook>
</file>

<file path=xl/calcChain.xml><?xml version="1.0" encoding="utf-8"?>
<calcChain xmlns="http://schemas.openxmlformats.org/spreadsheetml/2006/main">
  <c r="A200" i="11" l="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3000" i="29"/>
  <c r="A2999" i="29"/>
  <c r="A2998" i="29"/>
  <c r="A2997" i="29"/>
  <c r="A2996" i="29"/>
  <c r="A2995" i="29"/>
  <c r="A2994" i="29"/>
  <c r="A2993" i="29"/>
  <c r="A2992" i="29"/>
  <c r="A2991" i="29"/>
  <c r="A2990" i="29"/>
  <c r="A2989" i="29"/>
  <c r="A2988" i="29"/>
  <c r="A2987" i="29"/>
  <c r="A2986" i="29"/>
  <c r="A2985" i="29"/>
  <c r="A2984" i="29"/>
  <c r="A2983" i="29"/>
  <c r="A2982" i="29"/>
  <c r="A2981" i="29"/>
  <c r="A2980" i="29"/>
  <c r="A2979" i="29"/>
  <c r="A2978" i="29"/>
  <c r="A2977" i="29"/>
  <c r="A2976" i="29"/>
  <c r="A2975" i="29"/>
  <c r="A2974" i="29"/>
  <c r="A2973" i="29"/>
  <c r="A2972" i="29"/>
  <c r="A2971" i="29"/>
  <c r="A2970" i="29"/>
  <c r="A2969" i="29"/>
  <c r="A2968" i="29"/>
  <c r="A2967" i="29"/>
  <c r="A2966" i="29"/>
  <c r="A2965" i="29"/>
  <c r="A2964" i="29"/>
  <c r="A2963" i="29"/>
  <c r="A2962" i="29"/>
  <c r="A2961" i="29"/>
  <c r="A2960" i="29"/>
  <c r="A2959" i="29"/>
  <c r="A2958" i="29"/>
  <c r="A2957" i="29"/>
  <c r="A2956" i="29"/>
  <c r="A2955" i="29"/>
  <c r="A2954" i="29"/>
  <c r="A2953" i="29"/>
  <c r="A2952" i="29"/>
  <c r="A2951" i="29"/>
  <c r="A2950" i="29"/>
  <c r="A2949" i="29"/>
  <c r="A2948" i="29"/>
  <c r="A2947" i="29"/>
  <c r="A2946" i="29"/>
  <c r="A2945" i="29"/>
  <c r="A2944" i="29"/>
  <c r="A2943" i="29"/>
  <c r="A2942" i="29"/>
  <c r="A2941" i="29"/>
  <c r="A2940" i="29"/>
  <c r="A2939" i="29"/>
  <c r="A2938" i="29"/>
  <c r="A2937" i="29"/>
  <c r="A2936" i="29"/>
  <c r="A2935" i="29"/>
  <c r="A2934" i="29"/>
  <c r="A2933" i="29"/>
  <c r="A2932" i="29"/>
  <c r="A2931" i="29"/>
  <c r="A2930" i="29"/>
  <c r="A2929" i="29"/>
  <c r="A2928" i="29"/>
  <c r="A2927" i="29"/>
  <c r="A2926" i="29"/>
  <c r="A2925" i="29"/>
  <c r="A2924" i="29"/>
  <c r="A2923" i="29"/>
  <c r="A2922" i="29"/>
  <c r="A2921" i="29"/>
  <c r="A2920" i="29"/>
  <c r="A2919" i="29"/>
  <c r="A2918" i="29"/>
  <c r="A2917" i="29"/>
  <c r="A2916" i="29"/>
  <c r="A2915" i="29"/>
  <c r="A2914" i="29"/>
  <c r="A2913" i="29"/>
  <c r="A2912" i="29"/>
  <c r="A2911" i="29"/>
  <c r="A2910" i="29"/>
  <c r="A2909" i="29"/>
  <c r="A2908" i="29"/>
  <c r="A2907" i="29"/>
  <c r="A2906" i="29"/>
  <c r="A2905" i="29"/>
  <c r="A2904" i="29"/>
  <c r="A2903" i="29"/>
  <c r="A2902" i="29"/>
  <c r="A2901" i="29"/>
  <c r="A2900" i="29"/>
  <c r="A2899" i="29"/>
  <c r="A2898" i="29"/>
  <c r="A2897" i="29"/>
  <c r="A2896" i="29"/>
  <c r="A2895" i="29"/>
  <c r="A2894" i="29"/>
  <c r="A2893" i="29"/>
  <c r="A2892" i="29"/>
  <c r="A2891" i="29"/>
  <c r="A2890" i="29"/>
  <c r="A2889" i="29"/>
  <c r="A2888" i="29"/>
  <c r="A2887" i="29"/>
  <c r="A2886" i="29"/>
  <c r="A2885" i="29"/>
  <c r="A2884" i="29"/>
  <c r="A2883" i="29"/>
  <c r="A2882" i="29"/>
  <c r="A2881" i="29"/>
  <c r="A2880" i="29"/>
  <c r="A2879" i="29"/>
  <c r="A2878" i="29"/>
  <c r="A2877" i="29"/>
  <c r="A2876" i="29"/>
  <c r="A2875" i="29"/>
  <c r="A2874" i="29"/>
  <c r="A2873" i="29"/>
  <c r="A2872" i="29"/>
  <c r="A2871" i="29"/>
  <c r="A2870" i="29"/>
  <c r="A2869" i="29"/>
  <c r="A2868" i="29"/>
  <c r="A2867" i="29"/>
  <c r="A2866" i="29"/>
  <c r="A2865" i="29"/>
  <c r="A2864" i="29"/>
  <c r="A2863" i="29"/>
  <c r="A2862" i="29"/>
  <c r="A2861" i="29"/>
  <c r="A2860" i="29"/>
  <c r="A2859" i="29"/>
  <c r="A2858" i="29"/>
  <c r="A2857" i="29"/>
  <c r="A2856" i="29"/>
  <c r="A2855" i="29"/>
  <c r="A2854" i="29"/>
  <c r="A2853" i="29"/>
  <c r="A2852" i="29"/>
  <c r="A2851" i="29"/>
  <c r="A2850" i="29"/>
  <c r="A2849" i="29"/>
  <c r="A2848" i="29"/>
  <c r="A2847" i="29"/>
  <c r="A2846" i="29"/>
  <c r="A2845" i="29"/>
  <c r="A2844" i="29"/>
  <c r="A2843" i="29"/>
  <c r="A2842" i="29"/>
  <c r="A2841" i="29"/>
  <c r="A2840" i="29"/>
  <c r="A2839" i="29"/>
  <c r="A2838" i="29"/>
  <c r="A2837" i="29"/>
  <c r="A2836" i="29"/>
  <c r="A2835" i="29"/>
  <c r="A2834" i="29"/>
  <c r="A2833" i="29"/>
  <c r="A2832" i="29"/>
  <c r="A2831" i="29"/>
  <c r="A2830" i="29"/>
  <c r="A2829" i="29"/>
  <c r="A2828" i="29"/>
  <c r="A2827" i="29"/>
  <c r="A2826" i="29"/>
  <c r="A2825" i="29"/>
  <c r="A2824" i="29"/>
  <c r="A2823" i="29"/>
  <c r="A2822" i="29"/>
  <c r="A2821" i="29"/>
  <c r="A2820" i="29"/>
  <c r="A2819" i="29"/>
  <c r="A2818" i="29"/>
  <c r="A2817" i="29"/>
  <c r="A2816" i="29"/>
  <c r="A2815" i="29"/>
  <c r="A2814" i="29"/>
  <c r="A2813" i="29"/>
  <c r="A2812" i="29"/>
  <c r="A2811" i="29"/>
  <c r="A2810" i="29"/>
  <c r="A2809" i="29"/>
  <c r="A2808" i="29"/>
  <c r="A2807" i="29"/>
  <c r="A2806" i="29"/>
  <c r="A2805" i="29"/>
  <c r="A2804" i="29"/>
  <c r="A2803" i="29"/>
  <c r="A2802" i="29"/>
  <c r="A2801" i="29"/>
  <c r="A2800" i="29"/>
  <c r="A2799" i="29"/>
  <c r="A2798" i="29"/>
  <c r="A2797" i="29"/>
  <c r="A2796" i="29"/>
  <c r="A2795" i="29"/>
  <c r="A2794" i="29"/>
  <c r="A2793" i="29"/>
  <c r="A2792" i="29"/>
  <c r="A2791" i="29"/>
  <c r="A2790" i="29"/>
  <c r="A2789" i="29"/>
  <c r="A2788" i="29"/>
  <c r="A2787" i="29"/>
  <c r="A2786" i="29"/>
  <c r="A2785" i="29"/>
  <c r="A2784" i="29"/>
  <c r="A2783" i="29"/>
  <c r="A2782" i="29"/>
  <c r="A2781" i="29"/>
  <c r="A2780" i="29"/>
  <c r="A2779" i="29"/>
  <c r="A2778" i="29"/>
  <c r="A2777" i="29"/>
  <c r="A2776" i="29"/>
  <c r="A2775" i="29"/>
  <c r="A2774" i="29"/>
  <c r="A2773" i="29"/>
  <c r="A2772" i="29"/>
  <c r="A2771" i="29"/>
  <c r="A2770" i="29"/>
  <c r="A2769" i="29"/>
  <c r="A2768" i="29"/>
  <c r="A2767" i="29"/>
  <c r="A2766" i="29"/>
  <c r="A2765" i="29"/>
  <c r="A2764" i="29"/>
  <c r="A2763" i="29"/>
  <c r="A2762" i="29"/>
  <c r="A2761" i="29"/>
  <c r="A2760" i="29"/>
  <c r="A2759" i="29"/>
  <c r="A2758" i="29"/>
  <c r="A2757" i="29"/>
  <c r="A2756" i="29"/>
  <c r="A2755" i="29"/>
  <c r="A2754" i="29"/>
  <c r="A2753" i="29"/>
  <c r="A2752" i="29"/>
  <c r="A2751" i="29"/>
  <c r="A2750" i="29"/>
  <c r="A2749" i="29"/>
  <c r="A2748" i="29"/>
  <c r="A2747" i="29"/>
  <c r="A2746" i="29"/>
  <c r="A2745" i="29"/>
  <c r="A2744" i="29"/>
  <c r="A2743" i="29"/>
  <c r="A2742" i="29"/>
  <c r="A2741" i="29"/>
  <c r="A2740" i="29"/>
  <c r="A2739" i="29"/>
  <c r="A2738" i="29"/>
  <c r="A2737" i="29"/>
  <c r="A2736" i="29"/>
  <c r="A2735" i="29"/>
  <c r="A2734" i="29"/>
  <c r="A2733" i="29"/>
  <c r="A2732" i="29"/>
  <c r="A2731" i="29"/>
  <c r="A2730" i="29"/>
  <c r="A2729" i="29"/>
  <c r="A2728" i="29"/>
  <c r="A2727" i="29"/>
  <c r="A2726" i="29"/>
  <c r="A2725" i="29"/>
  <c r="A2724" i="29"/>
  <c r="A2723" i="29"/>
  <c r="A2722" i="29"/>
  <c r="A2721" i="29"/>
  <c r="A2720" i="29"/>
  <c r="A2719" i="29"/>
  <c r="A2718" i="29"/>
  <c r="A2717" i="29"/>
  <c r="A2716" i="29"/>
  <c r="A2715" i="29"/>
  <c r="A2714" i="29"/>
  <c r="A2713" i="29"/>
  <c r="A2712" i="29"/>
  <c r="A2711" i="29"/>
  <c r="A2710" i="29"/>
  <c r="A2709" i="29"/>
  <c r="A2708" i="29"/>
  <c r="A2707" i="29"/>
  <c r="A2706" i="29"/>
  <c r="A2705" i="29"/>
  <c r="A2704" i="29"/>
  <c r="A2703" i="29"/>
  <c r="A2702" i="29"/>
  <c r="A2701" i="29"/>
  <c r="A2700" i="29"/>
  <c r="A2699" i="29"/>
  <c r="A2698" i="29"/>
  <c r="A2697" i="29"/>
  <c r="A2696" i="29"/>
  <c r="A2695" i="29"/>
  <c r="A2694" i="29"/>
  <c r="A2693" i="29"/>
  <c r="A2692" i="29"/>
  <c r="A2691" i="29"/>
  <c r="A2690" i="29"/>
  <c r="A2689" i="29"/>
  <c r="A2688" i="29"/>
  <c r="A2687" i="29"/>
  <c r="A2686" i="29"/>
  <c r="A2685" i="29"/>
  <c r="A2684" i="29"/>
  <c r="A2683" i="29"/>
  <c r="A2682" i="29"/>
  <c r="A2681" i="29"/>
  <c r="A2680" i="29"/>
  <c r="A2679" i="29"/>
  <c r="A2678" i="29"/>
  <c r="A2677" i="29"/>
  <c r="A2676" i="29"/>
  <c r="A2675" i="29"/>
  <c r="A2674" i="29"/>
  <c r="A2673" i="29"/>
  <c r="A2672" i="29"/>
  <c r="A2671" i="29"/>
  <c r="A2670" i="29"/>
  <c r="A2669" i="29"/>
  <c r="A2668" i="29"/>
  <c r="A2667" i="29"/>
  <c r="A2666" i="29"/>
  <c r="A2665" i="29"/>
  <c r="A2664" i="29"/>
  <c r="A2663" i="29"/>
  <c r="A2662" i="29"/>
  <c r="A2661" i="29"/>
  <c r="A2660" i="29"/>
  <c r="A2659" i="29"/>
  <c r="A2658" i="29"/>
  <c r="A2657" i="29"/>
  <c r="A2656" i="29"/>
  <c r="A2655" i="29"/>
  <c r="A2654" i="29"/>
  <c r="A2653" i="29"/>
  <c r="A2652" i="29"/>
  <c r="A2651" i="29"/>
  <c r="A2650" i="29"/>
  <c r="A2649" i="29"/>
  <c r="A2648" i="29"/>
  <c r="A2647" i="29"/>
  <c r="A2646" i="29"/>
  <c r="A2645" i="29"/>
  <c r="A2644" i="29"/>
  <c r="A2643" i="29"/>
  <c r="A2642" i="29"/>
  <c r="A2641" i="29"/>
  <c r="A2640" i="29"/>
  <c r="A2639" i="29"/>
  <c r="A2638" i="29"/>
  <c r="A2637" i="29"/>
  <c r="A2636" i="29"/>
  <c r="A2635" i="29"/>
  <c r="A2634" i="29"/>
  <c r="A2633" i="29"/>
  <c r="A2632" i="29"/>
  <c r="A2631" i="29"/>
  <c r="A2630" i="29"/>
  <c r="A2629" i="29"/>
  <c r="A2628" i="29"/>
  <c r="A2627" i="29"/>
  <c r="A2626" i="29"/>
  <c r="A2625" i="29"/>
  <c r="A2624" i="29"/>
  <c r="A2623" i="29"/>
  <c r="A2622" i="29"/>
  <c r="A2621" i="29"/>
  <c r="A2620" i="29"/>
  <c r="A2619" i="29"/>
  <c r="A2618" i="29"/>
  <c r="A2617" i="29"/>
  <c r="A2616" i="29"/>
  <c r="A2615" i="29"/>
  <c r="A2614" i="29"/>
  <c r="A2613" i="29"/>
  <c r="A2612" i="29"/>
  <c r="A2611" i="29"/>
  <c r="A2610" i="29"/>
  <c r="A2609" i="29"/>
  <c r="A2608" i="29"/>
  <c r="A2607" i="29"/>
  <c r="A2606" i="29"/>
  <c r="A2605" i="29"/>
  <c r="A2604" i="29"/>
  <c r="A2603" i="29"/>
  <c r="A2602" i="29"/>
  <c r="A2601" i="29"/>
  <c r="A2600" i="29"/>
  <c r="A2599" i="29"/>
  <c r="A2598" i="29"/>
  <c r="A2597" i="29"/>
  <c r="A2596" i="29"/>
  <c r="A2595" i="29"/>
  <c r="A2594" i="29"/>
  <c r="A2593" i="29"/>
  <c r="A2592" i="29"/>
  <c r="A2591" i="29"/>
  <c r="A2590" i="29"/>
  <c r="A2589" i="29"/>
  <c r="A2588" i="29"/>
  <c r="A2587" i="29"/>
  <c r="A2586" i="29"/>
  <c r="A2585" i="29"/>
  <c r="A2584" i="29"/>
  <c r="A2583" i="29"/>
  <c r="A2582" i="29"/>
  <c r="A2581" i="29"/>
  <c r="A2580" i="29"/>
  <c r="A2579" i="29"/>
  <c r="A2578" i="29"/>
  <c r="A2577" i="29"/>
  <c r="A2576" i="29"/>
  <c r="A2575" i="29"/>
  <c r="A2574" i="29"/>
  <c r="A2573" i="29"/>
  <c r="A2572" i="29"/>
  <c r="A2571" i="29"/>
  <c r="A2570" i="29"/>
  <c r="A2569" i="29"/>
  <c r="A2568" i="29"/>
  <c r="A2567" i="29"/>
  <c r="A2566" i="29"/>
  <c r="A2565" i="29"/>
  <c r="A2564" i="29"/>
  <c r="A2563" i="29"/>
  <c r="A2562" i="29"/>
  <c r="A2561" i="29"/>
  <c r="A2560" i="29"/>
  <c r="A2559" i="29"/>
  <c r="A2558" i="29"/>
  <c r="A2557" i="29"/>
  <c r="A2556" i="29"/>
  <c r="A2555" i="29"/>
  <c r="A2554" i="29"/>
  <c r="A2553" i="29"/>
  <c r="A2552" i="29"/>
  <c r="A2551" i="29"/>
  <c r="A2550" i="29"/>
  <c r="A2549" i="29"/>
  <c r="A2548" i="29"/>
  <c r="A2547" i="29"/>
  <c r="A2546" i="29"/>
  <c r="A2545" i="29"/>
  <c r="A2544" i="29"/>
  <c r="A2543" i="29"/>
  <c r="A2542" i="29"/>
  <c r="A2541" i="29"/>
  <c r="A2540" i="29"/>
  <c r="A2539" i="29"/>
  <c r="A2538" i="29"/>
  <c r="A2537" i="29"/>
  <c r="A2536" i="29"/>
  <c r="A2535" i="29"/>
  <c r="A2534" i="29"/>
  <c r="A2533" i="29"/>
  <c r="A2532" i="29"/>
  <c r="A2531" i="29"/>
  <c r="A2530" i="29"/>
  <c r="A2529" i="29"/>
  <c r="A2528" i="29"/>
  <c r="A2527" i="29"/>
  <c r="A2526" i="29"/>
  <c r="A2525" i="29"/>
  <c r="A2524" i="29"/>
  <c r="A2523" i="29"/>
  <c r="A2522" i="29"/>
  <c r="A2521" i="29"/>
  <c r="A2520" i="29"/>
  <c r="A2519" i="29"/>
  <c r="A2518" i="29"/>
  <c r="A2517" i="29"/>
  <c r="A2516" i="29"/>
  <c r="A2515" i="29"/>
  <c r="A2514" i="29"/>
  <c r="A2513" i="29"/>
  <c r="A2512" i="29"/>
  <c r="A2511" i="29"/>
  <c r="A2510" i="29"/>
  <c r="A2509" i="29"/>
  <c r="A2508" i="29"/>
  <c r="A2507" i="29"/>
  <c r="A2506" i="29"/>
  <c r="A2505" i="29"/>
  <c r="A2504" i="29"/>
  <c r="A2503" i="29"/>
  <c r="A2502" i="29"/>
  <c r="A2501" i="29"/>
  <c r="A2500" i="29"/>
  <c r="A2499" i="29"/>
  <c r="A2498" i="29"/>
  <c r="A2497" i="29"/>
  <c r="A2496" i="29"/>
  <c r="A2495" i="29"/>
  <c r="A2494" i="29"/>
  <c r="A2493" i="29"/>
  <c r="A2492" i="29"/>
  <c r="A2491" i="29"/>
  <c r="A2490" i="29"/>
  <c r="A2489" i="29"/>
  <c r="A2488" i="29"/>
  <c r="A2487" i="29"/>
  <c r="A2486" i="29"/>
  <c r="A2485" i="29"/>
  <c r="A2484" i="29"/>
  <c r="A2483" i="29"/>
  <c r="A2482" i="29"/>
  <c r="A2481" i="29"/>
  <c r="A2480" i="29"/>
  <c r="A2479" i="29"/>
  <c r="A2478" i="29"/>
  <c r="A2477" i="29"/>
  <c r="A2476" i="29"/>
  <c r="A2475" i="29"/>
  <c r="A2474" i="29"/>
  <c r="A2473" i="29"/>
  <c r="A2472" i="29"/>
  <c r="A2471" i="29"/>
  <c r="A2470" i="29"/>
  <c r="A2469" i="29"/>
  <c r="A2468" i="29"/>
  <c r="A2467" i="29"/>
  <c r="A2466" i="29"/>
  <c r="A2465" i="29"/>
  <c r="A2464" i="29"/>
  <c r="A2463" i="29"/>
  <c r="A2462" i="29"/>
  <c r="A2461" i="29"/>
  <c r="A2460" i="29"/>
  <c r="A2459" i="29"/>
  <c r="A2458" i="29"/>
  <c r="A2457" i="29"/>
  <c r="A2456" i="29"/>
  <c r="A2455" i="29"/>
  <c r="A2454" i="29"/>
  <c r="A2453" i="29"/>
  <c r="A2452" i="29"/>
  <c r="A2451" i="29"/>
  <c r="A2450" i="29"/>
  <c r="A2449" i="29"/>
  <c r="A2448" i="29"/>
  <c r="A2447" i="29"/>
  <c r="A2446" i="29"/>
  <c r="A2445" i="29"/>
  <c r="A2444" i="29"/>
  <c r="A2443" i="29"/>
  <c r="A2442" i="29"/>
  <c r="A2441" i="29"/>
  <c r="A2440" i="29"/>
  <c r="A2439" i="29"/>
  <c r="A2438" i="29"/>
  <c r="A2437" i="29"/>
  <c r="A2436" i="29"/>
  <c r="A2435" i="29"/>
  <c r="A2434" i="29"/>
  <c r="A2433" i="29"/>
  <c r="A2432" i="29"/>
  <c r="A2431" i="29"/>
  <c r="A2430" i="29"/>
  <c r="A2429" i="29"/>
  <c r="A2428" i="29"/>
  <c r="A2427" i="29"/>
  <c r="A2426" i="29"/>
  <c r="A2425" i="29"/>
  <c r="A2424" i="29"/>
  <c r="A2423" i="29"/>
  <c r="A2422" i="29"/>
  <c r="A2421" i="29"/>
  <c r="A2420" i="29"/>
  <c r="A2419" i="29"/>
  <c r="A2418" i="29"/>
  <c r="A2417" i="29"/>
  <c r="A2416" i="29"/>
  <c r="A2415" i="29"/>
  <c r="A2414" i="29"/>
  <c r="A2413" i="29"/>
  <c r="A2412" i="29"/>
  <c r="A2411" i="29"/>
  <c r="A2410" i="29"/>
  <c r="A2409" i="29"/>
  <c r="A2408" i="29"/>
  <c r="A2407" i="29"/>
  <c r="A2406" i="29"/>
  <c r="A2405" i="29"/>
  <c r="A2404" i="29"/>
  <c r="A2403" i="29"/>
  <c r="A2402" i="29"/>
  <c r="A2401" i="29"/>
  <c r="A2400" i="29"/>
  <c r="A2399" i="29"/>
  <c r="A2398" i="29"/>
  <c r="A2397" i="29"/>
  <c r="A2396" i="29"/>
  <c r="A2395" i="29"/>
  <c r="A2394" i="29"/>
  <c r="A2393" i="29"/>
  <c r="A2392" i="29"/>
  <c r="A2391" i="29"/>
  <c r="A2390" i="29"/>
  <c r="A2389" i="29"/>
  <c r="A2388" i="29"/>
  <c r="A2387" i="29"/>
  <c r="A2386" i="29"/>
  <c r="A2385" i="29"/>
  <c r="A2384" i="29"/>
  <c r="A2383" i="29"/>
  <c r="A2382" i="29"/>
  <c r="A2381" i="29"/>
  <c r="A2380" i="29"/>
  <c r="A2379" i="29"/>
  <c r="A2378" i="29"/>
  <c r="A2377" i="29"/>
  <c r="A2376" i="29"/>
  <c r="A2375" i="29"/>
  <c r="A2374" i="29"/>
  <c r="A2373" i="29"/>
  <c r="A2372" i="29"/>
  <c r="A2371" i="29"/>
  <c r="A2370" i="29"/>
  <c r="A2369" i="29"/>
  <c r="A2368" i="29"/>
  <c r="A2367" i="29"/>
  <c r="A2366" i="29"/>
  <c r="A2365" i="29"/>
  <c r="A2364" i="29"/>
  <c r="A2363" i="29"/>
  <c r="A2362" i="29"/>
  <c r="A2361" i="29"/>
  <c r="A2360" i="29"/>
  <c r="A2359" i="29"/>
  <c r="A2358" i="29"/>
  <c r="A2357" i="29"/>
  <c r="A2356" i="29"/>
  <c r="A2355" i="29"/>
  <c r="A2354" i="29"/>
  <c r="A2353" i="29"/>
  <c r="A2352" i="29"/>
  <c r="A2351" i="29"/>
  <c r="A2350" i="29"/>
  <c r="A2349" i="29"/>
  <c r="A2348" i="29"/>
  <c r="A2347" i="29"/>
  <c r="A2346" i="29"/>
  <c r="A2345" i="29"/>
  <c r="A2344" i="29"/>
  <c r="A2343" i="29"/>
  <c r="A2342" i="29"/>
  <c r="A2341" i="29"/>
  <c r="A2340" i="29"/>
  <c r="A2339" i="29"/>
  <c r="A2338" i="29"/>
  <c r="A2337" i="29"/>
  <c r="A2336" i="29"/>
  <c r="A2335" i="29"/>
  <c r="A2334" i="29"/>
  <c r="A2333" i="29"/>
  <c r="A2332" i="29"/>
  <c r="A2331" i="29"/>
  <c r="A2330" i="29"/>
  <c r="A2329" i="29"/>
  <c r="A2328" i="29"/>
  <c r="A2327" i="29"/>
  <c r="A2326" i="29"/>
  <c r="A2325" i="29"/>
  <c r="A2324" i="29"/>
  <c r="A2323" i="29"/>
  <c r="A2322" i="29"/>
  <c r="A2321" i="29"/>
  <c r="A2320" i="29"/>
  <c r="A2319" i="29"/>
  <c r="A2318" i="29"/>
  <c r="A2317" i="29"/>
  <c r="A2316" i="29"/>
  <c r="A2315" i="29"/>
  <c r="A2314" i="29"/>
  <c r="A2313" i="29"/>
  <c r="A2312" i="29"/>
  <c r="A2311" i="29"/>
  <c r="A2310" i="29"/>
  <c r="A2309" i="29"/>
  <c r="A2308" i="29"/>
  <c r="A2307" i="29"/>
  <c r="A2306" i="29"/>
  <c r="A2305" i="29"/>
  <c r="A2304" i="29"/>
  <c r="A2303" i="29"/>
  <c r="A2302" i="29"/>
  <c r="A2301" i="29"/>
  <c r="A2300" i="29"/>
  <c r="A2299" i="29"/>
  <c r="A2298" i="29"/>
  <c r="A2297" i="29"/>
  <c r="A2296" i="29"/>
  <c r="A2295" i="29"/>
  <c r="A2294" i="29"/>
  <c r="A2293" i="29"/>
  <c r="A2292" i="29"/>
  <c r="A2291" i="29"/>
  <c r="A2290" i="29"/>
  <c r="A2289" i="29"/>
  <c r="A2288" i="29"/>
  <c r="A2287" i="29"/>
  <c r="A2286" i="29"/>
  <c r="A2285" i="29"/>
  <c r="A2284" i="29"/>
  <c r="A2283" i="29"/>
  <c r="A2282" i="29"/>
  <c r="A2281" i="29"/>
  <c r="A2280" i="29"/>
  <c r="A2279" i="29"/>
  <c r="A2278" i="29"/>
  <c r="A2277" i="29"/>
  <c r="A2276" i="29"/>
  <c r="A2275" i="29"/>
  <c r="A2274" i="29"/>
  <c r="A2273" i="29"/>
  <c r="A2272" i="29"/>
  <c r="A2271" i="29"/>
  <c r="A2270" i="29"/>
  <c r="A2269" i="29"/>
  <c r="A2268" i="29"/>
  <c r="A2267" i="29"/>
  <c r="A2266" i="29"/>
  <c r="A2265" i="29"/>
  <c r="A2264" i="29"/>
  <c r="A2263" i="29"/>
  <c r="A2262" i="29"/>
  <c r="A2261" i="29"/>
  <c r="A2260" i="29"/>
  <c r="A2259" i="29"/>
  <c r="A2258" i="29"/>
  <c r="A2257" i="29"/>
  <c r="A2256" i="29"/>
  <c r="A2255" i="29"/>
  <c r="A2254" i="29"/>
  <c r="A2253" i="29"/>
  <c r="A2252" i="29"/>
  <c r="A2251" i="29"/>
  <c r="A2250" i="29"/>
  <c r="A2249" i="29"/>
  <c r="A2248" i="29"/>
  <c r="A2247" i="29"/>
  <c r="A2246" i="29"/>
  <c r="A2245" i="29"/>
  <c r="A2244" i="29"/>
  <c r="A2243" i="29"/>
  <c r="A2242" i="29"/>
  <c r="A2241" i="29"/>
  <c r="A2240" i="29"/>
  <c r="A2239" i="29"/>
  <c r="A2238" i="29"/>
  <c r="A2237" i="29"/>
  <c r="A2236" i="29"/>
  <c r="A2235" i="29"/>
  <c r="A2234" i="29"/>
  <c r="A2233" i="29"/>
  <c r="A2232" i="29"/>
  <c r="A2231" i="29"/>
  <c r="A2230" i="29"/>
  <c r="A2229" i="29"/>
  <c r="A2228" i="29"/>
  <c r="A2227" i="29"/>
  <c r="A2226" i="29"/>
  <c r="A2225" i="29"/>
  <c r="A2224" i="29"/>
  <c r="A2223" i="29"/>
  <c r="A2222" i="29"/>
  <c r="A2221" i="29"/>
  <c r="A2220" i="29"/>
  <c r="A2219" i="29"/>
  <c r="A2218" i="29"/>
  <c r="A2217" i="29"/>
  <c r="A2216" i="29"/>
  <c r="A2215" i="29"/>
  <c r="A2214" i="29"/>
  <c r="A2213" i="29"/>
  <c r="A2212" i="29"/>
  <c r="A2211" i="29"/>
  <c r="A2210" i="29"/>
  <c r="A2209" i="29"/>
  <c r="A2208" i="29"/>
  <c r="A2207" i="29"/>
  <c r="A2206" i="29"/>
  <c r="A2205" i="29"/>
  <c r="A2204" i="29"/>
  <c r="A2203" i="29"/>
  <c r="A2202" i="29"/>
  <c r="A2201" i="29"/>
  <c r="A2200" i="29"/>
  <c r="A2199" i="29"/>
  <c r="A2198" i="29"/>
  <c r="A2197" i="29"/>
  <c r="A2196" i="29"/>
  <c r="A2195" i="29"/>
  <c r="A2194" i="29"/>
  <c r="A2193" i="29"/>
  <c r="A2192" i="29"/>
  <c r="A2191" i="29"/>
  <c r="A2190" i="29"/>
  <c r="A2189" i="29"/>
  <c r="A2188" i="29"/>
  <c r="A2187" i="29"/>
  <c r="A2186" i="29"/>
  <c r="A2185" i="29"/>
  <c r="A2184" i="29"/>
  <c r="A2183" i="29"/>
  <c r="A2182" i="29"/>
  <c r="A2181" i="29"/>
  <c r="A2180" i="29"/>
  <c r="A2179" i="29"/>
  <c r="A2178" i="29"/>
  <c r="A2177" i="29"/>
  <c r="A2176" i="29"/>
  <c r="A2175" i="29"/>
  <c r="A2174" i="29"/>
  <c r="A2173" i="29"/>
  <c r="A2172" i="29"/>
  <c r="A2171" i="29"/>
  <c r="A2170" i="29"/>
  <c r="A2169" i="29"/>
  <c r="A2168" i="29"/>
  <c r="A2167" i="29"/>
  <c r="A2166" i="29"/>
  <c r="A2165" i="29"/>
  <c r="A2164" i="29"/>
  <c r="A2163" i="29"/>
  <c r="A2162" i="29"/>
  <c r="A2161" i="29"/>
  <c r="A2160" i="29"/>
  <c r="A2159" i="29"/>
  <c r="A2158" i="29"/>
  <c r="A2157" i="29"/>
  <c r="A2156" i="29"/>
  <c r="A2155" i="29"/>
  <c r="A2154" i="29"/>
  <c r="A2153" i="29"/>
  <c r="A2152" i="29"/>
  <c r="A2151" i="29"/>
  <c r="A2150" i="29"/>
  <c r="A2149" i="29"/>
  <c r="A2148" i="29"/>
  <c r="A2147" i="29"/>
  <c r="A2146" i="29"/>
  <c r="A2145" i="29"/>
  <c r="A2144" i="29"/>
  <c r="A2143" i="29"/>
  <c r="A2142" i="29"/>
  <c r="A2141" i="29"/>
  <c r="A2140" i="29"/>
  <c r="A2139" i="29"/>
  <c r="A2138" i="29"/>
  <c r="A2137" i="29"/>
  <c r="A2136" i="29"/>
  <c r="A2135" i="29"/>
  <c r="A2134" i="29"/>
  <c r="A2133" i="29"/>
  <c r="A2132" i="29"/>
  <c r="A2131" i="29"/>
  <c r="A2130" i="29"/>
  <c r="A2129" i="29"/>
  <c r="A2128" i="29"/>
  <c r="A2127" i="29"/>
  <c r="A2126" i="29"/>
  <c r="A2125" i="29"/>
  <c r="A2124" i="29"/>
  <c r="A2123" i="29"/>
  <c r="A2122" i="29"/>
  <c r="A2121" i="29"/>
  <c r="A2120" i="29"/>
  <c r="A2119" i="29"/>
  <c r="A2118" i="29"/>
  <c r="A2117" i="29"/>
  <c r="A2116" i="29"/>
  <c r="A2115" i="29"/>
  <c r="A2114" i="29"/>
  <c r="A2113" i="29"/>
  <c r="A2112" i="29"/>
  <c r="A2111" i="29"/>
  <c r="A2110" i="29"/>
  <c r="A2109" i="29"/>
  <c r="A2108" i="29"/>
  <c r="A2107" i="29"/>
  <c r="A2106" i="29"/>
  <c r="A2105" i="29"/>
  <c r="A2104" i="29"/>
  <c r="A2103" i="29"/>
  <c r="A2102" i="29"/>
  <c r="A2101" i="29"/>
  <c r="A2100" i="29"/>
  <c r="A2099" i="29"/>
  <c r="A2098" i="29"/>
  <c r="A2097" i="29"/>
  <c r="A2096" i="29"/>
  <c r="A2095" i="29"/>
  <c r="A2094" i="29"/>
  <c r="A2093" i="29"/>
  <c r="A2092" i="29"/>
  <c r="A2091" i="29"/>
  <c r="A2090" i="29"/>
  <c r="A2089" i="29"/>
  <c r="A2088" i="29"/>
  <c r="A2087" i="29"/>
  <c r="A2086" i="29"/>
  <c r="A2085" i="29"/>
  <c r="A2084" i="29"/>
  <c r="A2083" i="29"/>
  <c r="A2082" i="29"/>
  <c r="A2081" i="29"/>
  <c r="A2080" i="29"/>
  <c r="A2079" i="29"/>
  <c r="A2078" i="29"/>
  <c r="A2077" i="29"/>
  <c r="A2076" i="29"/>
  <c r="A2075" i="29"/>
  <c r="A2074" i="29"/>
  <c r="A2073" i="29"/>
  <c r="A2072" i="29"/>
  <c r="A2071" i="29"/>
  <c r="A2070" i="29"/>
  <c r="A2069" i="29"/>
  <c r="A2068" i="29"/>
  <c r="A2067" i="29"/>
  <c r="A2066" i="29"/>
  <c r="A2065" i="29"/>
  <c r="A2064" i="29"/>
  <c r="A2063" i="29"/>
  <c r="A2062" i="29"/>
  <c r="A2061" i="29"/>
  <c r="A2060" i="29"/>
  <c r="A2059" i="29"/>
  <c r="A2058" i="29"/>
  <c r="A2057" i="29"/>
  <c r="A2056" i="29"/>
  <c r="A2055" i="29"/>
  <c r="A2054" i="29"/>
  <c r="A2053" i="29"/>
  <c r="A2052" i="29"/>
  <c r="A2051" i="29"/>
  <c r="A2050" i="29"/>
  <c r="A2049" i="29"/>
  <c r="A2048" i="29"/>
  <c r="A2047" i="29"/>
  <c r="A2046" i="29"/>
  <c r="A2045" i="29"/>
  <c r="A2044" i="29"/>
  <c r="A2043" i="29"/>
  <c r="A2042" i="29"/>
  <c r="A2041" i="29"/>
  <c r="A2040" i="29"/>
  <c r="A2039" i="29"/>
  <c r="A2038" i="29"/>
  <c r="A2037" i="29"/>
  <c r="A2036" i="29"/>
  <c r="A2035" i="29"/>
  <c r="A2034" i="29"/>
  <c r="A2033" i="29"/>
  <c r="A2032" i="29"/>
  <c r="A2031" i="29"/>
  <c r="A2030" i="29"/>
  <c r="A2029" i="29"/>
  <c r="A2028" i="29"/>
  <c r="A2027" i="29"/>
  <c r="A2026" i="29"/>
  <c r="A2025" i="29"/>
  <c r="A2024" i="29"/>
  <c r="A2023" i="29"/>
  <c r="A2022" i="29"/>
  <c r="A2021" i="29"/>
  <c r="A2020" i="29"/>
  <c r="A2019" i="29"/>
  <c r="A2018" i="29"/>
  <c r="A2017" i="29"/>
  <c r="A2016" i="29"/>
  <c r="A2015" i="29"/>
  <c r="A2014" i="29"/>
  <c r="A2013" i="29"/>
  <c r="A2012" i="29"/>
  <c r="A2011" i="29"/>
  <c r="A2010" i="29"/>
  <c r="A2009" i="29"/>
  <c r="A2008" i="29"/>
  <c r="A2007" i="29"/>
  <c r="A2006" i="29"/>
  <c r="A2005" i="29"/>
  <c r="A2004" i="29"/>
  <c r="A2003" i="29"/>
  <c r="A2002" i="29"/>
  <c r="A2001" i="29"/>
  <c r="A2000" i="29"/>
  <c r="A1999" i="29"/>
  <c r="A1998" i="29"/>
  <c r="A1997" i="29"/>
  <c r="A1996" i="29"/>
  <c r="A1995" i="29"/>
  <c r="A1994" i="29"/>
  <c r="A1993" i="29"/>
  <c r="A1992" i="29"/>
  <c r="A1991" i="29"/>
  <c r="A1990" i="29"/>
  <c r="A1989" i="29"/>
  <c r="A1988" i="29"/>
  <c r="A1987" i="29"/>
  <c r="A1986" i="29"/>
  <c r="A1985" i="29"/>
  <c r="A1984" i="29"/>
  <c r="A1983" i="29"/>
  <c r="A1982" i="29"/>
  <c r="A1981" i="29"/>
  <c r="A1980" i="29"/>
  <c r="A1979" i="29"/>
  <c r="A1978" i="29"/>
  <c r="A1977" i="29"/>
  <c r="A1976" i="29"/>
  <c r="A1975" i="29"/>
  <c r="A1974" i="29"/>
  <c r="A1973" i="29"/>
  <c r="A1972" i="29"/>
  <c r="A1971" i="29"/>
  <c r="A1970" i="29"/>
  <c r="A1969" i="29"/>
  <c r="A1968" i="29"/>
  <c r="A1967" i="29"/>
  <c r="A1966" i="29"/>
  <c r="A1965" i="29"/>
  <c r="A1964" i="29"/>
  <c r="A1963" i="29"/>
  <c r="A1962" i="29"/>
  <c r="A1961" i="29"/>
  <c r="A1960" i="29"/>
  <c r="A1959" i="29"/>
  <c r="A1958" i="29"/>
  <c r="A1957" i="29"/>
  <c r="A1956" i="29"/>
  <c r="A1955" i="29"/>
  <c r="A1954" i="29"/>
  <c r="A1953" i="29"/>
  <c r="A1952" i="29"/>
  <c r="A1951" i="29"/>
  <c r="A1950" i="29"/>
  <c r="A1949" i="29"/>
  <c r="A1948" i="29"/>
  <c r="A1947" i="29"/>
  <c r="A1946" i="29"/>
  <c r="A1945" i="29"/>
  <c r="A1944" i="29"/>
  <c r="A1943" i="29"/>
  <c r="A1942" i="29"/>
  <c r="A1941" i="29"/>
  <c r="A1940" i="29"/>
  <c r="A1939" i="29"/>
  <c r="A1938" i="29"/>
  <c r="A1937" i="29"/>
  <c r="A1936" i="29"/>
  <c r="A1935" i="29"/>
  <c r="A1934" i="29"/>
  <c r="A1933" i="29"/>
  <c r="A1932" i="29"/>
  <c r="A1931" i="29"/>
  <c r="A1930" i="29"/>
  <c r="A1929" i="29"/>
  <c r="A1928" i="29"/>
  <c r="A1927" i="29"/>
  <c r="A1926" i="29"/>
  <c r="A1925" i="29"/>
  <c r="A1924" i="29"/>
  <c r="A1923" i="29"/>
  <c r="A1922" i="29"/>
  <c r="A1921" i="29"/>
  <c r="A1920" i="29"/>
  <c r="A1919" i="29"/>
  <c r="A1918" i="29"/>
  <c r="A1917" i="29"/>
  <c r="A1916" i="29"/>
  <c r="A1915" i="29"/>
  <c r="A1914" i="29"/>
  <c r="A1913" i="29"/>
  <c r="A1912" i="29"/>
  <c r="A1911" i="29"/>
  <c r="A1910" i="29"/>
  <c r="A1909" i="29"/>
  <c r="A1908" i="29"/>
  <c r="A1907" i="29"/>
  <c r="A1906" i="29"/>
  <c r="A1905" i="29"/>
  <c r="A1904" i="29"/>
  <c r="A1903" i="29"/>
  <c r="A1902" i="29"/>
  <c r="A1901" i="29"/>
  <c r="A1900" i="29"/>
  <c r="A1899" i="29"/>
  <c r="A1898" i="29"/>
  <c r="A1897" i="29"/>
  <c r="A1896" i="29"/>
  <c r="A1895" i="29"/>
  <c r="A1894" i="29"/>
  <c r="A1893" i="29"/>
  <c r="A1892" i="29"/>
  <c r="A1891" i="29"/>
  <c r="A1890" i="29"/>
  <c r="A1889" i="29"/>
  <c r="A1888" i="29"/>
  <c r="A1887" i="29"/>
  <c r="A1886" i="29"/>
  <c r="A1885" i="29"/>
  <c r="A1884" i="29"/>
  <c r="A1883" i="29"/>
  <c r="A1882" i="29"/>
  <c r="A1881" i="29"/>
  <c r="A1880" i="29"/>
  <c r="A1879" i="29"/>
  <c r="A1878" i="29"/>
  <c r="A1877" i="29"/>
  <c r="A1876" i="29"/>
  <c r="A1875" i="29"/>
  <c r="A1874" i="29"/>
  <c r="A1873" i="29"/>
  <c r="A1872" i="29"/>
  <c r="A1871" i="29"/>
  <c r="A1870" i="29"/>
  <c r="A1869" i="29"/>
  <c r="A1868" i="29"/>
  <c r="A1867" i="29"/>
  <c r="A1866" i="29"/>
  <c r="A1865" i="29"/>
  <c r="A1864" i="29"/>
  <c r="A1863" i="29"/>
  <c r="A1862" i="29"/>
  <c r="A1861" i="29"/>
  <c r="A1860" i="29"/>
  <c r="A1859" i="29"/>
  <c r="A1858" i="29"/>
  <c r="A1857" i="29"/>
  <c r="A1856" i="29"/>
  <c r="A1855" i="29"/>
  <c r="A1854" i="29"/>
  <c r="A1853" i="29"/>
  <c r="A1852" i="29"/>
  <c r="A1851" i="29"/>
  <c r="A1850" i="29"/>
  <c r="A1849" i="29"/>
  <c r="A1848" i="29"/>
  <c r="A1847" i="29"/>
  <c r="A1846" i="29"/>
  <c r="A1845" i="29"/>
  <c r="A1844" i="29"/>
  <c r="A1843" i="29"/>
  <c r="A1842" i="29"/>
  <c r="A1841" i="29"/>
  <c r="A1840" i="29"/>
  <c r="A1839" i="29"/>
  <c r="A1838" i="29"/>
  <c r="A1837" i="29"/>
  <c r="A1836" i="29"/>
  <c r="A1835" i="29"/>
  <c r="A1834" i="29"/>
  <c r="A1833" i="29"/>
  <c r="A1832" i="29"/>
  <c r="A1831" i="29"/>
  <c r="A1830" i="29"/>
  <c r="A1829" i="29"/>
  <c r="A1828" i="29"/>
  <c r="A1827" i="29"/>
  <c r="A1826" i="29"/>
  <c r="A1825" i="29"/>
  <c r="A1824" i="29"/>
  <c r="A1823" i="29"/>
  <c r="A1822" i="29"/>
  <c r="A1821" i="29"/>
  <c r="A1820" i="29"/>
  <c r="A1819" i="29"/>
  <c r="A1818" i="29"/>
  <c r="A1817" i="29"/>
  <c r="A1816" i="29"/>
  <c r="A1815" i="29"/>
  <c r="A1814" i="29"/>
  <c r="A1813" i="29"/>
  <c r="A1812" i="29"/>
  <c r="A1811" i="29"/>
  <c r="A1810" i="29"/>
  <c r="A1809" i="29"/>
  <c r="A1808" i="29"/>
  <c r="A1807" i="29"/>
  <c r="A1806" i="29"/>
  <c r="A1805" i="29"/>
  <c r="A1804" i="29"/>
  <c r="A1803" i="29"/>
  <c r="A1802" i="29"/>
  <c r="A1801" i="29"/>
  <c r="A1800" i="29"/>
  <c r="A1799" i="29"/>
  <c r="A1798" i="29"/>
  <c r="A1797" i="29"/>
  <c r="A1796" i="29"/>
  <c r="A1795" i="29"/>
  <c r="A1794" i="29"/>
  <c r="A1793" i="29"/>
  <c r="A1792" i="29"/>
  <c r="A1791" i="29"/>
  <c r="A1790" i="29"/>
  <c r="A1789" i="29"/>
  <c r="A1788" i="29"/>
  <c r="A1787" i="29"/>
  <c r="A1786" i="29"/>
  <c r="A1785" i="29"/>
  <c r="A1784" i="29"/>
  <c r="A1783" i="29"/>
  <c r="A1782" i="29"/>
  <c r="A1781" i="29"/>
  <c r="A1780" i="29"/>
  <c r="A1779" i="29"/>
  <c r="A1778" i="29"/>
  <c r="A1777" i="29"/>
  <c r="A1776" i="29"/>
  <c r="A1775" i="29"/>
  <c r="A1774" i="29"/>
  <c r="A1773" i="29"/>
  <c r="A1772" i="29"/>
  <c r="A1771" i="29"/>
  <c r="A1770" i="29"/>
  <c r="A1769" i="29"/>
  <c r="A1768" i="29"/>
  <c r="A1767" i="29"/>
  <c r="A1766" i="29"/>
  <c r="A1765" i="29"/>
  <c r="A1764" i="29"/>
  <c r="A1763" i="29"/>
  <c r="A1762" i="29"/>
  <c r="A1761" i="29"/>
  <c r="A1760" i="29"/>
  <c r="A1759" i="29"/>
  <c r="A1758" i="29"/>
  <c r="A1757" i="29"/>
  <c r="A1756" i="29"/>
  <c r="A1755" i="29"/>
  <c r="A1754" i="29"/>
  <c r="A1753" i="29"/>
  <c r="A1752" i="29"/>
  <c r="A1751" i="29"/>
  <c r="A1750" i="29"/>
  <c r="A1749" i="29"/>
  <c r="A1748" i="29"/>
  <c r="A1747" i="29"/>
  <c r="A1746" i="29"/>
  <c r="A1745" i="29"/>
  <c r="A1744" i="29"/>
  <c r="A1743" i="29"/>
  <c r="A1742" i="29"/>
  <c r="A1741" i="29"/>
  <c r="A1740" i="29"/>
  <c r="A1739" i="29"/>
  <c r="A1738" i="29"/>
  <c r="A1737" i="29"/>
  <c r="A1736" i="29"/>
  <c r="A1735" i="29"/>
  <c r="A1734" i="29"/>
  <c r="A1733" i="29"/>
  <c r="A1732" i="29"/>
  <c r="A1731" i="29"/>
  <c r="A1730" i="29"/>
  <c r="A1729" i="29"/>
  <c r="A1728" i="29"/>
  <c r="A1727" i="29"/>
  <c r="A1726" i="29"/>
  <c r="A1725" i="29"/>
  <c r="A1724" i="29"/>
  <c r="A1723" i="29"/>
  <c r="A1722" i="29"/>
  <c r="A1721" i="29"/>
  <c r="A1720" i="29"/>
  <c r="A1719" i="29"/>
  <c r="A1718" i="29"/>
  <c r="A1717" i="29"/>
  <c r="A1716" i="29"/>
  <c r="A1715" i="29"/>
  <c r="A1714" i="29"/>
  <c r="A1713" i="29"/>
  <c r="A1712" i="29"/>
  <c r="A1711" i="29"/>
  <c r="A1710" i="29"/>
  <c r="A1709" i="29"/>
  <c r="A1708" i="29"/>
  <c r="A1707" i="29"/>
  <c r="A1706" i="29"/>
  <c r="A1705" i="29"/>
  <c r="A1704" i="29"/>
  <c r="A1703" i="29"/>
  <c r="A1702" i="29"/>
  <c r="A1701" i="29"/>
  <c r="A1700" i="29"/>
  <c r="A1699" i="29"/>
  <c r="A1698" i="29"/>
  <c r="A1697" i="29"/>
  <c r="A1696" i="29"/>
  <c r="A1695" i="29"/>
  <c r="A1694" i="29"/>
  <c r="A1693" i="29"/>
  <c r="A1692" i="29"/>
  <c r="A1691" i="29"/>
  <c r="A1690" i="29"/>
  <c r="A1689" i="29"/>
  <c r="A1688" i="29"/>
  <c r="A1687" i="29"/>
  <c r="A1686" i="29"/>
  <c r="A1685" i="29"/>
  <c r="A1684" i="29"/>
  <c r="A1683" i="29"/>
  <c r="A1682" i="29"/>
  <c r="A1681" i="29"/>
  <c r="A1680" i="29"/>
  <c r="A1679" i="29"/>
  <c r="A1678" i="29"/>
  <c r="A1677" i="29"/>
  <c r="A1676" i="29"/>
  <c r="A1675" i="29"/>
  <c r="A1674" i="29"/>
  <c r="A1673" i="29"/>
  <c r="A1672" i="29"/>
  <c r="A1671" i="29"/>
  <c r="A1670" i="29"/>
  <c r="A1669" i="29"/>
  <c r="A1668" i="29"/>
  <c r="A1667" i="29"/>
  <c r="A1666" i="29"/>
  <c r="A1665" i="29"/>
  <c r="A1664" i="29"/>
  <c r="A1663" i="29"/>
  <c r="A1662" i="29"/>
  <c r="A1661" i="29"/>
  <c r="A1660" i="29"/>
  <c r="A1659" i="29"/>
  <c r="A1658" i="29"/>
  <c r="A1657" i="29"/>
  <c r="A1656" i="29"/>
  <c r="A1655" i="29"/>
  <c r="A1654" i="29"/>
  <c r="A1653" i="29"/>
  <c r="A1652" i="29"/>
  <c r="A1651" i="29"/>
  <c r="A1650" i="29"/>
  <c r="A1649" i="29"/>
  <c r="A1648" i="29"/>
  <c r="A1647" i="29"/>
  <c r="A1646" i="29"/>
  <c r="A1645" i="29"/>
  <c r="A1644" i="29"/>
  <c r="A1643" i="29"/>
  <c r="A1642" i="29"/>
  <c r="A1641" i="29"/>
  <c r="A1640" i="29"/>
  <c r="A1639" i="29"/>
  <c r="A1638" i="29"/>
  <c r="A1637" i="29"/>
  <c r="A1636" i="29"/>
  <c r="A1635" i="29"/>
  <c r="A1634" i="29"/>
  <c r="A1633" i="29"/>
  <c r="A1632" i="29"/>
  <c r="A1631" i="29"/>
  <c r="A1630" i="29"/>
  <c r="A1629" i="29"/>
  <c r="A1628" i="29"/>
  <c r="A1627" i="29"/>
  <c r="A1626" i="29"/>
  <c r="A1625" i="29"/>
  <c r="A1624" i="29"/>
  <c r="A1623" i="29"/>
  <c r="A1622" i="29"/>
  <c r="A1621" i="29"/>
  <c r="A1620" i="29"/>
  <c r="A1619" i="29"/>
  <c r="A1618" i="29"/>
  <c r="A1617" i="29"/>
  <c r="A1616" i="29"/>
  <c r="A1615" i="29"/>
  <c r="A1614" i="29"/>
  <c r="A1613" i="29"/>
  <c r="A1612" i="29"/>
  <c r="A1611" i="29"/>
  <c r="A1610" i="29"/>
  <c r="A1609" i="29"/>
  <c r="A1608" i="29"/>
  <c r="A1607" i="29"/>
  <c r="A1606" i="29"/>
  <c r="A1605" i="29"/>
  <c r="A1604" i="29"/>
  <c r="A1603" i="29"/>
  <c r="A1602" i="29"/>
  <c r="A1601" i="29"/>
  <c r="A1600" i="29"/>
  <c r="A1599" i="29"/>
  <c r="A1598" i="29"/>
  <c r="A1597" i="29"/>
  <c r="A1596" i="29"/>
  <c r="A1595" i="29"/>
  <c r="A1594" i="29"/>
  <c r="A1593" i="29"/>
  <c r="A1592" i="29"/>
  <c r="A1591" i="29"/>
  <c r="A1590" i="29"/>
  <c r="A1589" i="29"/>
  <c r="A1588" i="29"/>
  <c r="A1587" i="29"/>
  <c r="A1586" i="29"/>
  <c r="A1585" i="29"/>
  <c r="A1584" i="29"/>
  <c r="A1583" i="29"/>
  <c r="A1582" i="29"/>
  <c r="A1581" i="29"/>
  <c r="A1580" i="29"/>
  <c r="A1579" i="29"/>
  <c r="A1578" i="29"/>
  <c r="A1577" i="29"/>
  <c r="A1576" i="29"/>
  <c r="A1575" i="29"/>
  <c r="A1574" i="29"/>
  <c r="A1573" i="29"/>
  <c r="A1572" i="29"/>
  <c r="A1571" i="29"/>
  <c r="A1570" i="29"/>
  <c r="A1569" i="29"/>
  <c r="A1568" i="29"/>
  <c r="A1567" i="29"/>
  <c r="A1566" i="29"/>
  <c r="A1565" i="29"/>
  <c r="A1564" i="29"/>
  <c r="A1563" i="29"/>
  <c r="A1562" i="29"/>
  <c r="A1561" i="29"/>
  <c r="A1560" i="29"/>
  <c r="A1559" i="29"/>
  <c r="A1558" i="29"/>
  <c r="A1557" i="29"/>
  <c r="A1556" i="29"/>
  <c r="A1555" i="29"/>
  <c r="A1554" i="29"/>
  <c r="A1553" i="29"/>
  <c r="A1552" i="29"/>
  <c r="A1551" i="29"/>
  <c r="A1550" i="29"/>
  <c r="A1549" i="29"/>
  <c r="A1548" i="29"/>
  <c r="A1547" i="29"/>
  <c r="A1546" i="29"/>
  <c r="A1545" i="29"/>
  <c r="A1544" i="29"/>
  <c r="A1543" i="29"/>
  <c r="A1542" i="29"/>
  <c r="A1541" i="29"/>
  <c r="A1540" i="29"/>
  <c r="A1539" i="29"/>
  <c r="A1538" i="29"/>
  <c r="A1537" i="29"/>
  <c r="A1536" i="29"/>
  <c r="A1535" i="29"/>
  <c r="A1534" i="29"/>
  <c r="A1533" i="29"/>
  <c r="A1532" i="29"/>
  <c r="A1531" i="29"/>
  <c r="A1530" i="29"/>
  <c r="A1529" i="29"/>
  <c r="A1528" i="29"/>
  <c r="A1527" i="29"/>
  <c r="A1526" i="29"/>
  <c r="A1525" i="29"/>
  <c r="A1524" i="29"/>
  <c r="A1523" i="29"/>
  <c r="A1522" i="29"/>
  <c r="A1521" i="29"/>
  <c r="A1520" i="29"/>
  <c r="A1519" i="29"/>
  <c r="A1518" i="29"/>
  <c r="A1517" i="29"/>
  <c r="A1516" i="29"/>
  <c r="A1515" i="29"/>
  <c r="A1514" i="29"/>
  <c r="A1513" i="29"/>
  <c r="A1512" i="29"/>
  <c r="A1511" i="29"/>
  <c r="A1510" i="29"/>
  <c r="A1509" i="29"/>
  <c r="A1508" i="29"/>
  <c r="A1507" i="29"/>
  <c r="A1506" i="29"/>
  <c r="A1505" i="29"/>
  <c r="A1504" i="29"/>
  <c r="A1503" i="29"/>
  <c r="A1502" i="29"/>
  <c r="A1501" i="29"/>
  <c r="A1500" i="29"/>
  <c r="A1499" i="29"/>
  <c r="A1498" i="29"/>
  <c r="A1497" i="29"/>
  <c r="A1496" i="29"/>
  <c r="A1495" i="29"/>
  <c r="A1494" i="29"/>
  <c r="A1493" i="29"/>
  <c r="A1492" i="29"/>
  <c r="A1491" i="29"/>
  <c r="A1490" i="29"/>
  <c r="A1489" i="29"/>
  <c r="A1488" i="29"/>
  <c r="A1487" i="29"/>
  <c r="A1486" i="29"/>
  <c r="A1485" i="29"/>
  <c r="A1484" i="29"/>
  <c r="A1483" i="29"/>
  <c r="A1482" i="29"/>
  <c r="A1481" i="29"/>
  <c r="A1480" i="29"/>
  <c r="A1479" i="29"/>
  <c r="A1478" i="29"/>
  <c r="A1477" i="29"/>
  <c r="A1476" i="29"/>
  <c r="A1475" i="29"/>
  <c r="A1474" i="29"/>
  <c r="A1473" i="29"/>
  <c r="A1472" i="29"/>
  <c r="A1471" i="29"/>
  <c r="A1470" i="29"/>
  <c r="A1469" i="29"/>
  <c r="A1468" i="29"/>
  <c r="A1467" i="29"/>
  <c r="A1466" i="29"/>
  <c r="A1465" i="29"/>
  <c r="A1464" i="29"/>
  <c r="A1463" i="29"/>
  <c r="A1462" i="29"/>
  <c r="A1461" i="29"/>
  <c r="A1460" i="29"/>
  <c r="A1459" i="29"/>
  <c r="A1458" i="29"/>
  <c r="A1457" i="29"/>
  <c r="A1456" i="29"/>
  <c r="A1455" i="29"/>
  <c r="A1454" i="29"/>
  <c r="A1453" i="29"/>
  <c r="A1452" i="29"/>
  <c r="A1451" i="29"/>
  <c r="A1450" i="29"/>
  <c r="A1449" i="29"/>
  <c r="A1448" i="29"/>
  <c r="A1447" i="29"/>
  <c r="A1446" i="29"/>
  <c r="A1445" i="29"/>
  <c r="A1444" i="29"/>
  <c r="A1443" i="29"/>
  <c r="A1442" i="29"/>
  <c r="A1441" i="29"/>
  <c r="A1440" i="29"/>
  <c r="A1439" i="29"/>
  <c r="A1438" i="29"/>
  <c r="A1437" i="29"/>
  <c r="A1436" i="29"/>
  <c r="A1435" i="29"/>
  <c r="A1434" i="29"/>
  <c r="A1433" i="29"/>
  <c r="A1432" i="29"/>
  <c r="A1431" i="29"/>
  <c r="A1430" i="29"/>
  <c r="A1429" i="29"/>
  <c r="A1428" i="29"/>
  <c r="A1427" i="29"/>
  <c r="A1426" i="29"/>
  <c r="A1425" i="29"/>
  <c r="A1424" i="29"/>
  <c r="A1423" i="29"/>
  <c r="A1422" i="29"/>
  <c r="A1421" i="29"/>
  <c r="A1420" i="29"/>
  <c r="A1419" i="29"/>
  <c r="A1418" i="29"/>
  <c r="A1417" i="29"/>
  <c r="A1416" i="29"/>
  <c r="A1415" i="29"/>
  <c r="A1414" i="29"/>
  <c r="A1413" i="29"/>
  <c r="A1412" i="29"/>
  <c r="A1411" i="29"/>
  <c r="A1410" i="29"/>
  <c r="A1409" i="29"/>
  <c r="A1408" i="29"/>
  <c r="A1407" i="29"/>
  <c r="A1406" i="29"/>
  <c r="A1405" i="29"/>
  <c r="A1404" i="29"/>
  <c r="A1403" i="29"/>
  <c r="A1402" i="29"/>
  <c r="A1401" i="29"/>
  <c r="A1400" i="29"/>
  <c r="A1399" i="29"/>
  <c r="A1398" i="29"/>
  <c r="A1397" i="29"/>
  <c r="A1396" i="29"/>
  <c r="A1395" i="29"/>
  <c r="A1394" i="29"/>
  <c r="A1393" i="29"/>
  <c r="A1392" i="29"/>
  <c r="A1391" i="29"/>
  <c r="A1390" i="29"/>
  <c r="A1389" i="29"/>
  <c r="A1388" i="29"/>
  <c r="A1387" i="29"/>
  <c r="A1386" i="29"/>
  <c r="A1385" i="29"/>
  <c r="A1384" i="29"/>
  <c r="A1383" i="29"/>
  <c r="A1382" i="29"/>
  <c r="A1381" i="29"/>
  <c r="A1380" i="29"/>
  <c r="A1379" i="29"/>
  <c r="A1378" i="29"/>
  <c r="A1377" i="29"/>
  <c r="A1376" i="29"/>
  <c r="A1375" i="29"/>
  <c r="A1374" i="29"/>
  <c r="A1373" i="29"/>
  <c r="A1372" i="29"/>
  <c r="A1371" i="29"/>
  <c r="A1370" i="29"/>
  <c r="A1369" i="29"/>
  <c r="A1368" i="29"/>
  <c r="A1367" i="29"/>
  <c r="A1366" i="29"/>
  <c r="A1365" i="29"/>
  <c r="A1364" i="29"/>
  <c r="A1363" i="29"/>
  <c r="A1362" i="29"/>
  <c r="A1361" i="29"/>
  <c r="A1360" i="29"/>
  <c r="A1359" i="29"/>
  <c r="A1358" i="29"/>
  <c r="A1357" i="29"/>
  <c r="A1356" i="29"/>
  <c r="A1355" i="29"/>
  <c r="A1354" i="29"/>
  <c r="A1353" i="29"/>
  <c r="A1352" i="29"/>
  <c r="A1351" i="29"/>
  <c r="A1350" i="29"/>
  <c r="A1349" i="29"/>
  <c r="A1348" i="29"/>
  <c r="A1347" i="29"/>
  <c r="A1346" i="29"/>
  <c r="A1345" i="29"/>
  <c r="A1344" i="29"/>
  <c r="A1343" i="29"/>
  <c r="A1342" i="29"/>
  <c r="A1341" i="29"/>
  <c r="A1340" i="29"/>
  <c r="A1339" i="29"/>
  <c r="A1338" i="29"/>
  <c r="A1337" i="29"/>
  <c r="A1336" i="29"/>
  <c r="A1335" i="29"/>
  <c r="A1334" i="29"/>
  <c r="A1333" i="29"/>
  <c r="A1332" i="29"/>
  <c r="A1331" i="29"/>
  <c r="A1330" i="29"/>
  <c r="A1329" i="29"/>
  <c r="A1328" i="29"/>
  <c r="A1327" i="29"/>
  <c r="A1326" i="29"/>
  <c r="A1325" i="29"/>
  <c r="A1324" i="29"/>
  <c r="A1323" i="29"/>
  <c r="A1322" i="29"/>
  <c r="A1321" i="29"/>
  <c r="A1320" i="29"/>
  <c r="A1319" i="29"/>
  <c r="A1318" i="29"/>
  <c r="A1317" i="29"/>
  <c r="A1316" i="29"/>
  <c r="A1315" i="29"/>
  <c r="A1314" i="29"/>
  <c r="A1313" i="29"/>
  <c r="A1312" i="29"/>
  <c r="A1311" i="29"/>
  <c r="A1310" i="29"/>
  <c r="A1309" i="29"/>
  <c r="A1308" i="29"/>
  <c r="A1307" i="29"/>
  <c r="A1306" i="29"/>
  <c r="A1305" i="29"/>
  <c r="A1304" i="29"/>
  <c r="A1303" i="29"/>
  <c r="A1302" i="29"/>
  <c r="A1301" i="29"/>
  <c r="A1300" i="29"/>
  <c r="A1299" i="29"/>
  <c r="A1298" i="29"/>
  <c r="A1297" i="29"/>
  <c r="A1296" i="29"/>
  <c r="A1295" i="29"/>
  <c r="A1294" i="29"/>
  <c r="A1293" i="29"/>
  <c r="A1292" i="29"/>
  <c r="A1291" i="29"/>
  <c r="A1290" i="29"/>
  <c r="A1289" i="29"/>
  <c r="A1288" i="29"/>
  <c r="A1287" i="29"/>
  <c r="A1286" i="29"/>
  <c r="A1285" i="29"/>
  <c r="A1284" i="29"/>
  <c r="A1283" i="29"/>
  <c r="A1282" i="29"/>
  <c r="A1281" i="29"/>
  <c r="A1280" i="29"/>
  <c r="A1279" i="29"/>
  <c r="A1278" i="29"/>
  <c r="A1277" i="29"/>
  <c r="A1276" i="29"/>
  <c r="A1275" i="29"/>
  <c r="A1274" i="29"/>
  <c r="A1273" i="29"/>
  <c r="A1272" i="29"/>
  <c r="A1271" i="29"/>
  <c r="A1270" i="29"/>
  <c r="A1269" i="29"/>
  <c r="A1268" i="29"/>
  <c r="A1267" i="29"/>
  <c r="A1266" i="29"/>
  <c r="A1265" i="29"/>
  <c r="A1264" i="29"/>
  <c r="A1263" i="29"/>
  <c r="A1262" i="29"/>
  <c r="A1261" i="29"/>
  <c r="A1260" i="29"/>
  <c r="A1259" i="29"/>
  <c r="A1258" i="29"/>
  <c r="A1257" i="29"/>
  <c r="A1256" i="29"/>
  <c r="A1255" i="29"/>
  <c r="A1254" i="29"/>
  <c r="A1253" i="29"/>
  <c r="A1252" i="29"/>
  <c r="A1251" i="29"/>
  <c r="A1250" i="29"/>
  <c r="A1249" i="29"/>
  <c r="A1248" i="29"/>
  <c r="A1247" i="29"/>
  <c r="A1246" i="29"/>
  <c r="A1245" i="29"/>
  <c r="A1244" i="29"/>
  <c r="A1243" i="29"/>
  <c r="A1242" i="29"/>
  <c r="A1241" i="29"/>
  <c r="A1240" i="29"/>
  <c r="A1239" i="29"/>
  <c r="A1238" i="29"/>
  <c r="A1237" i="29"/>
  <c r="A1236" i="29"/>
  <c r="A1235" i="29"/>
  <c r="A1234" i="29"/>
  <c r="A1233" i="29"/>
  <c r="A1232" i="29"/>
  <c r="A1231" i="29"/>
  <c r="A1230" i="29"/>
  <c r="A1229" i="29"/>
  <c r="A1228" i="29"/>
  <c r="A1227" i="29"/>
  <c r="A1226" i="29"/>
  <c r="A1225" i="29"/>
  <c r="A1224" i="29"/>
  <c r="A1223" i="29"/>
  <c r="A1222" i="29"/>
  <c r="A1221" i="29"/>
  <c r="A1220" i="29"/>
  <c r="A1219" i="29"/>
  <c r="A1218" i="29"/>
  <c r="A1217" i="29"/>
  <c r="A1216" i="29"/>
  <c r="A1215" i="29"/>
  <c r="A1214" i="29"/>
  <c r="A1213" i="29"/>
  <c r="A1212" i="29"/>
  <c r="A1211" i="29"/>
  <c r="A1210" i="29"/>
  <c r="A1209" i="29"/>
  <c r="A1208" i="29"/>
  <c r="A1207" i="29"/>
  <c r="A1206" i="29"/>
  <c r="A1205" i="29"/>
  <c r="A1204" i="29"/>
  <c r="A1203" i="29"/>
  <c r="A1202" i="29"/>
  <c r="A1201" i="29"/>
  <c r="A1200" i="29"/>
  <c r="A1199" i="29"/>
  <c r="A1198" i="29"/>
  <c r="A1197" i="29"/>
  <c r="A1196" i="29"/>
  <c r="A1195" i="29"/>
  <c r="A1194" i="29"/>
  <c r="A1193" i="29"/>
  <c r="A1192" i="29"/>
  <c r="A1191" i="29"/>
  <c r="A1190" i="29"/>
  <c r="A1189" i="29"/>
  <c r="A1188" i="29"/>
  <c r="A1187" i="29"/>
  <c r="A1186" i="29"/>
  <c r="A1185" i="29"/>
  <c r="A1184" i="29"/>
  <c r="A1183" i="29"/>
  <c r="A1182" i="29"/>
  <c r="A1181" i="29"/>
  <c r="A1180" i="29"/>
  <c r="A1179" i="29"/>
  <c r="A1178" i="29"/>
  <c r="A1177" i="29"/>
  <c r="A1176" i="29"/>
  <c r="A1175" i="29"/>
  <c r="A1174" i="29"/>
  <c r="A1173" i="29"/>
  <c r="A1172" i="29"/>
  <c r="A1171" i="29"/>
  <c r="A1170" i="29"/>
  <c r="A1169" i="29"/>
  <c r="A1168" i="29"/>
  <c r="A1167" i="29"/>
  <c r="A1166" i="29"/>
  <c r="A1165" i="29"/>
  <c r="A1164" i="29"/>
  <c r="A1163" i="29"/>
  <c r="A1162" i="29"/>
  <c r="A1161" i="29"/>
  <c r="A1160" i="29"/>
  <c r="A1159" i="29"/>
  <c r="A1158" i="29"/>
  <c r="A1157" i="29"/>
  <c r="A1156" i="29"/>
  <c r="A1155" i="29"/>
  <c r="A1154" i="29"/>
  <c r="A1153" i="29"/>
  <c r="A1152" i="29"/>
  <c r="A1151" i="29"/>
  <c r="A1150" i="29"/>
  <c r="A1149" i="29"/>
  <c r="A1148" i="29"/>
  <c r="A1147" i="29"/>
  <c r="A1146" i="29"/>
  <c r="A1145" i="29"/>
  <c r="A1144" i="29"/>
  <c r="A1143" i="29"/>
  <c r="A1142" i="29"/>
  <c r="A1141" i="29"/>
  <c r="A1140" i="29"/>
  <c r="A1139" i="29"/>
  <c r="A1138" i="29"/>
  <c r="A1137" i="29"/>
  <c r="A1136" i="29"/>
  <c r="A1135" i="29"/>
  <c r="A1134" i="29"/>
  <c r="A1133" i="29"/>
  <c r="A1132" i="29"/>
  <c r="A1131" i="29"/>
  <c r="A1130" i="29"/>
  <c r="A1129" i="29"/>
  <c r="A1128" i="29"/>
  <c r="A1127" i="29"/>
  <c r="A1126" i="29"/>
  <c r="A1125" i="29"/>
  <c r="A1124" i="29"/>
  <c r="A1123" i="29"/>
  <c r="A1122" i="29"/>
  <c r="A1121" i="29"/>
  <c r="A1120" i="29"/>
  <c r="A1119" i="29"/>
  <c r="A1118" i="29"/>
  <c r="A1117" i="29"/>
  <c r="A1116" i="29"/>
  <c r="A1115" i="29"/>
  <c r="A1114" i="29"/>
  <c r="A1113" i="29"/>
  <c r="A1112" i="29"/>
  <c r="A1111" i="29"/>
  <c r="A1110" i="29"/>
  <c r="A1109" i="29"/>
  <c r="A1108" i="29"/>
  <c r="A1107" i="29"/>
  <c r="A1106" i="29"/>
  <c r="A1105" i="29"/>
  <c r="A1104" i="29"/>
  <c r="A1103" i="29"/>
  <c r="A1102" i="29"/>
  <c r="A1101" i="29"/>
  <c r="A1100" i="29"/>
  <c r="A1099" i="29"/>
  <c r="A1098" i="29"/>
  <c r="A1097" i="29"/>
  <c r="A1096" i="29"/>
  <c r="A1095" i="29"/>
  <c r="A1094" i="29"/>
  <c r="A1093" i="29"/>
  <c r="A1092" i="29"/>
  <c r="A1091" i="29"/>
  <c r="A1090" i="29"/>
  <c r="A1089" i="29"/>
  <c r="A1088" i="29"/>
  <c r="A1087" i="29"/>
  <c r="A1086" i="29"/>
  <c r="A1085" i="29"/>
  <c r="A1084" i="29"/>
  <c r="A1083" i="29"/>
  <c r="A1082" i="29"/>
  <c r="A1081" i="29"/>
  <c r="A1080" i="29"/>
  <c r="A1079" i="29"/>
  <c r="A1078" i="29"/>
  <c r="A1077" i="29"/>
  <c r="A1076" i="29"/>
  <c r="A1075" i="29"/>
  <c r="A1074" i="29"/>
  <c r="A1073" i="29"/>
  <c r="A1072" i="29"/>
  <c r="A1071" i="29"/>
  <c r="A1070" i="29"/>
  <c r="A1069" i="29"/>
  <c r="A1068" i="29"/>
  <c r="A1067" i="29"/>
  <c r="A1066" i="29"/>
  <c r="A1065" i="29"/>
  <c r="A1064" i="29"/>
  <c r="A1063" i="29"/>
  <c r="A1062" i="29"/>
  <c r="A1061" i="29"/>
  <c r="A1060" i="29"/>
  <c r="A1059" i="29"/>
  <c r="A1058" i="29"/>
  <c r="A1057" i="29"/>
  <c r="A1056" i="29"/>
  <c r="A1055" i="29"/>
  <c r="A1054" i="29"/>
  <c r="A1053" i="29"/>
  <c r="A1052" i="29"/>
  <c r="A1051" i="29"/>
  <c r="A1050" i="29"/>
  <c r="A1049" i="29"/>
  <c r="A1048" i="29"/>
  <c r="A1047" i="29"/>
  <c r="A1046" i="29"/>
  <c r="A1045" i="29"/>
  <c r="A1044" i="29"/>
  <c r="A1043" i="29"/>
  <c r="A1042" i="29"/>
  <c r="A1041" i="29"/>
  <c r="A1040" i="29"/>
  <c r="A1039" i="29"/>
  <c r="A1038" i="29"/>
  <c r="A1037" i="29"/>
  <c r="A1036" i="29"/>
  <c r="A1035" i="29"/>
  <c r="A1034" i="29"/>
  <c r="A1033" i="29"/>
  <c r="A1032" i="29"/>
  <c r="A1031" i="29"/>
  <c r="A1030" i="29"/>
  <c r="A1029" i="29"/>
  <c r="A1028" i="29"/>
  <c r="A1027" i="29"/>
  <c r="A1026" i="29"/>
  <c r="A1025" i="29"/>
  <c r="A1024" i="29"/>
  <c r="A1023" i="29"/>
  <c r="A1022" i="29"/>
  <c r="A1021" i="29"/>
  <c r="A1020" i="29"/>
  <c r="A1019" i="29"/>
  <c r="A1018" i="29"/>
  <c r="A1017" i="29"/>
  <c r="A1016" i="29"/>
  <c r="A1015" i="29"/>
  <c r="A1014" i="29"/>
  <c r="A1013" i="29"/>
  <c r="A1012" i="29"/>
  <c r="A1011" i="29"/>
  <c r="A1010" i="29"/>
  <c r="A1009" i="29"/>
  <c r="A1008" i="29"/>
  <c r="A1007" i="29"/>
  <c r="A1006" i="29"/>
  <c r="A1005" i="29"/>
  <c r="A1004" i="29"/>
  <c r="A1003" i="29"/>
  <c r="A1002" i="29"/>
  <c r="A1001" i="29"/>
  <c r="A1000" i="29"/>
  <c r="A999" i="29"/>
  <c r="A998" i="29"/>
  <c r="A997" i="29"/>
  <c r="A996" i="29"/>
  <c r="A995" i="29"/>
  <c r="A994" i="29"/>
  <c r="A993" i="29"/>
  <c r="A992" i="29"/>
  <c r="A991" i="29"/>
  <c r="A990" i="29"/>
  <c r="A989" i="29"/>
  <c r="A988" i="29"/>
  <c r="A987" i="29"/>
  <c r="A986" i="29"/>
  <c r="A985" i="29"/>
  <c r="A984" i="29"/>
  <c r="A983" i="29"/>
  <c r="A982" i="29"/>
  <c r="A981" i="29"/>
  <c r="A980" i="29"/>
  <c r="A979" i="29"/>
  <c r="A978" i="29"/>
  <c r="A977" i="29"/>
  <c r="A976" i="29"/>
  <c r="A975" i="29"/>
  <c r="A974" i="29"/>
  <c r="A973" i="29"/>
  <c r="A972" i="29"/>
  <c r="A971" i="29"/>
  <c r="A970" i="29"/>
  <c r="A969" i="29"/>
  <c r="A968" i="29"/>
  <c r="A967" i="29"/>
  <c r="A966" i="29"/>
  <c r="A965" i="29"/>
  <c r="A964" i="29"/>
  <c r="A963" i="29"/>
  <c r="A962" i="29"/>
  <c r="A961" i="29"/>
  <c r="A960" i="29"/>
  <c r="A959" i="29"/>
  <c r="A958" i="29"/>
  <c r="A957" i="29"/>
  <c r="A956" i="29"/>
  <c r="A955" i="29"/>
  <c r="A954" i="29"/>
  <c r="A953" i="29"/>
  <c r="A952" i="29"/>
  <c r="A951" i="29"/>
  <c r="A950" i="29"/>
  <c r="A949" i="29"/>
  <c r="A948" i="29"/>
  <c r="A947" i="29"/>
  <c r="A946" i="29"/>
  <c r="A945" i="29"/>
  <c r="A944" i="29"/>
  <c r="A943" i="29"/>
  <c r="A942" i="29"/>
  <c r="A941" i="29"/>
  <c r="A940" i="29"/>
  <c r="A939" i="29"/>
  <c r="A938" i="29"/>
  <c r="A937" i="29"/>
  <c r="A936" i="29"/>
  <c r="A935" i="29"/>
  <c r="A934" i="29"/>
  <c r="A933" i="29"/>
  <c r="A932" i="29"/>
  <c r="A931" i="29"/>
  <c r="A930" i="29"/>
  <c r="A929" i="29"/>
  <c r="A928" i="29"/>
  <c r="A927" i="29"/>
  <c r="A926" i="29"/>
  <c r="A925" i="29"/>
  <c r="A924" i="29"/>
  <c r="A923" i="29"/>
  <c r="A922" i="29"/>
  <c r="A921" i="29"/>
  <c r="A920" i="29"/>
  <c r="A919" i="29"/>
  <c r="A918" i="29"/>
  <c r="A917" i="29"/>
  <c r="A916" i="29"/>
  <c r="A915" i="29"/>
  <c r="A914" i="29"/>
  <c r="A913" i="29"/>
  <c r="A912" i="29"/>
  <c r="A911" i="29"/>
  <c r="A910" i="29"/>
  <c r="A909" i="29"/>
  <c r="A908" i="29"/>
  <c r="A907" i="29"/>
  <c r="A906" i="29"/>
  <c r="A905" i="29"/>
  <c r="A904" i="29"/>
  <c r="A903" i="29"/>
  <c r="A902" i="29"/>
  <c r="A901" i="29"/>
  <c r="A900" i="29"/>
  <c r="A899" i="29"/>
  <c r="A898" i="29"/>
  <c r="A897" i="29"/>
  <c r="A896" i="29"/>
  <c r="A895" i="29"/>
  <c r="A894" i="29"/>
  <c r="A893" i="29"/>
  <c r="A892" i="29"/>
  <c r="A891" i="29"/>
  <c r="A890" i="29"/>
  <c r="A889" i="29"/>
  <c r="A888" i="29"/>
  <c r="A887" i="29"/>
  <c r="A886" i="29"/>
  <c r="A885" i="29"/>
  <c r="A884" i="29"/>
  <c r="A883" i="29"/>
  <c r="A882" i="29"/>
  <c r="A881" i="29"/>
  <c r="A880" i="29"/>
  <c r="A879" i="29"/>
  <c r="A878" i="29"/>
  <c r="A877" i="29"/>
  <c r="A876" i="29"/>
  <c r="A875" i="29"/>
  <c r="A874" i="29"/>
  <c r="A873" i="29"/>
  <c r="A872" i="29"/>
  <c r="A871" i="29"/>
  <c r="A870" i="29"/>
  <c r="A869" i="29"/>
  <c r="A868" i="29"/>
  <c r="A867" i="29"/>
  <c r="A866" i="29"/>
  <c r="A865" i="29"/>
  <c r="A864" i="29"/>
  <c r="A863" i="29"/>
  <c r="A862" i="29"/>
  <c r="A861" i="29"/>
  <c r="A860" i="29"/>
  <c r="A859" i="29"/>
  <c r="A858" i="29"/>
  <c r="A857" i="29"/>
  <c r="A856" i="29"/>
  <c r="A855" i="29"/>
  <c r="A854" i="29"/>
  <c r="A853" i="29"/>
  <c r="A852" i="29"/>
  <c r="A851" i="29"/>
  <c r="A850" i="29"/>
  <c r="A849" i="29"/>
  <c r="A848" i="29"/>
  <c r="A847" i="29"/>
  <c r="A846" i="29"/>
  <c r="A845" i="29"/>
  <c r="A844" i="29"/>
  <c r="A843" i="29"/>
  <c r="A842" i="29"/>
  <c r="A841" i="29"/>
  <c r="A840" i="29"/>
  <c r="A839" i="29"/>
  <c r="A838" i="29"/>
  <c r="A837" i="29"/>
  <c r="A836" i="29"/>
  <c r="A835" i="29"/>
  <c r="A834" i="29"/>
  <c r="A833" i="29"/>
  <c r="A832" i="29"/>
  <c r="A831" i="29"/>
  <c r="A830" i="29"/>
  <c r="A829" i="29"/>
  <c r="A828" i="29"/>
  <c r="A827" i="29"/>
  <c r="A826" i="29"/>
  <c r="A825" i="29"/>
  <c r="A824" i="29"/>
  <c r="A823" i="29"/>
  <c r="A822" i="29"/>
  <c r="A821" i="29"/>
  <c r="A820" i="29"/>
  <c r="A819" i="29"/>
  <c r="A818" i="29"/>
  <c r="A817" i="29"/>
  <c r="A816" i="29"/>
  <c r="A815" i="29"/>
  <c r="A814" i="29"/>
  <c r="A813" i="29"/>
  <c r="A812" i="29"/>
  <c r="A811" i="29"/>
  <c r="A810" i="29"/>
  <c r="A809" i="29"/>
  <c r="A808" i="29"/>
  <c r="A807" i="29"/>
  <c r="A806" i="29"/>
  <c r="A805" i="29"/>
  <c r="A804" i="29"/>
  <c r="A803" i="29"/>
  <c r="A802" i="29"/>
  <c r="A801" i="29"/>
  <c r="A800" i="29"/>
  <c r="A799" i="29"/>
  <c r="A798" i="29"/>
  <c r="A797" i="29"/>
  <c r="A796" i="29"/>
  <c r="A795" i="29"/>
  <c r="A794" i="29"/>
  <c r="A793" i="29"/>
  <c r="A792" i="29"/>
  <c r="A791" i="29"/>
  <c r="A790" i="29"/>
  <c r="A789" i="29"/>
  <c r="A788" i="29"/>
  <c r="A787" i="29"/>
  <c r="A786" i="29"/>
  <c r="A785" i="29"/>
  <c r="A784" i="29"/>
  <c r="A783" i="29"/>
  <c r="A782" i="29"/>
  <c r="A781" i="29"/>
  <c r="A780" i="29"/>
  <c r="A779" i="29"/>
  <c r="A778" i="29"/>
  <c r="A777" i="29"/>
  <c r="A776" i="29"/>
  <c r="A775" i="29"/>
  <c r="A774" i="29"/>
  <c r="A773" i="29"/>
  <c r="A772" i="29"/>
  <c r="A771" i="29"/>
  <c r="A770" i="29"/>
  <c r="A769" i="29"/>
  <c r="A768" i="29"/>
  <c r="A767" i="29"/>
  <c r="A766" i="29"/>
  <c r="A765" i="29"/>
  <c r="A764" i="29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800" i="8"/>
  <c r="A799" i="8"/>
  <c r="A798" i="8"/>
  <c r="A797" i="8"/>
  <c r="A796" i="8"/>
  <c r="A795" i="8"/>
  <c r="A794" i="8"/>
  <c r="A793" i="8"/>
  <c r="A792" i="8"/>
  <c r="A791" i="8"/>
  <c r="A790" i="8"/>
  <c r="A789" i="8"/>
  <c r="A788" i="8"/>
  <c r="A787" i="8"/>
  <c r="A786" i="8"/>
  <c r="A785" i="8"/>
  <c r="A784" i="8"/>
  <c r="A783" i="8"/>
  <c r="A782" i="8"/>
  <c r="A781" i="8"/>
  <c r="A780" i="8"/>
  <c r="A779" i="8"/>
  <c r="A778" i="8"/>
  <c r="A777" i="8"/>
  <c r="A776" i="8"/>
  <c r="A775" i="8"/>
  <c r="A774" i="8"/>
  <c r="A773" i="8"/>
  <c r="A772" i="8"/>
  <c r="A771" i="8"/>
  <c r="A770" i="8"/>
  <c r="A769" i="8"/>
  <c r="A768" i="8"/>
  <c r="A767" i="8"/>
  <c r="A766" i="8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H6" i="26"/>
  <c r="AH7" i="26"/>
  <c r="AH8" i="26"/>
  <c r="AH9" i="26"/>
  <c r="AH10" i="26"/>
  <c r="AH11" i="26"/>
  <c r="AH12" i="26"/>
  <c r="AH13" i="26"/>
  <c r="AH14" i="26"/>
  <c r="AH15" i="26"/>
  <c r="AH16" i="26"/>
  <c r="AH17" i="26"/>
  <c r="AH18" i="26"/>
  <c r="AH19" i="26"/>
  <c r="AH20" i="26"/>
  <c r="AH21" i="26"/>
  <c r="AH22" i="26"/>
  <c r="AH23" i="26"/>
  <c r="AH24" i="26"/>
  <c r="AH25" i="26"/>
  <c r="AH26" i="26"/>
  <c r="AH27" i="26"/>
  <c r="AH28" i="26"/>
  <c r="AH29" i="26"/>
  <c r="AH30" i="26"/>
  <c r="AH31" i="26"/>
  <c r="AH32" i="26"/>
  <c r="AH33" i="26"/>
  <c r="AH34" i="26"/>
  <c r="AH35" i="26"/>
  <c r="AH36" i="26"/>
  <c r="AH37" i="26"/>
  <c r="AH38" i="26"/>
  <c r="AH39" i="26"/>
  <c r="AH40" i="26"/>
  <c r="AH41" i="26"/>
  <c r="AH42" i="26"/>
  <c r="AH43" i="26"/>
  <c r="AH44" i="26"/>
  <c r="AH45" i="26"/>
  <c r="AH46" i="26"/>
  <c r="AH47" i="26"/>
  <c r="AH48" i="26"/>
  <c r="AH49" i="26"/>
  <c r="AH50" i="26"/>
  <c r="AH51" i="26"/>
  <c r="AH52" i="26"/>
  <c r="AH53" i="26"/>
  <c r="AH54" i="26"/>
  <c r="AH55" i="26"/>
  <c r="AH56" i="26"/>
  <c r="AH57" i="26"/>
  <c r="AH58" i="26"/>
  <c r="AH59" i="26"/>
  <c r="AH60" i="26"/>
  <c r="AH61" i="26"/>
  <c r="AH62" i="26"/>
  <c r="AH63" i="26"/>
  <c r="AH64" i="26"/>
  <c r="AH65" i="26"/>
  <c r="AH66" i="26"/>
  <c r="AH67" i="26"/>
  <c r="AH68" i="26"/>
  <c r="AH69" i="26"/>
  <c r="AH70" i="26"/>
  <c r="AI6" i="26"/>
  <c r="AI7" i="26"/>
  <c r="AI8" i="26"/>
  <c r="AI9" i="26"/>
  <c r="AI10" i="26"/>
  <c r="AI11" i="26"/>
  <c r="AI12" i="26"/>
  <c r="AI13" i="26"/>
  <c r="AI14" i="26"/>
  <c r="AI15" i="26"/>
  <c r="AI16" i="26"/>
  <c r="AI17" i="26"/>
  <c r="AI18" i="26"/>
  <c r="AI19" i="26"/>
  <c r="AI20" i="26"/>
  <c r="AI21" i="26"/>
  <c r="AI22" i="26"/>
  <c r="AI23" i="26"/>
  <c r="AI24" i="26"/>
  <c r="AI25" i="26"/>
  <c r="AI26" i="26"/>
  <c r="AI27" i="26"/>
  <c r="AI28" i="26"/>
  <c r="AI29" i="26"/>
  <c r="AI30" i="26"/>
  <c r="AI31" i="26"/>
  <c r="AI32" i="26"/>
  <c r="AI33" i="26"/>
  <c r="AI34" i="26"/>
  <c r="AI35" i="26"/>
  <c r="AI36" i="26"/>
  <c r="AI37" i="26"/>
  <c r="AI38" i="26"/>
  <c r="AI39" i="26"/>
  <c r="AI40" i="26"/>
  <c r="AI41" i="26"/>
  <c r="AI42" i="26"/>
  <c r="AI43" i="26"/>
  <c r="AI44" i="26"/>
  <c r="AI45" i="26"/>
  <c r="AI46" i="26"/>
  <c r="AI47" i="26"/>
  <c r="AI48" i="26"/>
  <c r="AI49" i="26"/>
  <c r="AI50" i="26"/>
  <c r="AI51" i="26"/>
  <c r="AI52" i="26"/>
  <c r="AI53" i="26"/>
  <c r="AI54" i="26"/>
  <c r="AI55" i="26"/>
  <c r="AI56" i="26"/>
  <c r="AI57" i="26"/>
  <c r="AI58" i="26"/>
  <c r="AI59" i="26"/>
  <c r="AI60" i="26"/>
  <c r="AI61" i="26"/>
  <c r="AI62" i="26"/>
  <c r="AI63" i="26"/>
  <c r="AI64" i="26"/>
  <c r="AI65" i="26"/>
  <c r="AI66" i="26"/>
  <c r="AI67" i="26"/>
  <c r="AI68" i="26"/>
  <c r="AI69" i="26"/>
  <c r="AI70" i="26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B2" i="13" l="1"/>
  <c r="B4" i="21"/>
  <c r="A8" i="17"/>
  <c r="A7" i="17"/>
  <c r="B8" i="17"/>
  <c r="B7" i="17"/>
  <c r="V43" i="13" l="1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21" i="13"/>
  <c r="A801" i="17" l="1"/>
  <c r="A802" i="17"/>
  <c r="A803" i="17"/>
  <c r="A804" i="17"/>
  <c r="A805" i="17"/>
  <c r="A806" i="17"/>
  <c r="A807" i="17"/>
  <c r="A808" i="17"/>
  <c r="A809" i="17"/>
  <c r="A810" i="17"/>
  <c r="F4" i="2"/>
  <c r="G11" i="2" s="1"/>
  <c r="R3" i="29" s="1"/>
  <c r="J6" i="3" l="1"/>
  <c r="N8" i="17"/>
  <c r="L8" i="17"/>
  <c r="J8" i="17"/>
  <c r="K8" i="17"/>
  <c r="O8" i="17"/>
  <c r="M8" i="17"/>
  <c r="G19" i="2"/>
  <c r="Z3" i="29" s="1"/>
  <c r="M7" i="27"/>
  <c r="G15" i="2"/>
  <c r="V3" i="29" s="1"/>
  <c r="G18" i="2"/>
  <c r="Z13" i="27" s="1"/>
  <c r="G14" i="2"/>
  <c r="V13" i="27" s="1"/>
  <c r="G10" i="2"/>
  <c r="R13" i="27" s="1"/>
  <c r="L7" i="27"/>
  <c r="G9" i="2"/>
  <c r="Q13" i="27" s="1"/>
  <c r="G17" i="2"/>
  <c r="Y13" i="27" s="1"/>
  <c r="G13" i="2"/>
  <c r="U13" i="27" s="1"/>
  <c r="O7" i="27"/>
  <c r="K7" i="27"/>
  <c r="N6" i="3"/>
  <c r="G20" i="2"/>
  <c r="AB13" i="27" s="1"/>
  <c r="G16" i="2"/>
  <c r="X13" i="27" s="1"/>
  <c r="G12" i="2"/>
  <c r="T13" i="27" s="1"/>
  <c r="N7" i="27"/>
  <c r="J7" i="27"/>
  <c r="Y3" i="29"/>
  <c r="R13" i="17"/>
  <c r="V13" i="17"/>
  <c r="Z13" i="17"/>
  <c r="S3" i="16"/>
  <c r="AA3" i="16"/>
  <c r="S3" i="21"/>
  <c r="AA3" i="21"/>
  <c r="S13" i="27"/>
  <c r="AA13" i="27"/>
  <c r="T3" i="16"/>
  <c r="T3" i="29"/>
  <c r="T13" i="17"/>
  <c r="Q3" i="16"/>
  <c r="U3" i="16"/>
  <c r="U3" i="21"/>
  <c r="U13" i="17"/>
  <c r="Y13" i="17"/>
  <c r="V3" i="16"/>
  <c r="Z3" i="16"/>
  <c r="Z3" i="21"/>
  <c r="M6" i="3"/>
  <c r="L6" i="3"/>
  <c r="O6" i="3"/>
  <c r="K6" i="3"/>
  <c r="AI2" i="13"/>
  <c r="AB2" i="24"/>
  <c r="AI15" i="24"/>
  <c r="E43" i="2"/>
  <c r="AS10" i="24"/>
  <c r="AR10" i="24"/>
  <c r="AS9" i="24"/>
  <c r="AR9" i="24"/>
  <c r="AS27" i="13"/>
  <c r="AS26" i="13"/>
  <c r="AR27" i="13"/>
  <c r="AR26" i="13"/>
  <c r="AI9" i="1"/>
  <c r="AI8" i="1"/>
  <c r="T3" i="21" l="1"/>
  <c r="S13" i="17"/>
  <c r="S3" i="29"/>
  <c r="X3" i="29"/>
  <c r="W13" i="27"/>
  <c r="U3" i="29"/>
  <c r="Q13" i="17"/>
  <c r="P3" i="29"/>
  <c r="AB3" i="21"/>
  <c r="AA13" i="17"/>
  <c r="W3" i="16"/>
  <c r="AA3" i="29"/>
  <c r="V3" i="21"/>
  <c r="R3" i="16"/>
  <c r="Q3" i="21"/>
  <c r="P13" i="17"/>
  <c r="W3" i="21"/>
  <c r="R3" i="21"/>
  <c r="AB3" i="16"/>
  <c r="Q3" i="29"/>
  <c r="X13" i="17"/>
  <c r="W13" i="17"/>
  <c r="W3" i="29"/>
  <c r="Y3" i="16"/>
  <c r="X3" i="16"/>
  <c r="Y3" i="21"/>
  <c r="X3" i="21"/>
  <c r="E40" i="13"/>
  <c r="E41" i="13"/>
  <c r="E42" i="13"/>
  <c r="E43" i="24"/>
  <c r="P45" i="24"/>
  <c r="E44" i="24"/>
  <c r="E45" i="24"/>
  <c r="P43" i="24"/>
  <c r="P44" i="24"/>
  <c r="G33" i="2"/>
  <c r="U6" i="24"/>
  <c r="A6" i="29"/>
  <c r="A4" i="28" l="1"/>
  <c r="A5" i="28"/>
  <c r="A6" i="28"/>
  <c r="A7" i="28"/>
  <c r="A8" i="28"/>
  <c r="A9" i="28"/>
  <c r="A10" i="28"/>
  <c r="A3" i="28"/>
  <c r="B7" i="27"/>
  <c r="B6" i="27"/>
  <c r="A6" i="26" l="1"/>
  <c r="V15" i="2"/>
  <c r="E41" i="2" l="1"/>
  <c r="G25" i="2" l="1"/>
  <c r="AR5" i="13" s="1"/>
  <c r="S12" i="13" l="1"/>
  <c r="T15" i="13"/>
  <c r="Q12" i="13"/>
  <c r="AR6" i="13" l="1"/>
  <c r="AS6" i="13" s="1"/>
  <c r="Z5" i="13"/>
  <c r="AQ22" i="13"/>
  <c r="G32" i="2"/>
  <c r="A16" i="17"/>
  <c r="AI19" i="13" l="1"/>
  <c r="Y5" i="1"/>
  <c r="H28" i="2"/>
  <c r="C49" i="1" s="1"/>
  <c r="AK16" i="1"/>
  <c r="AL16" i="1"/>
  <c r="AL15" i="1"/>
  <c r="AK15" i="1"/>
  <c r="Q46" i="1" l="1"/>
  <c r="Q47" i="1"/>
  <c r="Q48" i="1"/>
  <c r="A6" i="6"/>
  <c r="H23" i="2" l="1"/>
  <c r="G30" i="2"/>
  <c r="A16" i="11" l="1"/>
  <c r="O19" i="1" s="1"/>
  <c r="O21" i="1" l="1"/>
  <c r="O25" i="1"/>
  <c r="O20" i="1"/>
  <c r="O22" i="1"/>
  <c r="O26" i="1"/>
  <c r="O23" i="1"/>
  <c r="O24" i="1"/>
  <c r="W21" i="1"/>
  <c r="W25" i="1"/>
  <c r="W19" i="1"/>
  <c r="W20" i="1"/>
  <c r="W22" i="1"/>
  <c r="W26" i="1"/>
  <c r="W23" i="1"/>
  <c r="W24" i="1"/>
  <c r="U20" i="1"/>
  <c r="U22" i="1"/>
  <c r="U24" i="1"/>
  <c r="U26" i="1"/>
  <c r="U21" i="1"/>
  <c r="U23" i="1"/>
  <c r="U25" i="1"/>
  <c r="U19" i="1"/>
  <c r="R21" i="1"/>
  <c r="R23" i="1"/>
  <c r="R25" i="1"/>
  <c r="R20" i="1"/>
  <c r="R22" i="1"/>
  <c r="R24" i="1"/>
  <c r="R26" i="1"/>
  <c r="R19" i="1"/>
  <c r="J4" i="10"/>
  <c r="J5" i="10"/>
  <c r="J6" i="10"/>
  <c r="J7" i="10"/>
  <c r="J8" i="10"/>
  <c r="J9" i="10"/>
  <c r="J10" i="10"/>
  <c r="J11" i="10"/>
  <c r="J12" i="10"/>
  <c r="J3" i="10"/>
  <c r="A6" i="8"/>
  <c r="B4" i="10"/>
  <c r="B37" i="10" s="1"/>
  <c r="B5" i="10"/>
  <c r="B49" i="10" s="1"/>
  <c r="B6" i="10"/>
  <c r="B57" i="10" s="1"/>
  <c r="B7" i="10"/>
  <c r="B69" i="10" s="1"/>
  <c r="B3" i="10"/>
  <c r="B16" i="10" s="1"/>
  <c r="B18" i="10" l="1"/>
  <c r="B21" i="10"/>
  <c r="B55" i="10"/>
  <c r="B25" i="10"/>
  <c r="B17" i="10"/>
  <c r="B75" i="10"/>
  <c r="B67" i="10"/>
  <c r="B71" i="10"/>
  <c r="B70" i="10"/>
  <c r="B22" i="10"/>
  <c r="B74" i="10"/>
  <c r="B51" i="10"/>
  <c r="B47" i="10"/>
  <c r="B42" i="10"/>
  <c r="B39" i="10"/>
  <c r="B43" i="10"/>
  <c r="B36" i="10"/>
  <c r="B38" i="10"/>
  <c r="B63" i="10"/>
  <c r="B59" i="10"/>
  <c r="B54" i="10"/>
  <c r="B50" i="10"/>
  <c r="B56" i="10"/>
  <c r="B62" i="10"/>
  <c r="B58" i="10"/>
  <c r="B23" i="10"/>
  <c r="B19" i="10"/>
  <c r="B44" i="10"/>
  <c r="B40" i="10"/>
  <c r="B46" i="10"/>
  <c r="B52" i="10"/>
  <c r="B48" i="10"/>
  <c r="B64" i="10"/>
  <c r="B60" i="10"/>
  <c r="B66" i="10"/>
  <c r="B72" i="10"/>
  <c r="B68" i="10"/>
  <c r="B24" i="10"/>
  <c r="B20" i="10"/>
  <c r="B45" i="10"/>
  <c r="B41" i="10"/>
  <c r="B53" i="10"/>
  <c r="B65" i="10"/>
  <c r="B61" i="10"/>
  <c r="B73" i="10"/>
  <c r="V2" i="1"/>
  <c r="F10" i="2" l="1"/>
  <c r="F11" i="2"/>
  <c r="F12" i="2"/>
  <c r="F13" i="2"/>
  <c r="F14" i="2"/>
  <c r="F15" i="2"/>
  <c r="F16" i="2"/>
  <c r="F17" i="2"/>
  <c r="F18" i="2"/>
  <c r="F19" i="2"/>
  <c r="F20" i="2"/>
  <c r="F9" i="2"/>
  <c r="A6" i="4"/>
  <c r="G31" i="2"/>
  <c r="G28" i="2"/>
  <c r="G23" i="2"/>
  <c r="AI8" i="29" l="1"/>
  <c r="AI12" i="29"/>
  <c r="AI16" i="29"/>
  <c r="AI20" i="29"/>
  <c r="AI24" i="29"/>
  <c r="AI28" i="29"/>
  <c r="AI32" i="29"/>
  <c r="AI36" i="29"/>
  <c r="AI40" i="29"/>
  <c r="AI44" i="29"/>
  <c r="AI48" i="29"/>
  <c r="AI52" i="29"/>
  <c r="AI56" i="29"/>
  <c r="AK56" i="29" s="1"/>
  <c r="AI60" i="29"/>
  <c r="AI64" i="29"/>
  <c r="AI68" i="29"/>
  <c r="AI72" i="29"/>
  <c r="AI76" i="29"/>
  <c r="AK76" i="29" s="1"/>
  <c r="AI80" i="29"/>
  <c r="AI84" i="29"/>
  <c r="AI88" i="29"/>
  <c r="AI92" i="29"/>
  <c r="AK92" i="29" s="1"/>
  <c r="AI96" i="29"/>
  <c r="AI100" i="29"/>
  <c r="AI104" i="29"/>
  <c r="AI108" i="29"/>
  <c r="AI112" i="29"/>
  <c r="AI116" i="29"/>
  <c r="AK116" i="29" s="1"/>
  <c r="AI120" i="29"/>
  <c r="AI124" i="29"/>
  <c r="AI128" i="29"/>
  <c r="AI132" i="29"/>
  <c r="AI136" i="29"/>
  <c r="AI140" i="29"/>
  <c r="AI144" i="29"/>
  <c r="AI148" i="29"/>
  <c r="AI152" i="29"/>
  <c r="AI156" i="29"/>
  <c r="AI160" i="29"/>
  <c r="AI164" i="29"/>
  <c r="AI168" i="29"/>
  <c r="AI172" i="29"/>
  <c r="AI176" i="29"/>
  <c r="AI180" i="29"/>
  <c r="AI184" i="29"/>
  <c r="AK184" i="29" s="1"/>
  <c r="AI188" i="29"/>
  <c r="AI192" i="29"/>
  <c r="AK192" i="29" s="1"/>
  <c r="AI196" i="29"/>
  <c r="AI200" i="29"/>
  <c r="AI204" i="29"/>
  <c r="AK204" i="29" s="1"/>
  <c r="AI208" i="29"/>
  <c r="AI212" i="29"/>
  <c r="AI216" i="29"/>
  <c r="AI220" i="29"/>
  <c r="AI224" i="29"/>
  <c r="AK224" i="29" s="1"/>
  <c r="AI228" i="29"/>
  <c r="AI232" i="29"/>
  <c r="AI236" i="29"/>
  <c r="AI240" i="29"/>
  <c r="AI244" i="29"/>
  <c r="AI248" i="29"/>
  <c r="AI252" i="29"/>
  <c r="AI256" i="29"/>
  <c r="AK256" i="29" s="1"/>
  <c r="AI260" i="29"/>
  <c r="AK260" i="29" s="1"/>
  <c r="AI264" i="29"/>
  <c r="AI268" i="29"/>
  <c r="AK268" i="29" s="1"/>
  <c r="AI272" i="29"/>
  <c r="AK272" i="29" s="1"/>
  <c r="AI276" i="29"/>
  <c r="AI280" i="29"/>
  <c r="AI284" i="29"/>
  <c r="AI288" i="29"/>
  <c r="AI292" i="29"/>
  <c r="AI296" i="29"/>
  <c r="AI300" i="29"/>
  <c r="AI304" i="29"/>
  <c r="AI308" i="29"/>
  <c r="AI312" i="29"/>
  <c r="AK312" i="29" s="1"/>
  <c r="AI316" i="29"/>
  <c r="AI320" i="29"/>
  <c r="AI324" i="29"/>
  <c r="AI328" i="29"/>
  <c r="AI332" i="29"/>
  <c r="AI336" i="29"/>
  <c r="AI340" i="29"/>
  <c r="AI344" i="29"/>
  <c r="AI9" i="29"/>
  <c r="AI13" i="29"/>
  <c r="AI17" i="29"/>
  <c r="AI21" i="29"/>
  <c r="AI25" i="29"/>
  <c r="AI29" i="29"/>
  <c r="AI33" i="29"/>
  <c r="AI37" i="29"/>
  <c r="AI41" i="29"/>
  <c r="AI45" i="29"/>
  <c r="AI49" i="29"/>
  <c r="AI53" i="29"/>
  <c r="AI57" i="29"/>
  <c r="AI61" i="29"/>
  <c r="AK61" i="29" s="1"/>
  <c r="AI65" i="29"/>
  <c r="AI69" i="29"/>
  <c r="AK69" i="29" s="1"/>
  <c r="AI73" i="29"/>
  <c r="AI77" i="29"/>
  <c r="AI81" i="29"/>
  <c r="AI85" i="29"/>
  <c r="AI89" i="29"/>
  <c r="AI93" i="29"/>
  <c r="AI97" i="29"/>
  <c r="AI101" i="29"/>
  <c r="AI105" i="29"/>
  <c r="AI109" i="29"/>
  <c r="AI113" i="29"/>
  <c r="AI117" i="29"/>
  <c r="AI121" i="29"/>
  <c r="AI125" i="29"/>
  <c r="AI129" i="29"/>
  <c r="AI133" i="29"/>
  <c r="AI137" i="29"/>
  <c r="AI141" i="29"/>
  <c r="AI145" i="29"/>
  <c r="AI149" i="29"/>
  <c r="AI153" i="29"/>
  <c r="AI157" i="29"/>
  <c r="AI161" i="29"/>
  <c r="AK161" i="29" s="1"/>
  <c r="AI165" i="29"/>
  <c r="AI169" i="29"/>
  <c r="AI173" i="29"/>
  <c r="AI177" i="29"/>
  <c r="AI181" i="29"/>
  <c r="AI185" i="29"/>
  <c r="AI189" i="29"/>
  <c r="AI193" i="29"/>
  <c r="AI197" i="29"/>
  <c r="AI201" i="29"/>
  <c r="AI205" i="29"/>
  <c r="AI209" i="29"/>
  <c r="AI213" i="29"/>
  <c r="AI217" i="29"/>
  <c r="AK217" i="29" s="1"/>
  <c r="AI221" i="29"/>
  <c r="AI6" i="29"/>
  <c r="AI7" i="29"/>
  <c r="AI11" i="29"/>
  <c r="AI15" i="29"/>
  <c r="AI19" i="29"/>
  <c r="AK19" i="29" s="1"/>
  <c r="AI23" i="29"/>
  <c r="AK23" i="29" s="1"/>
  <c r="AI27" i="29"/>
  <c r="AK27" i="29" s="1"/>
  <c r="AI31" i="29"/>
  <c r="AI35" i="29"/>
  <c r="AI39" i="29"/>
  <c r="AI43" i="29"/>
  <c r="AI47" i="29"/>
  <c r="AI51" i="29"/>
  <c r="AI55" i="29"/>
  <c r="AI59" i="29"/>
  <c r="AI63" i="29"/>
  <c r="AK63" i="29" s="1"/>
  <c r="AI67" i="29"/>
  <c r="AI71" i="29"/>
  <c r="AI75" i="29"/>
  <c r="AI79" i="29"/>
  <c r="AI83" i="29"/>
  <c r="AI87" i="29"/>
  <c r="AI91" i="29"/>
  <c r="AI95" i="29"/>
  <c r="AI99" i="29"/>
  <c r="AI103" i="29"/>
  <c r="AK103" i="29" s="1"/>
  <c r="AI107" i="29"/>
  <c r="AI111" i="29"/>
  <c r="AI115" i="29"/>
  <c r="AI119" i="29"/>
  <c r="AI123" i="29"/>
  <c r="AI127" i="29"/>
  <c r="AI131" i="29"/>
  <c r="AK131" i="29" s="1"/>
  <c r="AI135" i="29"/>
  <c r="AI139" i="29"/>
  <c r="AI143" i="29"/>
  <c r="AK143" i="29" s="1"/>
  <c r="AI147" i="29"/>
  <c r="AK147" i="29" s="1"/>
  <c r="AI151" i="29"/>
  <c r="AI155" i="29"/>
  <c r="AI159" i="29"/>
  <c r="AI163" i="29"/>
  <c r="AI167" i="29"/>
  <c r="AI171" i="29"/>
  <c r="AI175" i="29"/>
  <c r="AK175" i="29" s="1"/>
  <c r="AI179" i="29"/>
  <c r="AI183" i="29"/>
  <c r="AI187" i="29"/>
  <c r="AI191" i="29"/>
  <c r="AK191" i="29" s="1"/>
  <c r="AI195" i="29"/>
  <c r="AI199" i="29"/>
  <c r="AI203" i="29"/>
  <c r="AI207" i="29"/>
  <c r="AI211" i="29"/>
  <c r="AI215" i="29"/>
  <c r="AI219" i="29"/>
  <c r="AI223" i="29"/>
  <c r="AI227" i="29"/>
  <c r="AI231" i="29"/>
  <c r="AI235" i="29"/>
  <c r="AK235" i="29" s="1"/>
  <c r="AI239" i="29"/>
  <c r="AI243" i="29"/>
  <c r="AK243" i="29" s="1"/>
  <c r="AI247" i="29"/>
  <c r="AI251" i="29"/>
  <c r="AI255" i="29"/>
  <c r="AK255" i="29" s="1"/>
  <c r="AI259" i="29"/>
  <c r="AI263" i="29"/>
  <c r="AI267" i="29"/>
  <c r="AI271" i="29"/>
  <c r="AI275" i="29"/>
  <c r="AK275" i="29" s="1"/>
  <c r="AI279" i="29"/>
  <c r="AI283" i="29"/>
  <c r="AI287" i="29"/>
  <c r="AI291" i="29"/>
  <c r="AI295" i="29"/>
  <c r="AK295" i="29" s="1"/>
  <c r="AI299" i="29"/>
  <c r="AI303" i="29"/>
  <c r="AI307" i="29"/>
  <c r="AI311" i="29"/>
  <c r="AI315" i="29"/>
  <c r="AI319" i="29"/>
  <c r="AI323" i="29"/>
  <c r="AI327" i="29"/>
  <c r="AI331" i="29"/>
  <c r="AI335" i="29"/>
  <c r="AK335" i="29" s="1"/>
  <c r="AI339" i="29"/>
  <c r="AI343" i="29"/>
  <c r="AI18" i="29"/>
  <c r="AI34" i="29"/>
  <c r="AI50" i="29"/>
  <c r="AI66" i="29"/>
  <c r="AI82" i="29"/>
  <c r="AI98" i="29"/>
  <c r="AI114" i="29"/>
  <c r="AI130" i="29"/>
  <c r="AK130" i="29" s="1"/>
  <c r="AI146" i="29"/>
  <c r="AI162" i="29"/>
  <c r="AI178" i="29"/>
  <c r="AI194" i="29"/>
  <c r="AI210" i="29"/>
  <c r="AI225" i="29"/>
  <c r="AI233" i="29"/>
  <c r="AI241" i="29"/>
  <c r="AI249" i="29"/>
  <c r="AI257" i="29"/>
  <c r="AI265" i="29"/>
  <c r="AI273" i="29"/>
  <c r="AI281" i="29"/>
  <c r="AK281" i="29" s="1"/>
  <c r="AI289" i="29"/>
  <c r="AI297" i="29"/>
  <c r="AK297" i="29" s="1"/>
  <c r="AI305" i="29"/>
  <c r="AI313" i="29"/>
  <c r="AI321" i="29"/>
  <c r="AK321" i="29" s="1"/>
  <c r="AI329" i="29"/>
  <c r="AI337" i="29"/>
  <c r="AI345" i="29"/>
  <c r="AI349" i="29"/>
  <c r="AI353" i="29"/>
  <c r="AI357" i="29"/>
  <c r="AI361" i="29"/>
  <c r="AI365" i="29"/>
  <c r="AI369" i="29"/>
  <c r="AI373" i="29"/>
  <c r="AI377" i="29"/>
  <c r="AI381" i="29"/>
  <c r="AI385" i="29"/>
  <c r="AI389" i="29"/>
  <c r="AI393" i="29"/>
  <c r="AI397" i="29"/>
  <c r="AI401" i="29"/>
  <c r="AI405" i="29"/>
  <c r="AI409" i="29"/>
  <c r="AI413" i="29"/>
  <c r="AI417" i="29"/>
  <c r="AI421" i="29"/>
  <c r="AI425" i="29"/>
  <c r="AK425" i="29" s="1"/>
  <c r="AI429" i="29"/>
  <c r="AI433" i="29"/>
  <c r="AI437" i="29"/>
  <c r="AI441" i="29"/>
  <c r="AI445" i="29"/>
  <c r="AI449" i="29"/>
  <c r="AI453" i="29"/>
  <c r="AI457" i="29"/>
  <c r="AK457" i="29" s="1"/>
  <c r="AI461" i="29"/>
  <c r="AI465" i="29"/>
  <c r="AI469" i="29"/>
  <c r="AI473" i="29"/>
  <c r="AI477" i="29"/>
  <c r="AI481" i="29"/>
  <c r="AI485" i="29"/>
  <c r="AK485" i="29" s="1"/>
  <c r="AI489" i="29"/>
  <c r="AI493" i="29"/>
  <c r="AI497" i="29"/>
  <c r="AI501" i="29"/>
  <c r="AI505" i="29"/>
  <c r="AI509" i="29"/>
  <c r="AI513" i="29"/>
  <c r="AI517" i="29"/>
  <c r="AI521" i="29"/>
  <c r="AI525" i="29"/>
  <c r="AI529" i="29"/>
  <c r="AI533" i="29"/>
  <c r="AI537" i="29"/>
  <c r="AI541" i="29"/>
  <c r="AI545" i="29"/>
  <c r="AK545" i="29" s="1"/>
  <c r="AI549" i="29"/>
  <c r="AI553" i="29"/>
  <c r="AI557" i="29"/>
  <c r="AI561" i="29"/>
  <c r="AI565" i="29"/>
  <c r="AI569" i="29"/>
  <c r="AI22" i="29"/>
  <c r="AI38" i="29"/>
  <c r="AI54" i="29"/>
  <c r="AI70" i="29"/>
  <c r="AI86" i="29"/>
  <c r="AI102" i="29"/>
  <c r="AI118" i="29"/>
  <c r="AI134" i="29"/>
  <c r="AI150" i="29"/>
  <c r="AI166" i="29"/>
  <c r="AI182" i="29"/>
  <c r="AI198" i="29"/>
  <c r="AI214" i="29"/>
  <c r="AI226" i="29"/>
  <c r="AK226" i="29" s="1"/>
  <c r="AI234" i="29"/>
  <c r="AI242" i="29"/>
  <c r="AI250" i="29"/>
  <c r="AI258" i="29"/>
  <c r="AI266" i="29"/>
  <c r="AI274" i="29"/>
  <c r="AI282" i="29"/>
  <c r="AK282" i="29" s="1"/>
  <c r="AI290" i="29"/>
  <c r="AI298" i="29"/>
  <c r="AI306" i="29"/>
  <c r="AI314" i="29"/>
  <c r="AI322" i="29"/>
  <c r="AK322" i="29" s="1"/>
  <c r="AI330" i="29"/>
  <c r="AI338" i="29"/>
  <c r="AI346" i="29"/>
  <c r="AK346" i="29" s="1"/>
  <c r="AI350" i="29"/>
  <c r="AI354" i="29"/>
  <c r="AI358" i="29"/>
  <c r="AI362" i="29"/>
  <c r="AI366" i="29"/>
  <c r="AK366" i="29" s="1"/>
  <c r="AI370" i="29"/>
  <c r="AI374" i="29"/>
  <c r="AI378" i="29"/>
  <c r="AI382" i="29"/>
  <c r="AI386" i="29"/>
  <c r="AI390" i="29"/>
  <c r="AI394" i="29"/>
  <c r="AI398" i="29"/>
  <c r="AI402" i="29"/>
  <c r="AI406" i="29"/>
  <c r="AI410" i="29"/>
  <c r="AI414" i="29"/>
  <c r="AI418" i="29"/>
  <c r="AK418" i="29" s="1"/>
  <c r="AI422" i="29"/>
  <c r="AI426" i="29"/>
  <c r="AK426" i="29" s="1"/>
  <c r="AI430" i="29"/>
  <c r="AK430" i="29" s="1"/>
  <c r="AI434" i="29"/>
  <c r="AI438" i="29"/>
  <c r="AI442" i="29"/>
  <c r="AI446" i="29"/>
  <c r="AI450" i="29"/>
  <c r="AI454" i="29"/>
  <c r="AI458" i="29"/>
  <c r="AK458" i="29" s="1"/>
  <c r="AI462" i="29"/>
  <c r="AI466" i="29"/>
  <c r="AI470" i="29"/>
  <c r="AI474" i="29"/>
  <c r="AI478" i="29"/>
  <c r="AI482" i="29"/>
  <c r="AI486" i="29"/>
  <c r="AK486" i="29" s="1"/>
  <c r="AI490" i="29"/>
  <c r="AI494" i="29"/>
  <c r="AI498" i="29"/>
  <c r="AI502" i="29"/>
  <c r="AI506" i="29"/>
  <c r="AI510" i="29"/>
  <c r="AI514" i="29"/>
  <c r="AI518" i="29"/>
  <c r="AI522" i="29"/>
  <c r="AI526" i="29"/>
  <c r="AI530" i="29"/>
  <c r="AI534" i="29"/>
  <c r="AI538" i="29"/>
  <c r="AK538" i="29" s="1"/>
  <c r="AI542" i="29"/>
  <c r="AI546" i="29"/>
  <c r="AI550" i="29"/>
  <c r="AI554" i="29"/>
  <c r="AI558" i="29"/>
  <c r="AI562" i="29"/>
  <c r="AK562" i="29" s="1"/>
  <c r="AI566" i="29"/>
  <c r="AK566" i="29" s="1"/>
  <c r="AI570" i="29"/>
  <c r="AI26" i="29"/>
  <c r="AI58" i="29"/>
  <c r="AI90" i="29"/>
  <c r="AI122" i="29"/>
  <c r="AI154" i="29"/>
  <c r="AI186" i="29"/>
  <c r="AI218" i="29"/>
  <c r="AK218" i="29" s="1"/>
  <c r="AI237" i="29"/>
  <c r="AI253" i="29"/>
  <c r="AI269" i="29"/>
  <c r="AI285" i="29"/>
  <c r="AI301" i="29"/>
  <c r="AI317" i="29"/>
  <c r="AI333" i="29"/>
  <c r="AI347" i="29"/>
  <c r="AI355" i="29"/>
  <c r="AK355" i="29" s="1"/>
  <c r="AI363" i="29"/>
  <c r="AI371" i="29"/>
  <c r="AI379" i="29"/>
  <c r="AI387" i="29"/>
  <c r="AI395" i="29"/>
  <c r="AI403" i="29"/>
  <c r="AI411" i="29"/>
  <c r="AI419" i="29"/>
  <c r="AK419" i="29" s="1"/>
  <c r="AI427" i="29"/>
  <c r="AI435" i="29"/>
  <c r="AI443" i="29"/>
  <c r="AI451" i="29"/>
  <c r="AI459" i="29"/>
  <c r="AI467" i="29"/>
  <c r="AI475" i="29"/>
  <c r="AK475" i="29" s="1"/>
  <c r="AI483" i="29"/>
  <c r="AI491" i="29"/>
  <c r="AI499" i="29"/>
  <c r="AI507" i="29"/>
  <c r="AI515" i="29"/>
  <c r="AI523" i="29"/>
  <c r="AI531" i="29"/>
  <c r="AI539" i="29"/>
  <c r="AI547" i="29"/>
  <c r="AI555" i="29"/>
  <c r="AI563" i="29"/>
  <c r="AI571" i="29"/>
  <c r="AI575" i="29"/>
  <c r="AI579" i="29"/>
  <c r="AI583" i="29"/>
  <c r="AI587" i="29"/>
  <c r="AK587" i="29" s="1"/>
  <c r="AI591" i="29"/>
  <c r="AI595" i="29"/>
  <c r="AK595" i="29" s="1"/>
  <c r="AI599" i="29"/>
  <c r="AI603" i="29"/>
  <c r="AI607" i="29"/>
  <c r="AI30" i="29"/>
  <c r="AI62" i="29"/>
  <c r="AI94" i="29"/>
  <c r="AI126" i="29"/>
  <c r="AI158" i="29"/>
  <c r="AI190" i="29"/>
  <c r="AI222" i="29"/>
  <c r="AI238" i="29"/>
  <c r="AI254" i="29"/>
  <c r="AI270" i="29"/>
  <c r="AI286" i="29"/>
  <c r="AI302" i="29"/>
  <c r="AI318" i="29"/>
  <c r="AI334" i="29"/>
  <c r="AI348" i="29"/>
  <c r="AK348" i="29" s="1"/>
  <c r="AI356" i="29"/>
  <c r="AI364" i="29"/>
  <c r="AK364" i="29" s="1"/>
  <c r="AI372" i="29"/>
  <c r="AK372" i="29" s="1"/>
  <c r="AI380" i="29"/>
  <c r="AI388" i="29"/>
  <c r="AI396" i="29"/>
  <c r="AI404" i="29"/>
  <c r="AI412" i="29"/>
  <c r="AK412" i="29" s="1"/>
  <c r="AI420" i="29"/>
  <c r="AI428" i="29"/>
  <c r="AK428" i="29" s="1"/>
  <c r="AI436" i="29"/>
  <c r="AK436" i="29" s="1"/>
  <c r="AI444" i="29"/>
  <c r="AI452" i="29"/>
  <c r="AI460" i="29"/>
  <c r="AI468" i="29"/>
  <c r="AI476" i="29"/>
  <c r="AI484" i="29"/>
  <c r="AI492" i="29"/>
  <c r="AI500" i="29"/>
  <c r="AI508" i="29"/>
  <c r="AI516" i="29"/>
  <c r="AI524" i="29"/>
  <c r="AI532" i="29"/>
  <c r="AI540" i="29"/>
  <c r="AI548" i="29"/>
  <c r="AI556" i="29"/>
  <c r="AI564" i="29"/>
  <c r="AI572" i="29"/>
  <c r="AK572" i="29" s="1"/>
  <c r="AI576" i="29"/>
  <c r="AI580" i="29"/>
  <c r="AI584" i="29"/>
  <c r="AI588" i="29"/>
  <c r="AI592" i="29"/>
  <c r="AI596" i="29"/>
  <c r="AI600" i="29"/>
  <c r="AI604" i="29"/>
  <c r="AI608" i="29"/>
  <c r="AI612" i="29"/>
  <c r="AI616" i="29"/>
  <c r="AI620" i="29"/>
  <c r="AI624" i="29"/>
  <c r="AK624" i="29" s="1"/>
  <c r="AI628" i="29"/>
  <c r="AI632" i="29"/>
  <c r="AI636" i="29"/>
  <c r="AI640" i="29"/>
  <c r="AK640" i="29" s="1"/>
  <c r="AI644" i="29"/>
  <c r="AK644" i="29" s="1"/>
  <c r="AI648" i="29"/>
  <c r="AK648" i="29" s="1"/>
  <c r="AI652" i="29"/>
  <c r="AK652" i="29" s="1"/>
  <c r="AI656" i="29"/>
  <c r="AK656" i="29" s="1"/>
  <c r="AI660" i="29"/>
  <c r="AK660" i="29" s="1"/>
  <c r="AI664" i="29"/>
  <c r="AI668" i="29"/>
  <c r="AK668" i="29" s="1"/>
  <c r="AI672" i="29"/>
  <c r="AK672" i="29" s="1"/>
  <c r="AI676" i="29"/>
  <c r="AK676" i="29" s="1"/>
  <c r="AI680" i="29"/>
  <c r="AK680" i="29" s="1"/>
  <c r="AI684" i="29"/>
  <c r="AK684" i="29" s="1"/>
  <c r="AI688" i="29"/>
  <c r="AK688" i="29" s="1"/>
  <c r="AI692" i="29"/>
  <c r="AI696" i="29"/>
  <c r="AK696" i="29" s="1"/>
  <c r="AI700" i="29"/>
  <c r="AK700" i="29" s="1"/>
  <c r="AI704" i="29"/>
  <c r="AI708" i="29"/>
  <c r="AK708" i="29" s="1"/>
  <c r="AI712" i="29"/>
  <c r="AK712" i="29" s="1"/>
  <c r="AI716" i="29"/>
  <c r="AI720" i="29"/>
  <c r="AK720" i="29" s="1"/>
  <c r="AI724" i="29"/>
  <c r="AI728" i="29"/>
  <c r="AI732" i="29"/>
  <c r="AI736" i="29"/>
  <c r="AI740" i="29"/>
  <c r="AI10" i="29"/>
  <c r="AK10" i="29" s="1"/>
  <c r="AI42" i="29"/>
  <c r="AK42" i="29" s="1"/>
  <c r="AI74" i="29"/>
  <c r="AI106" i="29"/>
  <c r="AI138" i="29"/>
  <c r="AI170" i="29"/>
  <c r="AK170" i="29" s="1"/>
  <c r="AI202" i="29"/>
  <c r="AI229" i="29"/>
  <c r="AK229" i="29" s="1"/>
  <c r="AI245" i="29"/>
  <c r="AI261" i="29"/>
  <c r="AI277" i="29"/>
  <c r="AI293" i="29"/>
  <c r="AK293" i="29" s="1"/>
  <c r="AI309" i="29"/>
  <c r="AI325" i="29"/>
  <c r="AI341" i="29"/>
  <c r="AI351" i="29"/>
  <c r="AI359" i="29"/>
  <c r="AI367" i="29"/>
  <c r="AI375" i="29"/>
  <c r="AI383" i="29"/>
  <c r="AI391" i="29"/>
  <c r="AI399" i="29"/>
  <c r="AI407" i="29"/>
  <c r="AK407" i="29" s="1"/>
  <c r="AI415" i="29"/>
  <c r="AI423" i="29"/>
  <c r="AK423" i="29" s="1"/>
  <c r="AI431" i="29"/>
  <c r="AI439" i="29"/>
  <c r="AI447" i="29"/>
  <c r="AI455" i="29"/>
  <c r="AI463" i="29"/>
  <c r="AI471" i="29"/>
  <c r="AI479" i="29"/>
  <c r="AI487" i="29"/>
  <c r="AK487" i="29" s="1"/>
  <c r="AI495" i="29"/>
  <c r="AI503" i="29"/>
  <c r="AI511" i="29"/>
  <c r="AI519" i="29"/>
  <c r="AI527" i="29"/>
  <c r="AI535" i="29"/>
  <c r="AI543" i="29"/>
  <c r="AI551" i="29"/>
  <c r="AI559" i="29"/>
  <c r="AI567" i="29"/>
  <c r="AK567" i="29" s="1"/>
  <c r="AI573" i="29"/>
  <c r="AI577" i="29"/>
  <c r="AI581" i="29"/>
  <c r="AI585" i="29"/>
  <c r="AI589" i="29"/>
  <c r="AI593" i="29"/>
  <c r="AI597" i="29"/>
  <c r="AI601" i="29"/>
  <c r="AI605" i="29"/>
  <c r="AI609" i="29"/>
  <c r="AI14" i="29"/>
  <c r="AI46" i="29"/>
  <c r="AI78" i="29"/>
  <c r="AI110" i="29"/>
  <c r="AI142" i="29"/>
  <c r="AI174" i="29"/>
  <c r="AI206" i="29"/>
  <c r="AI230" i="29"/>
  <c r="AI246" i="29"/>
  <c r="AI262" i="29"/>
  <c r="AI278" i="29"/>
  <c r="AI294" i="29"/>
  <c r="AI310" i="29"/>
  <c r="AI326" i="29"/>
  <c r="AI342" i="29"/>
  <c r="AK342" i="29" s="1"/>
  <c r="AI352" i="29"/>
  <c r="AI360" i="29"/>
  <c r="AI368" i="29"/>
  <c r="AI376" i="29"/>
  <c r="AI384" i="29"/>
  <c r="AI392" i="29"/>
  <c r="AI400" i="29"/>
  <c r="AI408" i="29"/>
  <c r="AI416" i="29"/>
  <c r="AI424" i="29"/>
  <c r="AI432" i="29"/>
  <c r="AI440" i="29"/>
  <c r="AK440" i="29" s="1"/>
  <c r="AI448" i="29"/>
  <c r="AI456" i="29"/>
  <c r="AI464" i="29"/>
  <c r="AI472" i="29"/>
  <c r="AI480" i="29"/>
  <c r="AI488" i="29"/>
  <c r="AI496" i="29"/>
  <c r="AI504" i="29"/>
  <c r="AI512" i="29"/>
  <c r="AI520" i="29"/>
  <c r="AI528" i="29"/>
  <c r="AI536" i="29"/>
  <c r="AI544" i="29"/>
  <c r="AI552" i="29"/>
  <c r="AI560" i="29"/>
  <c r="AK560" i="29" s="1"/>
  <c r="AI568" i="29"/>
  <c r="AI574" i="29"/>
  <c r="AI578" i="29"/>
  <c r="AI582" i="29"/>
  <c r="AI586" i="29"/>
  <c r="AI590" i="29"/>
  <c r="AI594" i="29"/>
  <c r="AI598" i="29"/>
  <c r="AK598" i="29" s="1"/>
  <c r="AI602" i="29"/>
  <c r="AI606" i="29"/>
  <c r="AI610" i="29"/>
  <c r="AI614" i="29"/>
  <c r="AI618" i="29"/>
  <c r="AK618" i="29" s="1"/>
  <c r="AI622" i="29"/>
  <c r="AI626" i="29"/>
  <c r="AI630" i="29"/>
  <c r="AI634" i="29"/>
  <c r="AK634" i="29" s="1"/>
  <c r="AI638" i="29"/>
  <c r="AK638" i="29" s="1"/>
  <c r="AI642" i="29"/>
  <c r="AK642" i="29" s="1"/>
  <c r="AI646" i="29"/>
  <c r="AK646" i="29" s="1"/>
  <c r="AI650" i="29"/>
  <c r="AK650" i="29" s="1"/>
  <c r="AI654" i="29"/>
  <c r="AI658" i="29"/>
  <c r="AK658" i="29" s="1"/>
  <c r="AI662" i="29"/>
  <c r="AK662" i="29" s="1"/>
  <c r="AI666" i="29"/>
  <c r="AK666" i="29" s="1"/>
  <c r="AI670" i="29"/>
  <c r="AK670" i="29" s="1"/>
  <c r="AI674" i="29"/>
  <c r="AK674" i="29" s="1"/>
  <c r="AI678" i="29"/>
  <c r="AI682" i="29"/>
  <c r="AK682" i="29" s="1"/>
  <c r="AI686" i="29"/>
  <c r="AK686" i="29" s="1"/>
  <c r="AI690" i="29"/>
  <c r="AK690" i="29" s="1"/>
  <c r="AI694" i="29"/>
  <c r="AI698" i="29"/>
  <c r="AI702" i="29"/>
  <c r="AK702" i="29" s="1"/>
  <c r="AI706" i="29"/>
  <c r="AK706" i="29" s="1"/>
  <c r="AI710" i="29"/>
  <c r="AK710" i="29" s="1"/>
  <c r="AI714" i="29"/>
  <c r="AI718" i="29"/>
  <c r="AI722" i="29"/>
  <c r="AK722" i="29" s="1"/>
  <c r="AI726" i="29"/>
  <c r="AI730" i="29"/>
  <c r="AI734" i="29"/>
  <c r="AK734" i="29" s="1"/>
  <c r="AI738" i="29"/>
  <c r="AI742" i="29"/>
  <c r="AI615" i="29"/>
  <c r="AK615" i="29" s="1"/>
  <c r="AI623" i="29"/>
  <c r="AI631" i="29"/>
  <c r="AI639" i="29"/>
  <c r="AI647" i="29"/>
  <c r="AK647" i="29" s="1"/>
  <c r="AI655" i="29"/>
  <c r="AI663" i="29"/>
  <c r="AI671" i="29"/>
  <c r="AK671" i="29" s="1"/>
  <c r="AI679" i="29"/>
  <c r="AK679" i="29" s="1"/>
  <c r="AI687" i="29"/>
  <c r="AK687" i="29" s="1"/>
  <c r="AI695" i="29"/>
  <c r="AK695" i="29" s="1"/>
  <c r="AI703" i="29"/>
  <c r="AI711" i="29"/>
  <c r="AK711" i="29" s="1"/>
  <c r="AI719" i="29"/>
  <c r="AK719" i="29" s="1"/>
  <c r="AI727" i="29"/>
  <c r="AI735" i="29"/>
  <c r="AI743" i="29"/>
  <c r="AI747" i="29"/>
  <c r="AI751" i="29"/>
  <c r="AI755" i="29"/>
  <c r="AK755" i="29" s="1"/>
  <c r="AI759" i="29"/>
  <c r="AI763" i="29"/>
  <c r="AI767" i="29"/>
  <c r="AI771" i="29"/>
  <c r="AI775" i="29"/>
  <c r="AI779" i="29"/>
  <c r="AI783" i="29"/>
  <c r="AI787" i="29"/>
  <c r="AI791" i="29"/>
  <c r="AI795" i="29"/>
  <c r="AI799" i="29"/>
  <c r="AI803" i="29"/>
  <c r="AI807" i="29"/>
  <c r="AI811" i="29"/>
  <c r="AI815" i="29"/>
  <c r="AI819" i="29"/>
  <c r="AI823" i="29"/>
  <c r="AI827" i="29"/>
  <c r="AI831" i="29"/>
  <c r="AI835" i="29"/>
  <c r="AI839" i="29"/>
  <c r="AI843" i="29"/>
  <c r="AK843" i="29" s="1"/>
  <c r="AI847" i="29"/>
  <c r="AI851" i="29"/>
  <c r="AI855" i="29"/>
  <c r="AI859" i="29"/>
  <c r="AI863" i="29"/>
  <c r="AI867" i="29"/>
  <c r="AI871" i="29"/>
  <c r="AI875" i="29"/>
  <c r="AI879" i="29"/>
  <c r="AI883" i="29"/>
  <c r="AK883" i="29" s="1"/>
  <c r="AI887" i="29"/>
  <c r="AI891" i="29"/>
  <c r="AI895" i="29"/>
  <c r="AI899" i="29"/>
  <c r="AI903" i="29"/>
  <c r="AI907" i="29"/>
  <c r="AI911" i="29"/>
  <c r="AI915" i="29"/>
  <c r="AI919" i="29"/>
  <c r="AI923" i="29"/>
  <c r="AI927" i="29"/>
  <c r="AI931" i="29"/>
  <c r="AK931" i="29" s="1"/>
  <c r="AI935" i="29"/>
  <c r="AI939" i="29"/>
  <c r="AK939" i="29" s="1"/>
  <c r="AI943" i="29"/>
  <c r="AI947" i="29"/>
  <c r="AI951" i="29"/>
  <c r="AI955" i="29"/>
  <c r="AI959" i="29"/>
  <c r="AI963" i="29"/>
  <c r="AI967" i="29"/>
  <c r="AI971" i="29"/>
  <c r="AI975" i="29"/>
  <c r="AI979" i="29"/>
  <c r="AI983" i="29"/>
  <c r="AI987" i="29"/>
  <c r="AI991" i="29"/>
  <c r="AI995" i="29"/>
  <c r="AK995" i="29" s="1"/>
  <c r="AI999" i="29"/>
  <c r="AI1003" i="29"/>
  <c r="AI1007" i="29"/>
  <c r="AI1011" i="29"/>
  <c r="AI1015" i="29"/>
  <c r="AI1019" i="29"/>
  <c r="AI1023" i="29"/>
  <c r="AI1027" i="29"/>
  <c r="AI1031" i="29"/>
  <c r="AI1035" i="29"/>
  <c r="AK1035" i="29" s="1"/>
  <c r="AI1039" i="29"/>
  <c r="AI1043" i="29"/>
  <c r="AI1047" i="29"/>
  <c r="AI1051" i="29"/>
  <c r="AI1055" i="29"/>
  <c r="AK1055" i="29" s="1"/>
  <c r="AI1059" i="29"/>
  <c r="AK1059" i="29" s="1"/>
  <c r="AI1063" i="29"/>
  <c r="AI1067" i="29"/>
  <c r="AI1071" i="29"/>
  <c r="AI1075" i="29"/>
  <c r="AI1079" i="29"/>
  <c r="AK1079" i="29" s="1"/>
  <c r="AI1083" i="29"/>
  <c r="AI1087" i="29"/>
  <c r="AI1091" i="29"/>
  <c r="AI1095" i="29"/>
  <c r="AI1099" i="29"/>
  <c r="AI1103" i="29"/>
  <c r="AI1107" i="29"/>
  <c r="AI1111" i="29"/>
  <c r="AI1115" i="29"/>
  <c r="AI1119" i="29"/>
  <c r="AI1123" i="29"/>
  <c r="AI1127" i="29"/>
  <c r="AI1131" i="29"/>
  <c r="AK1131" i="29" s="1"/>
  <c r="AI1135" i="29"/>
  <c r="AI1139" i="29"/>
  <c r="AK1139" i="29" s="1"/>
  <c r="AI1143" i="29"/>
  <c r="AK1143" i="29" s="1"/>
  <c r="AI1147" i="29"/>
  <c r="AI1151" i="29"/>
  <c r="AI1155" i="29"/>
  <c r="AI1159" i="29"/>
  <c r="AI1163" i="29"/>
  <c r="AI1167" i="29"/>
  <c r="AI1171" i="29"/>
  <c r="AK1171" i="29" s="1"/>
  <c r="AI1175" i="29"/>
  <c r="AI617" i="29"/>
  <c r="AI625" i="29"/>
  <c r="AI633" i="29"/>
  <c r="AI641" i="29"/>
  <c r="AI649" i="29"/>
  <c r="AK649" i="29" s="1"/>
  <c r="AI657" i="29"/>
  <c r="AI665" i="29"/>
  <c r="AK665" i="29" s="1"/>
  <c r="AI673" i="29"/>
  <c r="AK673" i="29" s="1"/>
  <c r="AI681" i="29"/>
  <c r="AI689" i="29"/>
  <c r="AK689" i="29" s="1"/>
  <c r="AI697" i="29"/>
  <c r="AI705" i="29"/>
  <c r="AK705" i="29" s="1"/>
  <c r="AI713" i="29"/>
  <c r="AI721" i="29"/>
  <c r="AK721" i="29" s="1"/>
  <c r="AI729" i="29"/>
  <c r="AK729" i="29" s="1"/>
  <c r="AI737" i="29"/>
  <c r="AI744" i="29"/>
  <c r="AI748" i="29"/>
  <c r="AI752" i="29"/>
  <c r="AI756" i="29"/>
  <c r="AI760" i="29"/>
  <c r="AI764" i="29"/>
  <c r="AI768" i="29"/>
  <c r="AI772" i="29"/>
  <c r="AI776" i="29"/>
  <c r="AK776" i="29" s="1"/>
  <c r="AI780" i="29"/>
  <c r="AI784" i="29"/>
  <c r="AI788" i="29"/>
  <c r="AI792" i="29"/>
  <c r="AI796" i="29"/>
  <c r="AI800" i="29"/>
  <c r="AI804" i="29"/>
  <c r="AI808" i="29"/>
  <c r="AI812" i="29"/>
  <c r="AI816" i="29"/>
  <c r="AK816" i="29" s="1"/>
  <c r="AI820" i="29"/>
  <c r="AI824" i="29"/>
  <c r="AI828" i="29"/>
  <c r="AI832" i="29"/>
  <c r="AI836" i="29"/>
  <c r="AI840" i="29"/>
  <c r="AI844" i="29"/>
  <c r="AK844" i="29" s="1"/>
  <c r="AI848" i="29"/>
  <c r="AI852" i="29"/>
  <c r="AI856" i="29"/>
  <c r="AK856" i="29" s="1"/>
  <c r="AI860" i="29"/>
  <c r="AK860" i="29" s="1"/>
  <c r="AI864" i="29"/>
  <c r="AI868" i="29"/>
  <c r="AI872" i="29"/>
  <c r="AI876" i="29"/>
  <c r="AI880" i="29"/>
  <c r="AI884" i="29"/>
  <c r="AI888" i="29"/>
  <c r="AK888" i="29" s="1"/>
  <c r="AI892" i="29"/>
  <c r="AI896" i="29"/>
  <c r="AI900" i="29"/>
  <c r="AI904" i="29"/>
  <c r="AK904" i="29" s="1"/>
  <c r="AI908" i="29"/>
  <c r="AI912" i="29"/>
  <c r="AI916" i="29"/>
  <c r="AI920" i="29"/>
  <c r="AI924" i="29"/>
  <c r="AI928" i="29"/>
  <c r="AI932" i="29"/>
  <c r="AI936" i="29"/>
  <c r="AI940" i="29"/>
  <c r="AI944" i="29"/>
  <c r="AI948" i="29"/>
  <c r="AK948" i="29" s="1"/>
  <c r="AI952" i="29"/>
  <c r="AI956" i="29"/>
  <c r="AK956" i="29" s="1"/>
  <c r="AI960" i="29"/>
  <c r="AI964" i="29"/>
  <c r="AI968" i="29"/>
  <c r="AK968" i="29" s="1"/>
  <c r="AI972" i="29"/>
  <c r="AI976" i="29"/>
  <c r="AI980" i="29"/>
  <c r="AI984" i="29"/>
  <c r="AI988" i="29"/>
  <c r="AK988" i="29" s="1"/>
  <c r="AI992" i="29"/>
  <c r="AI996" i="29"/>
  <c r="AI1000" i="29"/>
  <c r="AI1004" i="29"/>
  <c r="AI1008" i="29"/>
  <c r="AK1008" i="29" s="1"/>
  <c r="AI1012" i="29"/>
  <c r="AI1016" i="29"/>
  <c r="AI611" i="29"/>
  <c r="AI619" i="29"/>
  <c r="AI627" i="29"/>
  <c r="AI635" i="29"/>
  <c r="AI643" i="29"/>
  <c r="AK643" i="29" s="1"/>
  <c r="AI651" i="29"/>
  <c r="AK651" i="29" s="1"/>
  <c r="AI659" i="29"/>
  <c r="AI667" i="29"/>
  <c r="AK667" i="29" s="1"/>
  <c r="AI675" i="29"/>
  <c r="AK675" i="29" s="1"/>
  <c r="AI683" i="29"/>
  <c r="AI691" i="29"/>
  <c r="AI699" i="29"/>
  <c r="AI707" i="29"/>
  <c r="AK707" i="29" s="1"/>
  <c r="AI715" i="29"/>
  <c r="AI723" i="29"/>
  <c r="AK723" i="29" s="1"/>
  <c r="AI731" i="29"/>
  <c r="AI739" i="29"/>
  <c r="AI745" i="29"/>
  <c r="AI749" i="29"/>
  <c r="AI753" i="29"/>
  <c r="AI757" i="29"/>
  <c r="AI761" i="29"/>
  <c r="AI765" i="29"/>
  <c r="AI769" i="29"/>
  <c r="AK769" i="29" s="1"/>
  <c r="AI773" i="29"/>
  <c r="AI777" i="29"/>
  <c r="AI781" i="29"/>
  <c r="AI785" i="29"/>
  <c r="AI789" i="29"/>
  <c r="AK789" i="29" s="1"/>
  <c r="AI793" i="29"/>
  <c r="AI797" i="29"/>
  <c r="AI801" i="29"/>
  <c r="AI805" i="29"/>
  <c r="AK805" i="29" s="1"/>
  <c r="AI809" i="29"/>
  <c r="AI813" i="29"/>
  <c r="AI817" i="29"/>
  <c r="AI821" i="29"/>
  <c r="AI825" i="29"/>
  <c r="AI829" i="29"/>
  <c r="AK829" i="29" s="1"/>
  <c r="AI833" i="29"/>
  <c r="AI837" i="29"/>
  <c r="AI841" i="29"/>
  <c r="AI845" i="29"/>
  <c r="AI849" i="29"/>
  <c r="AI853" i="29"/>
  <c r="AI857" i="29"/>
  <c r="AI861" i="29"/>
  <c r="AI865" i="29"/>
  <c r="AI869" i="29"/>
  <c r="AI873" i="29"/>
  <c r="AI877" i="29"/>
  <c r="AI881" i="29"/>
  <c r="AI885" i="29"/>
  <c r="AI889" i="29"/>
  <c r="AI893" i="29"/>
  <c r="AI897" i="29"/>
  <c r="AK897" i="29" s="1"/>
  <c r="AI901" i="29"/>
  <c r="AI905" i="29"/>
  <c r="AK905" i="29" s="1"/>
  <c r="AI909" i="29"/>
  <c r="AI913" i="29"/>
  <c r="AI917" i="29"/>
  <c r="AK917" i="29" s="1"/>
  <c r="AI921" i="29"/>
  <c r="AI925" i="29"/>
  <c r="AI929" i="29"/>
  <c r="AI933" i="29"/>
  <c r="AI937" i="29"/>
  <c r="AK937" i="29" s="1"/>
  <c r="AI941" i="29"/>
  <c r="AI945" i="29"/>
  <c r="AI949" i="29"/>
  <c r="AI953" i="29"/>
  <c r="AI957" i="29"/>
  <c r="AI961" i="29"/>
  <c r="AI965" i="29"/>
  <c r="AI969" i="29"/>
  <c r="AK969" i="29" s="1"/>
  <c r="AI973" i="29"/>
  <c r="AK973" i="29" s="1"/>
  <c r="AI977" i="29"/>
  <c r="AI981" i="29"/>
  <c r="AK981" i="29" s="1"/>
  <c r="AI985" i="29"/>
  <c r="AK985" i="29" s="1"/>
  <c r="AI989" i="29"/>
  <c r="AI993" i="29"/>
  <c r="AI997" i="29"/>
  <c r="AI1001" i="29"/>
  <c r="AI1005" i="29"/>
  <c r="AI1009" i="29"/>
  <c r="AI1013" i="29"/>
  <c r="AI613" i="29"/>
  <c r="AI621" i="29"/>
  <c r="AI629" i="29"/>
  <c r="AI637" i="29"/>
  <c r="AI645" i="29"/>
  <c r="AI653" i="29"/>
  <c r="AK653" i="29" s="1"/>
  <c r="AI661" i="29"/>
  <c r="AI669" i="29"/>
  <c r="AI677" i="29"/>
  <c r="AK677" i="29" s="1"/>
  <c r="AI685" i="29"/>
  <c r="AK685" i="29" s="1"/>
  <c r="AI693" i="29"/>
  <c r="AK693" i="29" s="1"/>
  <c r="AI701" i="29"/>
  <c r="AK701" i="29" s="1"/>
  <c r="AI709" i="29"/>
  <c r="AK709" i="29" s="1"/>
  <c r="AI717" i="29"/>
  <c r="AK717" i="29" s="1"/>
  <c r="AI725" i="29"/>
  <c r="AI733" i="29"/>
  <c r="AI741" i="29"/>
  <c r="AK741" i="29" s="1"/>
  <c r="AI746" i="29"/>
  <c r="AI750" i="29"/>
  <c r="AI754" i="29"/>
  <c r="AI758" i="29"/>
  <c r="AI762" i="29"/>
  <c r="AI766" i="29"/>
  <c r="AI770" i="29"/>
  <c r="AI774" i="29"/>
  <c r="AK774" i="29" s="1"/>
  <c r="AI778" i="29"/>
  <c r="AI782" i="29"/>
  <c r="AK782" i="29" s="1"/>
  <c r="AI786" i="29"/>
  <c r="AI790" i="29"/>
  <c r="AI794" i="29"/>
  <c r="AI798" i="29"/>
  <c r="AI802" i="29"/>
  <c r="AI806" i="29"/>
  <c r="AI810" i="29"/>
  <c r="AI814" i="29"/>
  <c r="AI818" i="29"/>
  <c r="AI822" i="29"/>
  <c r="AI826" i="29"/>
  <c r="AI830" i="29"/>
  <c r="AI834" i="29"/>
  <c r="AI838" i="29"/>
  <c r="AI842" i="29"/>
  <c r="AI846" i="29"/>
  <c r="AI850" i="29"/>
  <c r="AI854" i="29"/>
  <c r="AI858" i="29"/>
  <c r="AI862" i="29"/>
  <c r="AI866" i="29"/>
  <c r="AI870" i="29"/>
  <c r="AI874" i="29"/>
  <c r="AK874" i="29" s="1"/>
  <c r="AI878" i="29"/>
  <c r="AI882" i="29"/>
  <c r="AI886" i="29"/>
  <c r="AI890" i="29"/>
  <c r="AI894" i="29"/>
  <c r="AI898" i="29"/>
  <c r="AI902" i="29"/>
  <c r="AI906" i="29"/>
  <c r="AI910" i="29"/>
  <c r="AI914" i="29"/>
  <c r="AI918" i="29"/>
  <c r="AI922" i="29"/>
  <c r="AI926" i="29"/>
  <c r="AI930" i="29"/>
  <c r="AK930" i="29" s="1"/>
  <c r="AI934" i="29"/>
  <c r="AI938" i="29"/>
  <c r="AI942" i="29"/>
  <c r="AK942" i="29" s="1"/>
  <c r="AI946" i="29"/>
  <c r="AI950" i="29"/>
  <c r="AI954" i="29"/>
  <c r="AI958" i="29"/>
  <c r="AI962" i="29"/>
  <c r="AI966" i="29"/>
  <c r="AI970" i="29"/>
  <c r="AI974" i="29"/>
  <c r="AI978" i="29"/>
  <c r="AI982" i="29"/>
  <c r="AI986" i="29"/>
  <c r="AI990" i="29"/>
  <c r="AI994" i="29"/>
  <c r="AK994" i="29" s="1"/>
  <c r="AI998" i="29"/>
  <c r="AI1002" i="29"/>
  <c r="AI1006" i="29"/>
  <c r="AK1006" i="29" s="1"/>
  <c r="AI1010" i="29"/>
  <c r="AK1010" i="29" s="1"/>
  <c r="AI1014" i="29"/>
  <c r="AI1018" i="29"/>
  <c r="AI1022" i="29"/>
  <c r="AI1026" i="29"/>
  <c r="AI1030" i="29"/>
  <c r="AI1034" i="29"/>
  <c r="AK1034" i="29" s="1"/>
  <c r="AI1038" i="29"/>
  <c r="AI1042" i="29"/>
  <c r="AI1046" i="29"/>
  <c r="AI1050" i="29"/>
  <c r="AI1054" i="29"/>
  <c r="AI1058" i="29"/>
  <c r="AI1062" i="29"/>
  <c r="AI1066" i="29"/>
  <c r="AI1070" i="29"/>
  <c r="AI1074" i="29"/>
  <c r="AI1078" i="29"/>
  <c r="AI1082" i="29"/>
  <c r="AI1086" i="29"/>
  <c r="AI1090" i="29"/>
  <c r="AI1094" i="29"/>
  <c r="AI1098" i="29"/>
  <c r="AI1102" i="29"/>
  <c r="AI1106" i="29"/>
  <c r="AI1110" i="29"/>
  <c r="AI1114" i="29"/>
  <c r="AI1118" i="29"/>
  <c r="AI1122" i="29"/>
  <c r="AI1126" i="29"/>
  <c r="AI1130" i="29"/>
  <c r="AI1134" i="29"/>
  <c r="AI1138" i="29"/>
  <c r="AK1138" i="29" s="1"/>
  <c r="AI1142" i="29"/>
  <c r="AI1146" i="29"/>
  <c r="AI1150" i="29"/>
  <c r="AI1154" i="29"/>
  <c r="AI1158" i="29"/>
  <c r="AI1162" i="29"/>
  <c r="AI1166" i="29"/>
  <c r="AI1170" i="29"/>
  <c r="AK1170" i="29" s="1"/>
  <c r="AI1174" i="29"/>
  <c r="AI1021" i="29"/>
  <c r="AI1029" i="29"/>
  <c r="AI1037" i="29"/>
  <c r="AI1045" i="29"/>
  <c r="AI1053" i="29"/>
  <c r="AI1061" i="29"/>
  <c r="AK1061" i="29" s="1"/>
  <c r="AI1069" i="29"/>
  <c r="AI1077" i="29"/>
  <c r="AK1077" i="29" s="1"/>
  <c r="AI1085" i="29"/>
  <c r="AK1085" i="29" s="1"/>
  <c r="AI1093" i="29"/>
  <c r="AI1101" i="29"/>
  <c r="AI1109" i="29"/>
  <c r="AI1117" i="29"/>
  <c r="AI1125" i="29"/>
  <c r="AK1125" i="29" s="1"/>
  <c r="AI1133" i="29"/>
  <c r="AI1141" i="29"/>
  <c r="AK1141" i="29" s="1"/>
  <c r="AI1149" i="29"/>
  <c r="AK1149" i="29" s="1"/>
  <c r="AI1157" i="29"/>
  <c r="AI1165" i="29"/>
  <c r="AI1173" i="29"/>
  <c r="AI1179" i="29"/>
  <c r="AI1183" i="29"/>
  <c r="AI1187" i="29"/>
  <c r="AI1191" i="29"/>
  <c r="AI1195" i="29"/>
  <c r="AI1199" i="29"/>
  <c r="AI1203" i="29"/>
  <c r="AI1207" i="29"/>
  <c r="AI1211" i="29"/>
  <c r="AI1215" i="29"/>
  <c r="AI1219" i="29"/>
  <c r="AI1223" i="29"/>
  <c r="AI1227" i="29"/>
  <c r="AI1231" i="29"/>
  <c r="AI1235" i="29"/>
  <c r="AI1239" i="29"/>
  <c r="AI1243" i="29"/>
  <c r="AI1247" i="29"/>
  <c r="AI1251" i="29"/>
  <c r="AI1255" i="29"/>
  <c r="AI1259" i="29"/>
  <c r="AI1263" i="29"/>
  <c r="AI1267" i="29"/>
  <c r="AK1267" i="29" s="1"/>
  <c r="AI1271" i="29"/>
  <c r="AI1275" i="29"/>
  <c r="AI1279" i="29"/>
  <c r="AI1283" i="29"/>
  <c r="AI1287" i="29"/>
  <c r="AI1291" i="29"/>
  <c r="AI1295" i="29"/>
  <c r="AI1299" i="29"/>
  <c r="AI1303" i="29"/>
  <c r="AI1307" i="29"/>
  <c r="AI1311" i="29"/>
  <c r="AI1315" i="29"/>
  <c r="AI1319" i="29"/>
  <c r="AI1323" i="29"/>
  <c r="AI1327" i="29"/>
  <c r="AI1331" i="29"/>
  <c r="AI1335" i="29"/>
  <c r="AK1335" i="29" s="1"/>
  <c r="AI1339" i="29"/>
  <c r="AK1339" i="29" s="1"/>
  <c r="AI1343" i="29"/>
  <c r="AK1343" i="29" s="1"/>
  <c r="AI1347" i="29"/>
  <c r="AI1351" i="29"/>
  <c r="AK1351" i="29" s="1"/>
  <c r="AI1355" i="29"/>
  <c r="AK1355" i="29" s="1"/>
  <c r="AI1359" i="29"/>
  <c r="AK1359" i="29" s="1"/>
  <c r="AI1363" i="29"/>
  <c r="AK1363" i="29" s="1"/>
  <c r="AI1367" i="29"/>
  <c r="AK1367" i="29" s="1"/>
  <c r="AI1371" i="29"/>
  <c r="AI1375" i="29"/>
  <c r="AK1375" i="29" s="1"/>
  <c r="AI1379" i="29"/>
  <c r="AK1379" i="29" s="1"/>
  <c r="AI1383" i="29"/>
  <c r="AK1383" i="29" s="1"/>
  <c r="AI1387" i="29"/>
  <c r="AI1391" i="29"/>
  <c r="AI1395" i="29"/>
  <c r="AK1395" i="29" s="1"/>
  <c r="AI1399" i="29"/>
  <c r="AK1399" i="29" s="1"/>
  <c r="AI1403" i="29"/>
  <c r="AK1403" i="29" s="1"/>
  <c r="AI1407" i="29"/>
  <c r="AI1411" i="29"/>
  <c r="AI1415" i="29"/>
  <c r="AK1415" i="29" s="1"/>
  <c r="AI1024" i="29"/>
  <c r="AI1032" i="29"/>
  <c r="AI1040" i="29"/>
  <c r="AI1048" i="29"/>
  <c r="AK1048" i="29" s="1"/>
  <c r="AI1056" i="29"/>
  <c r="AI1064" i="29"/>
  <c r="AI1072" i="29"/>
  <c r="AI1080" i="29"/>
  <c r="AI1088" i="29"/>
  <c r="AI1096" i="29"/>
  <c r="AI1104" i="29"/>
  <c r="AI1112" i="29"/>
  <c r="AI1120" i="29"/>
  <c r="AK1120" i="29" s="1"/>
  <c r="AI1128" i="29"/>
  <c r="AI1136" i="29"/>
  <c r="AK1136" i="29" s="1"/>
  <c r="AI1144" i="29"/>
  <c r="AI1152" i="29"/>
  <c r="AI1160" i="29"/>
  <c r="AI1168" i="29"/>
  <c r="AI1176" i="29"/>
  <c r="AI1180" i="29"/>
  <c r="AI1184" i="29"/>
  <c r="AI1188" i="29"/>
  <c r="AK1188" i="29" s="1"/>
  <c r="AI1192" i="29"/>
  <c r="AI1196" i="29"/>
  <c r="AI1200" i="29"/>
  <c r="AI1204" i="29"/>
  <c r="AI1208" i="29"/>
  <c r="AI1212" i="29"/>
  <c r="AI1216" i="29"/>
  <c r="AI1220" i="29"/>
  <c r="AI1224" i="29"/>
  <c r="AI1228" i="29"/>
  <c r="AI1232" i="29"/>
  <c r="AI1236" i="29"/>
  <c r="AI1240" i="29"/>
  <c r="AI1244" i="29"/>
  <c r="AI1248" i="29"/>
  <c r="AI1252" i="29"/>
  <c r="AI1256" i="29"/>
  <c r="AI1260" i="29"/>
  <c r="AK1260" i="29" s="1"/>
  <c r="AI1264" i="29"/>
  <c r="AI1268" i="29"/>
  <c r="AI1272" i="29"/>
  <c r="AI1276" i="29"/>
  <c r="AI1280" i="29"/>
  <c r="AI1284" i="29"/>
  <c r="AI1288" i="29"/>
  <c r="AI1292" i="29"/>
  <c r="AI1296" i="29"/>
  <c r="AK1296" i="29" s="1"/>
  <c r="AI1300" i="29"/>
  <c r="AI1304" i="29"/>
  <c r="AI1308" i="29"/>
  <c r="AI1312" i="29"/>
  <c r="AI1316" i="29"/>
  <c r="AK1316" i="29" s="1"/>
  <c r="AI1320" i="29"/>
  <c r="AI1324" i="29"/>
  <c r="AI1328" i="29"/>
  <c r="AI1332" i="29"/>
  <c r="AI1336" i="29"/>
  <c r="AK1336" i="29" s="1"/>
  <c r="AI1340" i="29"/>
  <c r="AK1340" i="29" s="1"/>
  <c r="AI1344" i="29"/>
  <c r="AK1344" i="29" s="1"/>
  <c r="AI1348" i="29"/>
  <c r="AI1352" i="29"/>
  <c r="AI1356" i="29"/>
  <c r="AI1360" i="29"/>
  <c r="AK1360" i="29" s="1"/>
  <c r="AI1364" i="29"/>
  <c r="AK1364" i="29" s="1"/>
  <c r="AI1368" i="29"/>
  <c r="AK1368" i="29" s="1"/>
  <c r="AI1372" i="29"/>
  <c r="AK1372" i="29" s="1"/>
  <c r="AI1376" i="29"/>
  <c r="AI1380" i="29"/>
  <c r="AK1380" i="29" s="1"/>
  <c r="AI1384" i="29"/>
  <c r="AI1388" i="29"/>
  <c r="AK1388" i="29" s="1"/>
  <c r="AI1392" i="29"/>
  <c r="AI1396" i="29"/>
  <c r="AI1400" i="29"/>
  <c r="AK1400" i="29" s="1"/>
  <c r="AI1404" i="29"/>
  <c r="AK1404" i="29" s="1"/>
  <c r="AI1408" i="29"/>
  <c r="AI1412" i="29"/>
  <c r="AK1412" i="29" s="1"/>
  <c r="AI1416" i="29"/>
  <c r="AK1416" i="29" s="1"/>
  <c r="AI1025" i="29"/>
  <c r="AK1025" i="29" s="1"/>
  <c r="AI1041" i="29"/>
  <c r="AI1057" i="29"/>
  <c r="AI1073" i="29"/>
  <c r="AI1089" i="29"/>
  <c r="AI1105" i="29"/>
  <c r="AI1121" i="29"/>
  <c r="AI1137" i="29"/>
  <c r="AI1153" i="29"/>
  <c r="AK1153" i="29" s="1"/>
  <c r="AI1169" i="29"/>
  <c r="AI1181" i="29"/>
  <c r="AI1189" i="29"/>
  <c r="AI1197" i="29"/>
  <c r="AI1205" i="29"/>
  <c r="AI1213" i="29"/>
  <c r="AI1221" i="29"/>
  <c r="AI1229" i="29"/>
  <c r="AI1237" i="29"/>
  <c r="AI1245" i="29"/>
  <c r="AI1253" i="29"/>
  <c r="AI1261" i="29"/>
  <c r="AI1269" i="29"/>
  <c r="AI1277" i="29"/>
  <c r="AI1285" i="29"/>
  <c r="AK1285" i="29" s="1"/>
  <c r="AI1293" i="29"/>
  <c r="AK1293" i="29" s="1"/>
  <c r="AI1301" i="29"/>
  <c r="AI1309" i="29"/>
  <c r="AI1317" i="29"/>
  <c r="AI1325" i="29"/>
  <c r="AI1333" i="29"/>
  <c r="AK1333" i="29" s="1"/>
  <c r="AI1341" i="29"/>
  <c r="AK1341" i="29" s="1"/>
  <c r="AI1349" i="29"/>
  <c r="AK1349" i="29" s="1"/>
  <c r="AI1357" i="29"/>
  <c r="AI1365" i="29"/>
  <c r="AK1365" i="29" s="1"/>
  <c r="AI1373" i="29"/>
  <c r="AK1373" i="29" s="1"/>
  <c r="AI1381" i="29"/>
  <c r="AK1381" i="29" s="1"/>
  <c r="AI1389" i="29"/>
  <c r="AK1389" i="29" s="1"/>
  <c r="AI1397" i="29"/>
  <c r="AI1405" i="29"/>
  <c r="AK1405" i="29" s="1"/>
  <c r="AI1413" i="29"/>
  <c r="AK1413" i="29" s="1"/>
  <c r="AI1028" i="29"/>
  <c r="AI1044" i="29"/>
  <c r="AI1060" i="29"/>
  <c r="AI1076" i="29"/>
  <c r="AI1092" i="29"/>
  <c r="AI1108" i="29"/>
  <c r="AI1124" i="29"/>
  <c r="AI1140" i="29"/>
  <c r="AI1156" i="29"/>
  <c r="AI1172" i="29"/>
  <c r="AI1182" i="29"/>
  <c r="AI1190" i="29"/>
  <c r="AI1198" i="29"/>
  <c r="AI1206" i="29"/>
  <c r="AI1214" i="29"/>
  <c r="AI1222" i="29"/>
  <c r="AI1230" i="29"/>
  <c r="AI1238" i="29"/>
  <c r="AI1246" i="29"/>
  <c r="AI1254" i="29"/>
  <c r="AI1262" i="29"/>
  <c r="AK1262" i="29" s="1"/>
  <c r="AI1270" i="29"/>
  <c r="AI1278" i="29"/>
  <c r="AI1286" i="29"/>
  <c r="AI1294" i="29"/>
  <c r="AI1302" i="29"/>
  <c r="AI1310" i="29"/>
  <c r="AI1318" i="29"/>
  <c r="AI1326" i="29"/>
  <c r="AI1334" i="29"/>
  <c r="AI1342" i="29"/>
  <c r="AK1342" i="29" s="1"/>
  <c r="AI1350" i="29"/>
  <c r="AI1358" i="29"/>
  <c r="AK1358" i="29" s="1"/>
  <c r="AI1366" i="29"/>
  <c r="AK1366" i="29" s="1"/>
  <c r="AI1374" i="29"/>
  <c r="AI1382" i="29"/>
  <c r="AK1382" i="29" s="1"/>
  <c r="AI1390" i="29"/>
  <c r="AI1398" i="29"/>
  <c r="AK1398" i="29" s="1"/>
  <c r="AI1406" i="29"/>
  <c r="AI1414" i="29"/>
  <c r="AK1414" i="29" s="1"/>
  <c r="AI1017" i="29"/>
  <c r="AI1033" i="29"/>
  <c r="AI1049" i="29"/>
  <c r="AI1065" i="29"/>
  <c r="AI1081" i="29"/>
  <c r="AI1097" i="29"/>
  <c r="AI1113" i="29"/>
  <c r="AI1129" i="29"/>
  <c r="AI1145" i="29"/>
  <c r="AI1161" i="29"/>
  <c r="AI1177" i="29"/>
  <c r="AI1185" i="29"/>
  <c r="AI1193" i="29"/>
  <c r="AI1201" i="29"/>
  <c r="AI1209" i="29"/>
  <c r="AI1217" i="29"/>
  <c r="AI1225" i="29"/>
  <c r="AI1233" i="29"/>
  <c r="AI1241" i="29"/>
  <c r="AI1249" i="29"/>
  <c r="AI1257" i="29"/>
  <c r="AI1265" i="29"/>
  <c r="AI1273" i="29"/>
  <c r="AI1281" i="29"/>
  <c r="AI1289" i="29"/>
  <c r="AI1297" i="29"/>
  <c r="AI1305" i="29"/>
  <c r="AI1313" i="29"/>
  <c r="AK1313" i="29" s="1"/>
  <c r="AI1321" i="29"/>
  <c r="AI1329" i="29"/>
  <c r="AI1337" i="29"/>
  <c r="AK1337" i="29" s="1"/>
  <c r="AI1345" i="29"/>
  <c r="AK1345" i="29" s="1"/>
  <c r="AI1353" i="29"/>
  <c r="AK1353" i="29" s="1"/>
  <c r="AI1361" i="29"/>
  <c r="AK1361" i="29" s="1"/>
  <c r="AI1369" i="29"/>
  <c r="AK1369" i="29" s="1"/>
  <c r="AI1377" i="29"/>
  <c r="AK1377" i="29" s="1"/>
  <c r="AI1385" i="29"/>
  <c r="AI1393" i="29"/>
  <c r="AK1393" i="29" s="1"/>
  <c r="AI1401" i="29"/>
  <c r="AK1401" i="29" s="1"/>
  <c r="AI1409" i="29"/>
  <c r="AI1052" i="29"/>
  <c r="AI1116" i="29"/>
  <c r="AI1178" i="29"/>
  <c r="AI1210" i="29"/>
  <c r="AI1242" i="29"/>
  <c r="AI1274" i="29"/>
  <c r="AI1306" i="29"/>
  <c r="AI1338" i="29"/>
  <c r="AI1370" i="29"/>
  <c r="AK1370" i="29" s="1"/>
  <c r="AI1402" i="29"/>
  <c r="AK1402" i="29" s="1"/>
  <c r="AI1068" i="29"/>
  <c r="AK1068" i="29" s="1"/>
  <c r="AI1132" i="29"/>
  <c r="AK1132" i="29" s="1"/>
  <c r="AI1186" i="29"/>
  <c r="AI1218" i="29"/>
  <c r="AI1250" i="29"/>
  <c r="AI1282" i="29"/>
  <c r="AI1314" i="29"/>
  <c r="AI1346" i="29"/>
  <c r="AK1346" i="29" s="1"/>
  <c r="AI1378" i="29"/>
  <c r="AK1378" i="29" s="1"/>
  <c r="AI1410" i="29"/>
  <c r="AK1410" i="29" s="1"/>
  <c r="AI1020" i="29"/>
  <c r="AI1084" i="29"/>
  <c r="AI1148" i="29"/>
  <c r="AI1194" i="29"/>
  <c r="AI1226" i="29"/>
  <c r="AI1258" i="29"/>
  <c r="AI1290" i="29"/>
  <c r="AI1322" i="29"/>
  <c r="AK1322" i="29" s="1"/>
  <c r="AI1354" i="29"/>
  <c r="AI1386" i="29"/>
  <c r="AK1386" i="29" s="1"/>
  <c r="AI1164" i="29"/>
  <c r="AI1298" i="29"/>
  <c r="AG17" i="27"/>
  <c r="AG21" i="27"/>
  <c r="AG25" i="27"/>
  <c r="AG29" i="27"/>
  <c r="AG33" i="27"/>
  <c r="AG37" i="27"/>
  <c r="AG41" i="27"/>
  <c r="AG45" i="27"/>
  <c r="AG49" i="27"/>
  <c r="AG53" i="27"/>
  <c r="AG57" i="27"/>
  <c r="AG61" i="27"/>
  <c r="AG65" i="27"/>
  <c r="AG69" i="27"/>
  <c r="AG73" i="27"/>
  <c r="AG77" i="27"/>
  <c r="AG81" i="27"/>
  <c r="AI81" i="27" s="1"/>
  <c r="AG85" i="27"/>
  <c r="AG89" i="27"/>
  <c r="AG93" i="27"/>
  <c r="AG97" i="27"/>
  <c r="AG101" i="27"/>
  <c r="AG105" i="27"/>
  <c r="AG109" i="27"/>
  <c r="AG113" i="27"/>
  <c r="AG117" i="27"/>
  <c r="AI1202" i="29"/>
  <c r="AI1330" i="29"/>
  <c r="AI1036" i="29"/>
  <c r="AI1234" i="29"/>
  <c r="AI1362" i="29"/>
  <c r="AG19" i="27"/>
  <c r="AG23" i="27"/>
  <c r="AG27" i="27"/>
  <c r="AG31" i="27"/>
  <c r="AG35" i="27"/>
  <c r="AG39" i="27"/>
  <c r="AG43" i="27"/>
  <c r="AG47" i="27"/>
  <c r="AG51" i="27"/>
  <c r="AG55" i="27"/>
  <c r="AG59" i="27"/>
  <c r="AG63" i="27"/>
  <c r="AG67" i="27"/>
  <c r="AG71" i="27"/>
  <c r="AG75" i="27"/>
  <c r="AG79" i="27"/>
  <c r="AG83" i="27"/>
  <c r="AG87" i="27"/>
  <c r="AG91" i="27"/>
  <c r="AG95" i="27"/>
  <c r="AG99" i="27"/>
  <c r="AG103" i="27"/>
  <c r="AG107" i="27"/>
  <c r="AG111" i="27"/>
  <c r="AG115" i="27"/>
  <c r="AG119" i="27"/>
  <c r="AI1100" i="29"/>
  <c r="AI1266" i="29"/>
  <c r="AK1266" i="29" s="1"/>
  <c r="AI1394" i="29"/>
  <c r="AK1394" i="29" s="1"/>
  <c r="AG18" i="27"/>
  <c r="AG26" i="27"/>
  <c r="AG34" i="27"/>
  <c r="AG42" i="27"/>
  <c r="AG50" i="27"/>
  <c r="AG58" i="27"/>
  <c r="AG66" i="27"/>
  <c r="AG74" i="27"/>
  <c r="AG82" i="27"/>
  <c r="AG90" i="27"/>
  <c r="AG98" i="27"/>
  <c r="AI98" i="27" s="1"/>
  <c r="AG106" i="27"/>
  <c r="AG114" i="27"/>
  <c r="AG20" i="27"/>
  <c r="AG28" i="27"/>
  <c r="AG36" i="27"/>
  <c r="AG44" i="27"/>
  <c r="AG52" i="27"/>
  <c r="AG60" i="27"/>
  <c r="AG68" i="27"/>
  <c r="AG76" i="27"/>
  <c r="AG84" i="27"/>
  <c r="AG92" i="27"/>
  <c r="AG100" i="27"/>
  <c r="AG108" i="27"/>
  <c r="AG116" i="27"/>
  <c r="AG17" i="21"/>
  <c r="AG21" i="21"/>
  <c r="AG25" i="21"/>
  <c r="AG29" i="21"/>
  <c r="AG33" i="21"/>
  <c r="AG37" i="21"/>
  <c r="AG41" i="21"/>
  <c r="AG45" i="21"/>
  <c r="AG49" i="21"/>
  <c r="AG53" i="21"/>
  <c r="AG57" i="21"/>
  <c r="AG61" i="21"/>
  <c r="AG65" i="21"/>
  <c r="AG69" i="21"/>
  <c r="AG73" i="21"/>
  <c r="AG77" i="21"/>
  <c r="AG81" i="21"/>
  <c r="AG85" i="21"/>
  <c r="AG89" i="21"/>
  <c r="AG93" i="21"/>
  <c r="AG97" i="21"/>
  <c r="AG101" i="21"/>
  <c r="AG105" i="21"/>
  <c r="AG109" i="21"/>
  <c r="AG113" i="21"/>
  <c r="AG117" i="21"/>
  <c r="AG121" i="21"/>
  <c r="AG125" i="21"/>
  <c r="AG129" i="21"/>
  <c r="AG133" i="21"/>
  <c r="AG137" i="21"/>
  <c r="AG141" i="21"/>
  <c r="AG145" i="21"/>
  <c r="AG149" i="21"/>
  <c r="AG153" i="21"/>
  <c r="AG157" i="21"/>
  <c r="AG161" i="21"/>
  <c r="AG165" i="21"/>
  <c r="AG169" i="21"/>
  <c r="AG173" i="21"/>
  <c r="AG177" i="21"/>
  <c r="AG181" i="21"/>
  <c r="AG185" i="21"/>
  <c r="AG189" i="21"/>
  <c r="AG193" i="21"/>
  <c r="AG197" i="21"/>
  <c r="AG201" i="21"/>
  <c r="AG205" i="21"/>
  <c r="AG209" i="21"/>
  <c r="AG213" i="21"/>
  <c r="AG217" i="21"/>
  <c r="AG221" i="21"/>
  <c r="AG225" i="21"/>
  <c r="AG229" i="21"/>
  <c r="AG233" i="21"/>
  <c r="AG237" i="21"/>
  <c r="AG241" i="21"/>
  <c r="AG245" i="21"/>
  <c r="AG249" i="21"/>
  <c r="AG253" i="21"/>
  <c r="AG257" i="21"/>
  <c r="AG261" i="21"/>
  <c r="AG265" i="21"/>
  <c r="AG269" i="21"/>
  <c r="AG273" i="21"/>
  <c r="AG277" i="21"/>
  <c r="AG281" i="21"/>
  <c r="AG285" i="21"/>
  <c r="AG289" i="21"/>
  <c r="AG293" i="21"/>
  <c r="AG297" i="21"/>
  <c r="AG301" i="21"/>
  <c r="AG305" i="21"/>
  <c r="AG309" i="21"/>
  <c r="AG313" i="21"/>
  <c r="AG317" i="21"/>
  <c r="AG321" i="21"/>
  <c r="AG325" i="21"/>
  <c r="AG329" i="21"/>
  <c r="AG333" i="21"/>
  <c r="AG337" i="21"/>
  <c r="AG341" i="21"/>
  <c r="AG345" i="21"/>
  <c r="AG349" i="21"/>
  <c r="AG353" i="21"/>
  <c r="AG357" i="21"/>
  <c r="AG361" i="21"/>
  <c r="AG365" i="21"/>
  <c r="AG369" i="21"/>
  <c r="AG373" i="21"/>
  <c r="AG377" i="21"/>
  <c r="AG381" i="21"/>
  <c r="AG385" i="21"/>
  <c r="AG389" i="21"/>
  <c r="AG393" i="21"/>
  <c r="AG397" i="21"/>
  <c r="AG401" i="21"/>
  <c r="AG405" i="21"/>
  <c r="AG409" i="21"/>
  <c r="AG413" i="21"/>
  <c r="AG417" i="21"/>
  <c r="AG421" i="21"/>
  <c r="AG425" i="21"/>
  <c r="AG429" i="21"/>
  <c r="AG433" i="21"/>
  <c r="AG437" i="21"/>
  <c r="AG441" i="21"/>
  <c r="AG445" i="21"/>
  <c r="AG449" i="21"/>
  <c r="AG453" i="21"/>
  <c r="AG457" i="21"/>
  <c r="AG461" i="21"/>
  <c r="AG465" i="21"/>
  <c r="AG469" i="21"/>
  <c r="AG473" i="21"/>
  <c r="AG477" i="21"/>
  <c r="AG481" i="21"/>
  <c r="AG485" i="21"/>
  <c r="AG489" i="21"/>
  <c r="AG493" i="21"/>
  <c r="AG497" i="21"/>
  <c r="AG501" i="21"/>
  <c r="AG505" i="21"/>
  <c r="AG509" i="21"/>
  <c r="AG513" i="21"/>
  <c r="AG517" i="21"/>
  <c r="AG521" i="21"/>
  <c r="AG525" i="21"/>
  <c r="AG529" i="21"/>
  <c r="AG533" i="21"/>
  <c r="AG537" i="21"/>
  <c r="AG541" i="21"/>
  <c r="AG545" i="21"/>
  <c r="AG549" i="21"/>
  <c r="AG553" i="21"/>
  <c r="AG557" i="21"/>
  <c r="AG561" i="21"/>
  <c r="AG565" i="21"/>
  <c r="AG569" i="21"/>
  <c r="AG573" i="21"/>
  <c r="AG577" i="21"/>
  <c r="AG581" i="21"/>
  <c r="AG585" i="21"/>
  <c r="AG589" i="21"/>
  <c r="AG593" i="21"/>
  <c r="AG597" i="21"/>
  <c r="AG601" i="21"/>
  <c r="AG605" i="21"/>
  <c r="AG609" i="21"/>
  <c r="AG613" i="21"/>
  <c r="AG617" i="21"/>
  <c r="AG621" i="21"/>
  <c r="AG625" i="21"/>
  <c r="AG629" i="21"/>
  <c r="AG633" i="21"/>
  <c r="AG637" i="21"/>
  <c r="AG641" i="21"/>
  <c r="AG645" i="21"/>
  <c r="AG649" i="21"/>
  <c r="AG653" i="21"/>
  <c r="AG657" i="21"/>
  <c r="AG661" i="21"/>
  <c r="AG665" i="21"/>
  <c r="AG669" i="21"/>
  <c r="AG673" i="21"/>
  <c r="AG677" i="21"/>
  <c r="AG681" i="21"/>
  <c r="AG685" i="21"/>
  <c r="AG689" i="21"/>
  <c r="AG693" i="21"/>
  <c r="AG697" i="21"/>
  <c r="AG701" i="21"/>
  <c r="AG705" i="21"/>
  <c r="AG709" i="21"/>
  <c r="AG713" i="21"/>
  <c r="AG717" i="21"/>
  <c r="AG721" i="21"/>
  <c r="AG725" i="21"/>
  <c r="AG729" i="21"/>
  <c r="AG733" i="21"/>
  <c r="AG737" i="21"/>
  <c r="AG741" i="21"/>
  <c r="AG745" i="21"/>
  <c r="AG749" i="21"/>
  <c r="AG753" i="21"/>
  <c r="AG757" i="21"/>
  <c r="AG761" i="21"/>
  <c r="AG765" i="21"/>
  <c r="AG769" i="21"/>
  <c r="AG773" i="21"/>
  <c r="AG777" i="21"/>
  <c r="AG781" i="21"/>
  <c r="AG785" i="21"/>
  <c r="AG789" i="21"/>
  <c r="AG793" i="21"/>
  <c r="AG797" i="21"/>
  <c r="AG801" i="21"/>
  <c r="AG805" i="21"/>
  <c r="AG809" i="21"/>
  <c r="AG813" i="21"/>
  <c r="AG817" i="21"/>
  <c r="AG821" i="21"/>
  <c r="AG825" i="21"/>
  <c r="AG829" i="21"/>
  <c r="AG833" i="21"/>
  <c r="AG837" i="21"/>
  <c r="AG841" i="21"/>
  <c r="AG845" i="21"/>
  <c r="AG849" i="21"/>
  <c r="AG853" i="21"/>
  <c r="AG857" i="21"/>
  <c r="AG861" i="21"/>
  <c r="AG865" i="21"/>
  <c r="AG869" i="21"/>
  <c r="AG873" i="21"/>
  <c r="AG22" i="27"/>
  <c r="AG30" i="27"/>
  <c r="AG38" i="27"/>
  <c r="AG46" i="27"/>
  <c r="AG54" i="27"/>
  <c r="AG62" i="27"/>
  <c r="AG70" i="27"/>
  <c r="AG78" i="27"/>
  <c r="AG86" i="27"/>
  <c r="AG94" i="27"/>
  <c r="AG102" i="27"/>
  <c r="AG110" i="27"/>
  <c r="AG118" i="27"/>
  <c r="AG18" i="21"/>
  <c r="AG22" i="21"/>
  <c r="AG26" i="21"/>
  <c r="AG30" i="21"/>
  <c r="AG34" i="21"/>
  <c r="AG38" i="21"/>
  <c r="AG42" i="21"/>
  <c r="AG46" i="21"/>
  <c r="AG50" i="21"/>
  <c r="AG54" i="21"/>
  <c r="AG58" i="21"/>
  <c r="AG62" i="21"/>
  <c r="AG66" i="21"/>
  <c r="AG70" i="21"/>
  <c r="AG74" i="21"/>
  <c r="AG78" i="21"/>
  <c r="AG82" i="21"/>
  <c r="AG86" i="21"/>
  <c r="AG90" i="21"/>
  <c r="AG94" i="21"/>
  <c r="AG98" i="21"/>
  <c r="AG102" i="21"/>
  <c r="AG106" i="21"/>
  <c r="AG110" i="21"/>
  <c r="AG114" i="21"/>
  <c r="AG118" i="21"/>
  <c r="AG122" i="21"/>
  <c r="AG126" i="21"/>
  <c r="AG130" i="21"/>
  <c r="AG134" i="21"/>
  <c r="AG138" i="21"/>
  <c r="AG142" i="21"/>
  <c r="AG146" i="21"/>
  <c r="AG150" i="21"/>
  <c r="AG154" i="21"/>
  <c r="AG158" i="21"/>
  <c r="AG162" i="21"/>
  <c r="AG166" i="21"/>
  <c r="AG170" i="21"/>
  <c r="AG174" i="21"/>
  <c r="AG178" i="21"/>
  <c r="AG182" i="21"/>
  <c r="AG186" i="21"/>
  <c r="AG190" i="21"/>
  <c r="AG194" i="21"/>
  <c r="AG198" i="21"/>
  <c r="AG202" i="21"/>
  <c r="AG206" i="21"/>
  <c r="AG210" i="21"/>
  <c r="AG214" i="21"/>
  <c r="AG218" i="21"/>
  <c r="AG222" i="21"/>
  <c r="AG226" i="21"/>
  <c r="AG230" i="21"/>
  <c r="AG234" i="21"/>
  <c r="AG238" i="21"/>
  <c r="AG242" i="21"/>
  <c r="AG246" i="21"/>
  <c r="AG250" i="21"/>
  <c r="AG254" i="21"/>
  <c r="AG258" i="21"/>
  <c r="AG262" i="21"/>
  <c r="AG266" i="21"/>
  <c r="AG270" i="21"/>
  <c r="AG274" i="21"/>
  <c r="AG278" i="21"/>
  <c r="AG282" i="21"/>
  <c r="AG286" i="21"/>
  <c r="AG290" i="21"/>
  <c r="AG294" i="21"/>
  <c r="AG298" i="21"/>
  <c r="AG302" i="21"/>
  <c r="AG306" i="21"/>
  <c r="AG310" i="21"/>
  <c r="AG314" i="21"/>
  <c r="AG318" i="21"/>
  <c r="AG322" i="21"/>
  <c r="AG326" i="21"/>
  <c r="AG330" i="21"/>
  <c r="AG334" i="21"/>
  <c r="AG338" i="21"/>
  <c r="AG342" i="21"/>
  <c r="AG346" i="21"/>
  <c r="AG350" i="21"/>
  <c r="AG354" i="21"/>
  <c r="AG358" i="21"/>
  <c r="AG362" i="21"/>
  <c r="AG366" i="21"/>
  <c r="AG370" i="21"/>
  <c r="AG374" i="21"/>
  <c r="AG378" i="21"/>
  <c r="AG382" i="21"/>
  <c r="AG386" i="21"/>
  <c r="AG390" i="21"/>
  <c r="AG394" i="21"/>
  <c r="AG398" i="21"/>
  <c r="AG402" i="21"/>
  <c r="AG406" i="21"/>
  <c r="AG410" i="21"/>
  <c r="AG414" i="21"/>
  <c r="AG418" i="21"/>
  <c r="AG422" i="21"/>
  <c r="AG426" i="21"/>
  <c r="AG430" i="21"/>
  <c r="AG434" i="21"/>
  <c r="AG438" i="21"/>
  <c r="AG442" i="21"/>
  <c r="AG446" i="21"/>
  <c r="AG450" i="21"/>
  <c r="AG454" i="21"/>
  <c r="AG458" i="21"/>
  <c r="AG462" i="21"/>
  <c r="AG466" i="21"/>
  <c r="AG470" i="21"/>
  <c r="AG474" i="21"/>
  <c r="AG478" i="21"/>
  <c r="AG482" i="21"/>
  <c r="AG486" i="21"/>
  <c r="AG490" i="21"/>
  <c r="AG494" i="21"/>
  <c r="AG498" i="21"/>
  <c r="AG502" i="21"/>
  <c r="AG506" i="21"/>
  <c r="AG510" i="21"/>
  <c r="AG514" i="21"/>
  <c r="AG518" i="21"/>
  <c r="AG522" i="21"/>
  <c r="AG526" i="21"/>
  <c r="AG530" i="21"/>
  <c r="AG534" i="21"/>
  <c r="AG538" i="21"/>
  <c r="AG542" i="21"/>
  <c r="AG546" i="21"/>
  <c r="AG550" i="21"/>
  <c r="AG554" i="21"/>
  <c r="AG558" i="21"/>
  <c r="AG562" i="21"/>
  <c r="AG566" i="21"/>
  <c r="AG570" i="21"/>
  <c r="AG574" i="21"/>
  <c r="AG578" i="21"/>
  <c r="AG582" i="21"/>
  <c r="AG586" i="21"/>
  <c r="AG590" i="21"/>
  <c r="AG594" i="21"/>
  <c r="AG598" i="21"/>
  <c r="AG602" i="21"/>
  <c r="AG606" i="21"/>
  <c r="AG610" i="21"/>
  <c r="AG614" i="21"/>
  <c r="AG618" i="21"/>
  <c r="AG622" i="21"/>
  <c r="AG626" i="21"/>
  <c r="AG630" i="21"/>
  <c r="AG634" i="21"/>
  <c r="AG638" i="21"/>
  <c r="AG642" i="21"/>
  <c r="AG646" i="21"/>
  <c r="AG650" i="21"/>
  <c r="AG654" i="21"/>
  <c r="AG658" i="21"/>
  <c r="AG662" i="21"/>
  <c r="AG666" i="21"/>
  <c r="AG670" i="21"/>
  <c r="AG674" i="21"/>
  <c r="AG678" i="21"/>
  <c r="AG682" i="21"/>
  <c r="AG686" i="21"/>
  <c r="AG690" i="21"/>
  <c r="AG694" i="21"/>
  <c r="AG698" i="21"/>
  <c r="AG702" i="21"/>
  <c r="AG706" i="21"/>
  <c r="AG710" i="21"/>
  <c r="AG714" i="21"/>
  <c r="AG718" i="21"/>
  <c r="AG722" i="21"/>
  <c r="AG726" i="21"/>
  <c r="AG730" i="21"/>
  <c r="AG734" i="21"/>
  <c r="AG738" i="21"/>
  <c r="AG742" i="21"/>
  <c r="AG746" i="21"/>
  <c r="AG750" i="21"/>
  <c r="AG754" i="21"/>
  <c r="AG758" i="21"/>
  <c r="AG762" i="21"/>
  <c r="AG766" i="21"/>
  <c r="AG770" i="21"/>
  <c r="AG774" i="21"/>
  <c r="AG778" i="21"/>
  <c r="AG782" i="21"/>
  <c r="AG786" i="21"/>
  <c r="AG790" i="21"/>
  <c r="AG794" i="21"/>
  <c r="AG798" i="21"/>
  <c r="AG802" i="21"/>
  <c r="AG806" i="21"/>
  <c r="AG810" i="21"/>
  <c r="AG814" i="21"/>
  <c r="AG818" i="21"/>
  <c r="AG822" i="21"/>
  <c r="AG826" i="21"/>
  <c r="AG830" i="21"/>
  <c r="AG834" i="21"/>
  <c r="AG838" i="21"/>
  <c r="AG842" i="21"/>
  <c r="AG846" i="21"/>
  <c r="AG850" i="21"/>
  <c r="AG854" i="21"/>
  <c r="AG858" i="21"/>
  <c r="AG862" i="21"/>
  <c r="AG866" i="21"/>
  <c r="AG870" i="21"/>
  <c r="AG874" i="21"/>
  <c r="AG878" i="21"/>
  <c r="AG882" i="21"/>
  <c r="AG886" i="21"/>
  <c r="AG890" i="21"/>
  <c r="AG894" i="21"/>
  <c r="AG898" i="21"/>
  <c r="AG902" i="21"/>
  <c r="AG906" i="21"/>
  <c r="AG910" i="21"/>
  <c r="AG914" i="21"/>
  <c r="AG918" i="21"/>
  <c r="AG922" i="21"/>
  <c r="AG926" i="21"/>
  <c r="AG930" i="21"/>
  <c r="AG934" i="21"/>
  <c r="AG938" i="21"/>
  <c r="AG942" i="21"/>
  <c r="AG946" i="21"/>
  <c r="AG950" i="21"/>
  <c r="AG954" i="21"/>
  <c r="AG958" i="21"/>
  <c r="AG962" i="21"/>
  <c r="AG966" i="21"/>
  <c r="AG970" i="21"/>
  <c r="AG974" i="21"/>
  <c r="AG978" i="21"/>
  <c r="AG982" i="21"/>
  <c r="AG986" i="21"/>
  <c r="AG990" i="21"/>
  <c r="AG994" i="21"/>
  <c r="AG998" i="21"/>
  <c r="AG1002" i="21"/>
  <c r="AG1006" i="21"/>
  <c r="AG1010" i="21"/>
  <c r="AG1014" i="21"/>
  <c r="AG1018" i="21"/>
  <c r="AG1022" i="21"/>
  <c r="AG1026" i="21"/>
  <c r="AG1030" i="21"/>
  <c r="AG1034" i="21"/>
  <c r="AG1038" i="21"/>
  <c r="AG1042" i="21"/>
  <c r="AG1046" i="21"/>
  <c r="AG1050" i="21"/>
  <c r="AG1054" i="21"/>
  <c r="AG1058" i="21"/>
  <c r="AG1062" i="21"/>
  <c r="AG1066" i="21"/>
  <c r="AG1070" i="21"/>
  <c r="AG1074" i="21"/>
  <c r="AG1078" i="21"/>
  <c r="AG1082" i="21"/>
  <c r="AG1086" i="21"/>
  <c r="AG1090" i="21"/>
  <c r="AG1094" i="21"/>
  <c r="AG1098" i="21"/>
  <c r="AG1102" i="21"/>
  <c r="AG1106" i="21"/>
  <c r="AG1110" i="21"/>
  <c r="AG1114" i="21"/>
  <c r="AG1118" i="21"/>
  <c r="AG1122" i="21"/>
  <c r="AG1126" i="21"/>
  <c r="AG1130" i="21"/>
  <c r="AG1134" i="21"/>
  <c r="AG40" i="27"/>
  <c r="AG72" i="27"/>
  <c r="AG104" i="27"/>
  <c r="AI104" i="27" s="1"/>
  <c r="AG20" i="21"/>
  <c r="AG28" i="21"/>
  <c r="AG36" i="21"/>
  <c r="AG44" i="21"/>
  <c r="AG52" i="21"/>
  <c r="AG60" i="21"/>
  <c r="AG68" i="21"/>
  <c r="AG76" i="21"/>
  <c r="AG84" i="21"/>
  <c r="AG92" i="21"/>
  <c r="AG100" i="21"/>
  <c r="AG108" i="21"/>
  <c r="AG116" i="21"/>
  <c r="AG124" i="21"/>
  <c r="AG132" i="21"/>
  <c r="AG140" i="21"/>
  <c r="AG148" i="21"/>
  <c r="AG156" i="21"/>
  <c r="AG164" i="21"/>
  <c r="AG172" i="21"/>
  <c r="AG180" i="21"/>
  <c r="AG188" i="21"/>
  <c r="AG196" i="21"/>
  <c r="AG204" i="21"/>
  <c r="AG212" i="21"/>
  <c r="AG220" i="21"/>
  <c r="AG228" i="21"/>
  <c r="AG236" i="21"/>
  <c r="AG244" i="21"/>
  <c r="AG252" i="21"/>
  <c r="AG260" i="21"/>
  <c r="AG268" i="21"/>
  <c r="AG276" i="21"/>
  <c r="AG284" i="21"/>
  <c r="AG292" i="21"/>
  <c r="AG300" i="21"/>
  <c r="AG308" i="21"/>
  <c r="AG316" i="21"/>
  <c r="AG324" i="21"/>
  <c r="AG332" i="21"/>
  <c r="AG340" i="21"/>
  <c r="AG348" i="21"/>
  <c r="AG356" i="21"/>
  <c r="AG364" i="21"/>
  <c r="AG372" i="21"/>
  <c r="AG380" i="21"/>
  <c r="AG388" i="21"/>
  <c r="AG396" i="21"/>
  <c r="AG404" i="21"/>
  <c r="AG412" i="21"/>
  <c r="AG420" i="21"/>
  <c r="AG428" i="21"/>
  <c r="AG436" i="21"/>
  <c r="AG444" i="21"/>
  <c r="AG452" i="21"/>
  <c r="AG460" i="21"/>
  <c r="AG468" i="21"/>
  <c r="AG476" i="21"/>
  <c r="AG484" i="21"/>
  <c r="AG492" i="21"/>
  <c r="AG500" i="21"/>
  <c r="AG508" i="21"/>
  <c r="AG516" i="21"/>
  <c r="AG524" i="21"/>
  <c r="AG532" i="21"/>
  <c r="AG540" i="21"/>
  <c r="AG548" i="21"/>
  <c r="AG556" i="21"/>
  <c r="AG564" i="21"/>
  <c r="AG572" i="21"/>
  <c r="AG580" i="21"/>
  <c r="AG588" i="21"/>
  <c r="AG596" i="21"/>
  <c r="AG604" i="21"/>
  <c r="AG612" i="21"/>
  <c r="AG620" i="21"/>
  <c r="AG628" i="21"/>
  <c r="AG636" i="21"/>
  <c r="AG644" i="21"/>
  <c r="AG652" i="21"/>
  <c r="AG660" i="21"/>
  <c r="AG668" i="21"/>
  <c r="AG676" i="21"/>
  <c r="AG684" i="21"/>
  <c r="AG692" i="21"/>
  <c r="AG700" i="21"/>
  <c r="AG708" i="21"/>
  <c r="AG716" i="21"/>
  <c r="AG724" i="21"/>
  <c r="AG732" i="21"/>
  <c r="AG740" i="21"/>
  <c r="AG748" i="21"/>
  <c r="AG756" i="21"/>
  <c r="AG764" i="21"/>
  <c r="AG772" i="21"/>
  <c r="AG780" i="21"/>
  <c r="AG788" i="21"/>
  <c r="AG796" i="21"/>
  <c r="AG804" i="21"/>
  <c r="AG812" i="21"/>
  <c r="AG820" i="21"/>
  <c r="AG828" i="21"/>
  <c r="AG836" i="21"/>
  <c r="AG844" i="21"/>
  <c r="AG852" i="21"/>
  <c r="AG860" i="21"/>
  <c r="AG868" i="21"/>
  <c r="AG876" i="21"/>
  <c r="AG881" i="21"/>
  <c r="AG887" i="21"/>
  <c r="AG892" i="21"/>
  <c r="AG897" i="21"/>
  <c r="AG903" i="21"/>
  <c r="AG908" i="21"/>
  <c r="AG913" i="21"/>
  <c r="AG919" i="21"/>
  <c r="AG924" i="21"/>
  <c r="AG929" i="21"/>
  <c r="AG935" i="21"/>
  <c r="AG940" i="21"/>
  <c r="AG945" i="21"/>
  <c r="AG951" i="21"/>
  <c r="AG956" i="21"/>
  <c r="AG961" i="21"/>
  <c r="AG967" i="21"/>
  <c r="AG972" i="21"/>
  <c r="AG977" i="21"/>
  <c r="AG983" i="21"/>
  <c r="AG988" i="21"/>
  <c r="AG993" i="21"/>
  <c r="AG999" i="21"/>
  <c r="AG1004" i="21"/>
  <c r="AG1009" i="21"/>
  <c r="AG1015" i="21"/>
  <c r="AG1020" i="21"/>
  <c r="AG1025" i="21"/>
  <c r="AG1031" i="21"/>
  <c r="AG1036" i="21"/>
  <c r="AG1041" i="21"/>
  <c r="AG1047" i="21"/>
  <c r="AG1052" i="21"/>
  <c r="AG1057" i="21"/>
  <c r="AG1063" i="21"/>
  <c r="AG1068" i="21"/>
  <c r="AG1073" i="21"/>
  <c r="AG1079" i="21"/>
  <c r="AG1084" i="21"/>
  <c r="AG1089" i="21"/>
  <c r="AG1095" i="21"/>
  <c r="AG1100" i="21"/>
  <c r="AG1105" i="21"/>
  <c r="AG1111" i="21"/>
  <c r="AG1116" i="21"/>
  <c r="AG1121" i="21"/>
  <c r="AG1127" i="21"/>
  <c r="AG1132" i="21"/>
  <c r="AG1137" i="21"/>
  <c r="AG1141" i="21"/>
  <c r="AG1145" i="21"/>
  <c r="AG1149" i="21"/>
  <c r="AG1153" i="21"/>
  <c r="AG1157" i="21"/>
  <c r="AG1161" i="21"/>
  <c r="AG1165" i="21"/>
  <c r="AG1169" i="21"/>
  <c r="AG1173" i="21"/>
  <c r="AG1177" i="21"/>
  <c r="AG1181" i="21"/>
  <c r="AG1185" i="21"/>
  <c r="AG1189" i="21"/>
  <c r="AG1193" i="21"/>
  <c r="AG1197" i="21"/>
  <c r="AG1201" i="21"/>
  <c r="AG16" i="27"/>
  <c r="AG48" i="27"/>
  <c r="AG80" i="27"/>
  <c r="AI80" i="27" s="1"/>
  <c r="AG112" i="27"/>
  <c r="AG23" i="21"/>
  <c r="AG31" i="21"/>
  <c r="AG39" i="21"/>
  <c r="AG47" i="21"/>
  <c r="AG55" i="21"/>
  <c r="AG63" i="21"/>
  <c r="AG71" i="21"/>
  <c r="AG79" i="21"/>
  <c r="AG87" i="21"/>
  <c r="AG95" i="21"/>
  <c r="AG103" i="21"/>
  <c r="AG111" i="21"/>
  <c r="AG119" i="21"/>
  <c r="AG127" i="21"/>
  <c r="AG135" i="21"/>
  <c r="AG143" i="21"/>
  <c r="AG151" i="21"/>
  <c r="AG159" i="21"/>
  <c r="AG167" i="21"/>
  <c r="AG175" i="21"/>
  <c r="AG183" i="21"/>
  <c r="AG191" i="21"/>
  <c r="AG199" i="21"/>
  <c r="AG207" i="21"/>
  <c r="AG215" i="21"/>
  <c r="AG223" i="21"/>
  <c r="AG231" i="21"/>
  <c r="AG239" i="21"/>
  <c r="AG247" i="21"/>
  <c r="AG255" i="21"/>
  <c r="AG263" i="21"/>
  <c r="AG271" i="21"/>
  <c r="AG279" i="21"/>
  <c r="AG287" i="21"/>
  <c r="AG295" i="21"/>
  <c r="AG303" i="21"/>
  <c r="AG311" i="21"/>
  <c r="AG319" i="21"/>
  <c r="AG327" i="21"/>
  <c r="AG335" i="21"/>
  <c r="AG343" i="21"/>
  <c r="AG351" i="21"/>
  <c r="AG359" i="21"/>
  <c r="AG367" i="21"/>
  <c r="AG375" i="21"/>
  <c r="AG383" i="21"/>
  <c r="AG391" i="21"/>
  <c r="AG399" i="21"/>
  <c r="AG407" i="21"/>
  <c r="AG415" i="21"/>
  <c r="AG423" i="21"/>
  <c r="AG431" i="21"/>
  <c r="AG439" i="21"/>
  <c r="AG447" i="21"/>
  <c r="AG455" i="21"/>
  <c r="AG463" i="21"/>
  <c r="AG471" i="21"/>
  <c r="AG479" i="21"/>
  <c r="AG487" i="21"/>
  <c r="AG495" i="21"/>
  <c r="AG503" i="21"/>
  <c r="AG511" i="21"/>
  <c r="AG519" i="21"/>
  <c r="AG527" i="21"/>
  <c r="AG535" i="21"/>
  <c r="AG543" i="21"/>
  <c r="AG551" i="21"/>
  <c r="AG559" i="21"/>
  <c r="AG567" i="21"/>
  <c r="AG575" i="21"/>
  <c r="AG583" i="21"/>
  <c r="AG591" i="21"/>
  <c r="AG599" i="21"/>
  <c r="AG607" i="21"/>
  <c r="AG615" i="21"/>
  <c r="AG623" i="21"/>
  <c r="AG631" i="21"/>
  <c r="AG639" i="21"/>
  <c r="AG647" i="21"/>
  <c r="AG655" i="21"/>
  <c r="AG663" i="21"/>
  <c r="AG671" i="21"/>
  <c r="AG679" i="21"/>
  <c r="AG687" i="21"/>
  <c r="AG695" i="21"/>
  <c r="AG703" i="21"/>
  <c r="AG711" i="21"/>
  <c r="AG719" i="21"/>
  <c r="AG727" i="21"/>
  <c r="AG735" i="21"/>
  <c r="AG743" i="21"/>
  <c r="AG751" i="21"/>
  <c r="AG759" i="21"/>
  <c r="AG767" i="21"/>
  <c r="AG775" i="21"/>
  <c r="AG783" i="21"/>
  <c r="AG791" i="21"/>
  <c r="AG799" i="21"/>
  <c r="AG807" i="21"/>
  <c r="AG815" i="21"/>
  <c r="AG823" i="21"/>
  <c r="AG831" i="21"/>
  <c r="AG839" i="21"/>
  <c r="AG847" i="21"/>
  <c r="AG855" i="21"/>
  <c r="AG863" i="21"/>
  <c r="AG871" i="21"/>
  <c r="AG877" i="21"/>
  <c r="AG883" i="21"/>
  <c r="AG888" i="21"/>
  <c r="AG893" i="21"/>
  <c r="AG899" i="21"/>
  <c r="AG904" i="21"/>
  <c r="AG909" i="21"/>
  <c r="AG915" i="21"/>
  <c r="AG920" i="21"/>
  <c r="AG925" i="21"/>
  <c r="AG931" i="21"/>
  <c r="AG936" i="21"/>
  <c r="AG941" i="21"/>
  <c r="AG947" i="21"/>
  <c r="AG952" i="21"/>
  <c r="AG957" i="21"/>
  <c r="AG963" i="21"/>
  <c r="AG968" i="21"/>
  <c r="AG973" i="21"/>
  <c r="AG979" i="21"/>
  <c r="AG984" i="21"/>
  <c r="AG989" i="21"/>
  <c r="AG995" i="21"/>
  <c r="AG1000" i="21"/>
  <c r="AG1005" i="21"/>
  <c r="AG1011" i="21"/>
  <c r="AG1016" i="21"/>
  <c r="AG1021" i="21"/>
  <c r="AG1027" i="21"/>
  <c r="AG1032" i="21"/>
  <c r="AG1037" i="21"/>
  <c r="AG1043" i="21"/>
  <c r="AG1048" i="21"/>
  <c r="AG1053" i="21"/>
  <c r="AG1059" i="21"/>
  <c r="AG1064" i="21"/>
  <c r="AG1069" i="21"/>
  <c r="AG1075" i="21"/>
  <c r="AG1080" i="21"/>
  <c r="AG1085" i="21"/>
  <c r="AG1091" i="21"/>
  <c r="AG1096" i="21"/>
  <c r="AG1101" i="21"/>
  <c r="AG1107" i="21"/>
  <c r="AG1112" i="21"/>
  <c r="AG1117" i="21"/>
  <c r="AG1123" i="21"/>
  <c r="AG1128" i="21"/>
  <c r="AG1133" i="21"/>
  <c r="AG1138" i="21"/>
  <c r="AG1142" i="21"/>
  <c r="AG1146" i="21"/>
  <c r="AG1150" i="21"/>
  <c r="AG1154" i="21"/>
  <c r="AG1158" i="21"/>
  <c r="AG1162" i="21"/>
  <c r="AG1166" i="21"/>
  <c r="AG1170" i="21"/>
  <c r="AG1174" i="21"/>
  <c r="AG1178" i="21"/>
  <c r="AG1182" i="21"/>
  <c r="AG1186" i="21"/>
  <c r="AG1190" i="21"/>
  <c r="AG1194" i="21"/>
  <c r="AG1198" i="21"/>
  <c r="AG1202" i="21"/>
  <c r="AG24" i="27"/>
  <c r="AG56" i="27"/>
  <c r="AG88" i="27"/>
  <c r="AG16" i="21"/>
  <c r="AG24" i="21"/>
  <c r="AG32" i="21"/>
  <c r="AG40" i="21"/>
  <c r="AG48" i="21"/>
  <c r="AG56" i="21"/>
  <c r="AG64" i="21"/>
  <c r="AG72" i="21"/>
  <c r="AG80" i="21"/>
  <c r="AG88" i="21"/>
  <c r="AG96" i="21"/>
  <c r="AG104" i="21"/>
  <c r="AG112" i="21"/>
  <c r="AG120" i="21"/>
  <c r="AG128" i="21"/>
  <c r="AG136" i="21"/>
  <c r="AG144" i="21"/>
  <c r="AG152" i="21"/>
  <c r="AG160" i="21"/>
  <c r="AG168" i="21"/>
  <c r="AG176" i="21"/>
  <c r="AG184" i="21"/>
  <c r="AG192" i="21"/>
  <c r="AG200" i="21"/>
  <c r="AG208" i="21"/>
  <c r="AG216" i="21"/>
  <c r="AG224" i="21"/>
  <c r="AG232" i="21"/>
  <c r="AG240" i="21"/>
  <c r="AG248" i="21"/>
  <c r="AG256" i="21"/>
  <c r="AG264" i="21"/>
  <c r="AG272" i="21"/>
  <c r="AG280" i="21"/>
  <c r="AG288" i="21"/>
  <c r="AG296" i="21"/>
  <c r="AG304" i="21"/>
  <c r="AG312" i="21"/>
  <c r="AG320" i="21"/>
  <c r="AG328" i="21"/>
  <c r="AG336" i="21"/>
  <c r="AG344" i="21"/>
  <c r="AG352" i="21"/>
  <c r="AG360" i="21"/>
  <c r="AG368" i="21"/>
  <c r="AG376" i="21"/>
  <c r="AG384" i="21"/>
  <c r="AG392" i="21"/>
  <c r="AG400" i="21"/>
  <c r="AG408" i="21"/>
  <c r="AG416" i="21"/>
  <c r="AG424" i="21"/>
  <c r="AG432" i="21"/>
  <c r="AG440" i="21"/>
  <c r="AG448" i="21"/>
  <c r="AG456" i="21"/>
  <c r="AG464" i="21"/>
  <c r="AG472" i="21"/>
  <c r="AG480" i="21"/>
  <c r="AG488" i="21"/>
  <c r="AG496" i="21"/>
  <c r="AG504" i="21"/>
  <c r="AG512" i="21"/>
  <c r="AG520" i="21"/>
  <c r="AG528" i="21"/>
  <c r="AG536" i="21"/>
  <c r="AG544" i="21"/>
  <c r="AG552" i="21"/>
  <c r="AG560" i="21"/>
  <c r="AG568" i="21"/>
  <c r="AG576" i="21"/>
  <c r="AG584" i="21"/>
  <c r="AG592" i="21"/>
  <c r="AG600" i="21"/>
  <c r="AG608" i="21"/>
  <c r="AG616" i="21"/>
  <c r="AG624" i="21"/>
  <c r="AG632" i="21"/>
  <c r="AG640" i="21"/>
  <c r="AG648" i="21"/>
  <c r="AG656" i="21"/>
  <c r="AG664" i="21"/>
  <c r="AG672" i="21"/>
  <c r="AG680" i="21"/>
  <c r="AG688" i="21"/>
  <c r="AG696" i="21"/>
  <c r="AG704" i="21"/>
  <c r="AG712" i="21"/>
  <c r="AG720" i="21"/>
  <c r="AG728" i="21"/>
  <c r="AG736" i="21"/>
  <c r="AG744" i="21"/>
  <c r="AG752" i="21"/>
  <c r="AG760" i="21"/>
  <c r="AG768" i="21"/>
  <c r="AG776" i="21"/>
  <c r="AG784" i="21"/>
  <c r="AG792" i="21"/>
  <c r="AG800" i="21"/>
  <c r="AG808" i="21"/>
  <c r="AG816" i="21"/>
  <c r="AG824" i="21"/>
  <c r="AG832" i="21"/>
  <c r="AG840" i="21"/>
  <c r="AG848" i="21"/>
  <c r="AG856" i="21"/>
  <c r="AG864" i="21"/>
  <c r="AG872" i="21"/>
  <c r="AG879" i="21"/>
  <c r="AG884" i="21"/>
  <c r="AG889" i="21"/>
  <c r="AG895" i="21"/>
  <c r="AG900" i="21"/>
  <c r="AG905" i="21"/>
  <c r="AG911" i="21"/>
  <c r="AG916" i="21"/>
  <c r="AG921" i="21"/>
  <c r="AG927" i="21"/>
  <c r="AG932" i="21"/>
  <c r="AG937" i="21"/>
  <c r="AG943" i="21"/>
  <c r="AG948" i="21"/>
  <c r="AG953" i="21"/>
  <c r="AG959" i="21"/>
  <c r="AG964" i="21"/>
  <c r="AG969" i="21"/>
  <c r="AG975" i="21"/>
  <c r="AG980" i="21"/>
  <c r="AG985" i="21"/>
  <c r="AG991" i="21"/>
  <c r="AG996" i="21"/>
  <c r="AG1001" i="21"/>
  <c r="AG1007" i="21"/>
  <c r="AG1012" i="21"/>
  <c r="AG1017" i="21"/>
  <c r="AG1023" i="21"/>
  <c r="AG1028" i="21"/>
  <c r="AG1033" i="21"/>
  <c r="AG1039" i="21"/>
  <c r="AG1044" i="21"/>
  <c r="AG1049" i="21"/>
  <c r="AG1055" i="21"/>
  <c r="AG1060" i="21"/>
  <c r="AG1065" i="21"/>
  <c r="AG1071" i="21"/>
  <c r="AG1076" i="21"/>
  <c r="AG1081" i="21"/>
  <c r="AG1087" i="21"/>
  <c r="AG1092" i="21"/>
  <c r="AG1097" i="21"/>
  <c r="AG1103" i="21"/>
  <c r="AG1108" i="21"/>
  <c r="AG1113" i="21"/>
  <c r="AG1119" i="21"/>
  <c r="AG1124" i="21"/>
  <c r="AG1129" i="21"/>
  <c r="AG1135" i="21"/>
  <c r="AG1139" i="21"/>
  <c r="AG1143" i="21"/>
  <c r="AG1147" i="21"/>
  <c r="AG1151" i="21"/>
  <c r="AG1155" i="21"/>
  <c r="AG1159" i="21"/>
  <c r="AG1163" i="21"/>
  <c r="AG1167" i="21"/>
  <c r="AG1171" i="21"/>
  <c r="AG1175" i="21"/>
  <c r="AG1179" i="21"/>
  <c r="AG1183" i="21"/>
  <c r="AG1187" i="21"/>
  <c r="AG1191" i="21"/>
  <c r="AG1195" i="21"/>
  <c r="AG1199" i="21"/>
  <c r="AG1203" i="21"/>
  <c r="AG96" i="27"/>
  <c r="AG19" i="21"/>
  <c r="AG51" i="21"/>
  <c r="AG83" i="21"/>
  <c r="AG115" i="21"/>
  <c r="AG147" i="21"/>
  <c r="AG179" i="21"/>
  <c r="AG211" i="21"/>
  <c r="AG243" i="21"/>
  <c r="AG275" i="21"/>
  <c r="AG307" i="21"/>
  <c r="AG339" i="21"/>
  <c r="AG371" i="21"/>
  <c r="AG403" i="21"/>
  <c r="AG435" i="21"/>
  <c r="AG467" i="21"/>
  <c r="AG499" i="21"/>
  <c r="AG531" i="21"/>
  <c r="AG563" i="21"/>
  <c r="AG595" i="21"/>
  <c r="AG627" i="21"/>
  <c r="AG659" i="21"/>
  <c r="AG691" i="21"/>
  <c r="AG723" i="21"/>
  <c r="AG755" i="21"/>
  <c r="AG787" i="21"/>
  <c r="AG819" i="21"/>
  <c r="AG851" i="21"/>
  <c r="AG880" i="21"/>
  <c r="AG901" i="21"/>
  <c r="AG923" i="21"/>
  <c r="AG944" i="21"/>
  <c r="AG965" i="21"/>
  <c r="AG987" i="21"/>
  <c r="AG1008" i="21"/>
  <c r="AG1029" i="21"/>
  <c r="AG1051" i="21"/>
  <c r="AG1072" i="21"/>
  <c r="AG1093" i="21"/>
  <c r="AG1115" i="21"/>
  <c r="AG1136" i="21"/>
  <c r="AG1152" i="21"/>
  <c r="AG1168" i="21"/>
  <c r="AG1184" i="21"/>
  <c r="AG1200" i="21"/>
  <c r="AG9" i="16"/>
  <c r="AG13" i="16"/>
  <c r="AG17" i="16"/>
  <c r="AG21" i="16"/>
  <c r="AG25" i="16"/>
  <c r="AG29" i="16"/>
  <c r="AG33" i="16"/>
  <c r="AG37" i="16"/>
  <c r="AG41" i="16"/>
  <c r="AG45" i="16"/>
  <c r="AG49" i="16"/>
  <c r="AG53" i="16"/>
  <c r="AG57" i="16"/>
  <c r="AG61" i="16"/>
  <c r="AG65" i="16"/>
  <c r="AG69" i="16"/>
  <c r="AG73" i="16"/>
  <c r="AG77" i="16"/>
  <c r="AG81" i="16"/>
  <c r="AG85" i="16"/>
  <c r="AG89" i="16"/>
  <c r="AG93" i="16"/>
  <c r="AG97" i="16"/>
  <c r="AG101" i="16"/>
  <c r="AG105" i="16"/>
  <c r="AG109" i="16"/>
  <c r="AG113" i="16"/>
  <c r="AG117" i="16"/>
  <c r="AG121" i="16"/>
  <c r="AG125" i="16"/>
  <c r="AG129" i="16"/>
  <c r="AG133" i="16"/>
  <c r="AG137" i="16"/>
  <c r="AG141" i="16"/>
  <c r="AG145" i="16"/>
  <c r="AG149" i="16"/>
  <c r="AG153" i="16"/>
  <c r="AG157" i="16"/>
  <c r="AG161" i="16"/>
  <c r="AG165" i="16"/>
  <c r="AG169" i="16"/>
  <c r="AG173" i="16"/>
  <c r="AG177" i="16"/>
  <c r="AG181" i="16"/>
  <c r="AG185" i="16"/>
  <c r="AG189" i="16"/>
  <c r="AG193" i="16"/>
  <c r="AG197" i="16"/>
  <c r="AG201" i="16"/>
  <c r="AG205" i="16"/>
  <c r="AG209" i="16"/>
  <c r="AG213" i="16"/>
  <c r="AG217" i="16"/>
  <c r="AG221" i="16"/>
  <c r="AG225" i="16"/>
  <c r="AG229" i="16"/>
  <c r="AG233" i="16"/>
  <c r="AG237" i="16"/>
  <c r="AG241" i="16"/>
  <c r="AG245" i="16"/>
  <c r="AG249" i="16"/>
  <c r="AG253" i="16"/>
  <c r="AG257" i="16"/>
  <c r="AG261" i="16"/>
  <c r="AG265" i="16"/>
  <c r="AG269" i="16"/>
  <c r="AG273" i="16"/>
  <c r="AG277" i="16"/>
  <c r="AG281" i="16"/>
  <c r="AG285" i="16"/>
  <c r="AG289" i="16"/>
  <c r="AG293" i="16"/>
  <c r="AG297" i="16"/>
  <c r="AG301" i="16"/>
  <c r="AG305" i="16"/>
  <c r="AG309" i="16"/>
  <c r="AG313" i="16"/>
  <c r="AG317" i="16"/>
  <c r="AG321" i="16"/>
  <c r="AG325" i="16"/>
  <c r="AG329" i="16"/>
  <c r="AG333" i="16"/>
  <c r="AG337" i="16"/>
  <c r="AG341" i="16"/>
  <c r="AG345" i="16"/>
  <c r="AG349" i="16"/>
  <c r="AG353" i="16"/>
  <c r="AG357" i="16"/>
  <c r="AG361" i="16"/>
  <c r="AG365" i="16"/>
  <c r="AG369" i="16"/>
  <c r="AG373" i="16"/>
  <c r="AG377" i="16"/>
  <c r="AG381" i="16"/>
  <c r="AG385" i="16"/>
  <c r="AG389" i="16"/>
  <c r="AG393" i="16"/>
  <c r="AG397" i="16"/>
  <c r="AG401" i="16"/>
  <c r="AG405" i="16"/>
  <c r="AG409" i="16"/>
  <c r="AG413" i="16"/>
  <c r="AG417" i="16"/>
  <c r="AG421" i="16"/>
  <c r="AG425" i="16"/>
  <c r="AG429" i="16"/>
  <c r="AG433" i="16"/>
  <c r="AG437" i="16"/>
  <c r="AG441" i="16"/>
  <c r="AG445" i="16"/>
  <c r="AG449" i="16"/>
  <c r="AG453" i="16"/>
  <c r="AG457" i="16"/>
  <c r="AG461" i="16"/>
  <c r="AG465" i="16"/>
  <c r="AG469" i="16"/>
  <c r="AG473" i="16"/>
  <c r="AG477" i="16"/>
  <c r="AG481" i="16"/>
  <c r="AG485" i="16"/>
  <c r="AG489" i="16"/>
  <c r="AG493" i="16"/>
  <c r="AG497" i="16"/>
  <c r="AG501" i="16"/>
  <c r="AG505" i="16"/>
  <c r="AG509" i="16"/>
  <c r="AG513" i="16"/>
  <c r="AG517" i="16"/>
  <c r="AG521" i="16"/>
  <c r="AG525" i="16"/>
  <c r="AG529" i="16"/>
  <c r="AG533" i="16"/>
  <c r="AG537" i="16"/>
  <c r="AG541" i="16"/>
  <c r="AG545" i="16"/>
  <c r="AG549" i="16"/>
  <c r="AG553" i="16"/>
  <c r="AG557" i="16"/>
  <c r="AG561" i="16"/>
  <c r="AG565" i="16"/>
  <c r="AG569" i="16"/>
  <c r="AG573" i="16"/>
  <c r="AG577" i="16"/>
  <c r="AG581" i="16"/>
  <c r="AG585" i="16"/>
  <c r="AG589" i="16"/>
  <c r="AG593" i="16"/>
  <c r="AG597" i="16"/>
  <c r="AG601" i="16"/>
  <c r="AG605" i="16"/>
  <c r="AG609" i="16"/>
  <c r="AG613" i="16"/>
  <c r="AG617" i="16"/>
  <c r="AG621" i="16"/>
  <c r="AG625" i="16"/>
  <c r="AG629" i="16"/>
  <c r="AG633" i="16"/>
  <c r="AG637" i="16"/>
  <c r="AG641" i="16"/>
  <c r="AG645" i="16"/>
  <c r="AG649" i="16"/>
  <c r="AG653" i="16"/>
  <c r="AG657" i="16"/>
  <c r="AG661" i="16"/>
  <c r="AG665" i="16"/>
  <c r="AG669" i="16"/>
  <c r="AG673" i="16"/>
  <c r="AG677" i="16"/>
  <c r="AG681" i="16"/>
  <c r="AG685" i="16"/>
  <c r="AG689" i="16"/>
  <c r="AG693" i="16"/>
  <c r="AG697" i="16"/>
  <c r="AG701" i="16"/>
  <c r="AG705" i="16"/>
  <c r="AG709" i="16"/>
  <c r="AG713" i="16"/>
  <c r="AG717" i="16"/>
  <c r="AG721" i="16"/>
  <c r="AF19" i="17"/>
  <c r="AF36" i="17"/>
  <c r="AF52" i="17"/>
  <c r="AF68" i="17"/>
  <c r="AF82" i="17"/>
  <c r="AF97" i="17"/>
  <c r="AF114" i="17"/>
  <c r="AF125" i="17"/>
  <c r="AF140" i="17"/>
  <c r="AF155" i="17"/>
  <c r="AF169" i="17"/>
  <c r="AF185" i="17"/>
  <c r="AF196" i="17"/>
  <c r="AF214" i="17"/>
  <c r="AF227" i="17"/>
  <c r="AH227" i="17" s="1"/>
  <c r="AF241" i="17"/>
  <c r="AF255" i="17"/>
  <c r="AF266" i="17"/>
  <c r="AF276" i="17"/>
  <c r="AF292" i="17"/>
  <c r="AF308" i="17"/>
  <c r="AF322" i="17"/>
  <c r="AF333" i="17"/>
  <c r="AF349" i="17"/>
  <c r="AF364" i="17"/>
  <c r="AF375" i="17"/>
  <c r="AF391" i="17"/>
  <c r="AF404" i="17"/>
  <c r="AF418" i="17"/>
  <c r="AF53" i="17"/>
  <c r="AH53" i="17" s="1"/>
  <c r="AF98" i="17"/>
  <c r="AF182" i="17"/>
  <c r="AF201" i="17"/>
  <c r="AF242" i="17"/>
  <c r="AF273" i="17"/>
  <c r="AF328" i="17"/>
  <c r="AF18" i="17"/>
  <c r="AH18" i="17" s="1"/>
  <c r="AF37" i="17"/>
  <c r="AF54" i="17"/>
  <c r="AF72" i="17"/>
  <c r="AF88" i="17"/>
  <c r="AF105" i="17"/>
  <c r="AF126" i="17"/>
  <c r="AF141" i="17"/>
  <c r="AF163" i="17"/>
  <c r="AF179" i="17"/>
  <c r="AF197" i="17"/>
  <c r="AF215" i="17"/>
  <c r="AF234" i="17"/>
  <c r="AF249" i="17"/>
  <c r="AF277" i="17"/>
  <c r="AF297" i="17"/>
  <c r="AF316" i="17"/>
  <c r="AF334" i="17"/>
  <c r="AF351" i="17"/>
  <c r="AF367" i="17"/>
  <c r="AF380" i="17"/>
  <c r="AF396" i="17"/>
  <c r="AF419" i="17"/>
  <c r="AF100" i="17"/>
  <c r="AF160" i="17"/>
  <c r="AF239" i="17"/>
  <c r="AF400" i="17"/>
  <c r="AF167" i="17"/>
  <c r="AF278" i="17"/>
  <c r="AF362" i="17"/>
  <c r="AF50" i="17"/>
  <c r="AF253" i="17"/>
  <c r="AF101" i="17"/>
  <c r="AF175" i="17"/>
  <c r="AF250" i="17"/>
  <c r="AF343" i="17"/>
  <c r="AF385" i="17"/>
  <c r="AF21" i="17"/>
  <c r="AF152" i="17"/>
  <c r="AH152" i="17" s="1"/>
  <c r="AF289" i="17"/>
  <c r="AH289" i="17" s="1"/>
  <c r="AF326" i="17"/>
  <c r="AF368" i="17"/>
  <c r="AF29" i="17"/>
  <c r="AF109" i="17"/>
  <c r="AF139" i="17"/>
  <c r="AF269" i="17"/>
  <c r="AF339" i="17"/>
  <c r="AF417" i="17"/>
  <c r="AF39" i="17"/>
  <c r="AH39" i="17" s="1"/>
  <c r="AF55" i="17"/>
  <c r="AH55" i="17" s="1"/>
  <c r="AF73" i="17"/>
  <c r="AF89" i="17"/>
  <c r="AF107" i="17"/>
  <c r="AF132" i="17"/>
  <c r="AH132" i="17" s="1"/>
  <c r="AF158" i="17"/>
  <c r="AF176" i="17"/>
  <c r="AH176" i="17" s="1"/>
  <c r="AF199" i="17"/>
  <c r="AF226" i="17"/>
  <c r="AH226" i="17" s="1"/>
  <c r="AF244" i="17"/>
  <c r="AH244" i="17" s="1"/>
  <c r="AF265" i="17"/>
  <c r="AF299" i="17"/>
  <c r="AF330" i="17"/>
  <c r="AF352" i="17"/>
  <c r="AF378" i="17"/>
  <c r="AF394" i="17"/>
  <c r="AG27" i="21"/>
  <c r="AG59" i="21"/>
  <c r="AG91" i="21"/>
  <c r="AG123" i="21"/>
  <c r="AG155" i="21"/>
  <c r="AG187" i="21"/>
  <c r="AG219" i="21"/>
  <c r="AG251" i="21"/>
  <c r="AG283" i="21"/>
  <c r="AG315" i="21"/>
  <c r="AG347" i="21"/>
  <c r="AG379" i="21"/>
  <c r="AG411" i="21"/>
  <c r="AG443" i="21"/>
  <c r="AG475" i="21"/>
  <c r="AG507" i="21"/>
  <c r="AG539" i="21"/>
  <c r="AG571" i="21"/>
  <c r="AG603" i="21"/>
  <c r="AG635" i="21"/>
  <c r="AG667" i="21"/>
  <c r="AG699" i="21"/>
  <c r="AG731" i="21"/>
  <c r="AG763" i="21"/>
  <c r="AG795" i="21"/>
  <c r="AG827" i="21"/>
  <c r="AG859" i="21"/>
  <c r="AG885" i="21"/>
  <c r="AG907" i="21"/>
  <c r="AG928" i="21"/>
  <c r="AG949" i="21"/>
  <c r="AG971" i="21"/>
  <c r="AG992" i="21"/>
  <c r="AG1013" i="21"/>
  <c r="AG1035" i="21"/>
  <c r="AG1056" i="21"/>
  <c r="AG1077" i="21"/>
  <c r="AG1099" i="21"/>
  <c r="AG1120" i="21"/>
  <c r="AG1140" i="21"/>
  <c r="AG1156" i="21"/>
  <c r="AG1172" i="21"/>
  <c r="AG1188" i="21"/>
  <c r="AG1204" i="21"/>
  <c r="AG6" i="16"/>
  <c r="AG10" i="16"/>
  <c r="AG14" i="16"/>
  <c r="AG18" i="16"/>
  <c r="AG22" i="16"/>
  <c r="AG26" i="16"/>
  <c r="AG30" i="16"/>
  <c r="AG34" i="16"/>
  <c r="AG38" i="16"/>
  <c r="AG42" i="16"/>
  <c r="AG46" i="16"/>
  <c r="AG50" i="16"/>
  <c r="AG54" i="16"/>
  <c r="AG58" i="16"/>
  <c r="AG62" i="16"/>
  <c r="AG66" i="16"/>
  <c r="AG70" i="16"/>
  <c r="AG74" i="16"/>
  <c r="AG78" i="16"/>
  <c r="AG82" i="16"/>
  <c r="AG86" i="16"/>
  <c r="AG90" i="16"/>
  <c r="AG94" i="16"/>
  <c r="AG98" i="16"/>
  <c r="AG102" i="16"/>
  <c r="AG106" i="16"/>
  <c r="AG110" i="16"/>
  <c r="AG114" i="16"/>
  <c r="AG118" i="16"/>
  <c r="AG122" i="16"/>
  <c r="AG126" i="16"/>
  <c r="AG130" i="16"/>
  <c r="AG134" i="16"/>
  <c r="AG138" i="16"/>
  <c r="AG142" i="16"/>
  <c r="AG146" i="16"/>
  <c r="AG150" i="16"/>
  <c r="AG154" i="16"/>
  <c r="AG158" i="16"/>
  <c r="AG162" i="16"/>
  <c r="AG166" i="16"/>
  <c r="AG170" i="16"/>
  <c r="AG174" i="16"/>
  <c r="AG178" i="16"/>
  <c r="AG182" i="16"/>
  <c r="AG186" i="16"/>
  <c r="AG190" i="16"/>
  <c r="AG194" i="16"/>
  <c r="AG198" i="16"/>
  <c r="AG202" i="16"/>
  <c r="AG206" i="16"/>
  <c r="AG210" i="16"/>
  <c r="AG214" i="16"/>
  <c r="AG218" i="16"/>
  <c r="AG222" i="16"/>
  <c r="AG226" i="16"/>
  <c r="AG230" i="16"/>
  <c r="AG234" i="16"/>
  <c r="AG238" i="16"/>
  <c r="AG242" i="16"/>
  <c r="AG246" i="16"/>
  <c r="AG250" i="16"/>
  <c r="AG254" i="16"/>
  <c r="AG258" i="16"/>
  <c r="AG262" i="16"/>
  <c r="AG266" i="16"/>
  <c r="AG270" i="16"/>
  <c r="AG274" i="16"/>
  <c r="AG278" i="16"/>
  <c r="AG282" i="16"/>
  <c r="AG286" i="16"/>
  <c r="AG290" i="16"/>
  <c r="AG294" i="16"/>
  <c r="AG298" i="16"/>
  <c r="AG302" i="16"/>
  <c r="AG306" i="16"/>
  <c r="AG310" i="16"/>
  <c r="AG314" i="16"/>
  <c r="AG318" i="16"/>
  <c r="AG322" i="16"/>
  <c r="AG326" i="16"/>
  <c r="AG330" i="16"/>
  <c r="AG334" i="16"/>
  <c r="AG338" i="16"/>
  <c r="AG342" i="16"/>
  <c r="AG346" i="16"/>
  <c r="AG350" i="16"/>
  <c r="AG354" i="16"/>
  <c r="AG358" i="16"/>
  <c r="AG362" i="16"/>
  <c r="AG366" i="16"/>
  <c r="AG370" i="16"/>
  <c r="AG374" i="16"/>
  <c r="AG378" i="16"/>
  <c r="AG382" i="16"/>
  <c r="AG386" i="16"/>
  <c r="AG390" i="16"/>
  <c r="AG394" i="16"/>
  <c r="AG398" i="16"/>
  <c r="AG402" i="16"/>
  <c r="AG406" i="16"/>
  <c r="AG410" i="16"/>
  <c r="AG414" i="16"/>
  <c r="AG418" i="16"/>
  <c r="AG422" i="16"/>
  <c r="AG426" i="16"/>
  <c r="AG430" i="16"/>
  <c r="AG434" i="16"/>
  <c r="AG438" i="16"/>
  <c r="AG442" i="16"/>
  <c r="AG446" i="16"/>
  <c r="AG450" i="16"/>
  <c r="AG454" i="16"/>
  <c r="AG458" i="16"/>
  <c r="AG462" i="16"/>
  <c r="AG466" i="16"/>
  <c r="AG470" i="16"/>
  <c r="AG474" i="16"/>
  <c r="AG478" i="16"/>
  <c r="AG482" i="16"/>
  <c r="AG486" i="16"/>
  <c r="AG490" i="16"/>
  <c r="AG494" i="16"/>
  <c r="AG498" i="16"/>
  <c r="AG502" i="16"/>
  <c r="AG506" i="16"/>
  <c r="AG510" i="16"/>
  <c r="AG514" i="16"/>
  <c r="AG518" i="16"/>
  <c r="AG522" i="16"/>
  <c r="AG526" i="16"/>
  <c r="AG530" i="16"/>
  <c r="AG534" i="16"/>
  <c r="AG538" i="16"/>
  <c r="AG542" i="16"/>
  <c r="AG546" i="16"/>
  <c r="AG550" i="16"/>
  <c r="AG554" i="16"/>
  <c r="AG558" i="16"/>
  <c r="AG562" i="16"/>
  <c r="AG566" i="16"/>
  <c r="AG570" i="16"/>
  <c r="AG574" i="16"/>
  <c r="AG578" i="16"/>
  <c r="AG582" i="16"/>
  <c r="AG586" i="16"/>
  <c r="AG590" i="16"/>
  <c r="AG594" i="16"/>
  <c r="AG598" i="16"/>
  <c r="AG602" i="16"/>
  <c r="AG606" i="16"/>
  <c r="AG610" i="16"/>
  <c r="AG614" i="16"/>
  <c r="AG618" i="16"/>
  <c r="AG622" i="16"/>
  <c r="AG626" i="16"/>
  <c r="AG630" i="16"/>
  <c r="AG634" i="16"/>
  <c r="AG638" i="16"/>
  <c r="AG642" i="16"/>
  <c r="AG646" i="16"/>
  <c r="AG650" i="16"/>
  <c r="AG654" i="16"/>
  <c r="AG658" i="16"/>
  <c r="AG662" i="16"/>
  <c r="AG666" i="16"/>
  <c r="AG670" i="16"/>
  <c r="AG674" i="16"/>
  <c r="AG678" i="16"/>
  <c r="AG682" i="16"/>
  <c r="AG686" i="16"/>
  <c r="AG690" i="16"/>
  <c r="AG694" i="16"/>
  <c r="AG698" i="16"/>
  <c r="AG702" i="16"/>
  <c r="AG706" i="16"/>
  <c r="AG710" i="16"/>
  <c r="AG714" i="16"/>
  <c r="AG718" i="16"/>
  <c r="AG722" i="16"/>
  <c r="AF23" i="17"/>
  <c r="AF40" i="17"/>
  <c r="AF56" i="17"/>
  <c r="AF70" i="17"/>
  <c r="AF86" i="17"/>
  <c r="AF104" i="17"/>
  <c r="AF116" i="17"/>
  <c r="AF129" i="17"/>
  <c r="AF144" i="17"/>
  <c r="AF159" i="17"/>
  <c r="AF173" i="17"/>
  <c r="AF187" i="17"/>
  <c r="AF200" i="17"/>
  <c r="AF217" i="17"/>
  <c r="AF229" i="17"/>
  <c r="AF245" i="17"/>
  <c r="AF259" i="17"/>
  <c r="AH259" i="17" s="1"/>
  <c r="AF268" i="17"/>
  <c r="AF280" i="17"/>
  <c r="AF296" i="17"/>
  <c r="AF311" i="17"/>
  <c r="AF325" i="17"/>
  <c r="AF335" i="17"/>
  <c r="AF353" i="17"/>
  <c r="AF366" i="17"/>
  <c r="AF379" i="17"/>
  <c r="AF395" i="17"/>
  <c r="AF410" i="17"/>
  <c r="AF17" i="17"/>
  <c r="AF71" i="17"/>
  <c r="AF115" i="17"/>
  <c r="AF188" i="17"/>
  <c r="AF212" i="17"/>
  <c r="AF256" i="17"/>
  <c r="AF285" i="17"/>
  <c r="AF332" i="17"/>
  <c r="AH332" i="17" s="1"/>
  <c r="AF20" i="17"/>
  <c r="AF41" i="17"/>
  <c r="AF57" i="17"/>
  <c r="AF75" i="17"/>
  <c r="AF91" i="17"/>
  <c r="AF111" i="17"/>
  <c r="AF130" i="17"/>
  <c r="AF145" i="17"/>
  <c r="AF166" i="17"/>
  <c r="AF183" i="17"/>
  <c r="AF202" i="17"/>
  <c r="AF218" i="17"/>
  <c r="AF238" i="17"/>
  <c r="AF252" i="17"/>
  <c r="AF281" i="17"/>
  <c r="AF303" i="17"/>
  <c r="AF321" i="17"/>
  <c r="AF336" i="17"/>
  <c r="AF354" i="17"/>
  <c r="AH354" i="17" s="1"/>
  <c r="AF371" i="17"/>
  <c r="AH371" i="17" s="1"/>
  <c r="AF384" i="17"/>
  <c r="AF402" i="17"/>
  <c r="AF38" i="17"/>
  <c r="AF122" i="17"/>
  <c r="AF198" i="17"/>
  <c r="AF287" i="17"/>
  <c r="AF420" i="17"/>
  <c r="AF171" i="17"/>
  <c r="AF291" i="17"/>
  <c r="AF406" i="17"/>
  <c r="AF66" i="17"/>
  <c r="AF294" i="17"/>
  <c r="AF106" i="17"/>
  <c r="AF209" i="17"/>
  <c r="AF267" i="17"/>
  <c r="AF365" i="17"/>
  <c r="AF389" i="17"/>
  <c r="AF33" i="17"/>
  <c r="AF157" i="17"/>
  <c r="AF298" i="17"/>
  <c r="AF338" i="17"/>
  <c r="AF407" i="17"/>
  <c r="AF34" i="17"/>
  <c r="AF124" i="17"/>
  <c r="AF148" i="17"/>
  <c r="AF295" i="17"/>
  <c r="AF347" i="17"/>
  <c r="AF22" i="17"/>
  <c r="AF43" i="17"/>
  <c r="AH43" i="17" s="1"/>
  <c r="AF59" i="17"/>
  <c r="AH59" i="17" s="1"/>
  <c r="AF77" i="17"/>
  <c r="AF93" i="17"/>
  <c r="AF113" i="17"/>
  <c r="AF136" i="17"/>
  <c r="AF164" i="17"/>
  <c r="AF180" i="17"/>
  <c r="AF206" i="17"/>
  <c r="AF232" i="17"/>
  <c r="AF254" i="17"/>
  <c r="AF275" i="17"/>
  <c r="AH275" i="17" s="1"/>
  <c r="AF307" i="17"/>
  <c r="AF340" i="17"/>
  <c r="AH340" i="17" s="1"/>
  <c r="AF359" i="17"/>
  <c r="AF382" i="17"/>
  <c r="AH382" i="17" s="1"/>
  <c r="AF398" i="17"/>
  <c r="AG32" i="27"/>
  <c r="AG35" i="21"/>
  <c r="AG67" i="21"/>
  <c r="AG99" i="21"/>
  <c r="AG131" i="21"/>
  <c r="AG163" i="21"/>
  <c r="AG195" i="21"/>
  <c r="AG227" i="21"/>
  <c r="AG259" i="21"/>
  <c r="AG291" i="21"/>
  <c r="AG323" i="21"/>
  <c r="AG355" i="21"/>
  <c r="AG387" i="21"/>
  <c r="AG419" i="21"/>
  <c r="AG451" i="21"/>
  <c r="AG483" i="21"/>
  <c r="AG515" i="21"/>
  <c r="AG547" i="21"/>
  <c r="AG579" i="21"/>
  <c r="AG611" i="21"/>
  <c r="AG643" i="21"/>
  <c r="AG675" i="21"/>
  <c r="AG707" i="21"/>
  <c r="AG739" i="21"/>
  <c r="AG771" i="21"/>
  <c r="AG803" i="21"/>
  <c r="AG835" i="21"/>
  <c r="AG867" i="21"/>
  <c r="AG891" i="21"/>
  <c r="AG912" i="21"/>
  <c r="AG933" i="21"/>
  <c r="AG955" i="21"/>
  <c r="AG976" i="21"/>
  <c r="AG997" i="21"/>
  <c r="AG1019" i="21"/>
  <c r="AG1040" i="21"/>
  <c r="AG1061" i="21"/>
  <c r="AG1083" i="21"/>
  <c r="AG1104" i="21"/>
  <c r="AG1125" i="21"/>
  <c r="AG1144" i="21"/>
  <c r="AG1160" i="21"/>
  <c r="AG1176" i="21"/>
  <c r="AG1192" i="21"/>
  <c r="AG7" i="16"/>
  <c r="AG11" i="16"/>
  <c r="AG15" i="16"/>
  <c r="AG19" i="16"/>
  <c r="AG23" i="16"/>
  <c r="AG27" i="16"/>
  <c r="AG31" i="16"/>
  <c r="AG35" i="16"/>
  <c r="AG39" i="16"/>
  <c r="AG43" i="16"/>
  <c r="AG47" i="16"/>
  <c r="AG51" i="16"/>
  <c r="AG55" i="16"/>
  <c r="AG59" i="16"/>
  <c r="AG63" i="16"/>
  <c r="AG67" i="16"/>
  <c r="AG71" i="16"/>
  <c r="AG75" i="16"/>
  <c r="AG79" i="16"/>
  <c r="AG83" i="16"/>
  <c r="AG87" i="16"/>
  <c r="AG91" i="16"/>
  <c r="AG95" i="16"/>
  <c r="AG99" i="16"/>
  <c r="AG103" i="16"/>
  <c r="AG107" i="16"/>
  <c r="AG111" i="16"/>
  <c r="AG115" i="16"/>
  <c r="AG119" i="16"/>
  <c r="AG123" i="16"/>
  <c r="AG127" i="16"/>
  <c r="AG131" i="16"/>
  <c r="AG135" i="16"/>
  <c r="AG139" i="16"/>
  <c r="AG143" i="16"/>
  <c r="AG147" i="16"/>
  <c r="AG151" i="16"/>
  <c r="AG155" i="16"/>
  <c r="AG159" i="16"/>
  <c r="AG163" i="16"/>
  <c r="AG167" i="16"/>
  <c r="AG171" i="16"/>
  <c r="AG175" i="16"/>
  <c r="AG179" i="16"/>
  <c r="AG183" i="16"/>
  <c r="AG187" i="16"/>
  <c r="AG191" i="16"/>
  <c r="AG195" i="16"/>
  <c r="AG199" i="16"/>
  <c r="AG203" i="16"/>
  <c r="AG207" i="16"/>
  <c r="AG211" i="16"/>
  <c r="AG215" i="16"/>
  <c r="AG219" i="16"/>
  <c r="AG223" i="16"/>
  <c r="AG227" i="16"/>
  <c r="AG231" i="16"/>
  <c r="AG235" i="16"/>
  <c r="AG239" i="16"/>
  <c r="AG243" i="16"/>
  <c r="AG247" i="16"/>
  <c r="AG251" i="16"/>
  <c r="AG255" i="16"/>
  <c r="AG259" i="16"/>
  <c r="AG263" i="16"/>
  <c r="AG267" i="16"/>
  <c r="AG271" i="16"/>
  <c r="AG275" i="16"/>
  <c r="AG279" i="16"/>
  <c r="AG283" i="16"/>
  <c r="AG287" i="16"/>
  <c r="AG291" i="16"/>
  <c r="AG295" i="16"/>
  <c r="AG299" i="16"/>
  <c r="AG303" i="16"/>
  <c r="AG307" i="16"/>
  <c r="AG311" i="16"/>
  <c r="AG315" i="16"/>
  <c r="AG319" i="16"/>
  <c r="AG323" i="16"/>
  <c r="AG327" i="16"/>
  <c r="AG331" i="16"/>
  <c r="AG335" i="16"/>
  <c r="AG339" i="16"/>
  <c r="AG343" i="16"/>
  <c r="AG347" i="16"/>
  <c r="AG351" i="16"/>
  <c r="AG355" i="16"/>
  <c r="AG359" i="16"/>
  <c r="AG363" i="16"/>
  <c r="AG367" i="16"/>
  <c r="AG371" i="16"/>
  <c r="AG375" i="16"/>
  <c r="AG379" i="16"/>
  <c r="AG383" i="16"/>
  <c r="AG387" i="16"/>
  <c r="AG391" i="16"/>
  <c r="AG395" i="16"/>
  <c r="AG399" i="16"/>
  <c r="AG403" i="16"/>
  <c r="AG407" i="16"/>
  <c r="AG411" i="16"/>
  <c r="AG415" i="16"/>
  <c r="AG419" i="16"/>
  <c r="AG423" i="16"/>
  <c r="AG427" i="16"/>
  <c r="AG431" i="16"/>
  <c r="AG435" i="16"/>
  <c r="AG439" i="16"/>
  <c r="AG443" i="16"/>
  <c r="AG447" i="16"/>
  <c r="AG451" i="16"/>
  <c r="AG455" i="16"/>
  <c r="AG459" i="16"/>
  <c r="AG463" i="16"/>
  <c r="AG467" i="16"/>
  <c r="AG471" i="16"/>
  <c r="AG475" i="16"/>
  <c r="AG479" i="16"/>
  <c r="AG483" i="16"/>
  <c r="AG487" i="16"/>
  <c r="AG491" i="16"/>
  <c r="AG495" i="16"/>
  <c r="AG499" i="16"/>
  <c r="AG503" i="16"/>
  <c r="AG507" i="16"/>
  <c r="AG511" i="16"/>
  <c r="AG515" i="16"/>
  <c r="AG519" i="16"/>
  <c r="AG523" i="16"/>
  <c r="AG527" i="16"/>
  <c r="AG531" i="16"/>
  <c r="AG535" i="16"/>
  <c r="AG539" i="16"/>
  <c r="AG543" i="16"/>
  <c r="AG547" i="16"/>
  <c r="AG551" i="16"/>
  <c r="AG555" i="16"/>
  <c r="AG559" i="16"/>
  <c r="AG563" i="16"/>
  <c r="AG567" i="16"/>
  <c r="AG571" i="16"/>
  <c r="AG575" i="16"/>
  <c r="AG579" i="16"/>
  <c r="AG583" i="16"/>
  <c r="AG587" i="16"/>
  <c r="AG591" i="16"/>
  <c r="AG595" i="16"/>
  <c r="AG599" i="16"/>
  <c r="AG603" i="16"/>
  <c r="AG607" i="16"/>
  <c r="AG611" i="16"/>
  <c r="AG615" i="16"/>
  <c r="AG619" i="16"/>
  <c r="AG623" i="16"/>
  <c r="AG627" i="16"/>
  <c r="AG631" i="16"/>
  <c r="AG635" i="16"/>
  <c r="AG639" i="16"/>
  <c r="AG643" i="16"/>
  <c r="AG647" i="16"/>
  <c r="AG651" i="16"/>
  <c r="AG655" i="16"/>
  <c r="AG659" i="16"/>
  <c r="AG663" i="16"/>
  <c r="AG667" i="16"/>
  <c r="AG671" i="16"/>
  <c r="AG675" i="16"/>
  <c r="AG679" i="16"/>
  <c r="AG683" i="16"/>
  <c r="AG687" i="16"/>
  <c r="AG691" i="16"/>
  <c r="AG695" i="16"/>
  <c r="AG699" i="16"/>
  <c r="AG703" i="16"/>
  <c r="AG707" i="16"/>
  <c r="AG711" i="16"/>
  <c r="AG715" i="16"/>
  <c r="AG719" i="16"/>
  <c r="AG723" i="16"/>
  <c r="AG43" i="21"/>
  <c r="AG171" i="21"/>
  <c r="AG299" i="21"/>
  <c r="AG427" i="21"/>
  <c r="AG555" i="21"/>
  <c r="AG683" i="21"/>
  <c r="AG811" i="21"/>
  <c r="AG917" i="21"/>
  <c r="AG1003" i="21"/>
  <c r="AG1088" i="21"/>
  <c r="AG1164" i="21"/>
  <c r="AG12" i="16"/>
  <c r="AG28" i="16"/>
  <c r="AG44" i="16"/>
  <c r="AG60" i="16"/>
  <c r="AG76" i="16"/>
  <c r="AG92" i="16"/>
  <c r="AG108" i="16"/>
  <c r="AG124" i="16"/>
  <c r="AG140" i="16"/>
  <c r="AG156" i="16"/>
  <c r="AG172" i="16"/>
  <c r="AG188" i="16"/>
  <c r="AG204" i="16"/>
  <c r="AG220" i="16"/>
  <c r="AG236" i="16"/>
  <c r="AG252" i="16"/>
  <c r="AG268" i="16"/>
  <c r="AG284" i="16"/>
  <c r="AG300" i="16"/>
  <c r="AG316" i="16"/>
  <c r="AG332" i="16"/>
  <c r="AG348" i="16"/>
  <c r="AG364" i="16"/>
  <c r="AG380" i="16"/>
  <c r="AG396" i="16"/>
  <c r="AG412" i="16"/>
  <c r="AG428" i="16"/>
  <c r="AG444" i="16"/>
  <c r="AG460" i="16"/>
  <c r="AG476" i="16"/>
  <c r="AG492" i="16"/>
  <c r="AG508" i="16"/>
  <c r="AG524" i="16"/>
  <c r="AG540" i="16"/>
  <c r="AG556" i="16"/>
  <c r="AG572" i="16"/>
  <c r="AG588" i="16"/>
  <c r="AG604" i="16"/>
  <c r="AG620" i="16"/>
  <c r="AG636" i="16"/>
  <c r="AG652" i="16"/>
  <c r="AG668" i="16"/>
  <c r="AG684" i="16"/>
  <c r="AG700" i="16"/>
  <c r="AG716" i="16"/>
  <c r="AG64" i="27"/>
  <c r="AG75" i="21"/>
  <c r="AG203" i="21"/>
  <c r="AG331" i="21"/>
  <c r="AG459" i="21"/>
  <c r="AG587" i="21"/>
  <c r="AG715" i="21"/>
  <c r="AG843" i="21"/>
  <c r="AG939" i="21"/>
  <c r="AG1024" i="21"/>
  <c r="AG1109" i="21"/>
  <c r="AG1180" i="21"/>
  <c r="AG16" i="16"/>
  <c r="AG32" i="16"/>
  <c r="AG48" i="16"/>
  <c r="AG64" i="16"/>
  <c r="AG80" i="16"/>
  <c r="AG96" i="16"/>
  <c r="AG112" i="16"/>
  <c r="AG128" i="16"/>
  <c r="AG144" i="16"/>
  <c r="AG160" i="16"/>
  <c r="AG176" i="16"/>
  <c r="AG192" i="16"/>
  <c r="AG208" i="16"/>
  <c r="AG224" i="16"/>
  <c r="AG240" i="16"/>
  <c r="AG256" i="16"/>
  <c r="AG272" i="16"/>
  <c r="AG288" i="16"/>
  <c r="AG304" i="16"/>
  <c r="AG320" i="16"/>
  <c r="AG336" i="16"/>
  <c r="AG352" i="16"/>
  <c r="AG368" i="16"/>
  <c r="AG384" i="16"/>
  <c r="AG400" i="16"/>
  <c r="AG416" i="16"/>
  <c r="AG432" i="16"/>
  <c r="AG448" i="16"/>
  <c r="AG464" i="16"/>
  <c r="AG480" i="16"/>
  <c r="AG496" i="16"/>
  <c r="AG512" i="16"/>
  <c r="AG528" i="16"/>
  <c r="AG544" i="16"/>
  <c r="AG560" i="16"/>
  <c r="AG576" i="16"/>
  <c r="AG592" i="16"/>
  <c r="AG608" i="16"/>
  <c r="AG624" i="16"/>
  <c r="AG640" i="16"/>
  <c r="AG656" i="16"/>
  <c r="AG672" i="16"/>
  <c r="AG688" i="16"/>
  <c r="AG704" i="16"/>
  <c r="AG720" i="16"/>
  <c r="AG107" i="21"/>
  <c r="AG235" i="21"/>
  <c r="AG363" i="21"/>
  <c r="AG491" i="21"/>
  <c r="AG619" i="21"/>
  <c r="AG747" i="21"/>
  <c r="AG875" i="21"/>
  <c r="AG960" i="21"/>
  <c r="AG1045" i="21"/>
  <c r="AG1131" i="21"/>
  <c r="AG1196" i="21"/>
  <c r="AG20" i="16"/>
  <c r="AG36" i="16"/>
  <c r="AG52" i="16"/>
  <c r="AG68" i="16"/>
  <c r="AG84" i="16"/>
  <c r="AG100" i="16"/>
  <c r="AG116" i="16"/>
  <c r="AG132" i="16"/>
  <c r="AG148" i="16"/>
  <c r="AG164" i="16"/>
  <c r="AG180" i="16"/>
  <c r="AG196" i="16"/>
  <c r="AG212" i="16"/>
  <c r="AG228" i="16"/>
  <c r="AG244" i="16"/>
  <c r="AG260" i="16"/>
  <c r="AG276" i="16"/>
  <c r="AG292" i="16"/>
  <c r="AG308" i="16"/>
  <c r="AG324" i="16"/>
  <c r="AG340" i="16"/>
  <c r="AG356" i="16"/>
  <c r="AG372" i="16"/>
  <c r="AG388" i="16"/>
  <c r="AG404" i="16"/>
  <c r="AG420" i="16"/>
  <c r="AG436" i="16"/>
  <c r="AG452" i="16"/>
  <c r="AG468" i="16"/>
  <c r="AG484" i="16"/>
  <c r="AG500" i="16"/>
  <c r="AG516" i="16"/>
  <c r="AG532" i="16"/>
  <c r="AG548" i="16"/>
  <c r="AG564" i="16"/>
  <c r="AG580" i="16"/>
  <c r="AG596" i="16"/>
  <c r="AG612" i="16"/>
  <c r="AG628" i="16"/>
  <c r="AG644" i="16"/>
  <c r="AG660" i="16"/>
  <c r="AG676" i="16"/>
  <c r="AG692" i="16"/>
  <c r="AG708" i="16"/>
  <c r="AF30" i="17"/>
  <c r="AF64" i="17"/>
  <c r="AF94" i="17"/>
  <c r="AF123" i="17"/>
  <c r="AF153" i="17"/>
  <c r="AG139" i="21"/>
  <c r="AG267" i="21"/>
  <c r="AG395" i="21"/>
  <c r="AG523" i="21"/>
  <c r="AG651" i="21"/>
  <c r="AG779" i="21"/>
  <c r="AG896" i="21"/>
  <c r="AG981" i="21"/>
  <c r="AG1067" i="21"/>
  <c r="AG1148" i="21"/>
  <c r="AG8" i="16"/>
  <c r="AG24" i="16"/>
  <c r="AG40" i="16"/>
  <c r="AG56" i="16"/>
  <c r="AG72" i="16"/>
  <c r="AG88" i="16"/>
  <c r="AG104" i="16"/>
  <c r="AG120" i="16"/>
  <c r="AG136" i="16"/>
  <c r="AG152" i="16"/>
  <c r="AG168" i="16"/>
  <c r="AG184" i="16"/>
  <c r="AG200" i="16"/>
  <c r="AG216" i="16"/>
  <c r="AG232" i="16"/>
  <c r="AG248" i="16"/>
  <c r="AG264" i="16"/>
  <c r="AG280" i="16"/>
  <c r="AG296" i="16"/>
  <c r="AG312" i="16"/>
  <c r="AG328" i="16"/>
  <c r="AG344" i="16"/>
  <c r="AG360" i="16"/>
  <c r="AG376" i="16"/>
  <c r="AG392" i="16"/>
  <c r="AG408" i="16"/>
  <c r="AG424" i="16"/>
  <c r="AG440" i="16"/>
  <c r="AG456" i="16"/>
  <c r="AG472" i="16"/>
  <c r="AG488" i="16"/>
  <c r="AG504" i="16"/>
  <c r="AG520" i="16"/>
  <c r="AG536" i="16"/>
  <c r="AG552" i="16"/>
  <c r="AG568" i="16"/>
  <c r="AG584" i="16"/>
  <c r="AG600" i="16"/>
  <c r="AG616" i="16"/>
  <c r="AG632" i="16"/>
  <c r="AG648" i="16"/>
  <c r="AG664" i="16"/>
  <c r="AG680" i="16"/>
  <c r="AG696" i="16"/>
  <c r="AG712" i="16"/>
  <c r="AF44" i="17"/>
  <c r="AF74" i="17"/>
  <c r="AF108" i="17"/>
  <c r="AF133" i="17"/>
  <c r="AF161" i="17"/>
  <c r="AF48" i="17"/>
  <c r="AF110" i="17"/>
  <c r="AF165" i="17"/>
  <c r="AF193" i="17"/>
  <c r="AF223" i="17"/>
  <c r="AF251" i="17"/>
  <c r="AF272" i="17"/>
  <c r="AF302" i="17"/>
  <c r="AF331" i="17"/>
  <c r="AH331" i="17" s="1"/>
  <c r="AF360" i="17"/>
  <c r="AF387" i="17"/>
  <c r="AF416" i="17"/>
  <c r="AF87" i="17"/>
  <c r="AF194" i="17"/>
  <c r="AF264" i="17"/>
  <c r="AF376" i="17"/>
  <c r="AF49" i="17"/>
  <c r="AF84" i="17"/>
  <c r="AF121" i="17"/>
  <c r="AF156" i="17"/>
  <c r="AF195" i="17"/>
  <c r="AF231" i="17"/>
  <c r="AF274" i="17"/>
  <c r="AF312" i="17"/>
  <c r="AF346" i="17"/>
  <c r="AF377" i="17"/>
  <c r="AF413" i="17"/>
  <c r="AF154" i="17"/>
  <c r="AF397" i="17"/>
  <c r="AF235" i="17"/>
  <c r="AF25" i="17"/>
  <c r="AF76" i="17"/>
  <c r="AF225" i="17"/>
  <c r="AF381" i="17"/>
  <c r="AF147" i="17"/>
  <c r="AF305" i="17"/>
  <c r="AF26" i="17"/>
  <c r="AF135" i="17"/>
  <c r="AF324" i="17"/>
  <c r="AF35" i="17"/>
  <c r="AF67" i="17"/>
  <c r="AH67" i="17" s="1"/>
  <c r="AF103" i="17"/>
  <c r="AF149" i="17"/>
  <c r="AF192" i="17"/>
  <c r="AH192" i="17" s="1"/>
  <c r="AF240" i="17"/>
  <c r="AH240" i="17" s="1"/>
  <c r="AF283" i="17"/>
  <c r="AF348" i="17"/>
  <c r="AF390" i="17"/>
  <c r="AH390" i="17" s="1"/>
  <c r="AF60" i="17"/>
  <c r="AF120" i="17"/>
  <c r="AF177" i="17"/>
  <c r="AF207" i="17"/>
  <c r="AF233" i="17"/>
  <c r="AF261" i="17"/>
  <c r="AF284" i="17"/>
  <c r="AF315" i="17"/>
  <c r="AF341" i="17"/>
  <c r="AF370" i="17"/>
  <c r="AF399" i="17"/>
  <c r="AF31" i="17"/>
  <c r="AF162" i="17"/>
  <c r="AF228" i="17"/>
  <c r="AH228" i="17" s="1"/>
  <c r="AF309" i="17"/>
  <c r="AF24" i="17"/>
  <c r="AF61" i="17"/>
  <c r="AF95" i="17"/>
  <c r="AF134" i="17"/>
  <c r="AF170" i="17"/>
  <c r="AF208" i="17"/>
  <c r="AF243" i="17"/>
  <c r="AF286" i="17"/>
  <c r="AH286" i="17" s="1"/>
  <c r="AF323" i="17"/>
  <c r="AF357" i="17"/>
  <c r="AF388" i="17"/>
  <c r="AF42" i="17"/>
  <c r="AF203" i="17"/>
  <c r="AF112" i="17"/>
  <c r="AF304" i="17"/>
  <c r="AF69" i="17"/>
  <c r="AF118" i="17"/>
  <c r="AF288" i="17"/>
  <c r="AF92" i="17"/>
  <c r="AF204" i="17"/>
  <c r="AF355" i="17"/>
  <c r="AF62" i="17"/>
  <c r="AF205" i="17"/>
  <c r="AF393" i="17"/>
  <c r="AF47" i="17"/>
  <c r="AH47" i="17" s="1"/>
  <c r="AF81" i="17"/>
  <c r="AH81" i="17" s="1"/>
  <c r="AF119" i="17"/>
  <c r="AF168" i="17"/>
  <c r="AF210" i="17"/>
  <c r="AF258" i="17"/>
  <c r="AF314" i="17"/>
  <c r="AH314" i="17" s="1"/>
  <c r="AF363" i="17"/>
  <c r="AF409" i="17"/>
  <c r="AF16" i="17"/>
  <c r="AF78" i="17"/>
  <c r="AF137" i="17"/>
  <c r="AF181" i="17"/>
  <c r="AF211" i="17"/>
  <c r="AF237" i="17"/>
  <c r="AF263" i="17"/>
  <c r="AF290" i="17"/>
  <c r="AF319" i="17"/>
  <c r="AF345" i="17"/>
  <c r="AF373" i="17"/>
  <c r="AF401" i="17"/>
  <c r="AF45" i="17"/>
  <c r="AF178" i="17"/>
  <c r="AF230" i="17"/>
  <c r="AF320" i="17"/>
  <c r="AF32" i="17"/>
  <c r="AH32" i="17" s="1"/>
  <c r="AF65" i="17"/>
  <c r="AF99" i="17"/>
  <c r="AF138" i="17"/>
  <c r="AH138" i="17" s="1"/>
  <c r="AF174" i="17"/>
  <c r="AF213" i="17"/>
  <c r="AF246" i="17"/>
  <c r="AF293" i="17"/>
  <c r="AH293" i="17" s="1"/>
  <c r="AF329" i="17"/>
  <c r="AF361" i="17"/>
  <c r="AF392" i="17"/>
  <c r="AF58" i="17"/>
  <c r="AF222" i="17"/>
  <c r="AF146" i="17"/>
  <c r="AF337" i="17"/>
  <c r="AF216" i="17"/>
  <c r="AF127" i="17"/>
  <c r="AF313" i="17"/>
  <c r="AF271" i="17"/>
  <c r="AF282" i="17"/>
  <c r="AF358" i="17"/>
  <c r="AF80" i="17"/>
  <c r="AF247" i="17"/>
  <c r="AF408" i="17"/>
  <c r="AF51" i="17"/>
  <c r="AF85" i="17"/>
  <c r="AH85" i="17" s="1"/>
  <c r="AF128" i="17"/>
  <c r="AH128" i="17" s="1"/>
  <c r="AF172" i="17"/>
  <c r="AF220" i="17"/>
  <c r="AH220" i="17" s="1"/>
  <c r="AF260" i="17"/>
  <c r="AH260" i="17" s="1"/>
  <c r="AF318" i="17"/>
  <c r="AF369" i="17"/>
  <c r="AH369" i="17" s="1"/>
  <c r="AF415" i="17"/>
  <c r="AF28" i="17"/>
  <c r="AF90" i="17"/>
  <c r="AF150" i="17"/>
  <c r="AH150" i="17" s="1"/>
  <c r="AF189" i="17"/>
  <c r="AF221" i="17"/>
  <c r="AF248" i="17"/>
  <c r="AF270" i="17"/>
  <c r="AF300" i="17"/>
  <c r="AH300" i="17" s="1"/>
  <c r="AF327" i="17"/>
  <c r="AF356" i="17"/>
  <c r="AF383" i="17"/>
  <c r="AF412" i="17"/>
  <c r="AF83" i="17"/>
  <c r="AF190" i="17"/>
  <c r="AF262" i="17"/>
  <c r="AF350" i="17"/>
  <c r="AF46" i="17"/>
  <c r="AF79" i="17"/>
  <c r="AF117" i="17"/>
  <c r="AF151" i="17"/>
  <c r="AH151" i="17" s="1"/>
  <c r="AF191" i="17"/>
  <c r="AF224" i="17"/>
  <c r="AF257" i="17"/>
  <c r="AF310" i="17"/>
  <c r="AF342" i="17"/>
  <c r="AF374" i="17"/>
  <c r="AF405" i="17"/>
  <c r="AF142" i="17"/>
  <c r="AH142" i="17" s="1"/>
  <c r="AF317" i="17"/>
  <c r="AF186" i="17"/>
  <c r="AF411" i="17"/>
  <c r="AF403" i="17"/>
  <c r="AF219" i="17"/>
  <c r="AF372" i="17"/>
  <c r="AF102" i="17"/>
  <c r="AF301" i="17"/>
  <c r="AH301" i="17" s="1"/>
  <c r="AF414" i="17"/>
  <c r="AF131" i="17"/>
  <c r="AF306" i="17"/>
  <c r="AF27" i="17"/>
  <c r="AF63" i="17"/>
  <c r="AH63" i="17" s="1"/>
  <c r="AF96" i="17"/>
  <c r="AF143" i="17"/>
  <c r="AH143" i="17" s="1"/>
  <c r="AF184" i="17"/>
  <c r="AH184" i="17" s="1"/>
  <c r="AF236" i="17"/>
  <c r="AH236" i="17" s="1"/>
  <c r="AF279" i="17"/>
  <c r="AF344" i="17"/>
  <c r="AF386" i="17"/>
  <c r="AH386" i="17" s="1"/>
  <c r="AH7" i="16"/>
  <c r="AH23" i="16"/>
  <c r="AH39" i="16"/>
  <c r="AH55" i="16"/>
  <c r="AH71" i="16"/>
  <c r="AH87" i="16"/>
  <c r="AH103" i="16"/>
  <c r="AH119" i="16"/>
  <c r="AH135" i="16"/>
  <c r="AH151" i="16"/>
  <c r="AH167" i="16"/>
  <c r="AH183" i="16"/>
  <c r="AH199" i="16"/>
  <c r="AH215" i="16"/>
  <c r="AH231" i="16"/>
  <c r="AH247" i="16"/>
  <c r="AH263" i="16"/>
  <c r="AH279" i="16"/>
  <c r="AH295" i="16"/>
  <c r="AH311" i="16"/>
  <c r="AH327" i="16"/>
  <c r="AH343" i="16"/>
  <c r="AH359" i="16"/>
  <c r="AH375" i="16"/>
  <c r="AH391" i="16"/>
  <c r="AH407" i="16"/>
  <c r="AH423" i="16"/>
  <c r="AH439" i="16"/>
  <c r="AH455" i="16"/>
  <c r="AH471" i="16"/>
  <c r="AH487" i="16"/>
  <c r="AH503" i="16"/>
  <c r="AH519" i="16"/>
  <c r="AH535" i="16"/>
  <c r="AH551" i="16"/>
  <c r="AH567" i="16"/>
  <c r="AH583" i="16"/>
  <c r="AH599" i="16"/>
  <c r="AH615" i="16"/>
  <c r="AH631" i="16"/>
  <c r="AH647" i="16"/>
  <c r="AH663" i="16"/>
  <c r="AH679" i="16"/>
  <c r="AH695" i="16"/>
  <c r="AH711" i="16"/>
  <c r="AH8" i="16"/>
  <c r="AH24" i="16"/>
  <c r="AH40" i="16"/>
  <c r="AH56" i="16"/>
  <c r="AH72" i="16"/>
  <c r="AH88" i="16"/>
  <c r="AH104" i="16"/>
  <c r="AH120" i="16"/>
  <c r="AH136" i="16"/>
  <c r="AH152" i="16"/>
  <c r="AH168" i="16"/>
  <c r="AH184" i="16"/>
  <c r="AH200" i="16"/>
  <c r="AH216" i="16"/>
  <c r="AH232" i="16"/>
  <c r="AH248" i="16"/>
  <c r="AH264" i="16"/>
  <c r="AH280" i="16"/>
  <c r="AH296" i="16"/>
  <c r="AH312" i="16"/>
  <c r="AH328" i="16"/>
  <c r="AH344" i="16"/>
  <c r="AH360" i="16"/>
  <c r="AH376" i="16"/>
  <c r="AH392" i="16"/>
  <c r="AH408" i="16"/>
  <c r="AH424" i="16"/>
  <c r="AH440" i="16"/>
  <c r="AH456" i="16"/>
  <c r="AH472" i="16"/>
  <c r="AH488" i="16"/>
  <c r="AH504" i="16"/>
  <c r="AH520" i="16"/>
  <c r="AH536" i="16"/>
  <c r="AH552" i="16"/>
  <c r="AH568" i="16"/>
  <c r="AH584" i="16"/>
  <c r="AH600" i="16"/>
  <c r="AH616" i="16"/>
  <c r="AH632" i="16"/>
  <c r="AH648" i="16"/>
  <c r="AH664" i="16"/>
  <c r="AH680" i="16"/>
  <c r="AH696" i="16"/>
  <c r="AH712" i="16"/>
  <c r="AH13" i="16"/>
  <c r="AH29" i="16"/>
  <c r="AH45" i="16"/>
  <c r="AH61" i="16"/>
  <c r="AH77" i="16"/>
  <c r="AH93" i="16"/>
  <c r="AH109" i="16"/>
  <c r="AH125" i="16"/>
  <c r="AH141" i="16"/>
  <c r="AH157" i="16"/>
  <c r="AH173" i="16"/>
  <c r="AH189" i="16"/>
  <c r="AH205" i="16"/>
  <c r="AH221" i="16"/>
  <c r="AH237" i="16"/>
  <c r="AH253" i="16"/>
  <c r="AH269" i="16"/>
  <c r="AH285" i="16"/>
  <c r="AH62" i="16"/>
  <c r="AH126" i="16"/>
  <c r="AH190" i="16"/>
  <c r="AH254" i="16"/>
  <c r="AH302" i="16"/>
  <c r="AH334" i="16"/>
  <c r="AH366" i="16"/>
  <c r="AH398" i="16"/>
  <c r="AH430" i="16"/>
  <c r="AH462" i="16"/>
  <c r="AH494" i="16"/>
  <c r="AH526" i="16"/>
  <c r="AH558" i="16"/>
  <c r="AH590" i="16"/>
  <c r="AH622" i="16"/>
  <c r="AH654" i="16"/>
  <c r="AH686" i="16"/>
  <c r="AH34" i="16"/>
  <c r="AH98" i="16"/>
  <c r="AH162" i="16"/>
  <c r="AH226" i="16"/>
  <c r="AH289" i="16"/>
  <c r="AH321" i="16"/>
  <c r="AH353" i="16"/>
  <c r="AH385" i="16"/>
  <c r="AH417" i="16"/>
  <c r="AH449" i="16"/>
  <c r="AH481" i="16"/>
  <c r="AH513" i="16"/>
  <c r="AH545" i="16"/>
  <c r="AH577" i="16"/>
  <c r="AH609" i="16"/>
  <c r="AH641" i="16"/>
  <c r="AH673" i="16"/>
  <c r="AH705" i="16"/>
  <c r="AH54" i="16"/>
  <c r="AH118" i="16"/>
  <c r="AH182" i="16"/>
  <c r="AH246" i="16"/>
  <c r="AH298" i="16"/>
  <c r="AH330" i="16"/>
  <c r="AH362" i="16"/>
  <c r="AH394" i="16"/>
  <c r="AH426" i="16"/>
  <c r="AH458" i="16"/>
  <c r="AH490" i="16"/>
  <c r="AH522" i="16"/>
  <c r="AH554" i="16"/>
  <c r="AH586" i="16"/>
  <c r="AH618" i="16"/>
  <c r="AH650" i="16"/>
  <c r="AH682" i="16"/>
  <c r="AH714" i="16"/>
  <c r="AH42" i="16"/>
  <c r="AH106" i="16"/>
  <c r="AH170" i="16"/>
  <c r="AH234" i="16"/>
  <c r="AH293" i="16"/>
  <c r="AH325" i="16"/>
  <c r="AH357" i="16"/>
  <c r="AH389" i="16"/>
  <c r="AH421" i="16"/>
  <c r="AH453" i="16"/>
  <c r="AH485" i="16"/>
  <c r="AH517" i="16"/>
  <c r="AH549" i="16"/>
  <c r="AH581" i="16"/>
  <c r="AH613" i="16"/>
  <c r="AH645" i="16"/>
  <c r="AH677" i="16"/>
  <c r="AH709" i="16"/>
  <c r="AH718" i="16"/>
  <c r="AH25" i="27"/>
  <c r="AH23" i="27"/>
  <c r="AH46" i="27"/>
  <c r="AH62" i="27"/>
  <c r="AH94" i="27"/>
  <c r="AH47" i="27"/>
  <c r="AH111" i="27"/>
  <c r="AH80" i="27"/>
  <c r="AH37" i="27"/>
  <c r="AH109" i="27"/>
  <c r="AH11" i="16"/>
  <c r="AH27" i="16"/>
  <c r="AH43" i="16"/>
  <c r="AH59" i="16"/>
  <c r="AH75" i="16"/>
  <c r="AH91" i="16"/>
  <c r="AH107" i="16"/>
  <c r="AH123" i="16"/>
  <c r="AH139" i="16"/>
  <c r="AH155" i="16"/>
  <c r="AH171" i="16"/>
  <c r="AH187" i="16"/>
  <c r="AH203" i="16"/>
  <c r="AH219" i="16"/>
  <c r="AH235" i="16"/>
  <c r="AH251" i="16"/>
  <c r="AH267" i="16"/>
  <c r="AH283" i="16"/>
  <c r="AH299" i="16"/>
  <c r="AH315" i="16"/>
  <c r="AH331" i="16"/>
  <c r="AH347" i="16"/>
  <c r="AH363" i="16"/>
  <c r="AH379" i="16"/>
  <c r="AH395" i="16"/>
  <c r="AH411" i="16"/>
  <c r="AH427" i="16"/>
  <c r="AH443" i="16"/>
  <c r="AH459" i="16"/>
  <c r="AH475" i="16"/>
  <c r="AH491" i="16"/>
  <c r="AH507" i="16"/>
  <c r="AH523" i="16"/>
  <c r="AH539" i="16"/>
  <c r="AH555" i="16"/>
  <c r="AH571" i="16"/>
  <c r="AH587" i="16"/>
  <c r="AH603" i="16"/>
  <c r="AH619" i="16"/>
  <c r="AH635" i="16"/>
  <c r="AH651" i="16"/>
  <c r="AH667" i="16"/>
  <c r="AH683" i="16"/>
  <c r="AH699" i="16"/>
  <c r="AH715" i="16"/>
  <c r="AH12" i="16"/>
  <c r="AH28" i="16"/>
  <c r="AH44" i="16"/>
  <c r="AH60" i="16"/>
  <c r="AH76" i="16"/>
  <c r="AH92" i="16"/>
  <c r="AH108" i="16"/>
  <c r="AH124" i="16"/>
  <c r="AH140" i="16"/>
  <c r="AH156" i="16"/>
  <c r="AH172" i="16"/>
  <c r="AH188" i="16"/>
  <c r="AH204" i="16"/>
  <c r="AH220" i="16"/>
  <c r="AH236" i="16"/>
  <c r="AH252" i="16"/>
  <c r="AH268" i="16"/>
  <c r="AH284" i="16"/>
  <c r="AH300" i="16"/>
  <c r="AH316" i="16"/>
  <c r="AH332" i="16"/>
  <c r="AH348" i="16"/>
  <c r="AH364" i="16"/>
  <c r="AH380" i="16"/>
  <c r="AH396" i="16"/>
  <c r="AH412" i="16"/>
  <c r="AH428" i="16"/>
  <c r="AH444" i="16"/>
  <c r="AH460" i="16"/>
  <c r="AH476" i="16"/>
  <c r="AH492" i="16"/>
  <c r="AH508" i="16"/>
  <c r="AH524" i="16"/>
  <c r="AH540" i="16"/>
  <c r="AH556" i="16"/>
  <c r="AH572" i="16"/>
  <c r="AH588" i="16"/>
  <c r="AH604" i="16"/>
  <c r="AH620" i="16"/>
  <c r="AH636" i="16"/>
  <c r="AH652" i="16"/>
  <c r="AH668" i="16"/>
  <c r="AH684" i="16"/>
  <c r="AH700" i="16"/>
  <c r="AH716" i="16"/>
  <c r="AH17" i="16"/>
  <c r="AH33" i="16"/>
  <c r="AH49" i="16"/>
  <c r="AH65" i="16"/>
  <c r="AH81" i="16"/>
  <c r="AH97" i="16"/>
  <c r="AH113" i="16"/>
  <c r="AH129" i="16"/>
  <c r="AH145" i="16"/>
  <c r="AH161" i="16"/>
  <c r="AH177" i="16"/>
  <c r="AH193" i="16"/>
  <c r="AH209" i="16"/>
  <c r="AH225" i="16"/>
  <c r="AH241" i="16"/>
  <c r="AH257" i="16"/>
  <c r="AH273" i="16"/>
  <c r="AH14" i="16"/>
  <c r="AH78" i="16"/>
  <c r="AH142" i="16"/>
  <c r="AH206" i="16"/>
  <c r="AH270" i="16"/>
  <c r="AH310" i="16"/>
  <c r="AH342" i="16"/>
  <c r="AH374" i="16"/>
  <c r="AH406" i="16"/>
  <c r="AH438" i="16"/>
  <c r="AH470" i="16"/>
  <c r="AH502" i="16"/>
  <c r="AH534" i="16"/>
  <c r="AH566" i="16"/>
  <c r="AH598" i="16"/>
  <c r="AH630" i="16"/>
  <c r="AH662" i="16"/>
  <c r="AH694" i="16"/>
  <c r="AH50" i="16"/>
  <c r="AH114" i="16"/>
  <c r="AH178" i="16"/>
  <c r="AH242" i="16"/>
  <c r="AH297" i="16"/>
  <c r="AH329" i="16"/>
  <c r="AH361" i="16"/>
  <c r="AH393" i="16"/>
  <c r="AH425" i="16"/>
  <c r="AH457" i="16"/>
  <c r="AH489" i="16"/>
  <c r="AH521" i="16"/>
  <c r="AH553" i="16"/>
  <c r="AH585" i="16"/>
  <c r="AH617" i="16"/>
  <c r="AH649" i="16"/>
  <c r="AH681" i="16"/>
  <c r="AH6" i="16"/>
  <c r="AH70" i="16"/>
  <c r="AH134" i="16"/>
  <c r="AH198" i="16"/>
  <c r="AH262" i="16"/>
  <c r="AH306" i="16"/>
  <c r="AH338" i="16"/>
  <c r="AH370" i="16"/>
  <c r="AH402" i="16"/>
  <c r="AH434" i="16"/>
  <c r="AH466" i="16"/>
  <c r="AH498" i="16"/>
  <c r="AH530" i="16"/>
  <c r="AH562" i="16"/>
  <c r="AH594" i="16"/>
  <c r="AH626" i="16"/>
  <c r="AH658" i="16"/>
  <c r="AH690" i="16"/>
  <c r="AH722" i="16"/>
  <c r="AH58" i="16"/>
  <c r="AH122" i="16"/>
  <c r="AH186" i="16"/>
  <c r="AH250" i="16"/>
  <c r="AH301" i="16"/>
  <c r="AH333" i="16"/>
  <c r="AH365" i="16"/>
  <c r="AH397" i="16"/>
  <c r="AH429" i="16"/>
  <c r="AH461" i="16"/>
  <c r="AH493" i="16"/>
  <c r="AH525" i="16"/>
  <c r="AH557" i="16"/>
  <c r="AH589" i="16"/>
  <c r="AH621" i="16"/>
  <c r="AH653" i="16"/>
  <c r="AH685" i="16"/>
  <c r="AH717" i="16"/>
  <c r="AH721" i="16"/>
  <c r="AH29" i="27"/>
  <c r="AH27" i="27"/>
  <c r="AH34" i="27"/>
  <c r="AH50" i="27"/>
  <c r="AH66" i="27"/>
  <c r="AH82" i="27"/>
  <c r="AH98" i="27"/>
  <c r="AH114" i="27"/>
  <c r="AH35" i="27"/>
  <c r="AH51" i="27"/>
  <c r="AH67" i="27"/>
  <c r="AH83" i="27"/>
  <c r="AH99" i="27"/>
  <c r="AH115" i="27"/>
  <c r="AH36" i="27"/>
  <c r="AH52" i="27"/>
  <c r="AH68" i="27"/>
  <c r="AH84" i="27"/>
  <c r="AH100" i="27"/>
  <c r="AH116" i="27"/>
  <c r="AH81" i="27"/>
  <c r="AH53" i="27"/>
  <c r="AH117" i="27"/>
  <c r="AH73" i="27"/>
  <c r="AH24" i="27"/>
  <c r="AH61" i="27"/>
  <c r="AH15" i="16"/>
  <c r="AH31" i="16"/>
  <c r="AH47" i="16"/>
  <c r="AH63" i="16"/>
  <c r="AH79" i="16"/>
  <c r="AH95" i="16"/>
  <c r="AH111" i="16"/>
  <c r="AH127" i="16"/>
  <c r="AH143" i="16"/>
  <c r="AH159" i="16"/>
  <c r="AH175" i="16"/>
  <c r="AH191" i="16"/>
  <c r="AH207" i="16"/>
  <c r="AH223" i="16"/>
  <c r="AH239" i="16"/>
  <c r="AH255" i="16"/>
  <c r="AH271" i="16"/>
  <c r="AH287" i="16"/>
  <c r="AH303" i="16"/>
  <c r="AH319" i="16"/>
  <c r="AH335" i="16"/>
  <c r="AH351" i="16"/>
  <c r="AH367" i="16"/>
  <c r="AH383" i="16"/>
  <c r="AH399" i="16"/>
  <c r="AH415" i="16"/>
  <c r="AH431" i="16"/>
  <c r="AH447" i="16"/>
  <c r="AH463" i="16"/>
  <c r="AH479" i="16"/>
  <c r="AH495" i="16"/>
  <c r="AH511" i="16"/>
  <c r="AH527" i="16"/>
  <c r="AH543" i="16"/>
  <c r="AH559" i="16"/>
  <c r="AH575" i="16"/>
  <c r="AH591" i="16"/>
  <c r="AH607" i="16"/>
  <c r="AH623" i="16"/>
  <c r="AH639" i="16"/>
  <c r="AH655" i="16"/>
  <c r="AH671" i="16"/>
  <c r="AH687" i="16"/>
  <c r="AH703" i="16"/>
  <c r="AH719" i="16"/>
  <c r="AH16" i="16"/>
  <c r="AH32" i="16"/>
  <c r="AH48" i="16"/>
  <c r="AH64" i="16"/>
  <c r="AH80" i="16"/>
  <c r="AH96" i="16"/>
  <c r="AH112" i="16"/>
  <c r="AH128" i="16"/>
  <c r="AH144" i="16"/>
  <c r="AH160" i="16"/>
  <c r="AH176" i="16"/>
  <c r="AH192" i="16"/>
  <c r="AH208" i="16"/>
  <c r="AH224" i="16"/>
  <c r="AH240" i="16"/>
  <c r="AH256" i="16"/>
  <c r="AH272" i="16"/>
  <c r="AH288" i="16"/>
  <c r="AH304" i="16"/>
  <c r="AH320" i="16"/>
  <c r="AH336" i="16"/>
  <c r="AH352" i="16"/>
  <c r="AH368" i="16"/>
  <c r="AH384" i="16"/>
  <c r="AH400" i="16"/>
  <c r="AH416" i="16"/>
  <c r="AH432" i="16"/>
  <c r="AH448" i="16"/>
  <c r="AH464" i="16"/>
  <c r="AH480" i="16"/>
  <c r="AH496" i="16"/>
  <c r="AH512" i="16"/>
  <c r="AH528" i="16"/>
  <c r="AH544" i="16"/>
  <c r="AH560" i="16"/>
  <c r="AH576" i="16"/>
  <c r="AH592" i="16"/>
  <c r="AH608" i="16"/>
  <c r="AH624" i="16"/>
  <c r="AH640" i="16"/>
  <c r="AH656" i="16"/>
  <c r="AH672" i="16"/>
  <c r="AH688" i="16"/>
  <c r="AH704" i="16"/>
  <c r="AH720" i="16"/>
  <c r="AH21" i="16"/>
  <c r="AH37" i="16"/>
  <c r="AH53" i="16"/>
  <c r="AH69" i="16"/>
  <c r="AH85" i="16"/>
  <c r="AH101" i="16"/>
  <c r="AH117" i="16"/>
  <c r="AH133" i="16"/>
  <c r="AH149" i="16"/>
  <c r="AH165" i="16"/>
  <c r="AH181" i="16"/>
  <c r="AH197" i="16"/>
  <c r="AH213" i="16"/>
  <c r="AH229" i="16"/>
  <c r="AH245" i="16"/>
  <c r="AH261" i="16"/>
  <c r="AH277" i="16"/>
  <c r="AH30" i="16"/>
  <c r="AH94" i="16"/>
  <c r="AH158" i="16"/>
  <c r="AH222" i="16"/>
  <c r="AH286" i="16"/>
  <c r="AH318" i="16"/>
  <c r="AH350" i="16"/>
  <c r="AH382" i="16"/>
  <c r="AH414" i="16"/>
  <c r="AH446" i="16"/>
  <c r="AH478" i="16"/>
  <c r="AH510" i="16"/>
  <c r="AH542" i="16"/>
  <c r="AH574" i="16"/>
  <c r="AH606" i="16"/>
  <c r="AH638" i="16"/>
  <c r="AH670" i="16"/>
  <c r="AH702" i="16"/>
  <c r="AH66" i="16"/>
  <c r="AH130" i="16"/>
  <c r="AH194" i="16"/>
  <c r="AH258" i="16"/>
  <c r="AH305" i="16"/>
  <c r="AH337" i="16"/>
  <c r="AH369" i="16"/>
  <c r="AH401" i="16"/>
  <c r="AH433" i="16"/>
  <c r="AH465" i="16"/>
  <c r="AH497" i="16"/>
  <c r="AH529" i="16"/>
  <c r="AH561" i="16"/>
  <c r="AH593" i="16"/>
  <c r="AH625" i="16"/>
  <c r="AH657" i="16"/>
  <c r="AH689" i="16"/>
  <c r="AH22" i="16"/>
  <c r="AH86" i="16"/>
  <c r="AH150" i="16"/>
  <c r="AH214" i="16"/>
  <c r="AH278" i="16"/>
  <c r="AH314" i="16"/>
  <c r="AH346" i="16"/>
  <c r="AH378" i="16"/>
  <c r="AH410" i="16"/>
  <c r="AH442" i="16"/>
  <c r="AH474" i="16"/>
  <c r="AH506" i="16"/>
  <c r="AH538" i="16"/>
  <c r="AH570" i="16"/>
  <c r="AH602" i="16"/>
  <c r="AH634" i="16"/>
  <c r="AH666" i="16"/>
  <c r="AH698" i="16"/>
  <c r="AH10" i="16"/>
  <c r="AH74" i="16"/>
  <c r="AH138" i="16"/>
  <c r="AH202" i="16"/>
  <c r="AH266" i="16"/>
  <c r="AH309" i="16"/>
  <c r="AH341" i="16"/>
  <c r="AH373" i="16"/>
  <c r="AH405" i="16"/>
  <c r="AH437" i="16"/>
  <c r="AH469" i="16"/>
  <c r="AH501" i="16"/>
  <c r="AH533" i="16"/>
  <c r="AH565" i="16"/>
  <c r="AH597" i="16"/>
  <c r="AH629" i="16"/>
  <c r="AH661" i="16"/>
  <c r="AH693" i="16"/>
  <c r="AH710" i="16"/>
  <c r="AH17" i="27"/>
  <c r="AH33" i="27"/>
  <c r="AH31" i="27"/>
  <c r="AH38" i="27"/>
  <c r="AH54" i="27"/>
  <c r="AH70" i="27"/>
  <c r="AH86" i="27"/>
  <c r="AH102" i="27"/>
  <c r="AH118" i="27"/>
  <c r="AH39" i="27"/>
  <c r="AH55" i="27"/>
  <c r="AH71" i="27"/>
  <c r="AH87" i="27"/>
  <c r="AH103" i="27"/>
  <c r="AH119" i="27"/>
  <c r="AH40" i="27"/>
  <c r="AH56" i="27"/>
  <c r="AH72" i="27"/>
  <c r="AH88" i="27"/>
  <c r="AH104" i="27"/>
  <c r="AH32" i="27"/>
  <c r="AH97" i="27"/>
  <c r="AH69" i="27"/>
  <c r="AH16" i="27"/>
  <c r="AH89" i="27"/>
  <c r="AH93" i="27"/>
  <c r="AH19" i="16"/>
  <c r="AH35" i="16"/>
  <c r="AH51" i="16"/>
  <c r="AH67" i="16"/>
  <c r="AH83" i="16"/>
  <c r="AH99" i="16"/>
  <c r="AH115" i="16"/>
  <c r="AH131" i="16"/>
  <c r="AH147" i="16"/>
  <c r="AH163" i="16"/>
  <c r="AH179" i="16"/>
  <c r="AH195" i="16"/>
  <c r="AH211" i="16"/>
  <c r="AH227" i="16"/>
  <c r="AH243" i="16"/>
  <c r="AH259" i="16"/>
  <c r="AH275" i="16"/>
  <c r="AH291" i="16"/>
  <c r="AH307" i="16"/>
  <c r="AH323" i="16"/>
  <c r="AH339" i="16"/>
  <c r="AH355" i="16"/>
  <c r="AH371" i="16"/>
  <c r="AH387" i="16"/>
  <c r="AH403" i="16"/>
  <c r="AH419" i="16"/>
  <c r="AH435" i="16"/>
  <c r="AH451" i="16"/>
  <c r="AH467" i="16"/>
  <c r="AH483" i="16"/>
  <c r="AH499" i="16"/>
  <c r="AH515" i="16"/>
  <c r="AH531" i="16"/>
  <c r="AH547" i="16"/>
  <c r="AH563" i="16"/>
  <c r="AH579" i="16"/>
  <c r="AH595" i="16"/>
  <c r="AH611" i="16"/>
  <c r="AH627" i="16"/>
  <c r="AH643" i="16"/>
  <c r="AH659" i="16"/>
  <c r="AH675" i="16"/>
  <c r="AH691" i="16"/>
  <c r="AH707" i="16"/>
  <c r="AH723" i="16"/>
  <c r="AH20" i="16"/>
  <c r="AH36" i="16"/>
  <c r="AH52" i="16"/>
  <c r="AH68" i="16"/>
  <c r="AH84" i="16"/>
  <c r="AH100" i="16"/>
  <c r="AH116" i="16"/>
  <c r="AH132" i="16"/>
  <c r="AH148" i="16"/>
  <c r="AH164" i="16"/>
  <c r="AH180" i="16"/>
  <c r="AH196" i="16"/>
  <c r="AH212" i="16"/>
  <c r="AH228" i="16"/>
  <c r="AH244" i="16"/>
  <c r="AH260" i="16"/>
  <c r="AH276" i="16"/>
  <c r="AH292" i="16"/>
  <c r="AH308" i="16"/>
  <c r="AH324" i="16"/>
  <c r="AH340" i="16"/>
  <c r="AH356" i="16"/>
  <c r="AH372" i="16"/>
  <c r="AH388" i="16"/>
  <c r="AH404" i="16"/>
  <c r="AH420" i="16"/>
  <c r="AH436" i="16"/>
  <c r="AH452" i="16"/>
  <c r="AH468" i="16"/>
  <c r="AH484" i="16"/>
  <c r="AH500" i="16"/>
  <c r="AH516" i="16"/>
  <c r="AH532" i="16"/>
  <c r="AH548" i="16"/>
  <c r="AH564" i="16"/>
  <c r="AH580" i="16"/>
  <c r="AH596" i="16"/>
  <c r="AH612" i="16"/>
  <c r="AH628" i="16"/>
  <c r="AH644" i="16"/>
  <c r="AH660" i="16"/>
  <c r="AH676" i="16"/>
  <c r="AH692" i="16"/>
  <c r="AH708" i="16"/>
  <c r="AH9" i="16"/>
  <c r="AH25" i="16"/>
  <c r="AH41" i="16"/>
  <c r="AH57" i="16"/>
  <c r="AH73" i="16"/>
  <c r="AH89" i="16"/>
  <c r="AH105" i="16"/>
  <c r="AH121" i="16"/>
  <c r="AH137" i="16"/>
  <c r="AH153" i="16"/>
  <c r="AH169" i="16"/>
  <c r="AH185" i="16"/>
  <c r="AH201" i="16"/>
  <c r="AH217" i="16"/>
  <c r="AH233" i="16"/>
  <c r="AH249" i="16"/>
  <c r="AH265" i="16"/>
  <c r="AH281" i="16"/>
  <c r="AH46" i="16"/>
  <c r="AH110" i="16"/>
  <c r="AH174" i="16"/>
  <c r="AH238" i="16"/>
  <c r="AH294" i="16"/>
  <c r="AH326" i="16"/>
  <c r="AH358" i="16"/>
  <c r="AH390" i="16"/>
  <c r="AH422" i="16"/>
  <c r="AH454" i="16"/>
  <c r="AH486" i="16"/>
  <c r="AH518" i="16"/>
  <c r="AH550" i="16"/>
  <c r="AH582" i="16"/>
  <c r="AH614" i="16"/>
  <c r="AH646" i="16"/>
  <c r="AH678" i="16"/>
  <c r="AH18" i="16"/>
  <c r="AH82" i="16"/>
  <c r="AH146" i="16"/>
  <c r="AH210" i="16"/>
  <c r="AH274" i="16"/>
  <c r="AH313" i="16"/>
  <c r="AH345" i="16"/>
  <c r="AH377" i="16"/>
  <c r="AH409" i="16"/>
  <c r="AH441" i="16"/>
  <c r="AH473" i="16"/>
  <c r="AH505" i="16"/>
  <c r="AH537" i="16"/>
  <c r="AH569" i="16"/>
  <c r="AH601" i="16"/>
  <c r="AH633" i="16"/>
  <c r="AH665" i="16"/>
  <c r="AH697" i="16"/>
  <c r="AH38" i="16"/>
  <c r="AH102" i="16"/>
  <c r="AH166" i="16"/>
  <c r="AH230" i="16"/>
  <c r="AH290" i="16"/>
  <c r="AH322" i="16"/>
  <c r="AH354" i="16"/>
  <c r="AH386" i="16"/>
  <c r="AH418" i="16"/>
  <c r="AH450" i="16"/>
  <c r="AH482" i="16"/>
  <c r="AH514" i="16"/>
  <c r="AH546" i="16"/>
  <c r="AH578" i="16"/>
  <c r="AH610" i="16"/>
  <c r="AH642" i="16"/>
  <c r="AH674" i="16"/>
  <c r="AH706" i="16"/>
  <c r="AH26" i="16"/>
  <c r="AH90" i="16"/>
  <c r="AH154" i="16"/>
  <c r="AH218" i="16"/>
  <c r="AH282" i="16"/>
  <c r="AH317" i="16"/>
  <c r="AH349" i="16"/>
  <c r="AH381" i="16"/>
  <c r="AH413" i="16"/>
  <c r="AH445" i="16"/>
  <c r="AH477" i="16"/>
  <c r="AH509" i="16"/>
  <c r="AH541" i="16"/>
  <c r="AH573" i="16"/>
  <c r="AH605" i="16"/>
  <c r="AH637" i="16"/>
  <c r="AH669" i="16"/>
  <c r="AH701" i="16"/>
  <c r="AH713" i="16"/>
  <c r="AH21" i="27"/>
  <c r="AH19" i="27"/>
  <c r="AH18" i="27"/>
  <c r="AH42" i="27"/>
  <c r="AH58" i="27"/>
  <c r="AH74" i="27"/>
  <c r="AH90" i="27"/>
  <c r="AH106" i="27"/>
  <c r="AH20" i="27"/>
  <c r="AH43" i="27"/>
  <c r="AH59" i="27"/>
  <c r="AH75" i="27"/>
  <c r="AH91" i="27"/>
  <c r="AH107" i="27"/>
  <c r="AH22" i="27"/>
  <c r="AH44" i="27"/>
  <c r="AH60" i="27"/>
  <c r="AH76" i="27"/>
  <c r="AH92" i="27"/>
  <c r="AH108" i="27"/>
  <c r="AH49" i="27"/>
  <c r="AH113" i="27"/>
  <c r="AH85" i="27"/>
  <c r="AH41" i="27"/>
  <c r="AH105" i="27"/>
  <c r="AH45" i="27"/>
  <c r="AH26" i="27"/>
  <c r="AH78" i="27"/>
  <c r="AH110" i="27"/>
  <c r="AH28" i="27"/>
  <c r="AH63" i="27"/>
  <c r="AH79" i="27"/>
  <c r="AH95" i="27"/>
  <c r="AH30" i="27"/>
  <c r="AH48" i="27"/>
  <c r="AH64" i="27"/>
  <c r="AH96" i="27"/>
  <c r="AH112" i="27"/>
  <c r="AH65" i="27"/>
  <c r="AH101" i="27"/>
  <c r="AH57" i="27"/>
  <c r="AH77" i="27"/>
  <c r="AH16" i="21"/>
  <c r="AH32" i="21"/>
  <c r="AH48" i="21"/>
  <c r="AH64" i="21"/>
  <c r="AH80" i="21"/>
  <c r="AH96" i="21"/>
  <c r="AH112" i="21"/>
  <c r="AH128" i="21"/>
  <c r="AH144" i="21"/>
  <c r="AH160" i="21"/>
  <c r="AH176" i="21"/>
  <c r="AH192" i="21"/>
  <c r="AH208" i="21"/>
  <c r="AH224" i="21"/>
  <c r="AH240" i="21"/>
  <c r="AH256" i="21"/>
  <c r="AH272" i="21"/>
  <c r="AH288" i="21"/>
  <c r="AH304" i="21"/>
  <c r="AH320" i="21"/>
  <c r="AH336" i="21"/>
  <c r="AH352" i="21"/>
  <c r="AH368" i="21"/>
  <c r="AH384" i="21"/>
  <c r="AH400" i="21"/>
  <c r="AH416" i="21"/>
  <c r="AH432" i="21"/>
  <c r="AH448" i="21"/>
  <c r="AH464" i="21"/>
  <c r="AH480" i="21"/>
  <c r="AH496" i="21"/>
  <c r="AH512" i="21"/>
  <c r="AH528" i="21"/>
  <c r="AH544" i="21"/>
  <c r="AH560" i="21"/>
  <c r="AH29" i="21"/>
  <c r="AH45" i="21"/>
  <c r="AH61" i="21"/>
  <c r="AH77" i="21"/>
  <c r="AH93" i="21"/>
  <c r="AH109" i="21"/>
  <c r="AH125" i="21"/>
  <c r="AH141" i="21"/>
  <c r="AH157" i="21"/>
  <c r="AH173" i="21"/>
  <c r="AH189" i="21"/>
  <c r="AH205" i="21"/>
  <c r="AH221" i="21"/>
  <c r="AH237" i="21"/>
  <c r="AH253" i="21"/>
  <c r="AH269" i="21"/>
  <c r="AH285" i="21"/>
  <c r="AH301" i="21"/>
  <c r="AH317" i="21"/>
  <c r="AH333" i="21"/>
  <c r="AH349" i="21"/>
  <c r="AH365" i="21"/>
  <c r="AH381" i="21"/>
  <c r="AH397" i="21"/>
  <c r="AH413" i="21"/>
  <c r="AH429" i="21"/>
  <c r="AH445" i="21"/>
  <c r="AH461" i="21"/>
  <c r="AH477" i="21"/>
  <c r="AH493" i="21"/>
  <c r="AH509" i="21"/>
  <c r="AH525" i="21"/>
  <c r="AH541" i="21"/>
  <c r="AH557" i="21"/>
  <c r="AH573" i="21"/>
  <c r="AH589" i="21"/>
  <c r="AH605" i="21"/>
  <c r="AH621" i="21"/>
  <c r="AH637" i="21"/>
  <c r="AH653" i="21"/>
  <c r="AH669" i="21"/>
  <c r="AH685" i="21"/>
  <c r="AH701" i="21"/>
  <c r="AH717" i="21"/>
  <c r="AH733" i="21"/>
  <c r="AH749" i="21"/>
  <c r="AH765" i="21"/>
  <c r="AH781" i="21"/>
  <c r="AH797" i="21"/>
  <c r="AH813" i="21"/>
  <c r="AH829" i="21"/>
  <c r="AH845" i="21"/>
  <c r="AH861" i="21"/>
  <c r="AH877" i="21"/>
  <c r="AH893" i="21"/>
  <c r="AH909" i="21"/>
  <c r="AH925" i="21"/>
  <c r="AH941" i="21"/>
  <c r="AH957" i="21"/>
  <c r="AH973" i="21"/>
  <c r="AH989" i="21"/>
  <c r="AH1005" i="21"/>
  <c r="AH1021" i="21"/>
  <c r="AH18" i="21"/>
  <c r="AH34" i="21"/>
  <c r="AH50" i="21"/>
  <c r="AH66" i="21"/>
  <c r="AH82" i="21"/>
  <c r="AH98" i="21"/>
  <c r="AH114" i="21"/>
  <c r="AH130" i="21"/>
  <c r="AH146" i="21"/>
  <c r="AH162" i="21"/>
  <c r="AH178" i="21"/>
  <c r="AH194" i="21"/>
  <c r="AH210" i="21"/>
  <c r="AH226" i="21"/>
  <c r="AH242" i="21"/>
  <c r="AH258" i="21"/>
  <c r="AH274" i="21"/>
  <c r="AH290" i="21"/>
  <c r="AH306" i="21"/>
  <c r="AH322" i="21"/>
  <c r="AH338" i="21"/>
  <c r="AH354" i="21"/>
  <c r="AH370" i="21"/>
  <c r="AH386" i="21"/>
  <c r="AH402" i="21"/>
  <c r="AH418" i="21"/>
  <c r="AH434" i="21"/>
  <c r="AH450" i="21"/>
  <c r="AH466" i="21"/>
  <c r="AH482" i="21"/>
  <c r="AH498" i="21"/>
  <c r="AH514" i="21"/>
  <c r="AH530" i="21"/>
  <c r="AH546" i="21"/>
  <c r="AH562" i="21"/>
  <c r="AH578" i="21"/>
  <c r="AH594" i="21"/>
  <c r="AH610" i="21"/>
  <c r="AH626" i="21"/>
  <c r="AH642" i="21"/>
  <c r="AH658" i="21"/>
  <c r="AH674" i="21"/>
  <c r="AH690" i="21"/>
  <c r="AH706" i="21"/>
  <c r="AH722" i="21"/>
  <c r="AH738" i="21"/>
  <c r="AH754" i="21"/>
  <c r="AH770" i="21"/>
  <c r="AH786" i="21"/>
  <c r="AH802" i="21"/>
  <c r="AH818" i="21"/>
  <c r="AH834" i="21"/>
  <c r="AH850" i="21"/>
  <c r="AH866" i="21"/>
  <c r="AH882" i="21"/>
  <c r="AH898" i="21"/>
  <c r="AH914" i="21"/>
  <c r="AH930" i="21"/>
  <c r="AH946" i="21"/>
  <c r="AH962" i="21"/>
  <c r="AH978" i="21"/>
  <c r="AH994" i="21"/>
  <c r="AH1010" i="21"/>
  <c r="AH1026" i="21"/>
  <c r="AH59" i="21"/>
  <c r="AH123" i="21"/>
  <c r="AH187" i="21"/>
  <c r="AH251" i="21"/>
  <c r="AH315" i="21"/>
  <c r="AH379" i="21"/>
  <c r="AH443" i="21"/>
  <c r="AH507" i="21"/>
  <c r="AH567" i="21"/>
  <c r="AH599" i="21"/>
  <c r="AH631" i="21"/>
  <c r="AH663" i="21"/>
  <c r="AH695" i="21"/>
  <c r="AH727" i="21"/>
  <c r="AH759" i="21"/>
  <c r="AH791" i="21"/>
  <c r="AH823" i="21"/>
  <c r="AH855" i="21"/>
  <c r="AH887" i="21"/>
  <c r="AH919" i="21"/>
  <c r="AH951" i="21"/>
  <c r="AH983" i="21"/>
  <c r="AH1015" i="21"/>
  <c r="AH1040" i="21"/>
  <c r="AH1056" i="21"/>
  <c r="AH1072" i="21"/>
  <c r="AH1088" i="21"/>
  <c r="AH1104" i="21"/>
  <c r="AH1120" i="21"/>
  <c r="AH1136" i="21"/>
  <c r="AH1152" i="21"/>
  <c r="AH1168" i="21"/>
  <c r="AH1184" i="21"/>
  <c r="AH1200" i="21"/>
  <c r="AH63" i="21"/>
  <c r="AH127" i="21"/>
  <c r="AH191" i="21"/>
  <c r="AH255" i="21"/>
  <c r="AH319" i="21"/>
  <c r="AH383" i="21"/>
  <c r="AH447" i="21"/>
  <c r="AH511" i="21"/>
  <c r="AH568" i="21"/>
  <c r="AH600" i="21"/>
  <c r="AH632" i="21"/>
  <c r="AH664" i="21"/>
  <c r="AH696" i="21"/>
  <c r="AH728" i="21"/>
  <c r="AH760" i="21"/>
  <c r="AH792" i="21"/>
  <c r="AH824" i="21"/>
  <c r="AH856" i="21"/>
  <c r="AH888" i="21"/>
  <c r="AH920" i="21"/>
  <c r="AH952" i="21"/>
  <c r="AH984" i="21"/>
  <c r="AH1016" i="21"/>
  <c r="AH1041" i="21"/>
  <c r="AH1057" i="21"/>
  <c r="AH1073" i="21"/>
  <c r="AH1089" i="21"/>
  <c r="AH1105" i="21"/>
  <c r="AH1121" i="21"/>
  <c r="AH1137" i="21"/>
  <c r="AH1153" i="21"/>
  <c r="AH1169" i="21"/>
  <c r="AH1185" i="21"/>
  <c r="AH1201" i="21"/>
  <c r="AH67" i="21"/>
  <c r="AH131" i="21"/>
  <c r="AH195" i="21"/>
  <c r="AH259" i="21"/>
  <c r="AH323" i="21"/>
  <c r="AH387" i="21"/>
  <c r="AH451" i="21"/>
  <c r="AH515" i="21"/>
  <c r="AH571" i="21"/>
  <c r="AH603" i="21"/>
  <c r="AH635" i="21"/>
  <c r="AH667" i="21"/>
  <c r="AH699" i="21"/>
  <c r="AH731" i="21"/>
  <c r="AH763" i="21"/>
  <c r="AH795" i="21"/>
  <c r="AH827" i="21"/>
  <c r="AH859" i="21"/>
  <c r="AH891" i="21"/>
  <c r="AH923" i="21"/>
  <c r="AH955" i="21"/>
  <c r="AH987" i="21"/>
  <c r="AH1019" i="21"/>
  <c r="AH20" i="21"/>
  <c r="AH36" i="21"/>
  <c r="AH52" i="21"/>
  <c r="AH68" i="21"/>
  <c r="AH84" i="21"/>
  <c r="AH100" i="21"/>
  <c r="AH116" i="21"/>
  <c r="AH132" i="21"/>
  <c r="AH148" i="21"/>
  <c r="AH164" i="21"/>
  <c r="AH180" i="21"/>
  <c r="AH196" i="21"/>
  <c r="AH212" i="21"/>
  <c r="AH228" i="21"/>
  <c r="AH244" i="21"/>
  <c r="AH260" i="21"/>
  <c r="AH276" i="21"/>
  <c r="AH292" i="21"/>
  <c r="AH308" i="21"/>
  <c r="AH324" i="21"/>
  <c r="AH340" i="21"/>
  <c r="AH356" i="21"/>
  <c r="AH372" i="21"/>
  <c r="AH388" i="21"/>
  <c r="AH404" i="21"/>
  <c r="AH420" i="21"/>
  <c r="AH436" i="21"/>
  <c r="AH452" i="21"/>
  <c r="AH468" i="21"/>
  <c r="AH484" i="21"/>
  <c r="AH500" i="21"/>
  <c r="AH516" i="21"/>
  <c r="AH532" i="21"/>
  <c r="AH548" i="21"/>
  <c r="AH17" i="21"/>
  <c r="AH33" i="21"/>
  <c r="AH49" i="21"/>
  <c r="AH65" i="21"/>
  <c r="AH81" i="21"/>
  <c r="AH97" i="21"/>
  <c r="AH113" i="21"/>
  <c r="AH129" i="21"/>
  <c r="AH145" i="21"/>
  <c r="AH161" i="21"/>
  <c r="AH177" i="21"/>
  <c r="AH193" i="21"/>
  <c r="AH209" i="21"/>
  <c r="AH225" i="21"/>
  <c r="AH241" i="21"/>
  <c r="AH257" i="21"/>
  <c r="AH273" i="21"/>
  <c r="AH289" i="21"/>
  <c r="AH305" i="21"/>
  <c r="AH321" i="21"/>
  <c r="AH337" i="21"/>
  <c r="AH353" i="21"/>
  <c r="AH369" i="21"/>
  <c r="AH385" i="21"/>
  <c r="AH401" i="21"/>
  <c r="AH417" i="21"/>
  <c r="AH433" i="21"/>
  <c r="AH449" i="21"/>
  <c r="AH465" i="21"/>
  <c r="AH481" i="21"/>
  <c r="AH497" i="21"/>
  <c r="AH513" i="21"/>
  <c r="AH529" i="21"/>
  <c r="AH545" i="21"/>
  <c r="AH561" i="21"/>
  <c r="AH577" i="21"/>
  <c r="AH593" i="21"/>
  <c r="AH609" i="21"/>
  <c r="AH625" i="21"/>
  <c r="AH641" i="21"/>
  <c r="AH657" i="21"/>
  <c r="AH673" i="21"/>
  <c r="AH689" i="21"/>
  <c r="AH705" i="21"/>
  <c r="AH721" i="21"/>
  <c r="AH737" i="21"/>
  <c r="AH753" i="21"/>
  <c r="AH769" i="21"/>
  <c r="AH785" i="21"/>
  <c r="AH801" i="21"/>
  <c r="AH817" i="21"/>
  <c r="AH833" i="21"/>
  <c r="AH849" i="21"/>
  <c r="AH865" i="21"/>
  <c r="AH881" i="21"/>
  <c r="AH897" i="21"/>
  <c r="AH913" i="21"/>
  <c r="AH929" i="21"/>
  <c r="AH945" i="21"/>
  <c r="AH961" i="21"/>
  <c r="AH977" i="21"/>
  <c r="AH993" i="21"/>
  <c r="AH1009" i="21"/>
  <c r="AH1025" i="21"/>
  <c r="AH22" i="21"/>
  <c r="AH38" i="21"/>
  <c r="AH54" i="21"/>
  <c r="AH70" i="21"/>
  <c r="AH86" i="21"/>
  <c r="AH102" i="21"/>
  <c r="AH118" i="21"/>
  <c r="AH134" i="21"/>
  <c r="AH150" i="21"/>
  <c r="AH166" i="21"/>
  <c r="AH182" i="21"/>
  <c r="AH198" i="21"/>
  <c r="AH214" i="21"/>
  <c r="AH230" i="21"/>
  <c r="AH246" i="21"/>
  <c r="AH262" i="21"/>
  <c r="AH278" i="21"/>
  <c r="AH294" i="21"/>
  <c r="AH310" i="21"/>
  <c r="AH326" i="21"/>
  <c r="AH342" i="21"/>
  <c r="AH358" i="21"/>
  <c r="AH374" i="21"/>
  <c r="AH390" i="21"/>
  <c r="AH406" i="21"/>
  <c r="AH422" i="21"/>
  <c r="AH438" i="21"/>
  <c r="AH454" i="21"/>
  <c r="AH470" i="21"/>
  <c r="AH486" i="21"/>
  <c r="AH502" i="21"/>
  <c r="AH518" i="21"/>
  <c r="AH534" i="21"/>
  <c r="AH550" i="21"/>
  <c r="AH566" i="21"/>
  <c r="AH582" i="21"/>
  <c r="AH598" i="21"/>
  <c r="AH614" i="21"/>
  <c r="AH630" i="21"/>
  <c r="AH646" i="21"/>
  <c r="AH662" i="21"/>
  <c r="AH678" i="21"/>
  <c r="AH694" i="21"/>
  <c r="AH710" i="21"/>
  <c r="AH726" i="21"/>
  <c r="AH742" i="21"/>
  <c r="AH758" i="21"/>
  <c r="AH774" i="21"/>
  <c r="AH790" i="21"/>
  <c r="AH806" i="21"/>
  <c r="AH822" i="21"/>
  <c r="AH838" i="21"/>
  <c r="AH854" i="21"/>
  <c r="AH870" i="21"/>
  <c r="AH886" i="21"/>
  <c r="AH902" i="21"/>
  <c r="AH918" i="21"/>
  <c r="AH934" i="21"/>
  <c r="AH950" i="21"/>
  <c r="AH966" i="21"/>
  <c r="AH982" i="21"/>
  <c r="AH998" i="21"/>
  <c r="AH1014" i="21"/>
  <c r="AH1030" i="21"/>
  <c r="AH75" i="21"/>
  <c r="AH139" i="21"/>
  <c r="AH203" i="21"/>
  <c r="AH267" i="21"/>
  <c r="AH331" i="21"/>
  <c r="AH395" i="21"/>
  <c r="AH459" i="21"/>
  <c r="AH523" i="21"/>
  <c r="AH575" i="21"/>
  <c r="AH607" i="21"/>
  <c r="AH639" i="21"/>
  <c r="AH671" i="21"/>
  <c r="AH703" i="21"/>
  <c r="AH735" i="21"/>
  <c r="AH767" i="21"/>
  <c r="AH799" i="21"/>
  <c r="AH831" i="21"/>
  <c r="AH863" i="21"/>
  <c r="AH895" i="21"/>
  <c r="AH927" i="21"/>
  <c r="AH959" i="21"/>
  <c r="AH991" i="21"/>
  <c r="AH1023" i="21"/>
  <c r="AH1044" i="21"/>
  <c r="AH1060" i="21"/>
  <c r="AH1076" i="21"/>
  <c r="AH1092" i="21"/>
  <c r="AH1108" i="21"/>
  <c r="AH1124" i="21"/>
  <c r="AH1140" i="21"/>
  <c r="AH1156" i="21"/>
  <c r="AH1172" i="21"/>
  <c r="AH1188" i="21"/>
  <c r="AH1204" i="21"/>
  <c r="AH79" i="21"/>
  <c r="AH143" i="21"/>
  <c r="AH207" i="21"/>
  <c r="AH271" i="21"/>
  <c r="AH335" i="21"/>
  <c r="AH399" i="21"/>
  <c r="AH463" i="21"/>
  <c r="AH527" i="21"/>
  <c r="AH576" i="21"/>
  <c r="AH608" i="21"/>
  <c r="AH640" i="21"/>
  <c r="AH672" i="21"/>
  <c r="AH704" i="21"/>
  <c r="AH736" i="21"/>
  <c r="AH768" i="21"/>
  <c r="AH800" i="21"/>
  <c r="AH832" i="21"/>
  <c r="AH864" i="21"/>
  <c r="AH896" i="21"/>
  <c r="AH928" i="21"/>
  <c r="AH960" i="21"/>
  <c r="AH992" i="21"/>
  <c r="AH1024" i="21"/>
  <c r="AH1045" i="21"/>
  <c r="AH1061" i="21"/>
  <c r="AH1077" i="21"/>
  <c r="AH1093" i="21"/>
  <c r="AH1109" i="21"/>
  <c r="AH1125" i="21"/>
  <c r="AH1141" i="21"/>
  <c r="AH1157" i="21"/>
  <c r="AH1173" i="21"/>
  <c r="AH1189" i="21"/>
  <c r="AH19" i="21"/>
  <c r="AH83" i="21"/>
  <c r="AH147" i="21"/>
  <c r="AH211" i="21"/>
  <c r="AH275" i="21"/>
  <c r="AH339" i="21"/>
  <c r="AH403" i="21"/>
  <c r="AH467" i="21"/>
  <c r="AH531" i="21"/>
  <c r="AH579" i="21"/>
  <c r="AH611" i="21"/>
  <c r="AH643" i="21"/>
  <c r="AH675" i="21"/>
  <c r="AH707" i="21"/>
  <c r="AH739" i="21"/>
  <c r="AH771" i="21"/>
  <c r="AH803" i="21"/>
  <c r="AH835" i="21"/>
  <c r="AH867" i="21"/>
  <c r="AH899" i="21"/>
  <c r="AH931" i="21"/>
  <c r="AH963" i="21"/>
  <c r="AH995" i="21"/>
  <c r="AH1027" i="21"/>
  <c r="AH1046" i="21"/>
  <c r="AH1062" i="21"/>
  <c r="AH1078" i="21"/>
  <c r="AH1094" i="21"/>
  <c r="AH1110" i="21"/>
  <c r="AH1126" i="21"/>
  <c r="AH1142" i="21"/>
  <c r="AH1158" i="21"/>
  <c r="AH1174" i="21"/>
  <c r="AH1190" i="21"/>
  <c r="AH39" i="21"/>
  <c r="AH295" i="21"/>
  <c r="AH551" i="21"/>
  <c r="AH684" i="21"/>
  <c r="AH812" i="21"/>
  <c r="AH940" i="21"/>
  <c r="AH1051" i="21"/>
  <c r="AH1115" i="21"/>
  <c r="AH1179" i="21"/>
  <c r="AH183" i="21"/>
  <c r="AH439" i="21"/>
  <c r="AH628" i="21"/>
  <c r="AH756" i="21"/>
  <c r="AH884" i="21"/>
  <c r="AH1012" i="21"/>
  <c r="AH1087" i="21"/>
  <c r="AH1151" i="21"/>
  <c r="AH71" i="21"/>
  <c r="AH327" i="21"/>
  <c r="AH572" i="21"/>
  <c r="AH700" i="21"/>
  <c r="AH828" i="21"/>
  <c r="AH956" i="21"/>
  <c r="AH1059" i="21"/>
  <c r="AH1123" i="21"/>
  <c r="AH1187" i="21"/>
  <c r="AH151" i="21"/>
  <c r="AH407" i="21"/>
  <c r="AH612" i="21"/>
  <c r="AH740" i="21"/>
  <c r="AH868" i="21"/>
  <c r="AH996" i="21"/>
  <c r="AH1079" i="21"/>
  <c r="AH1143" i="21"/>
  <c r="AG16" i="17"/>
  <c r="AH16" i="17" s="1"/>
  <c r="AG78" i="17"/>
  <c r="AG137" i="17"/>
  <c r="AG193" i="17"/>
  <c r="AH193" i="17" s="1"/>
  <c r="AG251" i="17"/>
  <c r="AG302" i="17"/>
  <c r="AH302" i="17" s="1"/>
  <c r="AG360" i="17"/>
  <c r="AG416" i="17"/>
  <c r="AH416" i="17" s="1"/>
  <c r="AG19" i="17"/>
  <c r="AG82" i="17"/>
  <c r="AG140" i="17"/>
  <c r="AG196" i="17"/>
  <c r="AG255" i="17"/>
  <c r="AG308" i="17"/>
  <c r="AG364" i="17"/>
  <c r="AG418" i="17"/>
  <c r="AG28" i="17"/>
  <c r="AG150" i="17"/>
  <c r="AG261" i="17"/>
  <c r="AG370" i="17"/>
  <c r="AG201" i="17"/>
  <c r="AG18" i="17"/>
  <c r="AG88" i="17"/>
  <c r="AG163" i="17"/>
  <c r="AG234" i="17"/>
  <c r="AG316" i="17"/>
  <c r="AG380" i="17"/>
  <c r="AG160" i="17"/>
  <c r="AG278" i="17"/>
  <c r="AG101" i="17"/>
  <c r="AG385" i="17"/>
  <c r="AG326" i="17"/>
  <c r="AG139" i="17"/>
  <c r="AG39" i="17"/>
  <c r="AG107" i="17"/>
  <c r="AG199" i="17"/>
  <c r="AG299" i="17"/>
  <c r="AG394" i="17"/>
  <c r="AG129" i="17"/>
  <c r="AG245" i="17"/>
  <c r="AG353" i="17"/>
  <c r="AG188" i="17"/>
  <c r="AG332" i="17"/>
  <c r="AG75" i="17"/>
  <c r="AG145" i="17"/>
  <c r="AH145" i="17" s="1"/>
  <c r="AH24" i="21"/>
  <c r="AH40" i="21"/>
  <c r="AH56" i="21"/>
  <c r="AH72" i="21"/>
  <c r="AH88" i="21"/>
  <c r="AH104" i="21"/>
  <c r="AH120" i="21"/>
  <c r="AH136" i="21"/>
  <c r="AH152" i="21"/>
  <c r="AH168" i="21"/>
  <c r="AH184" i="21"/>
  <c r="AH200" i="21"/>
  <c r="AH216" i="21"/>
  <c r="AH232" i="21"/>
  <c r="AH248" i="21"/>
  <c r="AH264" i="21"/>
  <c r="AH280" i="21"/>
  <c r="AH296" i="21"/>
  <c r="AH312" i="21"/>
  <c r="AH328" i="21"/>
  <c r="AH344" i="21"/>
  <c r="AH360" i="21"/>
  <c r="AH376" i="21"/>
  <c r="AH392" i="21"/>
  <c r="AH408" i="21"/>
  <c r="AH424" i="21"/>
  <c r="AH440" i="21"/>
  <c r="AH456" i="21"/>
  <c r="AH472" i="21"/>
  <c r="AH488" i="21"/>
  <c r="AH504" i="21"/>
  <c r="AH520" i="21"/>
  <c r="AH536" i="21"/>
  <c r="AH552" i="21"/>
  <c r="AH21" i="21"/>
  <c r="AH37" i="21"/>
  <c r="AH53" i="21"/>
  <c r="AH69" i="21"/>
  <c r="AH85" i="21"/>
  <c r="AH101" i="21"/>
  <c r="AH117" i="21"/>
  <c r="AH133" i="21"/>
  <c r="AH149" i="21"/>
  <c r="AH165" i="21"/>
  <c r="AH181" i="21"/>
  <c r="AH197" i="21"/>
  <c r="AH213" i="21"/>
  <c r="AH229" i="21"/>
  <c r="AH245" i="21"/>
  <c r="AH261" i="21"/>
  <c r="AH277" i="21"/>
  <c r="AH293" i="21"/>
  <c r="AH309" i="21"/>
  <c r="AH325" i="21"/>
  <c r="AH341" i="21"/>
  <c r="AH357" i="21"/>
  <c r="AH373" i="21"/>
  <c r="AH389" i="21"/>
  <c r="AH405" i="21"/>
  <c r="AH421" i="21"/>
  <c r="AH437" i="21"/>
  <c r="AH453" i="21"/>
  <c r="AH469" i="21"/>
  <c r="AH485" i="21"/>
  <c r="AH501" i="21"/>
  <c r="AH517" i="21"/>
  <c r="AH533" i="21"/>
  <c r="AH549" i="21"/>
  <c r="AH565" i="21"/>
  <c r="AH581" i="21"/>
  <c r="AH597" i="21"/>
  <c r="AH613" i="21"/>
  <c r="AH629" i="21"/>
  <c r="AH645" i="21"/>
  <c r="AH661" i="21"/>
  <c r="AH677" i="21"/>
  <c r="AH693" i="21"/>
  <c r="AH709" i="21"/>
  <c r="AH725" i="21"/>
  <c r="AH741" i="21"/>
  <c r="AH757" i="21"/>
  <c r="AH773" i="21"/>
  <c r="AH789" i="21"/>
  <c r="AH805" i="21"/>
  <c r="AH821" i="21"/>
  <c r="AH837" i="21"/>
  <c r="AH853" i="21"/>
  <c r="AH869" i="21"/>
  <c r="AH885" i="21"/>
  <c r="AH901" i="21"/>
  <c r="AH917" i="21"/>
  <c r="AH933" i="21"/>
  <c r="AH949" i="21"/>
  <c r="AH965" i="21"/>
  <c r="AH981" i="21"/>
  <c r="AH997" i="21"/>
  <c r="AH1013" i="21"/>
  <c r="AH1029" i="21"/>
  <c r="AH26" i="21"/>
  <c r="AH42" i="21"/>
  <c r="AH58" i="21"/>
  <c r="AH74" i="21"/>
  <c r="AH90" i="21"/>
  <c r="AH106" i="21"/>
  <c r="AH122" i="21"/>
  <c r="AH138" i="21"/>
  <c r="AH154" i="21"/>
  <c r="AH170" i="21"/>
  <c r="AH186" i="21"/>
  <c r="AH202" i="21"/>
  <c r="AH218" i="21"/>
  <c r="AH234" i="21"/>
  <c r="AH250" i="21"/>
  <c r="AH266" i="21"/>
  <c r="AH282" i="21"/>
  <c r="AH298" i="21"/>
  <c r="AH314" i="21"/>
  <c r="AH330" i="21"/>
  <c r="AH346" i="21"/>
  <c r="AH362" i="21"/>
  <c r="AH378" i="21"/>
  <c r="AH394" i="21"/>
  <c r="AH410" i="21"/>
  <c r="AH426" i="21"/>
  <c r="AH442" i="21"/>
  <c r="AH458" i="21"/>
  <c r="AH474" i="21"/>
  <c r="AH490" i="21"/>
  <c r="AH506" i="21"/>
  <c r="AH522" i="21"/>
  <c r="AH538" i="21"/>
  <c r="AH554" i="21"/>
  <c r="AH570" i="21"/>
  <c r="AH586" i="21"/>
  <c r="AH602" i="21"/>
  <c r="AH618" i="21"/>
  <c r="AH634" i="21"/>
  <c r="AH650" i="21"/>
  <c r="AH666" i="21"/>
  <c r="AH682" i="21"/>
  <c r="AH698" i="21"/>
  <c r="AH714" i="21"/>
  <c r="AH730" i="21"/>
  <c r="AH746" i="21"/>
  <c r="AH762" i="21"/>
  <c r="AH778" i="21"/>
  <c r="AH794" i="21"/>
  <c r="AH810" i="21"/>
  <c r="AH826" i="21"/>
  <c r="AH842" i="21"/>
  <c r="AH858" i="21"/>
  <c r="AH874" i="21"/>
  <c r="AH890" i="21"/>
  <c r="AH906" i="21"/>
  <c r="AH922" i="21"/>
  <c r="AH938" i="21"/>
  <c r="AH954" i="21"/>
  <c r="AH970" i="21"/>
  <c r="AH986" i="21"/>
  <c r="AH1002" i="21"/>
  <c r="AH1018" i="21"/>
  <c r="AH27" i="21"/>
  <c r="AH91" i="21"/>
  <c r="AH155" i="21"/>
  <c r="AH219" i="21"/>
  <c r="AH283" i="21"/>
  <c r="AH347" i="21"/>
  <c r="AH411" i="21"/>
  <c r="AH475" i="21"/>
  <c r="AH539" i="21"/>
  <c r="AH583" i="21"/>
  <c r="AH615" i="21"/>
  <c r="AH647" i="21"/>
  <c r="AH679" i="21"/>
  <c r="AH711" i="21"/>
  <c r="AH743" i="21"/>
  <c r="AH775" i="21"/>
  <c r="AH807" i="21"/>
  <c r="AH839" i="21"/>
  <c r="AH871" i="21"/>
  <c r="AH903" i="21"/>
  <c r="AH935" i="21"/>
  <c r="AH967" i="21"/>
  <c r="AH999" i="21"/>
  <c r="AH1031" i="21"/>
  <c r="AH1048" i="21"/>
  <c r="AH1064" i="21"/>
  <c r="AH1080" i="21"/>
  <c r="AH1096" i="21"/>
  <c r="AH1112" i="21"/>
  <c r="AH1128" i="21"/>
  <c r="AH1144" i="21"/>
  <c r="AH1160" i="21"/>
  <c r="AH1176" i="21"/>
  <c r="AH1192" i="21"/>
  <c r="AH31" i="21"/>
  <c r="AH95" i="21"/>
  <c r="AH159" i="21"/>
  <c r="AH223" i="21"/>
  <c r="AH287" i="21"/>
  <c r="AH351" i="21"/>
  <c r="AH415" i="21"/>
  <c r="AH479" i="21"/>
  <c r="AH543" i="21"/>
  <c r="AH584" i="21"/>
  <c r="AH616" i="21"/>
  <c r="AH648" i="21"/>
  <c r="AH680" i="21"/>
  <c r="AH712" i="21"/>
  <c r="AH744" i="21"/>
  <c r="AH776" i="21"/>
  <c r="AH808" i="21"/>
  <c r="AH840" i="21"/>
  <c r="AH872" i="21"/>
  <c r="AH904" i="21"/>
  <c r="AH936" i="21"/>
  <c r="AH968" i="21"/>
  <c r="AH1000" i="21"/>
  <c r="AH1032" i="21"/>
  <c r="AH1049" i="21"/>
  <c r="AH1065" i="21"/>
  <c r="AH1081" i="21"/>
  <c r="AH1097" i="21"/>
  <c r="AH1113" i="21"/>
  <c r="AH1129" i="21"/>
  <c r="AH1145" i="21"/>
  <c r="AH1161" i="21"/>
  <c r="AH1177" i="21"/>
  <c r="AH1193" i="21"/>
  <c r="AH35" i="21"/>
  <c r="AH99" i="21"/>
  <c r="AH163" i="21"/>
  <c r="AH227" i="21"/>
  <c r="AH291" i="21"/>
  <c r="AH355" i="21"/>
  <c r="AH419" i="21"/>
  <c r="AH483" i="21"/>
  <c r="AH547" i="21"/>
  <c r="AH587" i="21"/>
  <c r="AH619" i="21"/>
  <c r="AH651" i="21"/>
  <c r="AH683" i="21"/>
  <c r="AH715" i="21"/>
  <c r="AH747" i="21"/>
  <c r="AH779" i="21"/>
  <c r="AH811" i="21"/>
  <c r="AH843" i="21"/>
  <c r="AH875" i="21"/>
  <c r="AH907" i="21"/>
  <c r="AH939" i="21"/>
  <c r="AH971" i="21"/>
  <c r="AH1003" i="21"/>
  <c r="AH28" i="21"/>
  <c r="AH44" i="21"/>
  <c r="AH60" i="21"/>
  <c r="AH76" i="21"/>
  <c r="AH92" i="21"/>
  <c r="AH108" i="21"/>
  <c r="AH124" i="21"/>
  <c r="AH140" i="21"/>
  <c r="AH156" i="21"/>
  <c r="AH172" i="21"/>
  <c r="AH188" i="21"/>
  <c r="AH204" i="21"/>
  <c r="AH220" i="21"/>
  <c r="AH236" i="21"/>
  <c r="AH252" i="21"/>
  <c r="AH268" i="21"/>
  <c r="AH284" i="21"/>
  <c r="AH300" i="21"/>
  <c r="AH316" i="21"/>
  <c r="AH332" i="21"/>
  <c r="AH348" i="21"/>
  <c r="AH364" i="21"/>
  <c r="AH380" i="21"/>
  <c r="AH396" i="21"/>
  <c r="AH412" i="21"/>
  <c r="AH428" i="21"/>
  <c r="AH444" i="21"/>
  <c r="AH460" i="21"/>
  <c r="AH476" i="21"/>
  <c r="AH492" i="21"/>
  <c r="AH508" i="21"/>
  <c r="AH524" i="21"/>
  <c r="AH540" i="21"/>
  <c r="AH556" i="21"/>
  <c r="AH25" i="21"/>
  <c r="AH41" i="21"/>
  <c r="AH57" i="21"/>
  <c r="AH73" i="21"/>
  <c r="AH89" i="21"/>
  <c r="AH105" i="21"/>
  <c r="AH121" i="21"/>
  <c r="AH137" i="21"/>
  <c r="AH153" i="21"/>
  <c r="AH169" i="21"/>
  <c r="AH185" i="21"/>
  <c r="AH201" i="21"/>
  <c r="AH217" i="21"/>
  <c r="AH233" i="21"/>
  <c r="AH249" i="21"/>
  <c r="AH265" i="21"/>
  <c r="AH281" i="21"/>
  <c r="AH297" i="21"/>
  <c r="AH313" i="21"/>
  <c r="AH329" i="21"/>
  <c r="AH345" i="21"/>
  <c r="AH361" i="21"/>
  <c r="AH377" i="21"/>
  <c r="AH393" i="21"/>
  <c r="AH409" i="21"/>
  <c r="AH425" i="21"/>
  <c r="AH441" i="21"/>
  <c r="AH457" i="21"/>
  <c r="AH473" i="21"/>
  <c r="AH489" i="21"/>
  <c r="AH505" i="21"/>
  <c r="AH521" i="21"/>
  <c r="AH537" i="21"/>
  <c r="AH553" i="21"/>
  <c r="AH569" i="21"/>
  <c r="AH585" i="21"/>
  <c r="AH601" i="21"/>
  <c r="AH617" i="21"/>
  <c r="AH633" i="21"/>
  <c r="AH649" i="21"/>
  <c r="AH665" i="21"/>
  <c r="AH681" i="21"/>
  <c r="AH697" i="21"/>
  <c r="AH713" i="21"/>
  <c r="AH729" i="21"/>
  <c r="AH745" i="21"/>
  <c r="AH761" i="21"/>
  <c r="AH777" i="21"/>
  <c r="AH793" i="21"/>
  <c r="AH809" i="21"/>
  <c r="AH825" i="21"/>
  <c r="AH841" i="21"/>
  <c r="AH857" i="21"/>
  <c r="AH873" i="21"/>
  <c r="AH889" i="21"/>
  <c r="AH905" i="21"/>
  <c r="AH921" i="21"/>
  <c r="AH937" i="21"/>
  <c r="AH953" i="21"/>
  <c r="AH969" i="21"/>
  <c r="AH985" i="21"/>
  <c r="AH1001" i="21"/>
  <c r="AH1017" i="21"/>
  <c r="AH1033" i="21"/>
  <c r="AH30" i="21"/>
  <c r="AH46" i="21"/>
  <c r="AH62" i="21"/>
  <c r="AH78" i="21"/>
  <c r="AH94" i="21"/>
  <c r="AH110" i="21"/>
  <c r="AH126" i="21"/>
  <c r="AH142" i="21"/>
  <c r="AH158" i="21"/>
  <c r="AH174" i="21"/>
  <c r="AH190" i="21"/>
  <c r="AH206" i="21"/>
  <c r="AH222" i="21"/>
  <c r="AH238" i="21"/>
  <c r="AH254" i="21"/>
  <c r="AH270" i="21"/>
  <c r="AH286" i="21"/>
  <c r="AH302" i="21"/>
  <c r="AH318" i="21"/>
  <c r="AH334" i="21"/>
  <c r="AH350" i="21"/>
  <c r="AH366" i="21"/>
  <c r="AH382" i="21"/>
  <c r="AH398" i="21"/>
  <c r="AH414" i="21"/>
  <c r="AH430" i="21"/>
  <c r="AH446" i="21"/>
  <c r="AH462" i="21"/>
  <c r="AH478" i="21"/>
  <c r="AH494" i="21"/>
  <c r="AH510" i="21"/>
  <c r="AH526" i="21"/>
  <c r="AH542" i="21"/>
  <c r="AH558" i="21"/>
  <c r="AH574" i="21"/>
  <c r="AH590" i="21"/>
  <c r="AH606" i="21"/>
  <c r="AH622" i="21"/>
  <c r="AH638" i="21"/>
  <c r="AH654" i="21"/>
  <c r="AH670" i="21"/>
  <c r="AH686" i="21"/>
  <c r="AH702" i="21"/>
  <c r="AH718" i="21"/>
  <c r="AH734" i="21"/>
  <c r="AH750" i="21"/>
  <c r="AH766" i="21"/>
  <c r="AH782" i="21"/>
  <c r="AH798" i="21"/>
  <c r="AH814" i="21"/>
  <c r="AH830" i="21"/>
  <c r="AH846" i="21"/>
  <c r="AH862" i="21"/>
  <c r="AH878" i="21"/>
  <c r="AH894" i="21"/>
  <c r="AH910" i="21"/>
  <c r="AH926" i="21"/>
  <c r="AH942" i="21"/>
  <c r="AH958" i="21"/>
  <c r="AH974" i="21"/>
  <c r="AH990" i="21"/>
  <c r="AH1006" i="21"/>
  <c r="AH1022" i="21"/>
  <c r="AH43" i="21"/>
  <c r="AH107" i="21"/>
  <c r="AH171" i="21"/>
  <c r="AH235" i="21"/>
  <c r="AH299" i="21"/>
  <c r="AH363" i="21"/>
  <c r="AH427" i="21"/>
  <c r="AH491" i="21"/>
  <c r="AH555" i="21"/>
  <c r="AH591" i="21"/>
  <c r="AH623" i="21"/>
  <c r="AH655" i="21"/>
  <c r="AH687" i="21"/>
  <c r="AH719" i="21"/>
  <c r="AH751" i="21"/>
  <c r="AH783" i="21"/>
  <c r="AH815" i="21"/>
  <c r="AH847" i="21"/>
  <c r="AH879" i="21"/>
  <c r="AH911" i="21"/>
  <c r="AH943" i="21"/>
  <c r="AH975" i="21"/>
  <c r="AH1007" i="21"/>
  <c r="AH1036" i="21"/>
  <c r="AH1052" i="21"/>
  <c r="AH1068" i="21"/>
  <c r="AH1084" i="21"/>
  <c r="AH1100" i="21"/>
  <c r="AH1116" i="21"/>
  <c r="AH1132" i="21"/>
  <c r="AH1148" i="21"/>
  <c r="AH1164" i="21"/>
  <c r="AH1180" i="21"/>
  <c r="AH1196" i="21"/>
  <c r="AH47" i="21"/>
  <c r="AH111" i="21"/>
  <c r="AH175" i="21"/>
  <c r="AH239" i="21"/>
  <c r="AH303" i="21"/>
  <c r="AH367" i="21"/>
  <c r="AH431" i="21"/>
  <c r="AH495" i="21"/>
  <c r="AH559" i="21"/>
  <c r="AH592" i="21"/>
  <c r="AH624" i="21"/>
  <c r="AH656" i="21"/>
  <c r="AH688" i="21"/>
  <c r="AH720" i="21"/>
  <c r="AH752" i="21"/>
  <c r="AH784" i="21"/>
  <c r="AH816" i="21"/>
  <c r="AH848" i="21"/>
  <c r="AH880" i="21"/>
  <c r="AH912" i="21"/>
  <c r="AH944" i="21"/>
  <c r="AH976" i="21"/>
  <c r="AH1008" i="21"/>
  <c r="AH1037" i="21"/>
  <c r="AH1053" i="21"/>
  <c r="AH1069" i="21"/>
  <c r="AH1085" i="21"/>
  <c r="AH1101" i="21"/>
  <c r="AH1117" i="21"/>
  <c r="AH1133" i="21"/>
  <c r="AH1149" i="21"/>
  <c r="AH1165" i="21"/>
  <c r="AH1181" i="21"/>
  <c r="AH1197" i="21"/>
  <c r="AH51" i="21"/>
  <c r="AH115" i="21"/>
  <c r="AH179" i="21"/>
  <c r="AH243" i="21"/>
  <c r="AH307" i="21"/>
  <c r="AH371" i="21"/>
  <c r="AH435" i="21"/>
  <c r="AH499" i="21"/>
  <c r="AH563" i="21"/>
  <c r="AH595" i="21"/>
  <c r="AH627" i="21"/>
  <c r="AH659" i="21"/>
  <c r="AH691" i="21"/>
  <c r="AH723" i="21"/>
  <c r="AH755" i="21"/>
  <c r="AH787" i="21"/>
  <c r="AH819" i="21"/>
  <c r="AH851" i="21"/>
  <c r="AH883" i="21"/>
  <c r="AH915" i="21"/>
  <c r="AH947" i="21"/>
  <c r="AH979" i="21"/>
  <c r="AH1011" i="21"/>
  <c r="AH1038" i="21"/>
  <c r="AH1054" i="21"/>
  <c r="AH1070" i="21"/>
  <c r="AH1086" i="21"/>
  <c r="AH1102" i="21"/>
  <c r="AH1118" i="21"/>
  <c r="AH1134" i="21"/>
  <c r="AH1150" i="21"/>
  <c r="AH1166" i="21"/>
  <c r="AH1182" i="21"/>
  <c r="AH1198" i="21"/>
  <c r="AH167" i="21"/>
  <c r="AH423" i="21"/>
  <c r="AH620" i="21"/>
  <c r="AH748" i="21"/>
  <c r="AH876" i="21"/>
  <c r="AH1004" i="21"/>
  <c r="AH1083" i="21"/>
  <c r="AH1147" i="21"/>
  <c r="AH55" i="21"/>
  <c r="AH311" i="21"/>
  <c r="AH564" i="21"/>
  <c r="AH692" i="21"/>
  <c r="AH820" i="21"/>
  <c r="AH948" i="21"/>
  <c r="AH1055" i="21"/>
  <c r="AH1119" i="21"/>
  <c r="AH1183" i="21"/>
  <c r="AH199" i="21"/>
  <c r="AH455" i="21"/>
  <c r="AH636" i="21"/>
  <c r="AH764" i="21"/>
  <c r="AH892" i="21"/>
  <c r="AH1020" i="21"/>
  <c r="AH1091" i="21"/>
  <c r="AH1155" i="21"/>
  <c r="AH23" i="21"/>
  <c r="AH279" i="21"/>
  <c r="AH535" i="21"/>
  <c r="AH676" i="21"/>
  <c r="AH804" i="21"/>
  <c r="AH932" i="21"/>
  <c r="AH1047" i="21"/>
  <c r="AH1111" i="21"/>
  <c r="AH1175" i="21"/>
  <c r="AG48" i="17"/>
  <c r="AG110" i="17"/>
  <c r="AG165" i="17"/>
  <c r="AH165" i="17" s="1"/>
  <c r="AG223" i="17"/>
  <c r="AH223" i="17" s="1"/>
  <c r="AG272" i="17"/>
  <c r="AG331" i="17"/>
  <c r="AG387" i="17"/>
  <c r="AH387" i="17" s="1"/>
  <c r="AG87" i="17"/>
  <c r="AH87" i="17" s="1"/>
  <c r="AG52" i="17"/>
  <c r="AG114" i="17"/>
  <c r="AG169" i="17"/>
  <c r="AG227" i="17"/>
  <c r="AG276" i="17"/>
  <c r="AG333" i="17"/>
  <c r="AG391" i="17"/>
  <c r="AG98" i="17"/>
  <c r="AG90" i="17"/>
  <c r="AG207" i="17"/>
  <c r="AG315" i="17"/>
  <c r="AG31" i="17"/>
  <c r="AG273" i="17"/>
  <c r="AG54" i="17"/>
  <c r="AG126" i="17"/>
  <c r="AG197" i="17"/>
  <c r="AG277" i="17"/>
  <c r="AG351" i="17"/>
  <c r="AG419" i="17"/>
  <c r="AG400" i="17"/>
  <c r="AG50" i="17"/>
  <c r="AG250" i="17"/>
  <c r="AG152" i="17"/>
  <c r="AG29" i="17"/>
  <c r="AG339" i="17"/>
  <c r="AG73" i="17"/>
  <c r="AG158" i="17"/>
  <c r="AG244" i="17"/>
  <c r="AG352" i="17"/>
  <c r="AG70" i="17"/>
  <c r="AG187" i="17"/>
  <c r="AG296" i="17"/>
  <c r="AG410" i="17"/>
  <c r="AG256" i="17"/>
  <c r="AH256" i="17" s="1"/>
  <c r="AG41" i="17"/>
  <c r="AH41" i="17" s="1"/>
  <c r="AG111" i="17"/>
  <c r="AH111" i="17" s="1"/>
  <c r="AH1034" i="21"/>
  <c r="AH1066" i="21"/>
  <c r="AH1098" i="21"/>
  <c r="AH1130" i="21"/>
  <c r="AH1162" i="21"/>
  <c r="AH1194" i="21"/>
  <c r="AH359" i="21"/>
  <c r="AH716" i="21"/>
  <c r="AH972" i="21"/>
  <c r="AH1131" i="21"/>
  <c r="AH247" i="21"/>
  <c r="AH660" i="21"/>
  <c r="AH916" i="21"/>
  <c r="AH1103" i="21"/>
  <c r="AH135" i="21"/>
  <c r="AH604" i="21"/>
  <c r="AH860" i="21"/>
  <c r="AH1075" i="21"/>
  <c r="AH1203" i="21"/>
  <c r="AH471" i="21"/>
  <c r="AH772" i="21"/>
  <c r="AH1028" i="21"/>
  <c r="AH1159" i="21"/>
  <c r="AG94" i="17"/>
  <c r="AG211" i="17"/>
  <c r="AH211" i="17" s="1"/>
  <c r="AG319" i="17"/>
  <c r="AH319" i="17" s="1"/>
  <c r="AG45" i="17"/>
  <c r="AG97" i="17"/>
  <c r="AG214" i="17"/>
  <c r="AG322" i="17"/>
  <c r="AG53" i="17"/>
  <c r="AG177" i="17"/>
  <c r="AG399" i="17"/>
  <c r="AG37" i="17"/>
  <c r="AG179" i="17"/>
  <c r="AG334" i="17"/>
  <c r="AG239" i="17"/>
  <c r="AG175" i="17"/>
  <c r="AG368" i="17"/>
  <c r="AG55" i="17"/>
  <c r="AG226" i="17"/>
  <c r="AG40" i="17"/>
  <c r="AH40" i="17" s="1"/>
  <c r="AG268" i="17"/>
  <c r="AH268" i="17" s="1"/>
  <c r="AG212" i="17"/>
  <c r="AG91" i="17"/>
  <c r="AH91" i="17" s="1"/>
  <c r="AG202" i="17"/>
  <c r="AG281" i="17"/>
  <c r="AG354" i="17"/>
  <c r="AG38" i="17"/>
  <c r="AH38" i="17" s="1"/>
  <c r="AG420" i="17"/>
  <c r="AG66" i="17"/>
  <c r="AH66" i="17" s="1"/>
  <c r="AG267" i="17"/>
  <c r="AH267" i="17" s="1"/>
  <c r="AG157" i="17"/>
  <c r="AH157" i="17" s="1"/>
  <c r="AG34" i="17"/>
  <c r="AG347" i="17"/>
  <c r="AG77" i="17"/>
  <c r="AG164" i="17"/>
  <c r="AG254" i="17"/>
  <c r="AG359" i="17"/>
  <c r="AG74" i="17"/>
  <c r="AG189" i="17"/>
  <c r="AG300" i="17"/>
  <c r="AG412" i="17"/>
  <c r="AG262" i="17"/>
  <c r="AG46" i="17"/>
  <c r="AG117" i="17"/>
  <c r="AG191" i="17"/>
  <c r="AG257" i="17"/>
  <c r="AG342" i="17"/>
  <c r="AG405" i="17"/>
  <c r="AG317" i="17"/>
  <c r="AG411" i="17"/>
  <c r="AG219" i="17"/>
  <c r="AG102" i="17"/>
  <c r="AG414" i="17"/>
  <c r="AG306" i="17"/>
  <c r="AG63" i="17"/>
  <c r="AG143" i="17"/>
  <c r="AG236" i="17"/>
  <c r="AG344" i="17"/>
  <c r="AG23" i="17"/>
  <c r="AH23" i="17" s="1"/>
  <c r="AG144" i="17"/>
  <c r="AH144" i="17" s="1"/>
  <c r="AG259" i="17"/>
  <c r="AG366" i="17"/>
  <c r="AG194" i="17"/>
  <c r="AG376" i="17"/>
  <c r="AG84" i="17"/>
  <c r="AH84" i="17" s="1"/>
  <c r="AG156" i="17"/>
  <c r="AH156" i="17" s="1"/>
  <c r="AG231" i="17"/>
  <c r="AG312" i="17"/>
  <c r="AH312" i="17" s="1"/>
  <c r="AG377" i="17"/>
  <c r="AH377" i="17" s="1"/>
  <c r="AG154" i="17"/>
  <c r="AG235" i="17"/>
  <c r="AG76" i="17"/>
  <c r="AH76" i="17" s="1"/>
  <c r="AG381" i="17"/>
  <c r="AH381" i="17" s="1"/>
  <c r="AG305" i="17"/>
  <c r="AG135" i="17"/>
  <c r="AG35" i="17"/>
  <c r="AG103" i="17"/>
  <c r="AG192" i="17"/>
  <c r="AG283" i="17"/>
  <c r="AG390" i="17"/>
  <c r="AJ16" i="29"/>
  <c r="AJ32" i="29"/>
  <c r="AJ48" i="29"/>
  <c r="AJ64" i="29"/>
  <c r="AJ80" i="29"/>
  <c r="AJ96" i="29"/>
  <c r="AJ112" i="29"/>
  <c r="AJ128" i="29"/>
  <c r="AJ144" i="29"/>
  <c r="AJ160" i="29"/>
  <c r="AJ176" i="29"/>
  <c r="AJ192" i="29"/>
  <c r="AJ208" i="29"/>
  <c r="AJ224" i="29"/>
  <c r="AJ240" i="29"/>
  <c r="AJ256" i="29"/>
  <c r="AJ272" i="29"/>
  <c r="AJ288" i="29"/>
  <c r="AJ304" i="29"/>
  <c r="AJ320" i="29"/>
  <c r="AJ336" i="29"/>
  <c r="AJ352" i="29"/>
  <c r="AJ9" i="29"/>
  <c r="AK9" i="29" s="1"/>
  <c r="AJ25" i="29"/>
  <c r="AK25" i="29" s="1"/>
  <c r="AJ41" i="29"/>
  <c r="AK41" i="29" s="1"/>
  <c r="AJ57" i="29"/>
  <c r="AK57" i="29" s="1"/>
  <c r="AJ73" i="29"/>
  <c r="AK73" i="29" s="1"/>
  <c r="AJ89" i="29"/>
  <c r="AK89" i="29" s="1"/>
  <c r="AJ105" i="29"/>
  <c r="AK105" i="29" s="1"/>
  <c r="AJ121" i="29"/>
  <c r="AK121" i="29" s="1"/>
  <c r="AJ137" i="29"/>
  <c r="AK137" i="29" s="1"/>
  <c r="AJ153" i="29"/>
  <c r="AK153" i="29" s="1"/>
  <c r="AJ169" i="29"/>
  <c r="AK169" i="29" s="1"/>
  <c r="AJ185" i="29"/>
  <c r="AK185" i="29" s="1"/>
  <c r="AJ201" i="29"/>
  <c r="AK201" i="29" s="1"/>
  <c r="AJ217" i="29"/>
  <c r="AJ233" i="29"/>
  <c r="AK233" i="29" s="1"/>
  <c r="AJ249" i="29"/>
  <c r="AK249" i="29" s="1"/>
  <c r="AJ265" i="29"/>
  <c r="AK265" i="29" s="1"/>
  <c r="AJ281" i="29"/>
  <c r="AJ297" i="29"/>
  <c r="AJ313" i="29"/>
  <c r="AK313" i="29" s="1"/>
  <c r="AJ329" i="29"/>
  <c r="AK329" i="29" s="1"/>
  <c r="AJ345" i="29"/>
  <c r="AK345" i="29" s="1"/>
  <c r="AJ361" i="29"/>
  <c r="AK361" i="29" s="1"/>
  <c r="AJ26" i="29"/>
  <c r="AJ58" i="29"/>
  <c r="AJ90" i="29"/>
  <c r="AJ122" i="29"/>
  <c r="AJ154" i="29"/>
  <c r="AJ186" i="29"/>
  <c r="AJ218" i="29"/>
  <c r="AJ250" i="29"/>
  <c r="AJ282" i="29"/>
  <c r="AJ314" i="29"/>
  <c r="AJ346" i="29"/>
  <c r="AJ372" i="29"/>
  <c r="AJ388" i="29"/>
  <c r="AJ404" i="29"/>
  <c r="AJ420" i="29"/>
  <c r="AJ436" i="29"/>
  <c r="AJ452" i="29"/>
  <c r="AJ468" i="29"/>
  <c r="AJ484" i="29"/>
  <c r="AJ500" i="29"/>
  <c r="AJ516" i="29"/>
  <c r="AJ532" i="29"/>
  <c r="AJ548" i="29"/>
  <c r="AJ564" i="29"/>
  <c r="AJ580" i="29"/>
  <c r="AJ596" i="29"/>
  <c r="AJ612" i="29"/>
  <c r="AJ628" i="29"/>
  <c r="AJ644" i="29"/>
  <c r="AJ660" i="29"/>
  <c r="AJ676" i="29"/>
  <c r="AJ692" i="29"/>
  <c r="AJ708" i="29"/>
  <c r="AJ35" i="29"/>
  <c r="AK35" i="29" s="1"/>
  <c r="AJ67" i="29"/>
  <c r="AK67" i="29" s="1"/>
  <c r="AJ99" i="29"/>
  <c r="AK99" i="29" s="1"/>
  <c r="AJ131" i="29"/>
  <c r="AJ163" i="29"/>
  <c r="AK163" i="29" s="1"/>
  <c r="AJ195" i="29"/>
  <c r="AK195" i="29" s="1"/>
  <c r="AJ227" i="29"/>
  <c r="AK227" i="29" s="1"/>
  <c r="AJ259" i="29"/>
  <c r="AK259" i="29" s="1"/>
  <c r="AJ291" i="29"/>
  <c r="AK291" i="29" s="1"/>
  <c r="AJ323" i="29"/>
  <c r="AK323" i="29" s="1"/>
  <c r="AJ355" i="29"/>
  <c r="AJ377" i="29"/>
  <c r="AK377" i="29" s="1"/>
  <c r="AJ393" i="29"/>
  <c r="AK393" i="29" s="1"/>
  <c r="AJ409" i="29"/>
  <c r="AK409" i="29" s="1"/>
  <c r="AJ425" i="29"/>
  <c r="AJ441" i="29"/>
  <c r="AK441" i="29" s="1"/>
  <c r="AJ457" i="29"/>
  <c r="AJ473" i="29"/>
  <c r="AK473" i="29" s="1"/>
  <c r="AJ489" i="29"/>
  <c r="AK489" i="29" s="1"/>
  <c r="AJ505" i="29"/>
  <c r="AK505" i="29" s="1"/>
  <c r="AJ521" i="29"/>
  <c r="AK521" i="29" s="1"/>
  <c r="AJ537" i="29"/>
  <c r="AK537" i="29" s="1"/>
  <c r="AJ553" i="29"/>
  <c r="AK553" i="29" s="1"/>
  <c r="AJ569" i="29"/>
  <c r="AK569" i="29" s="1"/>
  <c r="AJ585" i="29"/>
  <c r="AK585" i="29" s="1"/>
  <c r="AJ601" i="29"/>
  <c r="AK601" i="29" s="1"/>
  <c r="AJ617" i="29"/>
  <c r="AK617" i="29" s="1"/>
  <c r="AJ633" i="29"/>
  <c r="AK633" i="29" s="1"/>
  <c r="AJ649" i="29"/>
  <c r="AJ665" i="29"/>
  <c r="AJ681" i="29"/>
  <c r="AK681" i="29" s="1"/>
  <c r="AJ697" i="29"/>
  <c r="AK697" i="29" s="1"/>
  <c r="AJ14" i="29"/>
  <c r="AJ46" i="29"/>
  <c r="AJ78" i="29"/>
  <c r="AJ110" i="29"/>
  <c r="AJ142" i="29"/>
  <c r="AJ174" i="29"/>
  <c r="AJ206" i="29"/>
  <c r="AJ238" i="29"/>
  <c r="AJ270" i="29"/>
  <c r="AJ302" i="29"/>
  <c r="AJ334" i="29"/>
  <c r="AJ366" i="29"/>
  <c r="AJ382" i="29"/>
  <c r="AJ398" i="29"/>
  <c r="AJ414" i="29"/>
  <c r="AJ430" i="29"/>
  <c r="AJ119" i="29"/>
  <c r="AK119" i="29" s="1"/>
  <c r="AJ247" i="29"/>
  <c r="AK247" i="29" s="1"/>
  <c r="AJ371" i="29"/>
  <c r="AK371" i="29" s="1"/>
  <c r="AJ434" i="29"/>
  <c r="AJ466" i="29"/>
  <c r="AJ498" i="29"/>
  <c r="AJ530" i="29"/>
  <c r="AJ562" i="29"/>
  <c r="AJ63" i="29"/>
  <c r="AJ191" i="29"/>
  <c r="AJ319" i="29"/>
  <c r="AK319" i="29" s="1"/>
  <c r="AJ407" i="29"/>
  <c r="AJ451" i="29"/>
  <c r="AK451" i="29" s="1"/>
  <c r="AJ483" i="29"/>
  <c r="AK483" i="29" s="1"/>
  <c r="AJ515" i="29"/>
  <c r="AK515" i="29" s="1"/>
  <c r="AJ547" i="29"/>
  <c r="AK547" i="29" s="1"/>
  <c r="AJ579" i="29"/>
  <c r="AK579" i="29" s="1"/>
  <c r="AJ611" i="29"/>
  <c r="AK611" i="29" s="1"/>
  <c r="AJ643" i="29"/>
  <c r="AJ675" i="29"/>
  <c r="AJ707" i="29"/>
  <c r="AJ724" i="29"/>
  <c r="AJ740" i="29"/>
  <c r="AJ756" i="29"/>
  <c r="AJ772" i="29"/>
  <c r="AJ788" i="29"/>
  <c r="AJ804" i="29"/>
  <c r="AJ820" i="29"/>
  <c r="AJ836" i="29"/>
  <c r="AJ852" i="29"/>
  <c r="AJ868" i="29"/>
  <c r="AJ884" i="29"/>
  <c r="AJ900" i="29"/>
  <c r="AJ916" i="29"/>
  <c r="AJ932" i="29"/>
  <c r="AJ948" i="29"/>
  <c r="AJ964" i="29"/>
  <c r="AJ980" i="29"/>
  <c r="AJ996" i="29"/>
  <c r="AJ1012" i="29"/>
  <c r="AJ1028" i="29"/>
  <c r="AJ1044" i="29"/>
  <c r="AJ1060" i="29"/>
  <c r="AJ1076" i="29"/>
  <c r="AJ1092" i="29"/>
  <c r="AJ1108" i="29"/>
  <c r="AJ1124" i="29"/>
  <c r="AJ1140" i="29"/>
  <c r="AJ39" i="29"/>
  <c r="AK39" i="29" s="1"/>
  <c r="AJ167" i="29"/>
  <c r="AK167" i="29" s="1"/>
  <c r="AJ295" i="29"/>
  <c r="AJ395" i="29"/>
  <c r="AK395" i="29" s="1"/>
  <c r="AJ446" i="29"/>
  <c r="AJ478" i="29"/>
  <c r="AJ510" i="29"/>
  <c r="AJ542" i="29"/>
  <c r="AJ574" i="29"/>
  <c r="AJ606" i="29"/>
  <c r="AJ638" i="29"/>
  <c r="AJ670" i="29"/>
  <c r="AJ702" i="29"/>
  <c r="AJ721" i="29"/>
  <c r="AJ737" i="29"/>
  <c r="AK737" i="29" s="1"/>
  <c r="AJ753" i="29"/>
  <c r="AK753" i="29" s="1"/>
  <c r="AJ769" i="29"/>
  <c r="AJ785" i="29"/>
  <c r="AK785" i="29" s="1"/>
  <c r="AJ801" i="29"/>
  <c r="AK801" i="29" s="1"/>
  <c r="AJ817" i="29"/>
  <c r="AK817" i="29" s="1"/>
  <c r="AJ833" i="29"/>
  <c r="AK833" i="29" s="1"/>
  <c r="AJ849" i="29"/>
  <c r="AK849" i="29" s="1"/>
  <c r="AJ865" i="29"/>
  <c r="AK865" i="29" s="1"/>
  <c r="AJ881" i="29"/>
  <c r="AK881" i="29" s="1"/>
  <c r="AJ897" i="29"/>
  <c r="AJ913" i="29"/>
  <c r="AK913" i="29" s="1"/>
  <c r="AJ929" i="29"/>
  <c r="AK929" i="29" s="1"/>
  <c r="AJ945" i="29"/>
  <c r="AK945" i="29" s="1"/>
  <c r="AJ961" i="29"/>
  <c r="AK961" i="29" s="1"/>
  <c r="AJ977" i="29"/>
  <c r="AK977" i="29" s="1"/>
  <c r="AJ993" i="29"/>
  <c r="AK993" i="29" s="1"/>
  <c r="AJ1009" i="29"/>
  <c r="AK1009" i="29" s="1"/>
  <c r="AJ1025" i="29"/>
  <c r="AJ1041" i="29"/>
  <c r="AK1041" i="29" s="1"/>
  <c r="AJ1057" i="29"/>
  <c r="AK1057" i="29" s="1"/>
  <c r="AJ1073" i="29"/>
  <c r="AK1073" i="29" s="1"/>
  <c r="AJ1089" i="29"/>
  <c r="AK1089" i="29" s="1"/>
  <c r="AJ1105" i="29"/>
  <c r="AK1105" i="29" s="1"/>
  <c r="AJ1121" i="29"/>
  <c r="AK1121" i="29" s="1"/>
  <c r="AJ1137" i="29"/>
  <c r="AK1137" i="29" s="1"/>
  <c r="AJ143" i="29"/>
  <c r="AJ471" i="29"/>
  <c r="AK471" i="29" s="1"/>
  <c r="AJ591" i="29"/>
  <c r="AK591" i="29" s="1"/>
  <c r="AJ655" i="29"/>
  <c r="AK655" i="29" s="1"/>
  <c r="AJ714" i="29"/>
  <c r="AJ746" i="29"/>
  <c r="AJ778" i="29"/>
  <c r="AJ810" i="29"/>
  <c r="AJ842" i="29"/>
  <c r="AJ874" i="29"/>
  <c r="AJ906" i="29"/>
  <c r="AJ938" i="29"/>
  <c r="AJ970" i="29"/>
  <c r="AJ1002" i="29"/>
  <c r="AJ1034" i="29"/>
  <c r="AJ1066" i="29"/>
  <c r="AJ1098" i="29"/>
  <c r="AJ1130" i="29"/>
  <c r="AJ1155" i="29"/>
  <c r="AK1155" i="29" s="1"/>
  <c r="AJ1171" i="29"/>
  <c r="AJ1187" i="29"/>
  <c r="AK1187" i="29" s="1"/>
  <c r="AJ1203" i="29"/>
  <c r="AK1203" i="29" s="1"/>
  <c r="AJ1219" i="29"/>
  <c r="AK1219" i="29" s="1"/>
  <c r="AJ1235" i="29"/>
  <c r="AK1235" i="29" s="1"/>
  <c r="AJ1251" i="29"/>
  <c r="AK1251" i="29" s="1"/>
  <c r="AJ1267" i="29"/>
  <c r="AJ1283" i="29"/>
  <c r="AK1283" i="29" s="1"/>
  <c r="AJ1299" i="29"/>
  <c r="AK1299" i="29" s="1"/>
  <c r="AJ1315" i="29"/>
  <c r="AK1315" i="29" s="1"/>
  <c r="AJ1331" i="29"/>
  <c r="AK1331" i="29" s="1"/>
  <c r="AJ1347" i="29"/>
  <c r="AK1347" i="29" s="1"/>
  <c r="AJ1363" i="29"/>
  <c r="AJ1379" i="29"/>
  <c r="AJ1395" i="29"/>
  <c r="AJ1411" i="29"/>
  <c r="AK1411" i="29" s="1"/>
  <c r="AJ303" i="29"/>
  <c r="AK303" i="29" s="1"/>
  <c r="AJ511" i="29"/>
  <c r="AK511" i="29" s="1"/>
  <c r="AJ610" i="29"/>
  <c r="AJ674" i="29"/>
  <c r="AJ723" i="29"/>
  <c r="AJ755" i="29"/>
  <c r="AJ787" i="29"/>
  <c r="AK787" i="29" s="1"/>
  <c r="AJ819" i="29"/>
  <c r="AK819" i="29" s="1"/>
  <c r="AJ851" i="29"/>
  <c r="AK851" i="29" s="1"/>
  <c r="AJ883" i="29"/>
  <c r="AJ915" i="29"/>
  <c r="AK915" i="29" s="1"/>
  <c r="AJ947" i="29"/>
  <c r="AK947" i="29" s="1"/>
  <c r="AJ979" i="29"/>
  <c r="AK979" i="29" s="1"/>
  <c r="AJ1011" i="29"/>
  <c r="AK1011" i="29" s="1"/>
  <c r="AJ1043" i="29"/>
  <c r="AK1043" i="29" s="1"/>
  <c r="AJ1075" i="29"/>
  <c r="AK1075" i="29" s="1"/>
  <c r="AJ1107" i="29"/>
  <c r="AK1107" i="29" s="1"/>
  <c r="AJ1139" i="29"/>
  <c r="AJ1160" i="29"/>
  <c r="AJ1176" i="29"/>
  <c r="AJ1192" i="29"/>
  <c r="AJ1208" i="29"/>
  <c r="AJ1224" i="29"/>
  <c r="AJ1240" i="29"/>
  <c r="AJ1256" i="29"/>
  <c r="AJ1272" i="29"/>
  <c r="AJ1288" i="29"/>
  <c r="AJ1304" i="29"/>
  <c r="AJ1320" i="29"/>
  <c r="AJ1336" i="29"/>
  <c r="AJ1352" i="29"/>
  <c r="AJ1368" i="29"/>
  <c r="AJ1384" i="29"/>
  <c r="AJ1400" i="29"/>
  <c r="AJ1416" i="29"/>
  <c r="AJ415" i="29"/>
  <c r="AK415" i="29" s="1"/>
  <c r="AJ551" i="29"/>
  <c r="AK551" i="29" s="1"/>
  <c r="AJ631" i="29"/>
  <c r="AK631" i="29" s="1"/>
  <c r="AJ695" i="29"/>
  <c r="AJ734" i="29"/>
  <c r="AJ766" i="29"/>
  <c r="AJ798" i="29"/>
  <c r="AJ830" i="29"/>
  <c r="AJ862" i="29"/>
  <c r="AJ894" i="29"/>
  <c r="AJ926" i="29"/>
  <c r="AJ958" i="29"/>
  <c r="AJ990" i="29"/>
  <c r="AJ1022" i="29"/>
  <c r="AJ1054" i="29"/>
  <c r="AJ1086" i="29"/>
  <c r="AJ1118" i="29"/>
  <c r="AJ1149" i="29"/>
  <c r="AJ1165" i="29"/>
  <c r="AK1165" i="29" s="1"/>
  <c r="AJ1181" i="29"/>
  <c r="AK1181" i="29" s="1"/>
  <c r="AJ1197" i="29"/>
  <c r="AK1197" i="29" s="1"/>
  <c r="AJ1213" i="29"/>
  <c r="AK1213" i="29" s="1"/>
  <c r="AJ1229" i="29"/>
  <c r="AK1229" i="29" s="1"/>
  <c r="AJ1245" i="29"/>
  <c r="AK1245" i="29" s="1"/>
  <c r="AJ1261" i="29"/>
  <c r="AK1261" i="29" s="1"/>
  <c r="AJ1277" i="29"/>
  <c r="AK1277" i="29" s="1"/>
  <c r="AJ1293" i="29"/>
  <c r="AJ1309" i="29"/>
  <c r="AK1309" i="29" s="1"/>
  <c r="AJ1325" i="29"/>
  <c r="AK1325" i="29" s="1"/>
  <c r="AJ1341" i="29"/>
  <c r="AJ1357" i="29"/>
  <c r="AK1357" i="29" s="1"/>
  <c r="AJ1373" i="29"/>
  <c r="AJ1389" i="29"/>
  <c r="AJ1405" i="29"/>
  <c r="AJ239" i="29"/>
  <c r="AK239" i="29" s="1"/>
  <c r="AJ495" i="29"/>
  <c r="AK495" i="29" s="1"/>
  <c r="AJ602" i="29"/>
  <c r="AJ666" i="29"/>
  <c r="AJ719" i="29"/>
  <c r="AJ751" i="29"/>
  <c r="AK751" i="29" s="1"/>
  <c r="AJ783" i="29"/>
  <c r="AK783" i="29" s="1"/>
  <c r="AJ815" i="29"/>
  <c r="AK815" i="29" s="1"/>
  <c r="AJ847" i="29"/>
  <c r="AK847" i="29" s="1"/>
  <c r="AJ879" i="29"/>
  <c r="AK879" i="29" s="1"/>
  <c r="AJ911" i="29"/>
  <c r="AK911" i="29" s="1"/>
  <c r="AJ943" i="29"/>
  <c r="AK943" i="29" s="1"/>
  <c r="AJ975" i="29"/>
  <c r="AK975" i="29" s="1"/>
  <c r="AJ1007" i="29"/>
  <c r="AK1007" i="29" s="1"/>
  <c r="AJ1039" i="29"/>
  <c r="AK1039" i="29" s="1"/>
  <c r="AJ1071" i="29"/>
  <c r="AK1071" i="29" s="1"/>
  <c r="AJ1103" i="29"/>
  <c r="AK1103" i="29" s="1"/>
  <c r="AJ1135" i="29"/>
  <c r="AK1135" i="29" s="1"/>
  <c r="AJ1158" i="29"/>
  <c r="AJ1174" i="29"/>
  <c r="AJ1190" i="29"/>
  <c r="AJ1206" i="29"/>
  <c r="AJ1222" i="29"/>
  <c r="AJ1238" i="29"/>
  <c r="AJ1254" i="29"/>
  <c r="AJ1270" i="29"/>
  <c r="AJ1286" i="29"/>
  <c r="AJ1302" i="29"/>
  <c r="AJ1318" i="29"/>
  <c r="AJ1334" i="29"/>
  <c r="AJ1350" i="29"/>
  <c r="AJ1366" i="29"/>
  <c r="AJ1382" i="29"/>
  <c r="AJ1398" i="29"/>
  <c r="AJ1414" i="29"/>
  <c r="AJ855" i="29"/>
  <c r="AK855" i="29" s="1"/>
  <c r="AJ983" i="29"/>
  <c r="AK983" i="29" s="1"/>
  <c r="AJ1047" i="29"/>
  <c r="AK1047" i="29" s="1"/>
  <c r="AJ1079" i="29"/>
  <c r="AJ1143" i="29"/>
  <c r="AJ1162" i="29"/>
  <c r="AJ1194" i="29"/>
  <c r="AJ1226" i="29"/>
  <c r="AJ1242" i="29"/>
  <c r="AJ1274" i="29"/>
  <c r="AJ1306" i="29"/>
  <c r="AJ1322" i="29"/>
  <c r="AJ1354" i="29"/>
  <c r="AJ1370" i="29"/>
  <c r="AJ1402" i="29"/>
  <c r="AH1042" i="21"/>
  <c r="AH1074" i="21"/>
  <c r="AH1106" i="21"/>
  <c r="AH1138" i="21"/>
  <c r="AH1170" i="21"/>
  <c r="AH1202" i="21"/>
  <c r="AH487" i="21"/>
  <c r="AH780" i="21"/>
  <c r="AH1035" i="21"/>
  <c r="AH1163" i="21"/>
  <c r="AH375" i="21"/>
  <c r="AH724" i="21"/>
  <c r="AH980" i="21"/>
  <c r="AH1135" i="21"/>
  <c r="AH263" i="21"/>
  <c r="AH668" i="21"/>
  <c r="AH924" i="21"/>
  <c r="AH1107" i="21"/>
  <c r="AH87" i="21"/>
  <c r="AH580" i="21"/>
  <c r="AH836" i="21"/>
  <c r="AH1063" i="21"/>
  <c r="AH1191" i="21"/>
  <c r="AG123" i="17"/>
  <c r="AG237" i="17"/>
  <c r="AG345" i="17"/>
  <c r="AG178" i="17"/>
  <c r="AG125" i="17"/>
  <c r="AG241" i="17"/>
  <c r="AG349" i="17"/>
  <c r="AG182" i="17"/>
  <c r="AG233" i="17"/>
  <c r="AG162" i="17"/>
  <c r="AG72" i="17"/>
  <c r="AG215" i="17"/>
  <c r="AG367" i="17"/>
  <c r="AG167" i="17"/>
  <c r="AG343" i="17"/>
  <c r="AG109" i="17"/>
  <c r="AG89" i="17"/>
  <c r="AG265" i="17"/>
  <c r="AG104" i="17"/>
  <c r="AH104" i="17" s="1"/>
  <c r="AG325" i="17"/>
  <c r="AG285" i="17"/>
  <c r="AH285" i="17" s="1"/>
  <c r="AG130" i="17"/>
  <c r="AH130" i="17" s="1"/>
  <c r="AG218" i="17"/>
  <c r="AG303" i="17"/>
  <c r="AG371" i="17"/>
  <c r="AG122" i="17"/>
  <c r="AG171" i="17"/>
  <c r="AG294" i="17"/>
  <c r="AG365" i="17"/>
  <c r="AG298" i="17"/>
  <c r="AG124" i="17"/>
  <c r="AG22" i="17"/>
  <c r="AG93" i="17"/>
  <c r="AG180" i="17"/>
  <c r="AG275" i="17"/>
  <c r="AG382" i="17"/>
  <c r="AG108" i="17"/>
  <c r="AG221" i="17"/>
  <c r="AG327" i="17"/>
  <c r="AG83" i="17"/>
  <c r="AG309" i="17"/>
  <c r="AG61" i="17"/>
  <c r="AG134" i="17"/>
  <c r="AG208" i="17"/>
  <c r="AG286" i="17"/>
  <c r="AG357" i="17"/>
  <c r="AG42" i="17"/>
  <c r="AG112" i="17"/>
  <c r="AG69" i="17"/>
  <c r="AG288" i="17"/>
  <c r="AG204" i="17"/>
  <c r="AG62" i="17"/>
  <c r="AG393" i="17"/>
  <c r="AG81" i="17"/>
  <c r="AG168" i="17"/>
  <c r="AG258" i="17"/>
  <c r="AG363" i="17"/>
  <c r="AG56" i="17"/>
  <c r="AH56" i="17" s="1"/>
  <c r="AG173" i="17"/>
  <c r="AG280" i="17"/>
  <c r="AH280" i="17" s="1"/>
  <c r="AG395" i="17"/>
  <c r="AG230" i="17"/>
  <c r="AG32" i="17"/>
  <c r="AG99" i="17"/>
  <c r="AG174" i="17"/>
  <c r="AH174" i="17" s="1"/>
  <c r="AG246" i="17"/>
  <c r="AH246" i="17" s="1"/>
  <c r="AG329" i="17"/>
  <c r="AG392" i="17"/>
  <c r="AG222" i="17"/>
  <c r="AH222" i="17" s="1"/>
  <c r="AG337" i="17"/>
  <c r="AG127" i="17"/>
  <c r="AG271" i="17"/>
  <c r="AG358" i="17"/>
  <c r="AH358" i="17" s="1"/>
  <c r="AG247" i="17"/>
  <c r="AG51" i="17"/>
  <c r="AG128" i="17"/>
  <c r="AG220" i="17"/>
  <c r="AG318" i="17"/>
  <c r="AG415" i="17"/>
  <c r="AH415" i="17" s="1"/>
  <c r="AJ20" i="29"/>
  <c r="AJ36" i="29"/>
  <c r="AJ52" i="29"/>
  <c r="AJ68" i="29"/>
  <c r="AJ84" i="29"/>
  <c r="AJ100" i="29"/>
  <c r="AJ116" i="29"/>
  <c r="AJ132" i="29"/>
  <c r="AJ148" i="29"/>
  <c r="AJ164" i="29"/>
  <c r="AJ180" i="29"/>
  <c r="AJ196" i="29"/>
  <c r="AJ212" i="29"/>
  <c r="AJ228" i="29"/>
  <c r="AJ244" i="29"/>
  <c r="AJ260" i="29"/>
  <c r="AJ276" i="29"/>
  <c r="AJ292" i="29"/>
  <c r="AJ308" i="29"/>
  <c r="AJ324" i="29"/>
  <c r="AJ340" i="29"/>
  <c r="AJ356" i="29"/>
  <c r="AJ13" i="29"/>
  <c r="AK13" i="29" s="1"/>
  <c r="AJ29" i="29"/>
  <c r="AK29" i="29" s="1"/>
  <c r="AJ45" i="29"/>
  <c r="AK45" i="29" s="1"/>
  <c r="AJ61" i="29"/>
  <c r="AJ77" i="29"/>
  <c r="AK77" i="29" s="1"/>
  <c r="AJ93" i="29"/>
  <c r="AK93" i="29" s="1"/>
  <c r="AJ109" i="29"/>
  <c r="AK109" i="29" s="1"/>
  <c r="AJ125" i="29"/>
  <c r="AK125" i="29" s="1"/>
  <c r="AJ141" i="29"/>
  <c r="AK141" i="29" s="1"/>
  <c r="AJ157" i="29"/>
  <c r="AK157" i="29" s="1"/>
  <c r="AJ173" i="29"/>
  <c r="AK173" i="29" s="1"/>
  <c r="AJ189" i="29"/>
  <c r="AK189" i="29" s="1"/>
  <c r="AJ205" i="29"/>
  <c r="AK205" i="29" s="1"/>
  <c r="AJ221" i="29"/>
  <c r="AK221" i="29" s="1"/>
  <c r="AJ237" i="29"/>
  <c r="AK237" i="29" s="1"/>
  <c r="AJ253" i="29"/>
  <c r="AK253" i="29" s="1"/>
  <c r="AJ269" i="29"/>
  <c r="AK269" i="29" s="1"/>
  <c r="AJ285" i="29"/>
  <c r="AK285" i="29" s="1"/>
  <c r="AJ301" i="29"/>
  <c r="AK301" i="29" s="1"/>
  <c r="AJ317" i="29"/>
  <c r="AK317" i="29" s="1"/>
  <c r="AJ333" i="29"/>
  <c r="AK333" i="29" s="1"/>
  <c r="AJ349" i="29"/>
  <c r="AK349" i="29" s="1"/>
  <c r="AJ365" i="29"/>
  <c r="AK365" i="29" s="1"/>
  <c r="AJ34" i="29"/>
  <c r="AJ66" i="29"/>
  <c r="AJ98" i="29"/>
  <c r="AJ130" i="29"/>
  <c r="AJ162" i="29"/>
  <c r="AJ194" i="29"/>
  <c r="AJ226" i="29"/>
  <c r="AJ258" i="29"/>
  <c r="AJ290" i="29"/>
  <c r="AJ322" i="29"/>
  <c r="AJ354" i="29"/>
  <c r="AJ376" i="29"/>
  <c r="AJ392" i="29"/>
  <c r="AJ408" i="29"/>
  <c r="AJ424" i="29"/>
  <c r="AJ440" i="29"/>
  <c r="AJ456" i="29"/>
  <c r="AJ472" i="29"/>
  <c r="AJ488" i="29"/>
  <c r="AJ504" i="29"/>
  <c r="AJ520" i="29"/>
  <c r="AJ536" i="29"/>
  <c r="AJ552" i="29"/>
  <c r="AJ568" i="29"/>
  <c r="AJ584" i="29"/>
  <c r="AJ600" i="29"/>
  <c r="AJ616" i="29"/>
  <c r="AJ632" i="29"/>
  <c r="AJ648" i="29"/>
  <c r="AJ664" i="29"/>
  <c r="AJ680" i="29"/>
  <c r="AJ696" i="29"/>
  <c r="AJ11" i="29"/>
  <c r="AK11" i="29" s="1"/>
  <c r="AJ43" i="29"/>
  <c r="AK43" i="29" s="1"/>
  <c r="AJ75" i="29"/>
  <c r="AK75" i="29" s="1"/>
  <c r="AJ107" i="29"/>
  <c r="AK107" i="29" s="1"/>
  <c r="AJ139" i="29"/>
  <c r="AK139" i="29" s="1"/>
  <c r="AJ171" i="29"/>
  <c r="AK171" i="29" s="1"/>
  <c r="AJ203" i="29"/>
  <c r="AK203" i="29" s="1"/>
  <c r="AJ235" i="29"/>
  <c r="AJ267" i="29"/>
  <c r="AK267" i="29" s="1"/>
  <c r="AJ299" i="29"/>
  <c r="AK299" i="29" s="1"/>
  <c r="AJ331" i="29"/>
  <c r="AK331" i="29" s="1"/>
  <c r="AJ363" i="29"/>
  <c r="AK363" i="29" s="1"/>
  <c r="AJ381" i="29"/>
  <c r="AK381" i="29" s="1"/>
  <c r="AJ397" i="29"/>
  <c r="AK397" i="29" s="1"/>
  <c r="AJ413" i="29"/>
  <c r="AK413" i="29" s="1"/>
  <c r="AJ429" i="29"/>
  <c r="AK429" i="29" s="1"/>
  <c r="AJ445" i="29"/>
  <c r="AK445" i="29" s="1"/>
  <c r="AJ461" i="29"/>
  <c r="AK461" i="29" s="1"/>
  <c r="AJ477" i="29"/>
  <c r="AK477" i="29" s="1"/>
  <c r="AJ493" i="29"/>
  <c r="AK493" i="29" s="1"/>
  <c r="AJ509" i="29"/>
  <c r="AK509" i="29" s="1"/>
  <c r="AJ525" i="29"/>
  <c r="AK525" i="29" s="1"/>
  <c r="AJ541" i="29"/>
  <c r="AK541" i="29" s="1"/>
  <c r="AJ557" i="29"/>
  <c r="AK557" i="29" s="1"/>
  <c r="AJ573" i="29"/>
  <c r="AK573" i="29" s="1"/>
  <c r="AJ589" i="29"/>
  <c r="AK589" i="29" s="1"/>
  <c r="AJ605" i="29"/>
  <c r="AK605" i="29" s="1"/>
  <c r="AJ621" i="29"/>
  <c r="AK621" i="29" s="1"/>
  <c r="AJ637" i="29"/>
  <c r="AK637" i="29" s="1"/>
  <c r="AJ653" i="29"/>
  <c r="AJ669" i="29"/>
  <c r="AK669" i="29" s="1"/>
  <c r="AJ685" i="29"/>
  <c r="AJ701" i="29"/>
  <c r="AJ22" i="29"/>
  <c r="AJ54" i="29"/>
  <c r="AJ86" i="29"/>
  <c r="AJ118" i="29"/>
  <c r="AJ150" i="29"/>
  <c r="AJ182" i="29"/>
  <c r="AJ214" i="29"/>
  <c r="AJ246" i="29"/>
  <c r="AJ278" i="29"/>
  <c r="AJ310" i="29"/>
  <c r="AJ342" i="29"/>
  <c r="AJ370" i="29"/>
  <c r="AJ386" i="29"/>
  <c r="AJ402" i="29"/>
  <c r="AJ418" i="29"/>
  <c r="AJ23" i="29"/>
  <c r="AJ151" i="29"/>
  <c r="AK151" i="29" s="1"/>
  <c r="AJ279" i="29"/>
  <c r="AK279" i="29" s="1"/>
  <c r="AJ387" i="29"/>
  <c r="AK387" i="29" s="1"/>
  <c r="AJ442" i="29"/>
  <c r="AJ474" i="29"/>
  <c r="AJ506" i="29"/>
  <c r="AJ538" i="29"/>
  <c r="AJ570" i="29"/>
  <c r="AJ95" i="29"/>
  <c r="AK95" i="29" s="1"/>
  <c r="AJ223" i="29"/>
  <c r="AK223" i="29" s="1"/>
  <c r="AJ351" i="29"/>
  <c r="AK351" i="29" s="1"/>
  <c r="AJ423" i="29"/>
  <c r="AJ459" i="29"/>
  <c r="AK459" i="29" s="1"/>
  <c r="AJ491" i="29"/>
  <c r="AK491" i="29" s="1"/>
  <c r="AJ523" i="29"/>
  <c r="AK523" i="29" s="1"/>
  <c r="AJ555" i="29"/>
  <c r="AK555" i="29" s="1"/>
  <c r="AJ587" i="29"/>
  <c r="AJ619" i="29"/>
  <c r="AK619" i="29" s="1"/>
  <c r="AJ651" i="29"/>
  <c r="AJ683" i="29"/>
  <c r="AK683" i="29" s="1"/>
  <c r="AJ712" i="29"/>
  <c r="AJ728" i="29"/>
  <c r="AJ744" i="29"/>
  <c r="AJ760" i="29"/>
  <c r="AJ776" i="29"/>
  <c r="AJ792" i="29"/>
  <c r="AJ808" i="29"/>
  <c r="AJ824" i="29"/>
  <c r="AJ840" i="29"/>
  <c r="AJ856" i="29"/>
  <c r="AJ872" i="29"/>
  <c r="AJ888" i="29"/>
  <c r="AJ904" i="29"/>
  <c r="AJ920" i="29"/>
  <c r="AJ936" i="29"/>
  <c r="AJ952" i="29"/>
  <c r="AJ968" i="29"/>
  <c r="AJ984" i="29"/>
  <c r="AJ1000" i="29"/>
  <c r="AJ1016" i="29"/>
  <c r="AJ1032" i="29"/>
  <c r="AJ1048" i="29"/>
  <c r="AJ1064" i="29"/>
  <c r="AJ1080" i="29"/>
  <c r="AJ1096" i="29"/>
  <c r="AJ1112" i="29"/>
  <c r="AJ1128" i="29"/>
  <c r="AJ1144" i="29"/>
  <c r="AJ71" i="29"/>
  <c r="AK71" i="29" s="1"/>
  <c r="AJ199" i="29"/>
  <c r="AK199" i="29" s="1"/>
  <c r="AJ327" i="29"/>
  <c r="AK327" i="29" s="1"/>
  <c r="AJ411" i="29"/>
  <c r="AK411" i="29" s="1"/>
  <c r="AJ454" i="29"/>
  <c r="AJ486" i="29"/>
  <c r="AJ518" i="29"/>
  <c r="AJ550" i="29"/>
  <c r="AJ582" i="29"/>
  <c r="AJ614" i="29"/>
  <c r="AJ646" i="29"/>
  <c r="AJ678" i="29"/>
  <c r="AJ709" i="29"/>
  <c r="AJ725" i="29"/>
  <c r="AK725" i="29" s="1"/>
  <c r="AJ741" i="29"/>
  <c r="AJ757" i="29"/>
  <c r="AK757" i="29" s="1"/>
  <c r="AJ773" i="29"/>
  <c r="AK773" i="29" s="1"/>
  <c r="AJ789" i="29"/>
  <c r="AJ805" i="29"/>
  <c r="AJ821" i="29"/>
  <c r="AK821" i="29" s="1"/>
  <c r="AJ837" i="29"/>
  <c r="AK837" i="29" s="1"/>
  <c r="AJ853" i="29"/>
  <c r="AK853" i="29" s="1"/>
  <c r="AJ869" i="29"/>
  <c r="AK869" i="29" s="1"/>
  <c r="AJ885" i="29"/>
  <c r="AK885" i="29" s="1"/>
  <c r="AJ901" i="29"/>
  <c r="AK901" i="29" s="1"/>
  <c r="AJ917" i="29"/>
  <c r="AJ933" i="29"/>
  <c r="AK933" i="29" s="1"/>
  <c r="AJ949" i="29"/>
  <c r="AK949" i="29" s="1"/>
  <c r="AJ965" i="29"/>
  <c r="AK965" i="29" s="1"/>
  <c r="AJ981" i="29"/>
  <c r="AJ997" i="29"/>
  <c r="AK997" i="29" s="1"/>
  <c r="AJ1013" i="29"/>
  <c r="AK1013" i="29" s="1"/>
  <c r="AJ1029" i="29"/>
  <c r="AK1029" i="29" s="1"/>
  <c r="AJ1045" i="29"/>
  <c r="AK1045" i="29" s="1"/>
  <c r="AJ1061" i="29"/>
  <c r="AJ1077" i="29"/>
  <c r="AJ1093" i="29"/>
  <c r="AK1093" i="29" s="1"/>
  <c r="AJ1109" i="29"/>
  <c r="AK1109" i="29" s="1"/>
  <c r="AJ1125" i="29"/>
  <c r="AJ1141" i="29"/>
  <c r="AJ271" i="29"/>
  <c r="AK271" i="29" s="1"/>
  <c r="AJ503" i="29"/>
  <c r="AK503" i="29" s="1"/>
  <c r="AJ607" i="29"/>
  <c r="AK607" i="29" s="1"/>
  <c r="AJ671" i="29"/>
  <c r="AJ722" i="29"/>
  <c r="AJ754" i="29"/>
  <c r="AJ786" i="29"/>
  <c r="AJ818" i="29"/>
  <c r="AJ850" i="29"/>
  <c r="AJ882" i="29"/>
  <c r="AJ914" i="29"/>
  <c r="AJ946" i="29"/>
  <c r="AJ978" i="29"/>
  <c r="AJ1010" i="29"/>
  <c r="AJ1042" i="29"/>
  <c r="AJ1074" i="29"/>
  <c r="AJ1106" i="29"/>
  <c r="AJ1138" i="29"/>
  <c r="AJ1159" i="29"/>
  <c r="AK1159" i="29" s="1"/>
  <c r="AJ1175" i="29"/>
  <c r="AK1175" i="29" s="1"/>
  <c r="AJ1191" i="29"/>
  <c r="AK1191" i="29" s="1"/>
  <c r="AJ1207" i="29"/>
  <c r="AK1207" i="29" s="1"/>
  <c r="AJ1223" i="29"/>
  <c r="AK1223" i="29" s="1"/>
  <c r="AJ1239" i="29"/>
  <c r="AK1239" i="29" s="1"/>
  <c r="AJ1255" i="29"/>
  <c r="AK1255" i="29" s="1"/>
  <c r="AJ1271" i="29"/>
  <c r="AK1271" i="29" s="1"/>
  <c r="AJ1287" i="29"/>
  <c r="AK1287" i="29" s="1"/>
  <c r="AJ1303" i="29"/>
  <c r="AK1303" i="29" s="1"/>
  <c r="AJ1319" i="29"/>
  <c r="AJ1335" i="29"/>
  <c r="AJ1351" i="29"/>
  <c r="AJ1367" i="29"/>
  <c r="AJ1383" i="29"/>
  <c r="AJ1399" i="29"/>
  <c r="AJ1415" i="29"/>
  <c r="AJ399" i="29"/>
  <c r="AK399" i="29" s="1"/>
  <c r="AJ543" i="29"/>
  <c r="AK543" i="29" s="1"/>
  <c r="AJ626" i="29"/>
  <c r="AJ690" i="29"/>
  <c r="AJ731" i="29"/>
  <c r="AK731" i="29" s="1"/>
  <c r="AJ763" i="29"/>
  <c r="AK763" i="29" s="1"/>
  <c r="AJ795" i="29"/>
  <c r="AK795" i="29" s="1"/>
  <c r="AJ827" i="29"/>
  <c r="AK827" i="29" s="1"/>
  <c r="AJ859" i="29"/>
  <c r="AK859" i="29" s="1"/>
  <c r="AJ891" i="29"/>
  <c r="AK891" i="29" s="1"/>
  <c r="AJ923" i="29"/>
  <c r="AK923" i="29" s="1"/>
  <c r="AJ955" i="29"/>
  <c r="AK955" i="29" s="1"/>
  <c r="AJ987" i="29"/>
  <c r="AK987" i="29" s="1"/>
  <c r="AJ1019" i="29"/>
  <c r="AK1019" i="29" s="1"/>
  <c r="AJ1051" i="29"/>
  <c r="AK1051" i="29" s="1"/>
  <c r="AJ1083" i="29"/>
  <c r="AK1083" i="29" s="1"/>
  <c r="AJ1115" i="29"/>
  <c r="AK1115" i="29" s="1"/>
  <c r="AJ1147" i="29"/>
  <c r="AK1147" i="29" s="1"/>
  <c r="AJ1164" i="29"/>
  <c r="AJ1180" i="29"/>
  <c r="AJ1196" i="29"/>
  <c r="AJ1212" i="29"/>
  <c r="AJ1228" i="29"/>
  <c r="AJ1244" i="29"/>
  <c r="AJ1260" i="29"/>
  <c r="AJ1276" i="29"/>
  <c r="AJ1292" i="29"/>
  <c r="AJ1308" i="29"/>
  <c r="AJ1324" i="29"/>
  <c r="AJ1340" i="29"/>
  <c r="AJ1356" i="29"/>
  <c r="AJ1372" i="29"/>
  <c r="AJ1388" i="29"/>
  <c r="AJ1404" i="29"/>
  <c r="AJ79" i="29"/>
  <c r="AK79" i="29" s="1"/>
  <c r="AJ455" i="29"/>
  <c r="AK455" i="29" s="1"/>
  <c r="AJ583" i="29"/>
  <c r="AK583" i="29" s="1"/>
  <c r="AJ647" i="29"/>
  <c r="AJ710" i="29"/>
  <c r="AJ742" i="29"/>
  <c r="AJ774" i="29"/>
  <c r="AJ806" i="29"/>
  <c r="AJ838" i="29"/>
  <c r="AJ870" i="29"/>
  <c r="AJ902" i="29"/>
  <c r="AJ934" i="29"/>
  <c r="AJ966" i="29"/>
  <c r="AJ998" i="29"/>
  <c r="AJ1030" i="29"/>
  <c r="AJ1062" i="29"/>
  <c r="AJ1094" i="29"/>
  <c r="AJ1126" i="29"/>
  <c r="AJ1153" i="29"/>
  <c r="AJ1169" i="29"/>
  <c r="AK1169" i="29" s="1"/>
  <c r="AJ1185" i="29"/>
  <c r="AK1185" i="29" s="1"/>
  <c r="AJ1201" i="29"/>
  <c r="AK1201" i="29" s="1"/>
  <c r="AJ1217" i="29"/>
  <c r="AK1217" i="29" s="1"/>
  <c r="AJ1233" i="29"/>
  <c r="AK1233" i="29" s="1"/>
  <c r="AJ1249" i="29"/>
  <c r="AK1249" i="29" s="1"/>
  <c r="AJ1265" i="29"/>
  <c r="AK1265" i="29" s="1"/>
  <c r="AJ1281" i="29"/>
  <c r="AK1281" i="29" s="1"/>
  <c r="AJ1297" i="29"/>
  <c r="AK1297" i="29" s="1"/>
  <c r="AJ1313" i="29"/>
  <c r="AJ1329" i="29"/>
  <c r="AK1329" i="29" s="1"/>
  <c r="AJ1345" i="29"/>
  <c r="AJ1361" i="29"/>
  <c r="AJ1377" i="29"/>
  <c r="AJ1393" i="29"/>
  <c r="AJ1409" i="29"/>
  <c r="AK1409" i="29" s="1"/>
  <c r="AJ367" i="29"/>
  <c r="AK367" i="29" s="1"/>
  <c r="AJ527" i="29"/>
  <c r="AK527" i="29" s="1"/>
  <c r="AJ618" i="29"/>
  <c r="AJ682" i="29"/>
  <c r="AJ727" i="29"/>
  <c r="AK727" i="29" s="1"/>
  <c r="AJ759" i="29"/>
  <c r="AK759" i="29" s="1"/>
  <c r="AJ791" i="29"/>
  <c r="AK791" i="29" s="1"/>
  <c r="AJ823" i="29"/>
  <c r="AK823" i="29" s="1"/>
  <c r="AJ887" i="29"/>
  <c r="AK887" i="29" s="1"/>
  <c r="AJ919" i="29"/>
  <c r="AK919" i="29" s="1"/>
  <c r="AJ951" i="29"/>
  <c r="AK951" i="29" s="1"/>
  <c r="AJ1015" i="29"/>
  <c r="AK1015" i="29" s="1"/>
  <c r="AJ1111" i="29"/>
  <c r="AK1111" i="29" s="1"/>
  <c r="AJ1178" i="29"/>
  <c r="AJ1210" i="29"/>
  <c r="AJ1258" i="29"/>
  <c r="AJ1290" i="29"/>
  <c r="AJ1338" i="29"/>
  <c r="AJ1386" i="29"/>
  <c r="AH1050" i="21"/>
  <c r="AH1082" i="21"/>
  <c r="AH1114" i="21"/>
  <c r="AH1146" i="21"/>
  <c r="AH1178" i="21"/>
  <c r="AH103" i="21"/>
  <c r="AH588" i="21"/>
  <c r="AH844" i="21"/>
  <c r="AH1067" i="21"/>
  <c r="AH1195" i="21"/>
  <c r="AH503" i="21"/>
  <c r="AH788" i="21"/>
  <c r="AH1039" i="21"/>
  <c r="AH1167" i="21"/>
  <c r="AH391" i="21"/>
  <c r="AH732" i="21"/>
  <c r="AH988" i="21"/>
  <c r="AH1139" i="21"/>
  <c r="AH215" i="21"/>
  <c r="AH644" i="21"/>
  <c r="AH900" i="21"/>
  <c r="AH1095" i="21"/>
  <c r="AG30" i="17"/>
  <c r="AG153" i="17"/>
  <c r="AH153" i="17" s="1"/>
  <c r="AG263" i="17"/>
  <c r="AG373" i="17"/>
  <c r="AH373" i="17" s="1"/>
  <c r="AG36" i="17"/>
  <c r="AG155" i="17"/>
  <c r="AG266" i="17"/>
  <c r="AG375" i="17"/>
  <c r="AG60" i="17"/>
  <c r="AG284" i="17"/>
  <c r="AG242" i="17"/>
  <c r="AG105" i="17"/>
  <c r="AG249" i="17"/>
  <c r="AG396" i="17"/>
  <c r="AG362" i="17"/>
  <c r="AG21" i="17"/>
  <c r="AG269" i="17"/>
  <c r="AG132" i="17"/>
  <c r="AG330" i="17"/>
  <c r="AG159" i="17"/>
  <c r="AG379" i="17"/>
  <c r="AG20" i="17"/>
  <c r="AG166" i="17"/>
  <c r="AG238" i="17"/>
  <c r="AG321" i="17"/>
  <c r="AH321" i="17" s="1"/>
  <c r="AG384" i="17"/>
  <c r="AH384" i="17" s="1"/>
  <c r="AG198" i="17"/>
  <c r="AH198" i="17" s="1"/>
  <c r="AG291" i="17"/>
  <c r="AH291" i="17" s="1"/>
  <c r="AG106" i="17"/>
  <c r="AH106" i="17" s="1"/>
  <c r="AG389" i="17"/>
  <c r="AH389" i="17" s="1"/>
  <c r="AG338" i="17"/>
  <c r="AH338" i="17" s="1"/>
  <c r="AG148" i="17"/>
  <c r="AG43" i="17"/>
  <c r="AG113" i="17"/>
  <c r="AG206" i="17"/>
  <c r="AG307" i="17"/>
  <c r="AG398" i="17"/>
  <c r="AG133" i="17"/>
  <c r="AG248" i="17"/>
  <c r="AG356" i="17"/>
  <c r="AG190" i="17"/>
  <c r="AG350" i="17"/>
  <c r="AG79" i="17"/>
  <c r="AG151" i="17"/>
  <c r="AG224" i="17"/>
  <c r="AG310" i="17"/>
  <c r="AG374" i="17"/>
  <c r="AG142" i="17"/>
  <c r="AG186" i="17"/>
  <c r="AG403" i="17"/>
  <c r="AG372" i="17"/>
  <c r="AG301" i="17"/>
  <c r="AG131" i="17"/>
  <c r="AG27" i="17"/>
  <c r="AG96" i="17"/>
  <c r="AG184" i="17"/>
  <c r="AG279" i="17"/>
  <c r="AG386" i="17"/>
  <c r="AG86" i="17"/>
  <c r="AH86" i="17" s="1"/>
  <c r="AG200" i="17"/>
  <c r="AG311" i="17"/>
  <c r="AG17" i="17"/>
  <c r="AH17" i="17" s="1"/>
  <c r="AG264" i="17"/>
  <c r="AG49" i="17"/>
  <c r="AG121" i="17"/>
  <c r="AH121" i="17" s="1"/>
  <c r="AG195" i="17"/>
  <c r="AH195" i="17" s="1"/>
  <c r="AG274" i="17"/>
  <c r="AH274" i="17" s="1"/>
  <c r="AG346" i="17"/>
  <c r="AH346" i="17" s="1"/>
  <c r="AG413" i="17"/>
  <c r="AH413" i="17" s="1"/>
  <c r="AG397" i="17"/>
  <c r="AG25" i="17"/>
  <c r="AH25" i="17" s="1"/>
  <c r="AG225" i="17"/>
  <c r="AH225" i="17" s="1"/>
  <c r="AG147" i="17"/>
  <c r="AH147" i="17" s="1"/>
  <c r="AG26" i="17"/>
  <c r="AH26" i="17" s="1"/>
  <c r="AG324" i="17"/>
  <c r="AG67" i="17"/>
  <c r="AG149" i="17"/>
  <c r="AG240" i="17"/>
  <c r="AG348" i="17"/>
  <c r="AJ8" i="29"/>
  <c r="AJ24" i="29"/>
  <c r="AJ40" i="29"/>
  <c r="AJ56" i="29"/>
  <c r="AJ72" i="29"/>
  <c r="AJ88" i="29"/>
  <c r="AJ104" i="29"/>
  <c r="AJ120" i="29"/>
  <c r="AJ136" i="29"/>
  <c r="AJ152" i="29"/>
  <c r="AJ168" i="29"/>
  <c r="AJ184" i="29"/>
  <c r="AJ200" i="29"/>
  <c r="AJ216" i="29"/>
  <c r="AJ232" i="29"/>
  <c r="AJ248" i="29"/>
  <c r="AJ264" i="29"/>
  <c r="AJ280" i="29"/>
  <c r="AJ296" i="29"/>
  <c r="AJ312" i="29"/>
  <c r="AJ328" i="29"/>
  <c r="AJ344" i="29"/>
  <c r="AJ360" i="29"/>
  <c r="AJ17" i="29"/>
  <c r="AK17" i="29" s="1"/>
  <c r="AJ33" i="29"/>
  <c r="AK33" i="29" s="1"/>
  <c r="AJ49" i="29"/>
  <c r="AK49" i="29" s="1"/>
  <c r="AJ65" i="29"/>
  <c r="AK65" i="29" s="1"/>
  <c r="AJ81" i="29"/>
  <c r="AK81" i="29" s="1"/>
  <c r="AJ97" i="29"/>
  <c r="AK97" i="29" s="1"/>
  <c r="AJ113" i="29"/>
  <c r="AK113" i="29" s="1"/>
  <c r="AJ129" i="29"/>
  <c r="AK129" i="29" s="1"/>
  <c r="AJ145" i="29"/>
  <c r="AK145" i="29" s="1"/>
  <c r="AJ161" i="29"/>
  <c r="AJ177" i="29"/>
  <c r="AK177" i="29" s="1"/>
  <c r="AJ193" i="29"/>
  <c r="AK193" i="29" s="1"/>
  <c r="AJ209" i="29"/>
  <c r="AK209" i="29" s="1"/>
  <c r="AJ225" i="29"/>
  <c r="AK225" i="29" s="1"/>
  <c r="AJ241" i="29"/>
  <c r="AK241" i="29" s="1"/>
  <c r="AJ257" i="29"/>
  <c r="AK257" i="29" s="1"/>
  <c r="AJ273" i="29"/>
  <c r="AK273" i="29" s="1"/>
  <c r="AJ289" i="29"/>
  <c r="AK289" i="29" s="1"/>
  <c r="AJ305" i="29"/>
  <c r="AK305" i="29" s="1"/>
  <c r="AJ321" i="29"/>
  <c r="AJ337" i="29"/>
  <c r="AK337" i="29" s="1"/>
  <c r="AJ353" i="29"/>
  <c r="AK353" i="29" s="1"/>
  <c r="AJ10" i="29"/>
  <c r="AJ42" i="29"/>
  <c r="AJ74" i="29"/>
  <c r="AJ106" i="29"/>
  <c r="AJ138" i="29"/>
  <c r="AJ170" i="29"/>
  <c r="AJ202" i="29"/>
  <c r="AJ234" i="29"/>
  <c r="AJ266" i="29"/>
  <c r="AJ298" i="29"/>
  <c r="AJ330" i="29"/>
  <c r="AJ362" i="29"/>
  <c r="AJ380" i="29"/>
  <c r="AJ396" i="29"/>
  <c r="AJ412" i="29"/>
  <c r="AJ428" i="29"/>
  <c r="AJ444" i="29"/>
  <c r="AJ460" i="29"/>
  <c r="AJ476" i="29"/>
  <c r="AJ492" i="29"/>
  <c r="AJ508" i="29"/>
  <c r="AJ524" i="29"/>
  <c r="AJ540" i="29"/>
  <c r="AJ556" i="29"/>
  <c r="AJ572" i="29"/>
  <c r="AJ588" i="29"/>
  <c r="AJ604" i="29"/>
  <c r="AJ620" i="29"/>
  <c r="AJ636" i="29"/>
  <c r="AJ652" i="29"/>
  <c r="AJ668" i="29"/>
  <c r="AJ684" i="29"/>
  <c r="AJ700" i="29"/>
  <c r="AJ19" i="29"/>
  <c r="AJ51" i="29"/>
  <c r="AK51" i="29" s="1"/>
  <c r="AJ83" i="29"/>
  <c r="AK83" i="29" s="1"/>
  <c r="AJ115" i="29"/>
  <c r="AK115" i="29" s="1"/>
  <c r="AJ147" i="29"/>
  <c r="AJ179" i="29"/>
  <c r="AK179" i="29" s="1"/>
  <c r="AJ211" i="29"/>
  <c r="AK211" i="29" s="1"/>
  <c r="AJ243" i="29"/>
  <c r="AJ275" i="29"/>
  <c r="AJ307" i="29"/>
  <c r="AK307" i="29" s="1"/>
  <c r="AJ339" i="29"/>
  <c r="AK339" i="29" s="1"/>
  <c r="AJ369" i="29"/>
  <c r="AK369" i="29" s="1"/>
  <c r="AJ385" i="29"/>
  <c r="AK385" i="29" s="1"/>
  <c r="AJ401" i="29"/>
  <c r="AK401" i="29" s="1"/>
  <c r="AJ417" i="29"/>
  <c r="AK417" i="29" s="1"/>
  <c r="AJ433" i="29"/>
  <c r="AK433" i="29" s="1"/>
  <c r="AJ449" i="29"/>
  <c r="AK449" i="29" s="1"/>
  <c r="AJ465" i="29"/>
  <c r="AK465" i="29" s="1"/>
  <c r="AJ481" i="29"/>
  <c r="AK481" i="29" s="1"/>
  <c r="AJ497" i="29"/>
  <c r="AK497" i="29" s="1"/>
  <c r="AJ513" i="29"/>
  <c r="AK513" i="29" s="1"/>
  <c r="AJ529" i="29"/>
  <c r="AK529" i="29" s="1"/>
  <c r="AJ545" i="29"/>
  <c r="AJ561" i="29"/>
  <c r="AK561" i="29" s="1"/>
  <c r="AJ577" i="29"/>
  <c r="AK577" i="29" s="1"/>
  <c r="AJ593" i="29"/>
  <c r="AK593" i="29" s="1"/>
  <c r="AJ609" i="29"/>
  <c r="AK609" i="29" s="1"/>
  <c r="AJ625" i="29"/>
  <c r="AK625" i="29" s="1"/>
  <c r="AJ641" i="29"/>
  <c r="AK641" i="29" s="1"/>
  <c r="AJ657" i="29"/>
  <c r="AK657" i="29" s="1"/>
  <c r="AJ673" i="29"/>
  <c r="AJ689" i="29"/>
  <c r="AJ705" i="29"/>
  <c r="AJ30" i="29"/>
  <c r="AJ62" i="29"/>
  <c r="AJ94" i="29"/>
  <c r="AJ126" i="29"/>
  <c r="AJ158" i="29"/>
  <c r="AJ190" i="29"/>
  <c r="AJ222" i="29"/>
  <c r="AJ254" i="29"/>
  <c r="AJ286" i="29"/>
  <c r="AJ318" i="29"/>
  <c r="AJ350" i="29"/>
  <c r="AJ374" i="29"/>
  <c r="AJ390" i="29"/>
  <c r="AJ406" i="29"/>
  <c r="AJ422" i="29"/>
  <c r="AJ55" i="29"/>
  <c r="AK55" i="29" s="1"/>
  <c r="AJ183" i="29"/>
  <c r="AK183" i="29" s="1"/>
  <c r="AJ311" i="29"/>
  <c r="AK311" i="29" s="1"/>
  <c r="AJ403" i="29"/>
  <c r="AK403" i="29" s="1"/>
  <c r="AJ450" i="29"/>
  <c r="AJ482" i="29"/>
  <c r="AJ514" i="29"/>
  <c r="AJ546" i="29"/>
  <c r="AJ578" i="29"/>
  <c r="AJ127" i="29"/>
  <c r="AK127" i="29" s="1"/>
  <c r="AJ255" i="29"/>
  <c r="AJ375" i="29"/>
  <c r="AK375" i="29" s="1"/>
  <c r="AJ435" i="29"/>
  <c r="AK435" i="29" s="1"/>
  <c r="AJ467" i="29"/>
  <c r="AK467" i="29" s="1"/>
  <c r="AJ499" i="29"/>
  <c r="AK499" i="29" s="1"/>
  <c r="AJ531" i="29"/>
  <c r="AK531" i="29" s="1"/>
  <c r="AJ563" i="29"/>
  <c r="AK563" i="29" s="1"/>
  <c r="AJ595" i="29"/>
  <c r="AJ627" i="29"/>
  <c r="AK627" i="29" s="1"/>
  <c r="AJ659" i="29"/>
  <c r="AK659" i="29" s="1"/>
  <c r="AJ691" i="29"/>
  <c r="AK691" i="29" s="1"/>
  <c r="AJ716" i="29"/>
  <c r="AJ732" i="29"/>
  <c r="AJ748" i="29"/>
  <c r="AJ764" i="29"/>
  <c r="AJ780" i="29"/>
  <c r="AJ796" i="29"/>
  <c r="AJ812" i="29"/>
  <c r="AJ828" i="29"/>
  <c r="AJ844" i="29"/>
  <c r="AJ860" i="29"/>
  <c r="AJ876" i="29"/>
  <c r="AJ892" i="29"/>
  <c r="AJ908" i="29"/>
  <c r="AJ924" i="29"/>
  <c r="AJ940" i="29"/>
  <c r="AJ956" i="29"/>
  <c r="AJ972" i="29"/>
  <c r="AJ988" i="29"/>
  <c r="AJ1004" i="29"/>
  <c r="AJ1020" i="29"/>
  <c r="AJ1036" i="29"/>
  <c r="AJ1052" i="29"/>
  <c r="AJ1068" i="29"/>
  <c r="AJ1084" i="29"/>
  <c r="AJ1100" i="29"/>
  <c r="AJ1116" i="29"/>
  <c r="AJ1132" i="29"/>
  <c r="AJ1148" i="29"/>
  <c r="AJ103" i="29"/>
  <c r="AJ231" i="29"/>
  <c r="AK231" i="29" s="1"/>
  <c r="AJ359" i="29"/>
  <c r="AK359" i="29" s="1"/>
  <c r="AJ427" i="29"/>
  <c r="AK427" i="29" s="1"/>
  <c r="AJ462" i="29"/>
  <c r="AJ494" i="29"/>
  <c r="AJ526" i="29"/>
  <c r="AJ558" i="29"/>
  <c r="AJ590" i="29"/>
  <c r="AJ622" i="29"/>
  <c r="AJ654" i="29"/>
  <c r="AJ686" i="29"/>
  <c r="AJ713" i="29"/>
  <c r="AK713" i="29" s="1"/>
  <c r="AJ729" i="29"/>
  <c r="AJ745" i="29"/>
  <c r="AK745" i="29" s="1"/>
  <c r="AJ761" i="29"/>
  <c r="AK761" i="29" s="1"/>
  <c r="AJ777" i="29"/>
  <c r="AK777" i="29" s="1"/>
  <c r="AJ793" i="29"/>
  <c r="AK793" i="29" s="1"/>
  <c r="AJ809" i="29"/>
  <c r="AK809" i="29" s="1"/>
  <c r="AJ825" i="29"/>
  <c r="AK825" i="29" s="1"/>
  <c r="AJ841" i="29"/>
  <c r="AK841" i="29" s="1"/>
  <c r="AJ857" i="29"/>
  <c r="AK857" i="29" s="1"/>
  <c r="AJ873" i="29"/>
  <c r="AK873" i="29" s="1"/>
  <c r="AJ889" i="29"/>
  <c r="AK889" i="29" s="1"/>
  <c r="AJ905" i="29"/>
  <c r="AJ921" i="29"/>
  <c r="AK921" i="29" s="1"/>
  <c r="AJ937" i="29"/>
  <c r="AJ953" i="29"/>
  <c r="AK953" i="29" s="1"/>
  <c r="AJ969" i="29"/>
  <c r="AJ985" i="29"/>
  <c r="AJ1001" i="29"/>
  <c r="AK1001" i="29" s="1"/>
  <c r="AJ1017" i="29"/>
  <c r="AK1017" i="29" s="1"/>
  <c r="AJ1033" i="29"/>
  <c r="AK1033" i="29" s="1"/>
  <c r="AJ1049" i="29"/>
  <c r="AK1049" i="29" s="1"/>
  <c r="AJ1065" i="29"/>
  <c r="AK1065" i="29" s="1"/>
  <c r="AJ1081" i="29"/>
  <c r="AK1081" i="29" s="1"/>
  <c r="AJ1097" i="29"/>
  <c r="AK1097" i="29" s="1"/>
  <c r="AJ1113" i="29"/>
  <c r="AK1113" i="29" s="1"/>
  <c r="AJ1129" i="29"/>
  <c r="AK1129" i="29" s="1"/>
  <c r="AJ1145" i="29"/>
  <c r="AK1145" i="29" s="1"/>
  <c r="AJ383" i="29"/>
  <c r="AK383" i="29" s="1"/>
  <c r="AJ535" i="29"/>
  <c r="AK535" i="29" s="1"/>
  <c r="AJ623" i="29"/>
  <c r="AK623" i="29" s="1"/>
  <c r="AJ687" i="29"/>
  <c r="AJ730" i="29"/>
  <c r="AJ762" i="29"/>
  <c r="AJ794" i="29"/>
  <c r="AJ826" i="29"/>
  <c r="AJ858" i="29"/>
  <c r="AJ890" i="29"/>
  <c r="AJ922" i="29"/>
  <c r="AJ954" i="29"/>
  <c r="AJ986" i="29"/>
  <c r="AJ1018" i="29"/>
  <c r="AJ1050" i="29"/>
  <c r="AJ1082" i="29"/>
  <c r="AJ1114" i="29"/>
  <c r="AJ1146" i="29"/>
  <c r="AJ1163" i="29"/>
  <c r="AK1163" i="29" s="1"/>
  <c r="AJ1179" i="29"/>
  <c r="AK1179" i="29" s="1"/>
  <c r="AJ1195" i="29"/>
  <c r="AK1195" i="29" s="1"/>
  <c r="AJ1211" i="29"/>
  <c r="AK1211" i="29" s="1"/>
  <c r="AJ1227" i="29"/>
  <c r="AK1227" i="29" s="1"/>
  <c r="AJ1243" i="29"/>
  <c r="AK1243" i="29" s="1"/>
  <c r="AJ1259" i="29"/>
  <c r="AK1259" i="29" s="1"/>
  <c r="AJ1275" i="29"/>
  <c r="AK1275" i="29" s="1"/>
  <c r="AJ1291" i="29"/>
  <c r="AK1291" i="29" s="1"/>
  <c r="AJ1307" i="29"/>
  <c r="AK1307" i="29" s="1"/>
  <c r="AJ1323" i="29"/>
  <c r="AK1323" i="29" s="1"/>
  <c r="AJ1339" i="29"/>
  <c r="AJ1355" i="29"/>
  <c r="AJ1371" i="29"/>
  <c r="AK1371" i="29" s="1"/>
  <c r="AJ1387" i="29"/>
  <c r="AK1387" i="29" s="1"/>
  <c r="AJ1403" i="29"/>
  <c r="AJ47" i="29"/>
  <c r="AK47" i="29" s="1"/>
  <c r="AJ447" i="29"/>
  <c r="AK447" i="29" s="1"/>
  <c r="AJ575" i="29"/>
  <c r="AK575" i="29" s="1"/>
  <c r="AJ642" i="29"/>
  <c r="AJ706" i="29"/>
  <c r="AJ739" i="29"/>
  <c r="AK739" i="29" s="1"/>
  <c r="AJ771" i="29"/>
  <c r="AK771" i="29" s="1"/>
  <c r="AJ803" i="29"/>
  <c r="AK803" i="29" s="1"/>
  <c r="AJ835" i="29"/>
  <c r="AK835" i="29" s="1"/>
  <c r="AJ867" i="29"/>
  <c r="AK867" i="29" s="1"/>
  <c r="AJ899" i="29"/>
  <c r="AK899" i="29" s="1"/>
  <c r="AJ931" i="29"/>
  <c r="AJ963" i="29"/>
  <c r="AK963" i="29" s="1"/>
  <c r="AJ995" i="29"/>
  <c r="AJ1027" i="29"/>
  <c r="AK1027" i="29" s="1"/>
  <c r="AJ1059" i="29"/>
  <c r="AJ1091" i="29"/>
  <c r="AK1091" i="29" s="1"/>
  <c r="AJ1123" i="29"/>
  <c r="AK1123" i="29" s="1"/>
  <c r="AJ1152" i="29"/>
  <c r="AJ1168" i="29"/>
  <c r="AJ1184" i="29"/>
  <c r="AJ1200" i="29"/>
  <c r="AJ1216" i="29"/>
  <c r="AJ1232" i="29"/>
  <c r="AJ1248" i="29"/>
  <c r="AJ1264" i="29"/>
  <c r="AJ1280" i="29"/>
  <c r="AJ1296" i="29"/>
  <c r="AJ1312" i="29"/>
  <c r="AJ1328" i="29"/>
  <c r="AJ1344" i="29"/>
  <c r="AJ1360" i="29"/>
  <c r="AJ1376" i="29"/>
  <c r="AJ1392" i="29"/>
  <c r="AJ1408" i="29"/>
  <c r="AJ207" i="29"/>
  <c r="AK207" i="29" s="1"/>
  <c r="AJ487" i="29"/>
  <c r="AJ599" i="29"/>
  <c r="AK599" i="29" s="1"/>
  <c r="AJ663" i="29"/>
  <c r="AK663" i="29" s="1"/>
  <c r="AJ718" i="29"/>
  <c r="AJ750" i="29"/>
  <c r="AJ782" i="29"/>
  <c r="AJ814" i="29"/>
  <c r="AJ846" i="29"/>
  <c r="AJ878" i="29"/>
  <c r="AJ910" i="29"/>
  <c r="AJ942" i="29"/>
  <c r="AJ974" i="29"/>
  <c r="AJ1006" i="29"/>
  <c r="AJ1038" i="29"/>
  <c r="AJ1070" i="29"/>
  <c r="AJ1102" i="29"/>
  <c r="AJ1134" i="29"/>
  <c r="AJ1157" i="29"/>
  <c r="AK1157" i="29" s="1"/>
  <c r="AJ1173" i="29"/>
  <c r="AK1173" i="29" s="1"/>
  <c r="AJ1189" i="29"/>
  <c r="AK1189" i="29" s="1"/>
  <c r="AJ1205" i="29"/>
  <c r="AK1205" i="29" s="1"/>
  <c r="AJ1221" i="29"/>
  <c r="AK1221" i="29" s="1"/>
  <c r="AJ1237" i="29"/>
  <c r="AK1237" i="29" s="1"/>
  <c r="AJ1253" i="29"/>
  <c r="AK1253" i="29" s="1"/>
  <c r="AJ1269" i="29"/>
  <c r="AK1269" i="29" s="1"/>
  <c r="AJ1285" i="29"/>
  <c r="AJ1301" i="29"/>
  <c r="AK1301" i="29" s="1"/>
  <c r="AJ1317" i="29"/>
  <c r="AK1317" i="29" s="1"/>
  <c r="AJ1333" i="29"/>
  <c r="AJ1349" i="29"/>
  <c r="AJ1365" i="29"/>
  <c r="AJ1381" i="29"/>
  <c r="AJ1397" i="29"/>
  <c r="AK1397" i="29" s="1"/>
  <c r="AJ1413" i="29"/>
  <c r="AJ431" i="29"/>
  <c r="AK431" i="29" s="1"/>
  <c r="AJ559" i="29"/>
  <c r="AK559" i="29" s="1"/>
  <c r="AJ634" i="29"/>
  <c r="AJ698" i="29"/>
  <c r="AJ735" i="29"/>
  <c r="AK735" i="29" s="1"/>
  <c r="AJ767" i="29"/>
  <c r="AK767" i="29" s="1"/>
  <c r="AJ799" i="29"/>
  <c r="AK799" i="29" s="1"/>
  <c r="AJ831" i="29"/>
  <c r="AK831" i="29" s="1"/>
  <c r="AJ863" i="29"/>
  <c r="AK863" i="29" s="1"/>
  <c r="AJ895" i="29"/>
  <c r="AK895" i="29" s="1"/>
  <c r="AJ927" i="29"/>
  <c r="AK927" i="29" s="1"/>
  <c r="AJ959" i="29"/>
  <c r="AK959" i="29" s="1"/>
  <c r="AJ991" i="29"/>
  <c r="AK991" i="29" s="1"/>
  <c r="AJ1023" i="29"/>
  <c r="AK1023" i="29" s="1"/>
  <c r="AJ1055" i="29"/>
  <c r="AJ1087" i="29"/>
  <c r="AK1087" i="29" s="1"/>
  <c r="AJ1119" i="29"/>
  <c r="AK1119" i="29" s="1"/>
  <c r="AJ1150" i="29"/>
  <c r="AJ1166" i="29"/>
  <c r="AJ1182" i="29"/>
  <c r="AJ1198" i="29"/>
  <c r="AJ1214" i="29"/>
  <c r="AJ1230" i="29"/>
  <c r="AJ1246" i="29"/>
  <c r="AJ1262" i="29"/>
  <c r="AJ1278" i="29"/>
  <c r="AJ1294" i="29"/>
  <c r="AJ1310" i="29"/>
  <c r="AJ1326" i="29"/>
  <c r="AJ1342" i="29"/>
  <c r="AJ1358" i="29"/>
  <c r="AJ1374" i="29"/>
  <c r="AJ1390" i="29"/>
  <c r="AJ1406" i="29"/>
  <c r="AJ903" i="29"/>
  <c r="AK903" i="29" s="1"/>
  <c r="AJ1031" i="29"/>
  <c r="AK1031" i="29" s="1"/>
  <c r="AJ1095" i="29"/>
  <c r="AK1095" i="29" s="1"/>
  <c r="AJ1127" i="29"/>
  <c r="AK1127" i="29" s="1"/>
  <c r="AJ1170" i="29"/>
  <c r="AJ1202" i="29"/>
  <c r="AJ1218" i="29"/>
  <c r="AJ1250" i="29"/>
  <c r="AJ1282" i="29"/>
  <c r="AJ1314" i="29"/>
  <c r="AJ1330" i="29"/>
  <c r="AJ1362" i="29"/>
  <c r="AJ1378" i="29"/>
  <c r="AJ1410" i="29"/>
  <c r="AH1058" i="21"/>
  <c r="AH1090" i="21"/>
  <c r="AH1122" i="21"/>
  <c r="AH1154" i="21"/>
  <c r="AH1186" i="21"/>
  <c r="AH231" i="21"/>
  <c r="AH652" i="21"/>
  <c r="AH908" i="21"/>
  <c r="AH1099" i="21"/>
  <c r="AH119" i="21"/>
  <c r="AH596" i="21"/>
  <c r="AH852" i="21"/>
  <c r="AH1071" i="21"/>
  <c r="AH1199" i="21"/>
  <c r="AH519" i="21"/>
  <c r="AH796" i="21"/>
  <c r="AH1043" i="21"/>
  <c r="AH1171" i="21"/>
  <c r="AH343" i="21"/>
  <c r="AH708" i="21"/>
  <c r="AH964" i="21"/>
  <c r="AH1127" i="21"/>
  <c r="AG64" i="17"/>
  <c r="AG181" i="17"/>
  <c r="AH181" i="17" s="1"/>
  <c r="AG290" i="17"/>
  <c r="AG401" i="17"/>
  <c r="AH401" i="17" s="1"/>
  <c r="AG68" i="17"/>
  <c r="AG185" i="17"/>
  <c r="AG292" i="17"/>
  <c r="AG404" i="17"/>
  <c r="AG120" i="17"/>
  <c r="AG341" i="17"/>
  <c r="AG328" i="17"/>
  <c r="AG141" i="17"/>
  <c r="AG297" i="17"/>
  <c r="AG100" i="17"/>
  <c r="AG253" i="17"/>
  <c r="AG289" i="17"/>
  <c r="AG417" i="17"/>
  <c r="AG176" i="17"/>
  <c r="AG378" i="17"/>
  <c r="AG217" i="17"/>
  <c r="AG71" i="17"/>
  <c r="AG57" i="17"/>
  <c r="AH57" i="17" s="1"/>
  <c r="AG183" i="17"/>
  <c r="AH183" i="17" s="1"/>
  <c r="AG252" i="17"/>
  <c r="AH252" i="17" s="1"/>
  <c r="AG336" i="17"/>
  <c r="AH336" i="17" s="1"/>
  <c r="AG402" i="17"/>
  <c r="AH402" i="17" s="1"/>
  <c r="AG287" i="17"/>
  <c r="AH287" i="17" s="1"/>
  <c r="AG406" i="17"/>
  <c r="AH406" i="17" s="1"/>
  <c r="AG209" i="17"/>
  <c r="AH209" i="17" s="1"/>
  <c r="AG33" i="17"/>
  <c r="AG407" i="17"/>
  <c r="AH407" i="17" s="1"/>
  <c r="AG295" i="17"/>
  <c r="AG59" i="17"/>
  <c r="AG136" i="17"/>
  <c r="AG232" i="17"/>
  <c r="AG340" i="17"/>
  <c r="AG44" i="17"/>
  <c r="AG161" i="17"/>
  <c r="AG270" i="17"/>
  <c r="AG383" i="17"/>
  <c r="AG228" i="17"/>
  <c r="AG24" i="17"/>
  <c r="AG95" i="17"/>
  <c r="AG170" i="17"/>
  <c r="AG243" i="17"/>
  <c r="AG323" i="17"/>
  <c r="AG388" i="17"/>
  <c r="AG203" i="17"/>
  <c r="AG304" i="17"/>
  <c r="AG118" i="17"/>
  <c r="AG92" i="17"/>
  <c r="AG355" i="17"/>
  <c r="AG205" i="17"/>
  <c r="AG47" i="17"/>
  <c r="AG119" i="17"/>
  <c r="AG210" i="17"/>
  <c r="AG314" i="17"/>
  <c r="AG409" i="17"/>
  <c r="AG116" i="17"/>
  <c r="AH116" i="17" s="1"/>
  <c r="AG229" i="17"/>
  <c r="AH229" i="17" s="1"/>
  <c r="AG335" i="17"/>
  <c r="AG115" i="17"/>
  <c r="AG320" i="17"/>
  <c r="AG65" i="17"/>
  <c r="AG138" i="17"/>
  <c r="AG213" i="17"/>
  <c r="AG293" i="17"/>
  <c r="AG361" i="17"/>
  <c r="AH361" i="17" s="1"/>
  <c r="AG58" i="17"/>
  <c r="AH58" i="17" s="1"/>
  <c r="AG146" i="17"/>
  <c r="AG216" i="17"/>
  <c r="AG313" i="17"/>
  <c r="AG282" i="17"/>
  <c r="AG80" i="17"/>
  <c r="AG408" i="17"/>
  <c r="AG85" i="17"/>
  <c r="AG172" i="17"/>
  <c r="AG260" i="17"/>
  <c r="AG369" i="17"/>
  <c r="AJ12" i="29"/>
  <c r="AJ28" i="29"/>
  <c r="AJ44" i="29"/>
  <c r="AJ60" i="29"/>
  <c r="AJ76" i="29"/>
  <c r="AJ92" i="29"/>
  <c r="AJ108" i="29"/>
  <c r="AJ124" i="29"/>
  <c r="AJ140" i="29"/>
  <c r="AJ156" i="29"/>
  <c r="AJ172" i="29"/>
  <c r="AJ188" i="29"/>
  <c r="AJ204" i="29"/>
  <c r="AJ220" i="29"/>
  <c r="AJ236" i="29"/>
  <c r="AJ252" i="29"/>
  <c r="AJ268" i="29"/>
  <c r="AJ284" i="29"/>
  <c r="AJ300" i="29"/>
  <c r="AJ316" i="29"/>
  <c r="AJ332" i="29"/>
  <c r="AJ348" i="29"/>
  <c r="AJ364" i="29"/>
  <c r="AJ21" i="29"/>
  <c r="AK21" i="29" s="1"/>
  <c r="AJ37" i="29"/>
  <c r="AK37" i="29" s="1"/>
  <c r="AJ53" i="29"/>
  <c r="AK53" i="29" s="1"/>
  <c r="AJ69" i="29"/>
  <c r="AJ85" i="29"/>
  <c r="AK85" i="29" s="1"/>
  <c r="AJ101" i="29"/>
  <c r="AK101" i="29" s="1"/>
  <c r="AJ117" i="29"/>
  <c r="AK117" i="29" s="1"/>
  <c r="AJ133" i="29"/>
  <c r="AK133" i="29" s="1"/>
  <c r="AJ149" i="29"/>
  <c r="AK149" i="29" s="1"/>
  <c r="AJ165" i="29"/>
  <c r="AK165" i="29" s="1"/>
  <c r="AJ181" i="29"/>
  <c r="AK181" i="29" s="1"/>
  <c r="AJ197" i="29"/>
  <c r="AK197" i="29" s="1"/>
  <c r="AJ213" i="29"/>
  <c r="AK213" i="29" s="1"/>
  <c r="AJ229" i="29"/>
  <c r="AJ245" i="29"/>
  <c r="AK245" i="29" s="1"/>
  <c r="AJ261" i="29"/>
  <c r="AK261" i="29" s="1"/>
  <c r="AJ277" i="29"/>
  <c r="AK277" i="29" s="1"/>
  <c r="AJ293" i="29"/>
  <c r="AJ309" i="29"/>
  <c r="AK309" i="29" s="1"/>
  <c r="AJ325" i="29"/>
  <c r="AK325" i="29" s="1"/>
  <c r="AJ341" i="29"/>
  <c r="AK341" i="29" s="1"/>
  <c r="AJ357" i="29"/>
  <c r="AK357" i="29" s="1"/>
  <c r="AJ18" i="29"/>
  <c r="AJ50" i="29"/>
  <c r="AJ82" i="29"/>
  <c r="AJ114" i="29"/>
  <c r="AJ146" i="29"/>
  <c r="AJ178" i="29"/>
  <c r="AJ210" i="29"/>
  <c r="AJ242" i="29"/>
  <c r="AJ274" i="29"/>
  <c r="AJ306" i="29"/>
  <c r="AJ338" i="29"/>
  <c r="AJ368" i="29"/>
  <c r="AJ384" i="29"/>
  <c r="AJ400" i="29"/>
  <c r="AJ416" i="29"/>
  <c r="AJ432" i="29"/>
  <c r="AJ448" i="29"/>
  <c r="AJ464" i="29"/>
  <c r="AJ480" i="29"/>
  <c r="AJ496" i="29"/>
  <c r="AJ512" i="29"/>
  <c r="AJ528" i="29"/>
  <c r="AJ544" i="29"/>
  <c r="AJ560" i="29"/>
  <c r="AJ576" i="29"/>
  <c r="AJ592" i="29"/>
  <c r="AJ608" i="29"/>
  <c r="AJ624" i="29"/>
  <c r="AJ640" i="29"/>
  <c r="AJ656" i="29"/>
  <c r="AJ672" i="29"/>
  <c r="AJ688" i="29"/>
  <c r="AJ704" i="29"/>
  <c r="AJ27" i="29"/>
  <c r="AJ59" i="29"/>
  <c r="AK59" i="29" s="1"/>
  <c r="AJ91" i="29"/>
  <c r="AK91" i="29" s="1"/>
  <c r="AJ123" i="29"/>
  <c r="AK123" i="29" s="1"/>
  <c r="AJ155" i="29"/>
  <c r="AK155" i="29" s="1"/>
  <c r="AJ187" i="29"/>
  <c r="AK187" i="29" s="1"/>
  <c r="AJ219" i="29"/>
  <c r="AK219" i="29" s="1"/>
  <c r="AJ251" i="29"/>
  <c r="AK251" i="29" s="1"/>
  <c r="AJ283" i="29"/>
  <c r="AK283" i="29" s="1"/>
  <c r="AJ315" i="29"/>
  <c r="AK315" i="29" s="1"/>
  <c r="AJ347" i="29"/>
  <c r="AK347" i="29" s="1"/>
  <c r="AJ373" i="29"/>
  <c r="AK373" i="29" s="1"/>
  <c r="AJ389" i="29"/>
  <c r="AK389" i="29" s="1"/>
  <c r="AJ405" i="29"/>
  <c r="AK405" i="29" s="1"/>
  <c r="AJ421" i="29"/>
  <c r="AK421" i="29" s="1"/>
  <c r="AJ437" i="29"/>
  <c r="AK437" i="29" s="1"/>
  <c r="AJ453" i="29"/>
  <c r="AK453" i="29" s="1"/>
  <c r="AJ469" i="29"/>
  <c r="AK469" i="29" s="1"/>
  <c r="AJ485" i="29"/>
  <c r="AJ501" i="29"/>
  <c r="AK501" i="29" s="1"/>
  <c r="AJ517" i="29"/>
  <c r="AK517" i="29" s="1"/>
  <c r="AJ533" i="29"/>
  <c r="AK533" i="29" s="1"/>
  <c r="AJ549" i="29"/>
  <c r="AK549" i="29" s="1"/>
  <c r="AJ565" i="29"/>
  <c r="AK565" i="29" s="1"/>
  <c r="AJ581" i="29"/>
  <c r="AK581" i="29" s="1"/>
  <c r="AJ597" i="29"/>
  <c r="AK597" i="29" s="1"/>
  <c r="AJ613" i="29"/>
  <c r="AK613" i="29" s="1"/>
  <c r="AJ629" i="29"/>
  <c r="AK629" i="29" s="1"/>
  <c r="AJ645" i="29"/>
  <c r="AK645" i="29" s="1"/>
  <c r="AJ661" i="29"/>
  <c r="AK661" i="29" s="1"/>
  <c r="AJ677" i="29"/>
  <c r="AJ693" i="29"/>
  <c r="AJ6" i="29"/>
  <c r="AJ38" i="29"/>
  <c r="AJ70" i="29"/>
  <c r="AJ102" i="29"/>
  <c r="AJ134" i="29"/>
  <c r="AJ166" i="29"/>
  <c r="AJ198" i="29"/>
  <c r="AJ230" i="29"/>
  <c r="AJ262" i="29"/>
  <c r="AJ294" i="29"/>
  <c r="AJ326" i="29"/>
  <c r="AJ358" i="29"/>
  <c r="AJ378" i="29"/>
  <c r="AJ394" i="29"/>
  <c r="AJ410" i="29"/>
  <c r="AJ426" i="29"/>
  <c r="AJ87" i="29"/>
  <c r="AK87" i="29" s="1"/>
  <c r="AJ215" i="29"/>
  <c r="AK215" i="29" s="1"/>
  <c r="AJ343" i="29"/>
  <c r="AK343" i="29" s="1"/>
  <c r="AJ419" i="29"/>
  <c r="AJ458" i="29"/>
  <c r="AJ490" i="29"/>
  <c r="AJ522" i="29"/>
  <c r="AJ554" i="29"/>
  <c r="AJ31" i="29"/>
  <c r="AK31" i="29" s="1"/>
  <c r="AJ159" i="29"/>
  <c r="AK159" i="29" s="1"/>
  <c r="AJ287" i="29"/>
  <c r="AK287" i="29" s="1"/>
  <c r="AJ391" i="29"/>
  <c r="AK391" i="29" s="1"/>
  <c r="AJ443" i="29"/>
  <c r="AK443" i="29" s="1"/>
  <c r="AJ475" i="29"/>
  <c r="AJ507" i="29"/>
  <c r="AK507" i="29" s="1"/>
  <c r="AJ539" i="29"/>
  <c r="AK539" i="29" s="1"/>
  <c r="AJ571" i="29"/>
  <c r="AK571" i="29" s="1"/>
  <c r="AJ603" i="29"/>
  <c r="AK603" i="29" s="1"/>
  <c r="AJ635" i="29"/>
  <c r="AK635" i="29" s="1"/>
  <c r="AJ667" i="29"/>
  <c r="AJ699" i="29"/>
  <c r="AK699" i="29" s="1"/>
  <c r="AJ720" i="29"/>
  <c r="AJ736" i="29"/>
  <c r="AJ752" i="29"/>
  <c r="AJ768" i="29"/>
  <c r="AJ784" i="29"/>
  <c r="AJ800" i="29"/>
  <c r="AJ816" i="29"/>
  <c r="AJ832" i="29"/>
  <c r="AJ848" i="29"/>
  <c r="AJ864" i="29"/>
  <c r="AJ880" i="29"/>
  <c r="AJ896" i="29"/>
  <c r="AJ912" i="29"/>
  <c r="AJ928" i="29"/>
  <c r="AJ944" i="29"/>
  <c r="AJ960" i="29"/>
  <c r="AJ976" i="29"/>
  <c r="AJ992" i="29"/>
  <c r="AJ1008" i="29"/>
  <c r="AJ1024" i="29"/>
  <c r="AJ1040" i="29"/>
  <c r="AJ1056" i="29"/>
  <c r="AJ1072" i="29"/>
  <c r="AJ1088" i="29"/>
  <c r="AJ1104" i="29"/>
  <c r="AJ1120" i="29"/>
  <c r="AJ1136" i="29"/>
  <c r="AJ7" i="29"/>
  <c r="AK7" i="29" s="1"/>
  <c r="AJ135" i="29"/>
  <c r="AK135" i="29" s="1"/>
  <c r="AJ263" i="29"/>
  <c r="AK263" i="29" s="1"/>
  <c r="AJ379" i="29"/>
  <c r="AK379" i="29" s="1"/>
  <c r="AJ438" i="29"/>
  <c r="AJ470" i="29"/>
  <c r="AJ502" i="29"/>
  <c r="AJ534" i="29"/>
  <c r="AJ566" i="29"/>
  <c r="AJ598" i="29"/>
  <c r="AJ630" i="29"/>
  <c r="AJ662" i="29"/>
  <c r="AJ694" i="29"/>
  <c r="AJ717" i="29"/>
  <c r="AJ733" i="29"/>
  <c r="AK733" i="29" s="1"/>
  <c r="AJ749" i="29"/>
  <c r="AK749" i="29" s="1"/>
  <c r="AJ765" i="29"/>
  <c r="AK765" i="29" s="1"/>
  <c r="AJ781" i="29"/>
  <c r="AK781" i="29" s="1"/>
  <c r="AJ797" i="29"/>
  <c r="AK797" i="29" s="1"/>
  <c r="AJ813" i="29"/>
  <c r="AK813" i="29" s="1"/>
  <c r="AJ829" i="29"/>
  <c r="AJ845" i="29"/>
  <c r="AK845" i="29" s="1"/>
  <c r="AJ861" i="29"/>
  <c r="AK861" i="29" s="1"/>
  <c r="AJ877" i="29"/>
  <c r="AK877" i="29" s="1"/>
  <c r="AJ893" i="29"/>
  <c r="AK893" i="29" s="1"/>
  <c r="AJ909" i="29"/>
  <c r="AK909" i="29" s="1"/>
  <c r="AJ925" i="29"/>
  <c r="AK925" i="29" s="1"/>
  <c r="AJ941" i="29"/>
  <c r="AK941" i="29" s="1"/>
  <c r="AJ957" i="29"/>
  <c r="AK957" i="29" s="1"/>
  <c r="AJ973" i="29"/>
  <c r="AJ989" i="29"/>
  <c r="AK989" i="29" s="1"/>
  <c r="AJ1005" i="29"/>
  <c r="AK1005" i="29" s="1"/>
  <c r="AJ1021" i="29"/>
  <c r="AK1021" i="29" s="1"/>
  <c r="AJ1037" i="29"/>
  <c r="AK1037" i="29" s="1"/>
  <c r="AJ1053" i="29"/>
  <c r="AK1053" i="29" s="1"/>
  <c r="AJ1069" i="29"/>
  <c r="AK1069" i="29" s="1"/>
  <c r="AJ1085" i="29"/>
  <c r="AJ1101" i="29"/>
  <c r="AK1101" i="29" s="1"/>
  <c r="AJ1117" i="29"/>
  <c r="AK1117" i="29" s="1"/>
  <c r="AJ1133" i="29"/>
  <c r="AK1133" i="29" s="1"/>
  <c r="AJ15" i="29"/>
  <c r="AK15" i="29" s="1"/>
  <c r="AJ439" i="29"/>
  <c r="AK439" i="29" s="1"/>
  <c r="AJ567" i="29"/>
  <c r="AJ639" i="29"/>
  <c r="AK639" i="29" s="1"/>
  <c r="AJ703" i="29"/>
  <c r="AK703" i="29" s="1"/>
  <c r="AJ738" i="29"/>
  <c r="AJ770" i="29"/>
  <c r="AJ802" i="29"/>
  <c r="AJ834" i="29"/>
  <c r="AJ866" i="29"/>
  <c r="AJ898" i="29"/>
  <c r="AJ930" i="29"/>
  <c r="AJ962" i="29"/>
  <c r="AJ994" i="29"/>
  <c r="AJ1026" i="29"/>
  <c r="AJ1058" i="29"/>
  <c r="AJ1090" i="29"/>
  <c r="AJ1122" i="29"/>
  <c r="AJ1151" i="29"/>
  <c r="AK1151" i="29" s="1"/>
  <c r="AJ1167" i="29"/>
  <c r="AK1167" i="29" s="1"/>
  <c r="AJ1183" i="29"/>
  <c r="AK1183" i="29" s="1"/>
  <c r="AJ1199" i="29"/>
  <c r="AK1199" i="29" s="1"/>
  <c r="AJ1215" i="29"/>
  <c r="AK1215" i="29" s="1"/>
  <c r="AJ1231" i="29"/>
  <c r="AK1231" i="29" s="1"/>
  <c r="AJ1247" i="29"/>
  <c r="AK1247" i="29" s="1"/>
  <c r="AJ1263" i="29"/>
  <c r="AK1263" i="29" s="1"/>
  <c r="AJ1279" i="29"/>
  <c r="AK1279" i="29" s="1"/>
  <c r="AJ1295" i="29"/>
  <c r="AK1295" i="29" s="1"/>
  <c r="AJ1311" i="29"/>
  <c r="AK1311" i="29" s="1"/>
  <c r="AJ1327" i="29"/>
  <c r="AK1327" i="29" s="1"/>
  <c r="AJ1343" i="29"/>
  <c r="AJ1359" i="29"/>
  <c r="AJ1375" i="29"/>
  <c r="AJ1391" i="29"/>
  <c r="AK1391" i="29" s="1"/>
  <c r="AJ1407" i="29"/>
  <c r="AK1407" i="29" s="1"/>
  <c r="AJ175" i="29"/>
  <c r="AJ479" i="29"/>
  <c r="AK479" i="29" s="1"/>
  <c r="AJ594" i="29"/>
  <c r="AJ658" i="29"/>
  <c r="AJ715" i="29"/>
  <c r="AK715" i="29" s="1"/>
  <c r="AJ747" i="29"/>
  <c r="AK747" i="29" s="1"/>
  <c r="AJ779" i="29"/>
  <c r="AK779" i="29" s="1"/>
  <c r="AJ811" i="29"/>
  <c r="AK811" i="29" s="1"/>
  <c r="AJ843" i="29"/>
  <c r="AJ875" i="29"/>
  <c r="AK875" i="29" s="1"/>
  <c r="AJ907" i="29"/>
  <c r="AK907" i="29" s="1"/>
  <c r="AJ939" i="29"/>
  <c r="AJ971" i="29"/>
  <c r="AK971" i="29" s="1"/>
  <c r="AJ1003" i="29"/>
  <c r="AK1003" i="29" s="1"/>
  <c r="AJ1035" i="29"/>
  <c r="AJ1067" i="29"/>
  <c r="AK1067" i="29" s="1"/>
  <c r="AJ1099" i="29"/>
  <c r="AK1099" i="29" s="1"/>
  <c r="AJ1131" i="29"/>
  <c r="AJ1156" i="29"/>
  <c r="AJ1172" i="29"/>
  <c r="AJ1188" i="29"/>
  <c r="AJ1204" i="29"/>
  <c r="AJ1220" i="29"/>
  <c r="AJ1236" i="29"/>
  <c r="AJ1252" i="29"/>
  <c r="AJ1268" i="29"/>
  <c r="AJ1284" i="29"/>
  <c r="AJ1300" i="29"/>
  <c r="AJ1316" i="29"/>
  <c r="AJ1332" i="29"/>
  <c r="AJ1348" i="29"/>
  <c r="AJ1364" i="29"/>
  <c r="AJ1380" i="29"/>
  <c r="AJ1396" i="29"/>
  <c r="AJ1412" i="29"/>
  <c r="AJ335" i="29"/>
  <c r="AJ519" i="29"/>
  <c r="AK519" i="29" s="1"/>
  <c r="AJ615" i="29"/>
  <c r="AJ679" i="29"/>
  <c r="AJ726" i="29"/>
  <c r="AJ758" i="29"/>
  <c r="AJ790" i="29"/>
  <c r="AJ822" i="29"/>
  <c r="AJ854" i="29"/>
  <c r="AJ886" i="29"/>
  <c r="AJ918" i="29"/>
  <c r="AJ950" i="29"/>
  <c r="AJ982" i="29"/>
  <c r="AJ1014" i="29"/>
  <c r="AJ1046" i="29"/>
  <c r="AJ1078" i="29"/>
  <c r="AJ1110" i="29"/>
  <c r="AJ1142" i="29"/>
  <c r="AJ1161" i="29"/>
  <c r="AK1161" i="29" s="1"/>
  <c r="AJ1177" i="29"/>
  <c r="AK1177" i="29" s="1"/>
  <c r="AJ1193" i="29"/>
  <c r="AK1193" i="29" s="1"/>
  <c r="AJ1209" i="29"/>
  <c r="AK1209" i="29" s="1"/>
  <c r="AJ1225" i="29"/>
  <c r="AJ1241" i="29"/>
  <c r="AK1241" i="29" s="1"/>
  <c r="AJ1257" i="29"/>
  <c r="AJ1273" i="29"/>
  <c r="AK1273" i="29" s="1"/>
  <c r="AJ1289" i="29"/>
  <c r="AK1289" i="29" s="1"/>
  <c r="AJ1305" i="29"/>
  <c r="AK1305" i="29" s="1"/>
  <c r="AJ1321" i="29"/>
  <c r="AK1321" i="29" s="1"/>
  <c r="AJ1337" i="29"/>
  <c r="AJ1353" i="29"/>
  <c r="AJ1369" i="29"/>
  <c r="AJ1385" i="29"/>
  <c r="AK1385" i="29" s="1"/>
  <c r="AJ1401" i="29"/>
  <c r="AJ111" i="29"/>
  <c r="AK111" i="29" s="1"/>
  <c r="AJ463" i="29"/>
  <c r="AK463" i="29" s="1"/>
  <c r="AJ586" i="29"/>
  <c r="AJ650" i="29"/>
  <c r="AJ711" i="29"/>
  <c r="AJ743" i="29"/>
  <c r="AK743" i="29" s="1"/>
  <c r="AJ775" i="29"/>
  <c r="AK775" i="29" s="1"/>
  <c r="AJ807" i="29"/>
  <c r="AK807" i="29" s="1"/>
  <c r="AJ839" i="29"/>
  <c r="AK839" i="29" s="1"/>
  <c r="AJ871" i="29"/>
  <c r="AK871" i="29" s="1"/>
  <c r="AJ935" i="29"/>
  <c r="AK935" i="29" s="1"/>
  <c r="AJ967" i="29"/>
  <c r="AK967" i="29" s="1"/>
  <c r="AJ999" i="29"/>
  <c r="AK999" i="29" s="1"/>
  <c r="AJ1063" i="29"/>
  <c r="AK1063" i="29" s="1"/>
  <c r="AJ1154" i="29"/>
  <c r="AJ1186" i="29"/>
  <c r="AJ1234" i="29"/>
  <c r="AJ1266" i="29"/>
  <c r="AJ1298" i="29"/>
  <c r="AJ1346" i="29"/>
  <c r="AJ1394" i="29"/>
  <c r="B3" i="21"/>
  <c r="D8" i="17"/>
  <c r="E8" i="17" s="1"/>
  <c r="F8" i="17" s="1"/>
  <c r="G8" i="17" s="1"/>
  <c r="H8" i="17" s="1"/>
  <c r="I8" i="17" s="1"/>
  <c r="D7" i="17"/>
  <c r="E7" i="17" s="1"/>
  <c r="F7" i="17" s="1"/>
  <c r="G7" i="17" s="1"/>
  <c r="H7" i="17" s="1"/>
  <c r="I7" i="17" s="1"/>
  <c r="J7" i="17" s="1"/>
  <c r="K7" i="17" s="1"/>
  <c r="L7" i="17" s="1"/>
  <c r="M7" i="17" s="1"/>
  <c r="N7" i="17" s="1"/>
  <c r="O7" i="17" s="1"/>
  <c r="D7" i="27"/>
  <c r="E7" i="27" s="1"/>
  <c r="F7" i="27" s="1"/>
  <c r="G7" i="27" s="1"/>
  <c r="H7" i="27" s="1"/>
  <c r="I7" i="27" s="1"/>
  <c r="P4" i="29"/>
  <c r="D4" i="29"/>
  <c r="X4" i="29"/>
  <c r="L4" i="29"/>
  <c r="T4" i="29"/>
  <c r="H4" i="29"/>
  <c r="AA4" i="29"/>
  <c r="O4" i="29"/>
  <c r="W4" i="29"/>
  <c r="K4" i="29"/>
  <c r="S4" i="29"/>
  <c r="G4" i="29"/>
  <c r="Z4" i="29"/>
  <c r="N4" i="29"/>
  <c r="V4" i="29"/>
  <c r="J4" i="29"/>
  <c r="R4" i="29"/>
  <c r="F4" i="29"/>
  <c r="Y4" i="29"/>
  <c r="M4" i="29"/>
  <c r="U4" i="29"/>
  <c r="I4" i="29"/>
  <c r="Q4" i="29"/>
  <c r="E4" i="29"/>
  <c r="D6" i="27"/>
  <c r="E6" i="27" s="1"/>
  <c r="F6" i="27" s="1"/>
  <c r="G6" i="27" s="1"/>
  <c r="H6" i="27" s="1"/>
  <c r="I6" i="27" s="1"/>
  <c r="J6" i="27" s="1"/>
  <c r="K6" i="27" s="1"/>
  <c r="L6" i="27" s="1"/>
  <c r="M6" i="27" s="1"/>
  <c r="N6" i="27" s="1"/>
  <c r="O6" i="27" s="1"/>
  <c r="R14" i="28"/>
  <c r="F14" i="28"/>
  <c r="Q14" i="27"/>
  <c r="E14" i="27"/>
  <c r="Q4" i="26"/>
  <c r="E4" i="26"/>
  <c r="V14" i="28"/>
  <c r="J14" i="28"/>
  <c r="I14" i="27"/>
  <c r="U14" i="27"/>
  <c r="U4" i="26"/>
  <c r="I4" i="26"/>
  <c r="AC14" i="28"/>
  <c r="Q14" i="28"/>
  <c r="AB14" i="27"/>
  <c r="P14" i="27"/>
  <c r="AB4" i="26"/>
  <c r="P4" i="26"/>
  <c r="Y14" i="28"/>
  <c r="M14" i="28"/>
  <c r="X14" i="27"/>
  <c r="L14" i="27"/>
  <c r="X4" i="26"/>
  <c r="L4" i="26"/>
  <c r="U14" i="28"/>
  <c r="I14" i="28"/>
  <c r="T14" i="27"/>
  <c r="H14" i="27"/>
  <c r="T4" i="26"/>
  <c r="H4" i="26"/>
  <c r="Z14" i="28"/>
  <c r="N14" i="28"/>
  <c r="Y14" i="27"/>
  <c r="M14" i="27"/>
  <c r="Y4" i="26"/>
  <c r="M4" i="26"/>
  <c r="AB14" i="28"/>
  <c r="P14" i="28"/>
  <c r="AA14" i="27"/>
  <c r="O14" i="27"/>
  <c r="AA4" i="26"/>
  <c r="O4" i="26"/>
  <c r="X14" i="28"/>
  <c r="L14" i="28"/>
  <c r="K14" i="27"/>
  <c r="W14" i="27"/>
  <c r="W4" i="26"/>
  <c r="K4" i="26"/>
  <c r="T14" i="28"/>
  <c r="H14" i="28"/>
  <c r="S14" i="27"/>
  <c r="G14" i="27"/>
  <c r="S4" i="26"/>
  <c r="G4" i="26"/>
  <c r="AA14" i="28"/>
  <c r="O14" i="28"/>
  <c r="Z14" i="27"/>
  <c r="N14" i="27"/>
  <c r="Z4" i="26"/>
  <c r="N4" i="26"/>
  <c r="U4" i="4"/>
  <c r="W14" i="28"/>
  <c r="K14" i="28"/>
  <c r="V14" i="27"/>
  <c r="J14" i="27"/>
  <c r="V4" i="26"/>
  <c r="J4" i="26"/>
  <c r="S14" i="28"/>
  <c r="G14" i="28"/>
  <c r="R14" i="27"/>
  <c r="F14" i="27"/>
  <c r="R4" i="26"/>
  <c r="F4" i="26"/>
  <c r="U14" i="21"/>
  <c r="I14" i="21"/>
  <c r="Q14" i="21"/>
  <c r="E14" i="21"/>
  <c r="Q4" i="16"/>
  <c r="P14" i="17"/>
  <c r="E4" i="16"/>
  <c r="D14" i="17"/>
  <c r="R14" i="21"/>
  <c r="F14" i="21"/>
  <c r="S14" i="21"/>
  <c r="G14" i="21"/>
  <c r="H14" i="21"/>
  <c r="T14" i="21"/>
  <c r="AB14" i="21"/>
  <c r="P14" i="21"/>
  <c r="N4" i="4"/>
  <c r="O14" i="21"/>
  <c r="AA14" i="21"/>
  <c r="Z14" i="17"/>
  <c r="AA4" i="16"/>
  <c r="O4" i="16"/>
  <c r="N14" i="17"/>
  <c r="Z14" i="21"/>
  <c r="N14" i="21"/>
  <c r="M14" i="17"/>
  <c r="N4" i="16"/>
  <c r="Z4" i="16"/>
  <c r="Y14" i="17"/>
  <c r="Y4" i="4"/>
  <c r="Y14" i="21"/>
  <c r="M14" i="21"/>
  <c r="M4" i="16"/>
  <c r="Y4" i="16"/>
  <c r="X14" i="17"/>
  <c r="L14" i="17"/>
  <c r="X14" i="21"/>
  <c r="L14" i="21"/>
  <c r="K14" i="17"/>
  <c r="X4" i="16"/>
  <c r="W14" i="17"/>
  <c r="L4" i="16"/>
  <c r="J4" i="4"/>
  <c r="W14" i="21"/>
  <c r="K14" i="21"/>
  <c r="V14" i="17"/>
  <c r="W4" i="16"/>
  <c r="J14" i="17"/>
  <c r="K4" i="16"/>
  <c r="V14" i="21"/>
  <c r="J14" i="21"/>
  <c r="J4" i="16"/>
  <c r="V4" i="16"/>
  <c r="U14" i="17"/>
  <c r="I14" i="17"/>
  <c r="R4" i="13"/>
  <c r="R7" i="13"/>
  <c r="AA14" i="17"/>
  <c r="P4" i="16"/>
  <c r="AB4" i="16"/>
  <c r="O14" i="17"/>
  <c r="E4" i="4"/>
  <c r="F4" i="16"/>
  <c r="E14" i="17"/>
  <c r="Q14" i="17"/>
  <c r="R4" i="16"/>
  <c r="R4" i="4"/>
  <c r="G4" i="16"/>
  <c r="F14" i="17"/>
  <c r="R14" i="17"/>
  <c r="S4" i="16"/>
  <c r="H14" i="17"/>
  <c r="U4" i="16"/>
  <c r="T14" i="17"/>
  <c r="I4" i="16"/>
  <c r="H4" i="16"/>
  <c r="T4" i="16"/>
  <c r="S14" i="17"/>
  <c r="G14" i="17"/>
  <c r="P4" i="6"/>
  <c r="D4" i="6"/>
  <c r="P14" i="3"/>
  <c r="E31" i="3"/>
  <c r="D14" i="3"/>
  <c r="Q31" i="3"/>
  <c r="L4" i="6"/>
  <c r="X4" i="6"/>
  <c r="Y31" i="3"/>
  <c r="X14" i="3"/>
  <c r="L14" i="3"/>
  <c r="M31" i="3"/>
  <c r="D4" i="4"/>
  <c r="X4" i="4"/>
  <c r="AA4" i="6"/>
  <c r="O4" i="6"/>
  <c r="P31" i="3"/>
  <c r="AB31" i="3"/>
  <c r="O14" i="3"/>
  <c r="AA14" i="3"/>
  <c r="W4" i="6"/>
  <c r="K4" i="6"/>
  <c r="L31" i="3"/>
  <c r="K14" i="3"/>
  <c r="W14" i="3"/>
  <c r="X31" i="3"/>
  <c r="G4" i="6"/>
  <c r="S4" i="6"/>
  <c r="T31" i="3"/>
  <c r="H31" i="3"/>
  <c r="K4" i="4"/>
  <c r="O4" i="4"/>
  <c r="N4" i="6"/>
  <c r="Z4" i="6"/>
  <c r="O31" i="3"/>
  <c r="AA31" i="3"/>
  <c r="N14" i="3"/>
  <c r="Z14" i="3"/>
  <c r="J4" i="6"/>
  <c r="V4" i="6"/>
  <c r="W31" i="3"/>
  <c r="J14" i="3"/>
  <c r="V14" i="3"/>
  <c r="K31" i="3"/>
  <c r="R4" i="6"/>
  <c r="F4" i="6"/>
  <c r="G31" i="3"/>
  <c r="R14" i="3"/>
  <c r="S31" i="3"/>
  <c r="F14" i="3"/>
  <c r="F4" i="4"/>
  <c r="L4" i="4"/>
  <c r="P4" i="4"/>
  <c r="V4" i="4"/>
  <c r="Z4" i="4"/>
  <c r="Y4" i="6"/>
  <c r="M4" i="6"/>
  <c r="Y14" i="3"/>
  <c r="N31" i="3"/>
  <c r="M14" i="3"/>
  <c r="Z31" i="3"/>
  <c r="U4" i="6"/>
  <c r="I4" i="6"/>
  <c r="U14" i="3"/>
  <c r="J31" i="3"/>
  <c r="I14" i="3"/>
  <c r="V31" i="3"/>
  <c r="E4" i="6"/>
  <c r="Q4" i="6"/>
  <c r="F31" i="3"/>
  <c r="E14" i="3"/>
  <c r="R31" i="3"/>
  <c r="Q14" i="3"/>
  <c r="I4" i="4"/>
  <c r="M4" i="4"/>
  <c r="Q4" i="4"/>
  <c r="W4" i="4"/>
  <c r="AA4" i="4"/>
  <c r="T4" i="6"/>
  <c r="H4" i="6"/>
  <c r="U31" i="3"/>
  <c r="I31" i="3"/>
  <c r="L20" i="1"/>
  <c r="I20" i="1" s="1"/>
  <c r="L21" i="1"/>
  <c r="I21" i="1" s="1"/>
  <c r="L19" i="1"/>
  <c r="I19" i="1" s="1"/>
  <c r="G14" i="3"/>
  <c r="S14" i="3"/>
  <c r="G4" i="4"/>
  <c r="S4" i="4"/>
  <c r="H4" i="4"/>
  <c r="T14" i="3"/>
  <c r="H14" i="3"/>
  <c r="B6" i="3"/>
  <c r="D6" i="3" s="1"/>
  <c r="E6" i="3" s="1"/>
  <c r="F6" i="3" s="1"/>
  <c r="G6" i="3" s="1"/>
  <c r="H6" i="3" s="1"/>
  <c r="I6" i="3" s="1"/>
  <c r="B5" i="3"/>
  <c r="D5" i="3" s="1"/>
  <c r="E5" i="3" s="1"/>
  <c r="F5" i="3" s="1"/>
  <c r="G5" i="3" s="1"/>
  <c r="H5" i="3" s="1"/>
  <c r="I5" i="3" s="1"/>
  <c r="J5" i="3" s="1"/>
  <c r="K5" i="3" s="1"/>
  <c r="L5" i="3" s="1"/>
  <c r="M5" i="3" s="1"/>
  <c r="N5" i="3" s="1"/>
  <c r="O5" i="3" s="1"/>
  <c r="L4" i="10"/>
  <c r="N12" i="10"/>
  <c r="N8" i="10"/>
  <c r="N4" i="10"/>
  <c r="L3" i="10"/>
  <c r="N11" i="10"/>
  <c r="N7" i="10"/>
  <c r="N10" i="10"/>
  <c r="M5" i="10"/>
  <c r="N3" i="10"/>
  <c r="N5" i="10"/>
  <c r="M3" i="10"/>
  <c r="N6" i="10"/>
  <c r="N9" i="10"/>
  <c r="M4" i="10"/>
  <c r="M6" i="10"/>
  <c r="L5" i="10"/>
  <c r="M7" i="10"/>
  <c r="L6" i="10"/>
  <c r="C4" i="10"/>
  <c r="F4" i="10" s="1"/>
  <c r="C6" i="10"/>
  <c r="C7" i="10"/>
  <c r="C3" i="10"/>
  <c r="F3" i="10" s="1"/>
  <c r="C5" i="10"/>
  <c r="T4" i="4"/>
  <c r="AH365" i="17" l="1"/>
  <c r="AH70" i="17"/>
  <c r="AH75" i="17"/>
  <c r="AH245" i="17"/>
  <c r="AH213" i="17"/>
  <c r="AH22" i="17"/>
  <c r="AH294" i="17"/>
  <c r="AH303" i="17"/>
  <c r="AH178" i="17"/>
  <c r="AH235" i="17"/>
  <c r="AH231" i="17"/>
  <c r="AH194" i="17"/>
  <c r="AH129" i="17"/>
  <c r="AH360" i="17"/>
  <c r="AH171" i="17"/>
  <c r="AH218" i="17"/>
  <c r="AH345" i="17"/>
  <c r="AH296" i="17"/>
  <c r="AH414" i="17"/>
  <c r="AH219" i="17"/>
  <c r="AH317" i="17"/>
  <c r="AH342" i="17"/>
  <c r="AH191" i="17"/>
  <c r="AH46" i="17"/>
  <c r="AH83" i="17"/>
  <c r="AH327" i="17"/>
  <c r="AH221" i="17"/>
  <c r="AH28" i="17"/>
  <c r="AH80" i="17"/>
  <c r="AH313" i="17"/>
  <c r="AH146" i="17"/>
  <c r="AH65" i="17"/>
  <c r="AH237" i="17"/>
  <c r="AH78" i="17"/>
  <c r="AH119" i="17"/>
  <c r="AH205" i="17"/>
  <c r="AH92" i="17"/>
  <c r="AH304" i="17"/>
  <c r="AH388" i="17"/>
  <c r="AH243" i="17"/>
  <c r="AH95" i="17"/>
  <c r="AH370" i="17"/>
  <c r="AH261" i="17"/>
  <c r="AH120" i="17"/>
  <c r="AH283" i="17"/>
  <c r="AH103" i="17"/>
  <c r="AH135" i="17"/>
  <c r="AH251" i="17"/>
  <c r="AH110" i="17"/>
  <c r="AH108" i="17"/>
  <c r="AH94" i="17"/>
  <c r="AH180" i="17"/>
  <c r="AH93" i="17"/>
  <c r="AH124" i="17"/>
  <c r="AH298" i="17"/>
  <c r="AH122" i="17"/>
  <c r="AH188" i="17"/>
  <c r="AH410" i="17"/>
  <c r="AH353" i="17"/>
  <c r="AH187" i="17"/>
  <c r="AH394" i="17"/>
  <c r="AH299" i="17"/>
  <c r="AH199" i="17"/>
  <c r="AH107" i="17"/>
  <c r="AH139" i="17"/>
  <c r="AH326" i="17"/>
  <c r="AH385" i="17"/>
  <c r="AH101" i="17"/>
  <c r="AH278" i="17"/>
  <c r="AH160" i="17"/>
  <c r="AH380" i="17"/>
  <c r="AH316" i="17"/>
  <c r="AH234" i="17"/>
  <c r="AH163" i="17"/>
  <c r="AH88" i="17"/>
  <c r="AH201" i="17"/>
  <c r="AH418" i="17"/>
  <c r="AH364" i="17"/>
  <c r="AH308" i="17"/>
  <c r="AH255" i="17"/>
  <c r="AH196" i="17"/>
  <c r="AH140" i="17"/>
  <c r="AH82" i="17"/>
  <c r="AH19" i="17"/>
  <c r="AI96" i="27"/>
  <c r="AI56" i="27"/>
  <c r="AI110" i="27"/>
  <c r="AI78" i="27"/>
  <c r="AI46" i="27"/>
  <c r="AI108" i="27"/>
  <c r="AI76" i="27"/>
  <c r="AI44" i="27"/>
  <c r="AI114" i="27"/>
  <c r="AI82" i="27"/>
  <c r="AI50" i="27"/>
  <c r="AI18" i="27"/>
  <c r="AI119" i="27"/>
  <c r="AI103" i="27"/>
  <c r="AI87" i="27"/>
  <c r="AI71" i="27"/>
  <c r="AI55" i="27"/>
  <c r="AI39" i="27"/>
  <c r="AI23" i="27"/>
  <c r="AK1036" i="29"/>
  <c r="AI113" i="27"/>
  <c r="AI97" i="27"/>
  <c r="AI65" i="27"/>
  <c r="AI49" i="27"/>
  <c r="AI33" i="27"/>
  <c r="AI17" i="27"/>
  <c r="AK1354" i="29"/>
  <c r="AK1226" i="29"/>
  <c r="AK1020" i="29"/>
  <c r="AK1314" i="29"/>
  <c r="AK1186" i="29"/>
  <c r="AK1242" i="29"/>
  <c r="AK1052" i="29"/>
  <c r="AK1257" i="29"/>
  <c r="AK1225" i="29"/>
  <c r="AK1390" i="29"/>
  <c r="AK1326" i="29"/>
  <c r="AK1294" i="29"/>
  <c r="AK1230" i="29"/>
  <c r="AK1198" i="29"/>
  <c r="AK1156" i="29"/>
  <c r="AK1092" i="29"/>
  <c r="AK1028" i="29"/>
  <c r="AK1356" i="29"/>
  <c r="AK1324" i="29"/>
  <c r="AK1308" i="29"/>
  <c r="AK1292" i="29"/>
  <c r="AK1276" i="29"/>
  <c r="AK1244" i="29"/>
  <c r="AK1228" i="29"/>
  <c r="AK1212" i="29"/>
  <c r="AK1196" i="29"/>
  <c r="AK1180" i="29"/>
  <c r="AK1152" i="29"/>
  <c r="AK1088" i="29"/>
  <c r="AK1056" i="29"/>
  <c r="AK1024" i="29"/>
  <c r="AK1162" i="29"/>
  <c r="AK1146" i="29"/>
  <c r="AK1130" i="29"/>
  <c r="AK1114" i="29"/>
  <c r="AK1098" i="29"/>
  <c r="AK1082" i="29"/>
  <c r="AK1066" i="29"/>
  <c r="AK1050" i="29"/>
  <c r="AK1018" i="29"/>
  <c r="AK1002" i="29"/>
  <c r="AK986" i="29"/>
  <c r="AK970" i="29"/>
  <c r="AK954" i="29"/>
  <c r="AK938" i="29"/>
  <c r="AK922" i="29"/>
  <c r="AK906" i="29"/>
  <c r="AK890" i="29"/>
  <c r="AK858" i="29"/>
  <c r="AK842" i="29"/>
  <c r="AK826" i="29"/>
  <c r="AK810" i="29"/>
  <c r="AK794" i="29"/>
  <c r="AK778" i="29"/>
  <c r="AK762" i="29"/>
  <c r="AK746" i="29"/>
  <c r="AK1012" i="29"/>
  <c r="AK996" i="29"/>
  <c r="AK980" i="29"/>
  <c r="AK964" i="29"/>
  <c r="AK932" i="29"/>
  <c r="AK916" i="29"/>
  <c r="AK900" i="29"/>
  <c r="AK884" i="29"/>
  <c r="AK868" i="29"/>
  <c r="AK852" i="29"/>
  <c r="AK836" i="29"/>
  <c r="AK820" i="29"/>
  <c r="AK804" i="29"/>
  <c r="AK788" i="29"/>
  <c r="AK772" i="29"/>
  <c r="AK756" i="29"/>
  <c r="AK730" i="29"/>
  <c r="AK714" i="29"/>
  <c r="AK698" i="29"/>
  <c r="AK602" i="29"/>
  <c r="AK586" i="29"/>
  <c r="AK568" i="29"/>
  <c r="AK536" i="29"/>
  <c r="AK504" i="29"/>
  <c r="AK472" i="29"/>
  <c r="AK408" i="29"/>
  <c r="AK376" i="29"/>
  <c r="AK278" i="29"/>
  <c r="AK206" i="29"/>
  <c r="AK78" i="29"/>
  <c r="AK106" i="29"/>
  <c r="AK740" i="29"/>
  <c r="AK724" i="29"/>
  <c r="AK692" i="29"/>
  <c r="AK628" i="29"/>
  <c r="AK612" i="29"/>
  <c r="AK596" i="29"/>
  <c r="AK580" i="29"/>
  <c r="AK556" i="29"/>
  <c r="AK524" i="29"/>
  <c r="AK492" i="29"/>
  <c r="AK460" i="29"/>
  <c r="AK396" i="29"/>
  <c r="AK318" i="29"/>
  <c r="AK254" i="29"/>
  <c r="AK158" i="29"/>
  <c r="AK30" i="29"/>
  <c r="AK154" i="29"/>
  <c r="AK26" i="29"/>
  <c r="AK558" i="29"/>
  <c r="AK542" i="29"/>
  <c r="AK526" i="29"/>
  <c r="AK510" i="29"/>
  <c r="AK494" i="29"/>
  <c r="AK478" i="29"/>
  <c r="AK462" i="29"/>
  <c r="AK446" i="29"/>
  <c r="AK414" i="29"/>
  <c r="AK398" i="29"/>
  <c r="AK382" i="29"/>
  <c r="AK350" i="29"/>
  <c r="AK290" i="29"/>
  <c r="AK258" i="29"/>
  <c r="AK166" i="29"/>
  <c r="AK102" i="29"/>
  <c r="AK38" i="29"/>
  <c r="AK178" i="29"/>
  <c r="AK114" i="29"/>
  <c r="AK50" i="29"/>
  <c r="AK6" i="29"/>
  <c r="AK340" i="29"/>
  <c r="AK324" i="29"/>
  <c r="AK308" i="29"/>
  <c r="AK292" i="29"/>
  <c r="AK276" i="29"/>
  <c r="AK244" i="29"/>
  <c r="AK228" i="29"/>
  <c r="AK212" i="29"/>
  <c r="AK196" i="29"/>
  <c r="AK180" i="29"/>
  <c r="AK164" i="29"/>
  <c r="AK148" i="29"/>
  <c r="AK132" i="29"/>
  <c r="AK100" i="29"/>
  <c r="AK84" i="29"/>
  <c r="AK68" i="29"/>
  <c r="AK52" i="29"/>
  <c r="AK36" i="29"/>
  <c r="AK20" i="29"/>
  <c r="AC418" i="17"/>
  <c r="AC419" i="17"/>
  <c r="AC420" i="17"/>
  <c r="AD420" i="17" s="1"/>
  <c r="AB134" i="6"/>
  <c r="AB128" i="6"/>
  <c r="AB118" i="6"/>
  <c r="AB124" i="6"/>
  <c r="AB119" i="6"/>
  <c r="AB113" i="6"/>
  <c r="AB135" i="6"/>
  <c r="AB129" i="6"/>
  <c r="AB104" i="6"/>
  <c r="AB132" i="6"/>
  <c r="AB116" i="6"/>
  <c r="AB126" i="6"/>
  <c r="AB125" i="6"/>
  <c r="AB133" i="6"/>
  <c r="AB111" i="6"/>
  <c r="AB107" i="6"/>
  <c r="AB106" i="6"/>
  <c r="AB122" i="6"/>
  <c r="AB120" i="6"/>
  <c r="AB112" i="6"/>
  <c r="AB127" i="6"/>
  <c r="AB115" i="6"/>
  <c r="AB121" i="6"/>
  <c r="AB102" i="6"/>
  <c r="AB114" i="6"/>
  <c r="AB100" i="6"/>
  <c r="AB123" i="6"/>
  <c r="AB109" i="6"/>
  <c r="AB131" i="6"/>
  <c r="AB117" i="6"/>
  <c r="AD57" i="26"/>
  <c r="AD61" i="26"/>
  <c r="AD65" i="26"/>
  <c r="AD69" i="26"/>
  <c r="AD58" i="26"/>
  <c r="AD62" i="26"/>
  <c r="AD66" i="26"/>
  <c r="AD70" i="26"/>
  <c r="AD55" i="26"/>
  <c r="AD59" i="26"/>
  <c r="AD63" i="26"/>
  <c r="AD67" i="26"/>
  <c r="AD56" i="26"/>
  <c r="AD60" i="26"/>
  <c r="AD64" i="26"/>
  <c r="AD68" i="26"/>
  <c r="AC392" i="4"/>
  <c r="AC405" i="4"/>
  <c r="AC400" i="4"/>
  <c r="AC394" i="4"/>
  <c r="AC401" i="4"/>
  <c r="AC399" i="4"/>
  <c r="AC395" i="4"/>
  <c r="AC396" i="4"/>
  <c r="AC402" i="4"/>
  <c r="AC382" i="4"/>
  <c r="AC386" i="4"/>
  <c r="AC384" i="4"/>
  <c r="AC404" i="4"/>
  <c r="AC398" i="4"/>
  <c r="AC383" i="4"/>
  <c r="AC397" i="4"/>
  <c r="AC403" i="4"/>
  <c r="AC409" i="4"/>
  <c r="AC408" i="4"/>
  <c r="AC388" i="4"/>
  <c r="AC406" i="4"/>
  <c r="AC410" i="4"/>
  <c r="AC391" i="4"/>
  <c r="AC378" i="4"/>
  <c r="AC389" i="4"/>
  <c r="AC393" i="4"/>
  <c r="AC390" i="4"/>
  <c r="AC407" i="4"/>
  <c r="AC385" i="4"/>
  <c r="AB396" i="4"/>
  <c r="AE396" i="4" s="1"/>
  <c r="AB402" i="4"/>
  <c r="AE402" i="4" s="1"/>
  <c r="AB382" i="4"/>
  <c r="AB386" i="4"/>
  <c r="AE386" i="4" s="1"/>
  <c r="AB384" i="4"/>
  <c r="AE384" i="4" s="1"/>
  <c r="AB404" i="4"/>
  <c r="AE404" i="4" s="1"/>
  <c r="AB398" i="4"/>
  <c r="AB383" i="4"/>
  <c r="AE383" i="4" s="1"/>
  <c r="AB397" i="4"/>
  <c r="AE397" i="4" s="1"/>
  <c r="AB403" i="4"/>
  <c r="AE403" i="4" s="1"/>
  <c r="AB409" i="4"/>
  <c r="AB408" i="4"/>
  <c r="AE408" i="4" s="1"/>
  <c r="AB388" i="4"/>
  <c r="AE388" i="4" s="1"/>
  <c r="AB406" i="4"/>
  <c r="AE406" i="4" s="1"/>
  <c r="AB410" i="4"/>
  <c r="AB391" i="4"/>
  <c r="AE391" i="4" s="1"/>
  <c r="AB378" i="4"/>
  <c r="AE378" i="4" s="1"/>
  <c r="AB389" i="4"/>
  <c r="AE389" i="4" s="1"/>
  <c r="AB393" i="4"/>
  <c r="AB390" i="4"/>
  <c r="AE390" i="4" s="1"/>
  <c r="AB407" i="4"/>
  <c r="AE407" i="4" s="1"/>
  <c r="AB385" i="4"/>
  <c r="AE385" i="4" s="1"/>
  <c r="AB392" i="4"/>
  <c r="AE392" i="4" s="1"/>
  <c r="AB405" i="4"/>
  <c r="AB400" i="4"/>
  <c r="AE400" i="4" s="1"/>
  <c r="AB394" i="4"/>
  <c r="AE394" i="4" s="1"/>
  <c r="AB401" i="4"/>
  <c r="AE401" i="4" s="1"/>
  <c r="AB399" i="4"/>
  <c r="AB395" i="4"/>
  <c r="AE395" i="4" s="1"/>
  <c r="AC106" i="6"/>
  <c r="AD106" i="6" s="1"/>
  <c r="AC122" i="6"/>
  <c r="AD122" i="6" s="1"/>
  <c r="AC120" i="6"/>
  <c r="AD120" i="6" s="1"/>
  <c r="AC112" i="6"/>
  <c r="AD112" i="6" s="1"/>
  <c r="AC127" i="6"/>
  <c r="AD127" i="6" s="1"/>
  <c r="AC115" i="6"/>
  <c r="AD115" i="6" s="1"/>
  <c r="AC121" i="6"/>
  <c r="AD121" i="6" s="1"/>
  <c r="AC102" i="6"/>
  <c r="AD102" i="6" s="1"/>
  <c r="AC114" i="6"/>
  <c r="AD114" i="6" s="1"/>
  <c r="AC100" i="6"/>
  <c r="AD100" i="6" s="1"/>
  <c r="AC123" i="6"/>
  <c r="AD123" i="6" s="1"/>
  <c r="AC109" i="6"/>
  <c r="AD109" i="6" s="1"/>
  <c r="AC131" i="6"/>
  <c r="AD131" i="6" s="1"/>
  <c r="AC117" i="6"/>
  <c r="AD117" i="6" s="1"/>
  <c r="AC134" i="6"/>
  <c r="AD134" i="6" s="1"/>
  <c r="AC128" i="6"/>
  <c r="AD128" i="6" s="1"/>
  <c r="AC118" i="6"/>
  <c r="AD118" i="6" s="1"/>
  <c r="AC124" i="6"/>
  <c r="AC119" i="6"/>
  <c r="AD119" i="6" s="1"/>
  <c r="AC113" i="6"/>
  <c r="AD113" i="6" s="1"/>
  <c r="AC135" i="6"/>
  <c r="AD135" i="6" s="1"/>
  <c r="AC129" i="6"/>
  <c r="AC104" i="6"/>
  <c r="AD104" i="6" s="1"/>
  <c r="AC132" i="6"/>
  <c r="AD132" i="6" s="1"/>
  <c r="AC116" i="6"/>
  <c r="AD116" i="6" s="1"/>
  <c r="AC126" i="6"/>
  <c r="AC125" i="6"/>
  <c r="AD125" i="6" s="1"/>
  <c r="AC133" i="6"/>
  <c r="AD133" i="6" s="1"/>
  <c r="AC111" i="6"/>
  <c r="AD111" i="6" s="1"/>
  <c r="AC107" i="6"/>
  <c r="AB418" i="17"/>
  <c r="AE418" i="17" s="1"/>
  <c r="AB419" i="17"/>
  <c r="AE419" i="17" s="1"/>
  <c r="AB420" i="17"/>
  <c r="AE57" i="26"/>
  <c r="AF57" i="26" s="1"/>
  <c r="AE61" i="26"/>
  <c r="AE65" i="26"/>
  <c r="AF65" i="26" s="1"/>
  <c r="AE69" i="26"/>
  <c r="AE58" i="26"/>
  <c r="AF58" i="26" s="1"/>
  <c r="AE62" i="26"/>
  <c r="AE66" i="26"/>
  <c r="AF66" i="26" s="1"/>
  <c r="AE70" i="26"/>
  <c r="AE55" i="26"/>
  <c r="AF55" i="26" s="1"/>
  <c r="AE59" i="26"/>
  <c r="AE63" i="26"/>
  <c r="AF63" i="26" s="1"/>
  <c r="AE67" i="26"/>
  <c r="AE56" i="26"/>
  <c r="AF56" i="26" s="1"/>
  <c r="AE60" i="26"/>
  <c r="AE64" i="26"/>
  <c r="AF64" i="26" s="1"/>
  <c r="AE68" i="26"/>
  <c r="AH27" i="17"/>
  <c r="AH403" i="17"/>
  <c r="AH310" i="17"/>
  <c r="AH350" i="17"/>
  <c r="AH412" i="17"/>
  <c r="AH189" i="17"/>
  <c r="AH51" i="17"/>
  <c r="AH127" i="17"/>
  <c r="AH329" i="17"/>
  <c r="AH45" i="17"/>
  <c r="AH258" i="17"/>
  <c r="AH62" i="17"/>
  <c r="AH288" i="17"/>
  <c r="AH112" i="17"/>
  <c r="AH357" i="17"/>
  <c r="AH208" i="17"/>
  <c r="AH61" i="17"/>
  <c r="AH162" i="17"/>
  <c r="AH341" i="17"/>
  <c r="AH233" i="17"/>
  <c r="AH60" i="17"/>
  <c r="AH397" i="17"/>
  <c r="AH49" i="17"/>
  <c r="AH48" i="17"/>
  <c r="AH74" i="17"/>
  <c r="AH64" i="17"/>
  <c r="AH359" i="17"/>
  <c r="AH254" i="17"/>
  <c r="AH164" i="17"/>
  <c r="AH77" i="17"/>
  <c r="AH347" i="17"/>
  <c r="AH34" i="17"/>
  <c r="AH420" i="17"/>
  <c r="AH281" i="17"/>
  <c r="AH202" i="17"/>
  <c r="AH115" i="17"/>
  <c r="AH395" i="17"/>
  <c r="AH335" i="17"/>
  <c r="AH173" i="17"/>
  <c r="AH378" i="17"/>
  <c r="AH265" i="17"/>
  <c r="AH89" i="17"/>
  <c r="AH417" i="17"/>
  <c r="AH109" i="17"/>
  <c r="AH343" i="17"/>
  <c r="AH253" i="17"/>
  <c r="AH167" i="17"/>
  <c r="AH100" i="17"/>
  <c r="AH367" i="17"/>
  <c r="AH297" i="17"/>
  <c r="AH215" i="17"/>
  <c r="AH141" i="17"/>
  <c r="AH72" i="17"/>
  <c r="AH328" i="17"/>
  <c r="AH182" i="17"/>
  <c r="AH404" i="17"/>
  <c r="AH349" i="17"/>
  <c r="AH292" i="17"/>
  <c r="AH241" i="17"/>
  <c r="AH185" i="17"/>
  <c r="AH125" i="17"/>
  <c r="AH68" i="17"/>
  <c r="AI24" i="27"/>
  <c r="AI48" i="27"/>
  <c r="AI72" i="27"/>
  <c r="AI102" i="27"/>
  <c r="AI70" i="27"/>
  <c r="AI38" i="27"/>
  <c r="AI100" i="27"/>
  <c r="AI68" i="27"/>
  <c r="AI36" i="27"/>
  <c r="AI106" i="27"/>
  <c r="AI74" i="27"/>
  <c r="AI42" i="27"/>
  <c r="AI115" i="27"/>
  <c r="AI99" i="27"/>
  <c r="AI83" i="27"/>
  <c r="AI67" i="27"/>
  <c r="AI51" i="27"/>
  <c r="AI35" i="27"/>
  <c r="AI19" i="27"/>
  <c r="AK1330" i="29"/>
  <c r="AI109" i="27"/>
  <c r="AI93" i="27"/>
  <c r="AI77" i="27"/>
  <c r="AI61" i="27"/>
  <c r="AI45" i="27"/>
  <c r="AI29" i="27"/>
  <c r="AK1298" i="29"/>
  <c r="AK1194" i="29"/>
  <c r="AK1282" i="29"/>
  <c r="AK1338" i="29"/>
  <c r="AK1210" i="29"/>
  <c r="AK1350" i="29"/>
  <c r="AK1318" i="29"/>
  <c r="AK1286" i="29"/>
  <c r="AK1254" i="29"/>
  <c r="AK1222" i="29"/>
  <c r="AK1190" i="29"/>
  <c r="AK1140" i="29"/>
  <c r="AK1076" i="29"/>
  <c r="AK1384" i="29"/>
  <c r="AK1352" i="29"/>
  <c r="AK1320" i="29"/>
  <c r="AK1304" i="29"/>
  <c r="AK1288" i="29"/>
  <c r="AK1272" i="29"/>
  <c r="AK1256" i="29"/>
  <c r="AK1240" i="29"/>
  <c r="AK1224" i="29"/>
  <c r="AK1208" i="29"/>
  <c r="AK1192" i="29"/>
  <c r="AK1176" i="29"/>
  <c r="AK1144" i="29"/>
  <c r="AK1112" i="29"/>
  <c r="AK1080" i="29"/>
  <c r="AK1319" i="29"/>
  <c r="AK1174" i="29"/>
  <c r="AK1158" i="29"/>
  <c r="AK1142" i="29"/>
  <c r="AK1126" i="29"/>
  <c r="AK1110" i="29"/>
  <c r="AK1094" i="29"/>
  <c r="AK1078" i="29"/>
  <c r="AK1062" i="29"/>
  <c r="AK1046" i="29"/>
  <c r="AK1030" i="29"/>
  <c r="AK1014" i="29"/>
  <c r="AK998" i="29"/>
  <c r="AK982" i="29"/>
  <c r="AK966" i="29"/>
  <c r="AK950" i="29"/>
  <c r="AK934" i="29"/>
  <c r="AK918" i="29"/>
  <c r="AK902" i="29"/>
  <c r="AK886" i="29"/>
  <c r="AK870" i="29"/>
  <c r="AK854" i="29"/>
  <c r="AK838" i="29"/>
  <c r="AK822" i="29"/>
  <c r="AK806" i="29"/>
  <c r="AK790" i="29"/>
  <c r="AK758" i="29"/>
  <c r="AK992" i="29"/>
  <c r="AK976" i="29"/>
  <c r="AK960" i="29"/>
  <c r="AK944" i="29"/>
  <c r="AK928" i="29"/>
  <c r="AK912" i="29"/>
  <c r="AK896" i="29"/>
  <c r="AK880" i="29"/>
  <c r="AK864" i="29"/>
  <c r="AK848" i="29"/>
  <c r="AK832" i="29"/>
  <c r="AK800" i="29"/>
  <c r="AK784" i="29"/>
  <c r="AK768" i="29"/>
  <c r="AK752" i="29"/>
  <c r="AK742" i="29"/>
  <c r="AK726" i="29"/>
  <c r="AK694" i="29"/>
  <c r="AK678" i="29"/>
  <c r="AK630" i="29"/>
  <c r="AK614" i="29"/>
  <c r="AK582" i="29"/>
  <c r="AK528" i="29"/>
  <c r="AK496" i="29"/>
  <c r="AK464" i="29"/>
  <c r="AK432" i="29"/>
  <c r="AK400" i="29"/>
  <c r="AK368" i="29"/>
  <c r="AK326" i="29"/>
  <c r="AK262" i="29"/>
  <c r="AK174" i="29"/>
  <c r="AK46" i="29"/>
  <c r="AK202" i="29"/>
  <c r="AK74" i="29"/>
  <c r="AK736" i="29"/>
  <c r="AK704" i="29"/>
  <c r="AK608" i="29"/>
  <c r="AK592" i="29"/>
  <c r="AK576" i="29"/>
  <c r="AK548" i="29"/>
  <c r="AK516" i="29"/>
  <c r="AK484" i="29"/>
  <c r="AK452" i="29"/>
  <c r="AK420" i="29"/>
  <c r="AK388" i="29"/>
  <c r="AK356" i="29"/>
  <c r="AK302" i="29"/>
  <c r="AK238" i="29"/>
  <c r="AK126" i="29"/>
  <c r="AK122" i="29"/>
  <c r="AK570" i="29"/>
  <c r="AK554" i="29"/>
  <c r="AK522" i="29"/>
  <c r="AK506" i="29"/>
  <c r="AK490" i="29"/>
  <c r="AK474" i="29"/>
  <c r="AK442" i="29"/>
  <c r="AK410" i="29"/>
  <c r="AK394" i="29"/>
  <c r="AK378" i="29"/>
  <c r="AK362" i="29"/>
  <c r="AK314" i="29"/>
  <c r="AK250" i="29"/>
  <c r="AK214" i="29"/>
  <c r="AK150" i="29"/>
  <c r="AK86" i="29"/>
  <c r="AK22" i="29"/>
  <c r="AK162" i="29"/>
  <c r="AK98" i="29"/>
  <c r="AK34" i="29"/>
  <c r="AK336" i="29"/>
  <c r="AK320" i="29"/>
  <c r="AK304" i="29"/>
  <c r="AK288" i="29"/>
  <c r="AK240" i="29"/>
  <c r="AK208" i="29"/>
  <c r="AK176" i="29"/>
  <c r="AK160" i="29"/>
  <c r="AK144" i="29"/>
  <c r="AK128" i="29"/>
  <c r="AK112" i="29"/>
  <c r="AK96" i="29"/>
  <c r="AK80" i="29"/>
  <c r="AK64" i="29"/>
  <c r="AK48" i="29"/>
  <c r="AK32" i="29"/>
  <c r="AK16" i="29"/>
  <c r="AH344" i="17"/>
  <c r="AH306" i="17"/>
  <c r="AH102" i="17"/>
  <c r="AH411" i="17"/>
  <c r="AH405" i="17"/>
  <c r="AH257" i="17"/>
  <c r="AH117" i="17"/>
  <c r="AH262" i="17"/>
  <c r="AH383" i="17"/>
  <c r="AH270" i="17"/>
  <c r="AH172" i="17"/>
  <c r="AH408" i="17"/>
  <c r="AH282" i="17"/>
  <c r="AH216" i="17"/>
  <c r="AH320" i="17"/>
  <c r="AH290" i="17"/>
  <c r="AH409" i="17"/>
  <c r="AH210" i="17"/>
  <c r="AH355" i="17"/>
  <c r="AH118" i="17"/>
  <c r="AH203" i="17"/>
  <c r="AH323" i="17"/>
  <c r="AH170" i="17"/>
  <c r="AH24" i="17"/>
  <c r="AH31" i="17"/>
  <c r="AH315" i="17"/>
  <c r="AH207" i="17"/>
  <c r="AH35" i="17"/>
  <c r="AH305" i="17"/>
  <c r="AH154" i="17"/>
  <c r="AH376" i="17"/>
  <c r="AH161" i="17"/>
  <c r="AH44" i="17"/>
  <c r="AH30" i="17"/>
  <c r="AI64" i="27"/>
  <c r="AI32" i="27"/>
  <c r="AH232" i="17"/>
  <c r="AH136" i="17"/>
  <c r="AH295" i="17"/>
  <c r="AH33" i="17"/>
  <c r="AH71" i="17"/>
  <c r="AH379" i="17"/>
  <c r="AH325" i="17"/>
  <c r="AH217" i="17"/>
  <c r="AH159" i="17"/>
  <c r="AH352" i="17"/>
  <c r="AH158" i="17"/>
  <c r="AH73" i="17"/>
  <c r="AH339" i="17"/>
  <c r="AH29" i="17"/>
  <c r="AH250" i="17"/>
  <c r="AH50" i="17"/>
  <c r="AH400" i="17"/>
  <c r="AH419" i="17"/>
  <c r="AH351" i="17"/>
  <c r="AH277" i="17"/>
  <c r="AH197" i="17"/>
  <c r="AH126" i="17"/>
  <c r="AH54" i="17"/>
  <c r="AH273" i="17"/>
  <c r="AH98" i="17"/>
  <c r="AH391" i="17"/>
  <c r="AH333" i="17"/>
  <c r="AH276" i="17"/>
  <c r="AH169" i="17"/>
  <c r="AH114" i="17"/>
  <c r="AH52" i="17"/>
  <c r="AI16" i="27"/>
  <c r="AI40" i="27"/>
  <c r="AI94" i="27"/>
  <c r="AI62" i="27"/>
  <c r="AI30" i="27"/>
  <c r="AI92" i="27"/>
  <c r="AI60" i="27"/>
  <c r="AI28" i="27"/>
  <c r="AI66" i="27"/>
  <c r="AI34" i="27"/>
  <c r="AI111" i="27"/>
  <c r="AI95" i="27"/>
  <c r="AI79" i="27"/>
  <c r="AI63" i="27"/>
  <c r="AI47" i="27"/>
  <c r="AI31" i="27"/>
  <c r="AK1362" i="29"/>
  <c r="AK1202" i="29"/>
  <c r="AI105" i="27"/>
  <c r="AI89" i="27"/>
  <c r="AI73" i="27"/>
  <c r="AI57" i="27"/>
  <c r="AI41" i="27"/>
  <c r="AI25" i="27"/>
  <c r="AK1164" i="29"/>
  <c r="AK1290" i="29"/>
  <c r="AK1148" i="29"/>
  <c r="AK1250" i="29"/>
  <c r="AK1306" i="29"/>
  <c r="AK1178" i="29"/>
  <c r="AK1406" i="29"/>
  <c r="AK1374" i="29"/>
  <c r="AK1310" i="29"/>
  <c r="AK1278" i="29"/>
  <c r="AK1246" i="29"/>
  <c r="AK1214" i="29"/>
  <c r="AK1182" i="29"/>
  <c r="AK1124" i="29"/>
  <c r="AK1060" i="29"/>
  <c r="AK1396" i="29"/>
  <c r="AK1348" i="29"/>
  <c r="AK1332" i="29"/>
  <c r="AK1300" i="29"/>
  <c r="AK1284" i="29"/>
  <c r="AK1268" i="29"/>
  <c r="AK1252" i="29"/>
  <c r="AK1236" i="29"/>
  <c r="AK1220" i="29"/>
  <c r="AK1204" i="29"/>
  <c r="AK1168" i="29"/>
  <c r="AK1104" i="29"/>
  <c r="AK1072" i="29"/>
  <c r="AK1040" i="29"/>
  <c r="AK1154" i="29"/>
  <c r="AK1122" i="29"/>
  <c r="AK1106" i="29"/>
  <c r="AK1090" i="29"/>
  <c r="AK1074" i="29"/>
  <c r="AK1058" i="29"/>
  <c r="AK1042" i="29"/>
  <c r="AK1026" i="29"/>
  <c r="AK978" i="29"/>
  <c r="AK962" i="29"/>
  <c r="AK946" i="29"/>
  <c r="AK914" i="29"/>
  <c r="AK898" i="29"/>
  <c r="AK882" i="29"/>
  <c r="AK866" i="29"/>
  <c r="AK850" i="29"/>
  <c r="AK834" i="29"/>
  <c r="AK818" i="29"/>
  <c r="AK802" i="29"/>
  <c r="AK786" i="29"/>
  <c r="AK770" i="29"/>
  <c r="AK754" i="29"/>
  <c r="AK1004" i="29"/>
  <c r="AK972" i="29"/>
  <c r="AK940" i="29"/>
  <c r="AK924" i="29"/>
  <c r="AK908" i="29"/>
  <c r="AK892" i="29"/>
  <c r="AK876" i="29"/>
  <c r="AK828" i="29"/>
  <c r="AK812" i="29"/>
  <c r="AK796" i="29"/>
  <c r="AK780" i="29"/>
  <c r="AK764" i="29"/>
  <c r="AK748" i="29"/>
  <c r="AK738" i="29"/>
  <c r="AK626" i="29"/>
  <c r="AK610" i="29"/>
  <c r="AK594" i="29"/>
  <c r="AK578" i="29"/>
  <c r="AK552" i="29"/>
  <c r="AK520" i="29"/>
  <c r="AK488" i="29"/>
  <c r="AK456" i="29"/>
  <c r="AK424" i="29"/>
  <c r="AK392" i="29"/>
  <c r="AK360" i="29"/>
  <c r="AK310" i="29"/>
  <c r="AK246" i="29"/>
  <c r="AK142" i="29"/>
  <c r="AK14" i="29"/>
  <c r="AK732" i="29"/>
  <c r="AK716" i="29"/>
  <c r="AK636" i="29"/>
  <c r="AK620" i="29"/>
  <c r="AK604" i="29"/>
  <c r="AK588" i="29"/>
  <c r="AK540" i="29"/>
  <c r="AK508" i="29"/>
  <c r="AK476" i="29"/>
  <c r="AK444" i="29"/>
  <c r="AK380" i="29"/>
  <c r="AK286" i="29"/>
  <c r="AK222" i="29"/>
  <c r="AK94" i="29"/>
  <c r="AK90" i="29"/>
  <c r="AK550" i="29"/>
  <c r="AK534" i="29"/>
  <c r="AK518" i="29"/>
  <c r="AK502" i="29"/>
  <c r="AK470" i="29"/>
  <c r="AK454" i="29"/>
  <c r="AK438" i="29"/>
  <c r="AK422" i="29"/>
  <c r="AK406" i="29"/>
  <c r="AK390" i="29"/>
  <c r="AK374" i="29"/>
  <c r="AK358" i="29"/>
  <c r="AK338" i="29"/>
  <c r="AK306" i="29"/>
  <c r="AK274" i="29"/>
  <c r="AK242" i="29"/>
  <c r="AK198" i="29"/>
  <c r="AK134" i="29"/>
  <c r="AK70" i="29"/>
  <c r="AK210" i="29"/>
  <c r="AK146" i="29"/>
  <c r="AK82" i="29"/>
  <c r="AK18" i="29"/>
  <c r="AK332" i="29"/>
  <c r="AK316" i="29"/>
  <c r="AK300" i="29"/>
  <c r="AK284" i="29"/>
  <c r="AK252" i="29"/>
  <c r="AK236" i="29"/>
  <c r="AK220" i="29"/>
  <c r="AK188" i="29"/>
  <c r="AK172" i="29"/>
  <c r="AK156" i="29"/>
  <c r="AK140" i="29"/>
  <c r="AK124" i="29"/>
  <c r="AK108" i="29"/>
  <c r="AK60" i="29"/>
  <c r="AK44" i="29"/>
  <c r="AK28" i="29"/>
  <c r="AK12" i="29"/>
  <c r="AH279" i="17"/>
  <c r="AH96" i="17"/>
  <c r="AH131" i="17"/>
  <c r="AH372" i="17"/>
  <c r="AH186" i="17"/>
  <c r="AH374" i="17"/>
  <c r="AH224" i="17"/>
  <c r="AH79" i="17"/>
  <c r="AH190" i="17"/>
  <c r="AH356" i="17"/>
  <c r="AH248" i="17"/>
  <c r="AH90" i="17"/>
  <c r="AH318" i="17"/>
  <c r="AH247" i="17"/>
  <c r="AH271" i="17"/>
  <c r="AH337" i="17"/>
  <c r="AH392" i="17"/>
  <c r="AH99" i="17"/>
  <c r="AH230" i="17"/>
  <c r="AH263" i="17"/>
  <c r="AH137" i="17"/>
  <c r="AH363" i="17"/>
  <c r="AH168" i="17"/>
  <c r="AH393" i="17"/>
  <c r="AH204" i="17"/>
  <c r="AH69" i="17"/>
  <c r="AH42" i="17"/>
  <c r="AH134" i="17"/>
  <c r="AH309" i="17"/>
  <c r="AH399" i="17"/>
  <c r="AH284" i="17"/>
  <c r="AH177" i="17"/>
  <c r="AH348" i="17"/>
  <c r="AH149" i="17"/>
  <c r="AH324" i="17"/>
  <c r="AH264" i="17"/>
  <c r="AH272" i="17"/>
  <c r="AH133" i="17"/>
  <c r="AH123" i="17"/>
  <c r="AH398" i="17"/>
  <c r="AH307" i="17"/>
  <c r="AH206" i="17"/>
  <c r="AH113" i="17"/>
  <c r="AH148" i="17"/>
  <c r="AH238" i="17"/>
  <c r="AH166" i="17"/>
  <c r="AH20" i="17"/>
  <c r="AH212" i="17"/>
  <c r="AH366" i="17"/>
  <c r="AH311" i="17"/>
  <c r="AH200" i="17"/>
  <c r="AH330" i="17"/>
  <c r="AH269" i="17"/>
  <c r="AH368" i="17"/>
  <c r="AH21" i="17"/>
  <c r="AH175" i="17"/>
  <c r="AH362" i="17"/>
  <c r="AH239" i="17"/>
  <c r="AH396" i="17"/>
  <c r="AH334" i="17"/>
  <c r="AH249" i="17"/>
  <c r="AH179" i="17"/>
  <c r="AH105" i="17"/>
  <c r="AH37" i="17"/>
  <c r="AH242" i="17"/>
  <c r="AH375" i="17"/>
  <c r="AH322" i="17"/>
  <c r="AH266" i="17"/>
  <c r="AH214" i="17"/>
  <c r="AH155" i="17"/>
  <c r="AH97" i="17"/>
  <c r="AH36" i="17"/>
  <c r="AI88" i="27"/>
  <c r="AI112" i="27"/>
  <c r="AI118" i="27"/>
  <c r="AI86" i="27"/>
  <c r="AI54" i="27"/>
  <c r="AI22" i="27"/>
  <c r="AI116" i="27"/>
  <c r="AI84" i="27"/>
  <c r="AI52" i="27"/>
  <c r="AI20" i="27"/>
  <c r="AI90" i="27"/>
  <c r="AI58" i="27"/>
  <c r="AI26" i="27"/>
  <c r="AK1100" i="29"/>
  <c r="AI107" i="27"/>
  <c r="AI91" i="27"/>
  <c r="AI75" i="27"/>
  <c r="AI59" i="27"/>
  <c r="AI43" i="27"/>
  <c r="AI27" i="27"/>
  <c r="AK1234" i="29"/>
  <c r="AI117" i="27"/>
  <c r="AI101" i="27"/>
  <c r="AI85" i="27"/>
  <c r="AI69" i="27"/>
  <c r="AI53" i="27"/>
  <c r="AI37" i="27"/>
  <c r="AI21" i="27"/>
  <c r="AK1258" i="29"/>
  <c r="AK1084" i="29"/>
  <c r="AK1218" i="29"/>
  <c r="AK1274" i="29"/>
  <c r="AK1116" i="29"/>
  <c r="AK1334" i="29"/>
  <c r="AK1302" i="29"/>
  <c r="AK1270" i="29"/>
  <c r="AK1238" i="29"/>
  <c r="AK1206" i="29"/>
  <c r="AK1172" i="29"/>
  <c r="AK1108" i="29"/>
  <c r="AK1044" i="29"/>
  <c r="AK1408" i="29"/>
  <c r="AK1392" i="29"/>
  <c r="AK1376" i="29"/>
  <c r="AK1328" i="29"/>
  <c r="AK1312" i="29"/>
  <c r="AK1280" i="29"/>
  <c r="AK1264" i="29"/>
  <c r="AK1248" i="29"/>
  <c r="AK1232" i="29"/>
  <c r="AK1216" i="29"/>
  <c r="AK1200" i="29"/>
  <c r="AK1184" i="29"/>
  <c r="AK1160" i="29"/>
  <c r="AK1128" i="29"/>
  <c r="AK1096" i="29"/>
  <c r="AK1064" i="29"/>
  <c r="AK1032" i="29"/>
  <c r="AK1166" i="29"/>
  <c r="AK1150" i="29"/>
  <c r="AK1134" i="29"/>
  <c r="AK1118" i="29"/>
  <c r="AK1102" i="29"/>
  <c r="AK1086" i="29"/>
  <c r="AK1070" i="29"/>
  <c r="AK1054" i="29"/>
  <c r="AK1038" i="29"/>
  <c r="AK1022" i="29"/>
  <c r="AK990" i="29"/>
  <c r="AK974" i="29"/>
  <c r="AK958" i="29"/>
  <c r="AK926" i="29"/>
  <c r="AK910" i="29"/>
  <c r="AK894" i="29"/>
  <c r="AK878" i="29"/>
  <c r="AK862" i="29"/>
  <c r="AK846" i="29"/>
  <c r="AK830" i="29"/>
  <c r="AK814" i="29"/>
  <c r="AK798" i="29"/>
  <c r="AK766" i="29"/>
  <c r="AK750" i="29"/>
  <c r="AK1016" i="29"/>
  <c r="AK1000" i="29"/>
  <c r="AK984" i="29"/>
  <c r="AK952" i="29"/>
  <c r="AK936" i="29"/>
  <c r="AK920" i="29"/>
  <c r="AK872" i="29"/>
  <c r="AK840" i="29"/>
  <c r="AK824" i="29"/>
  <c r="AK808" i="29"/>
  <c r="AK792" i="29"/>
  <c r="AK760" i="29"/>
  <c r="AK744" i="29"/>
  <c r="AK718" i="29"/>
  <c r="AK654" i="29"/>
  <c r="AK622" i="29"/>
  <c r="AK606" i="29"/>
  <c r="AK590" i="29"/>
  <c r="AK574" i="29"/>
  <c r="AK544" i="29"/>
  <c r="AK512" i="29"/>
  <c r="AK480" i="29"/>
  <c r="AK448" i="29"/>
  <c r="AK416" i="29"/>
  <c r="AK384" i="29"/>
  <c r="AK352" i="29"/>
  <c r="AK294" i="29"/>
  <c r="AK230" i="29"/>
  <c r="AK110" i="29"/>
  <c r="AK138" i="29"/>
  <c r="AK728" i="29"/>
  <c r="AK664" i="29"/>
  <c r="AK632" i="29"/>
  <c r="AK616" i="29"/>
  <c r="AK600" i="29"/>
  <c r="AK584" i="29"/>
  <c r="AK564" i="29"/>
  <c r="AK532" i="29"/>
  <c r="AK500" i="29"/>
  <c r="AK468" i="29"/>
  <c r="AK404" i="29"/>
  <c r="AK334" i="29"/>
  <c r="AK270" i="29"/>
  <c r="AK190" i="29"/>
  <c r="AK62" i="29"/>
  <c r="AK186" i="29"/>
  <c r="AK58" i="29"/>
  <c r="AK546" i="29"/>
  <c r="AK530" i="29"/>
  <c r="AK514" i="29"/>
  <c r="AK498" i="29"/>
  <c r="AK482" i="29"/>
  <c r="AK466" i="29"/>
  <c r="AK450" i="29"/>
  <c r="AK434" i="29"/>
  <c r="AK402" i="29"/>
  <c r="AK386" i="29"/>
  <c r="AK370" i="29"/>
  <c r="AK354" i="29"/>
  <c r="AK330" i="29"/>
  <c r="AK298" i="29"/>
  <c r="AK266" i="29"/>
  <c r="AK234" i="29"/>
  <c r="AK182" i="29"/>
  <c r="AK118" i="29"/>
  <c r="AK54" i="29"/>
  <c r="AK194" i="29"/>
  <c r="AK66" i="29"/>
  <c r="AK344" i="29"/>
  <c r="AK328" i="29"/>
  <c r="AK296" i="29"/>
  <c r="AK280" i="29"/>
  <c r="AK264" i="29"/>
  <c r="AK248" i="29"/>
  <c r="AK232" i="29"/>
  <c r="AK216" i="29"/>
  <c r="AK200" i="29"/>
  <c r="AK168" i="29"/>
  <c r="AK152" i="29"/>
  <c r="AK136" i="29"/>
  <c r="AK120" i="29"/>
  <c r="AK104" i="29"/>
  <c r="AK88" i="29"/>
  <c r="AK72" i="29"/>
  <c r="AK40" i="29"/>
  <c r="AK24" i="29"/>
  <c r="AK8" i="29"/>
  <c r="AF6" i="29"/>
  <c r="AF8" i="29"/>
  <c r="AF10" i="29"/>
  <c r="AF12" i="29"/>
  <c r="AF14" i="29"/>
  <c r="AF16" i="29"/>
  <c r="AF18" i="29"/>
  <c r="AF20" i="29"/>
  <c r="AF22" i="29"/>
  <c r="AF24" i="29"/>
  <c r="AF26" i="29"/>
  <c r="AF28" i="29"/>
  <c r="AF30" i="29"/>
  <c r="AF32" i="29"/>
  <c r="AF34" i="29"/>
  <c r="AF36" i="29"/>
  <c r="AF38" i="29"/>
  <c r="AF40" i="29"/>
  <c r="AF42" i="29"/>
  <c r="AF44" i="29"/>
  <c r="AF46" i="29"/>
  <c r="AF48" i="29"/>
  <c r="AF50" i="29"/>
  <c r="AF52" i="29"/>
  <c r="AF54" i="29"/>
  <c r="AF56" i="29"/>
  <c r="AF58" i="29"/>
  <c r="AF60" i="29"/>
  <c r="AF62" i="29"/>
  <c r="AF64" i="29"/>
  <c r="AF66" i="29"/>
  <c r="AF68" i="29"/>
  <c r="AF70" i="29"/>
  <c r="AF72" i="29"/>
  <c r="AF74" i="29"/>
  <c r="AF76" i="29"/>
  <c r="AF78" i="29"/>
  <c r="AF80" i="29"/>
  <c r="AF82" i="29"/>
  <c r="AF84" i="29"/>
  <c r="AF86" i="29"/>
  <c r="AF88" i="29"/>
  <c r="AF90" i="29"/>
  <c r="AF92" i="29"/>
  <c r="AF94" i="29"/>
  <c r="AF96" i="29"/>
  <c r="AF98" i="29"/>
  <c r="AF100" i="29"/>
  <c r="AF102" i="29"/>
  <c r="AF104" i="29"/>
  <c r="AF106" i="29"/>
  <c r="AF108" i="29"/>
  <c r="AF110" i="29"/>
  <c r="AF112" i="29"/>
  <c r="AF114" i="29"/>
  <c r="AF116" i="29"/>
  <c r="AF118" i="29"/>
  <c r="AF120" i="29"/>
  <c r="AF122" i="29"/>
  <c r="AF124" i="29"/>
  <c r="AF126" i="29"/>
  <c r="AF128" i="29"/>
  <c r="AF130" i="29"/>
  <c r="AF132" i="29"/>
  <c r="AF134" i="29"/>
  <c r="AF136" i="29"/>
  <c r="AF138" i="29"/>
  <c r="AF140" i="29"/>
  <c r="AF142" i="29"/>
  <c r="AF144" i="29"/>
  <c r="AF146" i="29"/>
  <c r="AF148" i="29"/>
  <c r="AF150" i="29"/>
  <c r="AF152" i="29"/>
  <c r="AF154" i="29"/>
  <c r="AF156" i="29"/>
  <c r="AF158" i="29"/>
  <c r="AF160" i="29"/>
  <c r="AF162" i="29"/>
  <c r="AF164" i="29"/>
  <c r="AF166" i="29"/>
  <c r="AF168" i="29"/>
  <c r="AF170" i="29"/>
  <c r="AF172" i="29"/>
  <c r="AF174" i="29"/>
  <c r="AF176" i="29"/>
  <c r="AF178" i="29"/>
  <c r="AF180" i="29"/>
  <c r="AF182" i="29"/>
  <c r="AF184" i="29"/>
  <c r="AF186" i="29"/>
  <c r="AF188" i="29"/>
  <c r="AF190" i="29"/>
  <c r="AF192" i="29"/>
  <c r="AF194" i="29"/>
  <c r="AF196" i="29"/>
  <c r="AF198" i="29"/>
  <c r="AF200" i="29"/>
  <c r="AF202" i="29"/>
  <c r="AF204" i="29"/>
  <c r="AF206" i="29"/>
  <c r="AF208" i="29"/>
  <c r="AF210" i="29"/>
  <c r="AF212" i="29"/>
  <c r="AF214" i="29"/>
  <c r="AF216" i="29"/>
  <c r="AF218" i="29"/>
  <c r="AF220" i="29"/>
  <c r="AF222" i="29"/>
  <c r="AF224" i="29"/>
  <c r="AF226" i="29"/>
  <c r="AF228" i="29"/>
  <c r="AF230" i="29"/>
  <c r="AF232" i="29"/>
  <c r="AF234" i="29"/>
  <c r="AF236" i="29"/>
  <c r="AF238" i="29"/>
  <c r="AF240" i="29"/>
  <c r="AF242" i="29"/>
  <c r="AF244" i="29"/>
  <c r="AF246" i="29"/>
  <c r="AF248" i="29"/>
  <c r="AF250" i="29"/>
  <c r="AF252" i="29"/>
  <c r="AF254" i="29"/>
  <c r="AF256" i="29"/>
  <c r="AF258" i="29"/>
  <c r="AF260" i="29"/>
  <c r="AF262" i="29"/>
  <c r="AF264" i="29"/>
  <c r="AF266" i="29"/>
  <c r="AF268" i="29"/>
  <c r="AF270" i="29"/>
  <c r="AF272" i="29"/>
  <c r="AF274" i="29"/>
  <c r="AF276" i="29"/>
  <c r="AF278" i="29"/>
  <c r="AF280" i="29"/>
  <c r="AF282" i="29"/>
  <c r="AF284" i="29"/>
  <c r="AF286" i="29"/>
  <c r="AF288" i="29"/>
  <c r="AF290" i="29"/>
  <c r="AF292" i="29"/>
  <c r="AF294" i="29"/>
  <c r="AF296" i="29"/>
  <c r="AF298" i="29"/>
  <c r="AF300" i="29"/>
  <c r="AF302" i="29"/>
  <c r="AF304" i="29"/>
  <c r="AF306" i="29"/>
  <c r="AF308" i="29"/>
  <c r="AF310" i="29"/>
  <c r="AF312" i="29"/>
  <c r="AF314" i="29"/>
  <c r="AF316" i="29"/>
  <c r="AF318" i="29"/>
  <c r="AF320" i="29"/>
  <c r="AF322" i="29"/>
  <c r="AF324" i="29"/>
  <c r="AF326" i="29"/>
  <c r="AF328" i="29"/>
  <c r="AF330" i="29"/>
  <c r="AF332" i="29"/>
  <c r="AF334" i="29"/>
  <c r="AF336" i="29"/>
  <c r="AF338" i="29"/>
  <c r="AF340" i="29"/>
  <c r="AF342" i="29"/>
  <c r="AF344" i="29"/>
  <c r="AF346" i="29"/>
  <c r="AF348" i="29"/>
  <c r="AF350" i="29"/>
  <c r="AF352" i="29"/>
  <c r="AF354" i="29"/>
  <c r="AF356" i="29"/>
  <c r="AF358" i="29"/>
  <c r="AF360" i="29"/>
  <c r="AF362" i="29"/>
  <c r="AF364" i="29"/>
  <c r="AF366" i="29"/>
  <c r="AF368" i="29"/>
  <c r="AF370" i="29"/>
  <c r="AF372" i="29"/>
  <c r="AF374" i="29"/>
  <c r="AF376" i="29"/>
  <c r="AF378" i="29"/>
  <c r="AF380" i="29"/>
  <c r="AF382" i="29"/>
  <c r="AF384" i="29"/>
  <c r="AF386" i="29"/>
  <c r="AF388" i="29"/>
  <c r="AF390" i="29"/>
  <c r="AF392" i="29"/>
  <c r="AF394" i="29"/>
  <c r="AF396" i="29"/>
  <c r="AF398" i="29"/>
  <c r="AF400" i="29"/>
  <c r="AF402" i="29"/>
  <c r="AF404" i="29"/>
  <c r="AF406" i="29"/>
  <c r="AF408" i="29"/>
  <c r="AF410" i="29"/>
  <c r="AF412" i="29"/>
  <c r="AF414" i="29"/>
  <c r="AF416" i="29"/>
  <c r="AF418" i="29"/>
  <c r="AF420" i="29"/>
  <c r="AF422" i="29"/>
  <c r="AF424" i="29"/>
  <c r="AF426" i="29"/>
  <c r="AF428" i="29"/>
  <c r="AF430" i="29"/>
  <c r="AF432" i="29"/>
  <c r="AF434" i="29"/>
  <c r="AF436" i="29"/>
  <c r="AF438" i="29"/>
  <c r="AF440" i="29"/>
  <c r="AF442" i="29"/>
  <c r="AF444" i="29"/>
  <c r="AF446" i="29"/>
  <c r="AF448" i="29"/>
  <c r="AF450" i="29"/>
  <c r="AF452" i="29"/>
  <c r="AF454" i="29"/>
  <c r="AF456" i="29"/>
  <c r="AF458" i="29"/>
  <c r="AF460" i="29"/>
  <c r="AF462" i="29"/>
  <c r="AF464" i="29"/>
  <c r="AF466" i="29"/>
  <c r="AF468" i="29"/>
  <c r="AF470" i="29"/>
  <c r="AF472" i="29"/>
  <c r="AF474" i="29"/>
  <c r="AF476" i="29"/>
  <c r="AF478" i="29"/>
  <c r="AF480" i="29"/>
  <c r="AF482" i="29"/>
  <c r="AF484" i="29"/>
  <c r="AF486" i="29"/>
  <c r="AF488" i="29"/>
  <c r="AF490" i="29"/>
  <c r="AF492" i="29"/>
  <c r="AF494" i="29"/>
  <c r="AF496" i="29"/>
  <c r="AF498" i="29"/>
  <c r="AF500" i="29"/>
  <c r="AF502" i="29"/>
  <c r="AF504" i="29"/>
  <c r="AF506" i="29"/>
  <c r="AF508" i="29"/>
  <c r="AF510" i="29"/>
  <c r="AF512" i="29"/>
  <c r="AF514" i="29"/>
  <c r="AF516" i="29"/>
  <c r="AF518" i="29"/>
  <c r="AF520" i="29"/>
  <c r="AF522" i="29"/>
  <c r="AF524" i="29"/>
  <c r="AF526" i="29"/>
  <c r="AF528" i="29"/>
  <c r="AF530" i="29"/>
  <c r="AF532" i="29"/>
  <c r="AF534" i="29"/>
  <c r="AF536" i="29"/>
  <c r="AF538" i="29"/>
  <c r="AF540" i="29"/>
  <c r="AF542" i="29"/>
  <c r="AF544" i="29"/>
  <c r="AF546" i="29"/>
  <c r="AF548" i="29"/>
  <c r="AF550" i="29"/>
  <c r="AF552" i="29"/>
  <c r="AF554" i="29"/>
  <c r="AF556" i="29"/>
  <c r="AF558" i="29"/>
  <c r="AF560" i="29"/>
  <c r="AF562" i="29"/>
  <c r="AF564" i="29"/>
  <c r="AF566" i="29"/>
  <c r="AF568" i="29"/>
  <c r="AF570" i="29"/>
  <c r="AF572" i="29"/>
  <c r="AF574" i="29"/>
  <c r="AF576" i="29"/>
  <c r="AF578" i="29"/>
  <c r="AF580" i="29"/>
  <c r="AF582" i="29"/>
  <c r="AF7" i="29"/>
  <c r="AF9" i="29"/>
  <c r="AF11" i="29"/>
  <c r="AF13" i="29"/>
  <c r="AF15" i="29"/>
  <c r="AF17" i="29"/>
  <c r="AF19" i="29"/>
  <c r="AF21" i="29"/>
  <c r="AF23" i="29"/>
  <c r="AF25" i="29"/>
  <c r="AF27" i="29"/>
  <c r="AF29" i="29"/>
  <c r="AF31" i="29"/>
  <c r="AF33" i="29"/>
  <c r="AF35" i="29"/>
  <c r="AF37" i="29"/>
  <c r="AF39" i="29"/>
  <c r="AF41" i="29"/>
  <c r="AF43" i="29"/>
  <c r="AF45" i="29"/>
  <c r="AF47" i="29"/>
  <c r="AF49" i="29"/>
  <c r="AF51" i="29"/>
  <c r="AF53" i="29"/>
  <c r="AF55" i="29"/>
  <c r="AF57" i="29"/>
  <c r="AF59" i="29"/>
  <c r="AF61" i="29"/>
  <c r="AF63" i="29"/>
  <c r="AF65" i="29"/>
  <c r="AF67" i="29"/>
  <c r="AF69" i="29"/>
  <c r="AF71" i="29"/>
  <c r="AF73" i="29"/>
  <c r="AF75" i="29"/>
  <c r="AF77" i="29"/>
  <c r="AF79" i="29"/>
  <c r="AF81" i="29"/>
  <c r="AF83" i="29"/>
  <c r="AF85" i="29"/>
  <c r="AF87" i="29"/>
  <c r="AF89" i="29"/>
  <c r="AF91" i="29"/>
  <c r="AF93" i="29"/>
  <c r="AF95" i="29"/>
  <c r="AF97" i="29"/>
  <c r="AF99" i="29"/>
  <c r="AF101" i="29"/>
  <c r="AF103" i="29"/>
  <c r="AF105" i="29"/>
  <c r="AF107" i="29"/>
  <c r="AF109" i="29"/>
  <c r="AF111" i="29"/>
  <c r="AF113" i="29"/>
  <c r="AF115" i="29"/>
  <c r="AF117" i="29"/>
  <c r="AF119" i="29"/>
  <c r="AF121" i="29"/>
  <c r="AF123" i="29"/>
  <c r="AF125" i="29"/>
  <c r="AF127" i="29"/>
  <c r="AF129" i="29"/>
  <c r="AF131" i="29"/>
  <c r="AF133" i="29"/>
  <c r="AF135" i="29"/>
  <c r="AF137" i="29"/>
  <c r="AF139" i="29"/>
  <c r="AF141" i="29"/>
  <c r="AF143" i="29"/>
  <c r="AF145" i="29"/>
  <c r="AF147" i="29"/>
  <c r="AF149" i="29"/>
  <c r="AF151" i="29"/>
  <c r="AF153" i="29"/>
  <c r="AF155" i="29"/>
  <c r="AF157" i="29"/>
  <c r="AF159" i="29"/>
  <c r="AF161" i="29"/>
  <c r="AF163" i="29"/>
  <c r="AF165" i="29"/>
  <c r="AF167" i="29"/>
  <c r="AF169" i="29"/>
  <c r="AF171" i="29"/>
  <c r="AF173" i="29"/>
  <c r="AF175" i="29"/>
  <c r="AF177" i="29"/>
  <c r="AF179" i="29"/>
  <c r="AF181" i="29"/>
  <c r="AF183" i="29"/>
  <c r="AF185" i="29"/>
  <c r="AF187" i="29"/>
  <c r="AF189" i="29"/>
  <c r="AF191" i="29"/>
  <c r="AF193" i="29"/>
  <c r="AF195" i="29"/>
  <c r="AF197" i="29"/>
  <c r="AF199" i="29"/>
  <c r="AF201" i="29"/>
  <c r="AF203" i="29"/>
  <c r="AF205" i="29"/>
  <c r="AF207" i="29"/>
  <c r="AF209" i="29"/>
  <c r="AF211" i="29"/>
  <c r="AF213" i="29"/>
  <c r="AF215" i="29"/>
  <c r="AF217" i="29"/>
  <c r="AF219" i="29"/>
  <c r="AF221" i="29"/>
  <c r="AF223" i="29"/>
  <c r="AF225" i="29"/>
  <c r="AF227" i="29"/>
  <c r="AF229" i="29"/>
  <c r="AF231" i="29"/>
  <c r="AF233" i="29"/>
  <c r="AF235" i="29"/>
  <c r="AF237" i="29"/>
  <c r="AF239" i="29"/>
  <c r="AF241" i="29"/>
  <c r="AF243" i="29"/>
  <c r="AF245" i="29"/>
  <c r="AF247" i="29"/>
  <c r="AF249" i="29"/>
  <c r="AF251" i="29"/>
  <c r="AF253" i="29"/>
  <c r="AF255" i="29"/>
  <c r="AF257" i="29"/>
  <c r="AF259" i="29"/>
  <c r="AF261" i="29"/>
  <c r="AF263" i="29"/>
  <c r="AF265" i="29"/>
  <c r="AF267" i="29"/>
  <c r="AF269" i="29"/>
  <c r="AF271" i="29"/>
  <c r="AF273" i="29"/>
  <c r="AF275" i="29"/>
  <c r="AF277" i="29"/>
  <c r="AF279" i="29"/>
  <c r="AF281" i="29"/>
  <c r="AF283" i="29"/>
  <c r="AF285" i="29"/>
  <c r="AF287" i="29"/>
  <c r="AF289" i="29"/>
  <c r="AF291" i="29"/>
  <c r="AF293" i="29"/>
  <c r="AF295" i="29"/>
  <c r="AF297" i="29"/>
  <c r="AF299" i="29"/>
  <c r="AF301" i="29"/>
  <c r="AF303" i="29"/>
  <c r="AF305" i="29"/>
  <c r="AF307" i="29"/>
  <c r="AF309" i="29"/>
  <c r="AF311" i="29"/>
  <c r="AF313" i="29"/>
  <c r="AF315" i="29"/>
  <c r="AF317" i="29"/>
  <c r="AF319" i="29"/>
  <c r="AF321" i="29"/>
  <c r="AF323" i="29"/>
  <c r="AF325" i="29"/>
  <c r="AF327" i="29"/>
  <c r="AF329" i="29"/>
  <c r="AF331" i="29"/>
  <c r="AF333" i="29"/>
  <c r="AF335" i="29"/>
  <c r="AF337" i="29"/>
  <c r="AF339" i="29"/>
  <c r="AF341" i="29"/>
  <c r="AF343" i="29"/>
  <c r="AF345" i="29"/>
  <c r="AF347" i="29"/>
  <c r="AF349" i="29"/>
  <c r="AF351" i="29"/>
  <c r="AF353" i="29"/>
  <c r="AF355" i="29"/>
  <c r="AF357" i="29"/>
  <c r="AF359" i="29"/>
  <c r="AF361" i="29"/>
  <c r="AF363" i="29"/>
  <c r="AF365" i="29"/>
  <c r="AF367" i="29"/>
  <c r="AF369" i="29"/>
  <c r="AF371" i="29"/>
  <c r="AF373" i="29"/>
  <c r="AF375" i="29"/>
  <c r="AF377" i="29"/>
  <c r="AF379" i="29"/>
  <c r="AF381" i="29"/>
  <c r="AF383" i="29"/>
  <c r="AF385" i="29"/>
  <c r="AF387" i="29"/>
  <c r="AF389" i="29"/>
  <c r="AF391" i="29"/>
  <c r="AF393" i="29"/>
  <c r="AF395" i="29"/>
  <c r="AF397" i="29"/>
  <c r="AF399" i="29"/>
  <c r="AF401" i="29"/>
  <c r="AF403" i="29"/>
  <c r="AF405" i="29"/>
  <c r="AF407" i="29"/>
  <c r="AF409" i="29"/>
  <c r="AF411" i="29"/>
  <c r="AF413" i="29"/>
  <c r="AF415" i="29"/>
  <c r="AF417" i="29"/>
  <c r="AF419" i="29"/>
  <c r="AF421" i="29"/>
  <c r="AF423" i="29"/>
  <c r="AF425" i="29"/>
  <c r="AF427" i="29"/>
  <c r="AF429" i="29"/>
  <c r="AF431" i="29"/>
  <c r="AF433" i="29"/>
  <c r="AF435" i="29"/>
  <c r="AF437" i="29"/>
  <c r="AF439" i="29"/>
  <c r="AF441" i="29"/>
  <c r="AF443" i="29"/>
  <c r="AF445" i="29"/>
  <c r="AF447" i="29"/>
  <c r="AF449" i="29"/>
  <c r="AF451" i="29"/>
  <c r="AF453" i="29"/>
  <c r="AF455" i="29"/>
  <c r="AF457" i="29"/>
  <c r="AF459" i="29"/>
  <c r="AF461" i="29"/>
  <c r="AF463" i="29"/>
  <c r="AF465" i="29"/>
  <c r="AF467" i="29"/>
  <c r="AF469" i="29"/>
  <c r="AF471" i="29"/>
  <c r="AF473" i="29"/>
  <c r="AF475" i="29"/>
  <c r="AF477" i="29"/>
  <c r="AF479" i="29"/>
  <c r="AF481" i="29"/>
  <c r="AF483" i="29"/>
  <c r="AF485" i="29"/>
  <c r="AF487" i="29"/>
  <c r="AF489" i="29"/>
  <c r="AF491" i="29"/>
  <c r="AF493" i="29"/>
  <c r="AF495" i="29"/>
  <c r="AF497" i="29"/>
  <c r="AF499" i="29"/>
  <c r="AF501" i="29"/>
  <c r="AF503" i="29"/>
  <c r="AF505" i="29"/>
  <c r="AF507" i="29"/>
  <c r="AF509" i="29"/>
  <c r="AF511" i="29"/>
  <c r="AF513" i="29"/>
  <c r="AF515" i="29"/>
  <c r="AF517" i="29"/>
  <c r="AF519" i="29"/>
  <c r="AF521" i="29"/>
  <c r="AF523" i="29"/>
  <c r="AF525" i="29"/>
  <c r="AF527" i="29"/>
  <c r="AF529" i="29"/>
  <c r="AF531" i="29"/>
  <c r="AF533" i="29"/>
  <c r="AF535" i="29"/>
  <c r="AF537" i="29"/>
  <c r="AF539" i="29"/>
  <c r="AF541" i="29"/>
  <c r="AF543" i="29"/>
  <c r="AF545" i="29"/>
  <c r="AF547" i="29"/>
  <c r="AF549" i="29"/>
  <c r="AF551" i="29"/>
  <c r="AF553" i="29"/>
  <c r="AF555" i="29"/>
  <c r="AF557" i="29"/>
  <c r="AF559" i="29"/>
  <c r="AF561" i="29"/>
  <c r="AF563" i="29"/>
  <c r="AF565" i="29"/>
  <c r="AF567" i="29"/>
  <c r="AF569" i="29"/>
  <c r="AF571" i="29"/>
  <c r="AF573" i="29"/>
  <c r="AF575" i="29"/>
  <c r="AF577" i="29"/>
  <c r="AF579" i="29"/>
  <c r="AF581" i="29"/>
  <c r="AF583" i="29"/>
  <c r="AF585" i="29"/>
  <c r="AF587" i="29"/>
  <c r="AF589" i="29"/>
  <c r="AF591" i="29"/>
  <c r="AF593" i="29"/>
  <c r="AF595" i="29"/>
  <c r="AF597" i="29"/>
  <c r="AF599" i="29"/>
  <c r="AF601" i="29"/>
  <c r="AF603" i="29"/>
  <c r="AF586" i="29"/>
  <c r="AF590" i="29"/>
  <c r="AF594" i="29"/>
  <c r="AF598" i="29"/>
  <c r="AF602" i="29"/>
  <c r="AF605" i="29"/>
  <c r="AF607" i="29"/>
  <c r="AF609" i="29"/>
  <c r="AF611" i="29"/>
  <c r="AF613" i="29"/>
  <c r="AF615" i="29"/>
  <c r="AF617" i="29"/>
  <c r="AF619" i="29"/>
  <c r="AF621" i="29"/>
  <c r="AF623" i="29"/>
  <c r="AF625" i="29"/>
  <c r="AF627" i="29"/>
  <c r="AF629" i="29"/>
  <c r="AF631" i="29"/>
  <c r="AF633" i="29"/>
  <c r="AF635" i="29"/>
  <c r="AF637" i="29"/>
  <c r="AF639" i="29"/>
  <c r="AF641" i="29"/>
  <c r="AF643" i="29"/>
  <c r="AF645" i="29"/>
  <c r="AF647" i="29"/>
  <c r="AF649" i="29"/>
  <c r="AF651" i="29"/>
  <c r="AF653" i="29"/>
  <c r="AF655" i="29"/>
  <c r="AF657" i="29"/>
  <c r="AF659" i="29"/>
  <c r="AF661" i="29"/>
  <c r="AF663" i="29"/>
  <c r="AF665" i="29"/>
  <c r="AF667" i="29"/>
  <c r="AF669" i="29"/>
  <c r="AF671" i="29"/>
  <c r="AF673" i="29"/>
  <c r="AF675" i="29"/>
  <c r="AF677" i="29"/>
  <c r="AF679" i="29"/>
  <c r="AF681" i="29"/>
  <c r="AF683" i="29"/>
  <c r="AF685" i="29"/>
  <c r="AF687" i="29"/>
  <c r="AF689" i="29"/>
  <c r="AF691" i="29"/>
  <c r="AF693" i="29"/>
  <c r="AF695" i="29"/>
  <c r="AF697" i="29"/>
  <c r="AF699" i="29"/>
  <c r="AF701" i="29"/>
  <c r="AF703" i="29"/>
  <c r="AF705" i="29"/>
  <c r="AF707" i="29"/>
  <c r="AF709" i="29"/>
  <c r="AF711" i="29"/>
  <c r="AF713" i="29"/>
  <c r="AF715" i="29"/>
  <c r="AF717" i="29"/>
  <c r="AF719" i="29"/>
  <c r="AF721" i="29"/>
  <c r="AF723" i="29"/>
  <c r="AF725" i="29"/>
  <c r="AF727" i="29"/>
  <c r="AF729" i="29"/>
  <c r="AF731" i="29"/>
  <c r="AF733" i="29"/>
  <c r="AF735" i="29"/>
  <c r="AF737" i="29"/>
  <c r="AF739" i="29"/>
  <c r="AF741" i="29"/>
  <c r="AF743" i="29"/>
  <c r="AF745" i="29"/>
  <c r="AF747" i="29"/>
  <c r="AF749" i="29"/>
  <c r="AF751" i="29"/>
  <c r="AF753" i="29"/>
  <c r="AF755" i="29"/>
  <c r="AF757" i="29"/>
  <c r="AF759" i="29"/>
  <c r="AF761" i="29"/>
  <c r="AF763" i="29"/>
  <c r="AF765" i="29"/>
  <c r="AF767" i="29"/>
  <c r="AF769" i="29"/>
  <c r="AF771" i="29"/>
  <c r="AF773" i="29"/>
  <c r="AF775" i="29"/>
  <c r="AF777" i="29"/>
  <c r="AF779" i="29"/>
  <c r="AF781" i="29"/>
  <c r="AF783" i="29"/>
  <c r="AF785" i="29"/>
  <c r="AF787" i="29"/>
  <c r="AF789" i="29"/>
  <c r="AF791" i="29"/>
  <c r="AF793" i="29"/>
  <c r="AF795" i="29"/>
  <c r="AF797" i="29"/>
  <c r="AF799" i="29"/>
  <c r="AF801" i="29"/>
  <c r="AF803" i="29"/>
  <c r="AF805" i="29"/>
  <c r="AF807" i="29"/>
  <c r="AF809" i="29"/>
  <c r="AF811" i="29"/>
  <c r="AF813" i="29"/>
  <c r="AF815" i="29"/>
  <c r="AF817" i="29"/>
  <c r="AF819" i="29"/>
  <c r="AF821" i="29"/>
  <c r="AF823" i="29"/>
  <c r="AF825" i="29"/>
  <c r="AF827" i="29"/>
  <c r="AF829" i="29"/>
  <c r="AF831" i="29"/>
  <c r="AF833" i="29"/>
  <c r="AF835" i="29"/>
  <c r="AF837" i="29"/>
  <c r="AF839" i="29"/>
  <c r="AF841" i="29"/>
  <c r="AF843" i="29"/>
  <c r="AF845" i="29"/>
  <c r="AF847" i="29"/>
  <c r="AF849" i="29"/>
  <c r="AF851" i="29"/>
  <c r="AF853" i="29"/>
  <c r="AF855" i="29"/>
  <c r="AF857" i="29"/>
  <c r="AF859" i="29"/>
  <c r="AF861" i="29"/>
  <c r="AF863" i="29"/>
  <c r="AF865" i="29"/>
  <c r="AF867" i="29"/>
  <c r="AF869" i="29"/>
  <c r="AF871" i="29"/>
  <c r="AF873" i="29"/>
  <c r="AF875" i="29"/>
  <c r="AF877" i="29"/>
  <c r="AF879" i="29"/>
  <c r="AF881" i="29"/>
  <c r="AF883" i="29"/>
  <c r="AF885" i="29"/>
  <c r="AF887" i="29"/>
  <c r="AF889" i="29"/>
  <c r="AF891" i="29"/>
  <c r="AF893" i="29"/>
  <c r="AF895" i="29"/>
  <c r="AF897" i="29"/>
  <c r="AF899" i="29"/>
  <c r="AF901" i="29"/>
  <c r="AF903" i="29"/>
  <c r="AF905" i="29"/>
  <c r="AF907" i="29"/>
  <c r="AF909" i="29"/>
  <c r="AF911" i="29"/>
  <c r="AF913" i="29"/>
  <c r="AF915" i="29"/>
  <c r="AF917" i="29"/>
  <c r="AF919" i="29"/>
  <c r="AF921" i="29"/>
  <c r="AF923" i="29"/>
  <c r="AF925" i="29"/>
  <c r="AF927" i="29"/>
  <c r="AF929" i="29"/>
  <c r="AF931" i="29"/>
  <c r="AF933" i="29"/>
  <c r="AF935" i="29"/>
  <c r="AF937" i="29"/>
  <c r="AF939" i="29"/>
  <c r="AF941" i="29"/>
  <c r="AF943" i="29"/>
  <c r="AF945" i="29"/>
  <c r="AF947" i="29"/>
  <c r="AF949" i="29"/>
  <c r="AF951" i="29"/>
  <c r="AF953" i="29"/>
  <c r="AF955" i="29"/>
  <c r="AF957" i="29"/>
  <c r="AF959" i="29"/>
  <c r="AF961" i="29"/>
  <c r="AF963" i="29"/>
  <c r="AF965" i="29"/>
  <c r="AF967" i="29"/>
  <c r="AF969" i="29"/>
  <c r="AF971" i="29"/>
  <c r="AF973" i="29"/>
  <c r="AF975" i="29"/>
  <c r="AF977" i="29"/>
  <c r="AF979" i="29"/>
  <c r="AF981" i="29"/>
  <c r="AF983" i="29"/>
  <c r="AF985" i="29"/>
  <c r="AF987" i="29"/>
  <c r="AF989" i="29"/>
  <c r="AF991" i="29"/>
  <c r="AF993" i="29"/>
  <c r="AF995" i="29"/>
  <c r="AF997" i="29"/>
  <c r="AF999" i="29"/>
  <c r="AF1001" i="29"/>
  <c r="AF1003" i="29"/>
  <c r="AF1005" i="29"/>
  <c r="AF1007" i="29"/>
  <c r="AF1009" i="29"/>
  <c r="AF1011" i="29"/>
  <c r="AF1013" i="29"/>
  <c r="AF1015" i="29"/>
  <c r="AF1017" i="29"/>
  <c r="AF1019" i="29"/>
  <c r="AF1021" i="29"/>
  <c r="AF1023" i="29"/>
  <c r="AF1025" i="29"/>
  <c r="AF1027" i="29"/>
  <c r="AF1029" i="29"/>
  <c r="AF1031" i="29"/>
  <c r="AF1033" i="29"/>
  <c r="AF1035" i="29"/>
  <c r="AF1037" i="29"/>
  <c r="AF1039" i="29"/>
  <c r="AF1041" i="29"/>
  <c r="AF1043" i="29"/>
  <c r="AF1045" i="29"/>
  <c r="AF1047" i="29"/>
  <c r="AF1049" i="29"/>
  <c r="AF1051" i="29"/>
  <c r="AF1053" i="29"/>
  <c r="AF1055" i="29"/>
  <c r="AF1057" i="29"/>
  <c r="AF1059" i="29"/>
  <c r="AF1061" i="29"/>
  <c r="AF1063" i="29"/>
  <c r="AF1065" i="29"/>
  <c r="AF1067" i="29"/>
  <c r="AF1069" i="29"/>
  <c r="AF1071" i="29"/>
  <c r="AF1073" i="29"/>
  <c r="AF1075" i="29"/>
  <c r="AF1077" i="29"/>
  <c r="AF1079" i="29"/>
  <c r="AF1081" i="29"/>
  <c r="AF1083" i="29"/>
  <c r="AF1085" i="29"/>
  <c r="AF1087" i="29"/>
  <c r="AF1089" i="29"/>
  <c r="AF1091" i="29"/>
  <c r="AF1093" i="29"/>
  <c r="AF1095" i="29"/>
  <c r="AF1097" i="29"/>
  <c r="AF1099" i="29"/>
  <c r="AF1101" i="29"/>
  <c r="AF1103" i="29"/>
  <c r="AF1105" i="29"/>
  <c r="AF1107" i="29"/>
  <c r="AF1109" i="29"/>
  <c r="AF1111" i="29"/>
  <c r="AF1113" i="29"/>
  <c r="AF1115" i="29"/>
  <c r="AF1117" i="29"/>
  <c r="AF1119" i="29"/>
  <c r="AF1121" i="29"/>
  <c r="AF1123" i="29"/>
  <c r="AF1125" i="29"/>
  <c r="AF1127" i="29"/>
  <c r="AF1129" i="29"/>
  <c r="AF1131" i="29"/>
  <c r="AF1133" i="29"/>
  <c r="AF1135" i="29"/>
  <c r="AF1137" i="29"/>
  <c r="AF1139" i="29"/>
  <c r="AF1141" i="29"/>
  <c r="AF1143" i="29"/>
  <c r="AF1145" i="29"/>
  <c r="AF1147" i="29"/>
  <c r="AF1149" i="29"/>
  <c r="AF1151" i="29"/>
  <c r="AF1153" i="29"/>
  <c r="AF1155" i="29"/>
  <c r="AF1157" i="29"/>
  <c r="AF1159" i="29"/>
  <c r="AF1161" i="29"/>
  <c r="AF1163" i="29"/>
  <c r="AF1165" i="29"/>
  <c r="AF1167" i="29"/>
  <c r="AF1169" i="29"/>
  <c r="AF1171" i="29"/>
  <c r="AF1173" i="29"/>
  <c r="AF1175" i="29"/>
  <c r="AF1177" i="29"/>
  <c r="AF1179" i="29"/>
  <c r="AF1181" i="29"/>
  <c r="AF1183" i="29"/>
  <c r="AF1185" i="29"/>
  <c r="AF1187" i="29"/>
  <c r="AF1189" i="29"/>
  <c r="AF1191" i="29"/>
  <c r="AF1193" i="29"/>
  <c r="AF1195" i="29"/>
  <c r="AF1197" i="29"/>
  <c r="AF1199" i="29"/>
  <c r="AF1201" i="29"/>
  <c r="AF1203" i="29"/>
  <c r="AF1205" i="29"/>
  <c r="AF1207" i="29"/>
  <c r="AF1209" i="29"/>
  <c r="AF1211" i="29"/>
  <c r="AF1213" i="29"/>
  <c r="AF1215" i="29"/>
  <c r="AF1217" i="29"/>
  <c r="AF1219" i="29"/>
  <c r="AF1221" i="29"/>
  <c r="AF1223" i="29"/>
  <c r="AF1225" i="29"/>
  <c r="AF1227" i="29"/>
  <c r="AF1229" i="29"/>
  <c r="AF1231" i="29"/>
  <c r="AF1233" i="29"/>
  <c r="AF1235" i="29"/>
  <c r="AF1237" i="29"/>
  <c r="AF1239" i="29"/>
  <c r="AF1241" i="29"/>
  <c r="AF1243" i="29"/>
  <c r="AF1245" i="29"/>
  <c r="AF1247" i="29"/>
  <c r="AF1249" i="29"/>
  <c r="AF1251" i="29"/>
  <c r="AF1253" i="29"/>
  <c r="AF1255" i="29"/>
  <c r="AF1257" i="29"/>
  <c r="AF1259" i="29"/>
  <c r="AF1261" i="29"/>
  <c r="AF1263" i="29"/>
  <c r="AF1265" i="29"/>
  <c r="AF1267" i="29"/>
  <c r="AF1269" i="29"/>
  <c r="AF1271" i="29"/>
  <c r="AF1273" i="29"/>
  <c r="AF1275" i="29"/>
  <c r="AF1277" i="29"/>
  <c r="AF1279" i="29"/>
  <c r="AF1281" i="29"/>
  <c r="AF1283" i="29"/>
  <c r="AF1285" i="29"/>
  <c r="AF1287" i="29"/>
  <c r="AF1289" i="29"/>
  <c r="AF1291" i="29"/>
  <c r="AF1293" i="29"/>
  <c r="AF1295" i="29"/>
  <c r="AF1297" i="29"/>
  <c r="AF1299" i="29"/>
  <c r="AF1301" i="29"/>
  <c r="AF1303" i="29"/>
  <c r="AF1305" i="29"/>
  <c r="AF1307" i="29"/>
  <c r="AF1309" i="29"/>
  <c r="AF1311" i="29"/>
  <c r="AF1313" i="29"/>
  <c r="AF1315" i="29"/>
  <c r="AF1317" i="29"/>
  <c r="AF1319" i="29"/>
  <c r="AF1321" i="29"/>
  <c r="AF1323" i="29"/>
  <c r="AF1325" i="29"/>
  <c r="AF1327" i="29"/>
  <c r="AF1329" i="29"/>
  <c r="AF1331" i="29"/>
  <c r="AF1333" i="29"/>
  <c r="AF1335" i="29"/>
  <c r="AF1337" i="29"/>
  <c r="AF1339" i="29"/>
  <c r="AF1341" i="29"/>
  <c r="AF1343" i="29"/>
  <c r="AF1345" i="29"/>
  <c r="AF1347" i="29"/>
  <c r="AF1349" i="29"/>
  <c r="AF1351" i="29"/>
  <c r="AF1353" i="29"/>
  <c r="AF1355" i="29"/>
  <c r="AF1357" i="29"/>
  <c r="AF1359" i="29"/>
  <c r="AF1361" i="29"/>
  <c r="AF1363" i="29"/>
  <c r="AF1365" i="29"/>
  <c r="AF1367" i="29"/>
  <c r="AF1369" i="29"/>
  <c r="AF1371" i="29"/>
  <c r="AF1373" i="29"/>
  <c r="AF1375" i="29"/>
  <c r="AF1377" i="29"/>
  <c r="AF1379" i="29"/>
  <c r="AF1381" i="29"/>
  <c r="AF1383" i="29"/>
  <c r="AF1385" i="29"/>
  <c r="AF1387" i="29"/>
  <c r="AF1389" i="29"/>
  <c r="AF1391" i="29"/>
  <c r="AF1393" i="29"/>
  <c r="AF1395" i="29"/>
  <c r="AF1397" i="29"/>
  <c r="AF1399" i="29"/>
  <c r="AF1401" i="29"/>
  <c r="AF1403" i="29"/>
  <c r="AF1405" i="29"/>
  <c r="AF1407" i="29"/>
  <c r="AF1409" i="29"/>
  <c r="AF1411" i="29"/>
  <c r="AF1413" i="29"/>
  <c r="AF1415" i="29"/>
  <c r="AF584" i="29"/>
  <c r="AF588" i="29"/>
  <c r="AF592" i="29"/>
  <c r="AF596" i="29"/>
  <c r="AF600" i="29"/>
  <c r="AF604" i="29"/>
  <c r="AF606" i="29"/>
  <c r="AF608" i="29"/>
  <c r="AF610" i="29"/>
  <c r="AF612" i="29"/>
  <c r="AF614" i="29"/>
  <c r="AF616" i="29"/>
  <c r="AF618" i="29"/>
  <c r="AF620" i="29"/>
  <c r="AF622" i="29"/>
  <c r="AF624" i="29"/>
  <c r="AF626" i="29"/>
  <c r="AF628" i="29"/>
  <c r="AF630" i="29"/>
  <c r="AF632" i="29"/>
  <c r="AF634" i="29"/>
  <c r="AF636" i="29"/>
  <c r="AF638" i="29"/>
  <c r="AF640" i="29"/>
  <c r="AF642" i="29"/>
  <c r="AF644" i="29"/>
  <c r="AF646" i="29"/>
  <c r="AF648" i="29"/>
  <c r="AF650" i="29"/>
  <c r="AF652" i="29"/>
  <c r="AF654" i="29"/>
  <c r="AF656" i="29"/>
  <c r="AF658" i="29"/>
  <c r="AF660" i="29"/>
  <c r="AF662" i="29"/>
  <c r="AF664" i="29"/>
  <c r="AF666" i="29"/>
  <c r="AF668" i="29"/>
  <c r="AF670" i="29"/>
  <c r="AF672" i="29"/>
  <c r="AF674" i="29"/>
  <c r="AF676" i="29"/>
  <c r="AF678" i="29"/>
  <c r="AF680" i="29"/>
  <c r="AF682" i="29"/>
  <c r="AF684" i="29"/>
  <c r="AF686" i="29"/>
  <c r="AF688" i="29"/>
  <c r="AF690" i="29"/>
  <c r="AF692" i="29"/>
  <c r="AF694" i="29"/>
  <c r="AF696" i="29"/>
  <c r="AF698" i="29"/>
  <c r="AF700" i="29"/>
  <c r="AF702" i="29"/>
  <c r="AF704" i="29"/>
  <c r="AF706" i="29"/>
  <c r="AF708" i="29"/>
  <c r="AF710" i="29"/>
  <c r="AF712" i="29"/>
  <c r="AF714" i="29"/>
  <c r="AF716" i="29"/>
  <c r="AF718" i="29"/>
  <c r="AF720" i="29"/>
  <c r="AF722" i="29"/>
  <c r="AF724" i="29"/>
  <c r="AF726" i="29"/>
  <c r="AF728" i="29"/>
  <c r="AF730" i="29"/>
  <c r="AF732" i="29"/>
  <c r="AF734" i="29"/>
  <c r="AF736" i="29"/>
  <c r="AF738" i="29"/>
  <c r="AF740" i="29"/>
  <c r="AF742" i="29"/>
  <c r="AF744" i="29"/>
  <c r="AF746" i="29"/>
  <c r="AF748" i="29"/>
  <c r="AF750" i="29"/>
  <c r="AF752" i="29"/>
  <c r="AF754" i="29"/>
  <c r="AF756" i="29"/>
  <c r="AF758" i="29"/>
  <c r="AF760" i="29"/>
  <c r="AF762" i="29"/>
  <c r="AF764" i="29"/>
  <c r="AF766" i="29"/>
  <c r="AF768" i="29"/>
  <c r="AF770" i="29"/>
  <c r="AF772" i="29"/>
  <c r="AF774" i="29"/>
  <c r="AF776" i="29"/>
  <c r="AF778" i="29"/>
  <c r="AF780" i="29"/>
  <c r="AF782" i="29"/>
  <c r="AF784" i="29"/>
  <c r="AF786" i="29"/>
  <c r="AF788" i="29"/>
  <c r="AF790" i="29"/>
  <c r="AF792" i="29"/>
  <c r="AF794" i="29"/>
  <c r="AF796" i="29"/>
  <c r="AF798" i="29"/>
  <c r="AF800" i="29"/>
  <c r="AF802" i="29"/>
  <c r="AF804" i="29"/>
  <c r="AF806" i="29"/>
  <c r="AF808" i="29"/>
  <c r="AF810" i="29"/>
  <c r="AF812" i="29"/>
  <c r="AF814" i="29"/>
  <c r="AF816" i="29"/>
  <c r="AF818" i="29"/>
  <c r="AF820" i="29"/>
  <c r="AF822" i="29"/>
  <c r="AF824" i="29"/>
  <c r="AF826" i="29"/>
  <c r="AF828" i="29"/>
  <c r="AF830" i="29"/>
  <c r="AF832" i="29"/>
  <c r="AF834" i="29"/>
  <c r="AF836" i="29"/>
  <c r="AF838" i="29"/>
  <c r="AF840" i="29"/>
  <c r="AF842" i="29"/>
  <c r="AF844" i="29"/>
  <c r="AF846" i="29"/>
  <c r="AF848" i="29"/>
  <c r="AF850" i="29"/>
  <c r="AF852" i="29"/>
  <c r="AF854" i="29"/>
  <c r="AF856" i="29"/>
  <c r="AF858" i="29"/>
  <c r="AF860" i="29"/>
  <c r="AF862" i="29"/>
  <c r="AF864" i="29"/>
  <c r="AF866" i="29"/>
  <c r="AF868" i="29"/>
  <c r="AF870" i="29"/>
  <c r="AF872" i="29"/>
  <c r="AF874" i="29"/>
  <c r="AF876" i="29"/>
  <c r="AF878" i="29"/>
  <c r="AF880" i="29"/>
  <c r="AF882" i="29"/>
  <c r="AF884" i="29"/>
  <c r="AF886" i="29"/>
  <c r="AF888" i="29"/>
  <c r="AF890" i="29"/>
  <c r="AF892" i="29"/>
  <c r="AF894" i="29"/>
  <c r="AF896" i="29"/>
  <c r="AF898" i="29"/>
  <c r="AF900" i="29"/>
  <c r="AF902" i="29"/>
  <c r="AF904" i="29"/>
  <c r="AF906" i="29"/>
  <c r="AF908" i="29"/>
  <c r="AF910" i="29"/>
  <c r="AF912" i="29"/>
  <c r="AF914" i="29"/>
  <c r="AF916" i="29"/>
  <c r="AF918" i="29"/>
  <c r="AF920" i="29"/>
  <c r="AF922" i="29"/>
  <c r="AF924" i="29"/>
  <c r="AF926" i="29"/>
  <c r="AF928" i="29"/>
  <c r="AF930" i="29"/>
  <c r="AF932" i="29"/>
  <c r="AF934" i="29"/>
  <c r="AF936" i="29"/>
  <c r="AF938" i="29"/>
  <c r="AF940" i="29"/>
  <c r="AF942" i="29"/>
  <c r="AF944" i="29"/>
  <c r="AF946" i="29"/>
  <c r="AF948" i="29"/>
  <c r="AF950" i="29"/>
  <c r="AF952" i="29"/>
  <c r="AF954" i="29"/>
  <c r="AF956" i="29"/>
  <c r="AF958" i="29"/>
  <c r="AF960" i="29"/>
  <c r="AF962" i="29"/>
  <c r="AF964" i="29"/>
  <c r="AF966" i="29"/>
  <c r="AF968" i="29"/>
  <c r="AF970" i="29"/>
  <c r="AF972" i="29"/>
  <c r="AF974" i="29"/>
  <c r="AF976" i="29"/>
  <c r="AF978" i="29"/>
  <c r="AF980" i="29"/>
  <c r="AF982" i="29"/>
  <c r="AF984" i="29"/>
  <c r="AF986" i="29"/>
  <c r="AF988" i="29"/>
  <c r="AF990" i="29"/>
  <c r="AF992" i="29"/>
  <c r="AF994" i="29"/>
  <c r="AF996" i="29"/>
  <c r="AF998" i="29"/>
  <c r="AF1000" i="29"/>
  <c r="AF1002" i="29"/>
  <c r="AF1004" i="29"/>
  <c r="AF1006" i="29"/>
  <c r="AF1008" i="29"/>
  <c r="AF1010" i="29"/>
  <c r="AF1012" i="29"/>
  <c r="AF1014" i="29"/>
  <c r="AF1016" i="29"/>
  <c r="AF1018" i="29"/>
  <c r="AF1020" i="29"/>
  <c r="AF1022" i="29"/>
  <c r="AF1024" i="29"/>
  <c r="AF1026" i="29"/>
  <c r="AF1028" i="29"/>
  <c r="AF1030" i="29"/>
  <c r="AF1032" i="29"/>
  <c r="AF1034" i="29"/>
  <c r="AF1036" i="29"/>
  <c r="AF1038" i="29"/>
  <c r="AF1040" i="29"/>
  <c r="AF1042" i="29"/>
  <c r="AF1044" i="29"/>
  <c r="AF1046" i="29"/>
  <c r="AF1048" i="29"/>
  <c r="AF1050" i="29"/>
  <c r="AF1052" i="29"/>
  <c r="AF1054" i="29"/>
  <c r="AF1056" i="29"/>
  <c r="AF1058" i="29"/>
  <c r="AF1060" i="29"/>
  <c r="AF1062" i="29"/>
  <c r="AF1064" i="29"/>
  <c r="AF1066" i="29"/>
  <c r="AF1068" i="29"/>
  <c r="AF1070" i="29"/>
  <c r="AF1072" i="29"/>
  <c r="AF1074" i="29"/>
  <c r="AF1076" i="29"/>
  <c r="AF1078" i="29"/>
  <c r="AF1080" i="29"/>
  <c r="AF1082" i="29"/>
  <c r="AF1084" i="29"/>
  <c r="AF1086" i="29"/>
  <c r="AF1088" i="29"/>
  <c r="AF1090" i="29"/>
  <c r="AF1092" i="29"/>
  <c r="AF1094" i="29"/>
  <c r="AF1096" i="29"/>
  <c r="AF1098" i="29"/>
  <c r="AF1100" i="29"/>
  <c r="AF1102" i="29"/>
  <c r="AF1104" i="29"/>
  <c r="AF1106" i="29"/>
  <c r="AF1108" i="29"/>
  <c r="AF1110" i="29"/>
  <c r="AF1112" i="29"/>
  <c r="AF1114" i="29"/>
  <c r="AF1116" i="29"/>
  <c r="AF1118" i="29"/>
  <c r="AF1120" i="29"/>
  <c r="AF1122" i="29"/>
  <c r="AF1124" i="29"/>
  <c r="AF1126" i="29"/>
  <c r="AF1128" i="29"/>
  <c r="AF1130" i="29"/>
  <c r="AF1132" i="29"/>
  <c r="AF1134" i="29"/>
  <c r="AF1136" i="29"/>
  <c r="AF1138" i="29"/>
  <c r="AF1140" i="29"/>
  <c r="AF1142" i="29"/>
  <c r="AF1144" i="29"/>
  <c r="AF1146" i="29"/>
  <c r="AF1148" i="29"/>
  <c r="AF1150" i="29"/>
  <c r="AF1152" i="29"/>
  <c r="AF1154" i="29"/>
  <c r="AF1156" i="29"/>
  <c r="AF1158" i="29"/>
  <c r="AF1160" i="29"/>
  <c r="AF1162" i="29"/>
  <c r="AF1164" i="29"/>
  <c r="AF1166" i="29"/>
  <c r="AF1168" i="29"/>
  <c r="AF1170" i="29"/>
  <c r="AF1172" i="29"/>
  <c r="AF1174" i="29"/>
  <c r="AF1176" i="29"/>
  <c r="AF1178" i="29"/>
  <c r="AF1180" i="29"/>
  <c r="AF1182" i="29"/>
  <c r="AF1184" i="29"/>
  <c r="AF1186" i="29"/>
  <c r="AF1188" i="29"/>
  <c r="AF1190" i="29"/>
  <c r="AF1192" i="29"/>
  <c r="AF1194" i="29"/>
  <c r="AF1196" i="29"/>
  <c r="AF1198" i="29"/>
  <c r="AF1200" i="29"/>
  <c r="AF1202" i="29"/>
  <c r="AF1204" i="29"/>
  <c r="AF1206" i="29"/>
  <c r="AF1208" i="29"/>
  <c r="AF1210" i="29"/>
  <c r="AF1212" i="29"/>
  <c r="AF1214" i="29"/>
  <c r="AF1216" i="29"/>
  <c r="AF1218" i="29"/>
  <c r="AF1220" i="29"/>
  <c r="AF1222" i="29"/>
  <c r="AF1224" i="29"/>
  <c r="AF1226" i="29"/>
  <c r="AF1228" i="29"/>
  <c r="AF1230" i="29"/>
  <c r="AF1232" i="29"/>
  <c r="AF1234" i="29"/>
  <c r="AF1236" i="29"/>
  <c r="AF1238" i="29"/>
  <c r="AF1240" i="29"/>
  <c r="AF1242" i="29"/>
  <c r="AF1244" i="29"/>
  <c r="AF1246" i="29"/>
  <c r="AF1248" i="29"/>
  <c r="AF1250" i="29"/>
  <c r="AF1252" i="29"/>
  <c r="AF1254" i="29"/>
  <c r="AF1256" i="29"/>
  <c r="AF1258" i="29"/>
  <c r="AF1260" i="29"/>
  <c r="AF1262" i="29"/>
  <c r="AF1264" i="29"/>
  <c r="AF1266" i="29"/>
  <c r="AF1268" i="29"/>
  <c r="AF1270" i="29"/>
  <c r="AF1272" i="29"/>
  <c r="AF1274" i="29"/>
  <c r="AF1276" i="29"/>
  <c r="AF1278" i="29"/>
  <c r="AF1280" i="29"/>
  <c r="AF1282" i="29"/>
  <c r="AF1284" i="29"/>
  <c r="AF1286" i="29"/>
  <c r="AF1288" i="29"/>
  <c r="AF1290" i="29"/>
  <c r="AF1292" i="29"/>
  <c r="AF1294" i="29"/>
  <c r="AF1296" i="29"/>
  <c r="AF1298" i="29"/>
  <c r="AF1300" i="29"/>
  <c r="AF1302" i="29"/>
  <c r="AF1304" i="29"/>
  <c r="AF1306" i="29"/>
  <c r="AF1308" i="29"/>
  <c r="AF1310" i="29"/>
  <c r="AF1312" i="29"/>
  <c r="AF1314" i="29"/>
  <c r="AF1316" i="29"/>
  <c r="AF1318" i="29"/>
  <c r="AF1320" i="29"/>
  <c r="AF1322" i="29"/>
  <c r="AF1324" i="29"/>
  <c r="AF1326" i="29"/>
  <c r="AF1328" i="29"/>
  <c r="AF1330" i="29"/>
  <c r="AF1332" i="29"/>
  <c r="AF1334" i="29"/>
  <c r="AF1336" i="29"/>
  <c r="AF1338" i="29"/>
  <c r="AF1340" i="29"/>
  <c r="AF1342" i="29"/>
  <c r="AF1344" i="29"/>
  <c r="AF1346" i="29"/>
  <c r="AF1348" i="29"/>
  <c r="AF1350" i="29"/>
  <c r="AF1352" i="29"/>
  <c r="AF1354" i="29"/>
  <c r="AF1356" i="29"/>
  <c r="AF1358" i="29"/>
  <c r="AF1360" i="29"/>
  <c r="AF1362" i="29"/>
  <c r="AF1364" i="29"/>
  <c r="AF1366" i="29"/>
  <c r="AF1368" i="29"/>
  <c r="AF1370" i="29"/>
  <c r="AF1372" i="29"/>
  <c r="AF1374" i="29"/>
  <c r="AF1376" i="29"/>
  <c r="AF1378" i="29"/>
  <c r="AF1380" i="29"/>
  <c r="AF1382" i="29"/>
  <c r="AF1384" i="29"/>
  <c r="AF1386" i="29"/>
  <c r="AF1388" i="29"/>
  <c r="AF1390" i="29"/>
  <c r="AF1392" i="29"/>
  <c r="AF1394" i="29"/>
  <c r="AF1396" i="29"/>
  <c r="AF1398" i="29"/>
  <c r="AF1400" i="29"/>
  <c r="AF1402" i="29"/>
  <c r="AF1404" i="29"/>
  <c r="AF1406" i="29"/>
  <c r="AF1408" i="29"/>
  <c r="AF1410" i="29"/>
  <c r="AF1412" i="29"/>
  <c r="AF1414" i="29"/>
  <c r="AF1416" i="29"/>
  <c r="AB17" i="3"/>
  <c r="AB19" i="3"/>
  <c r="AB21" i="3"/>
  <c r="AB23" i="3"/>
  <c r="AB25" i="3"/>
  <c r="AB16" i="3"/>
  <c r="AB18" i="3"/>
  <c r="AB20" i="3"/>
  <c r="AB22" i="3"/>
  <c r="AB24" i="3"/>
  <c r="AB92" i="4"/>
  <c r="AB31" i="4"/>
  <c r="AB28" i="4"/>
  <c r="AB272" i="4"/>
  <c r="AB313" i="4"/>
  <c r="AB26" i="4"/>
  <c r="AB338" i="4"/>
  <c r="AB152" i="4"/>
  <c r="AB305" i="4"/>
  <c r="AB240" i="4"/>
  <c r="AB154" i="4"/>
  <c r="AB372" i="4"/>
  <c r="AB73" i="4"/>
  <c r="AB341" i="4"/>
  <c r="AB21" i="4"/>
  <c r="AB30" i="4"/>
  <c r="AB156" i="4"/>
  <c r="AB145" i="4"/>
  <c r="AB294" i="4"/>
  <c r="AB19" i="4"/>
  <c r="AB387" i="4"/>
  <c r="AB164" i="4"/>
  <c r="AB347" i="4"/>
  <c r="AB170" i="4"/>
  <c r="AB58" i="4"/>
  <c r="AB22" i="4"/>
  <c r="AB380" i="4"/>
  <c r="AB146" i="4"/>
  <c r="AB39" i="4"/>
  <c r="AB64" i="4"/>
  <c r="AE64" i="4" s="1"/>
  <c r="AB162" i="4"/>
  <c r="AB147" i="4"/>
  <c r="AB269" i="4"/>
  <c r="AB342" i="4"/>
  <c r="AB172" i="4"/>
  <c r="AB32" i="4"/>
  <c r="AB25" i="4"/>
  <c r="AB311" i="4"/>
  <c r="AB159" i="4"/>
  <c r="AB160" i="4"/>
  <c r="AB61" i="4"/>
  <c r="AE61" i="4" s="1"/>
  <c r="AB7" i="4"/>
  <c r="AB336" i="4"/>
  <c r="AB52" i="4"/>
  <c r="AB49" i="4"/>
  <c r="AB356" i="4"/>
  <c r="AB149" i="4"/>
  <c r="AB317" i="4"/>
  <c r="AB366" i="4"/>
  <c r="AB279" i="4"/>
  <c r="AB165" i="4"/>
  <c r="AB175" i="4"/>
  <c r="AB103" i="4"/>
  <c r="AB176" i="4"/>
  <c r="AB302" i="4"/>
  <c r="AB177" i="4"/>
  <c r="AB178" i="4"/>
  <c r="AB339" i="4"/>
  <c r="AB179" i="4"/>
  <c r="AB182" i="4"/>
  <c r="AB183" i="4"/>
  <c r="AB185" i="4"/>
  <c r="AB66" i="4"/>
  <c r="AE66" i="4" s="1"/>
  <c r="AB57" i="4"/>
  <c r="AB94" i="4"/>
  <c r="AE94" i="4" s="1"/>
  <c r="AB252" i="4"/>
  <c r="AB200" i="4"/>
  <c r="AB107" i="4"/>
  <c r="AB256" i="4"/>
  <c r="AB190" i="4"/>
  <c r="AB280" i="4"/>
  <c r="AB370" i="4"/>
  <c r="AB77" i="4"/>
  <c r="AB276" i="4"/>
  <c r="AB189" i="4"/>
  <c r="AB188" i="4"/>
  <c r="AB63" i="4"/>
  <c r="AE63" i="4" s="1"/>
  <c r="AB45" i="4"/>
  <c r="AB291" i="4"/>
  <c r="AB93" i="4"/>
  <c r="AB202" i="4"/>
  <c r="AB254" i="4"/>
  <c r="AB297" i="4"/>
  <c r="AB360" i="4"/>
  <c r="AB199" i="4"/>
  <c r="AB281" i="4"/>
  <c r="AB62" i="4"/>
  <c r="AB355" i="4"/>
  <c r="AB108" i="4"/>
  <c r="AB289" i="4"/>
  <c r="AB278" i="4"/>
  <c r="AB96" i="4"/>
  <c r="AB194" i="4"/>
  <c r="AE194" i="4" s="1"/>
  <c r="AB34" i="4"/>
  <c r="AB85" i="4"/>
  <c r="AB196" i="4"/>
  <c r="AB60" i="4"/>
  <c r="AB80" i="4"/>
  <c r="AB246" i="4"/>
  <c r="AB50" i="4"/>
  <c r="AE50" i="4" s="1"/>
  <c r="AB273" i="4"/>
  <c r="AB197" i="4"/>
  <c r="AE197" i="4" s="1"/>
  <c r="AB349" i="4"/>
  <c r="AB268" i="4"/>
  <c r="AB257" i="4"/>
  <c r="AB293" i="4"/>
  <c r="AB71" i="4"/>
  <c r="AB16" i="4"/>
  <c r="AB27" i="4"/>
  <c r="AB102" i="4"/>
  <c r="AB205" i="4"/>
  <c r="AB207" i="4"/>
  <c r="AB206" i="4"/>
  <c r="AB326" i="4"/>
  <c r="AB371" i="4"/>
  <c r="AB275" i="4"/>
  <c r="AB331" i="4"/>
  <c r="AB344" i="4"/>
  <c r="AB208" i="4"/>
  <c r="AB75" i="4"/>
  <c r="AB363" i="4"/>
  <c r="AB340" i="4"/>
  <c r="AB210" i="4"/>
  <c r="AB211" i="4"/>
  <c r="AB112" i="4"/>
  <c r="AB307" i="4"/>
  <c r="AB379" i="4"/>
  <c r="AB20" i="4"/>
  <c r="AB213" i="4"/>
  <c r="AB327" i="4"/>
  <c r="AB329" i="4"/>
  <c r="AB314" i="4"/>
  <c r="AB262" i="4"/>
  <c r="AB41" i="4"/>
  <c r="AB54" i="4"/>
  <c r="AB362" i="4"/>
  <c r="AB348" i="4"/>
  <c r="AB37" i="4"/>
  <c r="AB81" i="4"/>
  <c r="AB43" i="4"/>
  <c r="AB221" i="4"/>
  <c r="AB357" i="4"/>
  <c r="AB15" i="4"/>
  <c r="AB33" i="4"/>
  <c r="AB298" i="4"/>
  <c r="AB222" i="4"/>
  <c r="AB303" i="4"/>
  <c r="AB47" i="4"/>
  <c r="AB225" i="4"/>
  <c r="AB224" i="4"/>
  <c r="AB346" i="4"/>
  <c r="AB312" i="4"/>
  <c r="AB44" i="4"/>
  <c r="AB319" i="4"/>
  <c r="AB228" i="4"/>
  <c r="AB142" i="4"/>
  <c r="AE142" i="4" s="1"/>
  <c r="AB229" i="4"/>
  <c r="AB135" i="4"/>
  <c r="AE135" i="4" s="1"/>
  <c r="AB131" i="4"/>
  <c r="AE131" i="4" s="1"/>
  <c r="AB88" i="4"/>
  <c r="AB121" i="4"/>
  <c r="AE121" i="4" s="1"/>
  <c r="AB84" i="4"/>
  <c r="AB56" i="4"/>
  <c r="AB114" i="4"/>
  <c r="AB232" i="4"/>
  <c r="AE232" i="4" s="1"/>
  <c r="AB271" i="4"/>
  <c r="AB55" i="4"/>
  <c r="AB78" i="4"/>
  <c r="AB251" i="4"/>
  <c r="AB100" i="4"/>
  <c r="AB123" i="4"/>
  <c r="AE123" i="4" s="1"/>
  <c r="AB301" i="4"/>
  <c r="AB138" i="4"/>
  <c r="AE138" i="4" s="1"/>
  <c r="AB263" i="4"/>
  <c r="AB116" i="4"/>
  <c r="AE116" i="4" s="1"/>
  <c r="AB242" i="4"/>
  <c r="AB74" i="4"/>
  <c r="AE74" i="4" s="1"/>
  <c r="AB140" i="4"/>
  <c r="AE140" i="4" s="1"/>
  <c r="AB115" i="4"/>
  <c r="AB247" i="4"/>
  <c r="AB95" i="4"/>
  <c r="AB97" i="4"/>
  <c r="AE97" i="4" s="1"/>
  <c r="AB134" i="4"/>
  <c r="AB237" i="4"/>
  <c r="AB133" i="4"/>
  <c r="AE133" i="4" s="1"/>
  <c r="AB144" i="4"/>
  <c r="AE144" i="4" s="1"/>
  <c r="AB238" i="4"/>
  <c r="AE238" i="4" s="1"/>
  <c r="AB99" i="4"/>
  <c r="AB111" i="4"/>
  <c r="AB296" i="4"/>
  <c r="AB150" i="4"/>
  <c r="AB17" i="4"/>
  <c r="AB249" i="4"/>
  <c r="AB48" i="4"/>
  <c r="AB375" i="4"/>
  <c r="AB38" i="4"/>
  <c r="AB86" i="4"/>
  <c r="AB323" i="4"/>
  <c r="AB13" i="4"/>
  <c r="AB10" i="4"/>
  <c r="AB306" i="4"/>
  <c r="AB161" i="4"/>
  <c r="AB101" i="4"/>
  <c r="AB295" i="4"/>
  <c r="AB353" i="4"/>
  <c r="AB35" i="4"/>
  <c r="AB155" i="4"/>
  <c r="AE155" i="4" s="1"/>
  <c r="AB359" i="4"/>
  <c r="AB328" i="4"/>
  <c r="AB332" i="4"/>
  <c r="AB373" i="4"/>
  <c r="AB169" i="4"/>
  <c r="AB168" i="4"/>
  <c r="AB157" i="4"/>
  <c r="AE157" i="4" s="1"/>
  <c r="AB315" i="4"/>
  <c r="AB365" i="4"/>
  <c r="AB308" i="4"/>
  <c r="AB163" i="4"/>
  <c r="AB153" i="4"/>
  <c r="AB261" i="4"/>
  <c r="AB333" i="4"/>
  <c r="AB166" i="4"/>
  <c r="AB148" i="4"/>
  <c r="AB158" i="4"/>
  <c r="AE158" i="4" s="1"/>
  <c r="AB151" i="4"/>
  <c r="AB345" i="4"/>
  <c r="AB59" i="4"/>
  <c r="AB171" i="4"/>
  <c r="AB316" i="4"/>
  <c r="AB173" i="4"/>
  <c r="AB320" i="4"/>
  <c r="AB167" i="4"/>
  <c r="AB352" i="4"/>
  <c r="AB65" i="4"/>
  <c r="AB174" i="4"/>
  <c r="AB369" i="4"/>
  <c r="AB8" i="4"/>
  <c r="AB377" i="4"/>
  <c r="AB106" i="4"/>
  <c r="AB69" i="4"/>
  <c r="AE69" i="4" s="1"/>
  <c r="AB330" i="4"/>
  <c r="AB14" i="4"/>
  <c r="AB334" i="4"/>
  <c r="AB376" i="4"/>
  <c r="AB361" i="4"/>
  <c r="AB180" i="4"/>
  <c r="AE180" i="4" s="1"/>
  <c r="AB29" i="4"/>
  <c r="AB181" i="4"/>
  <c r="AB105" i="4"/>
  <c r="AB184" i="4"/>
  <c r="AB90" i="4"/>
  <c r="AB91" i="4"/>
  <c r="AE91" i="4" s="1"/>
  <c r="AB76" i="4"/>
  <c r="AB255" i="4"/>
  <c r="AB274" i="4"/>
  <c r="AB67" i="4"/>
  <c r="AB79" i="4"/>
  <c r="AB110" i="4"/>
  <c r="AB277" i="4"/>
  <c r="AB87" i="4"/>
  <c r="AB191" i="4"/>
  <c r="AB286" i="4"/>
  <c r="AB83" i="4"/>
  <c r="AB198" i="4"/>
  <c r="AB322" i="4"/>
  <c r="AB109" i="4"/>
  <c r="AB192" i="4"/>
  <c r="AE192" i="4" s="1"/>
  <c r="AB260" i="4"/>
  <c r="AB258" i="4"/>
  <c r="AB285" i="4"/>
  <c r="AB104" i="4"/>
  <c r="AB72" i="4"/>
  <c r="AB283" i="4"/>
  <c r="AB201" i="4"/>
  <c r="AB321" i="4"/>
  <c r="AB46" i="4"/>
  <c r="AB309" i="4"/>
  <c r="AB187" i="4"/>
  <c r="AB70" i="4"/>
  <c r="AB250" i="4"/>
  <c r="AB193" i="4"/>
  <c r="AB203" i="4"/>
  <c r="AB195" i="4"/>
  <c r="AB351" i="4"/>
  <c r="AB259" i="4"/>
  <c r="AB243" i="4"/>
  <c r="AB288" i="4"/>
  <c r="AB264" i="4"/>
  <c r="AB137" i="4"/>
  <c r="AB245" i="4"/>
  <c r="AB186" i="4"/>
  <c r="AB267" i="4"/>
  <c r="AB300" i="4"/>
  <c r="AB82" i="4"/>
  <c r="AB89" i="4"/>
  <c r="AB310" i="4"/>
  <c r="AB292" i="4"/>
  <c r="AB24" i="4"/>
  <c r="AB36" i="4"/>
  <c r="AE36" i="4" s="1"/>
  <c r="AB204" i="4"/>
  <c r="AB374" i="4"/>
  <c r="AB241" i="4"/>
  <c r="AB324" i="4"/>
  <c r="AB343" i="4"/>
  <c r="AB335" i="4"/>
  <c r="AB51" i="4"/>
  <c r="AB209" i="4"/>
  <c r="AB40" i="4"/>
  <c r="AB42" i="4"/>
  <c r="AB212" i="4"/>
  <c r="AB284" i="4"/>
  <c r="AB367" i="4"/>
  <c r="AB18" i="4"/>
  <c r="AB53" i="4"/>
  <c r="AB318" i="4"/>
  <c r="AB214" i="4"/>
  <c r="AB265" i="4"/>
  <c r="AB215" i="4"/>
  <c r="AB354" i="4"/>
  <c r="AB6" i="4"/>
  <c r="AB299" i="4"/>
  <c r="AB290" i="4"/>
  <c r="AB216" i="4"/>
  <c r="AE216" i="4" s="1"/>
  <c r="AB368" i="4"/>
  <c r="AB217" i="4"/>
  <c r="AE217" i="4" s="1"/>
  <c r="AB218" i="4"/>
  <c r="AE218" i="4" s="1"/>
  <c r="AB219" i="4"/>
  <c r="AB220" i="4"/>
  <c r="AB364" i="4"/>
  <c r="AB11" i="4"/>
  <c r="AB226" i="4"/>
  <c r="AB381" i="4"/>
  <c r="AB304" i="4"/>
  <c r="AB337" i="4"/>
  <c r="AB23" i="4"/>
  <c r="AB350" i="4"/>
  <c r="AB223" i="4"/>
  <c r="AB12" i="4"/>
  <c r="AB9" i="4"/>
  <c r="AB68" i="4"/>
  <c r="AB227" i="4"/>
  <c r="AB358" i="4"/>
  <c r="AB139" i="4"/>
  <c r="AE139" i="4" s="1"/>
  <c r="AB128" i="4"/>
  <c r="AE128" i="4" s="1"/>
  <c r="AB119" i="4"/>
  <c r="AE119" i="4" s="1"/>
  <c r="AB122" i="4"/>
  <c r="AE122" i="4" s="1"/>
  <c r="AB230" i="4"/>
  <c r="AB130" i="4"/>
  <c r="AE130" i="4" s="1"/>
  <c r="AB127" i="4"/>
  <c r="AB231" i="4"/>
  <c r="AB253" i="4"/>
  <c r="AB325" i="4"/>
  <c r="AB233" i="4"/>
  <c r="AE233" i="4" s="1"/>
  <c r="AB143" i="4"/>
  <c r="AE143" i="4" s="1"/>
  <c r="AB126" i="4"/>
  <c r="AB125" i="4"/>
  <c r="AB129" i="4"/>
  <c r="AE129" i="4" s="1"/>
  <c r="AB234" i="4"/>
  <c r="AE234" i="4" s="1"/>
  <c r="AB235" i="4"/>
  <c r="AB117" i="4"/>
  <c r="AB124" i="4"/>
  <c r="AE124" i="4" s="1"/>
  <c r="AB98" i="4"/>
  <c r="AE98" i="4" s="1"/>
  <c r="AB136" i="4"/>
  <c r="AE136" i="4" s="1"/>
  <c r="AB282" i="4"/>
  <c r="AB236" i="4"/>
  <c r="AB248" i="4"/>
  <c r="AB244" i="4"/>
  <c r="AB141" i="4"/>
  <c r="AE141" i="4" s="1"/>
  <c r="AB266" i="4"/>
  <c r="AB132" i="4"/>
  <c r="AB287" i="4"/>
  <c r="AB118" i="4"/>
  <c r="AB270" i="4"/>
  <c r="AB120" i="4"/>
  <c r="AE120" i="4" s="1"/>
  <c r="AB113" i="4"/>
  <c r="AB239" i="4"/>
  <c r="AC34" i="3"/>
  <c r="AC36" i="3"/>
  <c r="AC38" i="3"/>
  <c r="AC40" i="3"/>
  <c r="AC43" i="3"/>
  <c r="AC45" i="3"/>
  <c r="AC47" i="3"/>
  <c r="AC49" i="3"/>
  <c r="AE49" i="3" s="1"/>
  <c r="AC51" i="3"/>
  <c r="AC53" i="3"/>
  <c r="AC55" i="3"/>
  <c r="AC57" i="3"/>
  <c r="AE57" i="3" s="1"/>
  <c r="AC59" i="3"/>
  <c r="AC61" i="3"/>
  <c r="AC63" i="3"/>
  <c r="AC65" i="3"/>
  <c r="AE65" i="3" s="1"/>
  <c r="AC67" i="3"/>
  <c r="AC69" i="3"/>
  <c r="AC71" i="3"/>
  <c r="AC73" i="3"/>
  <c r="AE73" i="3" s="1"/>
  <c r="AC75" i="3"/>
  <c r="AC77" i="3"/>
  <c r="AC79" i="3"/>
  <c r="AC81" i="3"/>
  <c r="AE81" i="3" s="1"/>
  <c r="AC83" i="3"/>
  <c r="AC85" i="3"/>
  <c r="AC87" i="3"/>
  <c r="AC89" i="3"/>
  <c r="AC91" i="3"/>
  <c r="AC93" i="3"/>
  <c r="AC95" i="3"/>
  <c r="AC97" i="3"/>
  <c r="AE97" i="3" s="1"/>
  <c r="AC99" i="3"/>
  <c r="AC101" i="3"/>
  <c r="AC103" i="3"/>
  <c r="AC105" i="3"/>
  <c r="AE105" i="3" s="1"/>
  <c r="AC107" i="3"/>
  <c r="AC109" i="3"/>
  <c r="AC111" i="3"/>
  <c r="AC113" i="3"/>
  <c r="AE113" i="3" s="1"/>
  <c r="AC115" i="3"/>
  <c r="AC117" i="3"/>
  <c r="AC119" i="3"/>
  <c r="AC121" i="3"/>
  <c r="AE121" i="3" s="1"/>
  <c r="AC33" i="3"/>
  <c r="AC35" i="3"/>
  <c r="AC37" i="3"/>
  <c r="AC39" i="3"/>
  <c r="AC42" i="3"/>
  <c r="AC44" i="3"/>
  <c r="AC46" i="3"/>
  <c r="AC48" i="3"/>
  <c r="AC50" i="3"/>
  <c r="AC52" i="3"/>
  <c r="AC54" i="3"/>
  <c r="AC56" i="3"/>
  <c r="AC58" i="3"/>
  <c r="AC60" i="3"/>
  <c r="AC62" i="3"/>
  <c r="AC64" i="3"/>
  <c r="AC66" i="3"/>
  <c r="AC68" i="3"/>
  <c r="AC70" i="3"/>
  <c r="AC72" i="3"/>
  <c r="AC74" i="3"/>
  <c r="AC76" i="3"/>
  <c r="AC78" i="3"/>
  <c r="AC80" i="3"/>
  <c r="AC82" i="3"/>
  <c r="AC84" i="3"/>
  <c r="AC86" i="3"/>
  <c r="AC88" i="3"/>
  <c r="AC90" i="3"/>
  <c r="AC92" i="3"/>
  <c r="AC94" i="3"/>
  <c r="AC96" i="3"/>
  <c r="AC98" i="3"/>
  <c r="AC100" i="3"/>
  <c r="AC102" i="3"/>
  <c r="AC104" i="3"/>
  <c r="AC106" i="3"/>
  <c r="AC108" i="3"/>
  <c r="AC110" i="3"/>
  <c r="AE110" i="3" s="1"/>
  <c r="AC112" i="3"/>
  <c r="AC114" i="3"/>
  <c r="AC116" i="3"/>
  <c r="AC118" i="3"/>
  <c r="AC120" i="3"/>
  <c r="AB60" i="6"/>
  <c r="AB80" i="6"/>
  <c r="AB50" i="6"/>
  <c r="AB58" i="6"/>
  <c r="AB18" i="6"/>
  <c r="AB53" i="6"/>
  <c r="AE53" i="6" s="1"/>
  <c r="AB20" i="6"/>
  <c r="AB36" i="6"/>
  <c r="AB94" i="6"/>
  <c r="AB86" i="6"/>
  <c r="AB72" i="6"/>
  <c r="AB57" i="6"/>
  <c r="AB88" i="6"/>
  <c r="AB82" i="6"/>
  <c r="AB70" i="6"/>
  <c r="AB78" i="6"/>
  <c r="AB22" i="6"/>
  <c r="AB24" i="6"/>
  <c r="AB98" i="6"/>
  <c r="AB30" i="6"/>
  <c r="AB56" i="6"/>
  <c r="AB76" i="6"/>
  <c r="AB92" i="6"/>
  <c r="AB10" i="6"/>
  <c r="AB61" i="6"/>
  <c r="AB71" i="6"/>
  <c r="AB27" i="6"/>
  <c r="AB33" i="6"/>
  <c r="AB75" i="6"/>
  <c r="AB43" i="6"/>
  <c r="AB39" i="6"/>
  <c r="AB83" i="6"/>
  <c r="AB25" i="6"/>
  <c r="AB87" i="6"/>
  <c r="AB35" i="6"/>
  <c r="AB64" i="6"/>
  <c r="AE64" i="6" s="1"/>
  <c r="AB66" i="6"/>
  <c r="AB21" i="6"/>
  <c r="AB101" i="6"/>
  <c r="AB37" i="6"/>
  <c r="AB49" i="6"/>
  <c r="AB9" i="6"/>
  <c r="AB17" i="6"/>
  <c r="AB91" i="6"/>
  <c r="AB7" i="6"/>
  <c r="AB15" i="6"/>
  <c r="AB81" i="6"/>
  <c r="AB85" i="6"/>
  <c r="AB105" i="6"/>
  <c r="AB45" i="6"/>
  <c r="AB93" i="6"/>
  <c r="AB38" i="6"/>
  <c r="AB26" i="6"/>
  <c r="AB130" i="6"/>
  <c r="AB28" i="6"/>
  <c r="AB48" i="6"/>
  <c r="AB44" i="6"/>
  <c r="AB46" i="6"/>
  <c r="AB14" i="6"/>
  <c r="AB54" i="6"/>
  <c r="AE54" i="6" s="1"/>
  <c r="AB12" i="6"/>
  <c r="AE12" i="6" s="1"/>
  <c r="AB52" i="6"/>
  <c r="AB84" i="6"/>
  <c r="AB32" i="6"/>
  <c r="AB110" i="6"/>
  <c r="AB40" i="6"/>
  <c r="AB16" i="6"/>
  <c r="AB6" i="6"/>
  <c r="AB96" i="6"/>
  <c r="AB34" i="6"/>
  <c r="AB55" i="6"/>
  <c r="AE55" i="6" s="1"/>
  <c r="AB42" i="6"/>
  <c r="AB90" i="6"/>
  <c r="AB59" i="6"/>
  <c r="AB74" i="6"/>
  <c r="AB108" i="6"/>
  <c r="AB8" i="6"/>
  <c r="AB41" i="6"/>
  <c r="AB31" i="6"/>
  <c r="AB73" i="6"/>
  <c r="AB89" i="6"/>
  <c r="AB103" i="6"/>
  <c r="AB63" i="6"/>
  <c r="AE63" i="6" s="1"/>
  <c r="AB62" i="6"/>
  <c r="AB65" i="6"/>
  <c r="AB51" i="6"/>
  <c r="AB97" i="6"/>
  <c r="AB23" i="6"/>
  <c r="AB67" i="6"/>
  <c r="AB68" i="6"/>
  <c r="AE68" i="6" s="1"/>
  <c r="AB19" i="6"/>
  <c r="AE19" i="6" s="1"/>
  <c r="AB47" i="6"/>
  <c r="AB13" i="6"/>
  <c r="AB79" i="6"/>
  <c r="AB99" i="6"/>
  <c r="AB29" i="6"/>
  <c r="AB11" i="6"/>
  <c r="AB69" i="6"/>
  <c r="AB95" i="6"/>
  <c r="AB77" i="6"/>
  <c r="AC7" i="16"/>
  <c r="AC9" i="16"/>
  <c r="AF9" i="16" s="1"/>
  <c r="AC11" i="16"/>
  <c r="AC13" i="16"/>
  <c r="AC15" i="16"/>
  <c r="AC17" i="16"/>
  <c r="AC19" i="16"/>
  <c r="AC21" i="16"/>
  <c r="AC23" i="16"/>
  <c r="AC25" i="16"/>
  <c r="AC27" i="16"/>
  <c r="AC29" i="16"/>
  <c r="AC31" i="16"/>
  <c r="AC33" i="16"/>
  <c r="AC35" i="16"/>
  <c r="AF35" i="16" s="1"/>
  <c r="AC37" i="16"/>
  <c r="AC39" i="16"/>
  <c r="AC41" i="16"/>
  <c r="AC43" i="16"/>
  <c r="AC45" i="16"/>
  <c r="AC47" i="16"/>
  <c r="AC49" i="16"/>
  <c r="AC51" i="16"/>
  <c r="AC53" i="16"/>
  <c r="AC55" i="16"/>
  <c r="AF55" i="16" s="1"/>
  <c r="AC57" i="16"/>
  <c r="AC59" i="16"/>
  <c r="AC61" i="16"/>
  <c r="AC63" i="16"/>
  <c r="AC65" i="16"/>
  <c r="AC67" i="16"/>
  <c r="AC69" i="16"/>
  <c r="AC71" i="16"/>
  <c r="AC73" i="16"/>
  <c r="AC75" i="16"/>
  <c r="AC77" i="16"/>
  <c r="AC79" i="16"/>
  <c r="AF79" i="16" s="1"/>
  <c r="AC81" i="16"/>
  <c r="AC83" i="16"/>
  <c r="AF83" i="16" s="1"/>
  <c r="AC85" i="16"/>
  <c r="AF85" i="16" s="1"/>
  <c r="AC87" i="16"/>
  <c r="AF87" i="16" s="1"/>
  <c r="AC89" i="16"/>
  <c r="AC91" i="16"/>
  <c r="AC93" i="16"/>
  <c r="AC95" i="16"/>
  <c r="AC97" i="16"/>
  <c r="AC99" i="16"/>
  <c r="AC101" i="16"/>
  <c r="AC103" i="16"/>
  <c r="AC105" i="16"/>
  <c r="AC107" i="16"/>
  <c r="AC109" i="16"/>
  <c r="AC111" i="16"/>
  <c r="AC113" i="16"/>
  <c r="AC115" i="16"/>
  <c r="AC117" i="16"/>
  <c r="AC119" i="16"/>
  <c r="AC121" i="16"/>
  <c r="AC123" i="16"/>
  <c r="AC125" i="16"/>
  <c r="AC127" i="16"/>
  <c r="AC129" i="16"/>
  <c r="AC131" i="16"/>
  <c r="AC133" i="16"/>
  <c r="AC135" i="16"/>
  <c r="AC137" i="16"/>
  <c r="AC139" i="16"/>
  <c r="AC141" i="16"/>
  <c r="AF141" i="16" s="1"/>
  <c r="AC143" i="16"/>
  <c r="AC145" i="16"/>
  <c r="AC147" i="16"/>
  <c r="AC149" i="16"/>
  <c r="AC151" i="16"/>
  <c r="AC153" i="16"/>
  <c r="AC155" i="16"/>
  <c r="AF155" i="16" s="1"/>
  <c r="AC157" i="16"/>
  <c r="AF157" i="16" s="1"/>
  <c r="AC159" i="16"/>
  <c r="AC161" i="16"/>
  <c r="AC163" i="16"/>
  <c r="AF163" i="16" s="1"/>
  <c r="AC165" i="16"/>
  <c r="AC167" i="16"/>
  <c r="AC169" i="16"/>
  <c r="AC171" i="16"/>
  <c r="AF171" i="16" s="1"/>
  <c r="AC173" i="16"/>
  <c r="AC175" i="16"/>
  <c r="AC177" i="16"/>
  <c r="AC179" i="16"/>
  <c r="AC181" i="16"/>
  <c r="AC183" i="16"/>
  <c r="AF183" i="16" s="1"/>
  <c r="AC185" i="16"/>
  <c r="AC187" i="16"/>
  <c r="AC189" i="16"/>
  <c r="AC191" i="16"/>
  <c r="AC193" i="16"/>
  <c r="AC195" i="16"/>
  <c r="AC197" i="16"/>
  <c r="AC199" i="16"/>
  <c r="AC201" i="16"/>
  <c r="AF201" i="16" s="1"/>
  <c r="AC203" i="16"/>
  <c r="AC205" i="16"/>
  <c r="AC207" i="16"/>
  <c r="AC209" i="16"/>
  <c r="AC211" i="16"/>
  <c r="AC213" i="16"/>
  <c r="AC215" i="16"/>
  <c r="AC217" i="16"/>
  <c r="AC219" i="16"/>
  <c r="AC221" i="16"/>
  <c r="AC223" i="16"/>
  <c r="AC225" i="16"/>
  <c r="AC227" i="16"/>
  <c r="AC229" i="16"/>
  <c r="AC231" i="16"/>
  <c r="AC233" i="16"/>
  <c r="AC235" i="16"/>
  <c r="AC237" i="16"/>
  <c r="AC239" i="16"/>
  <c r="AC241" i="16"/>
  <c r="AC243" i="16"/>
  <c r="AC245" i="16"/>
  <c r="AC247" i="16"/>
  <c r="AC249" i="16"/>
  <c r="AC251" i="16"/>
  <c r="AF251" i="16" s="1"/>
  <c r="AC253" i="16"/>
  <c r="AC255" i="16"/>
  <c r="AC257" i="16"/>
  <c r="AC259" i="16"/>
  <c r="AF259" i="16" s="1"/>
  <c r="AC261" i="16"/>
  <c r="AC263" i="16"/>
  <c r="AC265" i="16"/>
  <c r="AF265" i="16" s="1"/>
  <c r="AC267" i="16"/>
  <c r="AC269" i="16"/>
  <c r="AC271" i="16"/>
  <c r="AC273" i="16"/>
  <c r="AC275" i="16"/>
  <c r="AC277" i="16"/>
  <c r="AC279" i="16"/>
  <c r="AC281" i="16"/>
  <c r="AC283" i="16"/>
  <c r="AC285" i="16"/>
  <c r="AC287" i="16"/>
  <c r="AC289" i="16"/>
  <c r="AC291" i="16"/>
  <c r="AC293" i="16"/>
  <c r="AC295" i="16"/>
  <c r="AC297" i="16"/>
  <c r="AC299" i="16"/>
  <c r="AC301" i="16"/>
  <c r="AC303" i="16"/>
  <c r="AC305" i="16"/>
  <c r="AC307" i="16"/>
  <c r="AC309" i="16"/>
  <c r="AC311" i="16"/>
  <c r="AC313" i="16"/>
  <c r="AC315" i="16"/>
  <c r="AC317" i="16"/>
  <c r="AC319" i="16"/>
  <c r="AC321" i="16"/>
  <c r="AC323" i="16"/>
  <c r="AC325" i="16"/>
  <c r="AF325" i="16" s="1"/>
  <c r="AC327" i="16"/>
  <c r="AF327" i="16" s="1"/>
  <c r="AC329" i="16"/>
  <c r="AF329" i="16" s="1"/>
  <c r="AC331" i="16"/>
  <c r="AC333" i="16"/>
  <c r="AC335" i="16"/>
  <c r="AC337" i="16"/>
  <c r="AC339" i="16"/>
  <c r="AC341" i="16"/>
  <c r="AC343" i="16"/>
  <c r="AC345" i="16"/>
  <c r="AC347" i="16"/>
  <c r="AC349" i="16"/>
  <c r="AC351" i="16"/>
  <c r="AC353" i="16"/>
  <c r="AC355" i="16"/>
  <c r="AC357" i="16"/>
  <c r="AC359" i="16"/>
  <c r="AC361" i="16"/>
  <c r="AC363" i="16"/>
  <c r="AC365" i="16"/>
  <c r="AC367" i="16"/>
  <c r="AC369" i="16"/>
  <c r="AC371" i="16"/>
  <c r="AC373" i="16"/>
  <c r="AC375" i="16"/>
  <c r="AC377" i="16"/>
  <c r="AC379" i="16"/>
  <c r="AC381" i="16"/>
  <c r="AC383" i="16"/>
  <c r="AC385" i="16"/>
  <c r="AC387" i="16"/>
  <c r="AF387" i="16" s="1"/>
  <c r="AC389" i="16"/>
  <c r="AC391" i="16"/>
  <c r="AC393" i="16"/>
  <c r="AC395" i="16"/>
  <c r="AC397" i="16"/>
  <c r="AC399" i="16"/>
  <c r="AC401" i="16"/>
  <c r="AC403" i="16"/>
  <c r="AC405" i="16"/>
  <c r="AC407" i="16"/>
  <c r="AC409" i="16"/>
  <c r="AC411" i="16"/>
  <c r="AF411" i="16" s="1"/>
  <c r="AC413" i="16"/>
  <c r="AF413" i="16" s="1"/>
  <c r="AC415" i="16"/>
  <c r="AC417" i="16"/>
  <c r="AC419" i="16"/>
  <c r="AC421" i="16"/>
  <c r="AC423" i="16"/>
  <c r="AC425" i="16"/>
  <c r="AC427" i="16"/>
  <c r="AC429" i="16"/>
  <c r="AC431" i="16"/>
  <c r="AC433" i="16"/>
  <c r="AC435" i="16"/>
  <c r="AC437" i="16"/>
  <c r="AC439" i="16"/>
  <c r="AC441" i="16"/>
  <c r="AC443" i="16"/>
  <c r="AC445" i="16"/>
  <c r="AC447" i="16"/>
  <c r="AC449" i="16"/>
  <c r="AC451" i="16"/>
  <c r="AC453" i="16"/>
  <c r="AF453" i="16" s="1"/>
  <c r="AC455" i="16"/>
  <c r="AF455" i="16" s="1"/>
  <c r="AC457" i="16"/>
  <c r="AF457" i="16" s="1"/>
  <c r="AC459" i="16"/>
  <c r="AF459" i="16" s="1"/>
  <c r="AC461" i="16"/>
  <c r="AC463" i="16"/>
  <c r="AC465" i="16"/>
  <c r="AC467" i="16"/>
  <c r="AC469" i="16"/>
  <c r="AC471" i="16"/>
  <c r="AC473" i="16"/>
  <c r="AC475" i="16"/>
  <c r="AF475" i="16" s="1"/>
  <c r="AC477" i="16"/>
  <c r="AC479" i="16"/>
  <c r="AC481" i="16"/>
  <c r="AC483" i="16"/>
  <c r="AC485" i="16"/>
  <c r="AF485" i="16" s="1"/>
  <c r="AC487" i="16"/>
  <c r="AF487" i="16" s="1"/>
  <c r="AC489" i="16"/>
  <c r="AC491" i="16"/>
  <c r="AC493" i="16"/>
  <c r="AC495" i="16"/>
  <c r="AC497" i="16"/>
  <c r="AC499" i="16"/>
  <c r="AC501" i="16"/>
  <c r="AC503" i="16"/>
  <c r="AC505" i="16"/>
  <c r="AC507" i="16"/>
  <c r="AC509" i="16"/>
  <c r="AC511" i="16"/>
  <c r="AC513" i="16"/>
  <c r="AC515" i="16"/>
  <c r="AC517" i="16"/>
  <c r="AC519" i="16"/>
  <c r="AC521" i="16"/>
  <c r="AC523" i="16"/>
  <c r="AC525" i="16"/>
  <c r="AC527" i="16"/>
  <c r="AC529" i="16"/>
  <c r="AC531" i="16"/>
  <c r="AC533" i="16"/>
  <c r="AC535" i="16"/>
  <c r="AC537" i="16"/>
  <c r="AC539" i="16"/>
  <c r="AF539" i="16" s="1"/>
  <c r="AC541" i="16"/>
  <c r="AF541" i="16" s="1"/>
  <c r="AC543" i="16"/>
  <c r="AC545" i="16"/>
  <c r="AC547" i="16"/>
  <c r="AC549" i="16"/>
  <c r="AC551" i="16"/>
  <c r="AC553" i="16"/>
  <c r="AC555" i="16"/>
  <c r="AC557" i="16"/>
  <c r="AF557" i="16" s="1"/>
  <c r="AC559" i="16"/>
  <c r="AF559" i="16" s="1"/>
  <c r="AC561" i="16"/>
  <c r="AC563" i="16"/>
  <c r="AC565" i="16"/>
  <c r="AC567" i="16"/>
  <c r="AC569" i="16"/>
  <c r="AC571" i="16"/>
  <c r="AC573" i="16"/>
  <c r="AC575" i="16"/>
  <c r="AC577" i="16"/>
  <c r="AC579" i="16"/>
  <c r="AC581" i="16"/>
  <c r="AC583" i="16"/>
  <c r="AC585" i="16"/>
  <c r="AC587" i="16"/>
  <c r="AC589" i="16"/>
  <c r="AC591" i="16"/>
  <c r="AC593" i="16"/>
  <c r="AC595" i="16"/>
  <c r="AF595" i="16" s="1"/>
  <c r="AC597" i="16"/>
  <c r="AC599" i="16"/>
  <c r="AF599" i="16" s="1"/>
  <c r="AC601" i="16"/>
  <c r="AF601" i="16" s="1"/>
  <c r="AC603" i="16"/>
  <c r="AF603" i="16" s="1"/>
  <c r="AC605" i="16"/>
  <c r="AF605" i="16" s="1"/>
  <c r="AC607" i="16"/>
  <c r="AF607" i="16" s="1"/>
  <c r="AC609" i="16"/>
  <c r="AC611" i="16"/>
  <c r="AC613" i="16"/>
  <c r="AF613" i="16" s="1"/>
  <c r="AC615" i="16"/>
  <c r="AF615" i="16" s="1"/>
  <c r="AC617" i="16"/>
  <c r="AF617" i="16" s="1"/>
  <c r="AC619" i="16"/>
  <c r="AC621" i="16"/>
  <c r="AC623" i="16"/>
  <c r="AC625" i="16"/>
  <c r="AC627" i="16"/>
  <c r="AC629" i="16"/>
  <c r="AF629" i="16" s="1"/>
  <c r="AC631" i="16"/>
  <c r="AF631" i="16" s="1"/>
  <c r="AC633" i="16"/>
  <c r="AC635" i="16"/>
  <c r="AF635" i="16" s="1"/>
  <c r="AC637" i="16"/>
  <c r="AC639" i="16"/>
  <c r="AC641" i="16"/>
  <c r="AC643" i="16"/>
  <c r="AC645" i="16"/>
  <c r="AC647" i="16"/>
  <c r="AF647" i="16" s="1"/>
  <c r="AC649" i="16"/>
  <c r="AC651" i="16"/>
  <c r="AF651" i="16" s="1"/>
  <c r="AC653" i="16"/>
  <c r="AC655" i="16"/>
  <c r="AC657" i="16"/>
  <c r="AF657" i="16" s="1"/>
  <c r="AC659" i="16"/>
  <c r="AF659" i="16" s="1"/>
  <c r="AC661" i="16"/>
  <c r="AF661" i="16" s="1"/>
  <c r="AC663" i="16"/>
  <c r="AF663" i="16" s="1"/>
  <c r="AC665" i="16"/>
  <c r="AF665" i="16" s="1"/>
  <c r="AC667" i="16"/>
  <c r="AF667" i="16" s="1"/>
  <c r="AC669" i="16"/>
  <c r="AC671" i="16"/>
  <c r="AC673" i="16"/>
  <c r="AF673" i="16" s="1"/>
  <c r="AC675" i="16"/>
  <c r="AF675" i="16" s="1"/>
  <c r="AC677" i="16"/>
  <c r="AC679" i="16"/>
  <c r="AC681" i="16"/>
  <c r="AF681" i="16" s="1"/>
  <c r="AC683" i="16"/>
  <c r="AC685" i="16"/>
  <c r="AC687" i="16"/>
  <c r="AF687" i="16" s="1"/>
  <c r="AC689" i="16"/>
  <c r="AF689" i="16" s="1"/>
  <c r="AC691" i="16"/>
  <c r="AF691" i="16" s="1"/>
  <c r="AC693" i="16"/>
  <c r="AC695" i="16"/>
  <c r="AF695" i="16" s="1"/>
  <c r="AC697" i="16"/>
  <c r="AC699" i="16"/>
  <c r="AC701" i="16"/>
  <c r="AC703" i="16"/>
  <c r="AC705" i="16"/>
  <c r="AC707" i="16"/>
  <c r="AC709" i="16"/>
  <c r="AF709" i="16" s="1"/>
  <c r="AC711" i="16"/>
  <c r="AF711" i="16" s="1"/>
  <c r="AC713" i="16"/>
  <c r="AF713" i="16" s="1"/>
  <c r="AC715" i="16"/>
  <c r="AC717" i="16"/>
  <c r="AC719" i="16"/>
  <c r="AC721" i="16"/>
  <c r="AC723" i="16"/>
  <c r="AF723" i="16" s="1"/>
  <c r="AC6" i="16"/>
  <c r="AC8" i="16"/>
  <c r="AC10" i="16"/>
  <c r="AC12" i="16"/>
  <c r="AC14" i="16"/>
  <c r="AC16" i="16"/>
  <c r="AC18" i="16"/>
  <c r="AC20" i="16"/>
  <c r="AC22" i="16"/>
  <c r="AC24" i="16"/>
  <c r="AC26" i="16"/>
  <c r="AC28" i="16"/>
  <c r="AC30" i="16"/>
  <c r="AC32" i="16"/>
  <c r="AC34" i="16"/>
  <c r="AC36" i="16"/>
  <c r="AC38" i="16"/>
  <c r="AC40" i="16"/>
  <c r="AC42" i="16"/>
  <c r="AC44" i="16"/>
  <c r="AC46" i="16"/>
  <c r="AC48" i="16"/>
  <c r="AC50" i="16"/>
  <c r="AF50" i="16" s="1"/>
  <c r="AC52" i="16"/>
  <c r="AC54" i="16"/>
  <c r="AC56" i="16"/>
  <c r="AF56" i="16" s="1"/>
  <c r="AC58" i="16"/>
  <c r="AC60" i="16"/>
  <c r="AC62" i="16"/>
  <c r="AC64" i="16"/>
  <c r="AC66" i="16"/>
  <c r="AC68" i="16"/>
  <c r="AF68" i="16" s="1"/>
  <c r="AC70" i="16"/>
  <c r="AC72" i="16"/>
  <c r="AC74" i="16"/>
  <c r="AC76" i="16"/>
  <c r="AC78" i="16"/>
  <c r="AC80" i="16"/>
  <c r="AF80" i="16" s="1"/>
  <c r="AC82" i="16"/>
  <c r="AF82" i="16" s="1"/>
  <c r="AC84" i="16"/>
  <c r="AC86" i="16"/>
  <c r="AC88" i="16"/>
  <c r="AC90" i="16"/>
  <c r="AC92" i="16"/>
  <c r="AC94" i="16"/>
  <c r="AC96" i="16"/>
  <c r="AF96" i="16" s="1"/>
  <c r="AC98" i="16"/>
  <c r="AC100" i="16"/>
  <c r="AF100" i="16" s="1"/>
  <c r="AC102" i="16"/>
  <c r="AC104" i="16"/>
  <c r="AC106" i="16"/>
  <c r="AC108" i="16"/>
  <c r="AC110" i="16"/>
  <c r="AC112" i="16"/>
  <c r="AC114" i="16"/>
  <c r="AC116" i="16"/>
  <c r="AC118" i="16"/>
  <c r="AC120" i="16"/>
  <c r="AC122" i="16"/>
  <c r="AC124" i="16"/>
  <c r="AC126" i="16"/>
  <c r="AC128" i="16"/>
  <c r="AC130" i="16"/>
  <c r="AC132" i="16"/>
  <c r="AC134" i="16"/>
  <c r="AC136" i="16"/>
  <c r="AC138" i="16"/>
  <c r="AC140" i="16"/>
  <c r="AC142" i="16"/>
  <c r="AC144" i="16"/>
  <c r="AC146" i="16"/>
  <c r="AF146" i="16" s="1"/>
  <c r="AC148" i="16"/>
  <c r="AC150" i="16"/>
  <c r="AC152" i="16"/>
  <c r="AC154" i="16"/>
  <c r="AC156" i="16"/>
  <c r="AC158" i="16"/>
  <c r="AF158" i="16" s="1"/>
  <c r="AC160" i="16"/>
  <c r="AC162" i="16"/>
  <c r="AC164" i="16"/>
  <c r="AC166" i="16"/>
  <c r="AC168" i="16"/>
  <c r="AC170" i="16"/>
  <c r="AF170" i="16" s="1"/>
  <c r="AC172" i="16"/>
  <c r="AC174" i="16"/>
  <c r="AC176" i="16"/>
  <c r="AC178" i="16"/>
  <c r="AC180" i="16"/>
  <c r="AC182" i="16"/>
  <c r="AF182" i="16" s="1"/>
  <c r="AC184" i="16"/>
  <c r="AC186" i="16"/>
  <c r="AC188" i="16"/>
  <c r="AC190" i="16"/>
  <c r="AF190" i="16" s="1"/>
  <c r="AC192" i="16"/>
  <c r="AC194" i="16"/>
  <c r="AC196" i="16"/>
  <c r="AC198" i="16"/>
  <c r="AF198" i="16" s="1"/>
  <c r="AC200" i="16"/>
  <c r="AC202" i="16"/>
  <c r="AC204" i="16"/>
  <c r="AC206" i="16"/>
  <c r="AF206" i="16" s="1"/>
  <c r="AC208" i="16"/>
  <c r="AC210" i="16"/>
  <c r="AC212" i="16"/>
  <c r="AC214" i="16"/>
  <c r="AC216" i="16"/>
  <c r="AC218" i="16"/>
  <c r="AC220" i="16"/>
  <c r="AC222" i="16"/>
  <c r="AC224" i="16"/>
  <c r="AC226" i="16"/>
  <c r="AC228" i="16"/>
  <c r="AC230" i="16"/>
  <c r="AC232" i="16"/>
  <c r="AC234" i="16"/>
  <c r="AC236" i="16"/>
  <c r="AC238" i="16"/>
  <c r="AC240" i="16"/>
  <c r="AC242" i="16"/>
  <c r="AC244" i="16"/>
  <c r="AC246" i="16"/>
  <c r="AC248" i="16"/>
  <c r="AC250" i="16"/>
  <c r="AC252" i="16"/>
  <c r="AF252" i="16" s="1"/>
  <c r="AC254" i="16"/>
  <c r="AC256" i="16"/>
  <c r="AC258" i="16"/>
  <c r="AC260" i="16"/>
  <c r="AC262" i="16"/>
  <c r="AC264" i="16"/>
  <c r="AC266" i="16"/>
  <c r="AF266" i="16" s="1"/>
  <c r="AC268" i="16"/>
  <c r="AF268" i="16" s="1"/>
  <c r="AC270" i="16"/>
  <c r="AC272" i="16"/>
  <c r="AC274" i="16"/>
  <c r="AC276" i="16"/>
  <c r="AF276" i="16" s="1"/>
  <c r="AC278" i="16"/>
  <c r="AC280" i="16"/>
  <c r="AC282" i="16"/>
  <c r="AC284" i="16"/>
  <c r="AC286" i="16"/>
  <c r="AC288" i="16"/>
  <c r="AC290" i="16"/>
  <c r="AC292" i="16"/>
  <c r="AC294" i="16"/>
  <c r="AC296" i="16"/>
  <c r="AC298" i="16"/>
  <c r="AF298" i="16" s="1"/>
  <c r="AC300" i="16"/>
  <c r="AC302" i="16"/>
  <c r="AC304" i="16"/>
  <c r="AC306" i="16"/>
  <c r="AC308" i="16"/>
  <c r="AC310" i="16"/>
  <c r="AC312" i="16"/>
  <c r="AC314" i="16"/>
  <c r="AC316" i="16"/>
  <c r="AC318" i="16"/>
  <c r="AF318" i="16" s="1"/>
  <c r="AC320" i="16"/>
  <c r="AC322" i="16"/>
  <c r="AC324" i="16"/>
  <c r="AF324" i="16" s="1"/>
  <c r="AC326" i="16"/>
  <c r="AF326" i="16" s="1"/>
  <c r="AC328" i="16"/>
  <c r="AF328" i="16" s="1"/>
  <c r="AC330" i="16"/>
  <c r="AF330" i="16" s="1"/>
  <c r="AC332" i="16"/>
  <c r="AC334" i="16"/>
  <c r="AC336" i="16"/>
  <c r="AC338" i="16"/>
  <c r="AC340" i="16"/>
  <c r="AC342" i="16"/>
  <c r="AC344" i="16"/>
  <c r="AC346" i="16"/>
  <c r="AC348" i="16"/>
  <c r="AC350" i="16"/>
  <c r="AC352" i="16"/>
  <c r="AC354" i="16"/>
  <c r="AC356" i="16"/>
  <c r="AC358" i="16"/>
  <c r="AC360" i="16"/>
  <c r="AC362" i="16"/>
  <c r="AC364" i="16"/>
  <c r="AC366" i="16"/>
  <c r="AC368" i="16"/>
  <c r="AC370" i="16"/>
  <c r="AC372" i="16"/>
  <c r="AC374" i="16"/>
  <c r="AC376" i="16"/>
  <c r="AC378" i="16"/>
  <c r="AC380" i="16"/>
  <c r="AC382" i="16"/>
  <c r="AC384" i="16"/>
  <c r="AC386" i="16"/>
  <c r="AC388" i="16"/>
  <c r="AC390" i="16"/>
  <c r="AC392" i="16"/>
  <c r="AF392" i="16" s="1"/>
  <c r="AC394" i="16"/>
  <c r="AC396" i="16"/>
  <c r="AC398" i="16"/>
  <c r="AC400" i="16"/>
  <c r="AC402" i="16"/>
  <c r="AC404" i="16"/>
  <c r="AC406" i="16"/>
  <c r="AC408" i="16"/>
  <c r="AC410" i="16"/>
  <c r="AF410" i="16" s="1"/>
  <c r="AC412" i="16"/>
  <c r="AF412" i="16" s="1"/>
  <c r="AC414" i="16"/>
  <c r="AC416" i="16"/>
  <c r="AC418" i="16"/>
  <c r="AC420" i="16"/>
  <c r="AC422" i="16"/>
  <c r="AC424" i="16"/>
  <c r="AC426" i="16"/>
  <c r="AC428" i="16"/>
  <c r="AC430" i="16"/>
  <c r="AC432" i="16"/>
  <c r="AC434" i="16"/>
  <c r="AC436" i="16"/>
  <c r="AC438" i="16"/>
  <c r="AC440" i="16"/>
  <c r="AF440" i="16" s="1"/>
  <c r="AC442" i="16"/>
  <c r="AC444" i="16"/>
  <c r="AC446" i="16"/>
  <c r="AC448" i="16"/>
  <c r="AC450" i="16"/>
  <c r="AC452" i="16"/>
  <c r="AC454" i="16"/>
  <c r="AC456" i="16"/>
  <c r="AC458" i="16"/>
  <c r="AC460" i="16"/>
  <c r="AC462" i="16"/>
  <c r="AC464" i="16"/>
  <c r="AC466" i="16"/>
  <c r="AC468" i="16"/>
  <c r="AC470" i="16"/>
  <c r="AC472" i="16"/>
  <c r="AC474" i="16"/>
  <c r="AC476" i="16"/>
  <c r="AC478" i="16"/>
  <c r="AC480" i="16"/>
  <c r="AC482" i="16"/>
  <c r="AC484" i="16"/>
  <c r="AC486" i="16"/>
  <c r="AF486" i="16" s="1"/>
  <c r="AC488" i="16"/>
  <c r="AC490" i="16"/>
  <c r="AC492" i="16"/>
  <c r="AC494" i="16"/>
  <c r="AC496" i="16"/>
  <c r="AC498" i="16"/>
  <c r="AC500" i="16"/>
  <c r="AC502" i="16"/>
  <c r="AC504" i="16"/>
  <c r="AC506" i="16"/>
  <c r="AC508" i="16"/>
  <c r="AC510" i="16"/>
  <c r="AC512" i="16"/>
  <c r="AC514" i="16"/>
  <c r="AC516" i="16"/>
  <c r="AC518" i="16"/>
  <c r="AC520" i="16"/>
  <c r="AC522" i="16"/>
  <c r="AC524" i="16"/>
  <c r="AC526" i="16"/>
  <c r="AC528" i="16"/>
  <c r="AC530" i="16"/>
  <c r="AC532" i="16"/>
  <c r="AC534" i="16"/>
  <c r="AC536" i="16"/>
  <c r="AC538" i="16"/>
  <c r="AC540" i="16"/>
  <c r="AC542" i="16"/>
  <c r="AC544" i="16"/>
  <c r="AC546" i="16"/>
  <c r="AC548" i="16"/>
  <c r="AF548" i="16" s="1"/>
  <c r="AC550" i="16"/>
  <c r="AC552" i="16"/>
  <c r="AF552" i="16" s="1"/>
  <c r="AC554" i="16"/>
  <c r="AC556" i="16"/>
  <c r="AC558" i="16"/>
  <c r="AC560" i="16"/>
  <c r="AC562" i="16"/>
  <c r="AC564" i="16"/>
  <c r="AC566" i="16"/>
  <c r="AC568" i="16"/>
  <c r="AC570" i="16"/>
  <c r="AF570" i="16" s="1"/>
  <c r="AC572" i="16"/>
  <c r="AC574" i="16"/>
  <c r="AC576" i="16"/>
  <c r="AC578" i="16"/>
  <c r="AC580" i="16"/>
  <c r="AC582" i="16"/>
  <c r="AC584" i="16"/>
  <c r="AC586" i="16"/>
  <c r="AF586" i="16" s="1"/>
  <c r="AC588" i="16"/>
  <c r="AC590" i="16"/>
  <c r="AC592" i="16"/>
  <c r="AC594" i="16"/>
  <c r="AC596" i="16"/>
  <c r="AF596" i="16" s="1"/>
  <c r="AC598" i="16"/>
  <c r="AC600" i="16"/>
  <c r="AF600" i="16" s="1"/>
  <c r="AC602" i="16"/>
  <c r="AC604" i="16"/>
  <c r="AF604" i="16" s="1"/>
  <c r="AC606" i="16"/>
  <c r="AF606" i="16" s="1"/>
  <c r="AC608" i="16"/>
  <c r="AF608" i="16" s="1"/>
  <c r="AC610" i="16"/>
  <c r="AF610" i="16" s="1"/>
  <c r="AC612" i="16"/>
  <c r="AF612" i="16" s="1"/>
  <c r="AC614" i="16"/>
  <c r="AF614" i="16" s="1"/>
  <c r="AC616" i="16"/>
  <c r="AF616" i="16" s="1"/>
  <c r="AC618" i="16"/>
  <c r="AC620" i="16"/>
  <c r="AC622" i="16"/>
  <c r="AC624" i="16"/>
  <c r="AC626" i="16"/>
  <c r="AF626" i="16" s="1"/>
  <c r="AC628" i="16"/>
  <c r="AC630" i="16"/>
  <c r="AC632" i="16"/>
  <c r="AF632" i="16" s="1"/>
  <c r="AC634" i="16"/>
  <c r="AC636" i="16"/>
  <c r="AC638" i="16"/>
  <c r="AF638" i="16" s="1"/>
  <c r="AC640" i="16"/>
  <c r="AC642" i="16"/>
  <c r="AC644" i="16"/>
  <c r="AF644" i="16" s="1"/>
  <c r="AC646" i="16"/>
  <c r="AF646" i="16" s="1"/>
  <c r="AC648" i="16"/>
  <c r="AF648" i="16" s="1"/>
  <c r="AC650" i="16"/>
  <c r="AF650" i="16" s="1"/>
  <c r="AC652" i="16"/>
  <c r="AF652" i="16" s="1"/>
  <c r="AC654" i="16"/>
  <c r="AC656" i="16"/>
  <c r="AF656" i="16" s="1"/>
  <c r="AC658" i="16"/>
  <c r="AC660" i="16"/>
  <c r="AF660" i="16" s="1"/>
  <c r="AC662" i="16"/>
  <c r="AC664" i="16"/>
  <c r="AF664" i="16" s="1"/>
  <c r="AC666" i="16"/>
  <c r="AF666" i="16" s="1"/>
  <c r="AC668" i="16"/>
  <c r="AF668" i="16" s="1"/>
  <c r="AC670" i="16"/>
  <c r="AF670" i="16" s="1"/>
  <c r="AC672" i="16"/>
  <c r="AC674" i="16"/>
  <c r="AC676" i="16"/>
  <c r="AF676" i="16" s="1"/>
  <c r="AC678" i="16"/>
  <c r="AC680" i="16"/>
  <c r="AC682" i="16"/>
  <c r="AC684" i="16"/>
  <c r="AC686" i="16"/>
  <c r="AF686" i="16" s="1"/>
  <c r="AC688" i="16"/>
  <c r="AC690" i="16"/>
  <c r="AC692" i="16"/>
  <c r="AF692" i="16" s="1"/>
  <c r="AC694" i="16"/>
  <c r="AF694" i="16" s="1"/>
  <c r="AC696" i="16"/>
  <c r="AF696" i="16" s="1"/>
  <c r="AC698" i="16"/>
  <c r="AF698" i="16" s="1"/>
  <c r="AC700" i="16"/>
  <c r="AC702" i="16"/>
  <c r="AC704" i="16"/>
  <c r="AC706" i="16"/>
  <c r="AF706" i="16" s="1"/>
  <c r="AC708" i="16"/>
  <c r="AC710" i="16"/>
  <c r="AF710" i="16" s="1"/>
  <c r="AC712" i="16"/>
  <c r="AF712" i="16" s="1"/>
  <c r="AC714" i="16"/>
  <c r="AC716" i="16"/>
  <c r="AC718" i="16"/>
  <c r="AF718" i="16" s="1"/>
  <c r="AC720" i="16"/>
  <c r="AF720" i="16" s="1"/>
  <c r="AC722" i="16"/>
  <c r="AD7" i="16"/>
  <c r="AD9" i="16"/>
  <c r="AE9" i="16" s="1"/>
  <c r="AD11" i="16"/>
  <c r="AE11" i="16" s="1"/>
  <c r="AD13" i="16"/>
  <c r="AE13" i="16" s="1"/>
  <c r="AD15" i="16"/>
  <c r="AD17" i="16"/>
  <c r="AE17" i="16" s="1"/>
  <c r="AD19" i="16"/>
  <c r="AE19" i="16" s="1"/>
  <c r="AD21" i="16"/>
  <c r="AE21" i="16" s="1"/>
  <c r="AD23" i="16"/>
  <c r="AD25" i="16"/>
  <c r="AE25" i="16" s="1"/>
  <c r="AD27" i="16"/>
  <c r="AE27" i="16" s="1"/>
  <c r="AD29" i="16"/>
  <c r="AE29" i="16" s="1"/>
  <c r="AD31" i="16"/>
  <c r="AD33" i="16"/>
  <c r="AE33" i="16" s="1"/>
  <c r="AD35" i="16"/>
  <c r="AE35" i="16" s="1"/>
  <c r="AD37" i="16"/>
  <c r="AE37" i="16" s="1"/>
  <c r="AD39" i="16"/>
  <c r="AD41" i="16"/>
  <c r="AE41" i="16" s="1"/>
  <c r="AD43" i="16"/>
  <c r="AE43" i="16" s="1"/>
  <c r="AD45" i="16"/>
  <c r="AE45" i="16" s="1"/>
  <c r="AD47" i="16"/>
  <c r="AD49" i="16"/>
  <c r="AE49" i="16" s="1"/>
  <c r="AD51" i="16"/>
  <c r="AE51" i="16" s="1"/>
  <c r="AD53" i="16"/>
  <c r="AE53" i="16" s="1"/>
  <c r="AD55" i="16"/>
  <c r="AD57" i="16"/>
  <c r="AE57" i="16" s="1"/>
  <c r="AD59" i="16"/>
  <c r="AE59" i="16" s="1"/>
  <c r="AD61" i="16"/>
  <c r="AE61" i="16" s="1"/>
  <c r="AD63" i="16"/>
  <c r="AD65" i="16"/>
  <c r="AE65" i="16" s="1"/>
  <c r="AD67" i="16"/>
  <c r="AE67" i="16" s="1"/>
  <c r="AD69" i="16"/>
  <c r="AE69" i="16" s="1"/>
  <c r="AD71" i="16"/>
  <c r="AD73" i="16"/>
  <c r="AE73" i="16" s="1"/>
  <c r="AD75" i="16"/>
  <c r="AE75" i="16" s="1"/>
  <c r="AD77" i="16"/>
  <c r="AE77" i="16" s="1"/>
  <c r="AD79" i="16"/>
  <c r="AD81" i="16"/>
  <c r="AE81" i="16" s="1"/>
  <c r="AD83" i="16"/>
  <c r="AE83" i="16" s="1"/>
  <c r="AD85" i="16"/>
  <c r="AE85" i="16" s="1"/>
  <c r="AD87" i="16"/>
  <c r="AD89" i="16"/>
  <c r="AE89" i="16" s="1"/>
  <c r="AD91" i="16"/>
  <c r="AE91" i="16" s="1"/>
  <c r="AD93" i="16"/>
  <c r="AE93" i="16" s="1"/>
  <c r="AD95" i="16"/>
  <c r="AD97" i="16"/>
  <c r="AE97" i="16" s="1"/>
  <c r="AD99" i="16"/>
  <c r="AE99" i="16" s="1"/>
  <c r="AD101" i="16"/>
  <c r="AE101" i="16" s="1"/>
  <c r="AD103" i="16"/>
  <c r="AD105" i="16"/>
  <c r="AE105" i="16" s="1"/>
  <c r="AD107" i="16"/>
  <c r="AE107" i="16" s="1"/>
  <c r="AD109" i="16"/>
  <c r="AE109" i="16" s="1"/>
  <c r="AD111" i="16"/>
  <c r="AD113" i="16"/>
  <c r="AE113" i="16" s="1"/>
  <c r="AD115" i="16"/>
  <c r="AE115" i="16" s="1"/>
  <c r="AD117" i="16"/>
  <c r="AE117" i="16" s="1"/>
  <c r="AD119" i="16"/>
  <c r="AD121" i="16"/>
  <c r="AE121" i="16" s="1"/>
  <c r="AD123" i="16"/>
  <c r="AE123" i="16" s="1"/>
  <c r="AD125" i="16"/>
  <c r="AE125" i="16" s="1"/>
  <c r="AD127" i="16"/>
  <c r="AD129" i="16"/>
  <c r="AE129" i="16" s="1"/>
  <c r="AD131" i="16"/>
  <c r="AE131" i="16" s="1"/>
  <c r="AD133" i="16"/>
  <c r="AE133" i="16" s="1"/>
  <c r="AD135" i="16"/>
  <c r="AD137" i="16"/>
  <c r="AE137" i="16" s="1"/>
  <c r="AD139" i="16"/>
  <c r="AE139" i="16" s="1"/>
  <c r="AD141" i="16"/>
  <c r="AE141" i="16" s="1"/>
  <c r="AD143" i="16"/>
  <c r="AD145" i="16"/>
  <c r="AE145" i="16" s="1"/>
  <c r="AD147" i="16"/>
  <c r="AE147" i="16" s="1"/>
  <c r="AD149" i="16"/>
  <c r="AE149" i="16" s="1"/>
  <c r="AD151" i="16"/>
  <c r="AD153" i="16"/>
  <c r="AE153" i="16" s="1"/>
  <c r="AD155" i="16"/>
  <c r="AE155" i="16" s="1"/>
  <c r="AD157" i="16"/>
  <c r="AE157" i="16" s="1"/>
  <c r="AD159" i="16"/>
  <c r="AD161" i="16"/>
  <c r="AE161" i="16" s="1"/>
  <c r="AD163" i="16"/>
  <c r="AE163" i="16" s="1"/>
  <c r="AD165" i="16"/>
  <c r="AE165" i="16" s="1"/>
  <c r="AD167" i="16"/>
  <c r="AD169" i="16"/>
  <c r="AE169" i="16" s="1"/>
  <c r="AD171" i="16"/>
  <c r="AE171" i="16" s="1"/>
  <c r="AD173" i="16"/>
  <c r="AE173" i="16" s="1"/>
  <c r="AD175" i="16"/>
  <c r="AD177" i="16"/>
  <c r="AE177" i="16" s="1"/>
  <c r="AD179" i="16"/>
  <c r="AE179" i="16" s="1"/>
  <c r="AD181" i="16"/>
  <c r="AE181" i="16" s="1"/>
  <c r="AD183" i="16"/>
  <c r="AD185" i="16"/>
  <c r="AE185" i="16" s="1"/>
  <c r="AD187" i="16"/>
  <c r="AE187" i="16" s="1"/>
  <c r="AD189" i="16"/>
  <c r="AE189" i="16" s="1"/>
  <c r="AD191" i="16"/>
  <c r="AD193" i="16"/>
  <c r="AE193" i="16" s="1"/>
  <c r="AD195" i="16"/>
  <c r="AE195" i="16" s="1"/>
  <c r="AD197" i="16"/>
  <c r="AE197" i="16" s="1"/>
  <c r="AD199" i="16"/>
  <c r="AD201" i="16"/>
  <c r="AE201" i="16" s="1"/>
  <c r="AD203" i="16"/>
  <c r="AE203" i="16" s="1"/>
  <c r="AD205" i="16"/>
  <c r="AE205" i="16" s="1"/>
  <c r="AD207" i="16"/>
  <c r="AD209" i="16"/>
  <c r="AE209" i="16" s="1"/>
  <c r="AD211" i="16"/>
  <c r="AE211" i="16" s="1"/>
  <c r="AD213" i="16"/>
  <c r="AE213" i="16" s="1"/>
  <c r="AD215" i="16"/>
  <c r="AD217" i="16"/>
  <c r="AE217" i="16" s="1"/>
  <c r="AD219" i="16"/>
  <c r="AE219" i="16" s="1"/>
  <c r="AD221" i="16"/>
  <c r="AE221" i="16" s="1"/>
  <c r="AD223" i="16"/>
  <c r="AD225" i="16"/>
  <c r="AE225" i="16" s="1"/>
  <c r="AD227" i="16"/>
  <c r="AE227" i="16" s="1"/>
  <c r="AD229" i="16"/>
  <c r="AE229" i="16" s="1"/>
  <c r="AD231" i="16"/>
  <c r="AD233" i="16"/>
  <c r="AE233" i="16" s="1"/>
  <c r="AD235" i="16"/>
  <c r="AE235" i="16" s="1"/>
  <c r="AD237" i="16"/>
  <c r="AE237" i="16" s="1"/>
  <c r="AD239" i="16"/>
  <c r="AD241" i="16"/>
  <c r="AE241" i="16" s="1"/>
  <c r="AD243" i="16"/>
  <c r="AE243" i="16" s="1"/>
  <c r="AD245" i="16"/>
  <c r="AE245" i="16" s="1"/>
  <c r="AD247" i="16"/>
  <c r="AD249" i="16"/>
  <c r="AE249" i="16" s="1"/>
  <c r="AD251" i="16"/>
  <c r="AE251" i="16" s="1"/>
  <c r="AD253" i="16"/>
  <c r="AE253" i="16" s="1"/>
  <c r="AD255" i="16"/>
  <c r="AD257" i="16"/>
  <c r="AE257" i="16" s="1"/>
  <c r="AD259" i="16"/>
  <c r="AE259" i="16" s="1"/>
  <c r="AD261" i="16"/>
  <c r="AE261" i="16" s="1"/>
  <c r="AD263" i="16"/>
  <c r="AD265" i="16"/>
  <c r="AE265" i="16" s="1"/>
  <c r="AD267" i="16"/>
  <c r="AE267" i="16" s="1"/>
  <c r="AD269" i="16"/>
  <c r="AE269" i="16" s="1"/>
  <c r="AD271" i="16"/>
  <c r="AD273" i="16"/>
  <c r="AE273" i="16" s="1"/>
  <c r="AD275" i="16"/>
  <c r="AE275" i="16" s="1"/>
  <c r="AD277" i="16"/>
  <c r="AE277" i="16" s="1"/>
  <c r="AD279" i="16"/>
  <c r="AD281" i="16"/>
  <c r="AE281" i="16" s="1"/>
  <c r="AD283" i="16"/>
  <c r="AE283" i="16" s="1"/>
  <c r="AD285" i="16"/>
  <c r="AE285" i="16" s="1"/>
  <c r="AD287" i="16"/>
  <c r="AD289" i="16"/>
  <c r="AE289" i="16" s="1"/>
  <c r="AD291" i="16"/>
  <c r="AE291" i="16" s="1"/>
  <c r="AD293" i="16"/>
  <c r="AE293" i="16" s="1"/>
  <c r="AD295" i="16"/>
  <c r="AD297" i="16"/>
  <c r="AE297" i="16" s="1"/>
  <c r="AD299" i="16"/>
  <c r="AE299" i="16" s="1"/>
  <c r="AD301" i="16"/>
  <c r="AE301" i="16" s="1"/>
  <c r="AD303" i="16"/>
  <c r="AD305" i="16"/>
  <c r="AE305" i="16" s="1"/>
  <c r="AD307" i="16"/>
  <c r="AE307" i="16" s="1"/>
  <c r="AD309" i="16"/>
  <c r="AE309" i="16" s="1"/>
  <c r="AD311" i="16"/>
  <c r="AD313" i="16"/>
  <c r="AE313" i="16" s="1"/>
  <c r="AD315" i="16"/>
  <c r="AE315" i="16" s="1"/>
  <c r="AD317" i="16"/>
  <c r="AE317" i="16" s="1"/>
  <c r="AD319" i="16"/>
  <c r="AD321" i="16"/>
  <c r="AE321" i="16" s="1"/>
  <c r="AD323" i="16"/>
  <c r="AE323" i="16" s="1"/>
  <c r="AD325" i="16"/>
  <c r="AE325" i="16" s="1"/>
  <c r="AD327" i="16"/>
  <c r="AD329" i="16"/>
  <c r="AE329" i="16" s="1"/>
  <c r="AD331" i="16"/>
  <c r="AE331" i="16" s="1"/>
  <c r="AD333" i="16"/>
  <c r="AE333" i="16" s="1"/>
  <c r="AD335" i="16"/>
  <c r="AD337" i="16"/>
  <c r="AE337" i="16" s="1"/>
  <c r="AD339" i="16"/>
  <c r="AE339" i="16" s="1"/>
  <c r="AD341" i="16"/>
  <c r="AE341" i="16" s="1"/>
  <c r="AD343" i="16"/>
  <c r="AD345" i="16"/>
  <c r="AE345" i="16" s="1"/>
  <c r="AD347" i="16"/>
  <c r="AE347" i="16" s="1"/>
  <c r="AD349" i="16"/>
  <c r="AE349" i="16" s="1"/>
  <c r="AD351" i="16"/>
  <c r="AD353" i="16"/>
  <c r="AE353" i="16" s="1"/>
  <c r="AD355" i="16"/>
  <c r="AE355" i="16" s="1"/>
  <c r="AD357" i="16"/>
  <c r="AE357" i="16" s="1"/>
  <c r="AD359" i="16"/>
  <c r="AD361" i="16"/>
  <c r="AE361" i="16" s="1"/>
  <c r="AD363" i="16"/>
  <c r="AE363" i="16" s="1"/>
  <c r="AD365" i="16"/>
  <c r="AE365" i="16" s="1"/>
  <c r="AD367" i="16"/>
  <c r="AD369" i="16"/>
  <c r="AE369" i="16" s="1"/>
  <c r="AD371" i="16"/>
  <c r="AE371" i="16" s="1"/>
  <c r="AD373" i="16"/>
  <c r="AE373" i="16" s="1"/>
  <c r="AD375" i="16"/>
  <c r="AD377" i="16"/>
  <c r="AE377" i="16" s="1"/>
  <c r="AD379" i="16"/>
  <c r="AE379" i="16" s="1"/>
  <c r="AD381" i="16"/>
  <c r="AE381" i="16" s="1"/>
  <c r="AD383" i="16"/>
  <c r="AD385" i="16"/>
  <c r="AE385" i="16" s="1"/>
  <c r="AD387" i="16"/>
  <c r="AE387" i="16" s="1"/>
  <c r="AD389" i="16"/>
  <c r="AE389" i="16" s="1"/>
  <c r="AD391" i="16"/>
  <c r="AD393" i="16"/>
  <c r="AE393" i="16" s="1"/>
  <c r="AD395" i="16"/>
  <c r="AE395" i="16" s="1"/>
  <c r="AD397" i="16"/>
  <c r="AE397" i="16" s="1"/>
  <c r="AD399" i="16"/>
  <c r="AD401" i="16"/>
  <c r="AE401" i="16" s="1"/>
  <c r="AD403" i="16"/>
  <c r="AE403" i="16" s="1"/>
  <c r="AD405" i="16"/>
  <c r="AE405" i="16" s="1"/>
  <c r="AD407" i="16"/>
  <c r="AD409" i="16"/>
  <c r="AE409" i="16" s="1"/>
  <c r="AD411" i="16"/>
  <c r="AE411" i="16" s="1"/>
  <c r="AD413" i="16"/>
  <c r="AE413" i="16" s="1"/>
  <c r="AD415" i="16"/>
  <c r="AD417" i="16"/>
  <c r="AE417" i="16" s="1"/>
  <c r="AD419" i="16"/>
  <c r="AE419" i="16" s="1"/>
  <c r="AD421" i="16"/>
  <c r="AE421" i="16" s="1"/>
  <c r="AD423" i="16"/>
  <c r="AD425" i="16"/>
  <c r="AE425" i="16" s="1"/>
  <c r="AD427" i="16"/>
  <c r="AE427" i="16" s="1"/>
  <c r="AD429" i="16"/>
  <c r="AE429" i="16" s="1"/>
  <c r="AD431" i="16"/>
  <c r="AD433" i="16"/>
  <c r="AE433" i="16" s="1"/>
  <c r="AD435" i="16"/>
  <c r="AE435" i="16" s="1"/>
  <c r="AD437" i="16"/>
  <c r="AE437" i="16" s="1"/>
  <c r="AD439" i="16"/>
  <c r="AD441" i="16"/>
  <c r="AE441" i="16" s="1"/>
  <c r="AD443" i="16"/>
  <c r="AE443" i="16" s="1"/>
  <c r="AD445" i="16"/>
  <c r="AE445" i="16" s="1"/>
  <c r="AD447" i="16"/>
  <c r="AD449" i="16"/>
  <c r="AE449" i="16" s="1"/>
  <c r="AD451" i="16"/>
  <c r="AE451" i="16" s="1"/>
  <c r="AD453" i="16"/>
  <c r="AE453" i="16" s="1"/>
  <c r="AD455" i="16"/>
  <c r="AD457" i="16"/>
  <c r="AE457" i="16" s="1"/>
  <c r="AD459" i="16"/>
  <c r="AE459" i="16" s="1"/>
  <c r="AD461" i="16"/>
  <c r="AE461" i="16" s="1"/>
  <c r="AD463" i="16"/>
  <c r="AD465" i="16"/>
  <c r="AE465" i="16" s="1"/>
  <c r="AD467" i="16"/>
  <c r="AE467" i="16" s="1"/>
  <c r="AD469" i="16"/>
  <c r="AE469" i="16" s="1"/>
  <c r="AD471" i="16"/>
  <c r="AD473" i="16"/>
  <c r="AE473" i="16" s="1"/>
  <c r="AD475" i="16"/>
  <c r="AE475" i="16" s="1"/>
  <c r="AD477" i="16"/>
  <c r="AE477" i="16" s="1"/>
  <c r="AD479" i="16"/>
  <c r="AD481" i="16"/>
  <c r="AE481" i="16" s="1"/>
  <c r="AD483" i="16"/>
  <c r="AE483" i="16" s="1"/>
  <c r="AD485" i="16"/>
  <c r="AE485" i="16" s="1"/>
  <c r="AD487" i="16"/>
  <c r="AD489" i="16"/>
  <c r="AE489" i="16" s="1"/>
  <c r="AD491" i="16"/>
  <c r="AE491" i="16" s="1"/>
  <c r="AD493" i="16"/>
  <c r="AE493" i="16" s="1"/>
  <c r="AD495" i="16"/>
  <c r="AD497" i="16"/>
  <c r="AE497" i="16" s="1"/>
  <c r="AD499" i="16"/>
  <c r="AE499" i="16" s="1"/>
  <c r="AD501" i="16"/>
  <c r="AE501" i="16" s="1"/>
  <c r="AD503" i="16"/>
  <c r="AD505" i="16"/>
  <c r="AE505" i="16" s="1"/>
  <c r="AD507" i="16"/>
  <c r="AE507" i="16" s="1"/>
  <c r="AD509" i="16"/>
  <c r="AE509" i="16" s="1"/>
  <c r="AD511" i="16"/>
  <c r="AD513" i="16"/>
  <c r="AE513" i="16" s="1"/>
  <c r="AD515" i="16"/>
  <c r="AE515" i="16" s="1"/>
  <c r="AD517" i="16"/>
  <c r="AE517" i="16" s="1"/>
  <c r="AD519" i="16"/>
  <c r="AD521" i="16"/>
  <c r="AE521" i="16" s="1"/>
  <c r="AD523" i="16"/>
  <c r="AE523" i="16" s="1"/>
  <c r="AD525" i="16"/>
  <c r="AE525" i="16" s="1"/>
  <c r="AD527" i="16"/>
  <c r="AD529" i="16"/>
  <c r="AE529" i="16" s="1"/>
  <c r="AD531" i="16"/>
  <c r="AE531" i="16" s="1"/>
  <c r="AD533" i="16"/>
  <c r="AE533" i="16" s="1"/>
  <c r="AD535" i="16"/>
  <c r="AD537" i="16"/>
  <c r="AE537" i="16" s="1"/>
  <c r="AD539" i="16"/>
  <c r="AE539" i="16" s="1"/>
  <c r="AD541" i="16"/>
  <c r="AE541" i="16" s="1"/>
  <c r="AD543" i="16"/>
  <c r="AD545" i="16"/>
  <c r="AE545" i="16" s="1"/>
  <c r="AD547" i="16"/>
  <c r="AE547" i="16" s="1"/>
  <c r="AD549" i="16"/>
  <c r="AE549" i="16" s="1"/>
  <c r="AD551" i="16"/>
  <c r="AD553" i="16"/>
  <c r="AE553" i="16" s="1"/>
  <c r="AD555" i="16"/>
  <c r="AE555" i="16" s="1"/>
  <c r="AD557" i="16"/>
  <c r="AE557" i="16" s="1"/>
  <c r="AD559" i="16"/>
  <c r="AD561" i="16"/>
  <c r="AE561" i="16" s="1"/>
  <c r="AD563" i="16"/>
  <c r="AE563" i="16" s="1"/>
  <c r="AD565" i="16"/>
  <c r="AE565" i="16" s="1"/>
  <c r="AD567" i="16"/>
  <c r="AD569" i="16"/>
  <c r="AE569" i="16" s="1"/>
  <c r="AD571" i="16"/>
  <c r="AE571" i="16" s="1"/>
  <c r="AD573" i="16"/>
  <c r="AE573" i="16" s="1"/>
  <c r="AD575" i="16"/>
  <c r="AD577" i="16"/>
  <c r="AE577" i="16" s="1"/>
  <c r="AD579" i="16"/>
  <c r="AE579" i="16" s="1"/>
  <c r="AD581" i="16"/>
  <c r="AE581" i="16" s="1"/>
  <c r="AD583" i="16"/>
  <c r="AD585" i="16"/>
  <c r="AE585" i="16" s="1"/>
  <c r="AD587" i="16"/>
  <c r="AE587" i="16" s="1"/>
  <c r="AD589" i="16"/>
  <c r="AE589" i="16" s="1"/>
  <c r="AD591" i="16"/>
  <c r="AD593" i="16"/>
  <c r="AE593" i="16" s="1"/>
  <c r="AD595" i="16"/>
  <c r="AE595" i="16" s="1"/>
  <c r="AD597" i="16"/>
  <c r="AE597" i="16" s="1"/>
  <c r="AD599" i="16"/>
  <c r="AD601" i="16"/>
  <c r="AE601" i="16" s="1"/>
  <c r="AD603" i="16"/>
  <c r="AE603" i="16" s="1"/>
  <c r="AD605" i="16"/>
  <c r="AE605" i="16" s="1"/>
  <c r="AD607" i="16"/>
  <c r="AD609" i="16"/>
  <c r="AE609" i="16" s="1"/>
  <c r="AD611" i="16"/>
  <c r="AE611" i="16" s="1"/>
  <c r="AD613" i="16"/>
  <c r="AE613" i="16" s="1"/>
  <c r="AD615" i="16"/>
  <c r="AD617" i="16"/>
  <c r="AE617" i="16" s="1"/>
  <c r="AD619" i="16"/>
  <c r="AE619" i="16" s="1"/>
  <c r="AD621" i="16"/>
  <c r="AE621" i="16" s="1"/>
  <c r="AD623" i="16"/>
  <c r="AD625" i="16"/>
  <c r="AE625" i="16" s="1"/>
  <c r="AD627" i="16"/>
  <c r="AE627" i="16" s="1"/>
  <c r="AD629" i="16"/>
  <c r="AE629" i="16" s="1"/>
  <c r="AD631" i="16"/>
  <c r="AD633" i="16"/>
  <c r="AE633" i="16" s="1"/>
  <c r="AD635" i="16"/>
  <c r="AE635" i="16" s="1"/>
  <c r="AD637" i="16"/>
  <c r="AE637" i="16" s="1"/>
  <c r="AD639" i="16"/>
  <c r="AD641" i="16"/>
  <c r="AE641" i="16" s="1"/>
  <c r="AD643" i="16"/>
  <c r="AE643" i="16" s="1"/>
  <c r="AD645" i="16"/>
  <c r="AE645" i="16" s="1"/>
  <c r="AD647" i="16"/>
  <c r="AD649" i="16"/>
  <c r="AE649" i="16" s="1"/>
  <c r="AD651" i="16"/>
  <c r="AE651" i="16" s="1"/>
  <c r="AD653" i="16"/>
  <c r="AE653" i="16" s="1"/>
  <c r="AD655" i="16"/>
  <c r="AD657" i="16"/>
  <c r="AE657" i="16" s="1"/>
  <c r="AD659" i="16"/>
  <c r="AE659" i="16" s="1"/>
  <c r="AD661" i="16"/>
  <c r="AE661" i="16" s="1"/>
  <c r="AD663" i="16"/>
  <c r="AD665" i="16"/>
  <c r="AE665" i="16" s="1"/>
  <c r="AD667" i="16"/>
  <c r="AE667" i="16" s="1"/>
  <c r="AD669" i="16"/>
  <c r="AE669" i="16" s="1"/>
  <c r="AD671" i="16"/>
  <c r="AD673" i="16"/>
  <c r="AE673" i="16" s="1"/>
  <c r="AD675" i="16"/>
  <c r="AE675" i="16" s="1"/>
  <c r="AD677" i="16"/>
  <c r="AE677" i="16" s="1"/>
  <c r="AD679" i="16"/>
  <c r="AD681" i="16"/>
  <c r="AE681" i="16" s="1"/>
  <c r="AD683" i="16"/>
  <c r="AE683" i="16" s="1"/>
  <c r="AD685" i="16"/>
  <c r="AE685" i="16" s="1"/>
  <c r="AD687" i="16"/>
  <c r="AD689" i="16"/>
  <c r="AE689" i="16" s="1"/>
  <c r="AD691" i="16"/>
  <c r="AE691" i="16" s="1"/>
  <c r="AD693" i="16"/>
  <c r="AE693" i="16" s="1"/>
  <c r="AD695" i="16"/>
  <c r="AD697" i="16"/>
  <c r="AE697" i="16" s="1"/>
  <c r="AD699" i="16"/>
  <c r="AE699" i="16" s="1"/>
  <c r="AD701" i="16"/>
  <c r="AE701" i="16" s="1"/>
  <c r="AD703" i="16"/>
  <c r="AD705" i="16"/>
  <c r="AE705" i="16" s="1"/>
  <c r="AD707" i="16"/>
  <c r="AE707" i="16" s="1"/>
  <c r="AD709" i="16"/>
  <c r="AE709" i="16" s="1"/>
  <c r="AD711" i="16"/>
  <c r="AD713" i="16"/>
  <c r="AE713" i="16" s="1"/>
  <c r="AD715" i="16"/>
  <c r="AE715" i="16" s="1"/>
  <c r="AD717" i="16"/>
  <c r="AE717" i="16" s="1"/>
  <c r="AD719" i="16"/>
  <c r="AD721" i="16"/>
  <c r="AE721" i="16" s="1"/>
  <c r="AD723" i="16"/>
  <c r="AE723" i="16" s="1"/>
  <c r="AD6" i="16"/>
  <c r="AE6" i="16" s="1"/>
  <c r="AD8" i="16"/>
  <c r="AD10" i="16"/>
  <c r="AE10" i="16" s="1"/>
  <c r="AD12" i="16"/>
  <c r="AE12" i="16" s="1"/>
  <c r="AD14" i="16"/>
  <c r="AE14" i="16" s="1"/>
  <c r="AD16" i="16"/>
  <c r="AD18" i="16"/>
  <c r="AE18" i="16" s="1"/>
  <c r="AD20" i="16"/>
  <c r="AE20" i="16" s="1"/>
  <c r="AD22" i="16"/>
  <c r="AE22" i="16" s="1"/>
  <c r="AD24" i="16"/>
  <c r="AD26" i="16"/>
  <c r="AE26" i="16" s="1"/>
  <c r="AD28" i="16"/>
  <c r="AE28" i="16" s="1"/>
  <c r="AD30" i="16"/>
  <c r="AE30" i="16" s="1"/>
  <c r="AD32" i="16"/>
  <c r="AD34" i="16"/>
  <c r="AE34" i="16" s="1"/>
  <c r="AD36" i="16"/>
  <c r="AE36" i="16" s="1"/>
  <c r="AD38" i="16"/>
  <c r="AE38" i="16" s="1"/>
  <c r="AD40" i="16"/>
  <c r="AD42" i="16"/>
  <c r="AE42" i="16" s="1"/>
  <c r="AD44" i="16"/>
  <c r="AE44" i="16" s="1"/>
  <c r="AD46" i="16"/>
  <c r="AE46" i="16" s="1"/>
  <c r="AD48" i="16"/>
  <c r="AD50" i="16"/>
  <c r="AE50" i="16" s="1"/>
  <c r="AD52" i="16"/>
  <c r="AE52" i="16" s="1"/>
  <c r="AD54" i="16"/>
  <c r="AE54" i="16" s="1"/>
  <c r="AD56" i="16"/>
  <c r="AD58" i="16"/>
  <c r="AE58" i="16" s="1"/>
  <c r="AD60" i="16"/>
  <c r="AE60" i="16" s="1"/>
  <c r="AD62" i="16"/>
  <c r="AE62" i="16" s="1"/>
  <c r="AD64" i="16"/>
  <c r="AD66" i="16"/>
  <c r="AE66" i="16" s="1"/>
  <c r="AD68" i="16"/>
  <c r="AE68" i="16" s="1"/>
  <c r="AD70" i="16"/>
  <c r="AE70" i="16" s="1"/>
  <c r="AD72" i="16"/>
  <c r="AD74" i="16"/>
  <c r="AE74" i="16" s="1"/>
  <c r="AD76" i="16"/>
  <c r="AE76" i="16" s="1"/>
  <c r="AD78" i="16"/>
  <c r="AE78" i="16" s="1"/>
  <c r="AD80" i="16"/>
  <c r="AD82" i="16"/>
  <c r="AE82" i="16" s="1"/>
  <c r="AD84" i="16"/>
  <c r="AE84" i="16" s="1"/>
  <c r="AD86" i="16"/>
  <c r="AE86" i="16" s="1"/>
  <c r="AD88" i="16"/>
  <c r="AD90" i="16"/>
  <c r="AE90" i="16" s="1"/>
  <c r="AD92" i="16"/>
  <c r="AE92" i="16" s="1"/>
  <c r="AD94" i="16"/>
  <c r="AE94" i="16" s="1"/>
  <c r="AD96" i="16"/>
  <c r="AD98" i="16"/>
  <c r="AE98" i="16" s="1"/>
  <c r="AD100" i="16"/>
  <c r="AE100" i="16" s="1"/>
  <c r="AD102" i="16"/>
  <c r="AE102" i="16" s="1"/>
  <c r="AD104" i="16"/>
  <c r="AD106" i="16"/>
  <c r="AE106" i="16" s="1"/>
  <c r="AD108" i="16"/>
  <c r="AE108" i="16" s="1"/>
  <c r="AD110" i="16"/>
  <c r="AE110" i="16" s="1"/>
  <c r="AD112" i="16"/>
  <c r="AD114" i="16"/>
  <c r="AE114" i="16" s="1"/>
  <c r="AD116" i="16"/>
  <c r="AE116" i="16" s="1"/>
  <c r="AD118" i="16"/>
  <c r="AE118" i="16" s="1"/>
  <c r="AD120" i="16"/>
  <c r="AD122" i="16"/>
  <c r="AE122" i="16" s="1"/>
  <c r="AD124" i="16"/>
  <c r="AE124" i="16" s="1"/>
  <c r="AD126" i="16"/>
  <c r="AE126" i="16" s="1"/>
  <c r="AD128" i="16"/>
  <c r="AD130" i="16"/>
  <c r="AE130" i="16" s="1"/>
  <c r="AD132" i="16"/>
  <c r="AE132" i="16" s="1"/>
  <c r="AD134" i="16"/>
  <c r="AE134" i="16" s="1"/>
  <c r="AD136" i="16"/>
  <c r="AD138" i="16"/>
  <c r="AE138" i="16" s="1"/>
  <c r="AD140" i="16"/>
  <c r="AE140" i="16" s="1"/>
  <c r="AD142" i="16"/>
  <c r="AE142" i="16" s="1"/>
  <c r="AD144" i="16"/>
  <c r="AD146" i="16"/>
  <c r="AE146" i="16" s="1"/>
  <c r="AD148" i="16"/>
  <c r="AE148" i="16" s="1"/>
  <c r="AD150" i="16"/>
  <c r="AE150" i="16" s="1"/>
  <c r="AD152" i="16"/>
  <c r="AD154" i="16"/>
  <c r="AE154" i="16" s="1"/>
  <c r="AD156" i="16"/>
  <c r="AE156" i="16" s="1"/>
  <c r="AD158" i="16"/>
  <c r="AE158" i="16" s="1"/>
  <c r="AD160" i="16"/>
  <c r="AD162" i="16"/>
  <c r="AE162" i="16" s="1"/>
  <c r="AD164" i="16"/>
  <c r="AE164" i="16" s="1"/>
  <c r="AD166" i="16"/>
  <c r="AE166" i="16" s="1"/>
  <c r="AD168" i="16"/>
  <c r="AD170" i="16"/>
  <c r="AE170" i="16" s="1"/>
  <c r="AD172" i="16"/>
  <c r="AE172" i="16" s="1"/>
  <c r="AD174" i="16"/>
  <c r="AE174" i="16" s="1"/>
  <c r="AD176" i="16"/>
  <c r="AD178" i="16"/>
  <c r="AE178" i="16" s="1"/>
  <c r="AD180" i="16"/>
  <c r="AE180" i="16" s="1"/>
  <c r="AD182" i="16"/>
  <c r="AE182" i="16" s="1"/>
  <c r="AD184" i="16"/>
  <c r="AD186" i="16"/>
  <c r="AE186" i="16" s="1"/>
  <c r="AD188" i="16"/>
  <c r="AE188" i="16" s="1"/>
  <c r="AD190" i="16"/>
  <c r="AE190" i="16" s="1"/>
  <c r="AD192" i="16"/>
  <c r="AD194" i="16"/>
  <c r="AE194" i="16" s="1"/>
  <c r="AD196" i="16"/>
  <c r="AE196" i="16" s="1"/>
  <c r="AD198" i="16"/>
  <c r="AE198" i="16" s="1"/>
  <c r="AD200" i="16"/>
  <c r="AD202" i="16"/>
  <c r="AE202" i="16" s="1"/>
  <c r="AD204" i="16"/>
  <c r="AE204" i="16" s="1"/>
  <c r="AD206" i="16"/>
  <c r="AE206" i="16" s="1"/>
  <c r="AD208" i="16"/>
  <c r="AD210" i="16"/>
  <c r="AE210" i="16" s="1"/>
  <c r="AD212" i="16"/>
  <c r="AE212" i="16" s="1"/>
  <c r="AD214" i="16"/>
  <c r="AE214" i="16" s="1"/>
  <c r="AD216" i="16"/>
  <c r="AD218" i="16"/>
  <c r="AE218" i="16" s="1"/>
  <c r="AD220" i="16"/>
  <c r="AE220" i="16" s="1"/>
  <c r="AD222" i="16"/>
  <c r="AE222" i="16" s="1"/>
  <c r="AD224" i="16"/>
  <c r="AD226" i="16"/>
  <c r="AE226" i="16" s="1"/>
  <c r="AD228" i="16"/>
  <c r="AE228" i="16" s="1"/>
  <c r="AD230" i="16"/>
  <c r="AE230" i="16" s="1"/>
  <c r="AD232" i="16"/>
  <c r="AD234" i="16"/>
  <c r="AE234" i="16" s="1"/>
  <c r="AD236" i="16"/>
  <c r="AE236" i="16" s="1"/>
  <c r="AD238" i="16"/>
  <c r="AE238" i="16" s="1"/>
  <c r="AD240" i="16"/>
  <c r="AD242" i="16"/>
  <c r="AE242" i="16" s="1"/>
  <c r="AD244" i="16"/>
  <c r="AE244" i="16" s="1"/>
  <c r="AD246" i="16"/>
  <c r="AE246" i="16" s="1"/>
  <c r="AD248" i="16"/>
  <c r="AD250" i="16"/>
  <c r="AE250" i="16" s="1"/>
  <c r="AD252" i="16"/>
  <c r="AE252" i="16" s="1"/>
  <c r="AD254" i="16"/>
  <c r="AE254" i="16" s="1"/>
  <c r="AD256" i="16"/>
  <c r="AD258" i="16"/>
  <c r="AE258" i="16" s="1"/>
  <c r="AD260" i="16"/>
  <c r="AE260" i="16" s="1"/>
  <c r="AD262" i="16"/>
  <c r="AE262" i="16" s="1"/>
  <c r="AD264" i="16"/>
  <c r="AD266" i="16"/>
  <c r="AE266" i="16" s="1"/>
  <c r="AD268" i="16"/>
  <c r="AE268" i="16" s="1"/>
  <c r="AD270" i="16"/>
  <c r="AE270" i="16" s="1"/>
  <c r="AD272" i="16"/>
  <c r="AD274" i="16"/>
  <c r="AE274" i="16" s="1"/>
  <c r="AD276" i="16"/>
  <c r="AE276" i="16" s="1"/>
  <c r="AD278" i="16"/>
  <c r="AE278" i="16" s="1"/>
  <c r="AD280" i="16"/>
  <c r="AD282" i="16"/>
  <c r="AE282" i="16" s="1"/>
  <c r="AD284" i="16"/>
  <c r="AE284" i="16" s="1"/>
  <c r="AD286" i="16"/>
  <c r="AE286" i="16" s="1"/>
  <c r="AD288" i="16"/>
  <c r="AD290" i="16"/>
  <c r="AE290" i="16" s="1"/>
  <c r="AD292" i="16"/>
  <c r="AE292" i="16" s="1"/>
  <c r="AD294" i="16"/>
  <c r="AE294" i="16" s="1"/>
  <c r="AD296" i="16"/>
  <c r="AD298" i="16"/>
  <c r="AE298" i="16" s="1"/>
  <c r="AD300" i="16"/>
  <c r="AE300" i="16" s="1"/>
  <c r="AD302" i="16"/>
  <c r="AE302" i="16" s="1"/>
  <c r="AD304" i="16"/>
  <c r="AD306" i="16"/>
  <c r="AE306" i="16" s="1"/>
  <c r="AD308" i="16"/>
  <c r="AE308" i="16" s="1"/>
  <c r="AD310" i="16"/>
  <c r="AE310" i="16" s="1"/>
  <c r="AD312" i="16"/>
  <c r="AD314" i="16"/>
  <c r="AE314" i="16" s="1"/>
  <c r="AD316" i="16"/>
  <c r="AE316" i="16" s="1"/>
  <c r="AD318" i="16"/>
  <c r="AE318" i="16" s="1"/>
  <c r="AD320" i="16"/>
  <c r="AD322" i="16"/>
  <c r="AE322" i="16" s="1"/>
  <c r="AD324" i="16"/>
  <c r="AE324" i="16" s="1"/>
  <c r="AD326" i="16"/>
  <c r="AE326" i="16" s="1"/>
  <c r="AD328" i="16"/>
  <c r="AD330" i="16"/>
  <c r="AE330" i="16" s="1"/>
  <c r="AD332" i="16"/>
  <c r="AE332" i="16" s="1"/>
  <c r="AD334" i="16"/>
  <c r="AE334" i="16" s="1"/>
  <c r="AD336" i="16"/>
  <c r="AD338" i="16"/>
  <c r="AE338" i="16" s="1"/>
  <c r="AD340" i="16"/>
  <c r="AE340" i="16" s="1"/>
  <c r="AD342" i="16"/>
  <c r="AE342" i="16" s="1"/>
  <c r="AD344" i="16"/>
  <c r="AD346" i="16"/>
  <c r="AE346" i="16" s="1"/>
  <c r="AD348" i="16"/>
  <c r="AE348" i="16" s="1"/>
  <c r="AD350" i="16"/>
  <c r="AE350" i="16" s="1"/>
  <c r="AD352" i="16"/>
  <c r="AD354" i="16"/>
  <c r="AE354" i="16" s="1"/>
  <c r="AD356" i="16"/>
  <c r="AE356" i="16" s="1"/>
  <c r="AD358" i="16"/>
  <c r="AE358" i="16" s="1"/>
  <c r="AD360" i="16"/>
  <c r="AD362" i="16"/>
  <c r="AE362" i="16" s="1"/>
  <c r="AD364" i="16"/>
  <c r="AE364" i="16" s="1"/>
  <c r="AD366" i="16"/>
  <c r="AE366" i="16" s="1"/>
  <c r="AD368" i="16"/>
  <c r="AD370" i="16"/>
  <c r="AE370" i="16" s="1"/>
  <c r="AD372" i="16"/>
  <c r="AE372" i="16" s="1"/>
  <c r="AD374" i="16"/>
  <c r="AE374" i="16" s="1"/>
  <c r="AD376" i="16"/>
  <c r="AD378" i="16"/>
  <c r="AE378" i="16" s="1"/>
  <c r="AD380" i="16"/>
  <c r="AE380" i="16" s="1"/>
  <c r="AD382" i="16"/>
  <c r="AE382" i="16" s="1"/>
  <c r="AD384" i="16"/>
  <c r="AD386" i="16"/>
  <c r="AE386" i="16" s="1"/>
  <c r="AD388" i="16"/>
  <c r="AE388" i="16" s="1"/>
  <c r="AD390" i="16"/>
  <c r="AE390" i="16" s="1"/>
  <c r="AD392" i="16"/>
  <c r="AD394" i="16"/>
  <c r="AE394" i="16" s="1"/>
  <c r="AD396" i="16"/>
  <c r="AE396" i="16" s="1"/>
  <c r="AD398" i="16"/>
  <c r="AE398" i="16" s="1"/>
  <c r="AD400" i="16"/>
  <c r="AD402" i="16"/>
  <c r="AE402" i="16" s="1"/>
  <c r="AD404" i="16"/>
  <c r="AE404" i="16" s="1"/>
  <c r="AD406" i="16"/>
  <c r="AE406" i="16" s="1"/>
  <c r="AD408" i="16"/>
  <c r="AD410" i="16"/>
  <c r="AE410" i="16" s="1"/>
  <c r="AD412" i="16"/>
  <c r="AE412" i="16" s="1"/>
  <c r="AD414" i="16"/>
  <c r="AE414" i="16" s="1"/>
  <c r="AD416" i="16"/>
  <c r="AD418" i="16"/>
  <c r="AE418" i="16" s="1"/>
  <c r="AD420" i="16"/>
  <c r="AE420" i="16" s="1"/>
  <c r="AD422" i="16"/>
  <c r="AE422" i="16" s="1"/>
  <c r="AD424" i="16"/>
  <c r="AD426" i="16"/>
  <c r="AE426" i="16" s="1"/>
  <c r="AD428" i="16"/>
  <c r="AE428" i="16" s="1"/>
  <c r="AD430" i="16"/>
  <c r="AE430" i="16" s="1"/>
  <c r="AD432" i="16"/>
  <c r="AD434" i="16"/>
  <c r="AE434" i="16" s="1"/>
  <c r="AD436" i="16"/>
  <c r="AE436" i="16" s="1"/>
  <c r="AD438" i="16"/>
  <c r="AE438" i="16" s="1"/>
  <c r="AD440" i="16"/>
  <c r="AD442" i="16"/>
  <c r="AE442" i="16" s="1"/>
  <c r="AD444" i="16"/>
  <c r="AE444" i="16" s="1"/>
  <c r="AD446" i="16"/>
  <c r="AE446" i="16" s="1"/>
  <c r="AD448" i="16"/>
  <c r="AD450" i="16"/>
  <c r="AE450" i="16" s="1"/>
  <c r="AD452" i="16"/>
  <c r="AE452" i="16" s="1"/>
  <c r="AD454" i="16"/>
  <c r="AE454" i="16" s="1"/>
  <c r="AD456" i="16"/>
  <c r="AD458" i="16"/>
  <c r="AE458" i="16" s="1"/>
  <c r="AD460" i="16"/>
  <c r="AE460" i="16" s="1"/>
  <c r="AD462" i="16"/>
  <c r="AE462" i="16" s="1"/>
  <c r="AD464" i="16"/>
  <c r="AD466" i="16"/>
  <c r="AE466" i="16" s="1"/>
  <c r="AD468" i="16"/>
  <c r="AE468" i="16" s="1"/>
  <c r="AD470" i="16"/>
  <c r="AE470" i="16" s="1"/>
  <c r="AD472" i="16"/>
  <c r="AD474" i="16"/>
  <c r="AE474" i="16" s="1"/>
  <c r="AD476" i="16"/>
  <c r="AE476" i="16" s="1"/>
  <c r="AD478" i="16"/>
  <c r="AE478" i="16" s="1"/>
  <c r="AD480" i="16"/>
  <c r="AD482" i="16"/>
  <c r="AE482" i="16" s="1"/>
  <c r="AD484" i="16"/>
  <c r="AE484" i="16" s="1"/>
  <c r="AD486" i="16"/>
  <c r="AE486" i="16" s="1"/>
  <c r="AD488" i="16"/>
  <c r="AD490" i="16"/>
  <c r="AE490" i="16" s="1"/>
  <c r="AD492" i="16"/>
  <c r="AE492" i="16" s="1"/>
  <c r="AD494" i="16"/>
  <c r="AE494" i="16" s="1"/>
  <c r="AD496" i="16"/>
  <c r="AD498" i="16"/>
  <c r="AE498" i="16" s="1"/>
  <c r="AD500" i="16"/>
  <c r="AE500" i="16" s="1"/>
  <c r="AD502" i="16"/>
  <c r="AE502" i="16" s="1"/>
  <c r="AD504" i="16"/>
  <c r="AD506" i="16"/>
  <c r="AE506" i="16" s="1"/>
  <c r="AD508" i="16"/>
  <c r="AE508" i="16" s="1"/>
  <c r="AD510" i="16"/>
  <c r="AE510" i="16" s="1"/>
  <c r="AD512" i="16"/>
  <c r="AD514" i="16"/>
  <c r="AE514" i="16" s="1"/>
  <c r="AD516" i="16"/>
  <c r="AE516" i="16" s="1"/>
  <c r="AD518" i="16"/>
  <c r="AE518" i="16" s="1"/>
  <c r="AD520" i="16"/>
  <c r="AD522" i="16"/>
  <c r="AE522" i="16" s="1"/>
  <c r="AD524" i="16"/>
  <c r="AE524" i="16" s="1"/>
  <c r="AD526" i="16"/>
  <c r="AE526" i="16" s="1"/>
  <c r="AD528" i="16"/>
  <c r="AD530" i="16"/>
  <c r="AE530" i="16" s="1"/>
  <c r="AD532" i="16"/>
  <c r="AE532" i="16" s="1"/>
  <c r="AD534" i="16"/>
  <c r="AE534" i="16" s="1"/>
  <c r="AD536" i="16"/>
  <c r="AD538" i="16"/>
  <c r="AE538" i="16" s="1"/>
  <c r="AD540" i="16"/>
  <c r="AE540" i="16" s="1"/>
  <c r="AD542" i="16"/>
  <c r="AE542" i="16" s="1"/>
  <c r="AD544" i="16"/>
  <c r="AD546" i="16"/>
  <c r="AE546" i="16" s="1"/>
  <c r="AD548" i="16"/>
  <c r="AE548" i="16" s="1"/>
  <c r="AD550" i="16"/>
  <c r="AE550" i="16" s="1"/>
  <c r="AD552" i="16"/>
  <c r="AD554" i="16"/>
  <c r="AE554" i="16" s="1"/>
  <c r="AD556" i="16"/>
  <c r="AE556" i="16" s="1"/>
  <c r="AD558" i="16"/>
  <c r="AE558" i="16" s="1"/>
  <c r="AD560" i="16"/>
  <c r="AD562" i="16"/>
  <c r="AE562" i="16" s="1"/>
  <c r="AD564" i="16"/>
  <c r="AE564" i="16" s="1"/>
  <c r="AD566" i="16"/>
  <c r="AE566" i="16" s="1"/>
  <c r="AD568" i="16"/>
  <c r="AD570" i="16"/>
  <c r="AE570" i="16" s="1"/>
  <c r="AD572" i="16"/>
  <c r="AE572" i="16" s="1"/>
  <c r="AD574" i="16"/>
  <c r="AE574" i="16" s="1"/>
  <c r="AD576" i="16"/>
  <c r="AD578" i="16"/>
  <c r="AE578" i="16" s="1"/>
  <c r="AD580" i="16"/>
  <c r="AE580" i="16" s="1"/>
  <c r="AD582" i="16"/>
  <c r="AE582" i="16" s="1"/>
  <c r="AD584" i="16"/>
  <c r="AD586" i="16"/>
  <c r="AE586" i="16" s="1"/>
  <c r="AD588" i="16"/>
  <c r="AE588" i="16" s="1"/>
  <c r="AD590" i="16"/>
  <c r="AE590" i="16" s="1"/>
  <c r="AD592" i="16"/>
  <c r="AD594" i="16"/>
  <c r="AE594" i="16" s="1"/>
  <c r="AD596" i="16"/>
  <c r="AE596" i="16" s="1"/>
  <c r="AD598" i="16"/>
  <c r="AE598" i="16" s="1"/>
  <c r="AD600" i="16"/>
  <c r="AD602" i="16"/>
  <c r="AE602" i="16" s="1"/>
  <c r="AD604" i="16"/>
  <c r="AE604" i="16" s="1"/>
  <c r="AD606" i="16"/>
  <c r="AE606" i="16" s="1"/>
  <c r="AD608" i="16"/>
  <c r="AD610" i="16"/>
  <c r="AE610" i="16" s="1"/>
  <c r="AD612" i="16"/>
  <c r="AE612" i="16" s="1"/>
  <c r="AD614" i="16"/>
  <c r="AE614" i="16" s="1"/>
  <c r="AD616" i="16"/>
  <c r="AD618" i="16"/>
  <c r="AE618" i="16" s="1"/>
  <c r="AD620" i="16"/>
  <c r="AE620" i="16" s="1"/>
  <c r="AD622" i="16"/>
  <c r="AE622" i="16" s="1"/>
  <c r="AD624" i="16"/>
  <c r="AD626" i="16"/>
  <c r="AE626" i="16" s="1"/>
  <c r="AD628" i="16"/>
  <c r="AE628" i="16" s="1"/>
  <c r="AD630" i="16"/>
  <c r="AE630" i="16" s="1"/>
  <c r="AD632" i="16"/>
  <c r="AD634" i="16"/>
  <c r="AE634" i="16" s="1"/>
  <c r="AD636" i="16"/>
  <c r="AE636" i="16" s="1"/>
  <c r="AD638" i="16"/>
  <c r="AE638" i="16" s="1"/>
  <c r="AD640" i="16"/>
  <c r="AD642" i="16"/>
  <c r="AE642" i="16" s="1"/>
  <c r="AD644" i="16"/>
  <c r="AE644" i="16" s="1"/>
  <c r="AD646" i="16"/>
  <c r="AE646" i="16" s="1"/>
  <c r="AD648" i="16"/>
  <c r="AD650" i="16"/>
  <c r="AE650" i="16" s="1"/>
  <c r="AD652" i="16"/>
  <c r="AE652" i="16" s="1"/>
  <c r="AD654" i="16"/>
  <c r="AE654" i="16" s="1"/>
  <c r="AD656" i="16"/>
  <c r="AD658" i="16"/>
  <c r="AE658" i="16" s="1"/>
  <c r="AD660" i="16"/>
  <c r="AE660" i="16" s="1"/>
  <c r="AD662" i="16"/>
  <c r="AE662" i="16" s="1"/>
  <c r="AD664" i="16"/>
  <c r="AD666" i="16"/>
  <c r="AE666" i="16" s="1"/>
  <c r="AD668" i="16"/>
  <c r="AE668" i="16" s="1"/>
  <c r="AD670" i="16"/>
  <c r="AE670" i="16" s="1"/>
  <c r="AD672" i="16"/>
  <c r="AD674" i="16"/>
  <c r="AE674" i="16" s="1"/>
  <c r="AD676" i="16"/>
  <c r="AE676" i="16" s="1"/>
  <c r="AD678" i="16"/>
  <c r="AE678" i="16" s="1"/>
  <c r="AD680" i="16"/>
  <c r="AD682" i="16"/>
  <c r="AE682" i="16" s="1"/>
  <c r="AD684" i="16"/>
  <c r="AE684" i="16" s="1"/>
  <c r="AD686" i="16"/>
  <c r="AE686" i="16" s="1"/>
  <c r="AD688" i="16"/>
  <c r="AD690" i="16"/>
  <c r="AE690" i="16" s="1"/>
  <c r="AD692" i="16"/>
  <c r="AE692" i="16" s="1"/>
  <c r="AD694" i="16"/>
  <c r="AE694" i="16" s="1"/>
  <c r="AD696" i="16"/>
  <c r="AD698" i="16"/>
  <c r="AE698" i="16" s="1"/>
  <c r="AD700" i="16"/>
  <c r="AE700" i="16" s="1"/>
  <c r="AD702" i="16"/>
  <c r="AE702" i="16" s="1"/>
  <c r="AD704" i="16"/>
  <c r="AD706" i="16"/>
  <c r="AE706" i="16" s="1"/>
  <c r="AD708" i="16"/>
  <c r="AE708" i="16" s="1"/>
  <c r="AD710" i="16"/>
  <c r="AE710" i="16" s="1"/>
  <c r="AD712" i="16"/>
  <c r="AD714" i="16"/>
  <c r="AE714" i="16" s="1"/>
  <c r="AD716" i="16"/>
  <c r="AE716" i="16" s="1"/>
  <c r="AD718" i="16"/>
  <c r="AE718" i="16" s="1"/>
  <c r="AD720" i="16"/>
  <c r="AD722" i="16"/>
  <c r="AE722" i="16" s="1"/>
  <c r="AD16" i="21"/>
  <c r="AD18" i="21"/>
  <c r="AD20" i="21"/>
  <c r="AD22" i="21"/>
  <c r="AD24" i="21"/>
  <c r="AD26" i="21"/>
  <c r="AD28" i="21"/>
  <c r="AD30" i="21"/>
  <c r="AD32" i="21"/>
  <c r="AD34" i="21"/>
  <c r="AD36" i="21"/>
  <c r="AD38" i="21"/>
  <c r="AD40" i="21"/>
  <c r="AD42" i="21"/>
  <c r="AD44" i="21"/>
  <c r="AD46" i="21"/>
  <c r="AD48" i="21"/>
  <c r="AD50" i="21"/>
  <c r="AD52" i="21"/>
  <c r="AD54" i="21"/>
  <c r="AD56" i="21"/>
  <c r="AD58" i="21"/>
  <c r="AD60" i="21"/>
  <c r="AD62" i="21"/>
  <c r="AD64" i="21"/>
  <c r="AD66" i="21"/>
  <c r="AD68" i="21"/>
  <c r="AD70" i="21"/>
  <c r="AD72" i="21"/>
  <c r="AD74" i="21"/>
  <c r="AD76" i="21"/>
  <c r="AD78" i="21"/>
  <c r="AD80" i="21"/>
  <c r="AD82" i="21"/>
  <c r="AD84" i="21"/>
  <c r="AD86" i="21"/>
  <c r="AD88" i="21"/>
  <c r="AD90" i="21"/>
  <c r="AD92" i="21"/>
  <c r="AD94" i="21"/>
  <c r="AD96" i="21"/>
  <c r="AD98" i="21"/>
  <c r="AD100" i="21"/>
  <c r="AD102" i="21"/>
  <c r="AD104" i="21"/>
  <c r="AD106" i="21"/>
  <c r="AD108" i="21"/>
  <c r="AD110" i="21"/>
  <c r="AD112" i="21"/>
  <c r="AD114" i="21"/>
  <c r="AD116" i="21"/>
  <c r="AD118" i="21"/>
  <c r="AD120" i="21"/>
  <c r="AD122" i="21"/>
  <c r="AD124" i="21"/>
  <c r="AD126" i="21"/>
  <c r="AD128" i="21"/>
  <c r="AD130" i="21"/>
  <c r="AD132" i="21"/>
  <c r="AD134" i="21"/>
  <c r="AD136" i="21"/>
  <c r="AD138" i="21"/>
  <c r="AD140" i="21"/>
  <c r="AD142" i="21"/>
  <c r="AD144" i="21"/>
  <c r="AD146" i="21"/>
  <c r="AD148" i="21"/>
  <c r="AD150" i="21"/>
  <c r="AD152" i="21"/>
  <c r="AD154" i="21"/>
  <c r="AD156" i="21"/>
  <c r="AD158" i="21"/>
  <c r="AD160" i="21"/>
  <c r="AD162" i="21"/>
  <c r="AD164" i="21"/>
  <c r="AD166" i="21"/>
  <c r="AD168" i="21"/>
  <c r="AD170" i="21"/>
  <c r="AD172" i="21"/>
  <c r="AD174" i="21"/>
  <c r="AD176" i="21"/>
  <c r="AD178" i="21"/>
  <c r="AD180" i="21"/>
  <c r="AD182" i="21"/>
  <c r="AD184" i="21"/>
  <c r="AD186" i="21"/>
  <c r="AD188" i="21"/>
  <c r="AD190" i="21"/>
  <c r="AD192" i="21"/>
  <c r="AD194" i="21"/>
  <c r="AD196" i="21"/>
  <c r="AD198" i="21"/>
  <c r="AD200" i="21"/>
  <c r="AD202" i="21"/>
  <c r="AD204" i="21"/>
  <c r="AD206" i="21"/>
  <c r="AD208" i="21"/>
  <c r="AD210" i="21"/>
  <c r="AD212" i="21"/>
  <c r="AD214" i="21"/>
  <c r="AD216" i="21"/>
  <c r="AD218" i="21"/>
  <c r="AD220" i="21"/>
  <c r="AD222" i="21"/>
  <c r="AD224" i="21"/>
  <c r="AD226" i="21"/>
  <c r="AD228" i="21"/>
  <c r="AD230" i="21"/>
  <c r="AD232" i="21"/>
  <c r="AD234" i="21"/>
  <c r="AD236" i="21"/>
  <c r="AD238" i="21"/>
  <c r="AD240" i="21"/>
  <c r="AD242" i="21"/>
  <c r="AD244" i="21"/>
  <c r="AD246" i="21"/>
  <c r="AD248" i="21"/>
  <c r="AD250" i="21"/>
  <c r="AD252" i="21"/>
  <c r="AD254" i="21"/>
  <c r="AD256" i="21"/>
  <c r="AD258" i="21"/>
  <c r="AD260" i="21"/>
  <c r="AD262" i="21"/>
  <c r="AD264" i="21"/>
  <c r="AD266" i="21"/>
  <c r="AD268" i="21"/>
  <c r="AD270" i="21"/>
  <c r="AD272" i="21"/>
  <c r="AD274" i="21"/>
  <c r="AD276" i="21"/>
  <c r="AD278" i="21"/>
  <c r="AD280" i="21"/>
  <c r="AD282" i="21"/>
  <c r="AD284" i="21"/>
  <c r="AD286" i="21"/>
  <c r="AD288" i="21"/>
  <c r="AD290" i="21"/>
  <c r="AD292" i="21"/>
  <c r="AD294" i="21"/>
  <c r="AD296" i="21"/>
  <c r="AD298" i="21"/>
  <c r="AD300" i="21"/>
  <c r="AD302" i="21"/>
  <c r="AD304" i="21"/>
  <c r="AD306" i="21"/>
  <c r="AD308" i="21"/>
  <c r="AD310" i="21"/>
  <c r="AD312" i="21"/>
  <c r="AD314" i="21"/>
  <c r="AD316" i="21"/>
  <c r="AD318" i="21"/>
  <c r="AD320" i="21"/>
  <c r="AD322" i="21"/>
  <c r="AD324" i="21"/>
  <c r="AD326" i="21"/>
  <c r="AD328" i="21"/>
  <c r="AD330" i="21"/>
  <c r="AD332" i="21"/>
  <c r="AD334" i="21"/>
  <c r="AD336" i="21"/>
  <c r="AD338" i="21"/>
  <c r="AD340" i="21"/>
  <c r="AD342" i="21"/>
  <c r="AD344" i="21"/>
  <c r="AD346" i="21"/>
  <c r="AD348" i="21"/>
  <c r="AD350" i="21"/>
  <c r="AD352" i="21"/>
  <c r="AD354" i="21"/>
  <c r="AD356" i="21"/>
  <c r="AD358" i="21"/>
  <c r="AD360" i="21"/>
  <c r="AD362" i="21"/>
  <c r="AD364" i="21"/>
  <c r="AD366" i="21"/>
  <c r="AD368" i="21"/>
  <c r="AD370" i="21"/>
  <c r="AD372" i="21"/>
  <c r="AD374" i="21"/>
  <c r="AD376" i="21"/>
  <c r="AD378" i="21"/>
  <c r="AD380" i="21"/>
  <c r="AD382" i="21"/>
  <c r="AD384" i="21"/>
  <c r="AD386" i="21"/>
  <c r="AD388" i="21"/>
  <c r="AD390" i="21"/>
  <c r="AD392" i="21"/>
  <c r="AD394" i="21"/>
  <c r="AD396" i="21"/>
  <c r="AD398" i="21"/>
  <c r="AD400" i="21"/>
  <c r="AD402" i="21"/>
  <c r="AD404" i="21"/>
  <c r="AD406" i="21"/>
  <c r="AD408" i="21"/>
  <c r="AD410" i="21"/>
  <c r="AD412" i="21"/>
  <c r="AD414" i="21"/>
  <c r="AD416" i="21"/>
  <c r="AD418" i="21"/>
  <c r="AD420" i="21"/>
  <c r="AD422" i="21"/>
  <c r="AD424" i="21"/>
  <c r="AD426" i="21"/>
  <c r="AD428" i="21"/>
  <c r="AD430" i="21"/>
  <c r="AD432" i="21"/>
  <c r="AD434" i="21"/>
  <c r="AD436" i="21"/>
  <c r="AD438" i="21"/>
  <c r="AD440" i="21"/>
  <c r="AD442" i="21"/>
  <c r="AD444" i="21"/>
  <c r="AD446" i="21"/>
  <c r="AD448" i="21"/>
  <c r="AD450" i="21"/>
  <c r="AD452" i="21"/>
  <c r="AD454" i="21"/>
  <c r="AD456" i="21"/>
  <c r="AD458" i="21"/>
  <c r="AD460" i="21"/>
  <c r="AD462" i="21"/>
  <c r="AD464" i="21"/>
  <c r="AD466" i="21"/>
  <c r="AD468" i="21"/>
  <c r="AD470" i="21"/>
  <c r="AD472" i="21"/>
  <c r="AD474" i="21"/>
  <c r="AD476" i="21"/>
  <c r="AD478" i="21"/>
  <c r="AD480" i="21"/>
  <c r="AD482" i="21"/>
  <c r="AD484" i="21"/>
  <c r="AD486" i="21"/>
  <c r="AD488" i="21"/>
  <c r="AD490" i="21"/>
  <c r="AD492" i="21"/>
  <c r="AD494" i="21"/>
  <c r="AD496" i="21"/>
  <c r="AD498" i="21"/>
  <c r="AD500" i="21"/>
  <c r="AD502" i="21"/>
  <c r="AD504" i="21"/>
  <c r="AD506" i="21"/>
  <c r="AD508" i="21"/>
  <c r="AD510" i="21"/>
  <c r="AD512" i="21"/>
  <c r="AD514" i="21"/>
  <c r="AD516" i="21"/>
  <c r="AD518" i="21"/>
  <c r="AD520" i="21"/>
  <c r="AD522" i="21"/>
  <c r="AD524" i="21"/>
  <c r="AD526" i="21"/>
  <c r="AD528" i="21"/>
  <c r="AD530" i="21"/>
  <c r="AD532" i="21"/>
  <c r="AD534" i="21"/>
  <c r="AD536" i="21"/>
  <c r="AD538" i="21"/>
  <c r="AD540" i="21"/>
  <c r="AD542" i="21"/>
  <c r="AD544" i="21"/>
  <c r="AD546" i="21"/>
  <c r="AD548" i="21"/>
  <c r="AD550" i="21"/>
  <c r="AD552" i="21"/>
  <c r="AD554" i="21"/>
  <c r="AD556" i="21"/>
  <c r="AD558" i="21"/>
  <c r="AD560" i="21"/>
  <c r="AD562" i="21"/>
  <c r="AD564" i="21"/>
  <c r="AD566" i="21"/>
  <c r="AD568" i="21"/>
  <c r="AD570" i="21"/>
  <c r="AD572" i="21"/>
  <c r="AD574" i="21"/>
  <c r="AD576" i="21"/>
  <c r="AD578" i="21"/>
  <c r="AD580" i="21"/>
  <c r="AD582" i="21"/>
  <c r="AD584" i="21"/>
  <c r="AD586" i="21"/>
  <c r="AD588" i="21"/>
  <c r="AD590" i="21"/>
  <c r="AD592" i="21"/>
  <c r="AD594" i="21"/>
  <c r="AD596" i="21"/>
  <c r="AD598" i="21"/>
  <c r="AD600" i="21"/>
  <c r="AD602" i="21"/>
  <c r="AD604" i="21"/>
  <c r="AD606" i="21"/>
  <c r="AD608" i="21"/>
  <c r="AD610" i="21"/>
  <c r="AD612" i="21"/>
  <c r="AD614" i="21"/>
  <c r="AD616" i="21"/>
  <c r="AD618" i="21"/>
  <c r="AD620" i="21"/>
  <c r="AD622" i="21"/>
  <c r="AD624" i="21"/>
  <c r="AD626" i="21"/>
  <c r="AD628" i="21"/>
  <c r="AD630" i="21"/>
  <c r="AD632" i="21"/>
  <c r="AD634" i="21"/>
  <c r="AD636" i="21"/>
  <c r="AD638" i="21"/>
  <c r="AD640" i="21"/>
  <c r="AD642" i="21"/>
  <c r="AD644" i="21"/>
  <c r="AD646" i="21"/>
  <c r="AD648" i="21"/>
  <c r="AD650" i="21"/>
  <c r="AD652" i="21"/>
  <c r="AD654" i="21"/>
  <c r="AD656" i="21"/>
  <c r="AD658" i="21"/>
  <c r="AD660" i="21"/>
  <c r="AD662" i="21"/>
  <c r="AD664" i="21"/>
  <c r="AD666" i="21"/>
  <c r="AD668" i="21"/>
  <c r="AD670" i="21"/>
  <c r="AD672" i="21"/>
  <c r="AD674" i="21"/>
  <c r="AD676" i="21"/>
  <c r="AD678" i="21"/>
  <c r="AD680" i="21"/>
  <c r="AD682" i="21"/>
  <c r="AD684" i="21"/>
  <c r="AD686" i="21"/>
  <c r="AD688" i="21"/>
  <c r="AD690" i="21"/>
  <c r="AD692" i="21"/>
  <c r="AD694" i="21"/>
  <c r="AD696" i="21"/>
  <c r="AD698" i="21"/>
  <c r="AD700" i="21"/>
  <c r="AD702" i="21"/>
  <c r="AD704" i="21"/>
  <c r="AD706" i="21"/>
  <c r="AD708" i="21"/>
  <c r="AD710" i="21"/>
  <c r="AD712" i="21"/>
  <c r="AD714" i="21"/>
  <c r="AD716" i="21"/>
  <c r="AD718" i="21"/>
  <c r="AD720" i="21"/>
  <c r="AD722" i="21"/>
  <c r="AD724" i="21"/>
  <c r="AD726" i="21"/>
  <c r="AD728" i="21"/>
  <c r="AD730" i="21"/>
  <c r="AD732" i="21"/>
  <c r="AD734" i="21"/>
  <c r="AD736" i="21"/>
  <c r="AD738" i="21"/>
  <c r="AD740" i="21"/>
  <c r="AD742" i="21"/>
  <c r="AD744" i="21"/>
  <c r="AD746" i="21"/>
  <c r="AD748" i="21"/>
  <c r="AD750" i="21"/>
  <c r="AD752" i="21"/>
  <c r="AD754" i="21"/>
  <c r="AD756" i="21"/>
  <c r="AD758" i="21"/>
  <c r="AD760" i="21"/>
  <c r="AD762" i="21"/>
  <c r="AD764" i="21"/>
  <c r="AD766" i="21"/>
  <c r="AD768" i="21"/>
  <c r="AD770" i="21"/>
  <c r="AD772" i="21"/>
  <c r="AD774" i="21"/>
  <c r="AD776" i="21"/>
  <c r="AD778" i="21"/>
  <c r="AD780" i="21"/>
  <c r="AD782" i="21"/>
  <c r="AD784" i="21"/>
  <c r="AD786" i="21"/>
  <c r="AD788" i="21"/>
  <c r="AD790" i="21"/>
  <c r="AD792" i="21"/>
  <c r="AD794" i="21"/>
  <c r="AD796" i="21"/>
  <c r="AD798" i="21"/>
  <c r="AD800" i="21"/>
  <c r="AD802" i="21"/>
  <c r="AD804" i="21"/>
  <c r="AD806" i="21"/>
  <c r="AD808" i="21"/>
  <c r="AD810" i="21"/>
  <c r="AD812" i="21"/>
  <c r="AD814" i="21"/>
  <c r="AD816" i="21"/>
  <c r="AD818" i="21"/>
  <c r="AD820" i="21"/>
  <c r="AD822" i="21"/>
  <c r="AD824" i="21"/>
  <c r="AD826" i="21"/>
  <c r="AD828" i="21"/>
  <c r="AD830" i="21"/>
  <c r="AD832" i="21"/>
  <c r="AD834" i="21"/>
  <c r="AD836" i="21"/>
  <c r="AD838" i="21"/>
  <c r="AD840" i="21"/>
  <c r="AD842" i="21"/>
  <c r="AD844" i="21"/>
  <c r="AD846" i="21"/>
  <c r="AD848" i="21"/>
  <c r="AD850" i="21"/>
  <c r="AD852" i="21"/>
  <c r="AD854" i="21"/>
  <c r="AD856" i="21"/>
  <c r="AD858" i="21"/>
  <c r="AD860" i="21"/>
  <c r="AD862" i="21"/>
  <c r="AD864" i="21"/>
  <c r="AD866" i="21"/>
  <c r="AD868" i="21"/>
  <c r="AD870" i="21"/>
  <c r="AD872" i="21"/>
  <c r="AD874" i="21"/>
  <c r="AD876" i="21"/>
  <c r="AD878" i="21"/>
  <c r="AD880" i="21"/>
  <c r="AD882" i="21"/>
  <c r="AD884" i="21"/>
  <c r="AD886" i="21"/>
  <c r="AD888" i="21"/>
  <c r="AD890" i="21"/>
  <c r="AD892" i="21"/>
  <c r="AD894" i="21"/>
  <c r="AD896" i="21"/>
  <c r="AD898" i="21"/>
  <c r="AD900" i="21"/>
  <c r="AD902" i="21"/>
  <c r="AD904" i="21"/>
  <c r="AD906" i="21"/>
  <c r="AD908" i="21"/>
  <c r="AD910" i="21"/>
  <c r="AD912" i="21"/>
  <c r="AD914" i="21"/>
  <c r="AD916" i="21"/>
  <c r="AD918" i="21"/>
  <c r="AD920" i="21"/>
  <c r="AD922" i="21"/>
  <c r="AD924" i="21"/>
  <c r="AD926" i="21"/>
  <c r="AD928" i="21"/>
  <c r="AD930" i="21"/>
  <c r="AD932" i="21"/>
  <c r="AD934" i="21"/>
  <c r="AD936" i="21"/>
  <c r="AD938" i="21"/>
  <c r="AD940" i="21"/>
  <c r="AD942" i="21"/>
  <c r="AD944" i="21"/>
  <c r="AD946" i="21"/>
  <c r="AD948" i="21"/>
  <c r="AD950" i="21"/>
  <c r="AD952" i="21"/>
  <c r="AD954" i="21"/>
  <c r="AD956" i="21"/>
  <c r="AD958" i="21"/>
  <c r="AD960" i="21"/>
  <c r="AD962" i="21"/>
  <c r="AD964" i="21"/>
  <c r="AD966" i="21"/>
  <c r="AD968" i="21"/>
  <c r="AD970" i="21"/>
  <c r="AD972" i="21"/>
  <c r="AD974" i="21"/>
  <c r="AD976" i="21"/>
  <c r="AD978" i="21"/>
  <c r="AD980" i="21"/>
  <c r="AD982" i="21"/>
  <c r="AD984" i="21"/>
  <c r="AD986" i="21"/>
  <c r="AD988" i="21"/>
  <c r="AD990" i="21"/>
  <c r="AD992" i="21"/>
  <c r="AD994" i="21"/>
  <c r="AD996" i="21"/>
  <c r="AD998" i="21"/>
  <c r="AD1000" i="21"/>
  <c r="AD1002" i="21"/>
  <c r="AD1004" i="21"/>
  <c r="AD1006" i="21"/>
  <c r="AD1008" i="21"/>
  <c r="AD1010" i="21"/>
  <c r="AD1012" i="21"/>
  <c r="AD1014" i="21"/>
  <c r="AD1016" i="21"/>
  <c r="AD1018" i="21"/>
  <c r="AD1020" i="21"/>
  <c r="AD1022" i="21"/>
  <c r="AD1024" i="21"/>
  <c r="AD1026" i="21"/>
  <c r="AD1028" i="21"/>
  <c r="AD1030" i="21"/>
  <c r="AD1032" i="21"/>
  <c r="AD1034" i="21"/>
  <c r="AD1036" i="21"/>
  <c r="AD1038" i="21"/>
  <c r="AD1040" i="21"/>
  <c r="AD1042" i="21"/>
  <c r="AD1044" i="21"/>
  <c r="AD1046" i="21"/>
  <c r="AD1048" i="21"/>
  <c r="AD1050" i="21"/>
  <c r="AD1052" i="21"/>
  <c r="AD1054" i="21"/>
  <c r="AD1056" i="21"/>
  <c r="AD1058" i="21"/>
  <c r="AD1060" i="21"/>
  <c r="AD1062" i="21"/>
  <c r="AD1064" i="21"/>
  <c r="AD1066" i="21"/>
  <c r="AD1068" i="21"/>
  <c r="AD1070" i="21"/>
  <c r="AD1072" i="21"/>
  <c r="AD1074" i="21"/>
  <c r="AD1076" i="21"/>
  <c r="AD1078" i="21"/>
  <c r="AD1080" i="21"/>
  <c r="AD1082" i="21"/>
  <c r="AD1084" i="21"/>
  <c r="AD1086" i="21"/>
  <c r="AD1088" i="21"/>
  <c r="AD1090" i="21"/>
  <c r="AD1092" i="21"/>
  <c r="AD1094" i="21"/>
  <c r="AD1096" i="21"/>
  <c r="AD1098" i="21"/>
  <c r="AD1100" i="21"/>
  <c r="AD1102" i="21"/>
  <c r="AD1104" i="21"/>
  <c r="AD1106" i="21"/>
  <c r="AD1108" i="21"/>
  <c r="AD1110" i="21"/>
  <c r="AD1112" i="21"/>
  <c r="AD1114" i="21"/>
  <c r="AD1116" i="21"/>
  <c r="AD1118" i="21"/>
  <c r="AD1120" i="21"/>
  <c r="AD1122" i="21"/>
  <c r="AD1124" i="21"/>
  <c r="AD1126" i="21"/>
  <c r="AD1128" i="21"/>
  <c r="AD1130" i="21"/>
  <c r="AD1132" i="21"/>
  <c r="AD1134" i="21"/>
  <c r="AD1136" i="21"/>
  <c r="AD1138" i="21"/>
  <c r="AD1140" i="21"/>
  <c r="AD1142" i="21"/>
  <c r="AD1144" i="21"/>
  <c r="AD1146" i="21"/>
  <c r="AD1148" i="21"/>
  <c r="AD1150" i="21"/>
  <c r="AD1152" i="21"/>
  <c r="AD1154" i="21"/>
  <c r="AD1156" i="21"/>
  <c r="AD1158" i="21"/>
  <c r="AD1160" i="21"/>
  <c r="AD1162" i="21"/>
  <c r="AD1164" i="21"/>
  <c r="AD1166" i="21"/>
  <c r="AD1168" i="21"/>
  <c r="AD1170" i="21"/>
  <c r="AD1172" i="21"/>
  <c r="AD1174" i="21"/>
  <c r="AD1176" i="21"/>
  <c r="AD1178" i="21"/>
  <c r="AD1180" i="21"/>
  <c r="AD1182" i="21"/>
  <c r="AD1184" i="21"/>
  <c r="AD1186" i="21"/>
  <c r="AD1188" i="21"/>
  <c r="AD1190" i="21"/>
  <c r="AD1192" i="21"/>
  <c r="AD1194" i="21"/>
  <c r="AD1196" i="21"/>
  <c r="AD1198" i="21"/>
  <c r="AD1200" i="21"/>
  <c r="AD1202" i="21"/>
  <c r="AD1204" i="21"/>
  <c r="AD17" i="21"/>
  <c r="AD19" i="21"/>
  <c r="AD21" i="21"/>
  <c r="AD23" i="21"/>
  <c r="AD25" i="21"/>
  <c r="AD27" i="21"/>
  <c r="AD29" i="21"/>
  <c r="AD31" i="21"/>
  <c r="AD33" i="21"/>
  <c r="AD35" i="21"/>
  <c r="AD37" i="21"/>
  <c r="AD39" i="21"/>
  <c r="AD41" i="21"/>
  <c r="AD43" i="21"/>
  <c r="AD45" i="21"/>
  <c r="AD47" i="21"/>
  <c r="AD49" i="21"/>
  <c r="AD51" i="21"/>
  <c r="AD53" i="21"/>
  <c r="AD55" i="21"/>
  <c r="AD57" i="21"/>
  <c r="AD59" i="21"/>
  <c r="AD61" i="21"/>
  <c r="AD63" i="21"/>
  <c r="AD65" i="21"/>
  <c r="AD67" i="21"/>
  <c r="AD69" i="21"/>
  <c r="AD71" i="21"/>
  <c r="AD73" i="21"/>
  <c r="AD75" i="21"/>
  <c r="AD77" i="21"/>
  <c r="AD79" i="21"/>
  <c r="AD81" i="21"/>
  <c r="AD83" i="21"/>
  <c r="AD85" i="21"/>
  <c r="AD87" i="21"/>
  <c r="AD89" i="21"/>
  <c r="AD91" i="21"/>
  <c r="AD93" i="21"/>
  <c r="AD95" i="21"/>
  <c r="AD97" i="21"/>
  <c r="AD99" i="21"/>
  <c r="AD101" i="21"/>
  <c r="AD103" i="21"/>
  <c r="AD105" i="21"/>
  <c r="AD107" i="21"/>
  <c r="AD109" i="21"/>
  <c r="AD111" i="21"/>
  <c r="AD113" i="21"/>
  <c r="AD115" i="21"/>
  <c r="AD117" i="21"/>
  <c r="AD119" i="21"/>
  <c r="AD121" i="21"/>
  <c r="AD123" i="21"/>
  <c r="AD125" i="21"/>
  <c r="AD127" i="21"/>
  <c r="AD129" i="21"/>
  <c r="AD131" i="21"/>
  <c r="AD133" i="21"/>
  <c r="AD135" i="21"/>
  <c r="AD137" i="21"/>
  <c r="AD139" i="21"/>
  <c r="AD141" i="21"/>
  <c r="AD143" i="21"/>
  <c r="AD145" i="21"/>
  <c r="AD147" i="21"/>
  <c r="AD149" i="21"/>
  <c r="AD151" i="21"/>
  <c r="AD153" i="21"/>
  <c r="AD155" i="21"/>
  <c r="AD157" i="21"/>
  <c r="AD159" i="21"/>
  <c r="AD161" i="21"/>
  <c r="AD163" i="21"/>
  <c r="AD165" i="21"/>
  <c r="AD167" i="21"/>
  <c r="AD169" i="21"/>
  <c r="AD171" i="21"/>
  <c r="AD173" i="21"/>
  <c r="AD175" i="21"/>
  <c r="AD177" i="21"/>
  <c r="AD179" i="21"/>
  <c r="AD181" i="21"/>
  <c r="AD183" i="21"/>
  <c r="AD185" i="21"/>
  <c r="AD187" i="21"/>
  <c r="AD189" i="21"/>
  <c r="AD191" i="21"/>
  <c r="AD193" i="21"/>
  <c r="AD195" i="21"/>
  <c r="AD197" i="21"/>
  <c r="AD199" i="21"/>
  <c r="AD201" i="21"/>
  <c r="AD203" i="21"/>
  <c r="AD205" i="21"/>
  <c r="AD207" i="21"/>
  <c r="AD209" i="21"/>
  <c r="AD211" i="21"/>
  <c r="AD213" i="21"/>
  <c r="AD215" i="21"/>
  <c r="AD217" i="21"/>
  <c r="AD219" i="21"/>
  <c r="AD221" i="21"/>
  <c r="AD223" i="21"/>
  <c r="AD225" i="21"/>
  <c r="AD227" i="21"/>
  <c r="AD229" i="21"/>
  <c r="AD231" i="21"/>
  <c r="AD233" i="21"/>
  <c r="AD235" i="21"/>
  <c r="AD237" i="21"/>
  <c r="AD239" i="21"/>
  <c r="AD241" i="21"/>
  <c r="AD243" i="21"/>
  <c r="AD245" i="21"/>
  <c r="AD247" i="21"/>
  <c r="AD249" i="21"/>
  <c r="AD251" i="21"/>
  <c r="AD253" i="21"/>
  <c r="AD255" i="21"/>
  <c r="AD257" i="21"/>
  <c r="AD259" i="21"/>
  <c r="AD261" i="21"/>
  <c r="AD263" i="21"/>
  <c r="AD265" i="21"/>
  <c r="AD267" i="21"/>
  <c r="AD269" i="21"/>
  <c r="AD271" i="21"/>
  <c r="AD273" i="21"/>
  <c r="AD275" i="21"/>
  <c r="AD277" i="21"/>
  <c r="AD279" i="21"/>
  <c r="AD281" i="21"/>
  <c r="AD283" i="21"/>
  <c r="AD285" i="21"/>
  <c r="AD287" i="21"/>
  <c r="AD289" i="21"/>
  <c r="AD291" i="21"/>
  <c r="AD293" i="21"/>
  <c r="AD295" i="21"/>
  <c r="AD297" i="21"/>
  <c r="AD299" i="21"/>
  <c r="AD301" i="21"/>
  <c r="AD303" i="21"/>
  <c r="AD305" i="21"/>
  <c r="AD307" i="21"/>
  <c r="AD309" i="21"/>
  <c r="AD311" i="21"/>
  <c r="AD313" i="21"/>
  <c r="AD315" i="21"/>
  <c r="AD317" i="21"/>
  <c r="AD319" i="21"/>
  <c r="AD321" i="21"/>
  <c r="AD323" i="21"/>
  <c r="AD325" i="21"/>
  <c r="AD327" i="21"/>
  <c r="AD329" i="21"/>
  <c r="AD331" i="21"/>
  <c r="AD333" i="21"/>
  <c r="AD335" i="21"/>
  <c r="AD337" i="21"/>
  <c r="AD339" i="21"/>
  <c r="AD341" i="21"/>
  <c r="AD343" i="21"/>
  <c r="AD345" i="21"/>
  <c r="AD347" i="21"/>
  <c r="AD349" i="21"/>
  <c r="AD351" i="21"/>
  <c r="AD353" i="21"/>
  <c r="AD355" i="21"/>
  <c r="AD357" i="21"/>
  <c r="AD359" i="21"/>
  <c r="AD361" i="21"/>
  <c r="AD363" i="21"/>
  <c r="AD365" i="21"/>
  <c r="AD367" i="21"/>
  <c r="AD369" i="21"/>
  <c r="AD371" i="21"/>
  <c r="AD373" i="21"/>
  <c r="AD375" i="21"/>
  <c r="AD377" i="21"/>
  <c r="AD379" i="21"/>
  <c r="AD381" i="21"/>
  <c r="AD383" i="21"/>
  <c r="AD385" i="21"/>
  <c r="AD387" i="21"/>
  <c r="AD389" i="21"/>
  <c r="AD391" i="21"/>
  <c r="AD393" i="21"/>
  <c r="AD395" i="21"/>
  <c r="AD397" i="21"/>
  <c r="AD399" i="21"/>
  <c r="AD401" i="21"/>
  <c r="AD403" i="21"/>
  <c r="AD405" i="21"/>
  <c r="AD407" i="21"/>
  <c r="AD409" i="21"/>
  <c r="AD411" i="21"/>
  <c r="AD413" i="21"/>
  <c r="AD415" i="21"/>
  <c r="AD417" i="21"/>
  <c r="AD419" i="21"/>
  <c r="AD421" i="21"/>
  <c r="AD423" i="21"/>
  <c r="AD425" i="21"/>
  <c r="AD427" i="21"/>
  <c r="AD429" i="21"/>
  <c r="AD431" i="21"/>
  <c r="AD433" i="21"/>
  <c r="AD435" i="21"/>
  <c r="AD437" i="21"/>
  <c r="AD439" i="21"/>
  <c r="AD441" i="21"/>
  <c r="AD443" i="21"/>
  <c r="AD445" i="21"/>
  <c r="AD447" i="21"/>
  <c r="AD449" i="21"/>
  <c r="AD451" i="21"/>
  <c r="AD453" i="21"/>
  <c r="AD455" i="21"/>
  <c r="AD457" i="21"/>
  <c r="AD459" i="21"/>
  <c r="AD461" i="21"/>
  <c r="AD463" i="21"/>
  <c r="AD465" i="21"/>
  <c r="AD467" i="21"/>
  <c r="AD469" i="21"/>
  <c r="AD471" i="21"/>
  <c r="AD473" i="21"/>
  <c r="AD475" i="21"/>
  <c r="AD477" i="21"/>
  <c r="AD479" i="21"/>
  <c r="AD481" i="21"/>
  <c r="AD483" i="21"/>
  <c r="AD485" i="21"/>
  <c r="AD487" i="21"/>
  <c r="AD489" i="21"/>
  <c r="AD491" i="21"/>
  <c r="AD493" i="21"/>
  <c r="AD495" i="21"/>
  <c r="AD497" i="21"/>
  <c r="AD499" i="21"/>
  <c r="AD501" i="21"/>
  <c r="AD503" i="21"/>
  <c r="AD505" i="21"/>
  <c r="AD507" i="21"/>
  <c r="AD509" i="21"/>
  <c r="AD511" i="21"/>
  <c r="AD513" i="21"/>
  <c r="AD515" i="21"/>
  <c r="AD517" i="21"/>
  <c r="AD519" i="21"/>
  <c r="AD521" i="21"/>
  <c r="AD523" i="21"/>
  <c r="AD525" i="21"/>
  <c r="AD527" i="21"/>
  <c r="AD529" i="21"/>
  <c r="AD531" i="21"/>
  <c r="AD533" i="21"/>
  <c r="AD535" i="21"/>
  <c r="AD537" i="21"/>
  <c r="AD539" i="21"/>
  <c r="AD541" i="21"/>
  <c r="AD543" i="21"/>
  <c r="AD545" i="21"/>
  <c r="AD547" i="21"/>
  <c r="AD549" i="21"/>
  <c r="AD551" i="21"/>
  <c r="AD553" i="21"/>
  <c r="AD555" i="21"/>
  <c r="AD557" i="21"/>
  <c r="AD559" i="21"/>
  <c r="AD561" i="21"/>
  <c r="AD563" i="21"/>
  <c r="AD565" i="21"/>
  <c r="AD567" i="21"/>
  <c r="AD569" i="21"/>
  <c r="AD571" i="21"/>
  <c r="AD573" i="21"/>
  <c r="AD575" i="21"/>
  <c r="AD577" i="21"/>
  <c r="AD579" i="21"/>
  <c r="AD581" i="21"/>
  <c r="AD583" i="21"/>
  <c r="AD585" i="21"/>
  <c r="AD587" i="21"/>
  <c r="AD589" i="21"/>
  <c r="AD591" i="21"/>
  <c r="AD593" i="21"/>
  <c r="AD595" i="21"/>
  <c r="AD597" i="21"/>
  <c r="AD599" i="21"/>
  <c r="AD601" i="21"/>
  <c r="AD603" i="21"/>
  <c r="AD605" i="21"/>
  <c r="AD607" i="21"/>
  <c r="AD609" i="21"/>
  <c r="AD611" i="21"/>
  <c r="AD613" i="21"/>
  <c r="AD615" i="21"/>
  <c r="AD617" i="21"/>
  <c r="AD619" i="21"/>
  <c r="AD621" i="21"/>
  <c r="AD623" i="21"/>
  <c r="AD625" i="21"/>
  <c r="AD627" i="21"/>
  <c r="AD629" i="21"/>
  <c r="AD631" i="21"/>
  <c r="AD633" i="21"/>
  <c r="AD635" i="21"/>
  <c r="AD637" i="21"/>
  <c r="AD639" i="21"/>
  <c r="AD641" i="21"/>
  <c r="AD643" i="21"/>
  <c r="AD645" i="21"/>
  <c r="AD647" i="21"/>
  <c r="AD649" i="21"/>
  <c r="AD651" i="21"/>
  <c r="AD653" i="21"/>
  <c r="AD655" i="21"/>
  <c r="AD657" i="21"/>
  <c r="AD659" i="21"/>
  <c r="AD661" i="21"/>
  <c r="AD663" i="21"/>
  <c r="AD665" i="21"/>
  <c r="AD667" i="21"/>
  <c r="AD669" i="21"/>
  <c r="AD671" i="21"/>
  <c r="AD673" i="21"/>
  <c r="AD675" i="21"/>
  <c r="AD677" i="21"/>
  <c r="AD679" i="21"/>
  <c r="AD681" i="21"/>
  <c r="AD683" i="21"/>
  <c r="AD685" i="21"/>
  <c r="AD687" i="21"/>
  <c r="AD689" i="21"/>
  <c r="AD691" i="21"/>
  <c r="AD693" i="21"/>
  <c r="AD695" i="21"/>
  <c r="AD697" i="21"/>
  <c r="AD699" i="21"/>
  <c r="AD701" i="21"/>
  <c r="AD703" i="21"/>
  <c r="AD705" i="21"/>
  <c r="AD707" i="21"/>
  <c r="AD709" i="21"/>
  <c r="AD711" i="21"/>
  <c r="AD713" i="21"/>
  <c r="AD715" i="21"/>
  <c r="AD717" i="21"/>
  <c r="AD719" i="21"/>
  <c r="AD721" i="21"/>
  <c r="AD723" i="21"/>
  <c r="AD725" i="21"/>
  <c r="AD727" i="21"/>
  <c r="AD729" i="21"/>
  <c r="AD731" i="21"/>
  <c r="AD733" i="21"/>
  <c r="AD735" i="21"/>
  <c r="AD737" i="21"/>
  <c r="AD739" i="21"/>
  <c r="AD741" i="21"/>
  <c r="AD743" i="21"/>
  <c r="AD745" i="21"/>
  <c r="AD747" i="21"/>
  <c r="AD749" i="21"/>
  <c r="AD751" i="21"/>
  <c r="AD753" i="21"/>
  <c r="AD755" i="21"/>
  <c r="AD757" i="21"/>
  <c r="AD759" i="21"/>
  <c r="AD761" i="21"/>
  <c r="AD763" i="21"/>
  <c r="AD765" i="21"/>
  <c r="AD767" i="21"/>
  <c r="AD769" i="21"/>
  <c r="AD771" i="21"/>
  <c r="AD773" i="21"/>
  <c r="AD775" i="21"/>
  <c r="AD777" i="21"/>
  <c r="AD779" i="21"/>
  <c r="AD781" i="21"/>
  <c r="AD783" i="21"/>
  <c r="AD785" i="21"/>
  <c r="AD787" i="21"/>
  <c r="AD789" i="21"/>
  <c r="AD791" i="21"/>
  <c r="AD793" i="21"/>
  <c r="AD795" i="21"/>
  <c r="AD797" i="21"/>
  <c r="AD799" i="21"/>
  <c r="AD801" i="21"/>
  <c r="AD803" i="21"/>
  <c r="AD805" i="21"/>
  <c r="AD807" i="21"/>
  <c r="AD809" i="21"/>
  <c r="AD811" i="21"/>
  <c r="AD813" i="21"/>
  <c r="AD815" i="21"/>
  <c r="AD817" i="21"/>
  <c r="AD819" i="21"/>
  <c r="AD821" i="21"/>
  <c r="AD823" i="21"/>
  <c r="AD825" i="21"/>
  <c r="AD827" i="21"/>
  <c r="AD829" i="21"/>
  <c r="AD831" i="21"/>
  <c r="AD833" i="21"/>
  <c r="AD835" i="21"/>
  <c r="AD837" i="21"/>
  <c r="AD839" i="21"/>
  <c r="AD841" i="21"/>
  <c r="AD843" i="21"/>
  <c r="AD845" i="21"/>
  <c r="AD847" i="21"/>
  <c r="AD849" i="21"/>
  <c r="AD851" i="21"/>
  <c r="AD853" i="21"/>
  <c r="AD855" i="21"/>
  <c r="AD857" i="21"/>
  <c r="AD859" i="21"/>
  <c r="AD861" i="21"/>
  <c r="AD863" i="21"/>
  <c r="AD865" i="21"/>
  <c r="AD867" i="21"/>
  <c r="AD869" i="21"/>
  <c r="AD871" i="21"/>
  <c r="AD873" i="21"/>
  <c r="AD875" i="21"/>
  <c r="AD877" i="21"/>
  <c r="AD879" i="21"/>
  <c r="AD881" i="21"/>
  <c r="AD883" i="21"/>
  <c r="AD885" i="21"/>
  <c r="AD887" i="21"/>
  <c r="AD889" i="21"/>
  <c r="AD891" i="21"/>
  <c r="AD893" i="21"/>
  <c r="AD895" i="21"/>
  <c r="AD897" i="21"/>
  <c r="AD899" i="21"/>
  <c r="AD901" i="21"/>
  <c r="AD903" i="21"/>
  <c r="AD905" i="21"/>
  <c r="AD907" i="21"/>
  <c r="AD909" i="21"/>
  <c r="AD911" i="21"/>
  <c r="AD913" i="21"/>
  <c r="AD915" i="21"/>
  <c r="AD917" i="21"/>
  <c r="AD919" i="21"/>
  <c r="AD921" i="21"/>
  <c r="AD923" i="21"/>
  <c r="AD925" i="21"/>
  <c r="AD927" i="21"/>
  <c r="AD929" i="21"/>
  <c r="AD931" i="21"/>
  <c r="AD933" i="21"/>
  <c r="AD935" i="21"/>
  <c r="AD937" i="21"/>
  <c r="AD939" i="21"/>
  <c r="AD941" i="21"/>
  <c r="AD943" i="21"/>
  <c r="AD945" i="21"/>
  <c r="AD947" i="21"/>
  <c r="AD949" i="21"/>
  <c r="AD951" i="21"/>
  <c r="AD953" i="21"/>
  <c r="AD955" i="21"/>
  <c r="AD957" i="21"/>
  <c r="AD959" i="21"/>
  <c r="AD961" i="21"/>
  <c r="AD963" i="21"/>
  <c r="AD965" i="21"/>
  <c r="AD967" i="21"/>
  <c r="AD969" i="21"/>
  <c r="AD971" i="21"/>
  <c r="AD973" i="21"/>
  <c r="AD975" i="21"/>
  <c r="AD977" i="21"/>
  <c r="AD979" i="21"/>
  <c r="AD981" i="21"/>
  <c r="AD983" i="21"/>
  <c r="AD985" i="21"/>
  <c r="AD987" i="21"/>
  <c r="AD989" i="21"/>
  <c r="AD991" i="21"/>
  <c r="AD993" i="21"/>
  <c r="AD995" i="21"/>
  <c r="AD997" i="21"/>
  <c r="AD999" i="21"/>
  <c r="AD1001" i="21"/>
  <c r="AD1003" i="21"/>
  <c r="AD1005" i="21"/>
  <c r="AD1007" i="21"/>
  <c r="AD1009" i="21"/>
  <c r="AD1011" i="21"/>
  <c r="AD1013" i="21"/>
  <c r="AD1015" i="21"/>
  <c r="AD1017" i="21"/>
  <c r="AD1019" i="21"/>
  <c r="AD1021" i="21"/>
  <c r="AD1023" i="21"/>
  <c r="AD1025" i="21"/>
  <c r="AD1027" i="21"/>
  <c r="AD1029" i="21"/>
  <c r="AD1031" i="21"/>
  <c r="AD1033" i="21"/>
  <c r="AD1035" i="21"/>
  <c r="AD1037" i="21"/>
  <c r="AD1039" i="21"/>
  <c r="AD1041" i="21"/>
  <c r="AD1043" i="21"/>
  <c r="AD1045" i="21"/>
  <c r="AD1047" i="21"/>
  <c r="AD1049" i="21"/>
  <c r="AD1051" i="21"/>
  <c r="AD1053" i="21"/>
  <c r="AD1055" i="21"/>
  <c r="AD1057" i="21"/>
  <c r="AD1059" i="21"/>
  <c r="AD1061" i="21"/>
  <c r="AD1063" i="21"/>
  <c r="AD1065" i="21"/>
  <c r="AD1067" i="21"/>
  <c r="AD1069" i="21"/>
  <c r="AD1071" i="21"/>
  <c r="AD1073" i="21"/>
  <c r="AD1075" i="21"/>
  <c r="AD1077" i="21"/>
  <c r="AD1079" i="21"/>
  <c r="AD1081" i="21"/>
  <c r="AD1083" i="21"/>
  <c r="AD1085" i="21"/>
  <c r="AD1087" i="21"/>
  <c r="AD1089" i="21"/>
  <c r="AD1091" i="21"/>
  <c r="AD1093" i="21"/>
  <c r="AD1095" i="21"/>
  <c r="AD1097" i="21"/>
  <c r="AD1099" i="21"/>
  <c r="AD1101" i="21"/>
  <c r="AD1103" i="21"/>
  <c r="AD1105" i="21"/>
  <c r="AD1107" i="21"/>
  <c r="AD1109" i="21"/>
  <c r="AD1111" i="21"/>
  <c r="AD1113" i="21"/>
  <c r="AD1115" i="21"/>
  <c r="AD1117" i="21"/>
  <c r="AD1119" i="21"/>
  <c r="AD1121" i="21"/>
  <c r="AD1123" i="21"/>
  <c r="AD1125" i="21"/>
  <c r="AD1127" i="21"/>
  <c r="AD1129" i="21"/>
  <c r="AD1131" i="21"/>
  <c r="AD1133" i="21"/>
  <c r="AD1135" i="21"/>
  <c r="AD1137" i="21"/>
  <c r="AD1139" i="21"/>
  <c r="AD1141" i="21"/>
  <c r="AD1143" i="21"/>
  <c r="AD1145" i="21"/>
  <c r="AD1147" i="21"/>
  <c r="AD1149" i="21"/>
  <c r="AD1151" i="21"/>
  <c r="AD1153" i="21"/>
  <c r="AD1155" i="21"/>
  <c r="AD1157" i="21"/>
  <c r="AD1159" i="21"/>
  <c r="AD1161" i="21"/>
  <c r="AD1163" i="21"/>
  <c r="AD1165" i="21"/>
  <c r="AD1167" i="21"/>
  <c r="AD1169" i="21"/>
  <c r="AD1171" i="21"/>
  <c r="AD1173" i="21"/>
  <c r="AD1175" i="21"/>
  <c r="AD1177" i="21"/>
  <c r="AD1179" i="21"/>
  <c r="AD1181" i="21"/>
  <c r="AD1183" i="21"/>
  <c r="AD1185" i="21"/>
  <c r="AD1187" i="21"/>
  <c r="AD1189" i="21"/>
  <c r="AD1191" i="21"/>
  <c r="AD1193" i="21"/>
  <c r="AD1195" i="21"/>
  <c r="AD1197" i="21"/>
  <c r="AD1199" i="21"/>
  <c r="AD1201" i="21"/>
  <c r="AD1203" i="21"/>
  <c r="AD7" i="26"/>
  <c r="AD9" i="26"/>
  <c r="AD11" i="26"/>
  <c r="AD13" i="26"/>
  <c r="AD15" i="26"/>
  <c r="AD17" i="26"/>
  <c r="AD19" i="26"/>
  <c r="AG19" i="26" s="1"/>
  <c r="AD21" i="26"/>
  <c r="AD23" i="26"/>
  <c r="AD25" i="26"/>
  <c r="AD27" i="26"/>
  <c r="AD29" i="26"/>
  <c r="AD31" i="26"/>
  <c r="AD33" i="26"/>
  <c r="AD35" i="26"/>
  <c r="AD37" i="26"/>
  <c r="AG37" i="26" s="1"/>
  <c r="AD39" i="26"/>
  <c r="AD41" i="26"/>
  <c r="AD43" i="26"/>
  <c r="AG43" i="26" s="1"/>
  <c r="AD45" i="26"/>
  <c r="AD47" i="26"/>
  <c r="AD49" i="26"/>
  <c r="AD51" i="26"/>
  <c r="AD53" i="26"/>
  <c r="AD6" i="26"/>
  <c r="AD8" i="26"/>
  <c r="AD10" i="26"/>
  <c r="AD12" i="26"/>
  <c r="AD14" i="26"/>
  <c r="AD16" i="26"/>
  <c r="AD18" i="26"/>
  <c r="AD20" i="26"/>
  <c r="AG20" i="26" s="1"/>
  <c r="AD22" i="26"/>
  <c r="AD24" i="26"/>
  <c r="AD26" i="26"/>
  <c r="AD28" i="26"/>
  <c r="AD30" i="26"/>
  <c r="AD32" i="26"/>
  <c r="AD34" i="26"/>
  <c r="AD36" i="26"/>
  <c r="AD38" i="26"/>
  <c r="AD40" i="26"/>
  <c r="AD42" i="26"/>
  <c r="AD44" i="26"/>
  <c r="AD46" i="26"/>
  <c r="AD48" i="26"/>
  <c r="AD50" i="26"/>
  <c r="AD52" i="26"/>
  <c r="AD54" i="26"/>
  <c r="AD17" i="27"/>
  <c r="AD19" i="27"/>
  <c r="AD21" i="27"/>
  <c r="AD23" i="27"/>
  <c r="AD25" i="27"/>
  <c r="AD27" i="27"/>
  <c r="AD29" i="27"/>
  <c r="AD31" i="27"/>
  <c r="AD33" i="27"/>
  <c r="AD35" i="27"/>
  <c r="AD37" i="27"/>
  <c r="AD39" i="27"/>
  <c r="AD41" i="27"/>
  <c r="AD43" i="27"/>
  <c r="AD45" i="27"/>
  <c r="AD47" i="27"/>
  <c r="AD49" i="27"/>
  <c r="AD51" i="27"/>
  <c r="AD53" i="27"/>
  <c r="AD55" i="27"/>
  <c r="AD57" i="27"/>
  <c r="AD59" i="27"/>
  <c r="AD61" i="27"/>
  <c r="AD63" i="27"/>
  <c r="AD65" i="27"/>
  <c r="AD67" i="27"/>
  <c r="AD69" i="27"/>
  <c r="AD71" i="27"/>
  <c r="AD73" i="27"/>
  <c r="AD75" i="27"/>
  <c r="AD77" i="27"/>
  <c r="AD79" i="27"/>
  <c r="AD81" i="27"/>
  <c r="AD83" i="27"/>
  <c r="AD85" i="27"/>
  <c r="AD87" i="27"/>
  <c r="AD89" i="27"/>
  <c r="AD91" i="27"/>
  <c r="AD93" i="27"/>
  <c r="AD95" i="27"/>
  <c r="AD97" i="27"/>
  <c r="AD99" i="27"/>
  <c r="AD101" i="27"/>
  <c r="AD103" i="27"/>
  <c r="AD105" i="27"/>
  <c r="AD107" i="27"/>
  <c r="AD109" i="27"/>
  <c r="AD111" i="27"/>
  <c r="AD113" i="27"/>
  <c r="AD115" i="27"/>
  <c r="AD117" i="27"/>
  <c r="AD119" i="27"/>
  <c r="AD16" i="27"/>
  <c r="AD18" i="27"/>
  <c r="AD20" i="27"/>
  <c r="AD22" i="27"/>
  <c r="AD24" i="27"/>
  <c r="AD26" i="27"/>
  <c r="AD28" i="27"/>
  <c r="AD30" i="27"/>
  <c r="AD32" i="27"/>
  <c r="AD34" i="27"/>
  <c r="AD36" i="27"/>
  <c r="AD38" i="27"/>
  <c r="AD40" i="27"/>
  <c r="AD42" i="27"/>
  <c r="AD44" i="27"/>
  <c r="AD46" i="27"/>
  <c r="AD48" i="27"/>
  <c r="AD50" i="27"/>
  <c r="AD52" i="27"/>
  <c r="AD54" i="27"/>
  <c r="AD56" i="27"/>
  <c r="AD58" i="27"/>
  <c r="AD60" i="27"/>
  <c r="AD62" i="27"/>
  <c r="AD64" i="27"/>
  <c r="AD66" i="27"/>
  <c r="AD68" i="27"/>
  <c r="AD70" i="27"/>
  <c r="AD72" i="27"/>
  <c r="AD74" i="27"/>
  <c r="AD76" i="27"/>
  <c r="AD78" i="27"/>
  <c r="AD80" i="27"/>
  <c r="AD82" i="27"/>
  <c r="AD84" i="27"/>
  <c r="AD86" i="27"/>
  <c r="AD88" i="27"/>
  <c r="AD90" i="27"/>
  <c r="AD92" i="27"/>
  <c r="AD94" i="27"/>
  <c r="AD96" i="27"/>
  <c r="AD98" i="27"/>
  <c r="AD100" i="27"/>
  <c r="AD102" i="27"/>
  <c r="AD104" i="27"/>
  <c r="AD106" i="27"/>
  <c r="AD108" i="27"/>
  <c r="AD110" i="27"/>
  <c r="AD112" i="27"/>
  <c r="AD114" i="27"/>
  <c r="AD116" i="27"/>
  <c r="AD118" i="27"/>
  <c r="AD16" i="28"/>
  <c r="AG16" i="28" s="1"/>
  <c r="AD18" i="28"/>
  <c r="AG18" i="28" s="1"/>
  <c r="AD20" i="28"/>
  <c r="AG20" i="28" s="1"/>
  <c r="AD22" i="28"/>
  <c r="AG22" i="28" s="1"/>
  <c r="AD24" i="28"/>
  <c r="AD26" i="28"/>
  <c r="AG26" i="28" s="1"/>
  <c r="AD28" i="28"/>
  <c r="AD30" i="28"/>
  <c r="AD32" i="28"/>
  <c r="AD34" i="28"/>
  <c r="AG34" i="28" s="1"/>
  <c r="AD36" i="28"/>
  <c r="AD38" i="28"/>
  <c r="AD40" i="28"/>
  <c r="AD42" i="28"/>
  <c r="AG42" i="28" s="1"/>
  <c r="AD44" i="28"/>
  <c r="AD46" i="28"/>
  <c r="AD48" i="28"/>
  <c r="AG48" i="28" s="1"/>
  <c r="AD50" i="28"/>
  <c r="AG50" i="28" s="1"/>
  <c r="AD52" i="28"/>
  <c r="AD54" i="28"/>
  <c r="AD56" i="28"/>
  <c r="AD58" i="28"/>
  <c r="AG58" i="28" s="1"/>
  <c r="AD60" i="28"/>
  <c r="AD62" i="28"/>
  <c r="AD64" i="28"/>
  <c r="AD66" i="28"/>
  <c r="AG66" i="28" s="1"/>
  <c r="AD68" i="28"/>
  <c r="AD70" i="28"/>
  <c r="AD72" i="28"/>
  <c r="AG72" i="28" s="1"/>
  <c r="AD74" i="28"/>
  <c r="AG74" i="28" s="1"/>
  <c r="AD76" i="28"/>
  <c r="AD78" i="28"/>
  <c r="AG78" i="28" s="1"/>
  <c r="AD80" i="28"/>
  <c r="AD82" i="28"/>
  <c r="AG82" i="28" s="1"/>
  <c r="AD84" i="28"/>
  <c r="AD86" i="28"/>
  <c r="AD88" i="28"/>
  <c r="AG88" i="28" s="1"/>
  <c r="AD90" i="28"/>
  <c r="AG90" i="28" s="1"/>
  <c r="AD92" i="28"/>
  <c r="AD94" i="28"/>
  <c r="AG94" i="28" s="1"/>
  <c r="AD96" i="28"/>
  <c r="AD98" i="28"/>
  <c r="AG98" i="28" s="1"/>
  <c r="AD100" i="28"/>
  <c r="AD102" i="28"/>
  <c r="AD104" i="28"/>
  <c r="AG104" i="28" s="1"/>
  <c r="AD106" i="28"/>
  <c r="AG106" i="28" s="1"/>
  <c r="AD108" i="28"/>
  <c r="AD110" i="28"/>
  <c r="AD112" i="28"/>
  <c r="AD114" i="28"/>
  <c r="AG114" i="28" s="1"/>
  <c r="AD116" i="28"/>
  <c r="AD118" i="28"/>
  <c r="AD120" i="28"/>
  <c r="AD122" i="28"/>
  <c r="AG122" i="28" s="1"/>
  <c r="AD124" i="28"/>
  <c r="AD126" i="28"/>
  <c r="AD128" i="28"/>
  <c r="AG128" i="28" s="1"/>
  <c r="AD130" i="28"/>
  <c r="AG130" i="28" s="1"/>
  <c r="AD132" i="28"/>
  <c r="AD134" i="28"/>
  <c r="AD136" i="28"/>
  <c r="AD138" i="28"/>
  <c r="AG138" i="28" s="1"/>
  <c r="AD140" i="28"/>
  <c r="AD142" i="28"/>
  <c r="AD144" i="28"/>
  <c r="AD146" i="28"/>
  <c r="AG146" i="28" s="1"/>
  <c r="AD148" i="28"/>
  <c r="AD150" i="28"/>
  <c r="AD152" i="28"/>
  <c r="AG152" i="28" s="1"/>
  <c r="AD154" i="28"/>
  <c r="AG154" i="28" s="1"/>
  <c r="AD156" i="28"/>
  <c r="AD158" i="28"/>
  <c r="AG158" i="28" s="1"/>
  <c r="AD160" i="28"/>
  <c r="AG160" i="28" s="1"/>
  <c r="AD162" i="28"/>
  <c r="AG162" i="28" s="1"/>
  <c r="AD164" i="28"/>
  <c r="AD166" i="28"/>
  <c r="AD168" i="28"/>
  <c r="AG168" i="28" s="1"/>
  <c r="AD170" i="28"/>
  <c r="AG170" i="28" s="1"/>
  <c r="AD172" i="28"/>
  <c r="AD174" i="28"/>
  <c r="AG174" i="28" s="1"/>
  <c r="AD176" i="28"/>
  <c r="AG176" i="28" s="1"/>
  <c r="AD178" i="28"/>
  <c r="AG178" i="28" s="1"/>
  <c r="AD180" i="28"/>
  <c r="AG180" i="28" s="1"/>
  <c r="AD182" i="28"/>
  <c r="AG182" i="28" s="1"/>
  <c r="AD184" i="28"/>
  <c r="AG184" i="28" s="1"/>
  <c r="AD186" i="28"/>
  <c r="AG186" i="28" s="1"/>
  <c r="AD188" i="28"/>
  <c r="AG188" i="28" s="1"/>
  <c r="AD190" i="28"/>
  <c r="AG190" i="28" s="1"/>
  <c r="AD192" i="28"/>
  <c r="AD194" i="28"/>
  <c r="AG194" i="28" s="1"/>
  <c r="AD196" i="28"/>
  <c r="AD198" i="28"/>
  <c r="AD200" i="28"/>
  <c r="AG200" i="28" s="1"/>
  <c r="AD202" i="28"/>
  <c r="AG202" i="28" s="1"/>
  <c r="AD204" i="28"/>
  <c r="AD206" i="28"/>
  <c r="AD208" i="28"/>
  <c r="AG208" i="28" s="1"/>
  <c r="AD210" i="28"/>
  <c r="AG210" i="28" s="1"/>
  <c r="AD212" i="28"/>
  <c r="AD214" i="28"/>
  <c r="AD216" i="28"/>
  <c r="AG216" i="28" s="1"/>
  <c r="AD218" i="28"/>
  <c r="AG218" i="28" s="1"/>
  <c r="AD220" i="28"/>
  <c r="AG220" i="28" s="1"/>
  <c r="AD222" i="28"/>
  <c r="AG222" i="28" s="1"/>
  <c r="AD224" i="28"/>
  <c r="AG224" i="28" s="1"/>
  <c r="AD226" i="28"/>
  <c r="AG226" i="28" s="1"/>
  <c r="AD228" i="28"/>
  <c r="AG228" i="28" s="1"/>
  <c r="AD230" i="28"/>
  <c r="AG230" i="28" s="1"/>
  <c r="AD232" i="28"/>
  <c r="AD234" i="28"/>
  <c r="AG234" i="28" s="1"/>
  <c r="AD236" i="28"/>
  <c r="AD238" i="28"/>
  <c r="AD240" i="28"/>
  <c r="AD242" i="28"/>
  <c r="AG242" i="28" s="1"/>
  <c r="AD244" i="28"/>
  <c r="AD246" i="28"/>
  <c r="AD248" i="28"/>
  <c r="AD250" i="28"/>
  <c r="AG250" i="28" s="1"/>
  <c r="AD252" i="28"/>
  <c r="AD254" i="28"/>
  <c r="AD256" i="28"/>
  <c r="AD258" i="28"/>
  <c r="AG258" i="28" s="1"/>
  <c r="AD260" i="28"/>
  <c r="AD262" i="28"/>
  <c r="AD264" i="28"/>
  <c r="AD266" i="28"/>
  <c r="AG266" i="28" s="1"/>
  <c r="AD268" i="28"/>
  <c r="AD270" i="28"/>
  <c r="AD272" i="28"/>
  <c r="AG272" i="28" s="1"/>
  <c r="AD274" i="28"/>
  <c r="AG274" i="28" s="1"/>
  <c r="AD276" i="28"/>
  <c r="AD278" i="28"/>
  <c r="AG278" i="28" s="1"/>
  <c r="AD280" i="28"/>
  <c r="AG280" i="28" s="1"/>
  <c r="AD282" i="28"/>
  <c r="AG282" i="28" s="1"/>
  <c r="AD284" i="28"/>
  <c r="AD286" i="28"/>
  <c r="AG286" i="28" s="1"/>
  <c r="AD288" i="28"/>
  <c r="AD290" i="28"/>
  <c r="AG290" i="28" s="1"/>
  <c r="AD292" i="28"/>
  <c r="AD294" i="28"/>
  <c r="AD296" i="28"/>
  <c r="AG296" i="28" s="1"/>
  <c r="AD298" i="28"/>
  <c r="AG298" i="28" s="1"/>
  <c r="AD300" i="28"/>
  <c r="AD302" i="28"/>
  <c r="AD304" i="28"/>
  <c r="AG304" i="28" s="1"/>
  <c r="AD306" i="28"/>
  <c r="AG306" i="28" s="1"/>
  <c r="AD308" i="28"/>
  <c r="AD310" i="28"/>
  <c r="AD312" i="28"/>
  <c r="AG312" i="28" s="1"/>
  <c r="AD314" i="28"/>
  <c r="AG314" i="28" s="1"/>
  <c r="AD316" i="28"/>
  <c r="AD318" i="28"/>
  <c r="AG318" i="28" s="1"/>
  <c r="AD320" i="28"/>
  <c r="AG320" i="28" s="1"/>
  <c r="AD322" i="28"/>
  <c r="AG322" i="28" s="1"/>
  <c r="AD324" i="28"/>
  <c r="AD326" i="28"/>
  <c r="AG326" i="28" s="1"/>
  <c r="AD328" i="28"/>
  <c r="AD330" i="28"/>
  <c r="AG330" i="28" s="1"/>
  <c r="AD332" i="28"/>
  <c r="AD334" i="28"/>
  <c r="AD336" i="28"/>
  <c r="AD338" i="28"/>
  <c r="AG338" i="28" s="1"/>
  <c r="AD340" i="28"/>
  <c r="AD342" i="28"/>
  <c r="AD344" i="28"/>
  <c r="AG344" i="28" s="1"/>
  <c r="AD346" i="28"/>
  <c r="AG346" i="28" s="1"/>
  <c r="AD348" i="28"/>
  <c r="AD350" i="28"/>
  <c r="AG350" i="28" s="1"/>
  <c r="AD352" i="28"/>
  <c r="AG352" i="28" s="1"/>
  <c r="AD354" i="28"/>
  <c r="AG354" i="28" s="1"/>
  <c r="AD356" i="28"/>
  <c r="AD358" i="28"/>
  <c r="AG358" i="28" s="1"/>
  <c r="AD360" i="28"/>
  <c r="AG360" i="28" s="1"/>
  <c r="AD362" i="28"/>
  <c r="AG362" i="28" s="1"/>
  <c r="AD364" i="28"/>
  <c r="AG364" i="28" s="1"/>
  <c r="AD366" i="28"/>
  <c r="AG366" i="28" s="1"/>
  <c r="AD368" i="28"/>
  <c r="AG368" i="28" s="1"/>
  <c r="AD370" i="28"/>
  <c r="AD372" i="28"/>
  <c r="AG372" i="28" s="1"/>
  <c r="AD374" i="28"/>
  <c r="AG374" i="28" s="1"/>
  <c r="AD376" i="28"/>
  <c r="AG376" i="28" s="1"/>
  <c r="AD378" i="28"/>
  <c r="AG378" i="28" s="1"/>
  <c r="AD380" i="28"/>
  <c r="AG380" i="28" s="1"/>
  <c r="AD382" i="28"/>
  <c r="AG382" i="28" s="1"/>
  <c r="AD384" i="28"/>
  <c r="AG384" i="28" s="1"/>
  <c r="AD386" i="28"/>
  <c r="AG386" i="28" s="1"/>
  <c r="AD388" i="28"/>
  <c r="AD390" i="28"/>
  <c r="AG390" i="28" s="1"/>
  <c r="AD392" i="28"/>
  <c r="AG392" i="28" s="1"/>
  <c r="AD394" i="28"/>
  <c r="AG394" i="28" s="1"/>
  <c r="AD396" i="28"/>
  <c r="AG396" i="28" s="1"/>
  <c r="AD398" i="28"/>
  <c r="AG398" i="28" s="1"/>
  <c r="AD400" i="28"/>
  <c r="AG400" i="28" s="1"/>
  <c r="AD402" i="28"/>
  <c r="AG402" i="28" s="1"/>
  <c r="AD404" i="28"/>
  <c r="AG404" i="28" s="1"/>
  <c r="AD406" i="28"/>
  <c r="AG406" i="28" s="1"/>
  <c r="AD408" i="28"/>
  <c r="AG408" i="28" s="1"/>
  <c r="AD410" i="28"/>
  <c r="AG410" i="28" s="1"/>
  <c r="AD412" i="28"/>
  <c r="AG412" i="28" s="1"/>
  <c r="AD414" i="28"/>
  <c r="AG414" i="28" s="1"/>
  <c r="AD416" i="28"/>
  <c r="AG416" i="28" s="1"/>
  <c r="AD418" i="28"/>
  <c r="AG418" i="28" s="1"/>
  <c r="AD420" i="28"/>
  <c r="AG420" i="28" s="1"/>
  <c r="AD422" i="28"/>
  <c r="AG422" i="28" s="1"/>
  <c r="AD424" i="28"/>
  <c r="AG424" i="28" s="1"/>
  <c r="AD426" i="28"/>
  <c r="AG426" i="28" s="1"/>
  <c r="AD428" i="28"/>
  <c r="AD430" i="28"/>
  <c r="AD432" i="28"/>
  <c r="AD434" i="28"/>
  <c r="AG434" i="28" s="1"/>
  <c r="AD436" i="28"/>
  <c r="AD438" i="28"/>
  <c r="AD440" i="28"/>
  <c r="AG440" i="28" s="1"/>
  <c r="AD442" i="28"/>
  <c r="AG442" i="28" s="1"/>
  <c r="AD444" i="28"/>
  <c r="AD446" i="28"/>
  <c r="AD448" i="28"/>
  <c r="AD450" i="28"/>
  <c r="AG450" i="28" s="1"/>
  <c r="AD452" i="28"/>
  <c r="AD454" i="28"/>
  <c r="AD456" i="28"/>
  <c r="AG456" i="28" s="1"/>
  <c r="AD458" i="28"/>
  <c r="AG458" i="28" s="1"/>
  <c r="AD460" i="28"/>
  <c r="AD462" i="28"/>
  <c r="AD464" i="28"/>
  <c r="AG464" i="28" s="1"/>
  <c r="AD466" i="28"/>
  <c r="AG466" i="28" s="1"/>
  <c r="AD468" i="28"/>
  <c r="AG468" i="28" s="1"/>
  <c r="AD470" i="28"/>
  <c r="AD472" i="28"/>
  <c r="AD474" i="28"/>
  <c r="AG474" i="28" s="1"/>
  <c r="AD476" i="28"/>
  <c r="AD478" i="28"/>
  <c r="AD480" i="28"/>
  <c r="AG480" i="28" s="1"/>
  <c r="AD482" i="28"/>
  <c r="AG482" i="28" s="1"/>
  <c r="AD484" i="28"/>
  <c r="AD486" i="28"/>
  <c r="AD488" i="28"/>
  <c r="AG488" i="28" s="1"/>
  <c r="AD490" i="28"/>
  <c r="AG490" i="28" s="1"/>
  <c r="AD492" i="28"/>
  <c r="AG492" i="28" s="1"/>
  <c r="AD494" i="28"/>
  <c r="AG494" i="28" s="1"/>
  <c r="AD496" i="28"/>
  <c r="AD498" i="28"/>
  <c r="AG498" i="28" s="1"/>
  <c r="AD500" i="28"/>
  <c r="AD502" i="28"/>
  <c r="AD504" i="28"/>
  <c r="AD506" i="28"/>
  <c r="AG506" i="28" s="1"/>
  <c r="AD508" i="28"/>
  <c r="AD510" i="28"/>
  <c r="AD512" i="28"/>
  <c r="AG512" i="28" s="1"/>
  <c r="AD514" i="28"/>
  <c r="AG514" i="28" s="1"/>
  <c r="AD516" i="28"/>
  <c r="AD518" i="28"/>
  <c r="AG518" i="28" s="1"/>
  <c r="AD520" i="28"/>
  <c r="AD522" i="28"/>
  <c r="AG522" i="28" s="1"/>
  <c r="AD524" i="28"/>
  <c r="AD526" i="28"/>
  <c r="AD528" i="28"/>
  <c r="AG528" i="28" s="1"/>
  <c r="AD530" i="28"/>
  <c r="AG530" i="28" s="1"/>
  <c r="AD532" i="28"/>
  <c r="AG532" i="28" s="1"/>
  <c r="AD534" i="28"/>
  <c r="AG534" i="28" s="1"/>
  <c r="AD536" i="28"/>
  <c r="AD538" i="28"/>
  <c r="AG538" i="28" s="1"/>
  <c r="AD540" i="28"/>
  <c r="AD542" i="28"/>
  <c r="AD544" i="28"/>
  <c r="AD546" i="28"/>
  <c r="AG546" i="28" s="1"/>
  <c r="AD548" i="28"/>
  <c r="AD550" i="28"/>
  <c r="AD552" i="28"/>
  <c r="AD554" i="28"/>
  <c r="AG554" i="28" s="1"/>
  <c r="AD556" i="28"/>
  <c r="AD558" i="28"/>
  <c r="AD560" i="28"/>
  <c r="AG560" i="28" s="1"/>
  <c r="AD562" i="28"/>
  <c r="AG562" i="28" s="1"/>
  <c r="AD564" i="28"/>
  <c r="AD566" i="28"/>
  <c r="AG566" i="28" s="1"/>
  <c r="AD568" i="28"/>
  <c r="AD570" i="28"/>
  <c r="AG570" i="28" s="1"/>
  <c r="AD572" i="28"/>
  <c r="AD574" i="28"/>
  <c r="AD576" i="28"/>
  <c r="AG576" i="28" s="1"/>
  <c r="AD578" i="28"/>
  <c r="AG578" i="28" s="1"/>
  <c r="AD580" i="28"/>
  <c r="AD582" i="28"/>
  <c r="AG582" i="28" s="1"/>
  <c r="AD584" i="28"/>
  <c r="AD586" i="28"/>
  <c r="AG586" i="28" s="1"/>
  <c r="AD588" i="28"/>
  <c r="AD590" i="28"/>
  <c r="AD592" i="28"/>
  <c r="AG592" i="28" s="1"/>
  <c r="AD594" i="28"/>
  <c r="AG594" i="28" s="1"/>
  <c r="AD596" i="28"/>
  <c r="AD598" i="28"/>
  <c r="AD600" i="28"/>
  <c r="AD602" i="28"/>
  <c r="AG602" i="28" s="1"/>
  <c r="AD604" i="28"/>
  <c r="AD606" i="28"/>
  <c r="AD608" i="28"/>
  <c r="AD610" i="28"/>
  <c r="AG610" i="28" s="1"/>
  <c r="AD612" i="28"/>
  <c r="AD614" i="28"/>
  <c r="AD616" i="28"/>
  <c r="AG616" i="28" s="1"/>
  <c r="AD618" i="28"/>
  <c r="AG618" i="28" s="1"/>
  <c r="AD620" i="28"/>
  <c r="AD622" i="28"/>
  <c r="AD624" i="28"/>
  <c r="AD626" i="28"/>
  <c r="AG626" i="28" s="1"/>
  <c r="AD628" i="28"/>
  <c r="AD630" i="28"/>
  <c r="AD632" i="28"/>
  <c r="AD634" i="28"/>
  <c r="AG634" i="28" s="1"/>
  <c r="AD636" i="28"/>
  <c r="AD638" i="28"/>
  <c r="AD640" i="28"/>
  <c r="AG640" i="28" s="1"/>
  <c r="AD642" i="28"/>
  <c r="AG642" i="28" s="1"/>
  <c r="AD644" i="28"/>
  <c r="AD646" i="28"/>
  <c r="AG646" i="28" s="1"/>
  <c r="AD648" i="28"/>
  <c r="AG648" i="28" s="1"/>
  <c r="AD650" i="28"/>
  <c r="AG650" i="28" s="1"/>
  <c r="AD652" i="28"/>
  <c r="AD654" i="28"/>
  <c r="AD656" i="28"/>
  <c r="AG656" i="28" s="1"/>
  <c r="AD658" i="28"/>
  <c r="AG658" i="28" s="1"/>
  <c r="AD660" i="28"/>
  <c r="AD662" i="28"/>
  <c r="AG662" i="28" s="1"/>
  <c r="AD664" i="28"/>
  <c r="AG664" i="28" s="1"/>
  <c r="AD666" i="28"/>
  <c r="AG666" i="28" s="1"/>
  <c r="AD668" i="28"/>
  <c r="AG668" i="28" s="1"/>
  <c r="AD670" i="28"/>
  <c r="AG670" i="28" s="1"/>
  <c r="AD17" i="28"/>
  <c r="AG17" i="28" s="1"/>
  <c r="AD19" i="28"/>
  <c r="AD21" i="28"/>
  <c r="AG21" i="28" s="1"/>
  <c r="AD23" i="28"/>
  <c r="AG23" i="28" s="1"/>
  <c r="AD25" i="28"/>
  <c r="AD27" i="28"/>
  <c r="AD29" i="28"/>
  <c r="AD31" i="28"/>
  <c r="AD33" i="28"/>
  <c r="AD35" i="28"/>
  <c r="AG35" i="28" s="1"/>
  <c r="AD37" i="28"/>
  <c r="AD39" i="28"/>
  <c r="AD41" i="28"/>
  <c r="AD43" i="28"/>
  <c r="AD45" i="28"/>
  <c r="AD47" i="28"/>
  <c r="AD49" i="28"/>
  <c r="AD51" i="28"/>
  <c r="AD53" i="28"/>
  <c r="AD55" i="28"/>
  <c r="AD57" i="28"/>
  <c r="AD59" i="28"/>
  <c r="AD61" i="28"/>
  <c r="AD63" i="28"/>
  <c r="AD65" i="28"/>
  <c r="AD67" i="28"/>
  <c r="AD69" i="28"/>
  <c r="AD71" i="28"/>
  <c r="AD73" i="28"/>
  <c r="AG73" i="28" s="1"/>
  <c r="AD75" i="28"/>
  <c r="AG75" i="28" s="1"/>
  <c r="AD77" i="28"/>
  <c r="AG77" i="28" s="1"/>
  <c r="AD79" i="28"/>
  <c r="AD81" i="28"/>
  <c r="AD83" i="28"/>
  <c r="AD85" i="28"/>
  <c r="AD87" i="28"/>
  <c r="AD89" i="28"/>
  <c r="AD91" i="28"/>
  <c r="AG91" i="28" s="1"/>
  <c r="AD93" i="28"/>
  <c r="AD95" i="28"/>
  <c r="AD97" i="28"/>
  <c r="AD99" i="28"/>
  <c r="AD101" i="28"/>
  <c r="AD103" i="28"/>
  <c r="AD105" i="28"/>
  <c r="AG105" i="28" s="1"/>
  <c r="AD107" i="28"/>
  <c r="AG107" i="28" s="1"/>
  <c r="AD109" i="28"/>
  <c r="AD111" i="28"/>
  <c r="AD113" i="28"/>
  <c r="AG113" i="28" s="1"/>
  <c r="AD115" i="28"/>
  <c r="AD117" i="28"/>
  <c r="AD119" i="28"/>
  <c r="AD121" i="28"/>
  <c r="AD123" i="28"/>
  <c r="AG123" i="28" s="1"/>
  <c r="AD125" i="28"/>
  <c r="AD127" i="28"/>
  <c r="AD129" i="28"/>
  <c r="AD131" i="28"/>
  <c r="AG131" i="28" s="1"/>
  <c r="AD133" i="28"/>
  <c r="AG133" i="28" s="1"/>
  <c r="AD135" i="28"/>
  <c r="AD137" i="28"/>
  <c r="AD139" i="28"/>
  <c r="AG139" i="28" s="1"/>
  <c r="AD141" i="28"/>
  <c r="AD143" i="28"/>
  <c r="AD145" i="28"/>
  <c r="AD147" i="28"/>
  <c r="AG147" i="28" s="1"/>
  <c r="AD149" i="28"/>
  <c r="AD151" i="28"/>
  <c r="AD153" i="28"/>
  <c r="AG153" i="28" s="1"/>
  <c r="AD155" i="28"/>
  <c r="AG155" i="28" s="1"/>
  <c r="AD157" i="28"/>
  <c r="AG157" i="28" s="1"/>
  <c r="AD159" i="28"/>
  <c r="AD161" i="28"/>
  <c r="AD163" i="28"/>
  <c r="AG163" i="28" s="1"/>
  <c r="AD165" i="28"/>
  <c r="AD167" i="28"/>
  <c r="AD169" i="28"/>
  <c r="AG169" i="28" s="1"/>
  <c r="AD171" i="28"/>
  <c r="AG171" i="28" s="1"/>
  <c r="AD173" i="28"/>
  <c r="AG173" i="28" s="1"/>
  <c r="AD175" i="28"/>
  <c r="AD177" i="28"/>
  <c r="AG177" i="28" s="1"/>
  <c r="AD179" i="28"/>
  <c r="AG179" i="28" s="1"/>
  <c r="AD181" i="28"/>
  <c r="AD183" i="28"/>
  <c r="AD185" i="28"/>
  <c r="AG185" i="28" s="1"/>
  <c r="AD187" i="28"/>
  <c r="AD189" i="28"/>
  <c r="AG189" i="28" s="1"/>
  <c r="AD191" i="28"/>
  <c r="AG191" i="28" s="1"/>
  <c r="AD193" i="28"/>
  <c r="AD195" i="28"/>
  <c r="AD197" i="28"/>
  <c r="AD199" i="28"/>
  <c r="AD201" i="28"/>
  <c r="AD203" i="28"/>
  <c r="AG203" i="28" s="1"/>
  <c r="AD205" i="28"/>
  <c r="AD207" i="28"/>
  <c r="AD209" i="28"/>
  <c r="AD211" i="28"/>
  <c r="AD213" i="28"/>
  <c r="AD215" i="28"/>
  <c r="AD217" i="28"/>
  <c r="AG217" i="28" s="1"/>
  <c r="AD219" i="28"/>
  <c r="AG219" i="28" s="1"/>
  <c r="AD221" i="28"/>
  <c r="AG221" i="28" s="1"/>
  <c r="AD223" i="28"/>
  <c r="AG223" i="28" s="1"/>
  <c r="AD225" i="28"/>
  <c r="AG225" i="28" s="1"/>
  <c r="AD227" i="28"/>
  <c r="AG227" i="28" s="1"/>
  <c r="AD229" i="28"/>
  <c r="AG229" i="28" s="1"/>
  <c r="AD231" i="28"/>
  <c r="AG231" i="28" s="1"/>
  <c r="AD233" i="28"/>
  <c r="AD235" i="28"/>
  <c r="AD237" i="28"/>
  <c r="AD239" i="28"/>
  <c r="AD241" i="28"/>
  <c r="AD243" i="28"/>
  <c r="AD245" i="28"/>
  <c r="AD247" i="28"/>
  <c r="AD249" i="28"/>
  <c r="AD251" i="28"/>
  <c r="AG251" i="28" s="1"/>
  <c r="AD253" i="28"/>
  <c r="AG253" i="28" s="1"/>
  <c r="AD255" i="28"/>
  <c r="AD257" i="28"/>
  <c r="AD259" i="28"/>
  <c r="AD261" i="28"/>
  <c r="AD263" i="28"/>
  <c r="AD265" i="28"/>
  <c r="AD267" i="28"/>
  <c r="AD269" i="28"/>
  <c r="AD271" i="28"/>
  <c r="AD273" i="28"/>
  <c r="AD275" i="28"/>
  <c r="AG275" i="28" s="1"/>
  <c r="AD277" i="28"/>
  <c r="AD279" i="28"/>
  <c r="AD281" i="28"/>
  <c r="AG281" i="28" s="1"/>
  <c r="AD283" i="28"/>
  <c r="AG283" i="28" s="1"/>
  <c r="AD285" i="28"/>
  <c r="AG285" i="28" s="1"/>
  <c r="AD287" i="28"/>
  <c r="AG287" i="28" s="1"/>
  <c r="AD289" i="28"/>
  <c r="AD291" i="28"/>
  <c r="AD293" i="28"/>
  <c r="AD295" i="28"/>
  <c r="AD299" i="28"/>
  <c r="AD303" i="28"/>
  <c r="AD307" i="28"/>
  <c r="AD311" i="28"/>
  <c r="AD315" i="28"/>
  <c r="AG315" i="28" s="1"/>
  <c r="AD319" i="28"/>
  <c r="AD323" i="28"/>
  <c r="AG323" i="28" s="1"/>
  <c r="AD327" i="28"/>
  <c r="AD331" i="28"/>
  <c r="AD335" i="28"/>
  <c r="AD339" i="28"/>
  <c r="AG339" i="28" s="1"/>
  <c r="AD343" i="28"/>
  <c r="AD347" i="28"/>
  <c r="AG347" i="28" s="1"/>
  <c r="AD351" i="28"/>
  <c r="AG351" i="28" s="1"/>
  <c r="AD355" i="28"/>
  <c r="AD359" i="28"/>
  <c r="AD363" i="28"/>
  <c r="AG363" i="28" s="1"/>
  <c r="AD367" i="28"/>
  <c r="AG367" i="28" s="1"/>
  <c r="AD371" i="28"/>
  <c r="AD375" i="28"/>
  <c r="AG375" i="28" s="1"/>
  <c r="AD379" i="28"/>
  <c r="AG379" i="28" s="1"/>
  <c r="AD383" i="28"/>
  <c r="AG383" i="28" s="1"/>
  <c r="AD387" i="28"/>
  <c r="AD391" i="28"/>
  <c r="AD395" i="28"/>
  <c r="AD399" i="28"/>
  <c r="AG399" i="28" s="1"/>
  <c r="AD403" i="28"/>
  <c r="AG403" i="28" s="1"/>
  <c r="AD407" i="28"/>
  <c r="AG407" i="28" s="1"/>
  <c r="AD411" i="28"/>
  <c r="AG411" i="28" s="1"/>
  <c r="AD415" i="28"/>
  <c r="AG415" i="28" s="1"/>
  <c r="AD419" i="28"/>
  <c r="AD423" i="28"/>
  <c r="AG423" i="28" s="1"/>
  <c r="AD427" i="28"/>
  <c r="AD431" i="28"/>
  <c r="AD435" i="28"/>
  <c r="AD439" i="28"/>
  <c r="AD443" i="28"/>
  <c r="AD447" i="28"/>
  <c r="AD451" i="28"/>
  <c r="AG451" i="28" s="1"/>
  <c r="AD455" i="28"/>
  <c r="AD459" i="28"/>
  <c r="AD463" i="28"/>
  <c r="AD467" i="28"/>
  <c r="AG467" i="28" s="1"/>
  <c r="AD471" i="28"/>
  <c r="AD475" i="28"/>
  <c r="AD479" i="28"/>
  <c r="AD483" i="28"/>
  <c r="AD487" i="28"/>
  <c r="AD491" i="28"/>
  <c r="AG491" i="28" s="1"/>
  <c r="AD495" i="28"/>
  <c r="AD499" i="28"/>
  <c r="AD503" i="28"/>
  <c r="AD507" i="28"/>
  <c r="AG507" i="28" s="1"/>
  <c r="AD511" i="28"/>
  <c r="AD515" i="28"/>
  <c r="AG515" i="28" s="1"/>
  <c r="AD519" i="28"/>
  <c r="AG519" i="28" s="1"/>
  <c r="AD523" i="28"/>
  <c r="AG523" i="28" s="1"/>
  <c r="AD527" i="28"/>
  <c r="AD531" i="28"/>
  <c r="AG531" i="28" s="1"/>
  <c r="AD535" i="28"/>
  <c r="AD539" i="28"/>
  <c r="AD543" i="28"/>
  <c r="AD547" i="28"/>
  <c r="AD551" i="28"/>
  <c r="AD555" i="28"/>
  <c r="AD559" i="28"/>
  <c r="AD563" i="28"/>
  <c r="AG563" i="28" s="1"/>
  <c r="AD567" i="28"/>
  <c r="AD571" i="28"/>
  <c r="AD575" i="28"/>
  <c r="AD579" i="28"/>
  <c r="AG579" i="28" s="1"/>
  <c r="AD583" i="28"/>
  <c r="AD587" i="28"/>
  <c r="AD591" i="28"/>
  <c r="AD595" i="28"/>
  <c r="AG595" i="28" s="1"/>
  <c r="AD599" i="28"/>
  <c r="AD603" i="28"/>
  <c r="AD607" i="28"/>
  <c r="AD611" i="28"/>
  <c r="AG611" i="28" s="1"/>
  <c r="AD615" i="28"/>
  <c r="AD619" i="28"/>
  <c r="AG619" i="28" s="1"/>
  <c r="AD623" i="28"/>
  <c r="AD627" i="28"/>
  <c r="AG627" i="28" s="1"/>
  <c r="AD631" i="28"/>
  <c r="AD635" i="28"/>
  <c r="AG635" i="28" s="1"/>
  <c r="AD639" i="28"/>
  <c r="AD643" i="28"/>
  <c r="AG643" i="28" s="1"/>
  <c r="AD647" i="28"/>
  <c r="AD651" i="28"/>
  <c r="AG651" i="28" s="1"/>
  <c r="AD655" i="28"/>
  <c r="AD659" i="28"/>
  <c r="AG659" i="28" s="1"/>
  <c r="AD663" i="28"/>
  <c r="AD667" i="28"/>
  <c r="AG667" i="28" s="1"/>
  <c r="AD671" i="28"/>
  <c r="AD673" i="28"/>
  <c r="AG673" i="28" s="1"/>
  <c r="AD675" i="28"/>
  <c r="AD677" i="28"/>
  <c r="AG677" i="28" s="1"/>
  <c r="AD679" i="28"/>
  <c r="AG679" i="28" s="1"/>
  <c r="AD681" i="28"/>
  <c r="AD683" i="28"/>
  <c r="AD685" i="28"/>
  <c r="AD687" i="28"/>
  <c r="AD689" i="28"/>
  <c r="AD691" i="28"/>
  <c r="AD693" i="28"/>
  <c r="AD695" i="28"/>
  <c r="AD697" i="28"/>
  <c r="AD699" i="28"/>
  <c r="AD701" i="28"/>
  <c r="AD703" i="28"/>
  <c r="AD705" i="28"/>
  <c r="AD707" i="28"/>
  <c r="AD709" i="28"/>
  <c r="AD711" i="28"/>
  <c r="AD713" i="28"/>
  <c r="AD715" i="28"/>
  <c r="AD717" i="28"/>
  <c r="AD719" i="28"/>
  <c r="AD721" i="28"/>
  <c r="AD723" i="28"/>
  <c r="AG723" i="28" s="1"/>
  <c r="AD725" i="28"/>
  <c r="AD727" i="28"/>
  <c r="AD729" i="28"/>
  <c r="AG729" i="28" s="1"/>
  <c r="AD731" i="28"/>
  <c r="AG731" i="28" s="1"/>
  <c r="AD733" i="28"/>
  <c r="AG733" i="28" s="1"/>
  <c r="AD735" i="28"/>
  <c r="AG735" i="28" s="1"/>
  <c r="AD737" i="28"/>
  <c r="AD739" i="28"/>
  <c r="AD741" i="28"/>
  <c r="AD743" i="28"/>
  <c r="AD745" i="28"/>
  <c r="AD747" i="28"/>
  <c r="AD749" i="28"/>
  <c r="AD751" i="28"/>
  <c r="AD753" i="28"/>
  <c r="AG753" i="28" s="1"/>
  <c r="AD755" i="28"/>
  <c r="AG755" i="28" s="1"/>
  <c r="AD757" i="28"/>
  <c r="AG757" i="28" s="1"/>
  <c r="AD759" i="28"/>
  <c r="AD761" i="28"/>
  <c r="AD763" i="28"/>
  <c r="AD765" i="28"/>
  <c r="AD767" i="28"/>
  <c r="AD769" i="28"/>
  <c r="AD771" i="28"/>
  <c r="AD773" i="28"/>
  <c r="AD775" i="28"/>
  <c r="AD777" i="28"/>
  <c r="AG777" i="28" s="1"/>
  <c r="AD779" i="28"/>
  <c r="AG779" i="28" s="1"/>
  <c r="AD781" i="28"/>
  <c r="AD783" i="28"/>
  <c r="AG783" i="28" s="1"/>
  <c r="AD785" i="28"/>
  <c r="AG785" i="28" s="1"/>
  <c r="AD787" i="28"/>
  <c r="AD789" i="28"/>
  <c r="AG789" i="28" s="1"/>
  <c r="AD791" i="28"/>
  <c r="AG791" i="28" s="1"/>
  <c r="AD793" i="28"/>
  <c r="AD795" i="28"/>
  <c r="AD797" i="28"/>
  <c r="AD799" i="28"/>
  <c r="AD801" i="28"/>
  <c r="AD803" i="28"/>
  <c r="AG803" i="28" s="1"/>
  <c r="AD805" i="28"/>
  <c r="AD807" i="28"/>
  <c r="AD809" i="28"/>
  <c r="AD811" i="28"/>
  <c r="AD813" i="28"/>
  <c r="AD815" i="28"/>
  <c r="AD817" i="28"/>
  <c r="AD819" i="28"/>
  <c r="AD821" i="28"/>
  <c r="AD823" i="28"/>
  <c r="AD825" i="28"/>
  <c r="AD827" i="28"/>
  <c r="AG827" i="28" s="1"/>
  <c r="AD829" i="28"/>
  <c r="AD831" i="28"/>
  <c r="AD833" i="28"/>
  <c r="AD835" i="28"/>
  <c r="AG835" i="28" s="1"/>
  <c r="AD837" i="28"/>
  <c r="AD839" i="28"/>
  <c r="AD841" i="28"/>
  <c r="AD843" i="28"/>
  <c r="AG843" i="28" s="1"/>
  <c r="AD845" i="28"/>
  <c r="AG845" i="28" s="1"/>
  <c r="AD847" i="28"/>
  <c r="AD297" i="28"/>
  <c r="AD301" i="28"/>
  <c r="AD305" i="28"/>
  <c r="AD309" i="28"/>
  <c r="AG309" i="28" s="1"/>
  <c r="AD313" i="28"/>
  <c r="AG313" i="28" s="1"/>
  <c r="AD317" i="28"/>
  <c r="AG317" i="28" s="1"/>
  <c r="AD321" i="28"/>
  <c r="AD325" i="28"/>
  <c r="AD329" i="28"/>
  <c r="AD333" i="28"/>
  <c r="AD337" i="28"/>
  <c r="AD341" i="28"/>
  <c r="AD345" i="28"/>
  <c r="AG345" i="28" s="1"/>
  <c r="AD349" i="28"/>
  <c r="AG349" i="28" s="1"/>
  <c r="AD353" i="28"/>
  <c r="AG353" i="28" s="1"/>
  <c r="AD357" i="28"/>
  <c r="AD361" i="28"/>
  <c r="AG361" i="28" s="1"/>
  <c r="AD365" i="28"/>
  <c r="AG365" i="28" s="1"/>
  <c r="AD369" i="28"/>
  <c r="AG369" i="28" s="1"/>
  <c r="AD373" i="28"/>
  <c r="AD377" i="28"/>
  <c r="AG377" i="28" s="1"/>
  <c r="AD381" i="28"/>
  <c r="AD385" i="28"/>
  <c r="AG385" i="28" s="1"/>
  <c r="AD389" i="28"/>
  <c r="AD393" i="28"/>
  <c r="AG393" i="28" s="1"/>
  <c r="AD397" i="28"/>
  <c r="AG397" i="28" s="1"/>
  <c r="AD401" i="28"/>
  <c r="AG401" i="28" s="1"/>
  <c r="AD405" i="28"/>
  <c r="AD409" i="28"/>
  <c r="AG409" i="28" s="1"/>
  <c r="AD413" i="28"/>
  <c r="AG413" i="28" s="1"/>
  <c r="AD417" i="28"/>
  <c r="AG417" i="28" s="1"/>
  <c r="AD421" i="28"/>
  <c r="AG421" i="28" s="1"/>
  <c r="AD425" i="28"/>
  <c r="AD429" i="28"/>
  <c r="AD433" i="28"/>
  <c r="AD437" i="28"/>
  <c r="AD441" i="28"/>
  <c r="AD445" i="28"/>
  <c r="AG445" i="28" s="1"/>
  <c r="AD449" i="28"/>
  <c r="AD453" i="28"/>
  <c r="AD457" i="28"/>
  <c r="AG457" i="28" s="1"/>
  <c r="AD461" i="28"/>
  <c r="AG461" i="28" s="1"/>
  <c r="AD465" i="28"/>
  <c r="AG465" i="28" s="1"/>
  <c r="AD469" i="28"/>
  <c r="AD473" i="28"/>
  <c r="AD477" i="28"/>
  <c r="AD481" i="28"/>
  <c r="AD485" i="28"/>
  <c r="AD489" i="28"/>
  <c r="AG489" i="28" s="1"/>
  <c r="AD493" i="28"/>
  <c r="AG493" i="28" s="1"/>
  <c r="AD497" i="28"/>
  <c r="AD501" i="28"/>
  <c r="AD505" i="28"/>
  <c r="AD509" i="28"/>
  <c r="AD513" i="28"/>
  <c r="AD517" i="28"/>
  <c r="AG517" i="28" s="1"/>
  <c r="AD521" i="28"/>
  <c r="AD525" i="28"/>
  <c r="AD529" i="28"/>
  <c r="AD533" i="28"/>
  <c r="AG533" i="28" s="1"/>
  <c r="AD537" i="28"/>
  <c r="AD541" i="28"/>
  <c r="AD545" i="28"/>
  <c r="AD549" i="28"/>
  <c r="AD553" i="28"/>
  <c r="AD557" i="28"/>
  <c r="AD561" i="28"/>
  <c r="AG561" i="28" s="1"/>
  <c r="AD565" i="28"/>
  <c r="AG565" i="28" s="1"/>
  <c r="AD569" i="28"/>
  <c r="AD573" i="28"/>
  <c r="AD577" i="28"/>
  <c r="AD581" i="28"/>
  <c r="AD585" i="28"/>
  <c r="AD589" i="28"/>
  <c r="AD593" i="28"/>
  <c r="AG593" i="28" s="1"/>
  <c r="AD597" i="28"/>
  <c r="AD601" i="28"/>
  <c r="AG601" i="28" s="1"/>
  <c r="AD605" i="28"/>
  <c r="AD609" i="28"/>
  <c r="AD613" i="28"/>
  <c r="AD617" i="28"/>
  <c r="AD621" i="28"/>
  <c r="AG621" i="28" s="1"/>
  <c r="AD625" i="28"/>
  <c r="AD629" i="28"/>
  <c r="AD633" i="28"/>
  <c r="AD637" i="28"/>
  <c r="AD641" i="28"/>
  <c r="AG641" i="28" s="1"/>
  <c r="AD645" i="28"/>
  <c r="AG645" i="28" s="1"/>
  <c r="AD649" i="28"/>
  <c r="AD653" i="28"/>
  <c r="AD657" i="28"/>
  <c r="AG657" i="28" s="1"/>
  <c r="AD661" i="28"/>
  <c r="AG661" i="28" s="1"/>
  <c r="AD665" i="28"/>
  <c r="AG665" i="28" s="1"/>
  <c r="AD669" i="28"/>
  <c r="AD672" i="28"/>
  <c r="AG672" i="28" s="1"/>
  <c r="AD674" i="28"/>
  <c r="AG674" i="28" s="1"/>
  <c r="AD676" i="28"/>
  <c r="AG676" i="28" s="1"/>
  <c r="AD678" i="28"/>
  <c r="AG678" i="28" s="1"/>
  <c r="AD680" i="28"/>
  <c r="AD682" i="28"/>
  <c r="AG682" i="28" s="1"/>
  <c r="AD684" i="28"/>
  <c r="AD686" i="28"/>
  <c r="AD688" i="28"/>
  <c r="AD690" i="28"/>
  <c r="AG690" i="28" s="1"/>
  <c r="AD692" i="28"/>
  <c r="AD694" i="28"/>
  <c r="AD696" i="28"/>
  <c r="AD698" i="28"/>
  <c r="AG698" i="28" s="1"/>
  <c r="AD700" i="28"/>
  <c r="AD702" i="28"/>
  <c r="AD704" i="28"/>
  <c r="AD706" i="28"/>
  <c r="AG706" i="28" s="1"/>
  <c r="AD708" i="28"/>
  <c r="AD710" i="28"/>
  <c r="AD712" i="28"/>
  <c r="AD714" i="28"/>
  <c r="AG714" i="28" s="1"/>
  <c r="AD716" i="28"/>
  <c r="AD718" i="28"/>
  <c r="AD720" i="28"/>
  <c r="AG720" i="28" s="1"/>
  <c r="AD722" i="28"/>
  <c r="AG722" i="28" s="1"/>
  <c r="AD724" i="28"/>
  <c r="AD726" i="28"/>
  <c r="AG726" i="28" s="1"/>
  <c r="AD728" i="28"/>
  <c r="AG728" i="28" s="1"/>
  <c r="AD730" i="28"/>
  <c r="AG730" i="28" s="1"/>
  <c r="AD732" i="28"/>
  <c r="AD734" i="28"/>
  <c r="AG734" i="28" s="1"/>
  <c r="AD736" i="28"/>
  <c r="AD738" i="28"/>
  <c r="AG738" i="28" s="1"/>
  <c r="AD740" i="28"/>
  <c r="AD742" i="28"/>
  <c r="AD744" i="28"/>
  <c r="AG744" i="28" s="1"/>
  <c r="AD746" i="28"/>
  <c r="AG746" i="28" s="1"/>
  <c r="AD748" i="28"/>
  <c r="AD750" i="28"/>
  <c r="AD752" i="28"/>
  <c r="AG752" i="28" s="1"/>
  <c r="AD754" i="28"/>
  <c r="AG754" i="28" s="1"/>
  <c r="AD756" i="28"/>
  <c r="AD758" i="28"/>
  <c r="AG758" i="28" s="1"/>
  <c r="AD760" i="28"/>
  <c r="AD762" i="28"/>
  <c r="AG762" i="28" s="1"/>
  <c r="AD764" i="28"/>
  <c r="AD766" i="28"/>
  <c r="AD768" i="28"/>
  <c r="AD770" i="28"/>
  <c r="AD772" i="28"/>
  <c r="AD774" i="28"/>
  <c r="AD776" i="28"/>
  <c r="AG776" i="28" s="1"/>
  <c r="AD778" i="28"/>
  <c r="AG778" i="28" s="1"/>
  <c r="AD780" i="28"/>
  <c r="AG780" i="28" s="1"/>
  <c r="AD782" i="28"/>
  <c r="AG782" i="28" s="1"/>
  <c r="AD784" i="28"/>
  <c r="AG784" i="28" s="1"/>
  <c r="AD786" i="28"/>
  <c r="AG786" i="28" s="1"/>
  <c r="AD788" i="28"/>
  <c r="AG788" i="28" s="1"/>
  <c r="AD790" i="28"/>
  <c r="AG790" i="28" s="1"/>
  <c r="AD792" i="28"/>
  <c r="AD794" i="28"/>
  <c r="AG794" i="28" s="1"/>
  <c r="AD796" i="28"/>
  <c r="AD798" i="28"/>
  <c r="AD800" i="28"/>
  <c r="AD802" i="28"/>
  <c r="AG802" i="28" s="1"/>
  <c r="AD804" i="28"/>
  <c r="AD806" i="28"/>
  <c r="AD808" i="28"/>
  <c r="AD810" i="28"/>
  <c r="AG810" i="28" s="1"/>
  <c r="AD812" i="28"/>
  <c r="AD814" i="28"/>
  <c r="AD816" i="28"/>
  <c r="AD818" i="28"/>
  <c r="AG818" i="28" s="1"/>
  <c r="AD820" i="28"/>
  <c r="AD822" i="28"/>
  <c r="AD824" i="28"/>
  <c r="AD826" i="28"/>
  <c r="AG826" i="28" s="1"/>
  <c r="AD828" i="28"/>
  <c r="AD830" i="28"/>
  <c r="AD832" i="28"/>
  <c r="AD834" i="28"/>
  <c r="AG834" i="28" s="1"/>
  <c r="AD836" i="28"/>
  <c r="AD838" i="28"/>
  <c r="AD840" i="28"/>
  <c r="AG840" i="28" s="1"/>
  <c r="AD842" i="28"/>
  <c r="AG842" i="28" s="1"/>
  <c r="AD844" i="28"/>
  <c r="AG844" i="28" s="1"/>
  <c r="AD846" i="28"/>
  <c r="AG846" i="28" s="1"/>
  <c r="AC296" i="4"/>
  <c r="AC150" i="4"/>
  <c r="AD150" i="4" s="1"/>
  <c r="AC17" i="4"/>
  <c r="AC249" i="4"/>
  <c r="AD249" i="4" s="1"/>
  <c r="AC48" i="4"/>
  <c r="AC375" i="4"/>
  <c r="AD375" i="4" s="1"/>
  <c r="AC38" i="4"/>
  <c r="AC86" i="4"/>
  <c r="AD86" i="4" s="1"/>
  <c r="AC323" i="4"/>
  <c r="AC13" i="4"/>
  <c r="AD13" i="4" s="1"/>
  <c r="AC10" i="4"/>
  <c r="AC306" i="4"/>
  <c r="AD306" i="4" s="1"/>
  <c r="AC161" i="4"/>
  <c r="AC101" i="4"/>
  <c r="AD101" i="4" s="1"/>
  <c r="AC295" i="4"/>
  <c r="AC353" i="4"/>
  <c r="AD353" i="4" s="1"/>
  <c r="AC35" i="4"/>
  <c r="AC155" i="4"/>
  <c r="AD155" i="4" s="1"/>
  <c r="AC359" i="4"/>
  <c r="AC328" i="4"/>
  <c r="AD328" i="4" s="1"/>
  <c r="AC332" i="4"/>
  <c r="AC373" i="4"/>
  <c r="AD373" i="4" s="1"/>
  <c r="AC169" i="4"/>
  <c r="AC168" i="4"/>
  <c r="AD168" i="4" s="1"/>
  <c r="AC157" i="4"/>
  <c r="AC315" i="4"/>
  <c r="AD315" i="4" s="1"/>
  <c r="AC365" i="4"/>
  <c r="AC308" i="4"/>
  <c r="AD308" i="4" s="1"/>
  <c r="AC163" i="4"/>
  <c r="AC153" i="4"/>
  <c r="AD153" i="4" s="1"/>
  <c r="AC261" i="4"/>
  <c r="AC333" i="4"/>
  <c r="AD333" i="4" s="1"/>
  <c r="AC166" i="4"/>
  <c r="AC148" i="4"/>
  <c r="AD148" i="4" s="1"/>
  <c r="AC158" i="4"/>
  <c r="AC151" i="4"/>
  <c r="AD151" i="4" s="1"/>
  <c r="AC345" i="4"/>
  <c r="AC59" i="4"/>
  <c r="AD59" i="4" s="1"/>
  <c r="AC171" i="4"/>
  <c r="AC316" i="4"/>
  <c r="AD316" i="4" s="1"/>
  <c r="AC173" i="4"/>
  <c r="AC320" i="4"/>
  <c r="AD320" i="4" s="1"/>
  <c r="AC167" i="4"/>
  <c r="AC352" i="4"/>
  <c r="AD352" i="4" s="1"/>
  <c r="AC65" i="4"/>
  <c r="AC174" i="4"/>
  <c r="AD174" i="4" s="1"/>
  <c r="AC369" i="4"/>
  <c r="AC8" i="4"/>
  <c r="AD8" i="4" s="1"/>
  <c r="AC377" i="4"/>
  <c r="AC106" i="4"/>
  <c r="AD106" i="4" s="1"/>
  <c r="AC69" i="4"/>
  <c r="AC330" i="4"/>
  <c r="AD330" i="4" s="1"/>
  <c r="AC14" i="4"/>
  <c r="AC334" i="4"/>
  <c r="AC376" i="4"/>
  <c r="AC361" i="4"/>
  <c r="AC180" i="4"/>
  <c r="AC29" i="4"/>
  <c r="AC181" i="4"/>
  <c r="AC105" i="4"/>
  <c r="AC184" i="4"/>
  <c r="AC90" i="4"/>
  <c r="AC91" i="4"/>
  <c r="AC76" i="4"/>
  <c r="AD76" i="4" s="1"/>
  <c r="AC255" i="4"/>
  <c r="AC274" i="4"/>
  <c r="AD274" i="4" s="1"/>
  <c r="AC67" i="4"/>
  <c r="AC79" i="4"/>
  <c r="AD79" i="4" s="1"/>
  <c r="AC110" i="4"/>
  <c r="AC277" i="4"/>
  <c r="AD277" i="4" s="1"/>
  <c r="AC87" i="4"/>
  <c r="AC191" i="4"/>
  <c r="AD191" i="4" s="1"/>
  <c r="AC286" i="4"/>
  <c r="AC83" i="4"/>
  <c r="AD83" i="4" s="1"/>
  <c r="AC198" i="4"/>
  <c r="AC322" i="4"/>
  <c r="AD322" i="4" s="1"/>
  <c r="AC109" i="4"/>
  <c r="AC192" i="4"/>
  <c r="AD192" i="4" s="1"/>
  <c r="AC260" i="4"/>
  <c r="AC258" i="4"/>
  <c r="AD258" i="4" s="1"/>
  <c r="AC285" i="4"/>
  <c r="AC104" i="4"/>
  <c r="AD104" i="4" s="1"/>
  <c r="AC72" i="4"/>
  <c r="AC283" i="4"/>
  <c r="AD283" i="4" s="1"/>
  <c r="AC201" i="4"/>
  <c r="AC321" i="4"/>
  <c r="AD321" i="4" s="1"/>
  <c r="AC46" i="4"/>
  <c r="AC309" i="4"/>
  <c r="AD309" i="4" s="1"/>
  <c r="AC187" i="4"/>
  <c r="AC70" i="4"/>
  <c r="AD70" i="4" s="1"/>
  <c r="AC250" i="4"/>
  <c r="AC193" i="4"/>
  <c r="AD193" i="4" s="1"/>
  <c r="AC203" i="4"/>
  <c r="AC195" i="4"/>
  <c r="AD195" i="4" s="1"/>
  <c r="AC351" i="4"/>
  <c r="AC259" i="4"/>
  <c r="AD259" i="4" s="1"/>
  <c r="AC243" i="4"/>
  <c r="AC288" i="4"/>
  <c r="AD288" i="4" s="1"/>
  <c r="AC264" i="4"/>
  <c r="AC137" i="4"/>
  <c r="AD137" i="4" s="1"/>
  <c r="AC245" i="4"/>
  <c r="AC186" i="4"/>
  <c r="AD186" i="4" s="1"/>
  <c r="AC267" i="4"/>
  <c r="AC300" i="4"/>
  <c r="AD300" i="4" s="1"/>
  <c r="AC82" i="4"/>
  <c r="AC89" i="4"/>
  <c r="AD89" i="4" s="1"/>
  <c r="AC310" i="4"/>
  <c r="AC292" i="4"/>
  <c r="AD292" i="4" s="1"/>
  <c r="AC24" i="4"/>
  <c r="AC36" i="4"/>
  <c r="AD36" i="4" s="1"/>
  <c r="AC204" i="4"/>
  <c r="AC374" i="4"/>
  <c r="AD374" i="4" s="1"/>
  <c r="AC241" i="4"/>
  <c r="AC324" i="4"/>
  <c r="AC343" i="4"/>
  <c r="AC335" i="4"/>
  <c r="AC51" i="4"/>
  <c r="AC209" i="4"/>
  <c r="AD209" i="4" s="1"/>
  <c r="AC40" i="4"/>
  <c r="AC42" i="4"/>
  <c r="AC212" i="4"/>
  <c r="AC284" i="4"/>
  <c r="AC367" i="4"/>
  <c r="AC18" i="4"/>
  <c r="AC53" i="4"/>
  <c r="AC318" i="4"/>
  <c r="AC214" i="4"/>
  <c r="AC265" i="4"/>
  <c r="AC215" i="4"/>
  <c r="AC354" i="4"/>
  <c r="AC6" i="4"/>
  <c r="AC299" i="4"/>
  <c r="AC290" i="4"/>
  <c r="AC216" i="4"/>
  <c r="AD216" i="4" s="1"/>
  <c r="AC368" i="4"/>
  <c r="AC217" i="4"/>
  <c r="AD217" i="4" s="1"/>
  <c r="AC218" i="4"/>
  <c r="AC219" i="4"/>
  <c r="AD219" i="4" s="1"/>
  <c r="AC220" i="4"/>
  <c r="AC364" i="4"/>
  <c r="AC11" i="4"/>
  <c r="AC226" i="4"/>
  <c r="AD226" i="4" s="1"/>
  <c r="AC381" i="4"/>
  <c r="AC304" i="4"/>
  <c r="AC337" i="4"/>
  <c r="AC23" i="4"/>
  <c r="AD23" i="4" s="1"/>
  <c r="AC350" i="4"/>
  <c r="AC223" i="4"/>
  <c r="AD223" i="4" s="1"/>
  <c r="AC12" i="4"/>
  <c r="AC9" i="4"/>
  <c r="AC68" i="4"/>
  <c r="AC227" i="4"/>
  <c r="AD227" i="4" s="1"/>
  <c r="AC358" i="4"/>
  <c r="AC139" i="4"/>
  <c r="AD139" i="4" s="1"/>
  <c r="AC128" i="4"/>
  <c r="AC119" i="4"/>
  <c r="AD119" i="4" s="1"/>
  <c r="AC122" i="4"/>
  <c r="AC230" i="4"/>
  <c r="AD230" i="4" s="1"/>
  <c r="AC130" i="4"/>
  <c r="AC127" i="4"/>
  <c r="AD127" i="4" s="1"/>
  <c r="AC231" i="4"/>
  <c r="AC253" i="4"/>
  <c r="AD253" i="4" s="1"/>
  <c r="AC325" i="4"/>
  <c r="AC233" i="4"/>
  <c r="AD233" i="4" s="1"/>
  <c r="AC143" i="4"/>
  <c r="AC126" i="4"/>
  <c r="AD126" i="4" s="1"/>
  <c r="AC125" i="4"/>
  <c r="AC129" i="4"/>
  <c r="AD129" i="4" s="1"/>
  <c r="AC234" i="4"/>
  <c r="AC235" i="4"/>
  <c r="AD235" i="4" s="1"/>
  <c r="AC117" i="4"/>
  <c r="AC124" i="4"/>
  <c r="AD124" i="4" s="1"/>
  <c r="AC98" i="4"/>
  <c r="AC136" i="4"/>
  <c r="AD136" i="4" s="1"/>
  <c r="AC282" i="4"/>
  <c r="AC236" i="4"/>
  <c r="AD236" i="4" s="1"/>
  <c r="AC248" i="4"/>
  <c r="AC244" i="4"/>
  <c r="AD244" i="4" s="1"/>
  <c r="AC141" i="4"/>
  <c r="AC266" i="4"/>
  <c r="AD266" i="4" s="1"/>
  <c r="AC132" i="4"/>
  <c r="AC287" i="4"/>
  <c r="AD287" i="4" s="1"/>
  <c r="AC118" i="4"/>
  <c r="AC270" i="4"/>
  <c r="AD270" i="4" s="1"/>
  <c r="AC120" i="4"/>
  <c r="AC113" i="4"/>
  <c r="AD113" i="4" s="1"/>
  <c r="AC239" i="4"/>
  <c r="AC92" i="4"/>
  <c r="AD92" i="4" s="1"/>
  <c r="AC31" i="4"/>
  <c r="AC28" i="4"/>
  <c r="AD28" i="4" s="1"/>
  <c r="AC272" i="4"/>
  <c r="AC313" i="4"/>
  <c r="AD313" i="4" s="1"/>
  <c r="AC26" i="4"/>
  <c r="AC338" i="4"/>
  <c r="AD338" i="4" s="1"/>
  <c r="AC152" i="4"/>
  <c r="AC305" i="4"/>
  <c r="AD305" i="4" s="1"/>
  <c r="AC240" i="4"/>
  <c r="AC154" i="4"/>
  <c r="AD154" i="4" s="1"/>
  <c r="AC372" i="4"/>
  <c r="AC73" i="4"/>
  <c r="AD73" i="4" s="1"/>
  <c r="AC341" i="4"/>
  <c r="AC21" i="4"/>
  <c r="AD21" i="4" s="1"/>
  <c r="AC30" i="4"/>
  <c r="AC156" i="4"/>
  <c r="AD156" i="4" s="1"/>
  <c r="AC145" i="4"/>
  <c r="AC294" i="4"/>
  <c r="AD294" i="4" s="1"/>
  <c r="AC19" i="4"/>
  <c r="AC387" i="4"/>
  <c r="AD387" i="4" s="1"/>
  <c r="AC164" i="4"/>
  <c r="AC347" i="4"/>
  <c r="AD347" i="4" s="1"/>
  <c r="AC170" i="4"/>
  <c r="AC58" i="4"/>
  <c r="AD58" i="4" s="1"/>
  <c r="AC22" i="4"/>
  <c r="AC380" i="4"/>
  <c r="AD380" i="4" s="1"/>
  <c r="AC146" i="4"/>
  <c r="AC39" i="4"/>
  <c r="AD39" i="4" s="1"/>
  <c r="AC64" i="4"/>
  <c r="AC162" i="4"/>
  <c r="AD162" i="4" s="1"/>
  <c r="AC147" i="4"/>
  <c r="AC269" i="4"/>
  <c r="AD269" i="4" s="1"/>
  <c r="AC342" i="4"/>
  <c r="AC172" i="4"/>
  <c r="AD172" i="4" s="1"/>
  <c r="AC32" i="4"/>
  <c r="AC25" i="4"/>
  <c r="AD25" i="4" s="1"/>
  <c r="AC311" i="4"/>
  <c r="AC159" i="4"/>
  <c r="AD159" i="4" s="1"/>
  <c r="AC160" i="4"/>
  <c r="AC61" i="4"/>
  <c r="AD61" i="4" s="1"/>
  <c r="AC7" i="4"/>
  <c r="AC336" i="4"/>
  <c r="AD336" i="4" s="1"/>
  <c r="AC52" i="4"/>
  <c r="AC49" i="4"/>
  <c r="AD49" i="4" s="1"/>
  <c r="AC356" i="4"/>
  <c r="AC149" i="4"/>
  <c r="AD149" i="4" s="1"/>
  <c r="AC317" i="4"/>
  <c r="AC366" i="4"/>
  <c r="AD366" i="4" s="1"/>
  <c r="AC279" i="4"/>
  <c r="AC165" i="4"/>
  <c r="AD165" i="4" s="1"/>
  <c r="AC175" i="4"/>
  <c r="AC103" i="4"/>
  <c r="AD103" i="4" s="1"/>
  <c r="AC176" i="4"/>
  <c r="AC302" i="4"/>
  <c r="AD302" i="4" s="1"/>
  <c r="AC177" i="4"/>
  <c r="AC178" i="4"/>
  <c r="AD178" i="4" s="1"/>
  <c r="AC339" i="4"/>
  <c r="AC179" i="4"/>
  <c r="AD179" i="4" s="1"/>
  <c r="AC182" i="4"/>
  <c r="AC183" i="4"/>
  <c r="AD183" i="4" s="1"/>
  <c r="AC185" i="4"/>
  <c r="AC66" i="4"/>
  <c r="AD66" i="4" s="1"/>
  <c r="AC57" i="4"/>
  <c r="AC94" i="4"/>
  <c r="AD94" i="4" s="1"/>
  <c r="AC252" i="4"/>
  <c r="AC200" i="4"/>
  <c r="AD200" i="4" s="1"/>
  <c r="AC107" i="4"/>
  <c r="AC256" i="4"/>
  <c r="AD256" i="4" s="1"/>
  <c r="AC190" i="4"/>
  <c r="AC280" i="4"/>
  <c r="AD280" i="4" s="1"/>
  <c r="AC370" i="4"/>
  <c r="AC77" i="4"/>
  <c r="AD77" i="4" s="1"/>
  <c r="AC276" i="4"/>
  <c r="AC189" i="4"/>
  <c r="AD189" i="4" s="1"/>
  <c r="AC188" i="4"/>
  <c r="AC63" i="4"/>
  <c r="AD63" i="4" s="1"/>
  <c r="AC45" i="4"/>
  <c r="AC291" i="4"/>
  <c r="AD291" i="4" s="1"/>
  <c r="AC93" i="4"/>
  <c r="AC202" i="4"/>
  <c r="AD202" i="4" s="1"/>
  <c r="AC254" i="4"/>
  <c r="AC297" i="4"/>
  <c r="AD297" i="4" s="1"/>
  <c r="AC360" i="4"/>
  <c r="AC199" i="4"/>
  <c r="AD199" i="4" s="1"/>
  <c r="AC281" i="4"/>
  <c r="AC62" i="4"/>
  <c r="AD62" i="4" s="1"/>
  <c r="AC355" i="4"/>
  <c r="AC108" i="4"/>
  <c r="AD108" i="4" s="1"/>
  <c r="AC289" i="4"/>
  <c r="AC278" i="4"/>
  <c r="AD278" i="4" s="1"/>
  <c r="AC96" i="4"/>
  <c r="AC194" i="4"/>
  <c r="AD194" i="4" s="1"/>
  <c r="AC34" i="4"/>
  <c r="AC85" i="4"/>
  <c r="AD85" i="4" s="1"/>
  <c r="AC196" i="4"/>
  <c r="AC60" i="4"/>
  <c r="AD60" i="4" s="1"/>
  <c r="AC80" i="4"/>
  <c r="AC246" i="4"/>
  <c r="AD246" i="4" s="1"/>
  <c r="AC50" i="4"/>
  <c r="AC273" i="4"/>
  <c r="AD273" i="4" s="1"/>
  <c r="AC197" i="4"/>
  <c r="AC349" i="4"/>
  <c r="AD349" i="4" s="1"/>
  <c r="AC268" i="4"/>
  <c r="AC257" i="4"/>
  <c r="AD257" i="4" s="1"/>
  <c r="AC293" i="4"/>
  <c r="AC71" i="4"/>
  <c r="AD71" i="4" s="1"/>
  <c r="AC16" i="4"/>
  <c r="AC27" i="4"/>
  <c r="AD27" i="4" s="1"/>
  <c r="AC102" i="4"/>
  <c r="AC205" i="4"/>
  <c r="AD205" i="4" s="1"/>
  <c r="AC207" i="4"/>
  <c r="AC206" i="4"/>
  <c r="AD206" i="4" s="1"/>
  <c r="AC326" i="4"/>
  <c r="AC371" i="4"/>
  <c r="AD371" i="4" s="1"/>
  <c r="AC275" i="4"/>
  <c r="AC331" i="4"/>
  <c r="AD331" i="4" s="1"/>
  <c r="AC344" i="4"/>
  <c r="AC208" i="4"/>
  <c r="AD208" i="4" s="1"/>
  <c r="AC75" i="4"/>
  <c r="AC363" i="4"/>
  <c r="AD363" i="4" s="1"/>
  <c r="AC340" i="4"/>
  <c r="AC210" i="4"/>
  <c r="AD210" i="4" s="1"/>
  <c r="AC211" i="4"/>
  <c r="AC112" i="4"/>
  <c r="AD112" i="4" s="1"/>
  <c r="AC307" i="4"/>
  <c r="AC379" i="4"/>
  <c r="AD379" i="4" s="1"/>
  <c r="AC20" i="4"/>
  <c r="AC213" i="4"/>
  <c r="AD213" i="4" s="1"/>
  <c r="AC327" i="4"/>
  <c r="AC329" i="4"/>
  <c r="AD329" i="4" s="1"/>
  <c r="AC314" i="4"/>
  <c r="AC262" i="4"/>
  <c r="AD262" i="4" s="1"/>
  <c r="AC41" i="4"/>
  <c r="AC54" i="4"/>
  <c r="AD54" i="4" s="1"/>
  <c r="AC362" i="4"/>
  <c r="AC348" i="4"/>
  <c r="AD348" i="4" s="1"/>
  <c r="AC37" i="4"/>
  <c r="AC81" i="4"/>
  <c r="AD81" i="4" s="1"/>
  <c r="AC43" i="4"/>
  <c r="AC221" i="4"/>
  <c r="AD221" i="4" s="1"/>
  <c r="AC357" i="4"/>
  <c r="AC15" i="4"/>
  <c r="AD15" i="4" s="1"/>
  <c r="AC33" i="4"/>
  <c r="AC298" i="4"/>
  <c r="AD298" i="4" s="1"/>
  <c r="AC222" i="4"/>
  <c r="AC303" i="4"/>
  <c r="AD303" i="4" s="1"/>
  <c r="AC47" i="4"/>
  <c r="AC225" i="4"/>
  <c r="AD225" i="4" s="1"/>
  <c r="AC224" i="4"/>
  <c r="AC346" i="4"/>
  <c r="AD346" i="4" s="1"/>
  <c r="AC312" i="4"/>
  <c r="AC44" i="4"/>
  <c r="AD44" i="4" s="1"/>
  <c r="AC319" i="4"/>
  <c r="AC228" i="4"/>
  <c r="AD228" i="4" s="1"/>
  <c r="AC142" i="4"/>
  <c r="AC229" i="4"/>
  <c r="AD229" i="4" s="1"/>
  <c r="AC135" i="4"/>
  <c r="AC131" i="4"/>
  <c r="AD131" i="4" s="1"/>
  <c r="AC88" i="4"/>
  <c r="AC121" i="4"/>
  <c r="AD121" i="4" s="1"/>
  <c r="AC84" i="4"/>
  <c r="AC56" i="4"/>
  <c r="AD56" i="4" s="1"/>
  <c r="AC114" i="4"/>
  <c r="AC232" i="4"/>
  <c r="AD232" i="4" s="1"/>
  <c r="AC271" i="4"/>
  <c r="AC55" i="4"/>
  <c r="AD55" i="4" s="1"/>
  <c r="AC78" i="4"/>
  <c r="AC251" i="4"/>
  <c r="AD251" i="4" s="1"/>
  <c r="AC100" i="4"/>
  <c r="AC123" i="4"/>
  <c r="AD123" i="4" s="1"/>
  <c r="AC301" i="4"/>
  <c r="AC138" i="4"/>
  <c r="AD138" i="4" s="1"/>
  <c r="AC263" i="4"/>
  <c r="AC116" i="4"/>
  <c r="AD116" i="4" s="1"/>
  <c r="AC242" i="4"/>
  <c r="AC74" i="4"/>
  <c r="AD74" i="4" s="1"/>
  <c r="AC140" i="4"/>
  <c r="AC115" i="4"/>
  <c r="AD115" i="4" s="1"/>
  <c r="AC247" i="4"/>
  <c r="AC95" i="4"/>
  <c r="AD95" i="4" s="1"/>
  <c r="AC97" i="4"/>
  <c r="AC134" i="4"/>
  <c r="AD134" i="4" s="1"/>
  <c r="AC237" i="4"/>
  <c r="AC133" i="4"/>
  <c r="AD133" i="4" s="1"/>
  <c r="AC144" i="4"/>
  <c r="AC238" i="4"/>
  <c r="AD238" i="4" s="1"/>
  <c r="AC99" i="4"/>
  <c r="AC111" i="4"/>
  <c r="AD111" i="4" s="1"/>
  <c r="AC17" i="3"/>
  <c r="AD17" i="3" s="1"/>
  <c r="AC19" i="3"/>
  <c r="AD19" i="3" s="1"/>
  <c r="AC21" i="3"/>
  <c r="AD21" i="3" s="1"/>
  <c r="AC23" i="3"/>
  <c r="AD23" i="3" s="1"/>
  <c r="AC25" i="3"/>
  <c r="AD25" i="3" s="1"/>
  <c r="AC16" i="3"/>
  <c r="AD16" i="3" s="1"/>
  <c r="AC18" i="3"/>
  <c r="AD18" i="3" s="1"/>
  <c r="AC20" i="3"/>
  <c r="AD20" i="3" s="1"/>
  <c r="AC22" i="3"/>
  <c r="AD22" i="3" s="1"/>
  <c r="AC24" i="3"/>
  <c r="AD24" i="3" s="1"/>
  <c r="AD34" i="3"/>
  <c r="AF34" i="3" s="1"/>
  <c r="AD36" i="3"/>
  <c r="AF36" i="3" s="1"/>
  <c r="AD38" i="3"/>
  <c r="AF38" i="3" s="1"/>
  <c r="AD40" i="3"/>
  <c r="AF40" i="3" s="1"/>
  <c r="AD43" i="3"/>
  <c r="AF43" i="3" s="1"/>
  <c r="AD45" i="3"/>
  <c r="AF45" i="3" s="1"/>
  <c r="AD47" i="3"/>
  <c r="AF47" i="3" s="1"/>
  <c r="AD49" i="3"/>
  <c r="AF49" i="3" s="1"/>
  <c r="AD51" i="3"/>
  <c r="AF51" i="3" s="1"/>
  <c r="AD53" i="3"/>
  <c r="AF53" i="3" s="1"/>
  <c r="AD55" i="3"/>
  <c r="AF55" i="3" s="1"/>
  <c r="AD57" i="3"/>
  <c r="AF57" i="3" s="1"/>
  <c r="AD59" i="3"/>
  <c r="AF59" i="3" s="1"/>
  <c r="AD61" i="3"/>
  <c r="AF61" i="3" s="1"/>
  <c r="AD63" i="3"/>
  <c r="AF63" i="3" s="1"/>
  <c r="AD65" i="3"/>
  <c r="AF65" i="3" s="1"/>
  <c r="AD67" i="3"/>
  <c r="AF67" i="3" s="1"/>
  <c r="AD69" i="3"/>
  <c r="AF69" i="3" s="1"/>
  <c r="AD71" i="3"/>
  <c r="AF71" i="3" s="1"/>
  <c r="AD73" i="3"/>
  <c r="AF73" i="3" s="1"/>
  <c r="AD75" i="3"/>
  <c r="AF75" i="3" s="1"/>
  <c r="AD77" i="3"/>
  <c r="AF77" i="3" s="1"/>
  <c r="AD79" i="3"/>
  <c r="AF79" i="3" s="1"/>
  <c r="AD81" i="3"/>
  <c r="AF81" i="3" s="1"/>
  <c r="AD83" i="3"/>
  <c r="AF83" i="3" s="1"/>
  <c r="AD85" i="3"/>
  <c r="AF85" i="3" s="1"/>
  <c r="AD87" i="3"/>
  <c r="AF87" i="3" s="1"/>
  <c r="AD89" i="3"/>
  <c r="AF89" i="3" s="1"/>
  <c r="AD91" i="3"/>
  <c r="AF91" i="3" s="1"/>
  <c r="AD93" i="3"/>
  <c r="AF93" i="3" s="1"/>
  <c r="AD95" i="3"/>
  <c r="AF95" i="3" s="1"/>
  <c r="AD97" i="3"/>
  <c r="AF97" i="3" s="1"/>
  <c r="AD99" i="3"/>
  <c r="AF99" i="3" s="1"/>
  <c r="AD101" i="3"/>
  <c r="AF101" i="3" s="1"/>
  <c r="AD103" i="3"/>
  <c r="AF103" i="3" s="1"/>
  <c r="AD105" i="3"/>
  <c r="AF105" i="3" s="1"/>
  <c r="AD107" i="3"/>
  <c r="AF107" i="3" s="1"/>
  <c r="AD109" i="3"/>
  <c r="AF109" i="3" s="1"/>
  <c r="AD111" i="3"/>
  <c r="AF111" i="3" s="1"/>
  <c r="AD113" i="3"/>
  <c r="AF113" i="3" s="1"/>
  <c r="AD115" i="3"/>
  <c r="AF115" i="3" s="1"/>
  <c r="AD117" i="3"/>
  <c r="AF117" i="3" s="1"/>
  <c r="AD119" i="3"/>
  <c r="AF119" i="3" s="1"/>
  <c r="AD121" i="3"/>
  <c r="AF121" i="3" s="1"/>
  <c r="AD68" i="3"/>
  <c r="AF68" i="3" s="1"/>
  <c r="AD72" i="3"/>
  <c r="AF72" i="3" s="1"/>
  <c r="AD76" i="3"/>
  <c r="AF76" i="3" s="1"/>
  <c r="AD80" i="3"/>
  <c r="AF80" i="3" s="1"/>
  <c r="AD84" i="3"/>
  <c r="AF84" i="3" s="1"/>
  <c r="AD88" i="3"/>
  <c r="AF88" i="3" s="1"/>
  <c r="AD92" i="3"/>
  <c r="AF92" i="3" s="1"/>
  <c r="AD96" i="3"/>
  <c r="AF96" i="3" s="1"/>
  <c r="AD100" i="3"/>
  <c r="AF100" i="3" s="1"/>
  <c r="AD104" i="3"/>
  <c r="AF104" i="3" s="1"/>
  <c r="AD108" i="3"/>
  <c r="AF108" i="3" s="1"/>
  <c r="AD112" i="3"/>
  <c r="AF112" i="3" s="1"/>
  <c r="AD116" i="3"/>
  <c r="AF116" i="3" s="1"/>
  <c r="AD33" i="3"/>
  <c r="AF33" i="3" s="1"/>
  <c r="AD35" i="3"/>
  <c r="AF35" i="3" s="1"/>
  <c r="AD37" i="3"/>
  <c r="AF37" i="3" s="1"/>
  <c r="AD39" i="3"/>
  <c r="AF39" i="3" s="1"/>
  <c r="AD42" i="3"/>
  <c r="AF42" i="3" s="1"/>
  <c r="AD44" i="3"/>
  <c r="AF44" i="3" s="1"/>
  <c r="AD46" i="3"/>
  <c r="AF46" i="3" s="1"/>
  <c r="AD48" i="3"/>
  <c r="AF48" i="3" s="1"/>
  <c r="AD50" i="3"/>
  <c r="AF50" i="3" s="1"/>
  <c r="AD52" i="3"/>
  <c r="AF52" i="3" s="1"/>
  <c r="AD54" i="3"/>
  <c r="AF54" i="3" s="1"/>
  <c r="AD56" i="3"/>
  <c r="AF56" i="3" s="1"/>
  <c r="AD58" i="3"/>
  <c r="AF58" i="3" s="1"/>
  <c r="AD60" i="3"/>
  <c r="AF60" i="3" s="1"/>
  <c r="AD62" i="3"/>
  <c r="AF62" i="3" s="1"/>
  <c r="AD64" i="3"/>
  <c r="AF64" i="3" s="1"/>
  <c r="AD66" i="3"/>
  <c r="AF66" i="3" s="1"/>
  <c r="AD70" i="3"/>
  <c r="AF70" i="3" s="1"/>
  <c r="AD74" i="3"/>
  <c r="AF74" i="3" s="1"/>
  <c r="AD78" i="3"/>
  <c r="AF78" i="3" s="1"/>
  <c r="AD82" i="3"/>
  <c r="AF82" i="3" s="1"/>
  <c r="AD86" i="3"/>
  <c r="AF86" i="3" s="1"/>
  <c r="AD90" i="3"/>
  <c r="AF90" i="3" s="1"/>
  <c r="AD94" i="3"/>
  <c r="AF94" i="3" s="1"/>
  <c r="AD98" i="3"/>
  <c r="AF98" i="3" s="1"/>
  <c r="AD102" i="3"/>
  <c r="AF102" i="3" s="1"/>
  <c r="AD106" i="3"/>
  <c r="AF106" i="3" s="1"/>
  <c r="AD110" i="3"/>
  <c r="AF110" i="3" s="1"/>
  <c r="AD114" i="3"/>
  <c r="AF114" i="3" s="1"/>
  <c r="AD118" i="3"/>
  <c r="AF118" i="3" s="1"/>
  <c r="AD120" i="3"/>
  <c r="AF120" i="3" s="1"/>
  <c r="AC60" i="6"/>
  <c r="AD60" i="6" s="1"/>
  <c r="AC80" i="6"/>
  <c r="AD80" i="6" s="1"/>
  <c r="AC50" i="6"/>
  <c r="AD50" i="6" s="1"/>
  <c r="AC58" i="6"/>
  <c r="AD58" i="6" s="1"/>
  <c r="AC18" i="6"/>
  <c r="AD18" i="6" s="1"/>
  <c r="AC53" i="6"/>
  <c r="AD53" i="6" s="1"/>
  <c r="AC20" i="6"/>
  <c r="AD20" i="6" s="1"/>
  <c r="AC36" i="6"/>
  <c r="AD36" i="6" s="1"/>
  <c r="AC94" i="6"/>
  <c r="AD94" i="6" s="1"/>
  <c r="AC86" i="6"/>
  <c r="AD86" i="6" s="1"/>
  <c r="AC72" i="6"/>
  <c r="AD72" i="6" s="1"/>
  <c r="AC57" i="6"/>
  <c r="AD57" i="6" s="1"/>
  <c r="AC88" i="6"/>
  <c r="AD88" i="6" s="1"/>
  <c r="AC82" i="6"/>
  <c r="AD82" i="6" s="1"/>
  <c r="AC70" i="6"/>
  <c r="AD70" i="6" s="1"/>
  <c r="AC78" i="6"/>
  <c r="AD78" i="6" s="1"/>
  <c r="AC22" i="6"/>
  <c r="AD22" i="6" s="1"/>
  <c r="AC24" i="6"/>
  <c r="AD24" i="6" s="1"/>
  <c r="AC98" i="6"/>
  <c r="AD98" i="6" s="1"/>
  <c r="AC30" i="6"/>
  <c r="AD30" i="6" s="1"/>
  <c r="AC56" i="6"/>
  <c r="AD56" i="6" s="1"/>
  <c r="AC76" i="6"/>
  <c r="AD76" i="6" s="1"/>
  <c r="AC92" i="6"/>
  <c r="AD92" i="6" s="1"/>
  <c r="AC10" i="6"/>
  <c r="AD10" i="6" s="1"/>
  <c r="AC61" i="6"/>
  <c r="AD61" i="6" s="1"/>
  <c r="AC71" i="6"/>
  <c r="AD71" i="6" s="1"/>
  <c r="AC27" i="6"/>
  <c r="AD27" i="6" s="1"/>
  <c r="AC33" i="6"/>
  <c r="AD33" i="6" s="1"/>
  <c r="AC75" i="6"/>
  <c r="AD75" i="6" s="1"/>
  <c r="AC43" i="6"/>
  <c r="AD43" i="6" s="1"/>
  <c r="AC39" i="6"/>
  <c r="AD39" i="6" s="1"/>
  <c r="AC83" i="6"/>
  <c r="AD83" i="6" s="1"/>
  <c r="AC25" i="6"/>
  <c r="AD25" i="6" s="1"/>
  <c r="AC87" i="6"/>
  <c r="AD87" i="6" s="1"/>
  <c r="AC35" i="6"/>
  <c r="AD35" i="6" s="1"/>
  <c r="AC64" i="6"/>
  <c r="AD64" i="6" s="1"/>
  <c r="AC66" i="6"/>
  <c r="AD66" i="6" s="1"/>
  <c r="AC21" i="6"/>
  <c r="AD21" i="6" s="1"/>
  <c r="AC101" i="6"/>
  <c r="AD101" i="6" s="1"/>
  <c r="AC37" i="6"/>
  <c r="AD37" i="6" s="1"/>
  <c r="AC49" i="6"/>
  <c r="AD49" i="6" s="1"/>
  <c r="AC9" i="6"/>
  <c r="AD9" i="6" s="1"/>
  <c r="AC17" i="6"/>
  <c r="AD17" i="6" s="1"/>
  <c r="AC91" i="6"/>
  <c r="AD91" i="6" s="1"/>
  <c r="AC7" i="6"/>
  <c r="AD7" i="6" s="1"/>
  <c r="AC15" i="6"/>
  <c r="AD15" i="6" s="1"/>
  <c r="AC81" i="6"/>
  <c r="AD81" i="6" s="1"/>
  <c r="AC85" i="6"/>
  <c r="AD85" i="6" s="1"/>
  <c r="AC105" i="6"/>
  <c r="AD105" i="6" s="1"/>
  <c r="AC45" i="6"/>
  <c r="AD45" i="6" s="1"/>
  <c r="AC93" i="6"/>
  <c r="AD93" i="6" s="1"/>
  <c r="AC38" i="6"/>
  <c r="AD38" i="6" s="1"/>
  <c r="AC26" i="6"/>
  <c r="AD26" i="6" s="1"/>
  <c r="AC130" i="6"/>
  <c r="AD130" i="6" s="1"/>
  <c r="AC28" i="6"/>
  <c r="AD28" i="6" s="1"/>
  <c r="AC48" i="6"/>
  <c r="AD48" i="6" s="1"/>
  <c r="AC44" i="6"/>
  <c r="AD44" i="6" s="1"/>
  <c r="AC46" i="6"/>
  <c r="AD46" i="6" s="1"/>
  <c r="AC14" i="6"/>
  <c r="AD14" i="6" s="1"/>
  <c r="AC54" i="6"/>
  <c r="AD54" i="6" s="1"/>
  <c r="AC12" i="6"/>
  <c r="AD12" i="6" s="1"/>
  <c r="AC52" i="6"/>
  <c r="AD52" i="6" s="1"/>
  <c r="AC84" i="6"/>
  <c r="AD84" i="6" s="1"/>
  <c r="AC32" i="6"/>
  <c r="AD32" i="6" s="1"/>
  <c r="AC110" i="6"/>
  <c r="AD110" i="6" s="1"/>
  <c r="AC40" i="6"/>
  <c r="AD40" i="6" s="1"/>
  <c r="AC16" i="6"/>
  <c r="AD16" i="6" s="1"/>
  <c r="AC6" i="6"/>
  <c r="AD6" i="6" s="1"/>
  <c r="AC96" i="6"/>
  <c r="AD96" i="6" s="1"/>
  <c r="AC34" i="6"/>
  <c r="AD34" i="6" s="1"/>
  <c r="AC55" i="6"/>
  <c r="AD55" i="6" s="1"/>
  <c r="AC42" i="6"/>
  <c r="AD42" i="6" s="1"/>
  <c r="AC90" i="6"/>
  <c r="AD90" i="6" s="1"/>
  <c r="AC59" i="6"/>
  <c r="AD59" i="6" s="1"/>
  <c r="AC74" i="6"/>
  <c r="AD74" i="6" s="1"/>
  <c r="AC108" i="6"/>
  <c r="AD108" i="6" s="1"/>
  <c r="AC8" i="6"/>
  <c r="AD8" i="6" s="1"/>
  <c r="AC41" i="6"/>
  <c r="AD41" i="6" s="1"/>
  <c r="AC31" i="6"/>
  <c r="AD31" i="6" s="1"/>
  <c r="AC73" i="6"/>
  <c r="AD73" i="6" s="1"/>
  <c r="AC89" i="6"/>
  <c r="AD89" i="6" s="1"/>
  <c r="AC103" i="6"/>
  <c r="AD103" i="6" s="1"/>
  <c r="AC63" i="6"/>
  <c r="AD63" i="6" s="1"/>
  <c r="AC62" i="6"/>
  <c r="AD62" i="6" s="1"/>
  <c r="AC65" i="6"/>
  <c r="AD65" i="6" s="1"/>
  <c r="AC51" i="6"/>
  <c r="AD51" i="6" s="1"/>
  <c r="AC97" i="6"/>
  <c r="AD97" i="6" s="1"/>
  <c r="AC23" i="6"/>
  <c r="AD23" i="6" s="1"/>
  <c r="AC67" i="6"/>
  <c r="AD67" i="6" s="1"/>
  <c r="AC68" i="6"/>
  <c r="AD68" i="6" s="1"/>
  <c r="AC19" i="6"/>
  <c r="AD19" i="6" s="1"/>
  <c r="AC47" i="6"/>
  <c r="AD47" i="6" s="1"/>
  <c r="AC13" i="6"/>
  <c r="AD13" i="6" s="1"/>
  <c r="AC79" i="6"/>
  <c r="AD79" i="6" s="1"/>
  <c r="AC99" i="6"/>
  <c r="AD99" i="6" s="1"/>
  <c r="AC29" i="6"/>
  <c r="AD29" i="6" s="1"/>
  <c r="AC11" i="6"/>
  <c r="AD11" i="6" s="1"/>
  <c r="AC69" i="6"/>
  <c r="AD69" i="6" s="1"/>
  <c r="AC95" i="6"/>
  <c r="AD95" i="6" s="1"/>
  <c r="AC77" i="6"/>
  <c r="AD77" i="6" s="1"/>
  <c r="AC19" i="17"/>
  <c r="AC28" i="17"/>
  <c r="AC36" i="17"/>
  <c r="AC44" i="17"/>
  <c r="AC52" i="17"/>
  <c r="AC60" i="17"/>
  <c r="AC68" i="17"/>
  <c r="AC74" i="17"/>
  <c r="AC82" i="17"/>
  <c r="AC90" i="17"/>
  <c r="AC97" i="17"/>
  <c r="AC108" i="17"/>
  <c r="AC114" i="17"/>
  <c r="AC120" i="17"/>
  <c r="AC125" i="17"/>
  <c r="AC133" i="17"/>
  <c r="AC140" i="17"/>
  <c r="AC150" i="17"/>
  <c r="AC155" i="17"/>
  <c r="AC161" i="17"/>
  <c r="AC169" i="17"/>
  <c r="AC177" i="17"/>
  <c r="AC185" i="17"/>
  <c r="AC189" i="17"/>
  <c r="AC196" i="17"/>
  <c r="AC207" i="17"/>
  <c r="AC214" i="17"/>
  <c r="AC221" i="17"/>
  <c r="AC227" i="17"/>
  <c r="AC233" i="17"/>
  <c r="AC241" i="17"/>
  <c r="AC248" i="17"/>
  <c r="AC255" i="17"/>
  <c r="AC261" i="17"/>
  <c r="AC266" i="17"/>
  <c r="AC270" i="17"/>
  <c r="AC276" i="17"/>
  <c r="AC284" i="17"/>
  <c r="AC292" i="17"/>
  <c r="AC300" i="17"/>
  <c r="AC308" i="17"/>
  <c r="AC315" i="17"/>
  <c r="AC322" i="17"/>
  <c r="AC327" i="17"/>
  <c r="AC333" i="17"/>
  <c r="AC341" i="17"/>
  <c r="AC349" i="17"/>
  <c r="AC356" i="17"/>
  <c r="AC364" i="17"/>
  <c r="AC370" i="17"/>
  <c r="AC375" i="17"/>
  <c r="AC383" i="17"/>
  <c r="AC391" i="17"/>
  <c r="AC399" i="17"/>
  <c r="AC404" i="17"/>
  <c r="AC412" i="17"/>
  <c r="AC31" i="17"/>
  <c r="AC53" i="17"/>
  <c r="AC83" i="17"/>
  <c r="AC98" i="17"/>
  <c r="AC162" i="17"/>
  <c r="AC182" i="17"/>
  <c r="AC190" i="17"/>
  <c r="AC201" i="17"/>
  <c r="AC228" i="17"/>
  <c r="AC242" i="17"/>
  <c r="AC262" i="17"/>
  <c r="AC273" i="17"/>
  <c r="AC309" i="17"/>
  <c r="AC328" i="17"/>
  <c r="AC350" i="17"/>
  <c r="AC18" i="17"/>
  <c r="AC24" i="17"/>
  <c r="AC37" i="17"/>
  <c r="AC46" i="17"/>
  <c r="AC54" i="17"/>
  <c r="AC61" i="17"/>
  <c r="AC72" i="17"/>
  <c r="AC79" i="17"/>
  <c r="AC88" i="17"/>
  <c r="AC95" i="17"/>
  <c r="AC105" i="17"/>
  <c r="AC117" i="17"/>
  <c r="AC126" i="17"/>
  <c r="AC134" i="17"/>
  <c r="AC141" i="17"/>
  <c r="AC151" i="17"/>
  <c r="AC163" i="17"/>
  <c r="AC170" i="17"/>
  <c r="AC179" i="17"/>
  <c r="AC191" i="17"/>
  <c r="AC197" i="17"/>
  <c r="AC208" i="17"/>
  <c r="AC215" i="17"/>
  <c r="AC224" i="17"/>
  <c r="AC234" i="17"/>
  <c r="AC243" i="17"/>
  <c r="AC249" i="17"/>
  <c r="AC257" i="17"/>
  <c r="AC277" i="17"/>
  <c r="AC286" i="17"/>
  <c r="AC297" i="17"/>
  <c r="AC310" i="17"/>
  <c r="AC316" i="17"/>
  <c r="AC323" i="17"/>
  <c r="AC334" i="17"/>
  <c r="AC342" i="17"/>
  <c r="AC351" i="17"/>
  <c r="AC357" i="17"/>
  <c r="AC367" i="17"/>
  <c r="AC374" i="17"/>
  <c r="AC380" i="17"/>
  <c r="AC388" i="17"/>
  <c r="AC396" i="17"/>
  <c r="AC405" i="17"/>
  <c r="AC42" i="17"/>
  <c r="AC100" i="17"/>
  <c r="AC142" i="17"/>
  <c r="AC160" i="17"/>
  <c r="AC203" i="17"/>
  <c r="AC239" i="17"/>
  <c r="AC317" i="17"/>
  <c r="AC400" i="17"/>
  <c r="AC112" i="17"/>
  <c r="AC167" i="17"/>
  <c r="AC186" i="17"/>
  <c r="AC278" i="17"/>
  <c r="AC304" i="17"/>
  <c r="AC362" i="17"/>
  <c r="AC411" i="17"/>
  <c r="AC50" i="17"/>
  <c r="AC69" i="17"/>
  <c r="AC253" i="17"/>
  <c r="AC403" i="17"/>
  <c r="AC101" i="17"/>
  <c r="AC118" i="17"/>
  <c r="AC175" i="17"/>
  <c r="AC219" i="17"/>
  <c r="AC250" i="17"/>
  <c r="AC288" i="17"/>
  <c r="AC343" i="17"/>
  <c r="AC372" i="17"/>
  <c r="AC385" i="17"/>
  <c r="AC92" i="17"/>
  <c r="AC21" i="17"/>
  <c r="AC102" i="17"/>
  <c r="AC152" i="17"/>
  <c r="AC204" i="17"/>
  <c r="AC289" i="17"/>
  <c r="AC301" i="17"/>
  <c r="AC326" i="17"/>
  <c r="AC355" i="17"/>
  <c r="AC368" i="17"/>
  <c r="AC414" i="17"/>
  <c r="AC29" i="17"/>
  <c r="AC62" i="17"/>
  <c r="AC109" i="17"/>
  <c r="AC131" i="17"/>
  <c r="AC139" i="17"/>
  <c r="AC205" i="17"/>
  <c r="AC269" i="17"/>
  <c r="AC306" i="17"/>
  <c r="AC339" i="17"/>
  <c r="AC393" i="17"/>
  <c r="AC417" i="17"/>
  <c r="AC27" i="17"/>
  <c r="AC39" i="17"/>
  <c r="AC47" i="17"/>
  <c r="AC55" i="17"/>
  <c r="AC63" i="17"/>
  <c r="AC73" i="17"/>
  <c r="AC81" i="17"/>
  <c r="AC89" i="17"/>
  <c r="AC96" i="17"/>
  <c r="AC107" i="17"/>
  <c r="AC119" i="17"/>
  <c r="AC132" i="17"/>
  <c r="AC143" i="17"/>
  <c r="AC158" i="17"/>
  <c r="AC168" i="17"/>
  <c r="AC176" i="17"/>
  <c r="AC184" i="17"/>
  <c r="AC199" i="17"/>
  <c r="AC210" i="17"/>
  <c r="AC226" i="17"/>
  <c r="AC236" i="17"/>
  <c r="AC244" i="17"/>
  <c r="AC258" i="17"/>
  <c r="AC265" i="17"/>
  <c r="AC279" i="17"/>
  <c r="AC299" i="17"/>
  <c r="AC314" i="17"/>
  <c r="AC330" i="17"/>
  <c r="AC344" i="17"/>
  <c r="AC352" i="17"/>
  <c r="AC363" i="17"/>
  <c r="AC378" i="17"/>
  <c r="AC386" i="17"/>
  <c r="AC394" i="17"/>
  <c r="AC409" i="17"/>
  <c r="AC16" i="17"/>
  <c r="AC23" i="17"/>
  <c r="AC30" i="17"/>
  <c r="AC40" i="17"/>
  <c r="AC48" i="17"/>
  <c r="AC56" i="17"/>
  <c r="AC64" i="17"/>
  <c r="AC70" i="17"/>
  <c r="AC78" i="17"/>
  <c r="AC86" i="17"/>
  <c r="AC94" i="17"/>
  <c r="AC104" i="17"/>
  <c r="AC110" i="17"/>
  <c r="AC116" i="17"/>
  <c r="AC123" i="17"/>
  <c r="AC129" i="17"/>
  <c r="AC137" i="17"/>
  <c r="AC144" i="17"/>
  <c r="AC153" i="17"/>
  <c r="AC159" i="17"/>
  <c r="AC165" i="17"/>
  <c r="AC173" i="17"/>
  <c r="AC181" i="17"/>
  <c r="AC187" i="17"/>
  <c r="AC193" i="17"/>
  <c r="AC200" i="17"/>
  <c r="AC211" i="17"/>
  <c r="AC217" i="17"/>
  <c r="AC223" i="17"/>
  <c r="AC229" i="17"/>
  <c r="AC237" i="17"/>
  <c r="AC245" i="17"/>
  <c r="AC251" i="17"/>
  <c r="AC259" i="17"/>
  <c r="AC263" i="17"/>
  <c r="AC268" i="17"/>
  <c r="AC272" i="17"/>
  <c r="AC280" i="17"/>
  <c r="AC290" i="17"/>
  <c r="AC296" i="17"/>
  <c r="AC302" i="17"/>
  <c r="AC311" i="17"/>
  <c r="AC319" i="17"/>
  <c r="AC325" i="17"/>
  <c r="AC331" i="17"/>
  <c r="AC335" i="17"/>
  <c r="AC345" i="17"/>
  <c r="AC353" i="17"/>
  <c r="AC360" i="17"/>
  <c r="AC366" i="17"/>
  <c r="AC373" i="17"/>
  <c r="AC379" i="17"/>
  <c r="AC387" i="17"/>
  <c r="AC395" i="17"/>
  <c r="AC401" i="17"/>
  <c r="AC410" i="17"/>
  <c r="AC416" i="17"/>
  <c r="AC17" i="17"/>
  <c r="AC45" i="17"/>
  <c r="AC71" i="17"/>
  <c r="AC87" i="17"/>
  <c r="AC115" i="17"/>
  <c r="AC178" i="17"/>
  <c r="AC188" i="17"/>
  <c r="AC194" i="17"/>
  <c r="AC212" i="17"/>
  <c r="AC230" i="17"/>
  <c r="AC256" i="17"/>
  <c r="AC264" i="17"/>
  <c r="AC285" i="17"/>
  <c r="AC320" i="17"/>
  <c r="AC332" i="17"/>
  <c r="AC376" i="17"/>
  <c r="AC20" i="17"/>
  <c r="AC32" i="17"/>
  <c r="AC41" i="17"/>
  <c r="AC49" i="17"/>
  <c r="AC57" i="17"/>
  <c r="AC65" i="17"/>
  <c r="AC75" i="17"/>
  <c r="AC84" i="17"/>
  <c r="AC91" i="17"/>
  <c r="AC99" i="17"/>
  <c r="AC111" i="17"/>
  <c r="AC121" i="17"/>
  <c r="AC130" i="17"/>
  <c r="AC138" i="17"/>
  <c r="AC145" i="17"/>
  <c r="AC156" i="17"/>
  <c r="AC166" i="17"/>
  <c r="AC174" i="17"/>
  <c r="AC183" i="17"/>
  <c r="AC195" i="17"/>
  <c r="AC202" i="17"/>
  <c r="AC213" i="17"/>
  <c r="AC218" i="17"/>
  <c r="AC231" i="17"/>
  <c r="AC238" i="17"/>
  <c r="AC246" i="17"/>
  <c r="AC252" i="17"/>
  <c r="AC274" i="17"/>
  <c r="AC281" i="17"/>
  <c r="AC293" i="17"/>
  <c r="AC303" i="17"/>
  <c r="AC312" i="17"/>
  <c r="AC321" i="17"/>
  <c r="AC329" i="17"/>
  <c r="AC336" i="17"/>
  <c r="AC346" i="17"/>
  <c r="AC354" i="17"/>
  <c r="AC361" i="17"/>
  <c r="AC371" i="17"/>
  <c r="AC377" i="17"/>
  <c r="AC384" i="17"/>
  <c r="AC392" i="17"/>
  <c r="AC402" i="17"/>
  <c r="AC413" i="17"/>
  <c r="AC38" i="17"/>
  <c r="AC58" i="17"/>
  <c r="AC122" i="17"/>
  <c r="AC154" i="17"/>
  <c r="AC198" i="17"/>
  <c r="AC222" i="17"/>
  <c r="AC287" i="17"/>
  <c r="AC397" i="17"/>
  <c r="AC146" i="17"/>
  <c r="AC171" i="17"/>
  <c r="AC235" i="17"/>
  <c r="AC291" i="17"/>
  <c r="AC337" i="17"/>
  <c r="AC406" i="17"/>
  <c r="AC25" i="17"/>
  <c r="AC66" i="17"/>
  <c r="AC216" i="17"/>
  <c r="AC294" i="17"/>
  <c r="AC76" i="17"/>
  <c r="AC106" i="17"/>
  <c r="AC127" i="17"/>
  <c r="AC209" i="17"/>
  <c r="AC225" i="17"/>
  <c r="AC267" i="17"/>
  <c r="AC313" i="17"/>
  <c r="AC365" i="17"/>
  <c r="AC381" i="17"/>
  <c r="AC389" i="17"/>
  <c r="AC271" i="17"/>
  <c r="AC33" i="17"/>
  <c r="AC147" i="17"/>
  <c r="AC157" i="17"/>
  <c r="AC282" i="17"/>
  <c r="AC298" i="17"/>
  <c r="AC305" i="17"/>
  <c r="AC338" i="17"/>
  <c r="AC358" i="17"/>
  <c r="AC407" i="17"/>
  <c r="AC26" i="17"/>
  <c r="AC34" i="17"/>
  <c r="AC80" i="17"/>
  <c r="AC124" i="17"/>
  <c r="AC135" i="17"/>
  <c r="AC148" i="17"/>
  <c r="AC247" i="17"/>
  <c r="AC295" i="17"/>
  <c r="AC324" i="17"/>
  <c r="AC347" i="17"/>
  <c r="AC408" i="17"/>
  <c r="AC22" i="17"/>
  <c r="AC35" i="17"/>
  <c r="AC43" i="17"/>
  <c r="AC51" i="17"/>
  <c r="AC59" i="17"/>
  <c r="AC67" i="17"/>
  <c r="AC77" i="17"/>
  <c r="AC85" i="17"/>
  <c r="AC93" i="17"/>
  <c r="AC103" i="17"/>
  <c r="AC113" i="17"/>
  <c r="AC128" i="17"/>
  <c r="AC136" i="17"/>
  <c r="AC149" i="17"/>
  <c r="AC164" i="17"/>
  <c r="AC172" i="17"/>
  <c r="AC180" i="17"/>
  <c r="AC192" i="17"/>
  <c r="AC206" i="17"/>
  <c r="AC220" i="17"/>
  <c r="AC232" i="17"/>
  <c r="AC240" i="17"/>
  <c r="AC254" i="17"/>
  <c r="AC260" i="17"/>
  <c r="AC275" i="17"/>
  <c r="AC283" i="17"/>
  <c r="AC307" i="17"/>
  <c r="AC318" i="17"/>
  <c r="AC340" i="17"/>
  <c r="AC348" i="17"/>
  <c r="AC359" i="17"/>
  <c r="AC369" i="17"/>
  <c r="AC382" i="17"/>
  <c r="AC390" i="17"/>
  <c r="AC398" i="17"/>
  <c r="AC415" i="17"/>
  <c r="AB16" i="17"/>
  <c r="AB23" i="17"/>
  <c r="AB30" i="17"/>
  <c r="AE30" i="17" s="1"/>
  <c r="AB40" i="17"/>
  <c r="AB48" i="17"/>
  <c r="AB56" i="17"/>
  <c r="AB64" i="17"/>
  <c r="AE64" i="17" s="1"/>
  <c r="AB70" i="17"/>
  <c r="AB78" i="17"/>
  <c r="AB86" i="17"/>
  <c r="AB94" i="17"/>
  <c r="AE94" i="17" s="1"/>
  <c r="AB104" i="17"/>
  <c r="AB110" i="17"/>
  <c r="AB116" i="17"/>
  <c r="AB123" i="17"/>
  <c r="AE123" i="17" s="1"/>
  <c r="AB129" i="17"/>
  <c r="AB137" i="17"/>
  <c r="AB144" i="17"/>
  <c r="AB153" i="17"/>
  <c r="AE153" i="17" s="1"/>
  <c r="AB159" i="17"/>
  <c r="AB165" i="17"/>
  <c r="AB173" i="17"/>
  <c r="AB181" i="17"/>
  <c r="AB187" i="17"/>
  <c r="AB193" i="17"/>
  <c r="AB200" i="17"/>
  <c r="AB211" i="17"/>
  <c r="AB217" i="17"/>
  <c r="AB223" i="17"/>
  <c r="AB229" i="17"/>
  <c r="AB237" i="17"/>
  <c r="AB245" i="17"/>
  <c r="AB251" i="17"/>
  <c r="AB259" i="17"/>
  <c r="AE259" i="17" s="1"/>
  <c r="AB263" i="17"/>
  <c r="AB268" i="17"/>
  <c r="AB272" i="17"/>
  <c r="AB280" i="17"/>
  <c r="AB290" i="17"/>
  <c r="AB296" i="17"/>
  <c r="AB302" i="17"/>
  <c r="AB311" i="17"/>
  <c r="AB319" i="17"/>
  <c r="AB325" i="17"/>
  <c r="AB331" i="17"/>
  <c r="AB335" i="17"/>
  <c r="AB345" i="17"/>
  <c r="AB353" i="17"/>
  <c r="AB360" i="17"/>
  <c r="AB366" i="17"/>
  <c r="AB373" i="17"/>
  <c r="AB379" i="17"/>
  <c r="AB387" i="17"/>
  <c r="AB395" i="17"/>
  <c r="AB401" i="17"/>
  <c r="AB410" i="17"/>
  <c r="AB416" i="17"/>
  <c r="AB17" i="17"/>
  <c r="AB45" i="17"/>
  <c r="AE45" i="17" s="1"/>
  <c r="AB71" i="17"/>
  <c r="AB87" i="17"/>
  <c r="AB115" i="17"/>
  <c r="AB178" i="17"/>
  <c r="AE178" i="17" s="1"/>
  <c r="AB188" i="17"/>
  <c r="AB194" i="17"/>
  <c r="AB212" i="17"/>
  <c r="AB230" i="17"/>
  <c r="AE230" i="17" s="1"/>
  <c r="AB256" i="17"/>
  <c r="AB264" i="17"/>
  <c r="AB285" i="17"/>
  <c r="AB320" i="17"/>
  <c r="AE320" i="17" s="1"/>
  <c r="AB332" i="17"/>
  <c r="AB376" i="17"/>
  <c r="AB20" i="17"/>
  <c r="AB32" i="17"/>
  <c r="AE32" i="17" s="1"/>
  <c r="AB41" i="17"/>
  <c r="AB49" i="17"/>
  <c r="AB57" i="17"/>
  <c r="AB65" i="17"/>
  <c r="AE65" i="17" s="1"/>
  <c r="AB75" i="17"/>
  <c r="AB84" i="17"/>
  <c r="AB91" i="17"/>
  <c r="AB99" i="17"/>
  <c r="AE99" i="17" s="1"/>
  <c r="AB111" i="17"/>
  <c r="AB121" i="17"/>
  <c r="AB130" i="17"/>
  <c r="AB138" i="17"/>
  <c r="AE138" i="17" s="1"/>
  <c r="AB145" i="17"/>
  <c r="AB156" i="17"/>
  <c r="AB166" i="17"/>
  <c r="AB174" i="17"/>
  <c r="AE174" i="17" s="1"/>
  <c r="AB183" i="17"/>
  <c r="AB195" i="17"/>
  <c r="AB202" i="17"/>
  <c r="AB213" i="17"/>
  <c r="AE213" i="17" s="1"/>
  <c r="AB218" i="17"/>
  <c r="AB231" i="17"/>
  <c r="AB238" i="17"/>
  <c r="AB246" i="17"/>
  <c r="AE246" i="17" s="1"/>
  <c r="AB252" i="17"/>
  <c r="AB274" i="17"/>
  <c r="AB281" i="17"/>
  <c r="AB293" i="17"/>
  <c r="AE293" i="17" s="1"/>
  <c r="AB303" i="17"/>
  <c r="AB312" i="17"/>
  <c r="AB321" i="17"/>
  <c r="AB329" i="17"/>
  <c r="AE329" i="17" s="1"/>
  <c r="AB336" i="17"/>
  <c r="AB346" i="17"/>
  <c r="AB354" i="17"/>
  <c r="AB361" i="17"/>
  <c r="AE361" i="17" s="1"/>
  <c r="AB371" i="17"/>
  <c r="AB377" i="17"/>
  <c r="AB384" i="17"/>
  <c r="AB392" i="17"/>
  <c r="AE392" i="17" s="1"/>
  <c r="AB402" i="17"/>
  <c r="AB413" i="17"/>
  <c r="AB38" i="17"/>
  <c r="AB58" i="17"/>
  <c r="AE58" i="17" s="1"/>
  <c r="AB122" i="17"/>
  <c r="AB154" i="17"/>
  <c r="AB198" i="17"/>
  <c r="AB222" i="17"/>
  <c r="AE222" i="17" s="1"/>
  <c r="AB287" i="17"/>
  <c r="AB397" i="17"/>
  <c r="AB146" i="17"/>
  <c r="AB171" i="17"/>
  <c r="AE171" i="17" s="1"/>
  <c r="AB235" i="17"/>
  <c r="AB291" i="17"/>
  <c r="AB337" i="17"/>
  <c r="AB406" i="17"/>
  <c r="AE406" i="17" s="1"/>
  <c r="AB25" i="17"/>
  <c r="AB66" i="17"/>
  <c r="AB216" i="17"/>
  <c r="AB294" i="17"/>
  <c r="AE294" i="17" s="1"/>
  <c r="AB76" i="17"/>
  <c r="AB106" i="17"/>
  <c r="AB127" i="17"/>
  <c r="AB209" i="17"/>
  <c r="AE209" i="17" s="1"/>
  <c r="AB225" i="17"/>
  <c r="AB267" i="17"/>
  <c r="AB313" i="17"/>
  <c r="AB365" i="17"/>
  <c r="AE365" i="17" s="1"/>
  <c r="AB381" i="17"/>
  <c r="AB389" i="17"/>
  <c r="AB271" i="17"/>
  <c r="AB33" i="17"/>
  <c r="AE33" i="17" s="1"/>
  <c r="AB147" i="17"/>
  <c r="AB157" i="17"/>
  <c r="AB282" i="17"/>
  <c r="AB298" i="17"/>
  <c r="AE298" i="17" s="1"/>
  <c r="AB305" i="17"/>
  <c r="AB338" i="17"/>
  <c r="AB358" i="17"/>
  <c r="AB407" i="17"/>
  <c r="AE407" i="17" s="1"/>
  <c r="AB26" i="17"/>
  <c r="AB34" i="17"/>
  <c r="AB80" i="17"/>
  <c r="AB124" i="17"/>
  <c r="AE124" i="17" s="1"/>
  <c r="AB135" i="17"/>
  <c r="AB148" i="17"/>
  <c r="AB247" i="17"/>
  <c r="AB295" i="17"/>
  <c r="AE295" i="17" s="1"/>
  <c r="AB324" i="17"/>
  <c r="AB347" i="17"/>
  <c r="AB408" i="17"/>
  <c r="AB22" i="17"/>
  <c r="AE22" i="17" s="1"/>
  <c r="AB35" i="17"/>
  <c r="AB43" i="17"/>
  <c r="AE43" i="17" s="1"/>
  <c r="AB51" i="17"/>
  <c r="AB59" i="17"/>
  <c r="AE59" i="17" s="1"/>
  <c r="AB67" i="17"/>
  <c r="AE67" i="17" s="1"/>
  <c r="AB77" i="17"/>
  <c r="AB85" i="17"/>
  <c r="AE85" i="17" s="1"/>
  <c r="AB93" i="17"/>
  <c r="AE93" i="17" s="1"/>
  <c r="AB103" i="17"/>
  <c r="AB113" i="17"/>
  <c r="AB128" i="17"/>
  <c r="AE128" i="17" s="1"/>
  <c r="AB136" i="17"/>
  <c r="AE136" i="17" s="1"/>
  <c r="AB149" i="17"/>
  <c r="AB164" i="17"/>
  <c r="AB172" i="17"/>
  <c r="AB180" i="17"/>
  <c r="AE180" i="17" s="1"/>
  <c r="AB192" i="17"/>
  <c r="AE192" i="17" s="1"/>
  <c r="AB206" i="17"/>
  <c r="AB220" i="17"/>
  <c r="AE220" i="17" s="1"/>
  <c r="AB232" i="17"/>
  <c r="AE232" i="17" s="1"/>
  <c r="AB240" i="17"/>
  <c r="AE240" i="17" s="1"/>
  <c r="AB254" i="17"/>
  <c r="AB260" i="17"/>
  <c r="AE260" i="17" s="1"/>
  <c r="AB275" i="17"/>
  <c r="AE275" i="17" s="1"/>
  <c r="AB283" i="17"/>
  <c r="AB307" i="17"/>
  <c r="AB318" i="17"/>
  <c r="AB340" i="17"/>
  <c r="AE340" i="17" s="1"/>
  <c r="AB348" i="17"/>
  <c r="AB359" i="17"/>
  <c r="AB369" i="17"/>
  <c r="AE369" i="17" s="1"/>
  <c r="AB382" i="17"/>
  <c r="AE382" i="17" s="1"/>
  <c r="AB390" i="17"/>
  <c r="AE390" i="17" s="1"/>
  <c r="AB398" i="17"/>
  <c r="AB415" i="17"/>
  <c r="AB19" i="17"/>
  <c r="AE19" i="17" s="1"/>
  <c r="AB28" i="17"/>
  <c r="AE28" i="17" s="1"/>
  <c r="AB36" i="17"/>
  <c r="AE36" i="17" s="1"/>
  <c r="AB44" i="17"/>
  <c r="AE44" i="17" s="1"/>
  <c r="AB52" i="17"/>
  <c r="AE52" i="17" s="1"/>
  <c r="AB60" i="17"/>
  <c r="AE60" i="17" s="1"/>
  <c r="AB68" i="17"/>
  <c r="AE68" i="17" s="1"/>
  <c r="AB74" i="17"/>
  <c r="AE74" i="17" s="1"/>
  <c r="AB82" i="17"/>
  <c r="AE82" i="17" s="1"/>
  <c r="AB90" i="17"/>
  <c r="AE90" i="17" s="1"/>
  <c r="AB97" i="17"/>
  <c r="AE97" i="17" s="1"/>
  <c r="AB108" i="17"/>
  <c r="AE108" i="17" s="1"/>
  <c r="AB114" i="17"/>
  <c r="AE114" i="17" s="1"/>
  <c r="AB120" i="17"/>
  <c r="AE120" i="17" s="1"/>
  <c r="AB125" i="17"/>
  <c r="AE125" i="17" s="1"/>
  <c r="AB133" i="17"/>
  <c r="AE133" i="17" s="1"/>
  <c r="AB140" i="17"/>
  <c r="AE140" i="17" s="1"/>
  <c r="AB150" i="17"/>
  <c r="AE150" i="17" s="1"/>
  <c r="AB155" i="17"/>
  <c r="AE155" i="17" s="1"/>
  <c r="AB161" i="17"/>
  <c r="AE161" i="17" s="1"/>
  <c r="AB169" i="17"/>
  <c r="AE169" i="17" s="1"/>
  <c r="AB177" i="17"/>
  <c r="AE177" i="17" s="1"/>
  <c r="AB185" i="17"/>
  <c r="AE185" i="17" s="1"/>
  <c r="AB189" i="17"/>
  <c r="AE189" i="17" s="1"/>
  <c r="AB196" i="17"/>
  <c r="AE196" i="17" s="1"/>
  <c r="AB207" i="17"/>
  <c r="AE207" i="17" s="1"/>
  <c r="AB214" i="17"/>
  <c r="AE214" i="17" s="1"/>
  <c r="AB221" i="17"/>
  <c r="AE221" i="17" s="1"/>
  <c r="AB227" i="17"/>
  <c r="AE227" i="17" s="1"/>
  <c r="AB233" i="17"/>
  <c r="AE233" i="17" s="1"/>
  <c r="AB241" i="17"/>
  <c r="AE241" i="17" s="1"/>
  <c r="AB248" i="17"/>
  <c r="AE248" i="17" s="1"/>
  <c r="AB255" i="17"/>
  <c r="AE255" i="17" s="1"/>
  <c r="AB261" i="17"/>
  <c r="AE261" i="17" s="1"/>
  <c r="AB266" i="17"/>
  <c r="AE266" i="17" s="1"/>
  <c r="AB270" i="17"/>
  <c r="AE270" i="17" s="1"/>
  <c r="AB276" i="17"/>
  <c r="AE276" i="17" s="1"/>
  <c r="AB284" i="17"/>
  <c r="AE284" i="17" s="1"/>
  <c r="AB292" i="17"/>
  <c r="AE292" i="17" s="1"/>
  <c r="AB300" i="17"/>
  <c r="AE300" i="17" s="1"/>
  <c r="AB308" i="17"/>
  <c r="AE308" i="17" s="1"/>
  <c r="AB315" i="17"/>
  <c r="AE315" i="17" s="1"/>
  <c r="AB322" i="17"/>
  <c r="AE322" i="17" s="1"/>
  <c r="AB327" i="17"/>
  <c r="AE327" i="17" s="1"/>
  <c r="AB333" i="17"/>
  <c r="AE333" i="17" s="1"/>
  <c r="AB341" i="17"/>
  <c r="AE341" i="17" s="1"/>
  <c r="AB349" i="17"/>
  <c r="AE349" i="17" s="1"/>
  <c r="AB356" i="17"/>
  <c r="AE356" i="17" s="1"/>
  <c r="AB364" i="17"/>
  <c r="AE364" i="17" s="1"/>
  <c r="AB370" i="17"/>
  <c r="AE370" i="17" s="1"/>
  <c r="AB375" i="17"/>
  <c r="AE375" i="17" s="1"/>
  <c r="AB383" i="17"/>
  <c r="AE383" i="17" s="1"/>
  <c r="AB391" i="17"/>
  <c r="AE391" i="17" s="1"/>
  <c r="AB399" i="17"/>
  <c r="AE399" i="17" s="1"/>
  <c r="AB404" i="17"/>
  <c r="AE404" i="17" s="1"/>
  <c r="AB412" i="17"/>
  <c r="AE412" i="17" s="1"/>
  <c r="AB31" i="17"/>
  <c r="AE31" i="17" s="1"/>
  <c r="AB53" i="17"/>
  <c r="AE53" i="17" s="1"/>
  <c r="AB83" i="17"/>
  <c r="AE83" i="17" s="1"/>
  <c r="AB98" i="17"/>
  <c r="AE98" i="17" s="1"/>
  <c r="AB162" i="17"/>
  <c r="AE162" i="17" s="1"/>
  <c r="AB182" i="17"/>
  <c r="AE182" i="17" s="1"/>
  <c r="AB190" i="17"/>
  <c r="AE190" i="17" s="1"/>
  <c r="AB201" i="17"/>
  <c r="AE201" i="17" s="1"/>
  <c r="AB228" i="17"/>
  <c r="AE228" i="17" s="1"/>
  <c r="AB242" i="17"/>
  <c r="AE242" i="17" s="1"/>
  <c r="AB262" i="17"/>
  <c r="AE262" i="17" s="1"/>
  <c r="AB273" i="17"/>
  <c r="AE273" i="17" s="1"/>
  <c r="AB309" i="17"/>
  <c r="AE309" i="17" s="1"/>
  <c r="AB328" i="17"/>
  <c r="AE328" i="17" s="1"/>
  <c r="AB350" i="17"/>
  <c r="AE350" i="17" s="1"/>
  <c r="AB18" i="17"/>
  <c r="AE18" i="17" s="1"/>
  <c r="AB24" i="17"/>
  <c r="AE24" i="17" s="1"/>
  <c r="AB37" i="17"/>
  <c r="AE37" i="17" s="1"/>
  <c r="AB46" i="17"/>
  <c r="AE46" i="17" s="1"/>
  <c r="AB54" i="17"/>
  <c r="AE54" i="17" s="1"/>
  <c r="AB61" i="17"/>
  <c r="AE61" i="17" s="1"/>
  <c r="AB72" i="17"/>
  <c r="AE72" i="17" s="1"/>
  <c r="AB79" i="17"/>
  <c r="AE79" i="17" s="1"/>
  <c r="AB88" i="17"/>
  <c r="AE88" i="17" s="1"/>
  <c r="AB95" i="17"/>
  <c r="AE95" i="17" s="1"/>
  <c r="AB105" i="17"/>
  <c r="AE105" i="17" s="1"/>
  <c r="AB117" i="17"/>
  <c r="AE117" i="17" s="1"/>
  <c r="AB126" i="17"/>
  <c r="AE126" i="17" s="1"/>
  <c r="AB134" i="17"/>
  <c r="AE134" i="17" s="1"/>
  <c r="AB141" i="17"/>
  <c r="AE141" i="17" s="1"/>
  <c r="AB151" i="17"/>
  <c r="AE151" i="17" s="1"/>
  <c r="AB163" i="17"/>
  <c r="AE163" i="17" s="1"/>
  <c r="AB170" i="17"/>
  <c r="AE170" i="17" s="1"/>
  <c r="AB179" i="17"/>
  <c r="AE179" i="17" s="1"/>
  <c r="AB191" i="17"/>
  <c r="AE191" i="17" s="1"/>
  <c r="AB197" i="17"/>
  <c r="AE197" i="17" s="1"/>
  <c r="AB208" i="17"/>
  <c r="AE208" i="17" s="1"/>
  <c r="AB215" i="17"/>
  <c r="AE215" i="17" s="1"/>
  <c r="AB224" i="17"/>
  <c r="AE224" i="17" s="1"/>
  <c r="AB234" i="17"/>
  <c r="AE234" i="17" s="1"/>
  <c r="AB243" i="17"/>
  <c r="AE243" i="17" s="1"/>
  <c r="AB249" i="17"/>
  <c r="AE249" i="17" s="1"/>
  <c r="AB257" i="17"/>
  <c r="AE257" i="17" s="1"/>
  <c r="AB277" i="17"/>
  <c r="AE277" i="17" s="1"/>
  <c r="AB286" i="17"/>
  <c r="AE286" i="17" s="1"/>
  <c r="AB297" i="17"/>
  <c r="AE297" i="17" s="1"/>
  <c r="AB310" i="17"/>
  <c r="AE310" i="17" s="1"/>
  <c r="AB316" i="17"/>
  <c r="AE316" i="17" s="1"/>
  <c r="AB323" i="17"/>
  <c r="AE323" i="17" s="1"/>
  <c r="AB334" i="17"/>
  <c r="AE334" i="17" s="1"/>
  <c r="AB342" i="17"/>
  <c r="AE342" i="17" s="1"/>
  <c r="AB351" i="17"/>
  <c r="AE351" i="17" s="1"/>
  <c r="AB357" i="17"/>
  <c r="AE357" i="17" s="1"/>
  <c r="AB367" i="17"/>
  <c r="AE367" i="17" s="1"/>
  <c r="AB374" i="17"/>
  <c r="AE374" i="17" s="1"/>
  <c r="AB380" i="17"/>
  <c r="AE380" i="17" s="1"/>
  <c r="AB388" i="17"/>
  <c r="AE388" i="17" s="1"/>
  <c r="AB396" i="17"/>
  <c r="AE396" i="17" s="1"/>
  <c r="AB405" i="17"/>
  <c r="AE405" i="17" s="1"/>
  <c r="AB42" i="17"/>
  <c r="AE42" i="17" s="1"/>
  <c r="AB100" i="17"/>
  <c r="AE100" i="17" s="1"/>
  <c r="AB142" i="17"/>
  <c r="AE142" i="17" s="1"/>
  <c r="AB160" i="17"/>
  <c r="AE160" i="17" s="1"/>
  <c r="AB203" i="17"/>
  <c r="AE203" i="17" s="1"/>
  <c r="AB239" i="17"/>
  <c r="AE239" i="17" s="1"/>
  <c r="AB317" i="17"/>
  <c r="AE317" i="17" s="1"/>
  <c r="AB400" i="17"/>
  <c r="AE400" i="17" s="1"/>
  <c r="AB112" i="17"/>
  <c r="AE112" i="17" s="1"/>
  <c r="AB167" i="17"/>
  <c r="AE167" i="17" s="1"/>
  <c r="AB186" i="17"/>
  <c r="AE186" i="17" s="1"/>
  <c r="AB278" i="17"/>
  <c r="AE278" i="17" s="1"/>
  <c r="AB304" i="17"/>
  <c r="AE304" i="17" s="1"/>
  <c r="AB362" i="17"/>
  <c r="AE362" i="17" s="1"/>
  <c r="AB411" i="17"/>
  <c r="AE411" i="17" s="1"/>
  <c r="AB50" i="17"/>
  <c r="AE50" i="17" s="1"/>
  <c r="AB69" i="17"/>
  <c r="AE69" i="17" s="1"/>
  <c r="AB253" i="17"/>
  <c r="AE253" i="17" s="1"/>
  <c r="AB403" i="17"/>
  <c r="AE403" i="17" s="1"/>
  <c r="AB101" i="17"/>
  <c r="AE101" i="17" s="1"/>
  <c r="AB118" i="17"/>
  <c r="AE118" i="17" s="1"/>
  <c r="AB175" i="17"/>
  <c r="AE175" i="17" s="1"/>
  <c r="AB219" i="17"/>
  <c r="AE219" i="17" s="1"/>
  <c r="AB250" i="17"/>
  <c r="AE250" i="17" s="1"/>
  <c r="AB288" i="17"/>
  <c r="AE288" i="17" s="1"/>
  <c r="AB343" i="17"/>
  <c r="AE343" i="17" s="1"/>
  <c r="AB372" i="17"/>
  <c r="AE372" i="17" s="1"/>
  <c r="AB385" i="17"/>
  <c r="AE385" i="17" s="1"/>
  <c r="AB92" i="17"/>
  <c r="AE92" i="17" s="1"/>
  <c r="AB21" i="17"/>
  <c r="AE21" i="17" s="1"/>
  <c r="AB102" i="17"/>
  <c r="AE102" i="17" s="1"/>
  <c r="AB152" i="17"/>
  <c r="AE152" i="17" s="1"/>
  <c r="AB204" i="17"/>
  <c r="AE204" i="17" s="1"/>
  <c r="AB289" i="17"/>
  <c r="AE289" i="17" s="1"/>
  <c r="AB301" i="17"/>
  <c r="AE301" i="17" s="1"/>
  <c r="AB326" i="17"/>
  <c r="AE326" i="17" s="1"/>
  <c r="AB355" i="17"/>
  <c r="AE355" i="17" s="1"/>
  <c r="AB368" i="17"/>
  <c r="AE368" i="17" s="1"/>
  <c r="AB414" i="17"/>
  <c r="AE414" i="17" s="1"/>
  <c r="AB29" i="17"/>
  <c r="AE29" i="17" s="1"/>
  <c r="AB62" i="17"/>
  <c r="AE62" i="17" s="1"/>
  <c r="AB109" i="17"/>
  <c r="AE109" i="17" s="1"/>
  <c r="AB131" i="17"/>
  <c r="AE131" i="17" s="1"/>
  <c r="AB139" i="17"/>
  <c r="AE139" i="17" s="1"/>
  <c r="AB205" i="17"/>
  <c r="AE205" i="17" s="1"/>
  <c r="AB269" i="17"/>
  <c r="AE269" i="17" s="1"/>
  <c r="AB306" i="17"/>
  <c r="AE306" i="17" s="1"/>
  <c r="AB339" i="17"/>
  <c r="AE339" i="17" s="1"/>
  <c r="AB393" i="17"/>
  <c r="AE393" i="17" s="1"/>
  <c r="AB417" i="17"/>
  <c r="AE417" i="17" s="1"/>
  <c r="AB27" i="17"/>
  <c r="AE27" i="17" s="1"/>
  <c r="AB39" i="17"/>
  <c r="AE39" i="17" s="1"/>
  <c r="AB47" i="17"/>
  <c r="AE47" i="17" s="1"/>
  <c r="AB55" i="17"/>
  <c r="AE55" i="17" s="1"/>
  <c r="AB63" i="17"/>
  <c r="AE63" i="17" s="1"/>
  <c r="AB73" i="17"/>
  <c r="AE73" i="17" s="1"/>
  <c r="AB81" i="17"/>
  <c r="AE81" i="17" s="1"/>
  <c r="AB89" i="17"/>
  <c r="AE89" i="17" s="1"/>
  <c r="AB96" i="17"/>
  <c r="AE96" i="17" s="1"/>
  <c r="AB107" i="17"/>
  <c r="AE107" i="17" s="1"/>
  <c r="AB119" i="17"/>
  <c r="AE119" i="17" s="1"/>
  <c r="AB132" i="17"/>
  <c r="AE132" i="17" s="1"/>
  <c r="AB143" i="17"/>
  <c r="AE143" i="17" s="1"/>
  <c r="AB158" i="17"/>
  <c r="AE158" i="17" s="1"/>
  <c r="AB168" i="17"/>
  <c r="AE168" i="17" s="1"/>
  <c r="AB176" i="17"/>
  <c r="AE176" i="17" s="1"/>
  <c r="AB184" i="17"/>
  <c r="AE184" i="17" s="1"/>
  <c r="AB199" i="17"/>
  <c r="AE199" i="17" s="1"/>
  <c r="AB210" i="17"/>
  <c r="AE210" i="17" s="1"/>
  <c r="AB226" i="17"/>
  <c r="AE226" i="17" s="1"/>
  <c r="AB236" i="17"/>
  <c r="AE236" i="17" s="1"/>
  <c r="AB244" i="17"/>
  <c r="AE244" i="17" s="1"/>
  <c r="AB258" i="17"/>
  <c r="AE258" i="17" s="1"/>
  <c r="AB265" i="17"/>
  <c r="AE265" i="17" s="1"/>
  <c r="AB279" i="17"/>
  <c r="AE279" i="17" s="1"/>
  <c r="AB299" i="17"/>
  <c r="AE299" i="17" s="1"/>
  <c r="AB314" i="17"/>
  <c r="AE314" i="17" s="1"/>
  <c r="AB330" i="17"/>
  <c r="AE330" i="17" s="1"/>
  <c r="AB344" i="17"/>
  <c r="AE344" i="17" s="1"/>
  <c r="AB352" i="17"/>
  <c r="AE352" i="17" s="1"/>
  <c r="AB363" i="17"/>
  <c r="AE363" i="17" s="1"/>
  <c r="AB378" i="17"/>
  <c r="AE378" i="17" s="1"/>
  <c r="AB386" i="17"/>
  <c r="AE386" i="17" s="1"/>
  <c r="AB394" i="17"/>
  <c r="AE394" i="17" s="1"/>
  <c r="AB409" i="17"/>
  <c r="AE409" i="17" s="1"/>
  <c r="AC17" i="21"/>
  <c r="AC19" i="21"/>
  <c r="AF19" i="21" s="1"/>
  <c r="AC21" i="21"/>
  <c r="AC23" i="21"/>
  <c r="AF23" i="21" s="1"/>
  <c r="AC25" i="21"/>
  <c r="AF25" i="21" s="1"/>
  <c r="AC27" i="21"/>
  <c r="AF27" i="21" s="1"/>
  <c r="AC29" i="21"/>
  <c r="AF29" i="21" s="1"/>
  <c r="AC31" i="21"/>
  <c r="AF31" i="21" s="1"/>
  <c r="AC33" i="21"/>
  <c r="AC35" i="21"/>
  <c r="AF35" i="21" s="1"/>
  <c r="AC37" i="21"/>
  <c r="AC39" i="21"/>
  <c r="AF39" i="21" s="1"/>
  <c r="AC41" i="21"/>
  <c r="AC43" i="21"/>
  <c r="AF43" i="21" s="1"/>
  <c r="AC45" i="21"/>
  <c r="AC47" i="21"/>
  <c r="AF47" i="21" s="1"/>
  <c r="AC49" i="21"/>
  <c r="AC51" i="21"/>
  <c r="AF51" i="21" s="1"/>
  <c r="AC53" i="21"/>
  <c r="AC55" i="21"/>
  <c r="AF55" i="21" s="1"/>
  <c r="AC57" i="21"/>
  <c r="AC59" i="21"/>
  <c r="AF59" i="21" s="1"/>
  <c r="AC61" i="21"/>
  <c r="AC63" i="21"/>
  <c r="AF63" i="21" s="1"/>
  <c r="AC65" i="21"/>
  <c r="AC67" i="21"/>
  <c r="AF67" i="21" s="1"/>
  <c r="AC69" i="21"/>
  <c r="AC71" i="21"/>
  <c r="AF71" i="21" s="1"/>
  <c r="AC73" i="21"/>
  <c r="AC75" i="21"/>
  <c r="AF75" i="21" s="1"/>
  <c r="AC77" i="21"/>
  <c r="AC79" i="21"/>
  <c r="AF79" i="21" s="1"/>
  <c r="AC81" i="21"/>
  <c r="AC83" i="21"/>
  <c r="AF83" i="21" s="1"/>
  <c r="AC85" i="21"/>
  <c r="AC87" i="21"/>
  <c r="AF87" i="21" s="1"/>
  <c r="AC89" i="21"/>
  <c r="AC91" i="21"/>
  <c r="AF91" i="21" s="1"/>
  <c r="AC93" i="21"/>
  <c r="AF93" i="21" s="1"/>
  <c r="AC95" i="21"/>
  <c r="AF95" i="21" s="1"/>
  <c r="AC97" i="21"/>
  <c r="AF97" i="21" s="1"/>
  <c r="AC99" i="21"/>
  <c r="AF99" i="21" s="1"/>
  <c r="AC101" i="21"/>
  <c r="AF101" i="21" s="1"/>
  <c r="AC103" i="21"/>
  <c r="AF103" i="21" s="1"/>
  <c r="AC105" i="21"/>
  <c r="AC107" i="21"/>
  <c r="AF107" i="21" s="1"/>
  <c r="AC109" i="21"/>
  <c r="AC111" i="21"/>
  <c r="AF111" i="21" s="1"/>
  <c r="AC113" i="21"/>
  <c r="AC115" i="21"/>
  <c r="AF115" i="21" s="1"/>
  <c r="AC117" i="21"/>
  <c r="AC119" i="21"/>
  <c r="AF119" i="21" s="1"/>
  <c r="AC121" i="21"/>
  <c r="AC123" i="21"/>
  <c r="AF123" i="21" s="1"/>
  <c r="AC125" i="21"/>
  <c r="AC127" i="21"/>
  <c r="AF127" i="21" s="1"/>
  <c r="AC129" i="21"/>
  <c r="AF129" i="21" s="1"/>
  <c r="AC131" i="21"/>
  <c r="AF131" i="21" s="1"/>
  <c r="AC133" i="21"/>
  <c r="AC135" i="21"/>
  <c r="AF135" i="21" s="1"/>
  <c r="AC137" i="21"/>
  <c r="AC139" i="21"/>
  <c r="AF139" i="21" s="1"/>
  <c r="AC141" i="21"/>
  <c r="AF141" i="21" s="1"/>
  <c r="AC143" i="21"/>
  <c r="AF143" i="21" s="1"/>
  <c r="AC145" i="21"/>
  <c r="AF145" i="21" s="1"/>
  <c r="AC147" i="21"/>
  <c r="AF147" i="21" s="1"/>
  <c r="AC149" i="21"/>
  <c r="AF149" i="21" s="1"/>
  <c r="AC151" i="21"/>
  <c r="AF151" i="21" s="1"/>
  <c r="AC153" i="21"/>
  <c r="AC155" i="21"/>
  <c r="AF155" i="21" s="1"/>
  <c r="AC157" i="21"/>
  <c r="AC159" i="21"/>
  <c r="AF159" i="21" s="1"/>
  <c r="AC161" i="21"/>
  <c r="AC163" i="21"/>
  <c r="AF163" i="21" s="1"/>
  <c r="AC165" i="21"/>
  <c r="AC167" i="21"/>
  <c r="AF167" i="21" s="1"/>
  <c r="AC169" i="21"/>
  <c r="AC171" i="21"/>
  <c r="AF171" i="21" s="1"/>
  <c r="AC173" i="21"/>
  <c r="AC175" i="21"/>
  <c r="AF175" i="21" s="1"/>
  <c r="AC177" i="21"/>
  <c r="AC179" i="21"/>
  <c r="AF179" i="21" s="1"/>
  <c r="AC181" i="21"/>
  <c r="AF181" i="21" s="1"/>
  <c r="AC183" i="21"/>
  <c r="AF183" i="21" s="1"/>
  <c r="AC185" i="21"/>
  <c r="AC187" i="21"/>
  <c r="AF187" i="21" s="1"/>
  <c r="AC189" i="21"/>
  <c r="AC191" i="21"/>
  <c r="AF191" i="21" s="1"/>
  <c r="AC193" i="21"/>
  <c r="AC195" i="21"/>
  <c r="AF195" i="21" s="1"/>
  <c r="AC197" i="21"/>
  <c r="AC199" i="21"/>
  <c r="AF199" i="21" s="1"/>
  <c r="AC201" i="21"/>
  <c r="AC203" i="21"/>
  <c r="AF203" i="21" s="1"/>
  <c r="AC205" i="21"/>
  <c r="AF205" i="21" s="1"/>
  <c r="AC207" i="21"/>
  <c r="AF207" i="21" s="1"/>
  <c r="AC209" i="21"/>
  <c r="AC211" i="21"/>
  <c r="AF211" i="21" s="1"/>
  <c r="AC213" i="21"/>
  <c r="AC215" i="21"/>
  <c r="AF215" i="21" s="1"/>
  <c r="AC217" i="21"/>
  <c r="AF217" i="21" s="1"/>
  <c r="AC219" i="21"/>
  <c r="AF219" i="21" s="1"/>
  <c r="AC221" i="21"/>
  <c r="AC223" i="21"/>
  <c r="AF223" i="21" s="1"/>
  <c r="AC225" i="21"/>
  <c r="AC227" i="21"/>
  <c r="AF227" i="21" s="1"/>
  <c r="AC229" i="21"/>
  <c r="AC231" i="21"/>
  <c r="AF231" i="21" s="1"/>
  <c r="AC233" i="21"/>
  <c r="AC235" i="21"/>
  <c r="AF235" i="21" s="1"/>
  <c r="AC237" i="21"/>
  <c r="AC239" i="21"/>
  <c r="AF239" i="21" s="1"/>
  <c r="AC241" i="21"/>
  <c r="AC243" i="21"/>
  <c r="AF243" i="21" s="1"/>
  <c r="AC245" i="21"/>
  <c r="AC247" i="21"/>
  <c r="AF247" i="21" s="1"/>
  <c r="AC249" i="21"/>
  <c r="AC251" i="21"/>
  <c r="AF251" i="21" s="1"/>
  <c r="AC253" i="21"/>
  <c r="AC255" i="21"/>
  <c r="AF255" i="21" s="1"/>
  <c r="AC257" i="21"/>
  <c r="AC259" i="21"/>
  <c r="AF259" i="21" s="1"/>
  <c r="AC261" i="21"/>
  <c r="AC263" i="21"/>
  <c r="AF263" i="21" s="1"/>
  <c r="AC265" i="21"/>
  <c r="AC267" i="21"/>
  <c r="AF267" i="21" s="1"/>
  <c r="AC269" i="21"/>
  <c r="AC271" i="21"/>
  <c r="AF271" i="21" s="1"/>
  <c r="AC273" i="21"/>
  <c r="AC275" i="21"/>
  <c r="AF275" i="21" s="1"/>
  <c r="AC277" i="21"/>
  <c r="AC279" i="21"/>
  <c r="AF279" i="21" s="1"/>
  <c r="AC281" i="21"/>
  <c r="AC283" i="21"/>
  <c r="AF283" i="21" s="1"/>
  <c r="AC285" i="21"/>
  <c r="AC287" i="21"/>
  <c r="AF287" i="21" s="1"/>
  <c r="AC289" i="21"/>
  <c r="AC291" i="21"/>
  <c r="AF291" i="21" s="1"/>
  <c r="AC293" i="21"/>
  <c r="AC295" i="21"/>
  <c r="AF295" i="21" s="1"/>
  <c r="AC297" i="21"/>
  <c r="AF297" i="21" s="1"/>
  <c r="AC299" i="21"/>
  <c r="AF299" i="21" s="1"/>
  <c r="AC301" i="21"/>
  <c r="AC303" i="21"/>
  <c r="AF303" i="21" s="1"/>
  <c r="AC305" i="21"/>
  <c r="AC307" i="21"/>
  <c r="AF307" i="21" s="1"/>
  <c r="AC309" i="21"/>
  <c r="AC311" i="21"/>
  <c r="AF311" i="21" s="1"/>
  <c r="AC313" i="21"/>
  <c r="AF313" i="21" s="1"/>
  <c r="AC315" i="21"/>
  <c r="AF315" i="21" s="1"/>
  <c r="AC317" i="21"/>
  <c r="AC319" i="21"/>
  <c r="AF319" i="21" s="1"/>
  <c r="AC321" i="21"/>
  <c r="AC323" i="21"/>
  <c r="AF323" i="21" s="1"/>
  <c r="AC325" i="21"/>
  <c r="AF325" i="21" s="1"/>
  <c r="AC327" i="21"/>
  <c r="AF327" i="21" s="1"/>
  <c r="AC329" i="21"/>
  <c r="AC331" i="21"/>
  <c r="AF331" i="21" s="1"/>
  <c r="AC333" i="21"/>
  <c r="AF333" i="21" s="1"/>
  <c r="AC335" i="21"/>
  <c r="AF335" i="21" s="1"/>
  <c r="AC337" i="21"/>
  <c r="AC339" i="21"/>
  <c r="AF339" i="21" s="1"/>
  <c r="AC341" i="21"/>
  <c r="AC343" i="21"/>
  <c r="AF343" i="21" s="1"/>
  <c r="AC345" i="21"/>
  <c r="AC347" i="21"/>
  <c r="AF347" i="21" s="1"/>
  <c r="AC349" i="21"/>
  <c r="AC351" i="21"/>
  <c r="AF351" i="21" s="1"/>
  <c r="AC353" i="21"/>
  <c r="AC355" i="21"/>
  <c r="AF355" i="21" s="1"/>
  <c r="AC357" i="21"/>
  <c r="AC359" i="21"/>
  <c r="AF359" i="21" s="1"/>
  <c r="AC361" i="21"/>
  <c r="AC363" i="21"/>
  <c r="AF363" i="21" s="1"/>
  <c r="AC365" i="21"/>
  <c r="AC367" i="21"/>
  <c r="AF367" i="21" s="1"/>
  <c r="AC369" i="21"/>
  <c r="AC371" i="21"/>
  <c r="AF371" i="21" s="1"/>
  <c r="AC373" i="21"/>
  <c r="AC375" i="21"/>
  <c r="AF375" i="21" s="1"/>
  <c r="AC377" i="21"/>
  <c r="AC379" i="21"/>
  <c r="AF379" i="21" s="1"/>
  <c r="AC381" i="21"/>
  <c r="AC383" i="21"/>
  <c r="AF383" i="21" s="1"/>
  <c r="AC385" i="21"/>
  <c r="AC387" i="21"/>
  <c r="AF387" i="21" s="1"/>
  <c r="AC389" i="21"/>
  <c r="AC391" i="21"/>
  <c r="AF391" i="21" s="1"/>
  <c r="AC393" i="21"/>
  <c r="AC395" i="21"/>
  <c r="AF395" i="21" s="1"/>
  <c r="AC397" i="21"/>
  <c r="AF397" i="21" s="1"/>
  <c r="AC399" i="21"/>
  <c r="AF399" i="21" s="1"/>
  <c r="AC401" i="21"/>
  <c r="AC403" i="21"/>
  <c r="AF403" i="21" s="1"/>
  <c r="AC405" i="21"/>
  <c r="AC407" i="21"/>
  <c r="AF407" i="21" s="1"/>
  <c r="AC409" i="21"/>
  <c r="AC411" i="21"/>
  <c r="AF411" i="21" s="1"/>
  <c r="AC413" i="21"/>
  <c r="AC415" i="21"/>
  <c r="AF415" i="21" s="1"/>
  <c r="AC417" i="21"/>
  <c r="AC419" i="21"/>
  <c r="AF419" i="21" s="1"/>
  <c r="AC421" i="21"/>
  <c r="AC423" i="21"/>
  <c r="AF423" i="21" s="1"/>
  <c r="AC425" i="21"/>
  <c r="AC427" i="21"/>
  <c r="AF427" i="21" s="1"/>
  <c r="AC429" i="21"/>
  <c r="AC431" i="21"/>
  <c r="AF431" i="21" s="1"/>
  <c r="AC433" i="21"/>
  <c r="AC435" i="21"/>
  <c r="AF435" i="21" s="1"/>
  <c r="AC437" i="21"/>
  <c r="AC439" i="21"/>
  <c r="AF439" i="21" s="1"/>
  <c r="AC441" i="21"/>
  <c r="AC443" i="21"/>
  <c r="AF443" i="21" s="1"/>
  <c r="AC445" i="21"/>
  <c r="AC447" i="21"/>
  <c r="AF447" i="21" s="1"/>
  <c r="AC449" i="21"/>
  <c r="AC451" i="21"/>
  <c r="AF451" i="21" s="1"/>
  <c r="AC453" i="21"/>
  <c r="AC455" i="21"/>
  <c r="AF455" i="21" s="1"/>
  <c r="AC457" i="21"/>
  <c r="AC459" i="21"/>
  <c r="AF459" i="21" s="1"/>
  <c r="AC461" i="21"/>
  <c r="AC463" i="21"/>
  <c r="AF463" i="21" s="1"/>
  <c r="AC465" i="21"/>
  <c r="AC467" i="21"/>
  <c r="AF467" i="21" s="1"/>
  <c r="AC469" i="21"/>
  <c r="AC471" i="21"/>
  <c r="AF471" i="21" s="1"/>
  <c r="AC473" i="21"/>
  <c r="AF473" i="21" s="1"/>
  <c r="AC475" i="21"/>
  <c r="AF475" i="21" s="1"/>
  <c r="AC477" i="21"/>
  <c r="AF477" i="21" s="1"/>
  <c r="AC479" i="21"/>
  <c r="AF479" i="21" s="1"/>
  <c r="AC481" i="21"/>
  <c r="AC483" i="21"/>
  <c r="AF483" i="21" s="1"/>
  <c r="AC485" i="21"/>
  <c r="AC487" i="21"/>
  <c r="AF487" i="21" s="1"/>
  <c r="AC489" i="21"/>
  <c r="AC491" i="21"/>
  <c r="AF491" i="21" s="1"/>
  <c r="AC493" i="21"/>
  <c r="AC495" i="21"/>
  <c r="AF495" i="21" s="1"/>
  <c r="AC497" i="21"/>
  <c r="AC499" i="21"/>
  <c r="AF499" i="21" s="1"/>
  <c r="AC501" i="21"/>
  <c r="AC503" i="21"/>
  <c r="AF503" i="21" s="1"/>
  <c r="AC505" i="21"/>
  <c r="AC507" i="21"/>
  <c r="AF507" i="21" s="1"/>
  <c r="AC509" i="21"/>
  <c r="AC511" i="21"/>
  <c r="AF511" i="21" s="1"/>
  <c r="AC513" i="21"/>
  <c r="AF513" i="21" s="1"/>
  <c r="AC515" i="21"/>
  <c r="AF515" i="21" s="1"/>
  <c r="AC517" i="21"/>
  <c r="AC519" i="21"/>
  <c r="AF519" i="21" s="1"/>
  <c r="AC521" i="21"/>
  <c r="AC523" i="21"/>
  <c r="AF523" i="21" s="1"/>
  <c r="AC525" i="21"/>
  <c r="AC527" i="21"/>
  <c r="AF527" i="21" s="1"/>
  <c r="AC529" i="21"/>
  <c r="AC531" i="21"/>
  <c r="AF531" i="21" s="1"/>
  <c r="AC533" i="21"/>
  <c r="AC535" i="21"/>
  <c r="AF535" i="21" s="1"/>
  <c r="AC537" i="21"/>
  <c r="AC539" i="21"/>
  <c r="AF539" i="21" s="1"/>
  <c r="AC541" i="21"/>
  <c r="AC543" i="21"/>
  <c r="AF543" i="21" s="1"/>
  <c r="AC545" i="21"/>
  <c r="AF545" i="21" s="1"/>
  <c r="AC547" i="21"/>
  <c r="AF547" i="21" s="1"/>
  <c r="AC549" i="21"/>
  <c r="AC551" i="21"/>
  <c r="AF551" i="21" s="1"/>
  <c r="AC553" i="21"/>
  <c r="AC555" i="21"/>
  <c r="AF555" i="21" s="1"/>
  <c r="AC557" i="21"/>
  <c r="AC559" i="21"/>
  <c r="AF559" i="21" s="1"/>
  <c r="AC561" i="21"/>
  <c r="AC563" i="21"/>
  <c r="AF563" i="21" s="1"/>
  <c r="AC565" i="21"/>
  <c r="AC567" i="21"/>
  <c r="AF567" i="21" s="1"/>
  <c r="AC569" i="21"/>
  <c r="AC571" i="21"/>
  <c r="AF571" i="21" s="1"/>
  <c r="AC573" i="21"/>
  <c r="AC575" i="21"/>
  <c r="AF575" i="21" s="1"/>
  <c r="AC577" i="21"/>
  <c r="AC579" i="21"/>
  <c r="AF579" i="21" s="1"/>
  <c r="AC581" i="21"/>
  <c r="AC583" i="21"/>
  <c r="AF583" i="21" s="1"/>
  <c r="AC585" i="21"/>
  <c r="AC587" i="21"/>
  <c r="AF587" i="21" s="1"/>
  <c r="AC589" i="21"/>
  <c r="AC591" i="21"/>
  <c r="AF591" i="21" s="1"/>
  <c r="AC593" i="21"/>
  <c r="AF593" i="21" s="1"/>
  <c r="AC595" i="21"/>
  <c r="AF595" i="21" s="1"/>
  <c r="AC597" i="21"/>
  <c r="AC599" i="21"/>
  <c r="AF599" i="21" s="1"/>
  <c r="AC601" i="21"/>
  <c r="AF601" i="21" s="1"/>
  <c r="AC603" i="21"/>
  <c r="AF603" i="21" s="1"/>
  <c r="AC605" i="21"/>
  <c r="AC607" i="21"/>
  <c r="AF607" i="21" s="1"/>
  <c r="AC609" i="21"/>
  <c r="AF609" i="21" s="1"/>
  <c r="AC611" i="21"/>
  <c r="AF611" i="21" s="1"/>
  <c r="AC613" i="21"/>
  <c r="AC615" i="21"/>
  <c r="AF615" i="21" s="1"/>
  <c r="AC617" i="21"/>
  <c r="AF617" i="21" s="1"/>
  <c r="AC619" i="21"/>
  <c r="AF619" i="21" s="1"/>
  <c r="AC621" i="21"/>
  <c r="AC623" i="21"/>
  <c r="AF623" i="21" s="1"/>
  <c r="AC625" i="21"/>
  <c r="AF625" i="21" s="1"/>
  <c r="AC627" i="21"/>
  <c r="AF627" i="21" s="1"/>
  <c r="AC629" i="21"/>
  <c r="AC631" i="21"/>
  <c r="AF631" i="21" s="1"/>
  <c r="AC633" i="21"/>
  <c r="AF633" i="21" s="1"/>
  <c r="AC635" i="21"/>
  <c r="AF635" i="21" s="1"/>
  <c r="AC637" i="21"/>
  <c r="AC639" i="21"/>
  <c r="AF639" i="21" s="1"/>
  <c r="AC641" i="21"/>
  <c r="AF641" i="21" s="1"/>
  <c r="AC643" i="21"/>
  <c r="AF643" i="21" s="1"/>
  <c r="AC645" i="21"/>
  <c r="AC647" i="21"/>
  <c r="AF647" i="21" s="1"/>
  <c r="AC649" i="21"/>
  <c r="AF649" i="21" s="1"/>
  <c r="AC651" i="21"/>
  <c r="AF651" i="21" s="1"/>
  <c r="AC653" i="21"/>
  <c r="AF653" i="21" s="1"/>
  <c r="AC655" i="21"/>
  <c r="AF655" i="21" s="1"/>
  <c r="AC657" i="21"/>
  <c r="AF657" i="21" s="1"/>
  <c r="AC659" i="21"/>
  <c r="AF659" i="21" s="1"/>
  <c r="AC661" i="21"/>
  <c r="AC663" i="21"/>
  <c r="AF663" i="21" s="1"/>
  <c r="AC665" i="21"/>
  <c r="AF665" i="21" s="1"/>
  <c r="AC667" i="21"/>
  <c r="AF667" i="21" s="1"/>
  <c r="AC669" i="21"/>
  <c r="AC671" i="21"/>
  <c r="AF671" i="21" s="1"/>
  <c r="AC673" i="21"/>
  <c r="AF673" i="21" s="1"/>
  <c r="AC675" i="21"/>
  <c r="AF675" i="21" s="1"/>
  <c r="AC677" i="21"/>
  <c r="AC679" i="21"/>
  <c r="AF679" i="21" s="1"/>
  <c r="AC681" i="21"/>
  <c r="AF681" i="21" s="1"/>
  <c r="AC683" i="21"/>
  <c r="AF683" i="21" s="1"/>
  <c r="AC685" i="21"/>
  <c r="AC687" i="21"/>
  <c r="AF687" i="21" s="1"/>
  <c r="AC689" i="21"/>
  <c r="AF689" i="21" s="1"/>
  <c r="AC691" i="21"/>
  <c r="AF691" i="21" s="1"/>
  <c r="AC693" i="21"/>
  <c r="AC695" i="21"/>
  <c r="AF695" i="21" s="1"/>
  <c r="AC697" i="21"/>
  <c r="AF697" i="21" s="1"/>
  <c r="AC699" i="21"/>
  <c r="AF699" i="21" s="1"/>
  <c r="AC701" i="21"/>
  <c r="AC703" i="21"/>
  <c r="AF703" i="21" s="1"/>
  <c r="AC705" i="21"/>
  <c r="AF705" i="21" s="1"/>
  <c r="AC707" i="21"/>
  <c r="AF707" i="21" s="1"/>
  <c r="AC709" i="21"/>
  <c r="AC711" i="21"/>
  <c r="AF711" i="21" s="1"/>
  <c r="AC713" i="21"/>
  <c r="AF713" i="21" s="1"/>
  <c r="AC715" i="21"/>
  <c r="AF715" i="21" s="1"/>
  <c r="AC717" i="21"/>
  <c r="AC719" i="21"/>
  <c r="AF719" i="21" s="1"/>
  <c r="AC721" i="21"/>
  <c r="AF721" i="21" s="1"/>
  <c r="AC723" i="21"/>
  <c r="AF723" i="21" s="1"/>
  <c r="AC725" i="21"/>
  <c r="AC727" i="21"/>
  <c r="AF727" i="21" s="1"/>
  <c r="AC729" i="21"/>
  <c r="AF729" i="21" s="1"/>
  <c r="AC731" i="21"/>
  <c r="AF731" i="21" s="1"/>
  <c r="AC733" i="21"/>
  <c r="AC735" i="21"/>
  <c r="AF735" i="21" s="1"/>
  <c r="AC737" i="21"/>
  <c r="AF737" i="21" s="1"/>
  <c r="AC739" i="21"/>
  <c r="AF739" i="21" s="1"/>
  <c r="AC741" i="21"/>
  <c r="AC743" i="21"/>
  <c r="AF743" i="21" s="1"/>
  <c r="AC745" i="21"/>
  <c r="AF745" i="21" s="1"/>
  <c r="AC747" i="21"/>
  <c r="AF747" i="21" s="1"/>
  <c r="AC749" i="21"/>
  <c r="AF749" i="21" s="1"/>
  <c r="AC751" i="21"/>
  <c r="AF751" i="21" s="1"/>
  <c r="AC753" i="21"/>
  <c r="AF753" i="21" s="1"/>
  <c r="AC755" i="21"/>
  <c r="AF755" i="21" s="1"/>
  <c r="AC757" i="21"/>
  <c r="AC759" i="21"/>
  <c r="AF759" i="21" s="1"/>
  <c r="AC761" i="21"/>
  <c r="AF761" i="21" s="1"/>
  <c r="AC763" i="21"/>
  <c r="AF763" i="21" s="1"/>
  <c r="AC765" i="21"/>
  <c r="AC767" i="21"/>
  <c r="AF767" i="21" s="1"/>
  <c r="AC769" i="21"/>
  <c r="AF769" i="21" s="1"/>
  <c r="AC771" i="21"/>
  <c r="AF771" i="21" s="1"/>
  <c r="AC773" i="21"/>
  <c r="AC775" i="21"/>
  <c r="AF775" i="21" s="1"/>
  <c r="AC777" i="21"/>
  <c r="AF777" i="21" s="1"/>
  <c r="AC779" i="21"/>
  <c r="AF779" i="21" s="1"/>
  <c r="AC781" i="21"/>
  <c r="AC783" i="21"/>
  <c r="AF783" i="21" s="1"/>
  <c r="AC785" i="21"/>
  <c r="AF785" i="21" s="1"/>
  <c r="AC787" i="21"/>
  <c r="AF787" i="21" s="1"/>
  <c r="AC789" i="21"/>
  <c r="AC791" i="21"/>
  <c r="AF791" i="21" s="1"/>
  <c r="AC793" i="21"/>
  <c r="AF793" i="21" s="1"/>
  <c r="AC795" i="21"/>
  <c r="AF795" i="21" s="1"/>
  <c r="AC797" i="21"/>
  <c r="AC799" i="21"/>
  <c r="AF799" i="21" s="1"/>
  <c r="AC801" i="21"/>
  <c r="AF801" i="21" s="1"/>
  <c r="AC803" i="21"/>
  <c r="AF803" i="21" s="1"/>
  <c r="AC805" i="21"/>
  <c r="AC807" i="21"/>
  <c r="AF807" i="21" s="1"/>
  <c r="AC809" i="21"/>
  <c r="AF809" i="21" s="1"/>
  <c r="AC811" i="21"/>
  <c r="AF811" i="21" s="1"/>
  <c r="AC813" i="21"/>
  <c r="AC815" i="21"/>
  <c r="AF815" i="21" s="1"/>
  <c r="AC817" i="21"/>
  <c r="AF817" i="21" s="1"/>
  <c r="AC819" i="21"/>
  <c r="AF819" i="21" s="1"/>
  <c r="AC821" i="21"/>
  <c r="AC823" i="21"/>
  <c r="AF823" i="21" s="1"/>
  <c r="AC825" i="21"/>
  <c r="AF825" i="21" s="1"/>
  <c r="AC827" i="21"/>
  <c r="AF827" i="21" s="1"/>
  <c r="AC829" i="21"/>
  <c r="AC831" i="21"/>
  <c r="AF831" i="21" s="1"/>
  <c r="AC833" i="21"/>
  <c r="AF833" i="21" s="1"/>
  <c r="AC835" i="21"/>
  <c r="AF835" i="21" s="1"/>
  <c r="AC837" i="21"/>
  <c r="AF837" i="21" s="1"/>
  <c r="AC839" i="21"/>
  <c r="AF839" i="21" s="1"/>
  <c r="AC841" i="21"/>
  <c r="AF841" i="21" s="1"/>
  <c r="AC843" i="21"/>
  <c r="AF843" i="21" s="1"/>
  <c r="AC845" i="21"/>
  <c r="AC847" i="21"/>
  <c r="AF847" i="21" s="1"/>
  <c r="AC849" i="21"/>
  <c r="AF849" i="21" s="1"/>
  <c r="AC851" i="21"/>
  <c r="AF851" i="21" s="1"/>
  <c r="AC853" i="21"/>
  <c r="AC855" i="21"/>
  <c r="AF855" i="21" s="1"/>
  <c r="AC857" i="21"/>
  <c r="AF857" i="21" s="1"/>
  <c r="AC859" i="21"/>
  <c r="AF859" i="21" s="1"/>
  <c r="AC861" i="21"/>
  <c r="AC863" i="21"/>
  <c r="AF863" i="21" s="1"/>
  <c r="AC865" i="21"/>
  <c r="AF865" i="21" s="1"/>
  <c r="AC867" i="21"/>
  <c r="AF867" i="21" s="1"/>
  <c r="AC869" i="21"/>
  <c r="AC871" i="21"/>
  <c r="AF871" i="21" s="1"/>
  <c r="AC873" i="21"/>
  <c r="AF873" i="21" s="1"/>
  <c r="AC875" i="21"/>
  <c r="AF875" i="21" s="1"/>
  <c r="AC877" i="21"/>
  <c r="AC879" i="21"/>
  <c r="AF879" i="21" s="1"/>
  <c r="AC881" i="21"/>
  <c r="AF881" i="21" s="1"/>
  <c r="AC883" i="21"/>
  <c r="AF883" i="21" s="1"/>
  <c r="AC885" i="21"/>
  <c r="AC887" i="21"/>
  <c r="AF887" i="21" s="1"/>
  <c r="AC889" i="21"/>
  <c r="AF889" i="21" s="1"/>
  <c r="AC891" i="21"/>
  <c r="AF891" i="21" s="1"/>
  <c r="AC893" i="21"/>
  <c r="AC895" i="21"/>
  <c r="AF895" i="21" s="1"/>
  <c r="AC897" i="21"/>
  <c r="AF897" i="21" s="1"/>
  <c r="AC899" i="21"/>
  <c r="AF899" i="21" s="1"/>
  <c r="AC901" i="21"/>
  <c r="AF901" i="21" s="1"/>
  <c r="AC903" i="21"/>
  <c r="AF903" i="21" s="1"/>
  <c r="AC905" i="21"/>
  <c r="AF905" i="21" s="1"/>
  <c r="AC907" i="21"/>
  <c r="AF907" i="21" s="1"/>
  <c r="AC909" i="21"/>
  <c r="AC911" i="21"/>
  <c r="AF911" i="21" s="1"/>
  <c r="AC913" i="21"/>
  <c r="AF913" i="21" s="1"/>
  <c r="AC915" i="21"/>
  <c r="AF915" i="21" s="1"/>
  <c r="AC917" i="21"/>
  <c r="AC919" i="21"/>
  <c r="AF919" i="21" s="1"/>
  <c r="AC921" i="21"/>
  <c r="AF921" i="21" s="1"/>
  <c r="AC923" i="21"/>
  <c r="AF923" i="21" s="1"/>
  <c r="AC925" i="21"/>
  <c r="AC927" i="21"/>
  <c r="AF927" i="21" s="1"/>
  <c r="AC929" i="21"/>
  <c r="AF929" i="21" s="1"/>
  <c r="AC931" i="21"/>
  <c r="AF931" i="21" s="1"/>
  <c r="AC933" i="21"/>
  <c r="AF933" i="21" s="1"/>
  <c r="AC935" i="21"/>
  <c r="AF935" i="21" s="1"/>
  <c r="AC937" i="21"/>
  <c r="AF937" i="21" s="1"/>
  <c r="AC939" i="21"/>
  <c r="AF939" i="21" s="1"/>
  <c r="AC941" i="21"/>
  <c r="AC943" i="21"/>
  <c r="AF943" i="21" s="1"/>
  <c r="AC945" i="21"/>
  <c r="AF945" i="21" s="1"/>
  <c r="AC947" i="21"/>
  <c r="AF947" i="21" s="1"/>
  <c r="AC949" i="21"/>
  <c r="AF949" i="21" s="1"/>
  <c r="AC951" i="21"/>
  <c r="AF951" i="21" s="1"/>
  <c r="AC953" i="21"/>
  <c r="AF953" i="21" s="1"/>
  <c r="AC955" i="21"/>
  <c r="AF955" i="21" s="1"/>
  <c r="AC957" i="21"/>
  <c r="AC959" i="21"/>
  <c r="AF959" i="21" s="1"/>
  <c r="AC961" i="21"/>
  <c r="AF961" i="21" s="1"/>
  <c r="AC963" i="21"/>
  <c r="AF963" i="21" s="1"/>
  <c r="AC965" i="21"/>
  <c r="AC967" i="21"/>
  <c r="AF967" i="21" s="1"/>
  <c r="AC969" i="21"/>
  <c r="AF969" i="21" s="1"/>
  <c r="AC971" i="21"/>
  <c r="AF971" i="21" s="1"/>
  <c r="AC973" i="21"/>
  <c r="AC975" i="21"/>
  <c r="AF975" i="21" s="1"/>
  <c r="AC977" i="21"/>
  <c r="AF977" i="21" s="1"/>
  <c r="AC979" i="21"/>
  <c r="AF979" i="21" s="1"/>
  <c r="AC981" i="21"/>
  <c r="AC983" i="21"/>
  <c r="AF983" i="21" s="1"/>
  <c r="AC985" i="21"/>
  <c r="AF985" i="21" s="1"/>
  <c r="AC987" i="21"/>
  <c r="AF987" i="21" s="1"/>
  <c r="AC989" i="21"/>
  <c r="AF989" i="21" s="1"/>
  <c r="AC991" i="21"/>
  <c r="AF991" i="21" s="1"/>
  <c r="AC993" i="21"/>
  <c r="AF993" i="21" s="1"/>
  <c r="AC995" i="21"/>
  <c r="AF995" i="21" s="1"/>
  <c r="AC997" i="21"/>
  <c r="AF997" i="21" s="1"/>
  <c r="AC999" i="21"/>
  <c r="AF999" i="21" s="1"/>
  <c r="AC1001" i="21"/>
  <c r="AF1001" i="21" s="1"/>
  <c r="AC1003" i="21"/>
  <c r="AF1003" i="21" s="1"/>
  <c r="AC1005" i="21"/>
  <c r="AC1007" i="21"/>
  <c r="AF1007" i="21" s="1"/>
  <c r="AC1009" i="21"/>
  <c r="AF1009" i="21" s="1"/>
  <c r="AC1011" i="21"/>
  <c r="AF1011" i="21" s="1"/>
  <c r="AC1013" i="21"/>
  <c r="AF1013" i="21" s="1"/>
  <c r="AC1015" i="21"/>
  <c r="AF1015" i="21" s="1"/>
  <c r="AC1017" i="21"/>
  <c r="AF1017" i="21" s="1"/>
  <c r="AC1019" i="21"/>
  <c r="AF1019" i="21" s="1"/>
  <c r="AC1021" i="21"/>
  <c r="AC1023" i="21"/>
  <c r="AF1023" i="21" s="1"/>
  <c r="AC1025" i="21"/>
  <c r="AF1025" i="21" s="1"/>
  <c r="AC1027" i="21"/>
  <c r="AF1027" i="21" s="1"/>
  <c r="AC1029" i="21"/>
  <c r="AC1031" i="21"/>
  <c r="AF1031" i="21" s="1"/>
  <c r="AC1033" i="21"/>
  <c r="AF1033" i="21" s="1"/>
  <c r="AC1035" i="21"/>
  <c r="AF1035" i="21" s="1"/>
  <c r="AC1037" i="21"/>
  <c r="AC1039" i="21"/>
  <c r="AF1039" i="21" s="1"/>
  <c r="AC1041" i="21"/>
  <c r="AF1041" i="21" s="1"/>
  <c r="AC1043" i="21"/>
  <c r="AF1043" i="21" s="1"/>
  <c r="AC1045" i="21"/>
  <c r="AC1047" i="21"/>
  <c r="AF1047" i="21" s="1"/>
  <c r="AC1049" i="21"/>
  <c r="AF1049" i="21" s="1"/>
  <c r="AC1051" i="21"/>
  <c r="AF1051" i="21" s="1"/>
  <c r="AC1053" i="21"/>
  <c r="AC1055" i="21"/>
  <c r="AF1055" i="21" s="1"/>
  <c r="AC1057" i="21"/>
  <c r="AF1057" i="21" s="1"/>
  <c r="AC1059" i="21"/>
  <c r="AF1059" i="21" s="1"/>
  <c r="AC1061" i="21"/>
  <c r="AC1063" i="21"/>
  <c r="AF1063" i="21" s="1"/>
  <c r="AC1065" i="21"/>
  <c r="AF1065" i="21" s="1"/>
  <c r="AC1067" i="21"/>
  <c r="AF1067" i="21" s="1"/>
  <c r="AC1069" i="21"/>
  <c r="AF1069" i="21" s="1"/>
  <c r="AC1071" i="21"/>
  <c r="AF1071" i="21" s="1"/>
  <c r="AC1073" i="21"/>
  <c r="AF1073" i="21" s="1"/>
  <c r="AC1075" i="21"/>
  <c r="AF1075" i="21" s="1"/>
  <c r="AC1077" i="21"/>
  <c r="AC1079" i="21"/>
  <c r="AF1079" i="21" s="1"/>
  <c r="AC1081" i="21"/>
  <c r="AF1081" i="21" s="1"/>
  <c r="AC1083" i="21"/>
  <c r="AF1083" i="21" s="1"/>
  <c r="AC1085" i="21"/>
  <c r="AC1087" i="21"/>
  <c r="AF1087" i="21" s="1"/>
  <c r="AC1089" i="21"/>
  <c r="AF1089" i="21" s="1"/>
  <c r="AC1091" i="21"/>
  <c r="AF1091" i="21" s="1"/>
  <c r="AC1093" i="21"/>
  <c r="AC1095" i="21"/>
  <c r="AF1095" i="21" s="1"/>
  <c r="AC1097" i="21"/>
  <c r="AF1097" i="21" s="1"/>
  <c r="AC1099" i="21"/>
  <c r="AF1099" i="21" s="1"/>
  <c r="AC1101" i="21"/>
  <c r="AC1103" i="21"/>
  <c r="AF1103" i="21" s="1"/>
  <c r="AC1105" i="21"/>
  <c r="AF1105" i="21" s="1"/>
  <c r="AC1107" i="21"/>
  <c r="AF1107" i="21" s="1"/>
  <c r="AC1109" i="21"/>
  <c r="AC1111" i="21"/>
  <c r="AF1111" i="21" s="1"/>
  <c r="AC1113" i="21"/>
  <c r="AF1113" i="21" s="1"/>
  <c r="AC1115" i="21"/>
  <c r="AF1115" i="21" s="1"/>
  <c r="AC1117" i="21"/>
  <c r="AC1119" i="21"/>
  <c r="AF1119" i="21" s="1"/>
  <c r="AC1121" i="21"/>
  <c r="AF1121" i="21" s="1"/>
  <c r="AC1123" i="21"/>
  <c r="AF1123" i="21" s="1"/>
  <c r="AC1125" i="21"/>
  <c r="AC1127" i="21"/>
  <c r="AF1127" i="21" s="1"/>
  <c r="AC1129" i="21"/>
  <c r="AF1129" i="21" s="1"/>
  <c r="AC1131" i="21"/>
  <c r="AF1131" i="21" s="1"/>
  <c r="AC1133" i="21"/>
  <c r="AC1135" i="21"/>
  <c r="AF1135" i="21" s="1"/>
  <c r="AC1137" i="21"/>
  <c r="AF1137" i="21" s="1"/>
  <c r="AC1139" i="21"/>
  <c r="AF1139" i="21" s="1"/>
  <c r="AC1141" i="21"/>
  <c r="AF1141" i="21" s="1"/>
  <c r="AC1143" i="21"/>
  <c r="AF1143" i="21" s="1"/>
  <c r="AC1145" i="21"/>
  <c r="AF1145" i="21" s="1"/>
  <c r="AC1147" i="21"/>
  <c r="AF1147" i="21" s="1"/>
  <c r="AC1149" i="21"/>
  <c r="AF1149" i="21" s="1"/>
  <c r="AC1151" i="21"/>
  <c r="AF1151" i="21" s="1"/>
  <c r="AC1153" i="21"/>
  <c r="AF1153" i="21" s="1"/>
  <c r="AC1155" i="21"/>
  <c r="AF1155" i="21" s="1"/>
  <c r="AC1157" i="21"/>
  <c r="AC1159" i="21"/>
  <c r="AF1159" i="21" s="1"/>
  <c r="AC1161" i="21"/>
  <c r="AF1161" i="21" s="1"/>
  <c r="AC1163" i="21"/>
  <c r="AF1163" i="21" s="1"/>
  <c r="AC1165" i="21"/>
  <c r="AC1167" i="21"/>
  <c r="AF1167" i="21" s="1"/>
  <c r="AC1169" i="21"/>
  <c r="AF1169" i="21" s="1"/>
  <c r="AC1171" i="21"/>
  <c r="AF1171" i="21" s="1"/>
  <c r="AC1173" i="21"/>
  <c r="AF1173" i="21" s="1"/>
  <c r="AC1175" i="21"/>
  <c r="AF1175" i="21" s="1"/>
  <c r="AC1177" i="21"/>
  <c r="AF1177" i="21" s="1"/>
  <c r="AC1179" i="21"/>
  <c r="AF1179" i="21" s="1"/>
  <c r="AC1181" i="21"/>
  <c r="AC1183" i="21"/>
  <c r="AF1183" i="21" s="1"/>
  <c r="AC1185" i="21"/>
  <c r="AF1185" i="21" s="1"/>
  <c r="AC1187" i="21"/>
  <c r="AF1187" i="21" s="1"/>
  <c r="AC1189" i="21"/>
  <c r="AC1191" i="21"/>
  <c r="AF1191" i="21" s="1"/>
  <c r="AC1193" i="21"/>
  <c r="AF1193" i="21" s="1"/>
  <c r="AC1195" i="21"/>
  <c r="AF1195" i="21" s="1"/>
  <c r="AC1197" i="21"/>
  <c r="AC1199" i="21"/>
  <c r="AF1199" i="21" s="1"/>
  <c r="AC1201" i="21"/>
  <c r="AF1201" i="21" s="1"/>
  <c r="AC1203" i="21"/>
  <c r="AF1203" i="21" s="1"/>
  <c r="AC16" i="21"/>
  <c r="AF16" i="21" s="1"/>
  <c r="AC18" i="21"/>
  <c r="AF18" i="21" s="1"/>
  <c r="AC20" i="21"/>
  <c r="AF20" i="21" s="1"/>
  <c r="AC22" i="21"/>
  <c r="AF22" i="21" s="1"/>
  <c r="AC24" i="21"/>
  <c r="AF24" i="21" s="1"/>
  <c r="AC26" i="21"/>
  <c r="AF26" i="21" s="1"/>
  <c r="AC28" i="21"/>
  <c r="AF28" i="21" s="1"/>
  <c r="AC30" i="21"/>
  <c r="AF30" i="21" s="1"/>
  <c r="AC32" i="21"/>
  <c r="AF32" i="21" s="1"/>
  <c r="AC34" i="21"/>
  <c r="AF34" i="21" s="1"/>
  <c r="AC36" i="21"/>
  <c r="AF36" i="21" s="1"/>
  <c r="AC38" i="21"/>
  <c r="AF38" i="21" s="1"/>
  <c r="AC40" i="21"/>
  <c r="AF40" i="21" s="1"/>
  <c r="AC42" i="21"/>
  <c r="AF42" i="21" s="1"/>
  <c r="AC44" i="21"/>
  <c r="AF44" i="21" s="1"/>
  <c r="AC46" i="21"/>
  <c r="AF46" i="21" s="1"/>
  <c r="AC48" i="21"/>
  <c r="AF48" i="21" s="1"/>
  <c r="AC50" i="21"/>
  <c r="AF50" i="21" s="1"/>
  <c r="AC52" i="21"/>
  <c r="AF52" i="21" s="1"/>
  <c r="AC54" i="21"/>
  <c r="AF54" i="21" s="1"/>
  <c r="AC56" i="21"/>
  <c r="AF56" i="21" s="1"/>
  <c r="AC58" i="21"/>
  <c r="AF58" i="21" s="1"/>
  <c r="AC60" i="21"/>
  <c r="AF60" i="21" s="1"/>
  <c r="AC62" i="21"/>
  <c r="AF62" i="21" s="1"/>
  <c r="AC64" i="21"/>
  <c r="AF64" i="21" s="1"/>
  <c r="AC66" i="21"/>
  <c r="AF66" i="21" s="1"/>
  <c r="AC68" i="21"/>
  <c r="AF68" i="21" s="1"/>
  <c r="AC70" i="21"/>
  <c r="AF70" i="21" s="1"/>
  <c r="AC72" i="21"/>
  <c r="AF72" i="21" s="1"/>
  <c r="AC74" i="21"/>
  <c r="AF74" i="21" s="1"/>
  <c r="AC76" i="21"/>
  <c r="AF76" i="21" s="1"/>
  <c r="AC78" i="21"/>
  <c r="AF78" i="21" s="1"/>
  <c r="AC80" i="21"/>
  <c r="AF80" i="21" s="1"/>
  <c r="AC82" i="21"/>
  <c r="AF82" i="21" s="1"/>
  <c r="AC84" i="21"/>
  <c r="AF84" i="21" s="1"/>
  <c r="AC86" i="21"/>
  <c r="AF86" i="21" s="1"/>
  <c r="AC88" i="21"/>
  <c r="AF88" i="21" s="1"/>
  <c r="AC90" i="21"/>
  <c r="AF90" i="21" s="1"/>
  <c r="AC92" i="21"/>
  <c r="AF92" i="21" s="1"/>
  <c r="AC94" i="21"/>
  <c r="AF94" i="21" s="1"/>
  <c r="AC96" i="21"/>
  <c r="AF96" i="21" s="1"/>
  <c r="AC98" i="21"/>
  <c r="AF98" i="21" s="1"/>
  <c r="AC100" i="21"/>
  <c r="AF100" i="21" s="1"/>
  <c r="AC102" i="21"/>
  <c r="AF102" i="21" s="1"/>
  <c r="AC104" i="21"/>
  <c r="AF104" i="21" s="1"/>
  <c r="AC106" i="21"/>
  <c r="AF106" i="21" s="1"/>
  <c r="AC108" i="21"/>
  <c r="AF108" i="21" s="1"/>
  <c r="AC110" i="21"/>
  <c r="AF110" i="21" s="1"/>
  <c r="AC112" i="21"/>
  <c r="AF112" i="21" s="1"/>
  <c r="AC114" i="21"/>
  <c r="AF114" i="21" s="1"/>
  <c r="AC116" i="21"/>
  <c r="AF116" i="21" s="1"/>
  <c r="AC118" i="21"/>
  <c r="AF118" i="21" s="1"/>
  <c r="AC120" i="21"/>
  <c r="AF120" i="21" s="1"/>
  <c r="AC122" i="21"/>
  <c r="AF122" i="21" s="1"/>
  <c r="AC124" i="21"/>
  <c r="AF124" i="21" s="1"/>
  <c r="AC126" i="21"/>
  <c r="AF126" i="21" s="1"/>
  <c r="AC128" i="21"/>
  <c r="AF128" i="21" s="1"/>
  <c r="AC130" i="21"/>
  <c r="AF130" i="21" s="1"/>
  <c r="AC132" i="21"/>
  <c r="AF132" i="21" s="1"/>
  <c r="AC134" i="21"/>
  <c r="AF134" i="21" s="1"/>
  <c r="AC136" i="21"/>
  <c r="AF136" i="21" s="1"/>
  <c r="AC138" i="21"/>
  <c r="AF138" i="21" s="1"/>
  <c r="AC140" i="21"/>
  <c r="AF140" i="21" s="1"/>
  <c r="AC142" i="21"/>
  <c r="AF142" i="21" s="1"/>
  <c r="AC144" i="21"/>
  <c r="AF144" i="21" s="1"/>
  <c r="AC146" i="21"/>
  <c r="AF146" i="21" s="1"/>
  <c r="AC148" i="21"/>
  <c r="AF148" i="21" s="1"/>
  <c r="AC150" i="21"/>
  <c r="AF150" i="21" s="1"/>
  <c r="AC152" i="21"/>
  <c r="AF152" i="21" s="1"/>
  <c r="AC154" i="21"/>
  <c r="AF154" i="21" s="1"/>
  <c r="AC156" i="21"/>
  <c r="AF156" i="21" s="1"/>
  <c r="AC158" i="21"/>
  <c r="AF158" i="21" s="1"/>
  <c r="AC160" i="21"/>
  <c r="AF160" i="21" s="1"/>
  <c r="AC162" i="21"/>
  <c r="AF162" i="21" s="1"/>
  <c r="AC164" i="21"/>
  <c r="AF164" i="21" s="1"/>
  <c r="AC166" i="21"/>
  <c r="AF166" i="21" s="1"/>
  <c r="AC168" i="21"/>
  <c r="AF168" i="21" s="1"/>
  <c r="AC170" i="21"/>
  <c r="AF170" i="21" s="1"/>
  <c r="AC172" i="21"/>
  <c r="AF172" i="21" s="1"/>
  <c r="AC174" i="21"/>
  <c r="AF174" i="21" s="1"/>
  <c r="AC176" i="21"/>
  <c r="AF176" i="21" s="1"/>
  <c r="AC178" i="21"/>
  <c r="AF178" i="21" s="1"/>
  <c r="AC180" i="21"/>
  <c r="AF180" i="21" s="1"/>
  <c r="AC182" i="21"/>
  <c r="AF182" i="21" s="1"/>
  <c r="AC184" i="21"/>
  <c r="AF184" i="21" s="1"/>
  <c r="AC186" i="21"/>
  <c r="AF186" i="21" s="1"/>
  <c r="AC188" i="21"/>
  <c r="AF188" i="21" s="1"/>
  <c r="AC190" i="21"/>
  <c r="AF190" i="21" s="1"/>
  <c r="AC192" i="21"/>
  <c r="AF192" i="21" s="1"/>
  <c r="AC194" i="21"/>
  <c r="AF194" i="21" s="1"/>
  <c r="AC196" i="21"/>
  <c r="AF196" i="21" s="1"/>
  <c r="AC198" i="21"/>
  <c r="AF198" i="21" s="1"/>
  <c r="AC200" i="21"/>
  <c r="AF200" i="21" s="1"/>
  <c r="AC202" i="21"/>
  <c r="AF202" i="21" s="1"/>
  <c r="AC204" i="21"/>
  <c r="AF204" i="21" s="1"/>
  <c r="AC206" i="21"/>
  <c r="AF206" i="21" s="1"/>
  <c r="AC208" i="21"/>
  <c r="AF208" i="21" s="1"/>
  <c r="AC210" i="21"/>
  <c r="AF210" i="21" s="1"/>
  <c r="AC212" i="21"/>
  <c r="AF212" i="21" s="1"/>
  <c r="AC214" i="21"/>
  <c r="AF214" i="21" s="1"/>
  <c r="AC216" i="21"/>
  <c r="AF216" i="21" s="1"/>
  <c r="AC218" i="21"/>
  <c r="AF218" i="21" s="1"/>
  <c r="AC220" i="21"/>
  <c r="AF220" i="21" s="1"/>
  <c r="AC222" i="21"/>
  <c r="AF222" i="21" s="1"/>
  <c r="AC224" i="21"/>
  <c r="AF224" i="21" s="1"/>
  <c r="AC226" i="21"/>
  <c r="AF226" i="21" s="1"/>
  <c r="AC228" i="21"/>
  <c r="AF228" i="21" s="1"/>
  <c r="AC230" i="21"/>
  <c r="AF230" i="21" s="1"/>
  <c r="AC232" i="21"/>
  <c r="AF232" i="21" s="1"/>
  <c r="AC234" i="21"/>
  <c r="AF234" i="21" s="1"/>
  <c r="AC236" i="21"/>
  <c r="AF236" i="21" s="1"/>
  <c r="AC238" i="21"/>
  <c r="AF238" i="21" s="1"/>
  <c r="AC240" i="21"/>
  <c r="AF240" i="21" s="1"/>
  <c r="AC242" i="21"/>
  <c r="AF242" i="21" s="1"/>
  <c r="AC244" i="21"/>
  <c r="AF244" i="21" s="1"/>
  <c r="AC246" i="21"/>
  <c r="AF246" i="21" s="1"/>
  <c r="AC248" i="21"/>
  <c r="AF248" i="21" s="1"/>
  <c r="AC250" i="21"/>
  <c r="AF250" i="21" s="1"/>
  <c r="AC252" i="21"/>
  <c r="AF252" i="21" s="1"/>
  <c r="AC254" i="21"/>
  <c r="AF254" i="21" s="1"/>
  <c r="AC256" i="21"/>
  <c r="AF256" i="21" s="1"/>
  <c r="AC258" i="21"/>
  <c r="AF258" i="21" s="1"/>
  <c r="AC260" i="21"/>
  <c r="AF260" i="21" s="1"/>
  <c r="AC262" i="21"/>
  <c r="AF262" i="21" s="1"/>
  <c r="AC264" i="21"/>
  <c r="AF264" i="21" s="1"/>
  <c r="AC266" i="21"/>
  <c r="AF266" i="21" s="1"/>
  <c r="AC268" i="21"/>
  <c r="AF268" i="21" s="1"/>
  <c r="AC270" i="21"/>
  <c r="AF270" i="21" s="1"/>
  <c r="AC272" i="21"/>
  <c r="AF272" i="21" s="1"/>
  <c r="AC274" i="21"/>
  <c r="AF274" i="21" s="1"/>
  <c r="AC276" i="21"/>
  <c r="AF276" i="21" s="1"/>
  <c r="AC278" i="21"/>
  <c r="AF278" i="21" s="1"/>
  <c r="AC280" i="21"/>
  <c r="AF280" i="21" s="1"/>
  <c r="AC282" i="21"/>
  <c r="AF282" i="21" s="1"/>
  <c r="AC284" i="21"/>
  <c r="AF284" i="21" s="1"/>
  <c r="AC286" i="21"/>
  <c r="AF286" i="21" s="1"/>
  <c r="AC288" i="21"/>
  <c r="AF288" i="21" s="1"/>
  <c r="AC290" i="21"/>
  <c r="AF290" i="21" s="1"/>
  <c r="AC292" i="21"/>
  <c r="AF292" i="21" s="1"/>
  <c r="AC294" i="21"/>
  <c r="AF294" i="21" s="1"/>
  <c r="AC296" i="21"/>
  <c r="AF296" i="21" s="1"/>
  <c r="AC298" i="21"/>
  <c r="AF298" i="21" s="1"/>
  <c r="AC300" i="21"/>
  <c r="AF300" i="21" s="1"/>
  <c r="AC302" i="21"/>
  <c r="AF302" i="21" s="1"/>
  <c r="AC304" i="21"/>
  <c r="AF304" i="21" s="1"/>
  <c r="AC306" i="21"/>
  <c r="AF306" i="21" s="1"/>
  <c r="AC308" i="21"/>
  <c r="AF308" i="21" s="1"/>
  <c r="AC310" i="21"/>
  <c r="AF310" i="21" s="1"/>
  <c r="AC312" i="21"/>
  <c r="AF312" i="21" s="1"/>
  <c r="AC314" i="21"/>
  <c r="AF314" i="21" s="1"/>
  <c r="AC316" i="21"/>
  <c r="AF316" i="21" s="1"/>
  <c r="AC318" i="21"/>
  <c r="AF318" i="21" s="1"/>
  <c r="AC320" i="21"/>
  <c r="AF320" i="21" s="1"/>
  <c r="AC322" i="21"/>
  <c r="AF322" i="21" s="1"/>
  <c r="AC324" i="21"/>
  <c r="AF324" i="21" s="1"/>
  <c r="AC326" i="21"/>
  <c r="AF326" i="21" s="1"/>
  <c r="AC328" i="21"/>
  <c r="AF328" i="21" s="1"/>
  <c r="AC330" i="21"/>
  <c r="AF330" i="21" s="1"/>
  <c r="AC332" i="21"/>
  <c r="AF332" i="21" s="1"/>
  <c r="AC334" i="21"/>
  <c r="AF334" i="21" s="1"/>
  <c r="AC336" i="21"/>
  <c r="AF336" i="21" s="1"/>
  <c r="AC338" i="21"/>
  <c r="AF338" i="21" s="1"/>
  <c r="AC340" i="21"/>
  <c r="AF340" i="21" s="1"/>
  <c r="AC342" i="21"/>
  <c r="AF342" i="21" s="1"/>
  <c r="AC344" i="21"/>
  <c r="AF344" i="21" s="1"/>
  <c r="AC346" i="21"/>
  <c r="AF346" i="21" s="1"/>
  <c r="AC348" i="21"/>
  <c r="AF348" i="21" s="1"/>
  <c r="AC350" i="21"/>
  <c r="AF350" i="21" s="1"/>
  <c r="AC352" i="21"/>
  <c r="AF352" i="21" s="1"/>
  <c r="AC354" i="21"/>
  <c r="AF354" i="21" s="1"/>
  <c r="AC356" i="21"/>
  <c r="AF356" i="21" s="1"/>
  <c r="AC358" i="21"/>
  <c r="AF358" i="21" s="1"/>
  <c r="AC360" i="21"/>
  <c r="AF360" i="21" s="1"/>
  <c r="AC362" i="21"/>
  <c r="AF362" i="21" s="1"/>
  <c r="AC364" i="21"/>
  <c r="AF364" i="21" s="1"/>
  <c r="AC366" i="21"/>
  <c r="AF366" i="21" s="1"/>
  <c r="AC368" i="21"/>
  <c r="AF368" i="21" s="1"/>
  <c r="AC370" i="21"/>
  <c r="AF370" i="21" s="1"/>
  <c r="AC372" i="21"/>
  <c r="AF372" i="21" s="1"/>
  <c r="AC374" i="21"/>
  <c r="AF374" i="21" s="1"/>
  <c r="AC376" i="21"/>
  <c r="AF376" i="21" s="1"/>
  <c r="AC378" i="21"/>
  <c r="AF378" i="21" s="1"/>
  <c r="AC380" i="21"/>
  <c r="AF380" i="21" s="1"/>
  <c r="AC382" i="21"/>
  <c r="AF382" i="21" s="1"/>
  <c r="AC384" i="21"/>
  <c r="AF384" i="21" s="1"/>
  <c r="AC386" i="21"/>
  <c r="AF386" i="21" s="1"/>
  <c r="AC388" i="21"/>
  <c r="AF388" i="21" s="1"/>
  <c r="AC390" i="21"/>
  <c r="AF390" i="21" s="1"/>
  <c r="AC392" i="21"/>
  <c r="AF392" i="21" s="1"/>
  <c r="AC394" i="21"/>
  <c r="AF394" i="21" s="1"/>
  <c r="AC396" i="21"/>
  <c r="AF396" i="21" s="1"/>
  <c r="AC398" i="21"/>
  <c r="AF398" i="21" s="1"/>
  <c r="AC400" i="21"/>
  <c r="AF400" i="21" s="1"/>
  <c r="AC402" i="21"/>
  <c r="AF402" i="21" s="1"/>
  <c r="AC404" i="21"/>
  <c r="AF404" i="21" s="1"/>
  <c r="AC406" i="21"/>
  <c r="AF406" i="21" s="1"/>
  <c r="AC408" i="21"/>
  <c r="AF408" i="21" s="1"/>
  <c r="AC410" i="21"/>
  <c r="AF410" i="21" s="1"/>
  <c r="AC412" i="21"/>
  <c r="AF412" i="21" s="1"/>
  <c r="AC414" i="21"/>
  <c r="AF414" i="21" s="1"/>
  <c r="AC416" i="21"/>
  <c r="AF416" i="21" s="1"/>
  <c r="AC418" i="21"/>
  <c r="AF418" i="21" s="1"/>
  <c r="AC420" i="21"/>
  <c r="AF420" i="21" s="1"/>
  <c r="AC422" i="21"/>
  <c r="AF422" i="21" s="1"/>
  <c r="AC424" i="21"/>
  <c r="AF424" i="21" s="1"/>
  <c r="AC426" i="21"/>
  <c r="AF426" i="21" s="1"/>
  <c r="AC428" i="21"/>
  <c r="AF428" i="21" s="1"/>
  <c r="AC430" i="21"/>
  <c r="AF430" i="21" s="1"/>
  <c r="AC432" i="21"/>
  <c r="AF432" i="21" s="1"/>
  <c r="AC434" i="21"/>
  <c r="AF434" i="21" s="1"/>
  <c r="AC436" i="21"/>
  <c r="AF436" i="21" s="1"/>
  <c r="AC438" i="21"/>
  <c r="AF438" i="21" s="1"/>
  <c r="AC440" i="21"/>
  <c r="AF440" i="21" s="1"/>
  <c r="AC442" i="21"/>
  <c r="AF442" i="21" s="1"/>
  <c r="AC444" i="21"/>
  <c r="AF444" i="21" s="1"/>
  <c r="AC446" i="21"/>
  <c r="AF446" i="21" s="1"/>
  <c r="AC448" i="21"/>
  <c r="AF448" i="21" s="1"/>
  <c r="AC450" i="21"/>
  <c r="AF450" i="21" s="1"/>
  <c r="AC452" i="21"/>
  <c r="AF452" i="21" s="1"/>
  <c r="AC454" i="21"/>
  <c r="AF454" i="21" s="1"/>
  <c r="AC456" i="21"/>
  <c r="AF456" i="21" s="1"/>
  <c r="AC458" i="21"/>
  <c r="AF458" i="21" s="1"/>
  <c r="AC460" i="21"/>
  <c r="AF460" i="21" s="1"/>
  <c r="AC462" i="21"/>
  <c r="AF462" i="21" s="1"/>
  <c r="AC464" i="21"/>
  <c r="AF464" i="21" s="1"/>
  <c r="AC466" i="21"/>
  <c r="AF466" i="21" s="1"/>
  <c r="AC468" i="21"/>
  <c r="AF468" i="21" s="1"/>
  <c r="AC470" i="21"/>
  <c r="AF470" i="21" s="1"/>
  <c r="AC472" i="21"/>
  <c r="AF472" i="21" s="1"/>
  <c r="AC474" i="21"/>
  <c r="AF474" i="21" s="1"/>
  <c r="AC476" i="21"/>
  <c r="AF476" i="21" s="1"/>
  <c r="AC478" i="21"/>
  <c r="AF478" i="21" s="1"/>
  <c r="AC480" i="21"/>
  <c r="AF480" i="21" s="1"/>
  <c r="AC482" i="21"/>
  <c r="AF482" i="21" s="1"/>
  <c r="AC484" i="21"/>
  <c r="AF484" i="21" s="1"/>
  <c r="AC486" i="21"/>
  <c r="AF486" i="21" s="1"/>
  <c r="AC488" i="21"/>
  <c r="AF488" i="21" s="1"/>
  <c r="AC490" i="21"/>
  <c r="AF490" i="21" s="1"/>
  <c r="AC492" i="21"/>
  <c r="AF492" i="21" s="1"/>
  <c r="AC494" i="21"/>
  <c r="AF494" i="21" s="1"/>
  <c r="AC496" i="21"/>
  <c r="AF496" i="21" s="1"/>
  <c r="AC498" i="21"/>
  <c r="AF498" i="21" s="1"/>
  <c r="AC500" i="21"/>
  <c r="AF500" i="21" s="1"/>
  <c r="AC502" i="21"/>
  <c r="AF502" i="21" s="1"/>
  <c r="AC504" i="21"/>
  <c r="AF504" i="21" s="1"/>
  <c r="AC506" i="21"/>
  <c r="AF506" i="21" s="1"/>
  <c r="AC508" i="21"/>
  <c r="AF508" i="21" s="1"/>
  <c r="AC510" i="21"/>
  <c r="AF510" i="21" s="1"/>
  <c r="AC512" i="21"/>
  <c r="AF512" i="21" s="1"/>
  <c r="AC514" i="21"/>
  <c r="AF514" i="21" s="1"/>
  <c r="AC516" i="21"/>
  <c r="AF516" i="21" s="1"/>
  <c r="AC518" i="21"/>
  <c r="AF518" i="21" s="1"/>
  <c r="AC520" i="21"/>
  <c r="AF520" i="21" s="1"/>
  <c r="AC522" i="21"/>
  <c r="AF522" i="21" s="1"/>
  <c r="AC524" i="21"/>
  <c r="AF524" i="21" s="1"/>
  <c r="AC526" i="21"/>
  <c r="AF526" i="21" s="1"/>
  <c r="AC528" i="21"/>
  <c r="AF528" i="21" s="1"/>
  <c r="AC530" i="21"/>
  <c r="AF530" i="21" s="1"/>
  <c r="AC532" i="21"/>
  <c r="AF532" i="21" s="1"/>
  <c r="AC534" i="21"/>
  <c r="AF534" i="21" s="1"/>
  <c r="AC536" i="21"/>
  <c r="AF536" i="21" s="1"/>
  <c r="AC538" i="21"/>
  <c r="AF538" i="21" s="1"/>
  <c r="AC540" i="21"/>
  <c r="AF540" i="21" s="1"/>
  <c r="AC542" i="21"/>
  <c r="AF542" i="21" s="1"/>
  <c r="AC544" i="21"/>
  <c r="AF544" i="21" s="1"/>
  <c r="AC546" i="21"/>
  <c r="AF546" i="21" s="1"/>
  <c r="AC548" i="21"/>
  <c r="AF548" i="21" s="1"/>
  <c r="AC550" i="21"/>
  <c r="AF550" i="21" s="1"/>
  <c r="AC552" i="21"/>
  <c r="AF552" i="21" s="1"/>
  <c r="AC554" i="21"/>
  <c r="AF554" i="21" s="1"/>
  <c r="AC556" i="21"/>
  <c r="AF556" i="21" s="1"/>
  <c r="AC558" i="21"/>
  <c r="AF558" i="21" s="1"/>
  <c r="AC560" i="21"/>
  <c r="AF560" i="21" s="1"/>
  <c r="AC562" i="21"/>
  <c r="AF562" i="21" s="1"/>
  <c r="AC564" i="21"/>
  <c r="AF564" i="21" s="1"/>
  <c r="AC566" i="21"/>
  <c r="AF566" i="21" s="1"/>
  <c r="AC568" i="21"/>
  <c r="AF568" i="21" s="1"/>
  <c r="AC570" i="21"/>
  <c r="AF570" i="21" s="1"/>
  <c r="AC572" i="21"/>
  <c r="AF572" i="21" s="1"/>
  <c r="AC574" i="21"/>
  <c r="AF574" i="21" s="1"/>
  <c r="AC576" i="21"/>
  <c r="AF576" i="21" s="1"/>
  <c r="AC578" i="21"/>
  <c r="AF578" i="21" s="1"/>
  <c r="AC580" i="21"/>
  <c r="AF580" i="21" s="1"/>
  <c r="AC582" i="21"/>
  <c r="AF582" i="21" s="1"/>
  <c r="AC584" i="21"/>
  <c r="AF584" i="21" s="1"/>
  <c r="AC586" i="21"/>
  <c r="AF586" i="21" s="1"/>
  <c r="AC588" i="21"/>
  <c r="AF588" i="21" s="1"/>
  <c r="AC590" i="21"/>
  <c r="AF590" i="21" s="1"/>
  <c r="AC592" i="21"/>
  <c r="AF592" i="21" s="1"/>
  <c r="AC594" i="21"/>
  <c r="AF594" i="21" s="1"/>
  <c r="AC596" i="21"/>
  <c r="AF596" i="21" s="1"/>
  <c r="AC598" i="21"/>
  <c r="AF598" i="21" s="1"/>
  <c r="AC600" i="21"/>
  <c r="AF600" i="21" s="1"/>
  <c r="AC602" i="21"/>
  <c r="AF602" i="21" s="1"/>
  <c r="AC604" i="21"/>
  <c r="AF604" i="21" s="1"/>
  <c r="AC606" i="21"/>
  <c r="AF606" i="21" s="1"/>
  <c r="AC608" i="21"/>
  <c r="AF608" i="21" s="1"/>
  <c r="AC610" i="21"/>
  <c r="AF610" i="21" s="1"/>
  <c r="AC612" i="21"/>
  <c r="AF612" i="21" s="1"/>
  <c r="AC614" i="21"/>
  <c r="AF614" i="21" s="1"/>
  <c r="AC616" i="21"/>
  <c r="AF616" i="21" s="1"/>
  <c r="AC618" i="21"/>
  <c r="AF618" i="21" s="1"/>
  <c r="AC620" i="21"/>
  <c r="AF620" i="21" s="1"/>
  <c r="AC622" i="21"/>
  <c r="AF622" i="21" s="1"/>
  <c r="AC624" i="21"/>
  <c r="AF624" i="21" s="1"/>
  <c r="AC626" i="21"/>
  <c r="AF626" i="21" s="1"/>
  <c r="AC628" i="21"/>
  <c r="AF628" i="21" s="1"/>
  <c r="AC630" i="21"/>
  <c r="AF630" i="21" s="1"/>
  <c r="AC632" i="21"/>
  <c r="AF632" i="21" s="1"/>
  <c r="AC634" i="21"/>
  <c r="AF634" i="21" s="1"/>
  <c r="AC636" i="21"/>
  <c r="AF636" i="21" s="1"/>
  <c r="AC638" i="21"/>
  <c r="AF638" i="21" s="1"/>
  <c r="AC640" i="21"/>
  <c r="AF640" i="21" s="1"/>
  <c r="AC642" i="21"/>
  <c r="AF642" i="21" s="1"/>
  <c r="AC644" i="21"/>
  <c r="AF644" i="21" s="1"/>
  <c r="AC646" i="21"/>
  <c r="AF646" i="21" s="1"/>
  <c r="AC648" i="21"/>
  <c r="AF648" i="21" s="1"/>
  <c r="AC650" i="21"/>
  <c r="AF650" i="21" s="1"/>
  <c r="AC652" i="21"/>
  <c r="AF652" i="21" s="1"/>
  <c r="AC654" i="21"/>
  <c r="AF654" i="21" s="1"/>
  <c r="AC656" i="21"/>
  <c r="AF656" i="21" s="1"/>
  <c r="AC658" i="21"/>
  <c r="AF658" i="21" s="1"/>
  <c r="AC660" i="21"/>
  <c r="AF660" i="21" s="1"/>
  <c r="AC662" i="21"/>
  <c r="AF662" i="21" s="1"/>
  <c r="AC664" i="21"/>
  <c r="AF664" i="21" s="1"/>
  <c r="AC666" i="21"/>
  <c r="AF666" i="21" s="1"/>
  <c r="AC668" i="21"/>
  <c r="AF668" i="21" s="1"/>
  <c r="AC670" i="21"/>
  <c r="AF670" i="21" s="1"/>
  <c r="AC672" i="21"/>
  <c r="AF672" i="21" s="1"/>
  <c r="AC674" i="21"/>
  <c r="AF674" i="21" s="1"/>
  <c r="AC676" i="21"/>
  <c r="AF676" i="21" s="1"/>
  <c r="AC678" i="21"/>
  <c r="AF678" i="21" s="1"/>
  <c r="AC680" i="21"/>
  <c r="AF680" i="21" s="1"/>
  <c r="AC682" i="21"/>
  <c r="AF682" i="21" s="1"/>
  <c r="AC684" i="21"/>
  <c r="AF684" i="21" s="1"/>
  <c r="AC686" i="21"/>
  <c r="AF686" i="21" s="1"/>
  <c r="AC688" i="21"/>
  <c r="AF688" i="21" s="1"/>
  <c r="AC690" i="21"/>
  <c r="AF690" i="21" s="1"/>
  <c r="AC692" i="21"/>
  <c r="AF692" i="21" s="1"/>
  <c r="AC694" i="21"/>
  <c r="AF694" i="21" s="1"/>
  <c r="AC696" i="21"/>
  <c r="AF696" i="21" s="1"/>
  <c r="AC698" i="21"/>
  <c r="AF698" i="21" s="1"/>
  <c r="AC700" i="21"/>
  <c r="AF700" i="21" s="1"/>
  <c r="AC702" i="21"/>
  <c r="AF702" i="21" s="1"/>
  <c r="AC704" i="21"/>
  <c r="AF704" i="21" s="1"/>
  <c r="AC706" i="21"/>
  <c r="AF706" i="21" s="1"/>
  <c r="AC708" i="21"/>
  <c r="AF708" i="21" s="1"/>
  <c r="AC710" i="21"/>
  <c r="AF710" i="21" s="1"/>
  <c r="AC712" i="21"/>
  <c r="AF712" i="21" s="1"/>
  <c r="AC714" i="21"/>
  <c r="AF714" i="21" s="1"/>
  <c r="AC716" i="21"/>
  <c r="AF716" i="21" s="1"/>
  <c r="AC718" i="21"/>
  <c r="AF718" i="21" s="1"/>
  <c r="AC720" i="21"/>
  <c r="AF720" i="21" s="1"/>
  <c r="AC722" i="21"/>
  <c r="AF722" i="21" s="1"/>
  <c r="AC724" i="21"/>
  <c r="AF724" i="21" s="1"/>
  <c r="AC726" i="21"/>
  <c r="AF726" i="21" s="1"/>
  <c r="AC728" i="21"/>
  <c r="AF728" i="21" s="1"/>
  <c r="AC730" i="21"/>
  <c r="AF730" i="21" s="1"/>
  <c r="AC732" i="21"/>
  <c r="AF732" i="21" s="1"/>
  <c r="AC734" i="21"/>
  <c r="AF734" i="21" s="1"/>
  <c r="AC736" i="21"/>
  <c r="AF736" i="21" s="1"/>
  <c r="AC738" i="21"/>
  <c r="AF738" i="21" s="1"/>
  <c r="AC740" i="21"/>
  <c r="AF740" i="21" s="1"/>
  <c r="AC742" i="21"/>
  <c r="AF742" i="21" s="1"/>
  <c r="AC744" i="21"/>
  <c r="AF744" i="21" s="1"/>
  <c r="AC746" i="21"/>
  <c r="AF746" i="21" s="1"/>
  <c r="AC748" i="21"/>
  <c r="AF748" i="21" s="1"/>
  <c r="AC750" i="21"/>
  <c r="AF750" i="21" s="1"/>
  <c r="AC752" i="21"/>
  <c r="AF752" i="21" s="1"/>
  <c r="AC754" i="21"/>
  <c r="AF754" i="21" s="1"/>
  <c r="AC756" i="21"/>
  <c r="AF756" i="21" s="1"/>
  <c r="AC758" i="21"/>
  <c r="AF758" i="21" s="1"/>
  <c r="AC760" i="21"/>
  <c r="AF760" i="21" s="1"/>
  <c r="AC762" i="21"/>
  <c r="AF762" i="21" s="1"/>
  <c r="AC764" i="21"/>
  <c r="AF764" i="21" s="1"/>
  <c r="AC766" i="21"/>
  <c r="AF766" i="21" s="1"/>
  <c r="AC768" i="21"/>
  <c r="AF768" i="21" s="1"/>
  <c r="AC770" i="21"/>
  <c r="AF770" i="21" s="1"/>
  <c r="AC772" i="21"/>
  <c r="AF772" i="21" s="1"/>
  <c r="AC774" i="21"/>
  <c r="AF774" i="21" s="1"/>
  <c r="AC776" i="21"/>
  <c r="AF776" i="21" s="1"/>
  <c r="AC778" i="21"/>
  <c r="AF778" i="21" s="1"/>
  <c r="AC780" i="21"/>
  <c r="AF780" i="21" s="1"/>
  <c r="AC782" i="21"/>
  <c r="AF782" i="21" s="1"/>
  <c r="AC784" i="21"/>
  <c r="AF784" i="21" s="1"/>
  <c r="AC786" i="21"/>
  <c r="AF786" i="21" s="1"/>
  <c r="AC788" i="21"/>
  <c r="AF788" i="21" s="1"/>
  <c r="AC790" i="21"/>
  <c r="AF790" i="21" s="1"/>
  <c r="AC792" i="21"/>
  <c r="AF792" i="21" s="1"/>
  <c r="AC794" i="21"/>
  <c r="AF794" i="21" s="1"/>
  <c r="AC796" i="21"/>
  <c r="AF796" i="21" s="1"/>
  <c r="AC798" i="21"/>
  <c r="AF798" i="21" s="1"/>
  <c r="AC800" i="21"/>
  <c r="AF800" i="21" s="1"/>
  <c r="AC802" i="21"/>
  <c r="AF802" i="21" s="1"/>
  <c r="AC804" i="21"/>
  <c r="AF804" i="21" s="1"/>
  <c r="AC806" i="21"/>
  <c r="AF806" i="21" s="1"/>
  <c r="AC808" i="21"/>
  <c r="AF808" i="21" s="1"/>
  <c r="AC810" i="21"/>
  <c r="AF810" i="21" s="1"/>
  <c r="AC812" i="21"/>
  <c r="AF812" i="21" s="1"/>
  <c r="AC814" i="21"/>
  <c r="AF814" i="21" s="1"/>
  <c r="AC816" i="21"/>
  <c r="AF816" i="21" s="1"/>
  <c r="AC818" i="21"/>
  <c r="AF818" i="21" s="1"/>
  <c r="AC820" i="21"/>
  <c r="AF820" i="21" s="1"/>
  <c r="AC822" i="21"/>
  <c r="AF822" i="21" s="1"/>
  <c r="AC824" i="21"/>
  <c r="AF824" i="21" s="1"/>
  <c r="AC826" i="21"/>
  <c r="AF826" i="21" s="1"/>
  <c r="AC828" i="21"/>
  <c r="AF828" i="21" s="1"/>
  <c r="AC830" i="21"/>
  <c r="AF830" i="21" s="1"/>
  <c r="AC832" i="21"/>
  <c r="AF832" i="21" s="1"/>
  <c r="AC834" i="21"/>
  <c r="AF834" i="21" s="1"/>
  <c r="AC836" i="21"/>
  <c r="AF836" i="21" s="1"/>
  <c r="AC838" i="21"/>
  <c r="AF838" i="21" s="1"/>
  <c r="AC840" i="21"/>
  <c r="AF840" i="21" s="1"/>
  <c r="AC842" i="21"/>
  <c r="AF842" i="21" s="1"/>
  <c r="AC844" i="21"/>
  <c r="AF844" i="21" s="1"/>
  <c r="AC846" i="21"/>
  <c r="AF846" i="21" s="1"/>
  <c r="AC848" i="21"/>
  <c r="AF848" i="21" s="1"/>
  <c r="AC850" i="21"/>
  <c r="AF850" i="21" s="1"/>
  <c r="AC852" i="21"/>
  <c r="AF852" i="21" s="1"/>
  <c r="AC854" i="21"/>
  <c r="AF854" i="21" s="1"/>
  <c r="AC856" i="21"/>
  <c r="AF856" i="21" s="1"/>
  <c r="AC858" i="21"/>
  <c r="AF858" i="21" s="1"/>
  <c r="AC860" i="21"/>
  <c r="AF860" i="21" s="1"/>
  <c r="AC862" i="21"/>
  <c r="AF862" i="21" s="1"/>
  <c r="AC864" i="21"/>
  <c r="AF864" i="21" s="1"/>
  <c r="AC866" i="21"/>
  <c r="AF866" i="21" s="1"/>
  <c r="AC868" i="21"/>
  <c r="AF868" i="21" s="1"/>
  <c r="AC870" i="21"/>
  <c r="AF870" i="21" s="1"/>
  <c r="AC872" i="21"/>
  <c r="AF872" i="21" s="1"/>
  <c r="AC874" i="21"/>
  <c r="AF874" i="21" s="1"/>
  <c r="AC876" i="21"/>
  <c r="AF876" i="21" s="1"/>
  <c r="AC878" i="21"/>
  <c r="AF878" i="21" s="1"/>
  <c r="AC880" i="21"/>
  <c r="AF880" i="21" s="1"/>
  <c r="AC882" i="21"/>
  <c r="AF882" i="21" s="1"/>
  <c r="AC884" i="21"/>
  <c r="AF884" i="21" s="1"/>
  <c r="AC886" i="21"/>
  <c r="AF886" i="21" s="1"/>
  <c r="AC888" i="21"/>
  <c r="AF888" i="21" s="1"/>
  <c r="AC890" i="21"/>
  <c r="AF890" i="21" s="1"/>
  <c r="AC892" i="21"/>
  <c r="AF892" i="21" s="1"/>
  <c r="AC894" i="21"/>
  <c r="AF894" i="21" s="1"/>
  <c r="AC896" i="21"/>
  <c r="AF896" i="21" s="1"/>
  <c r="AC898" i="21"/>
  <c r="AF898" i="21" s="1"/>
  <c r="AC900" i="21"/>
  <c r="AF900" i="21" s="1"/>
  <c r="AC902" i="21"/>
  <c r="AF902" i="21" s="1"/>
  <c r="AC904" i="21"/>
  <c r="AF904" i="21" s="1"/>
  <c r="AC906" i="21"/>
  <c r="AF906" i="21" s="1"/>
  <c r="AC908" i="21"/>
  <c r="AF908" i="21" s="1"/>
  <c r="AC910" i="21"/>
  <c r="AF910" i="21" s="1"/>
  <c r="AC912" i="21"/>
  <c r="AF912" i="21" s="1"/>
  <c r="AC914" i="21"/>
  <c r="AF914" i="21" s="1"/>
  <c r="AC916" i="21"/>
  <c r="AF916" i="21" s="1"/>
  <c r="AC918" i="21"/>
  <c r="AF918" i="21" s="1"/>
  <c r="AC920" i="21"/>
  <c r="AF920" i="21" s="1"/>
  <c r="AC922" i="21"/>
  <c r="AF922" i="21" s="1"/>
  <c r="AC924" i="21"/>
  <c r="AF924" i="21" s="1"/>
  <c r="AC926" i="21"/>
  <c r="AF926" i="21" s="1"/>
  <c r="AC928" i="21"/>
  <c r="AF928" i="21" s="1"/>
  <c r="AC930" i="21"/>
  <c r="AF930" i="21" s="1"/>
  <c r="AC932" i="21"/>
  <c r="AF932" i="21" s="1"/>
  <c r="AC934" i="21"/>
  <c r="AF934" i="21" s="1"/>
  <c r="AC936" i="21"/>
  <c r="AF936" i="21" s="1"/>
  <c r="AC938" i="21"/>
  <c r="AF938" i="21" s="1"/>
  <c r="AC940" i="21"/>
  <c r="AF940" i="21" s="1"/>
  <c r="AC942" i="21"/>
  <c r="AF942" i="21" s="1"/>
  <c r="AC944" i="21"/>
  <c r="AF944" i="21" s="1"/>
  <c r="AC946" i="21"/>
  <c r="AF946" i="21" s="1"/>
  <c r="AC948" i="21"/>
  <c r="AF948" i="21" s="1"/>
  <c r="AC950" i="21"/>
  <c r="AF950" i="21" s="1"/>
  <c r="AC952" i="21"/>
  <c r="AF952" i="21" s="1"/>
  <c r="AC954" i="21"/>
  <c r="AF954" i="21" s="1"/>
  <c r="AC956" i="21"/>
  <c r="AF956" i="21" s="1"/>
  <c r="AC958" i="21"/>
  <c r="AF958" i="21" s="1"/>
  <c r="AC960" i="21"/>
  <c r="AF960" i="21" s="1"/>
  <c r="AC962" i="21"/>
  <c r="AF962" i="21" s="1"/>
  <c r="AC964" i="21"/>
  <c r="AF964" i="21" s="1"/>
  <c r="AC966" i="21"/>
  <c r="AF966" i="21" s="1"/>
  <c r="AC968" i="21"/>
  <c r="AF968" i="21" s="1"/>
  <c r="AC970" i="21"/>
  <c r="AF970" i="21" s="1"/>
  <c r="AC972" i="21"/>
  <c r="AF972" i="21" s="1"/>
  <c r="AC974" i="21"/>
  <c r="AF974" i="21" s="1"/>
  <c r="AC976" i="21"/>
  <c r="AF976" i="21" s="1"/>
  <c r="AC978" i="21"/>
  <c r="AF978" i="21" s="1"/>
  <c r="AC980" i="21"/>
  <c r="AF980" i="21" s="1"/>
  <c r="AC982" i="21"/>
  <c r="AF982" i="21" s="1"/>
  <c r="AC984" i="21"/>
  <c r="AF984" i="21" s="1"/>
  <c r="AC986" i="21"/>
  <c r="AF986" i="21" s="1"/>
  <c r="AC988" i="21"/>
  <c r="AF988" i="21" s="1"/>
  <c r="AC990" i="21"/>
  <c r="AF990" i="21" s="1"/>
  <c r="AC992" i="21"/>
  <c r="AF992" i="21" s="1"/>
  <c r="AC994" i="21"/>
  <c r="AF994" i="21" s="1"/>
  <c r="AC996" i="21"/>
  <c r="AF996" i="21" s="1"/>
  <c r="AC998" i="21"/>
  <c r="AF998" i="21" s="1"/>
  <c r="AC1000" i="21"/>
  <c r="AF1000" i="21" s="1"/>
  <c r="AC1002" i="21"/>
  <c r="AF1002" i="21" s="1"/>
  <c r="AC1004" i="21"/>
  <c r="AF1004" i="21" s="1"/>
  <c r="AC1006" i="21"/>
  <c r="AF1006" i="21" s="1"/>
  <c r="AC1008" i="21"/>
  <c r="AF1008" i="21" s="1"/>
  <c r="AC1010" i="21"/>
  <c r="AF1010" i="21" s="1"/>
  <c r="AC1012" i="21"/>
  <c r="AF1012" i="21" s="1"/>
  <c r="AC1014" i="21"/>
  <c r="AF1014" i="21" s="1"/>
  <c r="AC1016" i="21"/>
  <c r="AF1016" i="21" s="1"/>
  <c r="AC1018" i="21"/>
  <c r="AF1018" i="21" s="1"/>
  <c r="AC1020" i="21"/>
  <c r="AF1020" i="21" s="1"/>
  <c r="AC1022" i="21"/>
  <c r="AF1022" i="21" s="1"/>
  <c r="AC1024" i="21"/>
  <c r="AF1024" i="21" s="1"/>
  <c r="AC1026" i="21"/>
  <c r="AF1026" i="21" s="1"/>
  <c r="AC1028" i="21"/>
  <c r="AF1028" i="21" s="1"/>
  <c r="AC1030" i="21"/>
  <c r="AF1030" i="21" s="1"/>
  <c r="AC1032" i="21"/>
  <c r="AF1032" i="21" s="1"/>
  <c r="AC1034" i="21"/>
  <c r="AF1034" i="21" s="1"/>
  <c r="AC1036" i="21"/>
  <c r="AF1036" i="21" s="1"/>
  <c r="AC1038" i="21"/>
  <c r="AF1038" i="21" s="1"/>
  <c r="AC1040" i="21"/>
  <c r="AF1040" i="21" s="1"/>
  <c r="AC1042" i="21"/>
  <c r="AF1042" i="21" s="1"/>
  <c r="AC1044" i="21"/>
  <c r="AF1044" i="21" s="1"/>
  <c r="AC1046" i="21"/>
  <c r="AF1046" i="21" s="1"/>
  <c r="AC1048" i="21"/>
  <c r="AF1048" i="21" s="1"/>
  <c r="AC1050" i="21"/>
  <c r="AF1050" i="21" s="1"/>
  <c r="AC1052" i="21"/>
  <c r="AF1052" i="21" s="1"/>
  <c r="AC1054" i="21"/>
  <c r="AF1054" i="21" s="1"/>
  <c r="AC1056" i="21"/>
  <c r="AF1056" i="21" s="1"/>
  <c r="AC1058" i="21"/>
  <c r="AF1058" i="21" s="1"/>
  <c r="AC1060" i="21"/>
  <c r="AF1060" i="21" s="1"/>
  <c r="AC1062" i="21"/>
  <c r="AF1062" i="21" s="1"/>
  <c r="AC1064" i="21"/>
  <c r="AF1064" i="21" s="1"/>
  <c r="AC1066" i="21"/>
  <c r="AF1066" i="21" s="1"/>
  <c r="AC1068" i="21"/>
  <c r="AF1068" i="21" s="1"/>
  <c r="AC1070" i="21"/>
  <c r="AF1070" i="21" s="1"/>
  <c r="AC1072" i="21"/>
  <c r="AF1072" i="21" s="1"/>
  <c r="AC1074" i="21"/>
  <c r="AF1074" i="21" s="1"/>
  <c r="AC1076" i="21"/>
  <c r="AF1076" i="21" s="1"/>
  <c r="AC1078" i="21"/>
  <c r="AF1078" i="21" s="1"/>
  <c r="AC1080" i="21"/>
  <c r="AF1080" i="21" s="1"/>
  <c r="AC1082" i="21"/>
  <c r="AF1082" i="21" s="1"/>
  <c r="AC1084" i="21"/>
  <c r="AF1084" i="21" s="1"/>
  <c r="AC1086" i="21"/>
  <c r="AF1086" i="21" s="1"/>
  <c r="AC1088" i="21"/>
  <c r="AF1088" i="21" s="1"/>
  <c r="AC1090" i="21"/>
  <c r="AF1090" i="21" s="1"/>
  <c r="AC1092" i="21"/>
  <c r="AF1092" i="21" s="1"/>
  <c r="AC1094" i="21"/>
  <c r="AF1094" i="21" s="1"/>
  <c r="AC1096" i="21"/>
  <c r="AF1096" i="21" s="1"/>
  <c r="AC1098" i="21"/>
  <c r="AF1098" i="21" s="1"/>
  <c r="AC1100" i="21"/>
  <c r="AF1100" i="21" s="1"/>
  <c r="AC1102" i="21"/>
  <c r="AF1102" i="21" s="1"/>
  <c r="AC1104" i="21"/>
  <c r="AF1104" i="21" s="1"/>
  <c r="AC1106" i="21"/>
  <c r="AF1106" i="21" s="1"/>
  <c r="AC1108" i="21"/>
  <c r="AF1108" i="21" s="1"/>
  <c r="AC1110" i="21"/>
  <c r="AF1110" i="21" s="1"/>
  <c r="AC1112" i="21"/>
  <c r="AF1112" i="21" s="1"/>
  <c r="AC1114" i="21"/>
  <c r="AF1114" i="21" s="1"/>
  <c r="AC1116" i="21"/>
  <c r="AF1116" i="21" s="1"/>
  <c r="AC1118" i="21"/>
  <c r="AF1118" i="21" s="1"/>
  <c r="AC1120" i="21"/>
  <c r="AF1120" i="21" s="1"/>
  <c r="AC1122" i="21"/>
  <c r="AF1122" i="21" s="1"/>
  <c r="AC1124" i="21"/>
  <c r="AF1124" i="21" s="1"/>
  <c r="AC1126" i="21"/>
  <c r="AF1126" i="21" s="1"/>
  <c r="AC1128" i="21"/>
  <c r="AF1128" i="21" s="1"/>
  <c r="AC1130" i="21"/>
  <c r="AF1130" i="21" s="1"/>
  <c r="AC1132" i="21"/>
  <c r="AF1132" i="21" s="1"/>
  <c r="AC1134" i="21"/>
  <c r="AF1134" i="21" s="1"/>
  <c r="AC1136" i="21"/>
  <c r="AF1136" i="21" s="1"/>
  <c r="AC1138" i="21"/>
  <c r="AF1138" i="21" s="1"/>
  <c r="AC1140" i="21"/>
  <c r="AF1140" i="21" s="1"/>
  <c r="AC1142" i="21"/>
  <c r="AF1142" i="21" s="1"/>
  <c r="AC1144" i="21"/>
  <c r="AF1144" i="21" s="1"/>
  <c r="AC1146" i="21"/>
  <c r="AF1146" i="21" s="1"/>
  <c r="AC1148" i="21"/>
  <c r="AF1148" i="21" s="1"/>
  <c r="AC1150" i="21"/>
  <c r="AF1150" i="21" s="1"/>
  <c r="AC1152" i="21"/>
  <c r="AF1152" i="21" s="1"/>
  <c r="AC1154" i="21"/>
  <c r="AF1154" i="21" s="1"/>
  <c r="AC1156" i="21"/>
  <c r="AF1156" i="21" s="1"/>
  <c r="AC1158" i="21"/>
  <c r="AF1158" i="21" s="1"/>
  <c r="AC1160" i="21"/>
  <c r="AF1160" i="21" s="1"/>
  <c r="AC1162" i="21"/>
  <c r="AF1162" i="21" s="1"/>
  <c r="AC1164" i="21"/>
  <c r="AF1164" i="21" s="1"/>
  <c r="AC1166" i="21"/>
  <c r="AF1166" i="21" s="1"/>
  <c r="AC1168" i="21"/>
  <c r="AF1168" i="21" s="1"/>
  <c r="AC1170" i="21"/>
  <c r="AF1170" i="21" s="1"/>
  <c r="AC1172" i="21"/>
  <c r="AF1172" i="21" s="1"/>
  <c r="AC1174" i="21"/>
  <c r="AF1174" i="21" s="1"/>
  <c r="AC1176" i="21"/>
  <c r="AF1176" i="21" s="1"/>
  <c r="AC1178" i="21"/>
  <c r="AF1178" i="21" s="1"/>
  <c r="AC1180" i="21"/>
  <c r="AF1180" i="21" s="1"/>
  <c r="AC1182" i="21"/>
  <c r="AF1182" i="21" s="1"/>
  <c r="AC1184" i="21"/>
  <c r="AF1184" i="21" s="1"/>
  <c r="AC1186" i="21"/>
  <c r="AF1186" i="21" s="1"/>
  <c r="AC1188" i="21"/>
  <c r="AF1188" i="21" s="1"/>
  <c r="AC1190" i="21"/>
  <c r="AF1190" i="21" s="1"/>
  <c r="AC1192" i="21"/>
  <c r="AF1192" i="21" s="1"/>
  <c r="AC1194" i="21"/>
  <c r="AF1194" i="21" s="1"/>
  <c r="AC1196" i="21"/>
  <c r="AF1196" i="21" s="1"/>
  <c r="AC1198" i="21"/>
  <c r="AF1198" i="21" s="1"/>
  <c r="AC1200" i="21"/>
  <c r="AF1200" i="21" s="1"/>
  <c r="AC1202" i="21"/>
  <c r="AF1202" i="21" s="1"/>
  <c r="AC1204" i="21"/>
  <c r="AF1204" i="21" s="1"/>
  <c r="AE6" i="26"/>
  <c r="AF6" i="26" s="1"/>
  <c r="AE8" i="26"/>
  <c r="AE10" i="26"/>
  <c r="AF10" i="26" s="1"/>
  <c r="AE12" i="26"/>
  <c r="AF12" i="26" s="1"/>
  <c r="AE14" i="26"/>
  <c r="AF14" i="26" s="1"/>
  <c r="AE16" i="26"/>
  <c r="AF16" i="26" s="1"/>
  <c r="AE18" i="26"/>
  <c r="AF18" i="26" s="1"/>
  <c r="AE20" i="26"/>
  <c r="AF20" i="26" s="1"/>
  <c r="AE22" i="26"/>
  <c r="AF22" i="26" s="1"/>
  <c r="AE24" i="26"/>
  <c r="AF24" i="26" s="1"/>
  <c r="AE26" i="26"/>
  <c r="AF26" i="26" s="1"/>
  <c r="AE28" i="26"/>
  <c r="AF28" i="26" s="1"/>
  <c r="AE30" i="26"/>
  <c r="AF30" i="26" s="1"/>
  <c r="AE32" i="26"/>
  <c r="AF32" i="26" s="1"/>
  <c r="AE34" i="26"/>
  <c r="AF34" i="26" s="1"/>
  <c r="AE36" i="26"/>
  <c r="AF36" i="26" s="1"/>
  <c r="AE38" i="26"/>
  <c r="AF38" i="26" s="1"/>
  <c r="AE40" i="26"/>
  <c r="AF40" i="26" s="1"/>
  <c r="AE42" i="26"/>
  <c r="AF42" i="26" s="1"/>
  <c r="AE44" i="26"/>
  <c r="AF44" i="26" s="1"/>
  <c r="AE46" i="26"/>
  <c r="AF46" i="26" s="1"/>
  <c r="AE48" i="26"/>
  <c r="AF48" i="26" s="1"/>
  <c r="AE50" i="26"/>
  <c r="AF50" i="26" s="1"/>
  <c r="AE52" i="26"/>
  <c r="AF52" i="26" s="1"/>
  <c r="AE54" i="26"/>
  <c r="AF54" i="26" s="1"/>
  <c r="AE7" i="26"/>
  <c r="AF7" i="26" s="1"/>
  <c r="AE9" i="26"/>
  <c r="AF9" i="26" s="1"/>
  <c r="AE11" i="26"/>
  <c r="AE13" i="26"/>
  <c r="AF13" i="26" s="1"/>
  <c r="AE15" i="26"/>
  <c r="AF15" i="26" s="1"/>
  <c r="AE17" i="26"/>
  <c r="AF17" i="26" s="1"/>
  <c r="AE19" i="26"/>
  <c r="AE21" i="26"/>
  <c r="AF21" i="26" s="1"/>
  <c r="AE23" i="26"/>
  <c r="AF23" i="26" s="1"/>
  <c r="AE25" i="26"/>
  <c r="AF25" i="26" s="1"/>
  <c r="AE27" i="26"/>
  <c r="AE29" i="26"/>
  <c r="AF29" i="26" s="1"/>
  <c r="AE31" i="26"/>
  <c r="AF31" i="26" s="1"/>
  <c r="AE33" i="26"/>
  <c r="AF33" i="26" s="1"/>
  <c r="AE35" i="26"/>
  <c r="AE37" i="26"/>
  <c r="AF37" i="26" s="1"/>
  <c r="AE39" i="26"/>
  <c r="AF39" i="26" s="1"/>
  <c r="AE41" i="26"/>
  <c r="AF41" i="26" s="1"/>
  <c r="AE43" i="26"/>
  <c r="AE45" i="26"/>
  <c r="AF45" i="26" s="1"/>
  <c r="AE47" i="26"/>
  <c r="AF47" i="26" s="1"/>
  <c r="AE49" i="26"/>
  <c r="AF49" i="26" s="1"/>
  <c r="AE51" i="26"/>
  <c r="AE53" i="26"/>
  <c r="AF53" i="26" s="1"/>
  <c r="AC17" i="27"/>
  <c r="AF17" i="27" s="1"/>
  <c r="AC19" i="27"/>
  <c r="AF19" i="27" s="1"/>
  <c r="AC21" i="27"/>
  <c r="AF21" i="27" s="1"/>
  <c r="AC23" i="27"/>
  <c r="AF23" i="27" s="1"/>
  <c r="AC25" i="27"/>
  <c r="AF25" i="27" s="1"/>
  <c r="AC27" i="27"/>
  <c r="AF27" i="27" s="1"/>
  <c r="AC29" i="27"/>
  <c r="AF29" i="27" s="1"/>
  <c r="AC31" i="27"/>
  <c r="AF31" i="27" s="1"/>
  <c r="AC33" i="27"/>
  <c r="AF33" i="27" s="1"/>
  <c r="AC35" i="27"/>
  <c r="AF35" i="27" s="1"/>
  <c r="AC37" i="27"/>
  <c r="AF37" i="27" s="1"/>
  <c r="AC39" i="27"/>
  <c r="AF39" i="27" s="1"/>
  <c r="AC41" i="27"/>
  <c r="AF41" i="27" s="1"/>
  <c r="AC43" i="27"/>
  <c r="AF43" i="27" s="1"/>
  <c r="AC45" i="27"/>
  <c r="AF45" i="27" s="1"/>
  <c r="AC47" i="27"/>
  <c r="AF47" i="27" s="1"/>
  <c r="AC49" i="27"/>
  <c r="AF49" i="27" s="1"/>
  <c r="AC51" i="27"/>
  <c r="AF51" i="27" s="1"/>
  <c r="AC53" i="27"/>
  <c r="AF53" i="27" s="1"/>
  <c r="AC55" i="27"/>
  <c r="AF55" i="27" s="1"/>
  <c r="AC57" i="27"/>
  <c r="AF57" i="27" s="1"/>
  <c r="AC59" i="27"/>
  <c r="AF59" i="27" s="1"/>
  <c r="AC61" i="27"/>
  <c r="AF61" i="27" s="1"/>
  <c r="AC63" i="27"/>
  <c r="AF63" i="27" s="1"/>
  <c r="AC65" i="27"/>
  <c r="AF65" i="27" s="1"/>
  <c r="AC67" i="27"/>
  <c r="AF67" i="27" s="1"/>
  <c r="AC69" i="27"/>
  <c r="AF69" i="27" s="1"/>
  <c r="AC71" i="27"/>
  <c r="AF71" i="27" s="1"/>
  <c r="AC73" i="27"/>
  <c r="AF73" i="27" s="1"/>
  <c r="AC75" i="27"/>
  <c r="AF75" i="27" s="1"/>
  <c r="AC77" i="27"/>
  <c r="AF77" i="27" s="1"/>
  <c r="AC79" i="27"/>
  <c r="AF79" i="27" s="1"/>
  <c r="AC81" i="27"/>
  <c r="AF81" i="27" s="1"/>
  <c r="AC83" i="27"/>
  <c r="AF83" i="27" s="1"/>
  <c r="AC85" i="27"/>
  <c r="AF85" i="27" s="1"/>
  <c r="AC87" i="27"/>
  <c r="AF87" i="27" s="1"/>
  <c r="AC89" i="27"/>
  <c r="AF89" i="27" s="1"/>
  <c r="AC91" i="27"/>
  <c r="AF91" i="27" s="1"/>
  <c r="AC93" i="27"/>
  <c r="AF93" i="27" s="1"/>
  <c r="AC95" i="27"/>
  <c r="AF95" i="27" s="1"/>
  <c r="AC97" i="27"/>
  <c r="AF97" i="27" s="1"/>
  <c r="AC99" i="27"/>
  <c r="AF99" i="27" s="1"/>
  <c r="AC101" i="27"/>
  <c r="AF101" i="27" s="1"/>
  <c r="AC103" i="27"/>
  <c r="AF103" i="27" s="1"/>
  <c r="AC105" i="27"/>
  <c r="AF105" i="27" s="1"/>
  <c r="AC107" i="27"/>
  <c r="AF107" i="27" s="1"/>
  <c r="AC109" i="27"/>
  <c r="AF109" i="27" s="1"/>
  <c r="AC111" i="27"/>
  <c r="AF111" i="27" s="1"/>
  <c r="AC113" i="27"/>
  <c r="AF113" i="27" s="1"/>
  <c r="AC115" i="27"/>
  <c r="AF115" i="27" s="1"/>
  <c r="AC117" i="27"/>
  <c r="AF117" i="27" s="1"/>
  <c r="AC119" i="27"/>
  <c r="AF119" i="27" s="1"/>
  <c r="AC16" i="27"/>
  <c r="AF16" i="27" s="1"/>
  <c r="AC18" i="27"/>
  <c r="AF18" i="27" s="1"/>
  <c r="AC20" i="27"/>
  <c r="AF20" i="27" s="1"/>
  <c r="AC22" i="27"/>
  <c r="AF22" i="27" s="1"/>
  <c r="AC24" i="27"/>
  <c r="AF24" i="27" s="1"/>
  <c r="AC26" i="27"/>
  <c r="AF26" i="27" s="1"/>
  <c r="AC28" i="27"/>
  <c r="AF28" i="27" s="1"/>
  <c r="AC30" i="27"/>
  <c r="AF30" i="27" s="1"/>
  <c r="AC32" i="27"/>
  <c r="AF32" i="27" s="1"/>
  <c r="AC34" i="27"/>
  <c r="AF34" i="27" s="1"/>
  <c r="AC36" i="27"/>
  <c r="AF36" i="27" s="1"/>
  <c r="AC38" i="27"/>
  <c r="AF38" i="27" s="1"/>
  <c r="AC40" i="27"/>
  <c r="AF40" i="27" s="1"/>
  <c r="AC42" i="27"/>
  <c r="AF42" i="27" s="1"/>
  <c r="AC44" i="27"/>
  <c r="AF44" i="27" s="1"/>
  <c r="AC46" i="27"/>
  <c r="AF46" i="27" s="1"/>
  <c r="AC48" i="27"/>
  <c r="AF48" i="27" s="1"/>
  <c r="AC50" i="27"/>
  <c r="AF50" i="27" s="1"/>
  <c r="AC52" i="27"/>
  <c r="AF52" i="27" s="1"/>
  <c r="AC54" i="27"/>
  <c r="AF54" i="27" s="1"/>
  <c r="AC56" i="27"/>
  <c r="AF56" i="27" s="1"/>
  <c r="AC58" i="27"/>
  <c r="AF58" i="27" s="1"/>
  <c r="AC60" i="27"/>
  <c r="AF60" i="27" s="1"/>
  <c r="AC62" i="27"/>
  <c r="AF62" i="27" s="1"/>
  <c r="AC64" i="27"/>
  <c r="AF64" i="27" s="1"/>
  <c r="AC66" i="27"/>
  <c r="AF66" i="27" s="1"/>
  <c r="AC68" i="27"/>
  <c r="AF68" i="27" s="1"/>
  <c r="AC70" i="27"/>
  <c r="AF70" i="27" s="1"/>
  <c r="AC72" i="27"/>
  <c r="AF72" i="27" s="1"/>
  <c r="AC74" i="27"/>
  <c r="AF74" i="27" s="1"/>
  <c r="AC76" i="27"/>
  <c r="AF76" i="27" s="1"/>
  <c r="AC78" i="27"/>
  <c r="AF78" i="27" s="1"/>
  <c r="AC80" i="27"/>
  <c r="AF80" i="27" s="1"/>
  <c r="AC82" i="27"/>
  <c r="AF82" i="27" s="1"/>
  <c r="AC84" i="27"/>
  <c r="AF84" i="27" s="1"/>
  <c r="AC86" i="27"/>
  <c r="AF86" i="27" s="1"/>
  <c r="AC88" i="27"/>
  <c r="AF88" i="27" s="1"/>
  <c r="AC90" i="27"/>
  <c r="AF90" i="27" s="1"/>
  <c r="AC92" i="27"/>
  <c r="AF92" i="27" s="1"/>
  <c r="AC94" i="27"/>
  <c r="AF94" i="27" s="1"/>
  <c r="AC96" i="27"/>
  <c r="AF96" i="27" s="1"/>
  <c r="AC98" i="27"/>
  <c r="AF98" i="27" s="1"/>
  <c r="AC100" i="27"/>
  <c r="AF100" i="27" s="1"/>
  <c r="AC102" i="27"/>
  <c r="AF102" i="27" s="1"/>
  <c r="AC104" i="27"/>
  <c r="AF104" i="27" s="1"/>
  <c r="AC106" i="27"/>
  <c r="AF106" i="27" s="1"/>
  <c r="AC108" i="27"/>
  <c r="AF108" i="27" s="1"/>
  <c r="AC110" i="27"/>
  <c r="AF110" i="27" s="1"/>
  <c r="AC112" i="27"/>
  <c r="AF112" i="27" s="1"/>
  <c r="AC114" i="27"/>
  <c r="AF114" i="27" s="1"/>
  <c r="AC116" i="27"/>
  <c r="AF116" i="27" s="1"/>
  <c r="AC118" i="27"/>
  <c r="AF118" i="27" s="1"/>
  <c r="AE17" i="28"/>
  <c r="AF17" i="28" s="1"/>
  <c r="AE19" i="28"/>
  <c r="AF19" i="28" s="1"/>
  <c r="AE21" i="28"/>
  <c r="AF21" i="28" s="1"/>
  <c r="AE23" i="28"/>
  <c r="AF23" i="28" s="1"/>
  <c r="AE25" i="28"/>
  <c r="AF25" i="28" s="1"/>
  <c r="AE27" i="28"/>
  <c r="AF27" i="28" s="1"/>
  <c r="AE29" i="28"/>
  <c r="AF29" i="28" s="1"/>
  <c r="AE31" i="28"/>
  <c r="AF31" i="28" s="1"/>
  <c r="AE33" i="28"/>
  <c r="AF33" i="28" s="1"/>
  <c r="AE35" i="28"/>
  <c r="AF35" i="28" s="1"/>
  <c r="AE37" i="28"/>
  <c r="AF37" i="28" s="1"/>
  <c r="AE39" i="28"/>
  <c r="AF39" i="28" s="1"/>
  <c r="AE41" i="28"/>
  <c r="AF41" i="28" s="1"/>
  <c r="AE43" i="28"/>
  <c r="AF43" i="28" s="1"/>
  <c r="AE45" i="28"/>
  <c r="AF45" i="28" s="1"/>
  <c r="AE47" i="28"/>
  <c r="AF47" i="28" s="1"/>
  <c r="AE49" i="28"/>
  <c r="AF49" i="28" s="1"/>
  <c r="AE51" i="28"/>
  <c r="AF51" i="28" s="1"/>
  <c r="AE53" i="28"/>
  <c r="AF53" i="28" s="1"/>
  <c r="AE55" i="28"/>
  <c r="AF55" i="28" s="1"/>
  <c r="AE57" i="28"/>
  <c r="AF57" i="28" s="1"/>
  <c r="AE59" i="28"/>
  <c r="AF59" i="28" s="1"/>
  <c r="AE61" i="28"/>
  <c r="AF61" i="28" s="1"/>
  <c r="AE63" i="28"/>
  <c r="AF63" i="28" s="1"/>
  <c r="AE65" i="28"/>
  <c r="AF65" i="28" s="1"/>
  <c r="AE67" i="28"/>
  <c r="AF67" i="28" s="1"/>
  <c r="AE69" i="28"/>
  <c r="AF69" i="28" s="1"/>
  <c r="AE71" i="28"/>
  <c r="AF71" i="28" s="1"/>
  <c r="AE73" i="28"/>
  <c r="AF73" i="28" s="1"/>
  <c r="AE75" i="28"/>
  <c r="AF75" i="28" s="1"/>
  <c r="AE77" i="28"/>
  <c r="AF77" i="28" s="1"/>
  <c r="AE79" i="28"/>
  <c r="AF79" i="28" s="1"/>
  <c r="AE81" i="28"/>
  <c r="AF81" i="28" s="1"/>
  <c r="AE83" i="28"/>
  <c r="AF83" i="28" s="1"/>
  <c r="AE85" i="28"/>
  <c r="AF85" i="28" s="1"/>
  <c r="AE87" i="28"/>
  <c r="AF87" i="28" s="1"/>
  <c r="AE89" i="28"/>
  <c r="AF89" i="28" s="1"/>
  <c r="AE91" i="28"/>
  <c r="AF91" i="28" s="1"/>
  <c r="AE93" i="28"/>
  <c r="AF93" i="28" s="1"/>
  <c r="AE95" i="28"/>
  <c r="AF95" i="28" s="1"/>
  <c r="AE97" i="28"/>
  <c r="AF97" i="28" s="1"/>
  <c r="AE99" i="28"/>
  <c r="AF99" i="28" s="1"/>
  <c r="AE101" i="28"/>
  <c r="AF101" i="28" s="1"/>
  <c r="AE103" i="28"/>
  <c r="AF103" i="28" s="1"/>
  <c r="AE105" i="28"/>
  <c r="AF105" i="28" s="1"/>
  <c r="AE107" i="28"/>
  <c r="AF107" i="28" s="1"/>
  <c r="AE109" i="28"/>
  <c r="AF109" i="28" s="1"/>
  <c r="AE111" i="28"/>
  <c r="AF111" i="28" s="1"/>
  <c r="AE113" i="28"/>
  <c r="AF113" i="28" s="1"/>
  <c r="AE115" i="28"/>
  <c r="AF115" i="28" s="1"/>
  <c r="AE117" i="28"/>
  <c r="AF117" i="28" s="1"/>
  <c r="AE119" i="28"/>
  <c r="AF119" i="28" s="1"/>
  <c r="AE121" i="28"/>
  <c r="AF121" i="28" s="1"/>
  <c r="AE123" i="28"/>
  <c r="AF123" i="28" s="1"/>
  <c r="AE125" i="28"/>
  <c r="AF125" i="28" s="1"/>
  <c r="AE127" i="28"/>
  <c r="AF127" i="28" s="1"/>
  <c r="AE129" i="28"/>
  <c r="AF129" i="28" s="1"/>
  <c r="AE131" i="28"/>
  <c r="AF131" i="28" s="1"/>
  <c r="AE133" i="28"/>
  <c r="AF133" i="28" s="1"/>
  <c r="AE135" i="28"/>
  <c r="AF135" i="28" s="1"/>
  <c r="AE137" i="28"/>
  <c r="AF137" i="28" s="1"/>
  <c r="AE139" i="28"/>
  <c r="AF139" i="28" s="1"/>
  <c r="AE141" i="28"/>
  <c r="AF141" i="28" s="1"/>
  <c r="AE143" i="28"/>
  <c r="AF143" i="28" s="1"/>
  <c r="AE145" i="28"/>
  <c r="AF145" i="28" s="1"/>
  <c r="AE147" i="28"/>
  <c r="AF147" i="28" s="1"/>
  <c r="AE149" i="28"/>
  <c r="AF149" i="28" s="1"/>
  <c r="AE151" i="28"/>
  <c r="AF151" i="28" s="1"/>
  <c r="AE153" i="28"/>
  <c r="AF153" i="28" s="1"/>
  <c r="AE155" i="28"/>
  <c r="AF155" i="28" s="1"/>
  <c r="AE157" i="28"/>
  <c r="AF157" i="28" s="1"/>
  <c r="AE159" i="28"/>
  <c r="AF159" i="28" s="1"/>
  <c r="AE161" i="28"/>
  <c r="AF161" i="28" s="1"/>
  <c r="AE163" i="28"/>
  <c r="AF163" i="28" s="1"/>
  <c r="AE165" i="28"/>
  <c r="AF165" i="28" s="1"/>
  <c r="AE167" i="28"/>
  <c r="AF167" i="28" s="1"/>
  <c r="AE169" i="28"/>
  <c r="AF169" i="28" s="1"/>
  <c r="AE171" i="28"/>
  <c r="AF171" i="28" s="1"/>
  <c r="AE173" i="28"/>
  <c r="AF173" i="28" s="1"/>
  <c r="AE175" i="28"/>
  <c r="AF175" i="28" s="1"/>
  <c r="AE177" i="28"/>
  <c r="AF177" i="28" s="1"/>
  <c r="AE179" i="28"/>
  <c r="AF179" i="28" s="1"/>
  <c r="AE181" i="28"/>
  <c r="AF181" i="28" s="1"/>
  <c r="AE183" i="28"/>
  <c r="AF183" i="28" s="1"/>
  <c r="AE185" i="28"/>
  <c r="AF185" i="28" s="1"/>
  <c r="AE187" i="28"/>
  <c r="AF187" i="28" s="1"/>
  <c r="AE189" i="28"/>
  <c r="AF189" i="28" s="1"/>
  <c r="AE191" i="28"/>
  <c r="AF191" i="28" s="1"/>
  <c r="AE193" i="28"/>
  <c r="AF193" i="28" s="1"/>
  <c r="AE195" i="28"/>
  <c r="AF195" i="28" s="1"/>
  <c r="AE197" i="28"/>
  <c r="AF197" i="28" s="1"/>
  <c r="AE199" i="28"/>
  <c r="AF199" i="28" s="1"/>
  <c r="AE201" i="28"/>
  <c r="AF201" i="28" s="1"/>
  <c r="AE203" i="28"/>
  <c r="AF203" i="28" s="1"/>
  <c r="AE205" i="28"/>
  <c r="AF205" i="28" s="1"/>
  <c r="AE207" i="28"/>
  <c r="AF207" i="28" s="1"/>
  <c r="AE209" i="28"/>
  <c r="AF209" i="28" s="1"/>
  <c r="AE211" i="28"/>
  <c r="AF211" i="28" s="1"/>
  <c r="AE213" i="28"/>
  <c r="AF213" i="28" s="1"/>
  <c r="AE215" i="28"/>
  <c r="AF215" i="28" s="1"/>
  <c r="AE217" i="28"/>
  <c r="AF217" i="28" s="1"/>
  <c r="AE219" i="28"/>
  <c r="AF219" i="28" s="1"/>
  <c r="AE221" i="28"/>
  <c r="AF221" i="28" s="1"/>
  <c r="AE223" i="28"/>
  <c r="AF223" i="28" s="1"/>
  <c r="AE225" i="28"/>
  <c r="AF225" i="28" s="1"/>
  <c r="AE227" i="28"/>
  <c r="AF227" i="28" s="1"/>
  <c r="AE229" i="28"/>
  <c r="AF229" i="28" s="1"/>
  <c r="AE231" i="28"/>
  <c r="AF231" i="28" s="1"/>
  <c r="AE233" i="28"/>
  <c r="AF233" i="28" s="1"/>
  <c r="AE235" i="28"/>
  <c r="AF235" i="28" s="1"/>
  <c r="AE237" i="28"/>
  <c r="AF237" i="28" s="1"/>
  <c r="AE239" i="28"/>
  <c r="AF239" i="28" s="1"/>
  <c r="AE241" i="28"/>
  <c r="AF241" i="28" s="1"/>
  <c r="AE243" i="28"/>
  <c r="AF243" i="28" s="1"/>
  <c r="AE245" i="28"/>
  <c r="AF245" i="28" s="1"/>
  <c r="AE247" i="28"/>
  <c r="AF247" i="28" s="1"/>
  <c r="AE249" i="28"/>
  <c r="AF249" i="28" s="1"/>
  <c r="AE251" i="28"/>
  <c r="AF251" i="28" s="1"/>
  <c r="AE253" i="28"/>
  <c r="AF253" i="28" s="1"/>
  <c r="AE255" i="28"/>
  <c r="AF255" i="28" s="1"/>
  <c r="AE257" i="28"/>
  <c r="AF257" i="28" s="1"/>
  <c r="AE259" i="28"/>
  <c r="AF259" i="28" s="1"/>
  <c r="AE261" i="28"/>
  <c r="AF261" i="28" s="1"/>
  <c r="AE263" i="28"/>
  <c r="AF263" i="28" s="1"/>
  <c r="AE265" i="28"/>
  <c r="AF265" i="28" s="1"/>
  <c r="AE267" i="28"/>
  <c r="AF267" i="28" s="1"/>
  <c r="AE269" i="28"/>
  <c r="AF269" i="28" s="1"/>
  <c r="AE271" i="28"/>
  <c r="AF271" i="28" s="1"/>
  <c r="AE273" i="28"/>
  <c r="AF273" i="28" s="1"/>
  <c r="AE275" i="28"/>
  <c r="AF275" i="28" s="1"/>
  <c r="AE277" i="28"/>
  <c r="AF277" i="28" s="1"/>
  <c r="AE279" i="28"/>
  <c r="AF279" i="28" s="1"/>
  <c r="AE281" i="28"/>
  <c r="AF281" i="28" s="1"/>
  <c r="AE283" i="28"/>
  <c r="AF283" i="28" s="1"/>
  <c r="AE285" i="28"/>
  <c r="AF285" i="28" s="1"/>
  <c r="AE287" i="28"/>
  <c r="AF287" i="28" s="1"/>
  <c r="AE289" i="28"/>
  <c r="AF289" i="28" s="1"/>
  <c r="AE291" i="28"/>
  <c r="AF291" i="28" s="1"/>
  <c r="AE293" i="28"/>
  <c r="AF293" i="28" s="1"/>
  <c r="AE295" i="28"/>
  <c r="AF295" i="28" s="1"/>
  <c r="AE297" i="28"/>
  <c r="AF297" i="28" s="1"/>
  <c r="AE299" i="28"/>
  <c r="AF299" i="28" s="1"/>
  <c r="AE301" i="28"/>
  <c r="AF301" i="28" s="1"/>
  <c r="AE303" i="28"/>
  <c r="AF303" i="28" s="1"/>
  <c r="AE305" i="28"/>
  <c r="AF305" i="28" s="1"/>
  <c r="AE307" i="28"/>
  <c r="AF307" i="28" s="1"/>
  <c r="AE309" i="28"/>
  <c r="AF309" i="28" s="1"/>
  <c r="AE311" i="28"/>
  <c r="AF311" i="28" s="1"/>
  <c r="AE313" i="28"/>
  <c r="AF313" i="28" s="1"/>
  <c r="AE315" i="28"/>
  <c r="AF315" i="28" s="1"/>
  <c r="AE317" i="28"/>
  <c r="AF317" i="28" s="1"/>
  <c r="AE319" i="28"/>
  <c r="AF319" i="28" s="1"/>
  <c r="AE321" i="28"/>
  <c r="AF321" i="28" s="1"/>
  <c r="AE323" i="28"/>
  <c r="AF323" i="28" s="1"/>
  <c r="AE325" i="28"/>
  <c r="AF325" i="28" s="1"/>
  <c r="AE327" i="28"/>
  <c r="AF327" i="28" s="1"/>
  <c r="AE329" i="28"/>
  <c r="AF329" i="28" s="1"/>
  <c r="AE331" i="28"/>
  <c r="AF331" i="28" s="1"/>
  <c r="AE333" i="28"/>
  <c r="AF333" i="28" s="1"/>
  <c r="AE335" i="28"/>
  <c r="AF335" i="28" s="1"/>
  <c r="AE337" i="28"/>
  <c r="AF337" i="28" s="1"/>
  <c r="AE339" i="28"/>
  <c r="AF339" i="28" s="1"/>
  <c r="AE341" i="28"/>
  <c r="AF341" i="28" s="1"/>
  <c r="AE343" i="28"/>
  <c r="AF343" i="28" s="1"/>
  <c r="AE345" i="28"/>
  <c r="AF345" i="28" s="1"/>
  <c r="AE347" i="28"/>
  <c r="AF347" i="28" s="1"/>
  <c r="AE349" i="28"/>
  <c r="AF349" i="28" s="1"/>
  <c r="AE351" i="28"/>
  <c r="AF351" i="28" s="1"/>
  <c r="AE353" i="28"/>
  <c r="AF353" i="28" s="1"/>
  <c r="AE355" i="28"/>
  <c r="AF355" i="28" s="1"/>
  <c r="AE357" i="28"/>
  <c r="AF357" i="28" s="1"/>
  <c r="AE359" i="28"/>
  <c r="AF359" i="28" s="1"/>
  <c r="AE361" i="28"/>
  <c r="AF361" i="28" s="1"/>
  <c r="AE363" i="28"/>
  <c r="AF363" i="28" s="1"/>
  <c r="AE365" i="28"/>
  <c r="AF365" i="28" s="1"/>
  <c r="AE367" i="28"/>
  <c r="AF367" i="28" s="1"/>
  <c r="AE369" i="28"/>
  <c r="AF369" i="28" s="1"/>
  <c r="AE371" i="28"/>
  <c r="AF371" i="28" s="1"/>
  <c r="AE373" i="28"/>
  <c r="AF373" i="28" s="1"/>
  <c r="AE375" i="28"/>
  <c r="AF375" i="28" s="1"/>
  <c r="AE377" i="28"/>
  <c r="AF377" i="28" s="1"/>
  <c r="AE379" i="28"/>
  <c r="AF379" i="28" s="1"/>
  <c r="AE381" i="28"/>
  <c r="AF381" i="28" s="1"/>
  <c r="AE383" i="28"/>
  <c r="AF383" i="28" s="1"/>
  <c r="AE385" i="28"/>
  <c r="AF385" i="28" s="1"/>
  <c r="AE387" i="28"/>
  <c r="AF387" i="28" s="1"/>
  <c r="AE389" i="28"/>
  <c r="AF389" i="28" s="1"/>
  <c r="AE391" i="28"/>
  <c r="AF391" i="28" s="1"/>
  <c r="AE393" i="28"/>
  <c r="AF393" i="28" s="1"/>
  <c r="AE395" i="28"/>
  <c r="AF395" i="28" s="1"/>
  <c r="AE397" i="28"/>
  <c r="AF397" i="28" s="1"/>
  <c r="AE399" i="28"/>
  <c r="AF399" i="28" s="1"/>
  <c r="AE401" i="28"/>
  <c r="AF401" i="28" s="1"/>
  <c r="AE403" i="28"/>
  <c r="AF403" i="28" s="1"/>
  <c r="AE405" i="28"/>
  <c r="AF405" i="28" s="1"/>
  <c r="AE407" i="28"/>
  <c r="AF407" i="28" s="1"/>
  <c r="AE409" i="28"/>
  <c r="AF409" i="28" s="1"/>
  <c r="AE411" i="28"/>
  <c r="AF411" i="28" s="1"/>
  <c r="AE413" i="28"/>
  <c r="AF413" i="28" s="1"/>
  <c r="AE415" i="28"/>
  <c r="AF415" i="28" s="1"/>
  <c r="AE417" i="28"/>
  <c r="AF417" i="28" s="1"/>
  <c r="AE419" i="28"/>
  <c r="AF419" i="28" s="1"/>
  <c r="AE421" i="28"/>
  <c r="AF421" i="28" s="1"/>
  <c r="AE423" i="28"/>
  <c r="AF423" i="28" s="1"/>
  <c r="AE425" i="28"/>
  <c r="AF425" i="28" s="1"/>
  <c r="AE427" i="28"/>
  <c r="AF427" i="28" s="1"/>
  <c r="AE429" i="28"/>
  <c r="AF429" i="28" s="1"/>
  <c r="AE431" i="28"/>
  <c r="AF431" i="28" s="1"/>
  <c r="AE433" i="28"/>
  <c r="AF433" i="28" s="1"/>
  <c r="AE435" i="28"/>
  <c r="AF435" i="28" s="1"/>
  <c r="AE437" i="28"/>
  <c r="AF437" i="28" s="1"/>
  <c r="AE439" i="28"/>
  <c r="AF439" i="28" s="1"/>
  <c r="AE441" i="28"/>
  <c r="AF441" i="28" s="1"/>
  <c r="AE443" i="28"/>
  <c r="AF443" i="28" s="1"/>
  <c r="AE445" i="28"/>
  <c r="AF445" i="28" s="1"/>
  <c r="AE447" i="28"/>
  <c r="AF447" i="28" s="1"/>
  <c r="AE449" i="28"/>
  <c r="AF449" i="28" s="1"/>
  <c r="AE451" i="28"/>
  <c r="AF451" i="28" s="1"/>
  <c r="AE453" i="28"/>
  <c r="AF453" i="28" s="1"/>
  <c r="AE455" i="28"/>
  <c r="AF455" i="28" s="1"/>
  <c r="AE457" i="28"/>
  <c r="AF457" i="28" s="1"/>
  <c r="AE459" i="28"/>
  <c r="AF459" i="28" s="1"/>
  <c r="AE461" i="28"/>
  <c r="AF461" i="28" s="1"/>
  <c r="AE463" i="28"/>
  <c r="AF463" i="28" s="1"/>
  <c r="AE465" i="28"/>
  <c r="AF465" i="28" s="1"/>
  <c r="AE467" i="28"/>
  <c r="AF467" i="28" s="1"/>
  <c r="AE469" i="28"/>
  <c r="AF469" i="28" s="1"/>
  <c r="AE471" i="28"/>
  <c r="AF471" i="28" s="1"/>
  <c r="AE473" i="28"/>
  <c r="AF473" i="28" s="1"/>
  <c r="AE475" i="28"/>
  <c r="AF475" i="28" s="1"/>
  <c r="AE477" i="28"/>
  <c r="AF477" i="28" s="1"/>
  <c r="AE479" i="28"/>
  <c r="AF479" i="28" s="1"/>
  <c r="AE481" i="28"/>
  <c r="AF481" i="28" s="1"/>
  <c r="AE483" i="28"/>
  <c r="AF483" i="28" s="1"/>
  <c r="AE485" i="28"/>
  <c r="AF485" i="28" s="1"/>
  <c r="AE487" i="28"/>
  <c r="AF487" i="28" s="1"/>
  <c r="AE489" i="28"/>
  <c r="AF489" i="28" s="1"/>
  <c r="AE491" i="28"/>
  <c r="AF491" i="28" s="1"/>
  <c r="AE493" i="28"/>
  <c r="AF493" i="28" s="1"/>
  <c r="AE495" i="28"/>
  <c r="AF495" i="28" s="1"/>
  <c r="AE497" i="28"/>
  <c r="AF497" i="28" s="1"/>
  <c r="AE499" i="28"/>
  <c r="AF499" i="28" s="1"/>
  <c r="AE501" i="28"/>
  <c r="AF501" i="28" s="1"/>
  <c r="AE503" i="28"/>
  <c r="AF503" i="28" s="1"/>
  <c r="AE505" i="28"/>
  <c r="AF505" i="28" s="1"/>
  <c r="AE507" i="28"/>
  <c r="AF507" i="28" s="1"/>
  <c r="AE509" i="28"/>
  <c r="AF509" i="28" s="1"/>
  <c r="AE511" i="28"/>
  <c r="AF511" i="28" s="1"/>
  <c r="AE513" i="28"/>
  <c r="AF513" i="28" s="1"/>
  <c r="AE515" i="28"/>
  <c r="AF515" i="28" s="1"/>
  <c r="AE517" i="28"/>
  <c r="AF517" i="28" s="1"/>
  <c r="AE519" i="28"/>
  <c r="AF519" i="28" s="1"/>
  <c r="AE521" i="28"/>
  <c r="AF521" i="28" s="1"/>
  <c r="AE523" i="28"/>
  <c r="AF523" i="28" s="1"/>
  <c r="AE525" i="28"/>
  <c r="AF525" i="28" s="1"/>
  <c r="AE527" i="28"/>
  <c r="AF527" i="28" s="1"/>
  <c r="AE529" i="28"/>
  <c r="AF529" i="28" s="1"/>
  <c r="AE531" i="28"/>
  <c r="AF531" i="28" s="1"/>
  <c r="AE533" i="28"/>
  <c r="AF533" i="28" s="1"/>
  <c r="AE535" i="28"/>
  <c r="AF535" i="28" s="1"/>
  <c r="AE537" i="28"/>
  <c r="AF537" i="28" s="1"/>
  <c r="AE539" i="28"/>
  <c r="AF539" i="28" s="1"/>
  <c r="AE541" i="28"/>
  <c r="AF541" i="28" s="1"/>
  <c r="AE543" i="28"/>
  <c r="AF543" i="28" s="1"/>
  <c r="AE545" i="28"/>
  <c r="AF545" i="28" s="1"/>
  <c r="AE547" i="28"/>
  <c r="AF547" i="28" s="1"/>
  <c r="AE549" i="28"/>
  <c r="AF549" i="28" s="1"/>
  <c r="AE551" i="28"/>
  <c r="AF551" i="28" s="1"/>
  <c r="AE553" i="28"/>
  <c r="AF553" i="28" s="1"/>
  <c r="AE555" i="28"/>
  <c r="AF555" i="28" s="1"/>
  <c r="AE557" i="28"/>
  <c r="AF557" i="28" s="1"/>
  <c r="AE559" i="28"/>
  <c r="AF559" i="28" s="1"/>
  <c r="AE561" i="28"/>
  <c r="AF561" i="28" s="1"/>
  <c r="AE563" i="28"/>
  <c r="AF563" i="28" s="1"/>
  <c r="AE565" i="28"/>
  <c r="AF565" i="28" s="1"/>
  <c r="AE567" i="28"/>
  <c r="AF567" i="28" s="1"/>
  <c r="AE569" i="28"/>
  <c r="AF569" i="28" s="1"/>
  <c r="AE571" i="28"/>
  <c r="AF571" i="28" s="1"/>
  <c r="AE573" i="28"/>
  <c r="AF573" i="28" s="1"/>
  <c r="AE575" i="28"/>
  <c r="AF575" i="28" s="1"/>
  <c r="AE577" i="28"/>
  <c r="AF577" i="28" s="1"/>
  <c r="AE579" i="28"/>
  <c r="AF579" i="28" s="1"/>
  <c r="AE581" i="28"/>
  <c r="AF581" i="28" s="1"/>
  <c r="AE583" i="28"/>
  <c r="AF583" i="28" s="1"/>
  <c r="AE585" i="28"/>
  <c r="AF585" i="28" s="1"/>
  <c r="AE587" i="28"/>
  <c r="AF587" i="28" s="1"/>
  <c r="AE589" i="28"/>
  <c r="AF589" i="28" s="1"/>
  <c r="AE591" i="28"/>
  <c r="AF591" i="28" s="1"/>
  <c r="AE593" i="28"/>
  <c r="AF593" i="28" s="1"/>
  <c r="AE595" i="28"/>
  <c r="AF595" i="28" s="1"/>
  <c r="AE597" i="28"/>
  <c r="AF597" i="28" s="1"/>
  <c r="AE599" i="28"/>
  <c r="AF599" i="28" s="1"/>
  <c r="AE601" i="28"/>
  <c r="AF601" i="28" s="1"/>
  <c r="AE603" i="28"/>
  <c r="AF603" i="28" s="1"/>
  <c r="AE605" i="28"/>
  <c r="AF605" i="28" s="1"/>
  <c r="AE607" i="28"/>
  <c r="AF607" i="28" s="1"/>
  <c r="AE609" i="28"/>
  <c r="AF609" i="28" s="1"/>
  <c r="AE611" i="28"/>
  <c r="AF611" i="28" s="1"/>
  <c r="AE613" i="28"/>
  <c r="AF613" i="28" s="1"/>
  <c r="AE615" i="28"/>
  <c r="AF615" i="28" s="1"/>
  <c r="AE617" i="28"/>
  <c r="AF617" i="28" s="1"/>
  <c r="AE619" i="28"/>
  <c r="AF619" i="28" s="1"/>
  <c r="AE621" i="28"/>
  <c r="AF621" i="28" s="1"/>
  <c r="AE623" i="28"/>
  <c r="AF623" i="28" s="1"/>
  <c r="AE625" i="28"/>
  <c r="AF625" i="28" s="1"/>
  <c r="AE627" i="28"/>
  <c r="AF627" i="28" s="1"/>
  <c r="AE629" i="28"/>
  <c r="AF629" i="28" s="1"/>
  <c r="AE631" i="28"/>
  <c r="AF631" i="28" s="1"/>
  <c r="AE633" i="28"/>
  <c r="AF633" i="28" s="1"/>
  <c r="AE635" i="28"/>
  <c r="AF635" i="28" s="1"/>
  <c r="AE637" i="28"/>
  <c r="AF637" i="28" s="1"/>
  <c r="AE639" i="28"/>
  <c r="AF639" i="28" s="1"/>
  <c r="AE641" i="28"/>
  <c r="AF641" i="28" s="1"/>
  <c r="AE643" i="28"/>
  <c r="AF643" i="28" s="1"/>
  <c r="AE645" i="28"/>
  <c r="AF645" i="28" s="1"/>
  <c r="AE647" i="28"/>
  <c r="AF647" i="28" s="1"/>
  <c r="AE649" i="28"/>
  <c r="AF649" i="28" s="1"/>
  <c r="AE651" i="28"/>
  <c r="AF651" i="28" s="1"/>
  <c r="AE653" i="28"/>
  <c r="AF653" i="28" s="1"/>
  <c r="AE655" i="28"/>
  <c r="AF655" i="28" s="1"/>
  <c r="AE657" i="28"/>
  <c r="AF657" i="28" s="1"/>
  <c r="AE659" i="28"/>
  <c r="AF659" i="28" s="1"/>
  <c r="AE661" i="28"/>
  <c r="AF661" i="28" s="1"/>
  <c r="AE663" i="28"/>
  <c r="AF663" i="28" s="1"/>
  <c r="AE665" i="28"/>
  <c r="AF665" i="28" s="1"/>
  <c r="AE667" i="28"/>
  <c r="AF667" i="28" s="1"/>
  <c r="AE669" i="28"/>
  <c r="AF669" i="28" s="1"/>
  <c r="AE671" i="28"/>
  <c r="AF671" i="28" s="1"/>
  <c r="AE673" i="28"/>
  <c r="AF673" i="28" s="1"/>
  <c r="AE675" i="28"/>
  <c r="AF675" i="28" s="1"/>
  <c r="AE677" i="28"/>
  <c r="AF677" i="28" s="1"/>
  <c r="AE679" i="28"/>
  <c r="AF679" i="28" s="1"/>
  <c r="AE681" i="28"/>
  <c r="AF681" i="28" s="1"/>
  <c r="AE683" i="28"/>
  <c r="AF683" i="28" s="1"/>
  <c r="AE685" i="28"/>
  <c r="AF685" i="28" s="1"/>
  <c r="AE687" i="28"/>
  <c r="AF687" i="28" s="1"/>
  <c r="AE689" i="28"/>
  <c r="AF689" i="28" s="1"/>
  <c r="AE691" i="28"/>
  <c r="AF691" i="28" s="1"/>
  <c r="AE693" i="28"/>
  <c r="AF693" i="28" s="1"/>
  <c r="AE695" i="28"/>
  <c r="AF695" i="28" s="1"/>
  <c r="AE697" i="28"/>
  <c r="AF697" i="28" s="1"/>
  <c r="AE699" i="28"/>
  <c r="AF699" i="28" s="1"/>
  <c r="AE701" i="28"/>
  <c r="AF701" i="28" s="1"/>
  <c r="AE703" i="28"/>
  <c r="AF703" i="28" s="1"/>
  <c r="AE705" i="28"/>
  <c r="AF705" i="28" s="1"/>
  <c r="AE707" i="28"/>
  <c r="AF707" i="28" s="1"/>
  <c r="AE709" i="28"/>
  <c r="AF709" i="28" s="1"/>
  <c r="AE711" i="28"/>
  <c r="AF711" i="28" s="1"/>
  <c r="AE713" i="28"/>
  <c r="AF713" i="28" s="1"/>
  <c r="AE715" i="28"/>
  <c r="AF715" i="28" s="1"/>
  <c r="AE717" i="28"/>
  <c r="AF717" i="28" s="1"/>
  <c r="AE719" i="28"/>
  <c r="AF719" i="28" s="1"/>
  <c r="AE721" i="28"/>
  <c r="AF721" i="28" s="1"/>
  <c r="AE723" i="28"/>
  <c r="AF723" i="28" s="1"/>
  <c r="AE725" i="28"/>
  <c r="AF725" i="28" s="1"/>
  <c r="AE727" i="28"/>
  <c r="AF727" i="28" s="1"/>
  <c r="AE729" i="28"/>
  <c r="AF729" i="28" s="1"/>
  <c r="AE731" i="28"/>
  <c r="AF731" i="28" s="1"/>
  <c r="AE733" i="28"/>
  <c r="AF733" i="28" s="1"/>
  <c r="AE735" i="28"/>
  <c r="AF735" i="28" s="1"/>
  <c r="AE737" i="28"/>
  <c r="AF737" i="28" s="1"/>
  <c r="AE739" i="28"/>
  <c r="AF739" i="28" s="1"/>
  <c r="AE741" i="28"/>
  <c r="AF741" i="28" s="1"/>
  <c r="AE743" i="28"/>
  <c r="AF743" i="28" s="1"/>
  <c r="AE745" i="28"/>
  <c r="AF745" i="28" s="1"/>
  <c r="AE747" i="28"/>
  <c r="AF747" i="28" s="1"/>
  <c r="AE749" i="28"/>
  <c r="AF749" i="28" s="1"/>
  <c r="AE751" i="28"/>
  <c r="AF751" i="28" s="1"/>
  <c r="AE753" i="28"/>
  <c r="AF753" i="28" s="1"/>
  <c r="AE755" i="28"/>
  <c r="AF755" i="28" s="1"/>
  <c r="AE757" i="28"/>
  <c r="AF757" i="28" s="1"/>
  <c r="AE759" i="28"/>
  <c r="AF759" i="28" s="1"/>
  <c r="AE761" i="28"/>
  <c r="AF761" i="28" s="1"/>
  <c r="AE763" i="28"/>
  <c r="AF763" i="28" s="1"/>
  <c r="AE765" i="28"/>
  <c r="AF765" i="28" s="1"/>
  <c r="AE767" i="28"/>
  <c r="AF767" i="28" s="1"/>
  <c r="AE769" i="28"/>
  <c r="AF769" i="28" s="1"/>
  <c r="AE771" i="28"/>
  <c r="AF771" i="28" s="1"/>
  <c r="AE773" i="28"/>
  <c r="AF773" i="28" s="1"/>
  <c r="AE775" i="28"/>
  <c r="AF775" i="28" s="1"/>
  <c r="AE777" i="28"/>
  <c r="AF777" i="28" s="1"/>
  <c r="AE779" i="28"/>
  <c r="AF779" i="28" s="1"/>
  <c r="AE781" i="28"/>
  <c r="AF781" i="28" s="1"/>
  <c r="AE783" i="28"/>
  <c r="AF783" i="28" s="1"/>
  <c r="AE785" i="28"/>
  <c r="AF785" i="28" s="1"/>
  <c r="AE787" i="28"/>
  <c r="AF787" i="28" s="1"/>
  <c r="AE789" i="28"/>
  <c r="AF789" i="28" s="1"/>
  <c r="AE791" i="28"/>
  <c r="AF791" i="28" s="1"/>
  <c r="AE793" i="28"/>
  <c r="AF793" i="28" s="1"/>
  <c r="AE795" i="28"/>
  <c r="AF795" i="28" s="1"/>
  <c r="AE797" i="28"/>
  <c r="AF797" i="28" s="1"/>
  <c r="AE799" i="28"/>
  <c r="AF799" i="28" s="1"/>
  <c r="AE801" i="28"/>
  <c r="AF801" i="28" s="1"/>
  <c r="AE803" i="28"/>
  <c r="AF803" i="28" s="1"/>
  <c r="AE805" i="28"/>
  <c r="AF805" i="28" s="1"/>
  <c r="AE807" i="28"/>
  <c r="AF807" i="28" s="1"/>
  <c r="AE809" i="28"/>
  <c r="AF809" i="28" s="1"/>
  <c r="AE811" i="28"/>
  <c r="AF811" i="28" s="1"/>
  <c r="AE813" i="28"/>
  <c r="AF813" i="28" s="1"/>
  <c r="AE815" i="28"/>
  <c r="AF815" i="28" s="1"/>
  <c r="AE817" i="28"/>
  <c r="AF817" i="28" s="1"/>
  <c r="AE819" i="28"/>
  <c r="AF819" i="28" s="1"/>
  <c r="AE821" i="28"/>
  <c r="AF821" i="28" s="1"/>
  <c r="AE823" i="28"/>
  <c r="AF823" i="28" s="1"/>
  <c r="AE825" i="28"/>
  <c r="AF825" i="28" s="1"/>
  <c r="AE827" i="28"/>
  <c r="AF827" i="28" s="1"/>
  <c r="AE829" i="28"/>
  <c r="AF829" i="28" s="1"/>
  <c r="AE831" i="28"/>
  <c r="AF831" i="28" s="1"/>
  <c r="AE833" i="28"/>
  <c r="AF833" i="28" s="1"/>
  <c r="AE835" i="28"/>
  <c r="AF835" i="28" s="1"/>
  <c r="AE837" i="28"/>
  <c r="AF837" i="28" s="1"/>
  <c r="AE839" i="28"/>
  <c r="AF839" i="28" s="1"/>
  <c r="AE841" i="28"/>
  <c r="AF841" i="28" s="1"/>
  <c r="AE843" i="28"/>
  <c r="AF843" i="28" s="1"/>
  <c r="AE845" i="28"/>
  <c r="AF845" i="28" s="1"/>
  <c r="AE847" i="28"/>
  <c r="AF847" i="28" s="1"/>
  <c r="AE16" i="28"/>
  <c r="AF16" i="28" s="1"/>
  <c r="AE18" i="28"/>
  <c r="AF18" i="28" s="1"/>
  <c r="AE20" i="28"/>
  <c r="AF20" i="28" s="1"/>
  <c r="AE22" i="28"/>
  <c r="AF22" i="28" s="1"/>
  <c r="AE24" i="28"/>
  <c r="AF24" i="28" s="1"/>
  <c r="AE26" i="28"/>
  <c r="AF26" i="28" s="1"/>
  <c r="AE28" i="28"/>
  <c r="AF28" i="28" s="1"/>
  <c r="AE30" i="28"/>
  <c r="AF30" i="28" s="1"/>
  <c r="AE32" i="28"/>
  <c r="AF32" i="28" s="1"/>
  <c r="AE34" i="28"/>
  <c r="AF34" i="28" s="1"/>
  <c r="AE36" i="28"/>
  <c r="AF36" i="28" s="1"/>
  <c r="AE38" i="28"/>
  <c r="AF38" i="28" s="1"/>
  <c r="AE40" i="28"/>
  <c r="AF40" i="28" s="1"/>
  <c r="AE42" i="28"/>
  <c r="AF42" i="28" s="1"/>
  <c r="AE44" i="28"/>
  <c r="AF44" i="28" s="1"/>
  <c r="AE46" i="28"/>
  <c r="AF46" i="28" s="1"/>
  <c r="AE48" i="28"/>
  <c r="AF48" i="28" s="1"/>
  <c r="AE50" i="28"/>
  <c r="AF50" i="28" s="1"/>
  <c r="AE52" i="28"/>
  <c r="AF52" i="28" s="1"/>
  <c r="AE54" i="28"/>
  <c r="AF54" i="28" s="1"/>
  <c r="AE56" i="28"/>
  <c r="AF56" i="28" s="1"/>
  <c r="AE58" i="28"/>
  <c r="AF58" i="28" s="1"/>
  <c r="AE60" i="28"/>
  <c r="AF60" i="28" s="1"/>
  <c r="AE62" i="28"/>
  <c r="AF62" i="28" s="1"/>
  <c r="AE64" i="28"/>
  <c r="AF64" i="28" s="1"/>
  <c r="AE66" i="28"/>
  <c r="AF66" i="28" s="1"/>
  <c r="AE68" i="28"/>
  <c r="AF68" i="28" s="1"/>
  <c r="AE70" i="28"/>
  <c r="AF70" i="28" s="1"/>
  <c r="AE72" i="28"/>
  <c r="AF72" i="28" s="1"/>
  <c r="AE74" i="28"/>
  <c r="AF74" i="28" s="1"/>
  <c r="AE76" i="28"/>
  <c r="AF76" i="28" s="1"/>
  <c r="AE78" i="28"/>
  <c r="AF78" i="28" s="1"/>
  <c r="AE80" i="28"/>
  <c r="AF80" i="28" s="1"/>
  <c r="AE82" i="28"/>
  <c r="AF82" i="28" s="1"/>
  <c r="AE84" i="28"/>
  <c r="AF84" i="28" s="1"/>
  <c r="AE86" i="28"/>
  <c r="AF86" i="28" s="1"/>
  <c r="AE88" i="28"/>
  <c r="AF88" i="28" s="1"/>
  <c r="AE90" i="28"/>
  <c r="AF90" i="28" s="1"/>
  <c r="AE92" i="28"/>
  <c r="AF92" i="28" s="1"/>
  <c r="AE94" i="28"/>
  <c r="AF94" i="28" s="1"/>
  <c r="AE96" i="28"/>
  <c r="AF96" i="28" s="1"/>
  <c r="AE98" i="28"/>
  <c r="AF98" i="28" s="1"/>
  <c r="AE100" i="28"/>
  <c r="AF100" i="28" s="1"/>
  <c r="AE102" i="28"/>
  <c r="AF102" i="28" s="1"/>
  <c r="AE104" i="28"/>
  <c r="AF104" i="28" s="1"/>
  <c r="AE106" i="28"/>
  <c r="AF106" i="28" s="1"/>
  <c r="AE108" i="28"/>
  <c r="AF108" i="28" s="1"/>
  <c r="AE110" i="28"/>
  <c r="AF110" i="28" s="1"/>
  <c r="AE112" i="28"/>
  <c r="AF112" i="28" s="1"/>
  <c r="AE114" i="28"/>
  <c r="AF114" i="28" s="1"/>
  <c r="AE116" i="28"/>
  <c r="AF116" i="28" s="1"/>
  <c r="AE118" i="28"/>
  <c r="AF118" i="28" s="1"/>
  <c r="AE120" i="28"/>
  <c r="AF120" i="28" s="1"/>
  <c r="AE122" i="28"/>
  <c r="AF122" i="28" s="1"/>
  <c r="AE124" i="28"/>
  <c r="AF124" i="28" s="1"/>
  <c r="AE126" i="28"/>
  <c r="AF126" i="28" s="1"/>
  <c r="AE128" i="28"/>
  <c r="AF128" i="28" s="1"/>
  <c r="AE130" i="28"/>
  <c r="AF130" i="28" s="1"/>
  <c r="AE132" i="28"/>
  <c r="AF132" i="28" s="1"/>
  <c r="AE134" i="28"/>
  <c r="AF134" i="28" s="1"/>
  <c r="AE136" i="28"/>
  <c r="AF136" i="28" s="1"/>
  <c r="AE138" i="28"/>
  <c r="AF138" i="28" s="1"/>
  <c r="AE140" i="28"/>
  <c r="AF140" i="28" s="1"/>
  <c r="AE142" i="28"/>
  <c r="AF142" i="28" s="1"/>
  <c r="AE144" i="28"/>
  <c r="AF144" i="28" s="1"/>
  <c r="AE146" i="28"/>
  <c r="AF146" i="28" s="1"/>
  <c r="AE148" i="28"/>
  <c r="AF148" i="28" s="1"/>
  <c r="AE150" i="28"/>
  <c r="AF150" i="28" s="1"/>
  <c r="AE152" i="28"/>
  <c r="AF152" i="28" s="1"/>
  <c r="AE154" i="28"/>
  <c r="AF154" i="28" s="1"/>
  <c r="AE156" i="28"/>
  <c r="AF156" i="28" s="1"/>
  <c r="AE158" i="28"/>
  <c r="AF158" i="28" s="1"/>
  <c r="AE160" i="28"/>
  <c r="AF160" i="28" s="1"/>
  <c r="AE162" i="28"/>
  <c r="AF162" i="28" s="1"/>
  <c r="AE164" i="28"/>
  <c r="AF164" i="28" s="1"/>
  <c r="AE166" i="28"/>
  <c r="AF166" i="28" s="1"/>
  <c r="AE168" i="28"/>
  <c r="AF168" i="28" s="1"/>
  <c r="AE170" i="28"/>
  <c r="AF170" i="28" s="1"/>
  <c r="AE172" i="28"/>
  <c r="AF172" i="28" s="1"/>
  <c r="AE174" i="28"/>
  <c r="AF174" i="28" s="1"/>
  <c r="AE176" i="28"/>
  <c r="AF176" i="28" s="1"/>
  <c r="AE178" i="28"/>
  <c r="AF178" i="28" s="1"/>
  <c r="AE180" i="28"/>
  <c r="AF180" i="28" s="1"/>
  <c r="AE182" i="28"/>
  <c r="AF182" i="28" s="1"/>
  <c r="AE184" i="28"/>
  <c r="AF184" i="28" s="1"/>
  <c r="AE186" i="28"/>
  <c r="AF186" i="28" s="1"/>
  <c r="AE188" i="28"/>
  <c r="AF188" i="28" s="1"/>
  <c r="AE190" i="28"/>
  <c r="AF190" i="28" s="1"/>
  <c r="AE192" i="28"/>
  <c r="AF192" i="28" s="1"/>
  <c r="AE194" i="28"/>
  <c r="AF194" i="28" s="1"/>
  <c r="AE196" i="28"/>
  <c r="AF196" i="28" s="1"/>
  <c r="AE198" i="28"/>
  <c r="AF198" i="28" s="1"/>
  <c r="AE200" i="28"/>
  <c r="AF200" i="28" s="1"/>
  <c r="AE202" i="28"/>
  <c r="AF202" i="28" s="1"/>
  <c r="AE204" i="28"/>
  <c r="AF204" i="28" s="1"/>
  <c r="AE206" i="28"/>
  <c r="AF206" i="28" s="1"/>
  <c r="AE208" i="28"/>
  <c r="AF208" i="28" s="1"/>
  <c r="AE210" i="28"/>
  <c r="AF210" i="28" s="1"/>
  <c r="AE212" i="28"/>
  <c r="AF212" i="28" s="1"/>
  <c r="AE214" i="28"/>
  <c r="AF214" i="28" s="1"/>
  <c r="AE216" i="28"/>
  <c r="AF216" i="28" s="1"/>
  <c r="AE218" i="28"/>
  <c r="AF218" i="28" s="1"/>
  <c r="AE220" i="28"/>
  <c r="AF220" i="28" s="1"/>
  <c r="AE222" i="28"/>
  <c r="AF222" i="28" s="1"/>
  <c r="AE224" i="28"/>
  <c r="AF224" i="28" s="1"/>
  <c r="AE226" i="28"/>
  <c r="AF226" i="28" s="1"/>
  <c r="AE228" i="28"/>
  <c r="AF228" i="28" s="1"/>
  <c r="AE230" i="28"/>
  <c r="AF230" i="28" s="1"/>
  <c r="AE232" i="28"/>
  <c r="AF232" i="28" s="1"/>
  <c r="AE234" i="28"/>
  <c r="AF234" i="28" s="1"/>
  <c r="AE236" i="28"/>
  <c r="AF236" i="28" s="1"/>
  <c r="AE238" i="28"/>
  <c r="AF238" i="28" s="1"/>
  <c r="AE240" i="28"/>
  <c r="AF240" i="28" s="1"/>
  <c r="AE242" i="28"/>
  <c r="AF242" i="28" s="1"/>
  <c r="AE244" i="28"/>
  <c r="AF244" i="28" s="1"/>
  <c r="AE246" i="28"/>
  <c r="AF246" i="28" s="1"/>
  <c r="AE248" i="28"/>
  <c r="AF248" i="28" s="1"/>
  <c r="AE250" i="28"/>
  <c r="AF250" i="28" s="1"/>
  <c r="AE252" i="28"/>
  <c r="AF252" i="28" s="1"/>
  <c r="AE254" i="28"/>
  <c r="AF254" i="28" s="1"/>
  <c r="AE256" i="28"/>
  <c r="AF256" i="28" s="1"/>
  <c r="AE258" i="28"/>
  <c r="AF258" i="28" s="1"/>
  <c r="AE260" i="28"/>
  <c r="AF260" i="28" s="1"/>
  <c r="AE262" i="28"/>
  <c r="AF262" i="28" s="1"/>
  <c r="AE264" i="28"/>
  <c r="AF264" i="28" s="1"/>
  <c r="AE266" i="28"/>
  <c r="AF266" i="28" s="1"/>
  <c r="AE268" i="28"/>
  <c r="AF268" i="28" s="1"/>
  <c r="AE270" i="28"/>
  <c r="AF270" i="28" s="1"/>
  <c r="AE272" i="28"/>
  <c r="AF272" i="28" s="1"/>
  <c r="AE274" i="28"/>
  <c r="AF274" i="28" s="1"/>
  <c r="AE276" i="28"/>
  <c r="AF276" i="28" s="1"/>
  <c r="AE278" i="28"/>
  <c r="AF278" i="28" s="1"/>
  <c r="AE280" i="28"/>
  <c r="AF280" i="28" s="1"/>
  <c r="AE282" i="28"/>
  <c r="AF282" i="28" s="1"/>
  <c r="AE284" i="28"/>
  <c r="AF284" i="28" s="1"/>
  <c r="AE286" i="28"/>
  <c r="AF286" i="28" s="1"/>
  <c r="AE288" i="28"/>
  <c r="AF288" i="28" s="1"/>
  <c r="AE290" i="28"/>
  <c r="AF290" i="28" s="1"/>
  <c r="AE292" i="28"/>
  <c r="AF292" i="28" s="1"/>
  <c r="AE294" i="28"/>
  <c r="AF294" i="28" s="1"/>
  <c r="AE296" i="28"/>
  <c r="AF296" i="28" s="1"/>
  <c r="AE298" i="28"/>
  <c r="AF298" i="28" s="1"/>
  <c r="AE300" i="28"/>
  <c r="AF300" i="28" s="1"/>
  <c r="AE302" i="28"/>
  <c r="AF302" i="28" s="1"/>
  <c r="AE304" i="28"/>
  <c r="AF304" i="28" s="1"/>
  <c r="AE306" i="28"/>
  <c r="AF306" i="28" s="1"/>
  <c r="AE308" i="28"/>
  <c r="AF308" i="28" s="1"/>
  <c r="AE310" i="28"/>
  <c r="AF310" i="28" s="1"/>
  <c r="AE312" i="28"/>
  <c r="AF312" i="28" s="1"/>
  <c r="AE314" i="28"/>
  <c r="AF314" i="28" s="1"/>
  <c r="AE316" i="28"/>
  <c r="AF316" i="28" s="1"/>
  <c r="AE318" i="28"/>
  <c r="AF318" i="28" s="1"/>
  <c r="AE320" i="28"/>
  <c r="AF320" i="28" s="1"/>
  <c r="AE322" i="28"/>
  <c r="AF322" i="28" s="1"/>
  <c r="AE324" i="28"/>
  <c r="AF324" i="28" s="1"/>
  <c r="AE326" i="28"/>
  <c r="AF326" i="28" s="1"/>
  <c r="AE328" i="28"/>
  <c r="AF328" i="28" s="1"/>
  <c r="AE330" i="28"/>
  <c r="AF330" i="28" s="1"/>
  <c r="AE332" i="28"/>
  <c r="AF332" i="28" s="1"/>
  <c r="AE334" i="28"/>
  <c r="AF334" i="28" s="1"/>
  <c r="AE336" i="28"/>
  <c r="AF336" i="28" s="1"/>
  <c r="AE338" i="28"/>
  <c r="AF338" i="28" s="1"/>
  <c r="AE340" i="28"/>
  <c r="AF340" i="28" s="1"/>
  <c r="AE342" i="28"/>
  <c r="AF342" i="28" s="1"/>
  <c r="AE344" i="28"/>
  <c r="AF344" i="28" s="1"/>
  <c r="AE346" i="28"/>
  <c r="AF346" i="28" s="1"/>
  <c r="AE348" i="28"/>
  <c r="AF348" i="28" s="1"/>
  <c r="AE350" i="28"/>
  <c r="AF350" i="28" s="1"/>
  <c r="AE352" i="28"/>
  <c r="AF352" i="28" s="1"/>
  <c r="AE354" i="28"/>
  <c r="AF354" i="28" s="1"/>
  <c r="AE356" i="28"/>
  <c r="AF356" i="28" s="1"/>
  <c r="AE358" i="28"/>
  <c r="AF358" i="28" s="1"/>
  <c r="AE360" i="28"/>
  <c r="AF360" i="28" s="1"/>
  <c r="AE362" i="28"/>
  <c r="AF362" i="28" s="1"/>
  <c r="AE364" i="28"/>
  <c r="AF364" i="28" s="1"/>
  <c r="AE366" i="28"/>
  <c r="AF366" i="28" s="1"/>
  <c r="AE368" i="28"/>
  <c r="AF368" i="28" s="1"/>
  <c r="AE370" i="28"/>
  <c r="AF370" i="28" s="1"/>
  <c r="AE372" i="28"/>
  <c r="AF372" i="28" s="1"/>
  <c r="AE374" i="28"/>
  <c r="AF374" i="28" s="1"/>
  <c r="AE376" i="28"/>
  <c r="AF376" i="28" s="1"/>
  <c r="AE378" i="28"/>
  <c r="AF378" i="28" s="1"/>
  <c r="AE380" i="28"/>
  <c r="AF380" i="28" s="1"/>
  <c r="AE382" i="28"/>
  <c r="AF382" i="28" s="1"/>
  <c r="AE384" i="28"/>
  <c r="AF384" i="28" s="1"/>
  <c r="AE386" i="28"/>
  <c r="AF386" i="28" s="1"/>
  <c r="AE388" i="28"/>
  <c r="AF388" i="28" s="1"/>
  <c r="AE390" i="28"/>
  <c r="AF390" i="28" s="1"/>
  <c r="AE392" i="28"/>
  <c r="AF392" i="28" s="1"/>
  <c r="AE394" i="28"/>
  <c r="AF394" i="28" s="1"/>
  <c r="AE396" i="28"/>
  <c r="AF396" i="28" s="1"/>
  <c r="AE398" i="28"/>
  <c r="AF398" i="28" s="1"/>
  <c r="AE400" i="28"/>
  <c r="AF400" i="28" s="1"/>
  <c r="AE402" i="28"/>
  <c r="AF402" i="28" s="1"/>
  <c r="AE404" i="28"/>
  <c r="AF404" i="28" s="1"/>
  <c r="AE406" i="28"/>
  <c r="AF406" i="28" s="1"/>
  <c r="AE408" i="28"/>
  <c r="AF408" i="28" s="1"/>
  <c r="AE410" i="28"/>
  <c r="AF410" i="28" s="1"/>
  <c r="AE412" i="28"/>
  <c r="AF412" i="28" s="1"/>
  <c r="AE414" i="28"/>
  <c r="AF414" i="28" s="1"/>
  <c r="AE416" i="28"/>
  <c r="AF416" i="28" s="1"/>
  <c r="AE418" i="28"/>
  <c r="AF418" i="28" s="1"/>
  <c r="AE420" i="28"/>
  <c r="AF420" i="28" s="1"/>
  <c r="AE422" i="28"/>
  <c r="AF422" i="28" s="1"/>
  <c r="AE424" i="28"/>
  <c r="AF424" i="28" s="1"/>
  <c r="AE426" i="28"/>
  <c r="AF426" i="28" s="1"/>
  <c r="AE428" i="28"/>
  <c r="AF428" i="28" s="1"/>
  <c r="AE430" i="28"/>
  <c r="AF430" i="28" s="1"/>
  <c r="AE432" i="28"/>
  <c r="AF432" i="28" s="1"/>
  <c r="AE434" i="28"/>
  <c r="AF434" i="28" s="1"/>
  <c r="AE436" i="28"/>
  <c r="AF436" i="28" s="1"/>
  <c r="AE438" i="28"/>
  <c r="AF438" i="28" s="1"/>
  <c r="AE440" i="28"/>
  <c r="AF440" i="28" s="1"/>
  <c r="AE442" i="28"/>
  <c r="AF442" i="28" s="1"/>
  <c r="AE444" i="28"/>
  <c r="AF444" i="28" s="1"/>
  <c r="AE446" i="28"/>
  <c r="AF446" i="28" s="1"/>
  <c r="AE448" i="28"/>
  <c r="AF448" i="28" s="1"/>
  <c r="AE450" i="28"/>
  <c r="AF450" i="28" s="1"/>
  <c r="AE452" i="28"/>
  <c r="AF452" i="28" s="1"/>
  <c r="AE454" i="28"/>
  <c r="AF454" i="28" s="1"/>
  <c r="AE456" i="28"/>
  <c r="AF456" i="28" s="1"/>
  <c r="AE458" i="28"/>
  <c r="AF458" i="28" s="1"/>
  <c r="AE460" i="28"/>
  <c r="AF460" i="28" s="1"/>
  <c r="AE462" i="28"/>
  <c r="AF462" i="28" s="1"/>
  <c r="AE464" i="28"/>
  <c r="AF464" i="28" s="1"/>
  <c r="AE466" i="28"/>
  <c r="AF466" i="28" s="1"/>
  <c r="AE468" i="28"/>
  <c r="AF468" i="28" s="1"/>
  <c r="AE470" i="28"/>
  <c r="AF470" i="28" s="1"/>
  <c r="AE472" i="28"/>
  <c r="AF472" i="28" s="1"/>
  <c r="AE474" i="28"/>
  <c r="AF474" i="28" s="1"/>
  <c r="AE476" i="28"/>
  <c r="AF476" i="28" s="1"/>
  <c r="AE478" i="28"/>
  <c r="AF478" i="28" s="1"/>
  <c r="AE480" i="28"/>
  <c r="AF480" i="28" s="1"/>
  <c r="AE482" i="28"/>
  <c r="AF482" i="28" s="1"/>
  <c r="AE484" i="28"/>
  <c r="AF484" i="28" s="1"/>
  <c r="AE486" i="28"/>
  <c r="AF486" i="28" s="1"/>
  <c r="AE488" i="28"/>
  <c r="AF488" i="28" s="1"/>
  <c r="AE490" i="28"/>
  <c r="AF490" i="28" s="1"/>
  <c r="AE492" i="28"/>
  <c r="AF492" i="28" s="1"/>
  <c r="AE494" i="28"/>
  <c r="AF494" i="28" s="1"/>
  <c r="AE496" i="28"/>
  <c r="AF496" i="28" s="1"/>
  <c r="AE498" i="28"/>
  <c r="AF498" i="28" s="1"/>
  <c r="AE500" i="28"/>
  <c r="AF500" i="28" s="1"/>
  <c r="AE502" i="28"/>
  <c r="AF502" i="28" s="1"/>
  <c r="AE504" i="28"/>
  <c r="AF504" i="28" s="1"/>
  <c r="AE506" i="28"/>
  <c r="AF506" i="28" s="1"/>
  <c r="AE508" i="28"/>
  <c r="AF508" i="28" s="1"/>
  <c r="AE510" i="28"/>
  <c r="AF510" i="28" s="1"/>
  <c r="AE512" i="28"/>
  <c r="AF512" i="28" s="1"/>
  <c r="AE514" i="28"/>
  <c r="AF514" i="28" s="1"/>
  <c r="AE516" i="28"/>
  <c r="AF516" i="28" s="1"/>
  <c r="AE518" i="28"/>
  <c r="AF518" i="28" s="1"/>
  <c r="AE520" i="28"/>
  <c r="AF520" i="28" s="1"/>
  <c r="AE522" i="28"/>
  <c r="AF522" i="28" s="1"/>
  <c r="AE524" i="28"/>
  <c r="AF524" i="28" s="1"/>
  <c r="AE526" i="28"/>
  <c r="AF526" i="28" s="1"/>
  <c r="AE528" i="28"/>
  <c r="AF528" i="28" s="1"/>
  <c r="AE530" i="28"/>
  <c r="AF530" i="28" s="1"/>
  <c r="AE532" i="28"/>
  <c r="AF532" i="28" s="1"/>
  <c r="AE534" i="28"/>
  <c r="AF534" i="28" s="1"/>
  <c r="AE536" i="28"/>
  <c r="AF536" i="28" s="1"/>
  <c r="AE538" i="28"/>
  <c r="AF538" i="28" s="1"/>
  <c r="AE540" i="28"/>
  <c r="AF540" i="28" s="1"/>
  <c r="AE542" i="28"/>
  <c r="AF542" i="28" s="1"/>
  <c r="AE544" i="28"/>
  <c r="AF544" i="28" s="1"/>
  <c r="AE546" i="28"/>
  <c r="AF546" i="28" s="1"/>
  <c r="AE548" i="28"/>
  <c r="AF548" i="28" s="1"/>
  <c r="AE550" i="28"/>
  <c r="AF550" i="28" s="1"/>
  <c r="AE552" i="28"/>
  <c r="AF552" i="28" s="1"/>
  <c r="AE554" i="28"/>
  <c r="AF554" i="28" s="1"/>
  <c r="AE556" i="28"/>
  <c r="AF556" i="28" s="1"/>
  <c r="AE558" i="28"/>
  <c r="AF558" i="28" s="1"/>
  <c r="AE560" i="28"/>
  <c r="AF560" i="28" s="1"/>
  <c r="AE562" i="28"/>
  <c r="AF562" i="28" s="1"/>
  <c r="AE564" i="28"/>
  <c r="AF564" i="28" s="1"/>
  <c r="AE566" i="28"/>
  <c r="AF566" i="28" s="1"/>
  <c r="AE568" i="28"/>
  <c r="AF568" i="28" s="1"/>
  <c r="AE570" i="28"/>
  <c r="AF570" i="28" s="1"/>
  <c r="AE572" i="28"/>
  <c r="AF572" i="28" s="1"/>
  <c r="AE574" i="28"/>
  <c r="AF574" i="28" s="1"/>
  <c r="AE576" i="28"/>
  <c r="AF576" i="28" s="1"/>
  <c r="AE578" i="28"/>
  <c r="AF578" i="28" s="1"/>
  <c r="AE580" i="28"/>
  <c r="AF580" i="28" s="1"/>
  <c r="AE582" i="28"/>
  <c r="AF582" i="28" s="1"/>
  <c r="AE584" i="28"/>
  <c r="AF584" i="28" s="1"/>
  <c r="AE586" i="28"/>
  <c r="AF586" i="28" s="1"/>
  <c r="AE588" i="28"/>
  <c r="AF588" i="28" s="1"/>
  <c r="AE590" i="28"/>
  <c r="AF590" i="28" s="1"/>
  <c r="AE592" i="28"/>
  <c r="AF592" i="28" s="1"/>
  <c r="AE594" i="28"/>
  <c r="AF594" i="28" s="1"/>
  <c r="AE596" i="28"/>
  <c r="AF596" i="28" s="1"/>
  <c r="AE598" i="28"/>
  <c r="AF598" i="28" s="1"/>
  <c r="AE600" i="28"/>
  <c r="AF600" i="28" s="1"/>
  <c r="AE602" i="28"/>
  <c r="AF602" i="28" s="1"/>
  <c r="AE604" i="28"/>
  <c r="AF604" i="28" s="1"/>
  <c r="AE606" i="28"/>
  <c r="AF606" i="28" s="1"/>
  <c r="AE608" i="28"/>
  <c r="AF608" i="28" s="1"/>
  <c r="AE610" i="28"/>
  <c r="AF610" i="28" s="1"/>
  <c r="AE612" i="28"/>
  <c r="AF612" i="28" s="1"/>
  <c r="AE614" i="28"/>
  <c r="AF614" i="28" s="1"/>
  <c r="AE616" i="28"/>
  <c r="AF616" i="28" s="1"/>
  <c r="AE618" i="28"/>
  <c r="AF618" i="28" s="1"/>
  <c r="AE620" i="28"/>
  <c r="AF620" i="28" s="1"/>
  <c r="AE622" i="28"/>
  <c r="AF622" i="28" s="1"/>
  <c r="AE624" i="28"/>
  <c r="AF624" i="28" s="1"/>
  <c r="AE626" i="28"/>
  <c r="AF626" i="28" s="1"/>
  <c r="AE628" i="28"/>
  <c r="AF628" i="28" s="1"/>
  <c r="AE630" i="28"/>
  <c r="AF630" i="28" s="1"/>
  <c r="AE632" i="28"/>
  <c r="AF632" i="28" s="1"/>
  <c r="AE634" i="28"/>
  <c r="AF634" i="28" s="1"/>
  <c r="AE636" i="28"/>
  <c r="AF636" i="28" s="1"/>
  <c r="AE638" i="28"/>
  <c r="AF638" i="28" s="1"/>
  <c r="AE640" i="28"/>
  <c r="AF640" i="28" s="1"/>
  <c r="AE642" i="28"/>
  <c r="AF642" i="28" s="1"/>
  <c r="AE644" i="28"/>
  <c r="AF644" i="28" s="1"/>
  <c r="AE646" i="28"/>
  <c r="AF646" i="28" s="1"/>
  <c r="AE648" i="28"/>
  <c r="AF648" i="28" s="1"/>
  <c r="AE650" i="28"/>
  <c r="AF650" i="28" s="1"/>
  <c r="AE652" i="28"/>
  <c r="AF652" i="28" s="1"/>
  <c r="AE654" i="28"/>
  <c r="AF654" i="28" s="1"/>
  <c r="AE656" i="28"/>
  <c r="AF656" i="28" s="1"/>
  <c r="AE658" i="28"/>
  <c r="AF658" i="28" s="1"/>
  <c r="AE660" i="28"/>
  <c r="AF660" i="28" s="1"/>
  <c r="AE662" i="28"/>
  <c r="AF662" i="28" s="1"/>
  <c r="AE664" i="28"/>
  <c r="AF664" i="28" s="1"/>
  <c r="AE666" i="28"/>
  <c r="AF666" i="28" s="1"/>
  <c r="AE668" i="28"/>
  <c r="AF668" i="28" s="1"/>
  <c r="AE670" i="28"/>
  <c r="AF670" i="28" s="1"/>
  <c r="AE672" i="28"/>
  <c r="AF672" i="28" s="1"/>
  <c r="AE674" i="28"/>
  <c r="AF674" i="28" s="1"/>
  <c r="AE676" i="28"/>
  <c r="AF676" i="28" s="1"/>
  <c r="AE678" i="28"/>
  <c r="AF678" i="28" s="1"/>
  <c r="AE680" i="28"/>
  <c r="AF680" i="28" s="1"/>
  <c r="AE682" i="28"/>
  <c r="AF682" i="28" s="1"/>
  <c r="AE684" i="28"/>
  <c r="AF684" i="28" s="1"/>
  <c r="AE686" i="28"/>
  <c r="AF686" i="28" s="1"/>
  <c r="AE688" i="28"/>
  <c r="AF688" i="28" s="1"/>
  <c r="AE690" i="28"/>
  <c r="AF690" i="28" s="1"/>
  <c r="AE692" i="28"/>
  <c r="AF692" i="28" s="1"/>
  <c r="AE694" i="28"/>
  <c r="AF694" i="28" s="1"/>
  <c r="AE696" i="28"/>
  <c r="AF696" i="28" s="1"/>
  <c r="AE698" i="28"/>
  <c r="AF698" i="28" s="1"/>
  <c r="AE700" i="28"/>
  <c r="AF700" i="28" s="1"/>
  <c r="AE702" i="28"/>
  <c r="AF702" i="28" s="1"/>
  <c r="AE704" i="28"/>
  <c r="AF704" i="28" s="1"/>
  <c r="AE706" i="28"/>
  <c r="AF706" i="28" s="1"/>
  <c r="AE708" i="28"/>
  <c r="AF708" i="28" s="1"/>
  <c r="AE710" i="28"/>
  <c r="AF710" i="28" s="1"/>
  <c r="AE712" i="28"/>
  <c r="AF712" i="28" s="1"/>
  <c r="AE714" i="28"/>
  <c r="AF714" i="28" s="1"/>
  <c r="AE716" i="28"/>
  <c r="AF716" i="28" s="1"/>
  <c r="AE718" i="28"/>
  <c r="AF718" i="28" s="1"/>
  <c r="AE720" i="28"/>
  <c r="AF720" i="28" s="1"/>
  <c r="AE722" i="28"/>
  <c r="AF722" i="28" s="1"/>
  <c r="AE724" i="28"/>
  <c r="AF724" i="28" s="1"/>
  <c r="AE726" i="28"/>
  <c r="AF726" i="28" s="1"/>
  <c r="AE728" i="28"/>
  <c r="AF728" i="28" s="1"/>
  <c r="AE730" i="28"/>
  <c r="AF730" i="28" s="1"/>
  <c r="AE732" i="28"/>
  <c r="AF732" i="28" s="1"/>
  <c r="AE734" i="28"/>
  <c r="AF734" i="28" s="1"/>
  <c r="AE736" i="28"/>
  <c r="AF736" i="28" s="1"/>
  <c r="AE738" i="28"/>
  <c r="AF738" i="28" s="1"/>
  <c r="AE740" i="28"/>
  <c r="AF740" i="28" s="1"/>
  <c r="AE742" i="28"/>
  <c r="AF742" i="28" s="1"/>
  <c r="AE744" i="28"/>
  <c r="AF744" i="28" s="1"/>
  <c r="AE746" i="28"/>
  <c r="AF746" i="28" s="1"/>
  <c r="AE748" i="28"/>
  <c r="AF748" i="28" s="1"/>
  <c r="AE750" i="28"/>
  <c r="AF750" i="28" s="1"/>
  <c r="AE752" i="28"/>
  <c r="AF752" i="28" s="1"/>
  <c r="AE754" i="28"/>
  <c r="AF754" i="28" s="1"/>
  <c r="AE756" i="28"/>
  <c r="AF756" i="28" s="1"/>
  <c r="AE758" i="28"/>
  <c r="AF758" i="28" s="1"/>
  <c r="AE760" i="28"/>
  <c r="AF760" i="28" s="1"/>
  <c r="AE762" i="28"/>
  <c r="AF762" i="28" s="1"/>
  <c r="AE764" i="28"/>
  <c r="AF764" i="28" s="1"/>
  <c r="AE766" i="28"/>
  <c r="AF766" i="28" s="1"/>
  <c r="AE768" i="28"/>
  <c r="AF768" i="28" s="1"/>
  <c r="AE770" i="28"/>
  <c r="AF770" i="28" s="1"/>
  <c r="AE772" i="28"/>
  <c r="AF772" i="28" s="1"/>
  <c r="AE774" i="28"/>
  <c r="AF774" i="28" s="1"/>
  <c r="AE776" i="28"/>
  <c r="AF776" i="28" s="1"/>
  <c r="AE778" i="28"/>
  <c r="AF778" i="28" s="1"/>
  <c r="AE780" i="28"/>
  <c r="AF780" i="28" s="1"/>
  <c r="AE782" i="28"/>
  <c r="AF782" i="28" s="1"/>
  <c r="AE784" i="28"/>
  <c r="AF784" i="28" s="1"/>
  <c r="AE786" i="28"/>
  <c r="AF786" i="28" s="1"/>
  <c r="AE788" i="28"/>
  <c r="AF788" i="28" s="1"/>
  <c r="AE790" i="28"/>
  <c r="AF790" i="28" s="1"/>
  <c r="AE792" i="28"/>
  <c r="AF792" i="28" s="1"/>
  <c r="AE794" i="28"/>
  <c r="AF794" i="28" s="1"/>
  <c r="AE796" i="28"/>
  <c r="AF796" i="28" s="1"/>
  <c r="AE798" i="28"/>
  <c r="AF798" i="28" s="1"/>
  <c r="AE800" i="28"/>
  <c r="AF800" i="28" s="1"/>
  <c r="AE802" i="28"/>
  <c r="AF802" i="28" s="1"/>
  <c r="AE804" i="28"/>
  <c r="AF804" i="28" s="1"/>
  <c r="AE806" i="28"/>
  <c r="AF806" i="28" s="1"/>
  <c r="AE808" i="28"/>
  <c r="AF808" i="28" s="1"/>
  <c r="AE810" i="28"/>
  <c r="AF810" i="28" s="1"/>
  <c r="AE812" i="28"/>
  <c r="AF812" i="28" s="1"/>
  <c r="AE814" i="28"/>
  <c r="AF814" i="28" s="1"/>
  <c r="AE816" i="28"/>
  <c r="AF816" i="28" s="1"/>
  <c r="AE818" i="28"/>
  <c r="AF818" i="28" s="1"/>
  <c r="AE820" i="28"/>
  <c r="AF820" i="28" s="1"/>
  <c r="AE822" i="28"/>
  <c r="AF822" i="28" s="1"/>
  <c r="AE824" i="28"/>
  <c r="AF824" i="28" s="1"/>
  <c r="AE826" i="28"/>
  <c r="AF826" i="28" s="1"/>
  <c r="AE828" i="28"/>
  <c r="AF828" i="28" s="1"/>
  <c r="AE830" i="28"/>
  <c r="AF830" i="28" s="1"/>
  <c r="AE832" i="28"/>
  <c r="AF832" i="28" s="1"/>
  <c r="AE834" i="28"/>
  <c r="AF834" i="28" s="1"/>
  <c r="AE836" i="28"/>
  <c r="AF836" i="28" s="1"/>
  <c r="AE838" i="28"/>
  <c r="AF838" i="28" s="1"/>
  <c r="AE840" i="28"/>
  <c r="AF840" i="28" s="1"/>
  <c r="AE842" i="28"/>
  <c r="AF842" i="28" s="1"/>
  <c r="AE844" i="28"/>
  <c r="AF844" i="28" s="1"/>
  <c r="AE846" i="28"/>
  <c r="AF846" i="28" s="1"/>
  <c r="AE7" i="29"/>
  <c r="AH7" i="29" s="1"/>
  <c r="AE9" i="29"/>
  <c r="AH9" i="29" s="1"/>
  <c r="AE11" i="29"/>
  <c r="AH11" i="29" s="1"/>
  <c r="AE13" i="29"/>
  <c r="AH13" i="29" s="1"/>
  <c r="AE15" i="29"/>
  <c r="AH15" i="29" s="1"/>
  <c r="AE17" i="29"/>
  <c r="AH17" i="29" s="1"/>
  <c r="AE19" i="29"/>
  <c r="AH19" i="29" s="1"/>
  <c r="AE21" i="29"/>
  <c r="AH21" i="29" s="1"/>
  <c r="AE23" i="29"/>
  <c r="AH23" i="29" s="1"/>
  <c r="AE25" i="29"/>
  <c r="AH25" i="29" s="1"/>
  <c r="AE27" i="29"/>
  <c r="AH27" i="29" s="1"/>
  <c r="AE29" i="29"/>
  <c r="AH29" i="29" s="1"/>
  <c r="AE31" i="29"/>
  <c r="AH31" i="29" s="1"/>
  <c r="AE33" i="29"/>
  <c r="AH33" i="29" s="1"/>
  <c r="AE35" i="29"/>
  <c r="AH35" i="29" s="1"/>
  <c r="AE37" i="29"/>
  <c r="AH37" i="29" s="1"/>
  <c r="AE39" i="29"/>
  <c r="AH39" i="29" s="1"/>
  <c r="AE41" i="29"/>
  <c r="AH41" i="29" s="1"/>
  <c r="AE43" i="29"/>
  <c r="AH43" i="29" s="1"/>
  <c r="AE45" i="29"/>
  <c r="AH45" i="29" s="1"/>
  <c r="AE47" i="29"/>
  <c r="AH47" i="29" s="1"/>
  <c r="AE49" i="29"/>
  <c r="AH49" i="29" s="1"/>
  <c r="AE51" i="29"/>
  <c r="AH51" i="29" s="1"/>
  <c r="AE53" i="29"/>
  <c r="AH53" i="29" s="1"/>
  <c r="AE55" i="29"/>
  <c r="AH55" i="29" s="1"/>
  <c r="AE57" i="29"/>
  <c r="AH57" i="29" s="1"/>
  <c r="AE59" i="29"/>
  <c r="AH59" i="29" s="1"/>
  <c r="AE61" i="29"/>
  <c r="AH61" i="29" s="1"/>
  <c r="AE63" i="29"/>
  <c r="AH63" i="29" s="1"/>
  <c r="AE65" i="29"/>
  <c r="AH65" i="29" s="1"/>
  <c r="AE67" i="29"/>
  <c r="AH67" i="29" s="1"/>
  <c r="AE69" i="29"/>
  <c r="AH69" i="29" s="1"/>
  <c r="AE71" i="29"/>
  <c r="AH71" i="29" s="1"/>
  <c r="AE73" i="29"/>
  <c r="AH73" i="29" s="1"/>
  <c r="AE75" i="29"/>
  <c r="AH75" i="29" s="1"/>
  <c r="AE77" i="29"/>
  <c r="AH77" i="29" s="1"/>
  <c r="AE79" i="29"/>
  <c r="AH79" i="29" s="1"/>
  <c r="AE81" i="29"/>
  <c r="AH81" i="29" s="1"/>
  <c r="AE83" i="29"/>
  <c r="AH83" i="29" s="1"/>
  <c r="AE85" i="29"/>
  <c r="AH85" i="29" s="1"/>
  <c r="AE87" i="29"/>
  <c r="AH87" i="29" s="1"/>
  <c r="AE89" i="29"/>
  <c r="AH89" i="29" s="1"/>
  <c r="AE91" i="29"/>
  <c r="AH91" i="29" s="1"/>
  <c r="AE93" i="29"/>
  <c r="AH93" i="29" s="1"/>
  <c r="AE95" i="29"/>
  <c r="AH95" i="29" s="1"/>
  <c r="AE97" i="29"/>
  <c r="AH97" i="29" s="1"/>
  <c r="AE99" i="29"/>
  <c r="AH99" i="29" s="1"/>
  <c r="AE101" i="29"/>
  <c r="AH101" i="29" s="1"/>
  <c r="AE103" i="29"/>
  <c r="AH103" i="29" s="1"/>
  <c r="AE105" i="29"/>
  <c r="AH105" i="29" s="1"/>
  <c r="AE107" i="29"/>
  <c r="AH107" i="29" s="1"/>
  <c r="AE109" i="29"/>
  <c r="AH109" i="29" s="1"/>
  <c r="AE111" i="29"/>
  <c r="AH111" i="29" s="1"/>
  <c r="AE113" i="29"/>
  <c r="AH113" i="29" s="1"/>
  <c r="AE115" i="29"/>
  <c r="AH115" i="29" s="1"/>
  <c r="AE117" i="29"/>
  <c r="AH117" i="29" s="1"/>
  <c r="AE119" i="29"/>
  <c r="AH119" i="29" s="1"/>
  <c r="AE121" i="29"/>
  <c r="AH121" i="29" s="1"/>
  <c r="AE123" i="29"/>
  <c r="AH123" i="29" s="1"/>
  <c r="AE125" i="29"/>
  <c r="AH125" i="29" s="1"/>
  <c r="AE127" i="29"/>
  <c r="AH127" i="29" s="1"/>
  <c r="AE129" i="29"/>
  <c r="AH129" i="29" s="1"/>
  <c r="AE131" i="29"/>
  <c r="AH131" i="29" s="1"/>
  <c r="AE133" i="29"/>
  <c r="AH133" i="29" s="1"/>
  <c r="AE135" i="29"/>
  <c r="AH135" i="29" s="1"/>
  <c r="AE137" i="29"/>
  <c r="AH137" i="29" s="1"/>
  <c r="AE139" i="29"/>
  <c r="AH139" i="29" s="1"/>
  <c r="AE141" i="29"/>
  <c r="AH141" i="29" s="1"/>
  <c r="AE143" i="29"/>
  <c r="AH143" i="29" s="1"/>
  <c r="AE145" i="29"/>
  <c r="AH145" i="29" s="1"/>
  <c r="AE147" i="29"/>
  <c r="AH147" i="29" s="1"/>
  <c r="AE149" i="29"/>
  <c r="AH149" i="29" s="1"/>
  <c r="AE151" i="29"/>
  <c r="AH151" i="29" s="1"/>
  <c r="AE153" i="29"/>
  <c r="AH153" i="29" s="1"/>
  <c r="AE155" i="29"/>
  <c r="AH155" i="29" s="1"/>
  <c r="AE157" i="29"/>
  <c r="AH157" i="29" s="1"/>
  <c r="AE159" i="29"/>
  <c r="AH159" i="29" s="1"/>
  <c r="AE161" i="29"/>
  <c r="AH161" i="29" s="1"/>
  <c r="AE163" i="29"/>
  <c r="AH163" i="29" s="1"/>
  <c r="AE165" i="29"/>
  <c r="AH165" i="29" s="1"/>
  <c r="AE167" i="29"/>
  <c r="AH167" i="29" s="1"/>
  <c r="AE169" i="29"/>
  <c r="AH169" i="29" s="1"/>
  <c r="AE171" i="29"/>
  <c r="AH171" i="29" s="1"/>
  <c r="AE173" i="29"/>
  <c r="AH173" i="29" s="1"/>
  <c r="AE175" i="29"/>
  <c r="AH175" i="29" s="1"/>
  <c r="AE177" i="29"/>
  <c r="AH177" i="29" s="1"/>
  <c r="AE179" i="29"/>
  <c r="AH179" i="29" s="1"/>
  <c r="AE181" i="29"/>
  <c r="AH181" i="29" s="1"/>
  <c r="AE183" i="29"/>
  <c r="AH183" i="29" s="1"/>
  <c r="AE185" i="29"/>
  <c r="AH185" i="29" s="1"/>
  <c r="AE187" i="29"/>
  <c r="AH187" i="29" s="1"/>
  <c r="AE189" i="29"/>
  <c r="AH189" i="29" s="1"/>
  <c r="AE191" i="29"/>
  <c r="AH191" i="29" s="1"/>
  <c r="AE193" i="29"/>
  <c r="AH193" i="29" s="1"/>
  <c r="AE195" i="29"/>
  <c r="AH195" i="29" s="1"/>
  <c r="AE197" i="29"/>
  <c r="AH197" i="29" s="1"/>
  <c r="AE199" i="29"/>
  <c r="AH199" i="29" s="1"/>
  <c r="AE201" i="29"/>
  <c r="AH201" i="29" s="1"/>
  <c r="AE203" i="29"/>
  <c r="AH203" i="29" s="1"/>
  <c r="AE205" i="29"/>
  <c r="AH205" i="29" s="1"/>
  <c r="AE207" i="29"/>
  <c r="AH207" i="29" s="1"/>
  <c r="AE209" i="29"/>
  <c r="AH209" i="29" s="1"/>
  <c r="AE211" i="29"/>
  <c r="AH211" i="29" s="1"/>
  <c r="AE213" i="29"/>
  <c r="AH213" i="29" s="1"/>
  <c r="AE215" i="29"/>
  <c r="AH215" i="29" s="1"/>
  <c r="AE217" i="29"/>
  <c r="AH217" i="29" s="1"/>
  <c r="AE219" i="29"/>
  <c r="AH219" i="29" s="1"/>
  <c r="AE221" i="29"/>
  <c r="AH221" i="29" s="1"/>
  <c r="AE223" i="29"/>
  <c r="AH223" i="29" s="1"/>
  <c r="AE225" i="29"/>
  <c r="AH225" i="29" s="1"/>
  <c r="AE227" i="29"/>
  <c r="AH227" i="29" s="1"/>
  <c r="AE229" i="29"/>
  <c r="AH229" i="29" s="1"/>
  <c r="AE231" i="29"/>
  <c r="AH231" i="29" s="1"/>
  <c r="AE233" i="29"/>
  <c r="AH233" i="29" s="1"/>
  <c r="AE235" i="29"/>
  <c r="AH235" i="29" s="1"/>
  <c r="AE237" i="29"/>
  <c r="AH237" i="29" s="1"/>
  <c r="AE239" i="29"/>
  <c r="AH239" i="29" s="1"/>
  <c r="AE241" i="29"/>
  <c r="AH241" i="29" s="1"/>
  <c r="AE243" i="29"/>
  <c r="AH243" i="29" s="1"/>
  <c r="AE245" i="29"/>
  <c r="AH245" i="29" s="1"/>
  <c r="AE247" i="29"/>
  <c r="AH247" i="29" s="1"/>
  <c r="AE249" i="29"/>
  <c r="AH249" i="29" s="1"/>
  <c r="AE251" i="29"/>
  <c r="AH251" i="29" s="1"/>
  <c r="AE253" i="29"/>
  <c r="AH253" i="29" s="1"/>
  <c r="AE255" i="29"/>
  <c r="AH255" i="29" s="1"/>
  <c r="AE257" i="29"/>
  <c r="AH257" i="29" s="1"/>
  <c r="AE259" i="29"/>
  <c r="AH259" i="29" s="1"/>
  <c r="AE261" i="29"/>
  <c r="AH261" i="29" s="1"/>
  <c r="AE263" i="29"/>
  <c r="AH263" i="29" s="1"/>
  <c r="AE265" i="29"/>
  <c r="AH265" i="29" s="1"/>
  <c r="AE267" i="29"/>
  <c r="AH267" i="29" s="1"/>
  <c r="AE269" i="29"/>
  <c r="AH269" i="29" s="1"/>
  <c r="AE271" i="29"/>
  <c r="AH271" i="29" s="1"/>
  <c r="AE273" i="29"/>
  <c r="AH273" i="29" s="1"/>
  <c r="AE275" i="29"/>
  <c r="AH275" i="29" s="1"/>
  <c r="AE277" i="29"/>
  <c r="AH277" i="29" s="1"/>
  <c r="AE279" i="29"/>
  <c r="AH279" i="29" s="1"/>
  <c r="AE281" i="29"/>
  <c r="AH281" i="29" s="1"/>
  <c r="AE283" i="29"/>
  <c r="AH283" i="29" s="1"/>
  <c r="AE285" i="29"/>
  <c r="AH285" i="29" s="1"/>
  <c r="AE287" i="29"/>
  <c r="AH287" i="29" s="1"/>
  <c r="AE289" i="29"/>
  <c r="AH289" i="29" s="1"/>
  <c r="AE291" i="29"/>
  <c r="AH291" i="29" s="1"/>
  <c r="AE293" i="29"/>
  <c r="AH293" i="29" s="1"/>
  <c r="AE295" i="29"/>
  <c r="AH295" i="29" s="1"/>
  <c r="AE297" i="29"/>
  <c r="AH297" i="29" s="1"/>
  <c r="AE299" i="29"/>
  <c r="AH299" i="29" s="1"/>
  <c r="AE301" i="29"/>
  <c r="AH301" i="29" s="1"/>
  <c r="AE303" i="29"/>
  <c r="AH303" i="29" s="1"/>
  <c r="AE305" i="29"/>
  <c r="AH305" i="29" s="1"/>
  <c r="AE307" i="29"/>
  <c r="AH307" i="29" s="1"/>
  <c r="AE309" i="29"/>
  <c r="AH309" i="29" s="1"/>
  <c r="AE311" i="29"/>
  <c r="AH311" i="29" s="1"/>
  <c r="AE313" i="29"/>
  <c r="AH313" i="29" s="1"/>
  <c r="AE315" i="29"/>
  <c r="AH315" i="29" s="1"/>
  <c r="AE317" i="29"/>
  <c r="AH317" i="29" s="1"/>
  <c r="AE319" i="29"/>
  <c r="AH319" i="29" s="1"/>
  <c r="AE321" i="29"/>
  <c r="AH321" i="29" s="1"/>
  <c r="AE323" i="29"/>
  <c r="AH323" i="29" s="1"/>
  <c r="AE325" i="29"/>
  <c r="AH325" i="29" s="1"/>
  <c r="AE327" i="29"/>
  <c r="AH327" i="29" s="1"/>
  <c r="AE329" i="29"/>
  <c r="AH329" i="29" s="1"/>
  <c r="AE331" i="29"/>
  <c r="AH331" i="29" s="1"/>
  <c r="AE333" i="29"/>
  <c r="AH333" i="29" s="1"/>
  <c r="AE335" i="29"/>
  <c r="AH335" i="29" s="1"/>
  <c r="AE337" i="29"/>
  <c r="AH337" i="29" s="1"/>
  <c r="AE339" i="29"/>
  <c r="AH339" i="29" s="1"/>
  <c r="AE341" i="29"/>
  <c r="AH341" i="29" s="1"/>
  <c r="AE343" i="29"/>
  <c r="AH343" i="29" s="1"/>
  <c r="AE345" i="29"/>
  <c r="AH345" i="29" s="1"/>
  <c r="AE347" i="29"/>
  <c r="AH347" i="29" s="1"/>
  <c r="AE349" i="29"/>
  <c r="AH349" i="29" s="1"/>
  <c r="AE351" i="29"/>
  <c r="AH351" i="29" s="1"/>
  <c r="AE353" i="29"/>
  <c r="AH353" i="29" s="1"/>
  <c r="AE355" i="29"/>
  <c r="AH355" i="29" s="1"/>
  <c r="AE357" i="29"/>
  <c r="AH357" i="29" s="1"/>
  <c r="AE359" i="29"/>
  <c r="AH359" i="29" s="1"/>
  <c r="AE361" i="29"/>
  <c r="AH361" i="29" s="1"/>
  <c r="AE363" i="29"/>
  <c r="AH363" i="29" s="1"/>
  <c r="AE365" i="29"/>
  <c r="AH365" i="29" s="1"/>
  <c r="AE367" i="29"/>
  <c r="AH367" i="29" s="1"/>
  <c r="AE369" i="29"/>
  <c r="AH369" i="29" s="1"/>
  <c r="AE371" i="29"/>
  <c r="AH371" i="29" s="1"/>
  <c r="AE373" i="29"/>
  <c r="AH373" i="29" s="1"/>
  <c r="AE375" i="29"/>
  <c r="AH375" i="29" s="1"/>
  <c r="AE377" i="29"/>
  <c r="AH377" i="29" s="1"/>
  <c r="AE379" i="29"/>
  <c r="AH379" i="29" s="1"/>
  <c r="AE381" i="29"/>
  <c r="AH381" i="29" s="1"/>
  <c r="AE383" i="29"/>
  <c r="AH383" i="29" s="1"/>
  <c r="AE385" i="29"/>
  <c r="AH385" i="29" s="1"/>
  <c r="AE387" i="29"/>
  <c r="AH387" i="29" s="1"/>
  <c r="AE389" i="29"/>
  <c r="AH389" i="29" s="1"/>
  <c r="AE391" i="29"/>
  <c r="AH391" i="29" s="1"/>
  <c r="AE393" i="29"/>
  <c r="AH393" i="29" s="1"/>
  <c r="AE395" i="29"/>
  <c r="AH395" i="29" s="1"/>
  <c r="AE397" i="29"/>
  <c r="AH397" i="29" s="1"/>
  <c r="AE399" i="29"/>
  <c r="AH399" i="29" s="1"/>
  <c r="AE401" i="29"/>
  <c r="AH401" i="29" s="1"/>
  <c r="AE403" i="29"/>
  <c r="AH403" i="29" s="1"/>
  <c r="AE405" i="29"/>
  <c r="AH405" i="29" s="1"/>
  <c r="AE407" i="29"/>
  <c r="AH407" i="29" s="1"/>
  <c r="AE409" i="29"/>
  <c r="AH409" i="29" s="1"/>
  <c r="AE411" i="29"/>
  <c r="AH411" i="29" s="1"/>
  <c r="AE413" i="29"/>
  <c r="AH413" i="29" s="1"/>
  <c r="AE415" i="29"/>
  <c r="AH415" i="29" s="1"/>
  <c r="AE417" i="29"/>
  <c r="AH417" i="29" s="1"/>
  <c r="AE419" i="29"/>
  <c r="AH419" i="29" s="1"/>
  <c r="AE421" i="29"/>
  <c r="AH421" i="29" s="1"/>
  <c r="AE423" i="29"/>
  <c r="AH423" i="29" s="1"/>
  <c r="AE425" i="29"/>
  <c r="AH425" i="29" s="1"/>
  <c r="AE427" i="29"/>
  <c r="AH427" i="29" s="1"/>
  <c r="AE429" i="29"/>
  <c r="AH429" i="29" s="1"/>
  <c r="AE431" i="29"/>
  <c r="AH431" i="29" s="1"/>
  <c r="AE433" i="29"/>
  <c r="AH433" i="29" s="1"/>
  <c r="AE435" i="29"/>
  <c r="AH435" i="29" s="1"/>
  <c r="AE437" i="29"/>
  <c r="AH437" i="29" s="1"/>
  <c r="AE439" i="29"/>
  <c r="AH439" i="29" s="1"/>
  <c r="AE441" i="29"/>
  <c r="AH441" i="29" s="1"/>
  <c r="AE443" i="29"/>
  <c r="AH443" i="29" s="1"/>
  <c r="AE445" i="29"/>
  <c r="AH445" i="29" s="1"/>
  <c r="AE447" i="29"/>
  <c r="AH447" i="29" s="1"/>
  <c r="AE449" i="29"/>
  <c r="AH449" i="29" s="1"/>
  <c r="AE451" i="29"/>
  <c r="AH451" i="29" s="1"/>
  <c r="AE453" i="29"/>
  <c r="AH453" i="29" s="1"/>
  <c r="AE455" i="29"/>
  <c r="AH455" i="29" s="1"/>
  <c r="AE457" i="29"/>
  <c r="AH457" i="29" s="1"/>
  <c r="AE459" i="29"/>
  <c r="AH459" i="29" s="1"/>
  <c r="AE461" i="29"/>
  <c r="AH461" i="29" s="1"/>
  <c r="AE463" i="29"/>
  <c r="AH463" i="29" s="1"/>
  <c r="AE465" i="29"/>
  <c r="AH465" i="29" s="1"/>
  <c r="AE467" i="29"/>
  <c r="AH467" i="29" s="1"/>
  <c r="AE469" i="29"/>
  <c r="AH469" i="29" s="1"/>
  <c r="AE471" i="29"/>
  <c r="AH471" i="29" s="1"/>
  <c r="AE473" i="29"/>
  <c r="AH473" i="29" s="1"/>
  <c r="AE475" i="29"/>
  <c r="AH475" i="29" s="1"/>
  <c r="AE6" i="29"/>
  <c r="AH6" i="29" s="1"/>
  <c r="AE8" i="29"/>
  <c r="AH8" i="29" s="1"/>
  <c r="AE10" i="29"/>
  <c r="AH10" i="29" s="1"/>
  <c r="AE12" i="29"/>
  <c r="AH12" i="29" s="1"/>
  <c r="AE14" i="29"/>
  <c r="AH14" i="29" s="1"/>
  <c r="AE16" i="29"/>
  <c r="AH16" i="29" s="1"/>
  <c r="AE18" i="29"/>
  <c r="AH18" i="29" s="1"/>
  <c r="AE20" i="29"/>
  <c r="AH20" i="29" s="1"/>
  <c r="AE22" i="29"/>
  <c r="AH22" i="29" s="1"/>
  <c r="AE24" i="29"/>
  <c r="AH24" i="29" s="1"/>
  <c r="AE26" i="29"/>
  <c r="AH26" i="29" s="1"/>
  <c r="AE28" i="29"/>
  <c r="AH28" i="29" s="1"/>
  <c r="AE30" i="29"/>
  <c r="AH30" i="29" s="1"/>
  <c r="AE32" i="29"/>
  <c r="AH32" i="29" s="1"/>
  <c r="AE34" i="29"/>
  <c r="AH34" i="29" s="1"/>
  <c r="AE36" i="29"/>
  <c r="AH36" i="29" s="1"/>
  <c r="AE38" i="29"/>
  <c r="AH38" i="29" s="1"/>
  <c r="AE40" i="29"/>
  <c r="AH40" i="29" s="1"/>
  <c r="AE42" i="29"/>
  <c r="AH42" i="29" s="1"/>
  <c r="AE44" i="29"/>
  <c r="AH44" i="29" s="1"/>
  <c r="AE46" i="29"/>
  <c r="AH46" i="29" s="1"/>
  <c r="AE48" i="29"/>
  <c r="AH48" i="29" s="1"/>
  <c r="AE50" i="29"/>
  <c r="AH50" i="29" s="1"/>
  <c r="AE52" i="29"/>
  <c r="AH52" i="29" s="1"/>
  <c r="AE54" i="29"/>
  <c r="AH54" i="29" s="1"/>
  <c r="AE56" i="29"/>
  <c r="AH56" i="29" s="1"/>
  <c r="AE58" i="29"/>
  <c r="AH58" i="29" s="1"/>
  <c r="AE60" i="29"/>
  <c r="AH60" i="29" s="1"/>
  <c r="AE62" i="29"/>
  <c r="AH62" i="29" s="1"/>
  <c r="AE64" i="29"/>
  <c r="AH64" i="29" s="1"/>
  <c r="AE66" i="29"/>
  <c r="AH66" i="29" s="1"/>
  <c r="AE68" i="29"/>
  <c r="AH68" i="29" s="1"/>
  <c r="AE70" i="29"/>
  <c r="AH70" i="29" s="1"/>
  <c r="AE72" i="29"/>
  <c r="AH72" i="29" s="1"/>
  <c r="AE74" i="29"/>
  <c r="AH74" i="29" s="1"/>
  <c r="AE76" i="29"/>
  <c r="AH76" i="29" s="1"/>
  <c r="AE78" i="29"/>
  <c r="AH78" i="29" s="1"/>
  <c r="AE80" i="29"/>
  <c r="AH80" i="29" s="1"/>
  <c r="AE82" i="29"/>
  <c r="AH82" i="29" s="1"/>
  <c r="AE84" i="29"/>
  <c r="AH84" i="29" s="1"/>
  <c r="AE86" i="29"/>
  <c r="AH86" i="29" s="1"/>
  <c r="AE88" i="29"/>
  <c r="AH88" i="29" s="1"/>
  <c r="AE90" i="29"/>
  <c r="AH90" i="29" s="1"/>
  <c r="AE92" i="29"/>
  <c r="AH92" i="29" s="1"/>
  <c r="AE94" i="29"/>
  <c r="AH94" i="29" s="1"/>
  <c r="AE96" i="29"/>
  <c r="AH96" i="29" s="1"/>
  <c r="AE98" i="29"/>
  <c r="AH98" i="29" s="1"/>
  <c r="AE100" i="29"/>
  <c r="AH100" i="29" s="1"/>
  <c r="AE102" i="29"/>
  <c r="AH102" i="29" s="1"/>
  <c r="AE104" i="29"/>
  <c r="AH104" i="29" s="1"/>
  <c r="AE106" i="29"/>
  <c r="AH106" i="29" s="1"/>
  <c r="AE108" i="29"/>
  <c r="AH108" i="29" s="1"/>
  <c r="AE110" i="29"/>
  <c r="AH110" i="29" s="1"/>
  <c r="AE112" i="29"/>
  <c r="AH112" i="29" s="1"/>
  <c r="AE114" i="29"/>
  <c r="AH114" i="29" s="1"/>
  <c r="AE116" i="29"/>
  <c r="AH116" i="29" s="1"/>
  <c r="AE118" i="29"/>
  <c r="AH118" i="29" s="1"/>
  <c r="AE120" i="29"/>
  <c r="AH120" i="29" s="1"/>
  <c r="AE122" i="29"/>
  <c r="AH122" i="29" s="1"/>
  <c r="AE124" i="29"/>
  <c r="AH124" i="29" s="1"/>
  <c r="AE126" i="29"/>
  <c r="AH126" i="29" s="1"/>
  <c r="AE128" i="29"/>
  <c r="AH128" i="29" s="1"/>
  <c r="AE130" i="29"/>
  <c r="AH130" i="29" s="1"/>
  <c r="AE132" i="29"/>
  <c r="AH132" i="29" s="1"/>
  <c r="AE134" i="29"/>
  <c r="AH134" i="29" s="1"/>
  <c r="AE136" i="29"/>
  <c r="AH136" i="29" s="1"/>
  <c r="AE138" i="29"/>
  <c r="AH138" i="29" s="1"/>
  <c r="AE140" i="29"/>
  <c r="AH140" i="29" s="1"/>
  <c r="AE142" i="29"/>
  <c r="AH142" i="29" s="1"/>
  <c r="AE144" i="29"/>
  <c r="AH144" i="29" s="1"/>
  <c r="AE146" i="29"/>
  <c r="AH146" i="29" s="1"/>
  <c r="AE148" i="29"/>
  <c r="AH148" i="29" s="1"/>
  <c r="AE150" i="29"/>
  <c r="AH150" i="29" s="1"/>
  <c r="AE152" i="29"/>
  <c r="AH152" i="29" s="1"/>
  <c r="AE154" i="29"/>
  <c r="AH154" i="29" s="1"/>
  <c r="AE156" i="29"/>
  <c r="AH156" i="29" s="1"/>
  <c r="AE158" i="29"/>
  <c r="AH158" i="29" s="1"/>
  <c r="AE160" i="29"/>
  <c r="AH160" i="29" s="1"/>
  <c r="AE162" i="29"/>
  <c r="AH162" i="29" s="1"/>
  <c r="AE164" i="29"/>
  <c r="AH164" i="29" s="1"/>
  <c r="AE166" i="29"/>
  <c r="AH166" i="29" s="1"/>
  <c r="AE168" i="29"/>
  <c r="AH168" i="29" s="1"/>
  <c r="AE170" i="29"/>
  <c r="AH170" i="29" s="1"/>
  <c r="AE172" i="29"/>
  <c r="AH172" i="29" s="1"/>
  <c r="AE174" i="29"/>
  <c r="AH174" i="29" s="1"/>
  <c r="AE176" i="29"/>
  <c r="AH176" i="29" s="1"/>
  <c r="AE178" i="29"/>
  <c r="AH178" i="29" s="1"/>
  <c r="AE180" i="29"/>
  <c r="AH180" i="29" s="1"/>
  <c r="AE182" i="29"/>
  <c r="AH182" i="29" s="1"/>
  <c r="AE184" i="29"/>
  <c r="AH184" i="29" s="1"/>
  <c r="AE186" i="29"/>
  <c r="AH186" i="29" s="1"/>
  <c r="AE188" i="29"/>
  <c r="AH188" i="29" s="1"/>
  <c r="AE190" i="29"/>
  <c r="AH190" i="29" s="1"/>
  <c r="AE192" i="29"/>
  <c r="AH192" i="29" s="1"/>
  <c r="AE194" i="29"/>
  <c r="AH194" i="29" s="1"/>
  <c r="AE196" i="29"/>
  <c r="AH196" i="29" s="1"/>
  <c r="AE198" i="29"/>
  <c r="AH198" i="29" s="1"/>
  <c r="AE200" i="29"/>
  <c r="AH200" i="29" s="1"/>
  <c r="AE202" i="29"/>
  <c r="AH202" i="29" s="1"/>
  <c r="AE204" i="29"/>
  <c r="AH204" i="29" s="1"/>
  <c r="AE206" i="29"/>
  <c r="AH206" i="29" s="1"/>
  <c r="AE208" i="29"/>
  <c r="AH208" i="29" s="1"/>
  <c r="AE210" i="29"/>
  <c r="AH210" i="29" s="1"/>
  <c r="AE212" i="29"/>
  <c r="AH212" i="29" s="1"/>
  <c r="AE214" i="29"/>
  <c r="AH214" i="29" s="1"/>
  <c r="AE216" i="29"/>
  <c r="AH216" i="29" s="1"/>
  <c r="AE218" i="29"/>
  <c r="AH218" i="29" s="1"/>
  <c r="AE220" i="29"/>
  <c r="AH220" i="29" s="1"/>
  <c r="AE222" i="29"/>
  <c r="AH222" i="29" s="1"/>
  <c r="AE224" i="29"/>
  <c r="AH224" i="29" s="1"/>
  <c r="AE226" i="29"/>
  <c r="AH226" i="29" s="1"/>
  <c r="AE228" i="29"/>
  <c r="AH228" i="29" s="1"/>
  <c r="AE230" i="29"/>
  <c r="AH230" i="29" s="1"/>
  <c r="AE232" i="29"/>
  <c r="AH232" i="29" s="1"/>
  <c r="AE234" i="29"/>
  <c r="AH234" i="29" s="1"/>
  <c r="AE236" i="29"/>
  <c r="AH236" i="29" s="1"/>
  <c r="AE238" i="29"/>
  <c r="AH238" i="29" s="1"/>
  <c r="AE240" i="29"/>
  <c r="AH240" i="29" s="1"/>
  <c r="AE242" i="29"/>
  <c r="AH242" i="29" s="1"/>
  <c r="AE244" i="29"/>
  <c r="AH244" i="29" s="1"/>
  <c r="AE246" i="29"/>
  <c r="AH246" i="29" s="1"/>
  <c r="AE248" i="29"/>
  <c r="AH248" i="29" s="1"/>
  <c r="AE250" i="29"/>
  <c r="AH250" i="29" s="1"/>
  <c r="AE252" i="29"/>
  <c r="AH252" i="29" s="1"/>
  <c r="AE254" i="29"/>
  <c r="AH254" i="29" s="1"/>
  <c r="AE256" i="29"/>
  <c r="AH256" i="29" s="1"/>
  <c r="AE258" i="29"/>
  <c r="AH258" i="29" s="1"/>
  <c r="AE260" i="29"/>
  <c r="AH260" i="29" s="1"/>
  <c r="AE262" i="29"/>
  <c r="AH262" i="29" s="1"/>
  <c r="AE264" i="29"/>
  <c r="AH264" i="29" s="1"/>
  <c r="AE266" i="29"/>
  <c r="AH266" i="29" s="1"/>
  <c r="AE268" i="29"/>
  <c r="AH268" i="29" s="1"/>
  <c r="AE270" i="29"/>
  <c r="AH270" i="29" s="1"/>
  <c r="AE272" i="29"/>
  <c r="AH272" i="29" s="1"/>
  <c r="AE274" i="29"/>
  <c r="AH274" i="29" s="1"/>
  <c r="AE276" i="29"/>
  <c r="AH276" i="29" s="1"/>
  <c r="AE278" i="29"/>
  <c r="AH278" i="29" s="1"/>
  <c r="AE280" i="29"/>
  <c r="AH280" i="29" s="1"/>
  <c r="AE282" i="29"/>
  <c r="AH282" i="29" s="1"/>
  <c r="AE284" i="29"/>
  <c r="AH284" i="29" s="1"/>
  <c r="AE286" i="29"/>
  <c r="AH286" i="29" s="1"/>
  <c r="AE288" i="29"/>
  <c r="AH288" i="29" s="1"/>
  <c r="AE290" i="29"/>
  <c r="AH290" i="29" s="1"/>
  <c r="AE292" i="29"/>
  <c r="AH292" i="29" s="1"/>
  <c r="AE294" i="29"/>
  <c r="AH294" i="29" s="1"/>
  <c r="AE296" i="29"/>
  <c r="AH296" i="29" s="1"/>
  <c r="AE298" i="29"/>
  <c r="AH298" i="29" s="1"/>
  <c r="AE300" i="29"/>
  <c r="AH300" i="29" s="1"/>
  <c r="AE302" i="29"/>
  <c r="AH302" i="29" s="1"/>
  <c r="AE304" i="29"/>
  <c r="AH304" i="29" s="1"/>
  <c r="AE306" i="29"/>
  <c r="AH306" i="29" s="1"/>
  <c r="AE308" i="29"/>
  <c r="AH308" i="29" s="1"/>
  <c r="AE310" i="29"/>
  <c r="AH310" i="29" s="1"/>
  <c r="AE312" i="29"/>
  <c r="AH312" i="29" s="1"/>
  <c r="AE314" i="29"/>
  <c r="AH314" i="29" s="1"/>
  <c r="AE316" i="29"/>
  <c r="AH316" i="29" s="1"/>
  <c r="AE318" i="29"/>
  <c r="AH318" i="29" s="1"/>
  <c r="AE320" i="29"/>
  <c r="AH320" i="29" s="1"/>
  <c r="AE322" i="29"/>
  <c r="AH322" i="29" s="1"/>
  <c r="AE324" i="29"/>
  <c r="AH324" i="29" s="1"/>
  <c r="AE326" i="29"/>
  <c r="AH326" i="29" s="1"/>
  <c r="AE328" i="29"/>
  <c r="AH328" i="29" s="1"/>
  <c r="AE330" i="29"/>
  <c r="AH330" i="29" s="1"/>
  <c r="AE332" i="29"/>
  <c r="AH332" i="29" s="1"/>
  <c r="AE334" i="29"/>
  <c r="AH334" i="29" s="1"/>
  <c r="AE336" i="29"/>
  <c r="AH336" i="29" s="1"/>
  <c r="AE338" i="29"/>
  <c r="AH338" i="29" s="1"/>
  <c r="AE340" i="29"/>
  <c r="AH340" i="29" s="1"/>
  <c r="AE342" i="29"/>
  <c r="AH342" i="29" s="1"/>
  <c r="AE344" i="29"/>
  <c r="AH344" i="29" s="1"/>
  <c r="AE346" i="29"/>
  <c r="AH346" i="29" s="1"/>
  <c r="AE348" i="29"/>
  <c r="AH348" i="29" s="1"/>
  <c r="AE350" i="29"/>
  <c r="AH350" i="29" s="1"/>
  <c r="AE352" i="29"/>
  <c r="AH352" i="29" s="1"/>
  <c r="AE354" i="29"/>
  <c r="AH354" i="29" s="1"/>
  <c r="AE356" i="29"/>
  <c r="AH356" i="29" s="1"/>
  <c r="AE358" i="29"/>
  <c r="AH358" i="29" s="1"/>
  <c r="AE360" i="29"/>
  <c r="AH360" i="29" s="1"/>
  <c r="AE362" i="29"/>
  <c r="AH362" i="29" s="1"/>
  <c r="AE364" i="29"/>
  <c r="AH364" i="29" s="1"/>
  <c r="AE366" i="29"/>
  <c r="AH366" i="29" s="1"/>
  <c r="AE368" i="29"/>
  <c r="AH368" i="29" s="1"/>
  <c r="AE370" i="29"/>
  <c r="AH370" i="29" s="1"/>
  <c r="AE372" i="29"/>
  <c r="AH372" i="29" s="1"/>
  <c r="AE374" i="29"/>
  <c r="AH374" i="29" s="1"/>
  <c r="AE376" i="29"/>
  <c r="AH376" i="29" s="1"/>
  <c r="AE378" i="29"/>
  <c r="AH378" i="29" s="1"/>
  <c r="AE380" i="29"/>
  <c r="AH380" i="29" s="1"/>
  <c r="AE382" i="29"/>
  <c r="AH382" i="29" s="1"/>
  <c r="AE384" i="29"/>
  <c r="AH384" i="29" s="1"/>
  <c r="AE386" i="29"/>
  <c r="AH386" i="29" s="1"/>
  <c r="AE388" i="29"/>
  <c r="AH388" i="29" s="1"/>
  <c r="AE390" i="29"/>
  <c r="AH390" i="29" s="1"/>
  <c r="AE392" i="29"/>
  <c r="AH392" i="29" s="1"/>
  <c r="AE394" i="29"/>
  <c r="AH394" i="29" s="1"/>
  <c r="AE396" i="29"/>
  <c r="AH396" i="29" s="1"/>
  <c r="AE398" i="29"/>
  <c r="AH398" i="29" s="1"/>
  <c r="AE400" i="29"/>
  <c r="AH400" i="29" s="1"/>
  <c r="AE402" i="29"/>
  <c r="AH402" i="29" s="1"/>
  <c r="AE404" i="29"/>
  <c r="AH404" i="29" s="1"/>
  <c r="AE406" i="29"/>
  <c r="AH406" i="29" s="1"/>
  <c r="AE408" i="29"/>
  <c r="AH408" i="29" s="1"/>
  <c r="AE410" i="29"/>
  <c r="AH410" i="29" s="1"/>
  <c r="AE412" i="29"/>
  <c r="AH412" i="29" s="1"/>
  <c r="AE414" i="29"/>
  <c r="AH414" i="29" s="1"/>
  <c r="AE416" i="29"/>
  <c r="AH416" i="29" s="1"/>
  <c r="AE418" i="29"/>
  <c r="AH418" i="29" s="1"/>
  <c r="AE420" i="29"/>
  <c r="AH420" i="29" s="1"/>
  <c r="AE422" i="29"/>
  <c r="AH422" i="29" s="1"/>
  <c r="AE424" i="29"/>
  <c r="AH424" i="29" s="1"/>
  <c r="AE426" i="29"/>
  <c r="AH426" i="29" s="1"/>
  <c r="AE428" i="29"/>
  <c r="AH428" i="29" s="1"/>
  <c r="AE430" i="29"/>
  <c r="AH430" i="29" s="1"/>
  <c r="AE432" i="29"/>
  <c r="AH432" i="29" s="1"/>
  <c r="AE434" i="29"/>
  <c r="AH434" i="29" s="1"/>
  <c r="AE436" i="29"/>
  <c r="AH436" i="29" s="1"/>
  <c r="AE438" i="29"/>
  <c r="AH438" i="29" s="1"/>
  <c r="AE440" i="29"/>
  <c r="AH440" i="29" s="1"/>
  <c r="AE442" i="29"/>
  <c r="AH442" i="29" s="1"/>
  <c r="AE444" i="29"/>
  <c r="AH444" i="29" s="1"/>
  <c r="AE446" i="29"/>
  <c r="AH446" i="29" s="1"/>
  <c r="AE448" i="29"/>
  <c r="AH448" i="29" s="1"/>
  <c r="AE450" i="29"/>
  <c r="AH450" i="29" s="1"/>
  <c r="AE452" i="29"/>
  <c r="AH452" i="29" s="1"/>
  <c r="AE454" i="29"/>
  <c r="AH454" i="29" s="1"/>
  <c r="AE456" i="29"/>
  <c r="AH456" i="29" s="1"/>
  <c r="AE458" i="29"/>
  <c r="AH458" i="29" s="1"/>
  <c r="AE460" i="29"/>
  <c r="AH460" i="29" s="1"/>
  <c r="AE462" i="29"/>
  <c r="AH462" i="29" s="1"/>
  <c r="AE464" i="29"/>
  <c r="AH464" i="29" s="1"/>
  <c r="AE466" i="29"/>
  <c r="AH466" i="29" s="1"/>
  <c r="AE468" i="29"/>
  <c r="AH468" i="29" s="1"/>
  <c r="AE470" i="29"/>
  <c r="AH470" i="29" s="1"/>
  <c r="AE472" i="29"/>
  <c r="AH472" i="29" s="1"/>
  <c r="AE474" i="29"/>
  <c r="AH474" i="29" s="1"/>
  <c r="AE476" i="29"/>
  <c r="AH476" i="29" s="1"/>
  <c r="AE478" i="29"/>
  <c r="AH478" i="29" s="1"/>
  <c r="AE480" i="29"/>
  <c r="AH480" i="29" s="1"/>
  <c r="AE482" i="29"/>
  <c r="AH482" i="29" s="1"/>
  <c r="AE484" i="29"/>
  <c r="AH484" i="29" s="1"/>
  <c r="AE486" i="29"/>
  <c r="AH486" i="29" s="1"/>
  <c r="AE488" i="29"/>
  <c r="AH488" i="29" s="1"/>
  <c r="AE490" i="29"/>
  <c r="AH490" i="29" s="1"/>
  <c r="AE492" i="29"/>
  <c r="AH492" i="29" s="1"/>
  <c r="AE494" i="29"/>
  <c r="AH494" i="29" s="1"/>
  <c r="AE496" i="29"/>
  <c r="AH496" i="29" s="1"/>
  <c r="AE498" i="29"/>
  <c r="AH498" i="29" s="1"/>
  <c r="AE500" i="29"/>
  <c r="AH500" i="29" s="1"/>
  <c r="AE502" i="29"/>
  <c r="AH502" i="29" s="1"/>
  <c r="AE504" i="29"/>
  <c r="AH504" i="29" s="1"/>
  <c r="AE506" i="29"/>
  <c r="AH506" i="29" s="1"/>
  <c r="AE508" i="29"/>
  <c r="AH508" i="29" s="1"/>
  <c r="AE510" i="29"/>
  <c r="AH510" i="29" s="1"/>
  <c r="AE512" i="29"/>
  <c r="AH512" i="29" s="1"/>
  <c r="AE514" i="29"/>
  <c r="AH514" i="29" s="1"/>
  <c r="AE516" i="29"/>
  <c r="AH516" i="29" s="1"/>
  <c r="AE479" i="29"/>
  <c r="AH479" i="29" s="1"/>
  <c r="AE483" i="29"/>
  <c r="AH483" i="29" s="1"/>
  <c r="AE487" i="29"/>
  <c r="AH487" i="29" s="1"/>
  <c r="AE491" i="29"/>
  <c r="AH491" i="29" s="1"/>
  <c r="AE495" i="29"/>
  <c r="AH495" i="29" s="1"/>
  <c r="AE499" i="29"/>
  <c r="AH499" i="29" s="1"/>
  <c r="AE503" i="29"/>
  <c r="AH503" i="29" s="1"/>
  <c r="AE507" i="29"/>
  <c r="AH507" i="29" s="1"/>
  <c r="AE511" i="29"/>
  <c r="AH511" i="29" s="1"/>
  <c r="AE515" i="29"/>
  <c r="AH515" i="29" s="1"/>
  <c r="AE518" i="29"/>
  <c r="AH518" i="29" s="1"/>
  <c r="AE520" i="29"/>
  <c r="AH520" i="29" s="1"/>
  <c r="AE522" i="29"/>
  <c r="AH522" i="29" s="1"/>
  <c r="AE524" i="29"/>
  <c r="AH524" i="29" s="1"/>
  <c r="AE526" i="29"/>
  <c r="AH526" i="29" s="1"/>
  <c r="AE528" i="29"/>
  <c r="AH528" i="29" s="1"/>
  <c r="AE530" i="29"/>
  <c r="AH530" i="29" s="1"/>
  <c r="AE532" i="29"/>
  <c r="AH532" i="29" s="1"/>
  <c r="AE534" i="29"/>
  <c r="AH534" i="29" s="1"/>
  <c r="AE536" i="29"/>
  <c r="AH536" i="29" s="1"/>
  <c r="AE538" i="29"/>
  <c r="AH538" i="29" s="1"/>
  <c r="AE540" i="29"/>
  <c r="AH540" i="29" s="1"/>
  <c r="AE542" i="29"/>
  <c r="AH542" i="29" s="1"/>
  <c r="AE544" i="29"/>
  <c r="AH544" i="29" s="1"/>
  <c r="AE546" i="29"/>
  <c r="AH546" i="29" s="1"/>
  <c r="AE548" i="29"/>
  <c r="AH548" i="29" s="1"/>
  <c r="AE550" i="29"/>
  <c r="AH550" i="29" s="1"/>
  <c r="AE552" i="29"/>
  <c r="AH552" i="29" s="1"/>
  <c r="AE554" i="29"/>
  <c r="AH554" i="29" s="1"/>
  <c r="AE556" i="29"/>
  <c r="AH556" i="29" s="1"/>
  <c r="AE558" i="29"/>
  <c r="AH558" i="29" s="1"/>
  <c r="AE560" i="29"/>
  <c r="AH560" i="29" s="1"/>
  <c r="AE562" i="29"/>
  <c r="AH562" i="29" s="1"/>
  <c r="AE564" i="29"/>
  <c r="AH564" i="29" s="1"/>
  <c r="AE566" i="29"/>
  <c r="AH566" i="29" s="1"/>
  <c r="AE568" i="29"/>
  <c r="AH568" i="29" s="1"/>
  <c r="AE570" i="29"/>
  <c r="AH570" i="29" s="1"/>
  <c r="AE572" i="29"/>
  <c r="AH572" i="29" s="1"/>
  <c r="AE574" i="29"/>
  <c r="AH574" i="29" s="1"/>
  <c r="AE576" i="29"/>
  <c r="AH576" i="29" s="1"/>
  <c r="AE578" i="29"/>
  <c r="AH578" i="29" s="1"/>
  <c r="AE580" i="29"/>
  <c r="AH580" i="29" s="1"/>
  <c r="AE582" i="29"/>
  <c r="AH582" i="29" s="1"/>
  <c r="AE584" i="29"/>
  <c r="AH584" i="29" s="1"/>
  <c r="AE586" i="29"/>
  <c r="AH586" i="29" s="1"/>
  <c r="AE588" i="29"/>
  <c r="AH588" i="29" s="1"/>
  <c r="AE590" i="29"/>
  <c r="AH590" i="29" s="1"/>
  <c r="AE592" i="29"/>
  <c r="AH592" i="29" s="1"/>
  <c r="AE594" i="29"/>
  <c r="AH594" i="29" s="1"/>
  <c r="AE596" i="29"/>
  <c r="AH596" i="29" s="1"/>
  <c r="AE598" i="29"/>
  <c r="AH598" i="29" s="1"/>
  <c r="AE600" i="29"/>
  <c r="AH600" i="29" s="1"/>
  <c r="AE602" i="29"/>
  <c r="AH602" i="29" s="1"/>
  <c r="AE604" i="29"/>
  <c r="AH604" i="29" s="1"/>
  <c r="AE606" i="29"/>
  <c r="AH606" i="29" s="1"/>
  <c r="AE608" i="29"/>
  <c r="AH608" i="29" s="1"/>
  <c r="AE610" i="29"/>
  <c r="AH610" i="29" s="1"/>
  <c r="AE612" i="29"/>
  <c r="AH612" i="29" s="1"/>
  <c r="AE614" i="29"/>
  <c r="AH614" i="29" s="1"/>
  <c r="AE616" i="29"/>
  <c r="AH616" i="29" s="1"/>
  <c r="AE618" i="29"/>
  <c r="AH618" i="29" s="1"/>
  <c r="AE620" i="29"/>
  <c r="AH620" i="29" s="1"/>
  <c r="AE622" i="29"/>
  <c r="AH622" i="29" s="1"/>
  <c r="AE624" i="29"/>
  <c r="AH624" i="29" s="1"/>
  <c r="AE626" i="29"/>
  <c r="AH626" i="29" s="1"/>
  <c r="AE628" i="29"/>
  <c r="AH628" i="29" s="1"/>
  <c r="AE630" i="29"/>
  <c r="AH630" i="29" s="1"/>
  <c r="AE632" i="29"/>
  <c r="AH632" i="29" s="1"/>
  <c r="AE634" i="29"/>
  <c r="AH634" i="29" s="1"/>
  <c r="AE636" i="29"/>
  <c r="AH636" i="29" s="1"/>
  <c r="AE638" i="29"/>
  <c r="AH638" i="29" s="1"/>
  <c r="AE640" i="29"/>
  <c r="AH640" i="29" s="1"/>
  <c r="AE642" i="29"/>
  <c r="AH642" i="29" s="1"/>
  <c r="AE644" i="29"/>
  <c r="AH644" i="29" s="1"/>
  <c r="AE646" i="29"/>
  <c r="AH646" i="29" s="1"/>
  <c r="AE648" i="29"/>
  <c r="AH648" i="29" s="1"/>
  <c r="AE650" i="29"/>
  <c r="AH650" i="29" s="1"/>
  <c r="AE652" i="29"/>
  <c r="AH652" i="29" s="1"/>
  <c r="AE654" i="29"/>
  <c r="AH654" i="29" s="1"/>
  <c r="AE656" i="29"/>
  <c r="AH656" i="29" s="1"/>
  <c r="AE658" i="29"/>
  <c r="AH658" i="29" s="1"/>
  <c r="AE660" i="29"/>
  <c r="AH660" i="29" s="1"/>
  <c r="AE662" i="29"/>
  <c r="AH662" i="29" s="1"/>
  <c r="AE664" i="29"/>
  <c r="AH664" i="29" s="1"/>
  <c r="AE666" i="29"/>
  <c r="AH666" i="29" s="1"/>
  <c r="AE668" i="29"/>
  <c r="AH668" i="29" s="1"/>
  <c r="AE670" i="29"/>
  <c r="AH670" i="29" s="1"/>
  <c r="AE672" i="29"/>
  <c r="AH672" i="29" s="1"/>
  <c r="AE674" i="29"/>
  <c r="AH674" i="29" s="1"/>
  <c r="AE676" i="29"/>
  <c r="AH676" i="29" s="1"/>
  <c r="AE678" i="29"/>
  <c r="AH678" i="29" s="1"/>
  <c r="AE680" i="29"/>
  <c r="AH680" i="29" s="1"/>
  <c r="AE682" i="29"/>
  <c r="AH682" i="29" s="1"/>
  <c r="AE684" i="29"/>
  <c r="AH684" i="29" s="1"/>
  <c r="AE686" i="29"/>
  <c r="AH686" i="29" s="1"/>
  <c r="AE688" i="29"/>
  <c r="AH688" i="29" s="1"/>
  <c r="AE690" i="29"/>
  <c r="AH690" i="29" s="1"/>
  <c r="AE692" i="29"/>
  <c r="AH692" i="29" s="1"/>
  <c r="AE694" i="29"/>
  <c r="AH694" i="29" s="1"/>
  <c r="AE696" i="29"/>
  <c r="AH696" i="29" s="1"/>
  <c r="AE698" i="29"/>
  <c r="AH698" i="29" s="1"/>
  <c r="AE700" i="29"/>
  <c r="AH700" i="29" s="1"/>
  <c r="AE702" i="29"/>
  <c r="AH702" i="29" s="1"/>
  <c r="AE704" i="29"/>
  <c r="AH704" i="29" s="1"/>
  <c r="AE706" i="29"/>
  <c r="AH706" i="29" s="1"/>
  <c r="AE708" i="29"/>
  <c r="AH708" i="29" s="1"/>
  <c r="AE710" i="29"/>
  <c r="AH710" i="29" s="1"/>
  <c r="AE712" i="29"/>
  <c r="AH712" i="29" s="1"/>
  <c r="AE714" i="29"/>
  <c r="AH714" i="29" s="1"/>
  <c r="AE716" i="29"/>
  <c r="AH716" i="29" s="1"/>
  <c r="AE718" i="29"/>
  <c r="AH718" i="29" s="1"/>
  <c r="AE720" i="29"/>
  <c r="AH720" i="29" s="1"/>
  <c r="AE722" i="29"/>
  <c r="AH722" i="29" s="1"/>
  <c r="AE724" i="29"/>
  <c r="AH724" i="29" s="1"/>
  <c r="AE726" i="29"/>
  <c r="AH726" i="29" s="1"/>
  <c r="AE728" i="29"/>
  <c r="AH728" i="29" s="1"/>
  <c r="AE730" i="29"/>
  <c r="AH730" i="29" s="1"/>
  <c r="AE732" i="29"/>
  <c r="AH732" i="29" s="1"/>
  <c r="AE734" i="29"/>
  <c r="AH734" i="29" s="1"/>
  <c r="AE736" i="29"/>
  <c r="AH736" i="29" s="1"/>
  <c r="AE738" i="29"/>
  <c r="AH738" i="29" s="1"/>
  <c r="AE740" i="29"/>
  <c r="AH740" i="29" s="1"/>
  <c r="AE742" i="29"/>
  <c r="AH742" i="29" s="1"/>
  <c r="AE744" i="29"/>
  <c r="AH744" i="29" s="1"/>
  <c r="AE746" i="29"/>
  <c r="AH746" i="29" s="1"/>
  <c r="AE748" i="29"/>
  <c r="AH748" i="29" s="1"/>
  <c r="AE750" i="29"/>
  <c r="AH750" i="29" s="1"/>
  <c r="AE752" i="29"/>
  <c r="AH752" i="29" s="1"/>
  <c r="AE754" i="29"/>
  <c r="AH754" i="29" s="1"/>
  <c r="AE756" i="29"/>
  <c r="AH756" i="29" s="1"/>
  <c r="AE758" i="29"/>
  <c r="AH758" i="29" s="1"/>
  <c r="AE760" i="29"/>
  <c r="AH760" i="29" s="1"/>
  <c r="AE762" i="29"/>
  <c r="AH762" i="29" s="1"/>
  <c r="AE764" i="29"/>
  <c r="AH764" i="29" s="1"/>
  <c r="AE766" i="29"/>
  <c r="AH766" i="29" s="1"/>
  <c r="AE768" i="29"/>
  <c r="AH768" i="29" s="1"/>
  <c r="AE770" i="29"/>
  <c r="AH770" i="29" s="1"/>
  <c r="AE772" i="29"/>
  <c r="AH772" i="29" s="1"/>
  <c r="AE774" i="29"/>
  <c r="AH774" i="29" s="1"/>
  <c r="AE776" i="29"/>
  <c r="AH776" i="29" s="1"/>
  <c r="AE778" i="29"/>
  <c r="AH778" i="29" s="1"/>
  <c r="AE780" i="29"/>
  <c r="AH780" i="29" s="1"/>
  <c r="AE782" i="29"/>
  <c r="AH782" i="29" s="1"/>
  <c r="AE784" i="29"/>
  <c r="AH784" i="29" s="1"/>
  <c r="AE786" i="29"/>
  <c r="AH786" i="29" s="1"/>
  <c r="AE788" i="29"/>
  <c r="AH788" i="29" s="1"/>
  <c r="AE790" i="29"/>
  <c r="AH790" i="29" s="1"/>
  <c r="AE792" i="29"/>
  <c r="AH792" i="29" s="1"/>
  <c r="AE794" i="29"/>
  <c r="AH794" i="29" s="1"/>
  <c r="AE796" i="29"/>
  <c r="AH796" i="29" s="1"/>
  <c r="AE798" i="29"/>
  <c r="AH798" i="29" s="1"/>
  <c r="AE800" i="29"/>
  <c r="AH800" i="29" s="1"/>
  <c r="AE802" i="29"/>
  <c r="AH802" i="29" s="1"/>
  <c r="AE804" i="29"/>
  <c r="AH804" i="29" s="1"/>
  <c r="AE806" i="29"/>
  <c r="AH806" i="29" s="1"/>
  <c r="AE808" i="29"/>
  <c r="AH808" i="29" s="1"/>
  <c r="AE810" i="29"/>
  <c r="AH810" i="29" s="1"/>
  <c r="AE812" i="29"/>
  <c r="AH812" i="29" s="1"/>
  <c r="AE814" i="29"/>
  <c r="AH814" i="29" s="1"/>
  <c r="AE816" i="29"/>
  <c r="AH816" i="29" s="1"/>
  <c r="AE818" i="29"/>
  <c r="AH818" i="29" s="1"/>
  <c r="AE820" i="29"/>
  <c r="AH820" i="29" s="1"/>
  <c r="AE822" i="29"/>
  <c r="AH822" i="29" s="1"/>
  <c r="AE824" i="29"/>
  <c r="AE826" i="29"/>
  <c r="AH826" i="29" s="1"/>
  <c r="AE828" i="29"/>
  <c r="AH828" i="29" s="1"/>
  <c r="AE830" i="29"/>
  <c r="AH830" i="29" s="1"/>
  <c r="AE832" i="29"/>
  <c r="AE834" i="29"/>
  <c r="AH834" i="29" s="1"/>
  <c r="AE836" i="29"/>
  <c r="AH836" i="29" s="1"/>
  <c r="AE838" i="29"/>
  <c r="AH838" i="29" s="1"/>
  <c r="AE840" i="29"/>
  <c r="AE842" i="29"/>
  <c r="AH842" i="29" s="1"/>
  <c r="AE844" i="29"/>
  <c r="AH844" i="29" s="1"/>
  <c r="AE846" i="29"/>
  <c r="AH846" i="29" s="1"/>
  <c r="AE848" i="29"/>
  <c r="AE850" i="29"/>
  <c r="AH850" i="29" s="1"/>
  <c r="AE852" i="29"/>
  <c r="AE854" i="29"/>
  <c r="AH854" i="29" s="1"/>
  <c r="AE856" i="29"/>
  <c r="AH856" i="29" s="1"/>
  <c r="AE858" i="29"/>
  <c r="AH858" i="29" s="1"/>
  <c r="AE860" i="29"/>
  <c r="AH860" i="29" s="1"/>
  <c r="AE862" i="29"/>
  <c r="AH862" i="29" s="1"/>
  <c r="AE864" i="29"/>
  <c r="AE866" i="29"/>
  <c r="AH866" i="29" s="1"/>
  <c r="AE868" i="29"/>
  <c r="AE870" i="29"/>
  <c r="AH870" i="29" s="1"/>
  <c r="AE872" i="29"/>
  <c r="AE874" i="29"/>
  <c r="AH874" i="29" s="1"/>
  <c r="AE876" i="29"/>
  <c r="AE878" i="29"/>
  <c r="AH878" i="29" s="1"/>
  <c r="AE880" i="29"/>
  <c r="AE882" i="29"/>
  <c r="AH882" i="29" s="1"/>
  <c r="AE884" i="29"/>
  <c r="AE886" i="29"/>
  <c r="AH886" i="29" s="1"/>
  <c r="AE888" i="29"/>
  <c r="AH888" i="29" s="1"/>
  <c r="AE890" i="29"/>
  <c r="AH890" i="29" s="1"/>
  <c r="AE892" i="29"/>
  <c r="AE894" i="29"/>
  <c r="AH894" i="29" s="1"/>
  <c r="AE896" i="29"/>
  <c r="AE898" i="29"/>
  <c r="AH898" i="29" s="1"/>
  <c r="AE900" i="29"/>
  <c r="AE902" i="29"/>
  <c r="AH902" i="29" s="1"/>
  <c r="AE904" i="29"/>
  <c r="AH904" i="29" s="1"/>
  <c r="AE906" i="29"/>
  <c r="AH906" i="29" s="1"/>
  <c r="AE908" i="29"/>
  <c r="AH908" i="29" s="1"/>
  <c r="AE910" i="29"/>
  <c r="AH910" i="29" s="1"/>
  <c r="AE912" i="29"/>
  <c r="AE914" i="29"/>
  <c r="AH914" i="29" s="1"/>
  <c r="AE916" i="29"/>
  <c r="AE918" i="29"/>
  <c r="AH918" i="29" s="1"/>
  <c r="AE920" i="29"/>
  <c r="AE922" i="29"/>
  <c r="AH922" i="29" s="1"/>
  <c r="AE924" i="29"/>
  <c r="AE926" i="29"/>
  <c r="AH926" i="29" s="1"/>
  <c r="AE928" i="29"/>
  <c r="AE930" i="29"/>
  <c r="AH930" i="29" s="1"/>
  <c r="AE932" i="29"/>
  <c r="AE934" i="29"/>
  <c r="AH934" i="29" s="1"/>
  <c r="AE936" i="29"/>
  <c r="AE938" i="29"/>
  <c r="AH938" i="29" s="1"/>
  <c r="AE940" i="29"/>
  <c r="AE942" i="29"/>
  <c r="AH942" i="29" s="1"/>
  <c r="AE944" i="29"/>
  <c r="AH944" i="29" s="1"/>
  <c r="AE946" i="29"/>
  <c r="AH946" i="29" s="1"/>
  <c r="AE948" i="29"/>
  <c r="AH948" i="29" s="1"/>
  <c r="AE950" i="29"/>
  <c r="AH950" i="29" s="1"/>
  <c r="AE952" i="29"/>
  <c r="AE954" i="29"/>
  <c r="AH954" i="29" s="1"/>
  <c r="AE956" i="29"/>
  <c r="AH956" i="29" s="1"/>
  <c r="AE958" i="29"/>
  <c r="AH958" i="29" s="1"/>
  <c r="AE960" i="29"/>
  <c r="AE962" i="29"/>
  <c r="AH962" i="29" s="1"/>
  <c r="AE964" i="29"/>
  <c r="AE966" i="29"/>
  <c r="AH966" i="29" s="1"/>
  <c r="AE968" i="29"/>
  <c r="AH968" i="29" s="1"/>
  <c r="AE970" i="29"/>
  <c r="AH970" i="29" s="1"/>
  <c r="AE972" i="29"/>
  <c r="AE974" i="29"/>
  <c r="AH974" i="29" s="1"/>
  <c r="AE976" i="29"/>
  <c r="AE978" i="29"/>
  <c r="AH978" i="29" s="1"/>
  <c r="AE980" i="29"/>
  <c r="AE982" i="29"/>
  <c r="AH982" i="29" s="1"/>
  <c r="AE984" i="29"/>
  <c r="AE986" i="29"/>
  <c r="AH986" i="29" s="1"/>
  <c r="AE988" i="29"/>
  <c r="AH988" i="29" s="1"/>
  <c r="AE990" i="29"/>
  <c r="AH990" i="29" s="1"/>
  <c r="AE992" i="29"/>
  <c r="AE994" i="29"/>
  <c r="AH994" i="29" s="1"/>
  <c r="AE996" i="29"/>
  <c r="AE998" i="29"/>
  <c r="AH998" i="29" s="1"/>
  <c r="AE1000" i="29"/>
  <c r="AE1002" i="29"/>
  <c r="AH1002" i="29" s="1"/>
  <c r="AE1004" i="29"/>
  <c r="AE1006" i="29"/>
  <c r="AH1006" i="29" s="1"/>
  <c r="AE1008" i="29"/>
  <c r="AH1008" i="29" s="1"/>
  <c r="AE477" i="29"/>
  <c r="AH477" i="29" s="1"/>
  <c r="AE481" i="29"/>
  <c r="AH481" i="29" s="1"/>
  <c r="AE485" i="29"/>
  <c r="AH485" i="29" s="1"/>
  <c r="AE489" i="29"/>
  <c r="AH489" i="29" s="1"/>
  <c r="AE493" i="29"/>
  <c r="AH493" i="29" s="1"/>
  <c r="AE497" i="29"/>
  <c r="AH497" i="29" s="1"/>
  <c r="AE501" i="29"/>
  <c r="AH501" i="29" s="1"/>
  <c r="AE505" i="29"/>
  <c r="AH505" i="29" s="1"/>
  <c r="AE509" i="29"/>
  <c r="AH509" i="29" s="1"/>
  <c r="AE513" i="29"/>
  <c r="AH513" i="29" s="1"/>
  <c r="AE517" i="29"/>
  <c r="AH517" i="29" s="1"/>
  <c r="AE519" i="29"/>
  <c r="AH519" i="29" s="1"/>
  <c r="AE521" i="29"/>
  <c r="AH521" i="29" s="1"/>
  <c r="AE523" i="29"/>
  <c r="AH523" i="29" s="1"/>
  <c r="AE525" i="29"/>
  <c r="AH525" i="29" s="1"/>
  <c r="AE527" i="29"/>
  <c r="AH527" i="29" s="1"/>
  <c r="AE529" i="29"/>
  <c r="AH529" i="29" s="1"/>
  <c r="AE531" i="29"/>
  <c r="AH531" i="29" s="1"/>
  <c r="AE533" i="29"/>
  <c r="AH533" i="29" s="1"/>
  <c r="AE535" i="29"/>
  <c r="AH535" i="29" s="1"/>
  <c r="AE537" i="29"/>
  <c r="AH537" i="29" s="1"/>
  <c r="AE539" i="29"/>
  <c r="AH539" i="29" s="1"/>
  <c r="AE541" i="29"/>
  <c r="AH541" i="29" s="1"/>
  <c r="AE543" i="29"/>
  <c r="AH543" i="29" s="1"/>
  <c r="AE545" i="29"/>
  <c r="AH545" i="29" s="1"/>
  <c r="AE547" i="29"/>
  <c r="AH547" i="29" s="1"/>
  <c r="AE549" i="29"/>
  <c r="AH549" i="29" s="1"/>
  <c r="AE551" i="29"/>
  <c r="AH551" i="29" s="1"/>
  <c r="AE553" i="29"/>
  <c r="AH553" i="29" s="1"/>
  <c r="AE555" i="29"/>
  <c r="AH555" i="29" s="1"/>
  <c r="AE557" i="29"/>
  <c r="AH557" i="29" s="1"/>
  <c r="AE559" i="29"/>
  <c r="AH559" i="29" s="1"/>
  <c r="AE561" i="29"/>
  <c r="AH561" i="29" s="1"/>
  <c r="AE563" i="29"/>
  <c r="AH563" i="29" s="1"/>
  <c r="AE565" i="29"/>
  <c r="AH565" i="29" s="1"/>
  <c r="AE567" i="29"/>
  <c r="AH567" i="29" s="1"/>
  <c r="AE569" i="29"/>
  <c r="AH569" i="29" s="1"/>
  <c r="AE571" i="29"/>
  <c r="AH571" i="29" s="1"/>
  <c r="AE573" i="29"/>
  <c r="AH573" i="29" s="1"/>
  <c r="AE575" i="29"/>
  <c r="AH575" i="29" s="1"/>
  <c r="AE577" i="29"/>
  <c r="AH577" i="29" s="1"/>
  <c r="AE579" i="29"/>
  <c r="AH579" i="29" s="1"/>
  <c r="AE581" i="29"/>
  <c r="AH581" i="29" s="1"/>
  <c r="AE583" i="29"/>
  <c r="AH583" i="29" s="1"/>
  <c r="AE585" i="29"/>
  <c r="AH585" i="29" s="1"/>
  <c r="AE587" i="29"/>
  <c r="AH587" i="29" s="1"/>
  <c r="AE589" i="29"/>
  <c r="AH589" i="29" s="1"/>
  <c r="AE591" i="29"/>
  <c r="AH591" i="29" s="1"/>
  <c r="AE593" i="29"/>
  <c r="AH593" i="29" s="1"/>
  <c r="AE595" i="29"/>
  <c r="AH595" i="29" s="1"/>
  <c r="AE597" i="29"/>
  <c r="AH597" i="29" s="1"/>
  <c r="AE599" i="29"/>
  <c r="AH599" i="29" s="1"/>
  <c r="AE601" i="29"/>
  <c r="AH601" i="29" s="1"/>
  <c r="AE603" i="29"/>
  <c r="AH603" i="29" s="1"/>
  <c r="AE605" i="29"/>
  <c r="AH605" i="29" s="1"/>
  <c r="AE607" i="29"/>
  <c r="AH607" i="29" s="1"/>
  <c r="AE609" i="29"/>
  <c r="AH609" i="29" s="1"/>
  <c r="AE611" i="29"/>
  <c r="AH611" i="29" s="1"/>
  <c r="AE613" i="29"/>
  <c r="AH613" i="29" s="1"/>
  <c r="AE615" i="29"/>
  <c r="AH615" i="29" s="1"/>
  <c r="AE617" i="29"/>
  <c r="AH617" i="29" s="1"/>
  <c r="AE619" i="29"/>
  <c r="AH619" i="29" s="1"/>
  <c r="AE621" i="29"/>
  <c r="AH621" i="29" s="1"/>
  <c r="AE623" i="29"/>
  <c r="AH623" i="29" s="1"/>
  <c r="AE625" i="29"/>
  <c r="AH625" i="29" s="1"/>
  <c r="AE627" i="29"/>
  <c r="AH627" i="29" s="1"/>
  <c r="AE629" i="29"/>
  <c r="AH629" i="29" s="1"/>
  <c r="AE631" i="29"/>
  <c r="AH631" i="29" s="1"/>
  <c r="AE633" i="29"/>
  <c r="AH633" i="29" s="1"/>
  <c r="AE635" i="29"/>
  <c r="AH635" i="29" s="1"/>
  <c r="AE637" i="29"/>
  <c r="AH637" i="29" s="1"/>
  <c r="AE639" i="29"/>
  <c r="AH639" i="29" s="1"/>
  <c r="AE641" i="29"/>
  <c r="AH641" i="29" s="1"/>
  <c r="AE643" i="29"/>
  <c r="AH643" i="29" s="1"/>
  <c r="AE645" i="29"/>
  <c r="AH645" i="29" s="1"/>
  <c r="AE647" i="29"/>
  <c r="AH647" i="29" s="1"/>
  <c r="AE649" i="29"/>
  <c r="AH649" i="29" s="1"/>
  <c r="AE651" i="29"/>
  <c r="AH651" i="29" s="1"/>
  <c r="AE653" i="29"/>
  <c r="AH653" i="29" s="1"/>
  <c r="AE655" i="29"/>
  <c r="AH655" i="29" s="1"/>
  <c r="AE657" i="29"/>
  <c r="AH657" i="29" s="1"/>
  <c r="AE659" i="29"/>
  <c r="AH659" i="29" s="1"/>
  <c r="AE661" i="29"/>
  <c r="AH661" i="29" s="1"/>
  <c r="AE663" i="29"/>
  <c r="AH663" i="29" s="1"/>
  <c r="AE665" i="29"/>
  <c r="AH665" i="29" s="1"/>
  <c r="AE667" i="29"/>
  <c r="AH667" i="29" s="1"/>
  <c r="AE669" i="29"/>
  <c r="AH669" i="29" s="1"/>
  <c r="AE671" i="29"/>
  <c r="AH671" i="29" s="1"/>
  <c r="AE673" i="29"/>
  <c r="AH673" i="29" s="1"/>
  <c r="AE675" i="29"/>
  <c r="AH675" i="29" s="1"/>
  <c r="AE677" i="29"/>
  <c r="AH677" i="29" s="1"/>
  <c r="AE679" i="29"/>
  <c r="AH679" i="29" s="1"/>
  <c r="AE681" i="29"/>
  <c r="AH681" i="29" s="1"/>
  <c r="AE683" i="29"/>
  <c r="AH683" i="29" s="1"/>
  <c r="AE685" i="29"/>
  <c r="AH685" i="29" s="1"/>
  <c r="AE687" i="29"/>
  <c r="AH687" i="29" s="1"/>
  <c r="AE689" i="29"/>
  <c r="AH689" i="29" s="1"/>
  <c r="AE691" i="29"/>
  <c r="AH691" i="29" s="1"/>
  <c r="AE693" i="29"/>
  <c r="AH693" i="29" s="1"/>
  <c r="AE695" i="29"/>
  <c r="AH695" i="29" s="1"/>
  <c r="AE697" i="29"/>
  <c r="AH697" i="29" s="1"/>
  <c r="AE699" i="29"/>
  <c r="AH699" i="29" s="1"/>
  <c r="AE701" i="29"/>
  <c r="AH701" i="29" s="1"/>
  <c r="AE703" i="29"/>
  <c r="AH703" i="29" s="1"/>
  <c r="AE705" i="29"/>
  <c r="AH705" i="29" s="1"/>
  <c r="AE707" i="29"/>
  <c r="AH707" i="29" s="1"/>
  <c r="AE709" i="29"/>
  <c r="AH709" i="29" s="1"/>
  <c r="AE711" i="29"/>
  <c r="AH711" i="29" s="1"/>
  <c r="AE713" i="29"/>
  <c r="AH713" i="29" s="1"/>
  <c r="AE715" i="29"/>
  <c r="AH715" i="29" s="1"/>
  <c r="AE717" i="29"/>
  <c r="AH717" i="29" s="1"/>
  <c r="AE719" i="29"/>
  <c r="AH719" i="29" s="1"/>
  <c r="AE721" i="29"/>
  <c r="AH721" i="29" s="1"/>
  <c r="AE723" i="29"/>
  <c r="AH723" i="29" s="1"/>
  <c r="AE725" i="29"/>
  <c r="AH725" i="29" s="1"/>
  <c r="AE727" i="29"/>
  <c r="AH727" i="29" s="1"/>
  <c r="AE729" i="29"/>
  <c r="AH729" i="29" s="1"/>
  <c r="AE731" i="29"/>
  <c r="AH731" i="29" s="1"/>
  <c r="AE733" i="29"/>
  <c r="AH733" i="29" s="1"/>
  <c r="AE735" i="29"/>
  <c r="AH735" i="29" s="1"/>
  <c r="AE737" i="29"/>
  <c r="AH737" i="29" s="1"/>
  <c r="AE739" i="29"/>
  <c r="AH739" i="29" s="1"/>
  <c r="AE741" i="29"/>
  <c r="AH741" i="29" s="1"/>
  <c r="AE743" i="29"/>
  <c r="AH743" i="29" s="1"/>
  <c r="AE745" i="29"/>
  <c r="AH745" i="29" s="1"/>
  <c r="AE747" i="29"/>
  <c r="AH747" i="29" s="1"/>
  <c r="AE749" i="29"/>
  <c r="AH749" i="29" s="1"/>
  <c r="AE751" i="29"/>
  <c r="AH751" i="29" s="1"/>
  <c r="AE753" i="29"/>
  <c r="AH753" i="29" s="1"/>
  <c r="AE755" i="29"/>
  <c r="AH755" i="29" s="1"/>
  <c r="AE757" i="29"/>
  <c r="AH757" i="29" s="1"/>
  <c r="AE759" i="29"/>
  <c r="AH759" i="29" s="1"/>
  <c r="AE761" i="29"/>
  <c r="AH761" i="29" s="1"/>
  <c r="AE763" i="29"/>
  <c r="AH763" i="29" s="1"/>
  <c r="AE765" i="29"/>
  <c r="AH765" i="29" s="1"/>
  <c r="AE767" i="29"/>
  <c r="AH767" i="29" s="1"/>
  <c r="AE769" i="29"/>
  <c r="AH769" i="29" s="1"/>
  <c r="AE771" i="29"/>
  <c r="AH771" i="29" s="1"/>
  <c r="AE773" i="29"/>
  <c r="AH773" i="29" s="1"/>
  <c r="AE775" i="29"/>
  <c r="AH775" i="29" s="1"/>
  <c r="AE777" i="29"/>
  <c r="AH777" i="29" s="1"/>
  <c r="AE779" i="29"/>
  <c r="AH779" i="29" s="1"/>
  <c r="AE781" i="29"/>
  <c r="AH781" i="29" s="1"/>
  <c r="AE783" i="29"/>
  <c r="AH783" i="29" s="1"/>
  <c r="AE785" i="29"/>
  <c r="AH785" i="29" s="1"/>
  <c r="AE787" i="29"/>
  <c r="AH787" i="29" s="1"/>
  <c r="AE789" i="29"/>
  <c r="AH789" i="29" s="1"/>
  <c r="AE791" i="29"/>
  <c r="AH791" i="29" s="1"/>
  <c r="AE793" i="29"/>
  <c r="AH793" i="29" s="1"/>
  <c r="AE795" i="29"/>
  <c r="AH795" i="29" s="1"/>
  <c r="AE797" i="29"/>
  <c r="AH797" i="29" s="1"/>
  <c r="AE799" i="29"/>
  <c r="AH799" i="29" s="1"/>
  <c r="AE801" i="29"/>
  <c r="AH801" i="29" s="1"/>
  <c r="AE803" i="29"/>
  <c r="AH803" i="29" s="1"/>
  <c r="AE805" i="29"/>
  <c r="AH805" i="29" s="1"/>
  <c r="AE807" i="29"/>
  <c r="AH807" i="29" s="1"/>
  <c r="AE809" i="29"/>
  <c r="AH809" i="29" s="1"/>
  <c r="AE811" i="29"/>
  <c r="AH811" i="29" s="1"/>
  <c r="AE813" i="29"/>
  <c r="AH813" i="29" s="1"/>
  <c r="AE815" i="29"/>
  <c r="AH815" i="29" s="1"/>
  <c r="AE817" i="29"/>
  <c r="AH817" i="29" s="1"/>
  <c r="AE819" i="29"/>
  <c r="AH819" i="29" s="1"/>
  <c r="AE821" i="29"/>
  <c r="AH821" i="29" s="1"/>
  <c r="AE823" i="29"/>
  <c r="AH823" i="29" s="1"/>
  <c r="AE825" i="29"/>
  <c r="AH825" i="29" s="1"/>
  <c r="AE827" i="29"/>
  <c r="AH827" i="29" s="1"/>
  <c r="AE829" i="29"/>
  <c r="AH829" i="29" s="1"/>
  <c r="AE831" i="29"/>
  <c r="AH831" i="29" s="1"/>
  <c r="AE833" i="29"/>
  <c r="AH833" i="29" s="1"/>
  <c r="AE835" i="29"/>
  <c r="AH835" i="29" s="1"/>
  <c r="AE837" i="29"/>
  <c r="AH837" i="29" s="1"/>
  <c r="AE839" i="29"/>
  <c r="AH839" i="29" s="1"/>
  <c r="AE841" i="29"/>
  <c r="AH841" i="29" s="1"/>
  <c r="AE843" i="29"/>
  <c r="AH843" i="29" s="1"/>
  <c r="AE845" i="29"/>
  <c r="AH845" i="29" s="1"/>
  <c r="AE847" i="29"/>
  <c r="AH847" i="29" s="1"/>
  <c r="AE849" i="29"/>
  <c r="AH849" i="29" s="1"/>
  <c r="AE851" i="29"/>
  <c r="AH851" i="29" s="1"/>
  <c r="AE853" i="29"/>
  <c r="AH853" i="29" s="1"/>
  <c r="AE855" i="29"/>
  <c r="AH855" i="29" s="1"/>
  <c r="AE857" i="29"/>
  <c r="AH857" i="29" s="1"/>
  <c r="AE859" i="29"/>
  <c r="AH859" i="29" s="1"/>
  <c r="AE861" i="29"/>
  <c r="AH861" i="29" s="1"/>
  <c r="AE863" i="29"/>
  <c r="AH863" i="29" s="1"/>
  <c r="AE865" i="29"/>
  <c r="AH865" i="29" s="1"/>
  <c r="AE867" i="29"/>
  <c r="AH867" i="29" s="1"/>
  <c r="AE869" i="29"/>
  <c r="AH869" i="29" s="1"/>
  <c r="AE871" i="29"/>
  <c r="AH871" i="29" s="1"/>
  <c r="AE873" i="29"/>
  <c r="AH873" i="29" s="1"/>
  <c r="AE875" i="29"/>
  <c r="AH875" i="29" s="1"/>
  <c r="AE877" i="29"/>
  <c r="AH877" i="29" s="1"/>
  <c r="AE879" i="29"/>
  <c r="AH879" i="29" s="1"/>
  <c r="AE881" i="29"/>
  <c r="AH881" i="29" s="1"/>
  <c r="AE883" i="29"/>
  <c r="AH883" i="29" s="1"/>
  <c r="AE885" i="29"/>
  <c r="AH885" i="29" s="1"/>
  <c r="AE887" i="29"/>
  <c r="AH887" i="29" s="1"/>
  <c r="AE889" i="29"/>
  <c r="AH889" i="29" s="1"/>
  <c r="AE891" i="29"/>
  <c r="AH891" i="29" s="1"/>
  <c r="AE893" i="29"/>
  <c r="AH893" i="29" s="1"/>
  <c r="AE895" i="29"/>
  <c r="AH895" i="29" s="1"/>
  <c r="AE897" i="29"/>
  <c r="AH897" i="29" s="1"/>
  <c r="AE899" i="29"/>
  <c r="AH899" i="29" s="1"/>
  <c r="AE901" i="29"/>
  <c r="AH901" i="29" s="1"/>
  <c r="AE903" i="29"/>
  <c r="AH903" i="29" s="1"/>
  <c r="AE905" i="29"/>
  <c r="AH905" i="29" s="1"/>
  <c r="AE907" i="29"/>
  <c r="AH907" i="29" s="1"/>
  <c r="AE909" i="29"/>
  <c r="AH909" i="29" s="1"/>
  <c r="AE911" i="29"/>
  <c r="AH911" i="29" s="1"/>
  <c r="AE913" i="29"/>
  <c r="AH913" i="29" s="1"/>
  <c r="AE915" i="29"/>
  <c r="AH915" i="29" s="1"/>
  <c r="AE917" i="29"/>
  <c r="AH917" i="29" s="1"/>
  <c r="AE919" i="29"/>
  <c r="AH919" i="29" s="1"/>
  <c r="AE921" i="29"/>
  <c r="AH921" i="29" s="1"/>
  <c r="AE923" i="29"/>
  <c r="AH923" i="29" s="1"/>
  <c r="AE925" i="29"/>
  <c r="AH925" i="29" s="1"/>
  <c r="AE927" i="29"/>
  <c r="AH927" i="29" s="1"/>
  <c r="AE929" i="29"/>
  <c r="AH929" i="29" s="1"/>
  <c r="AE931" i="29"/>
  <c r="AH931" i="29" s="1"/>
  <c r="AE933" i="29"/>
  <c r="AH933" i="29" s="1"/>
  <c r="AE935" i="29"/>
  <c r="AH935" i="29" s="1"/>
  <c r="AE937" i="29"/>
  <c r="AH937" i="29" s="1"/>
  <c r="AE939" i="29"/>
  <c r="AH939" i="29" s="1"/>
  <c r="AE941" i="29"/>
  <c r="AH941" i="29" s="1"/>
  <c r="AE943" i="29"/>
  <c r="AH943" i="29" s="1"/>
  <c r="AE945" i="29"/>
  <c r="AH945" i="29" s="1"/>
  <c r="AE947" i="29"/>
  <c r="AH947" i="29" s="1"/>
  <c r="AE949" i="29"/>
  <c r="AH949" i="29" s="1"/>
  <c r="AE951" i="29"/>
  <c r="AH951" i="29" s="1"/>
  <c r="AE953" i="29"/>
  <c r="AH953" i="29" s="1"/>
  <c r="AE955" i="29"/>
  <c r="AH955" i="29" s="1"/>
  <c r="AE957" i="29"/>
  <c r="AH957" i="29" s="1"/>
  <c r="AE959" i="29"/>
  <c r="AH959" i="29" s="1"/>
  <c r="AE961" i="29"/>
  <c r="AH961" i="29" s="1"/>
  <c r="AE963" i="29"/>
  <c r="AH963" i="29" s="1"/>
  <c r="AE965" i="29"/>
  <c r="AH965" i="29" s="1"/>
  <c r="AE967" i="29"/>
  <c r="AH967" i="29" s="1"/>
  <c r="AE969" i="29"/>
  <c r="AH969" i="29" s="1"/>
  <c r="AE971" i="29"/>
  <c r="AH971" i="29" s="1"/>
  <c r="AE973" i="29"/>
  <c r="AH973" i="29" s="1"/>
  <c r="AE977" i="29"/>
  <c r="AH977" i="29" s="1"/>
  <c r="AE981" i="29"/>
  <c r="AH981" i="29" s="1"/>
  <c r="AE985" i="29"/>
  <c r="AH985" i="29" s="1"/>
  <c r="AE989" i="29"/>
  <c r="AH989" i="29" s="1"/>
  <c r="AE993" i="29"/>
  <c r="AH993" i="29" s="1"/>
  <c r="AE997" i="29"/>
  <c r="AH997" i="29" s="1"/>
  <c r="AE1001" i="29"/>
  <c r="AH1001" i="29" s="1"/>
  <c r="AE1005" i="29"/>
  <c r="AH1005" i="29" s="1"/>
  <c r="AE1009" i="29"/>
  <c r="AH1009" i="29" s="1"/>
  <c r="AE1011" i="29"/>
  <c r="AH1011" i="29" s="1"/>
  <c r="AE1013" i="29"/>
  <c r="AH1013" i="29" s="1"/>
  <c r="AE1015" i="29"/>
  <c r="AH1015" i="29" s="1"/>
  <c r="AE1017" i="29"/>
  <c r="AH1017" i="29" s="1"/>
  <c r="AE1019" i="29"/>
  <c r="AH1019" i="29" s="1"/>
  <c r="AE1021" i="29"/>
  <c r="AH1021" i="29" s="1"/>
  <c r="AE1023" i="29"/>
  <c r="AH1023" i="29" s="1"/>
  <c r="AE1025" i="29"/>
  <c r="AH1025" i="29" s="1"/>
  <c r="AE1027" i="29"/>
  <c r="AH1027" i="29" s="1"/>
  <c r="AE1029" i="29"/>
  <c r="AH1029" i="29" s="1"/>
  <c r="AE1031" i="29"/>
  <c r="AH1031" i="29" s="1"/>
  <c r="AE1033" i="29"/>
  <c r="AH1033" i="29" s="1"/>
  <c r="AE1035" i="29"/>
  <c r="AH1035" i="29" s="1"/>
  <c r="AE1037" i="29"/>
  <c r="AH1037" i="29" s="1"/>
  <c r="AE1039" i="29"/>
  <c r="AH1039" i="29" s="1"/>
  <c r="AE1041" i="29"/>
  <c r="AH1041" i="29" s="1"/>
  <c r="AE1043" i="29"/>
  <c r="AH1043" i="29" s="1"/>
  <c r="AE1045" i="29"/>
  <c r="AH1045" i="29" s="1"/>
  <c r="AE1047" i="29"/>
  <c r="AH1047" i="29" s="1"/>
  <c r="AE1049" i="29"/>
  <c r="AH1049" i="29" s="1"/>
  <c r="AE1051" i="29"/>
  <c r="AH1051" i="29" s="1"/>
  <c r="AE1053" i="29"/>
  <c r="AH1053" i="29" s="1"/>
  <c r="AE1055" i="29"/>
  <c r="AH1055" i="29" s="1"/>
  <c r="AE1057" i="29"/>
  <c r="AH1057" i="29" s="1"/>
  <c r="AE1059" i="29"/>
  <c r="AH1059" i="29" s="1"/>
  <c r="AE1061" i="29"/>
  <c r="AH1061" i="29" s="1"/>
  <c r="AE1063" i="29"/>
  <c r="AH1063" i="29" s="1"/>
  <c r="AE1065" i="29"/>
  <c r="AH1065" i="29" s="1"/>
  <c r="AE1067" i="29"/>
  <c r="AH1067" i="29" s="1"/>
  <c r="AE1069" i="29"/>
  <c r="AH1069" i="29" s="1"/>
  <c r="AE1071" i="29"/>
  <c r="AH1071" i="29" s="1"/>
  <c r="AE1073" i="29"/>
  <c r="AH1073" i="29" s="1"/>
  <c r="AE1075" i="29"/>
  <c r="AH1075" i="29" s="1"/>
  <c r="AE1077" i="29"/>
  <c r="AH1077" i="29" s="1"/>
  <c r="AE1079" i="29"/>
  <c r="AH1079" i="29" s="1"/>
  <c r="AE1081" i="29"/>
  <c r="AH1081" i="29" s="1"/>
  <c r="AE1083" i="29"/>
  <c r="AH1083" i="29" s="1"/>
  <c r="AE1085" i="29"/>
  <c r="AH1085" i="29" s="1"/>
  <c r="AE1087" i="29"/>
  <c r="AH1087" i="29" s="1"/>
  <c r="AE1089" i="29"/>
  <c r="AH1089" i="29" s="1"/>
  <c r="AE1091" i="29"/>
  <c r="AH1091" i="29" s="1"/>
  <c r="AE1093" i="29"/>
  <c r="AH1093" i="29" s="1"/>
  <c r="AE1095" i="29"/>
  <c r="AH1095" i="29" s="1"/>
  <c r="AE1097" i="29"/>
  <c r="AH1097" i="29" s="1"/>
  <c r="AE1099" i="29"/>
  <c r="AH1099" i="29" s="1"/>
  <c r="AE1101" i="29"/>
  <c r="AH1101" i="29" s="1"/>
  <c r="AE1103" i="29"/>
  <c r="AH1103" i="29" s="1"/>
  <c r="AE1105" i="29"/>
  <c r="AH1105" i="29" s="1"/>
  <c r="AE1107" i="29"/>
  <c r="AH1107" i="29" s="1"/>
  <c r="AE1109" i="29"/>
  <c r="AH1109" i="29" s="1"/>
  <c r="AE1111" i="29"/>
  <c r="AH1111" i="29" s="1"/>
  <c r="AE1113" i="29"/>
  <c r="AH1113" i="29" s="1"/>
  <c r="AE1115" i="29"/>
  <c r="AH1115" i="29" s="1"/>
  <c r="AE1117" i="29"/>
  <c r="AH1117" i="29" s="1"/>
  <c r="AE1119" i="29"/>
  <c r="AH1119" i="29" s="1"/>
  <c r="AE1121" i="29"/>
  <c r="AH1121" i="29" s="1"/>
  <c r="AE1123" i="29"/>
  <c r="AH1123" i="29" s="1"/>
  <c r="AE1125" i="29"/>
  <c r="AH1125" i="29" s="1"/>
  <c r="AE1127" i="29"/>
  <c r="AH1127" i="29" s="1"/>
  <c r="AE1129" i="29"/>
  <c r="AH1129" i="29" s="1"/>
  <c r="AE1131" i="29"/>
  <c r="AH1131" i="29" s="1"/>
  <c r="AE1133" i="29"/>
  <c r="AH1133" i="29" s="1"/>
  <c r="AE1135" i="29"/>
  <c r="AH1135" i="29" s="1"/>
  <c r="AE1137" i="29"/>
  <c r="AH1137" i="29" s="1"/>
  <c r="AE1139" i="29"/>
  <c r="AH1139" i="29" s="1"/>
  <c r="AE1141" i="29"/>
  <c r="AH1141" i="29" s="1"/>
  <c r="AE1143" i="29"/>
  <c r="AH1143" i="29" s="1"/>
  <c r="AE1145" i="29"/>
  <c r="AH1145" i="29" s="1"/>
  <c r="AE1147" i="29"/>
  <c r="AH1147" i="29" s="1"/>
  <c r="AE1149" i="29"/>
  <c r="AH1149" i="29" s="1"/>
  <c r="AE1151" i="29"/>
  <c r="AH1151" i="29" s="1"/>
  <c r="AE1153" i="29"/>
  <c r="AH1153" i="29" s="1"/>
  <c r="AE1155" i="29"/>
  <c r="AH1155" i="29" s="1"/>
  <c r="AE1157" i="29"/>
  <c r="AH1157" i="29" s="1"/>
  <c r="AE1159" i="29"/>
  <c r="AH1159" i="29" s="1"/>
  <c r="AE1161" i="29"/>
  <c r="AH1161" i="29" s="1"/>
  <c r="AE1163" i="29"/>
  <c r="AH1163" i="29" s="1"/>
  <c r="AE1165" i="29"/>
  <c r="AH1165" i="29" s="1"/>
  <c r="AE1167" i="29"/>
  <c r="AH1167" i="29" s="1"/>
  <c r="AE1169" i="29"/>
  <c r="AH1169" i="29" s="1"/>
  <c r="AE1171" i="29"/>
  <c r="AH1171" i="29" s="1"/>
  <c r="AE1173" i="29"/>
  <c r="AH1173" i="29" s="1"/>
  <c r="AE1175" i="29"/>
  <c r="AH1175" i="29" s="1"/>
  <c r="AE1177" i="29"/>
  <c r="AH1177" i="29" s="1"/>
  <c r="AE1179" i="29"/>
  <c r="AH1179" i="29" s="1"/>
  <c r="AE1181" i="29"/>
  <c r="AH1181" i="29" s="1"/>
  <c r="AE1183" i="29"/>
  <c r="AH1183" i="29" s="1"/>
  <c r="AE1185" i="29"/>
  <c r="AH1185" i="29" s="1"/>
  <c r="AE1187" i="29"/>
  <c r="AH1187" i="29" s="1"/>
  <c r="AE1189" i="29"/>
  <c r="AH1189" i="29" s="1"/>
  <c r="AE1191" i="29"/>
  <c r="AH1191" i="29" s="1"/>
  <c r="AE1193" i="29"/>
  <c r="AH1193" i="29" s="1"/>
  <c r="AE1195" i="29"/>
  <c r="AH1195" i="29" s="1"/>
  <c r="AE1197" i="29"/>
  <c r="AH1197" i="29" s="1"/>
  <c r="AE1199" i="29"/>
  <c r="AH1199" i="29" s="1"/>
  <c r="AE1201" i="29"/>
  <c r="AH1201" i="29" s="1"/>
  <c r="AE1203" i="29"/>
  <c r="AH1203" i="29" s="1"/>
  <c r="AE1205" i="29"/>
  <c r="AH1205" i="29" s="1"/>
  <c r="AE1207" i="29"/>
  <c r="AH1207" i="29" s="1"/>
  <c r="AE1209" i="29"/>
  <c r="AH1209" i="29" s="1"/>
  <c r="AE1211" i="29"/>
  <c r="AH1211" i="29" s="1"/>
  <c r="AE1213" i="29"/>
  <c r="AH1213" i="29" s="1"/>
  <c r="AE1215" i="29"/>
  <c r="AH1215" i="29" s="1"/>
  <c r="AE1217" i="29"/>
  <c r="AH1217" i="29" s="1"/>
  <c r="AE1219" i="29"/>
  <c r="AH1219" i="29" s="1"/>
  <c r="AE1221" i="29"/>
  <c r="AH1221" i="29" s="1"/>
  <c r="AE1223" i="29"/>
  <c r="AH1223" i="29" s="1"/>
  <c r="AE1225" i="29"/>
  <c r="AH1225" i="29" s="1"/>
  <c r="AE1227" i="29"/>
  <c r="AH1227" i="29" s="1"/>
  <c r="AE1229" i="29"/>
  <c r="AH1229" i="29" s="1"/>
  <c r="AE1231" i="29"/>
  <c r="AH1231" i="29" s="1"/>
  <c r="AE1233" i="29"/>
  <c r="AH1233" i="29" s="1"/>
  <c r="AE1235" i="29"/>
  <c r="AH1235" i="29" s="1"/>
  <c r="AE1237" i="29"/>
  <c r="AH1237" i="29" s="1"/>
  <c r="AE1239" i="29"/>
  <c r="AH1239" i="29" s="1"/>
  <c r="AE1241" i="29"/>
  <c r="AH1241" i="29" s="1"/>
  <c r="AE1243" i="29"/>
  <c r="AH1243" i="29" s="1"/>
  <c r="AE1245" i="29"/>
  <c r="AH1245" i="29" s="1"/>
  <c r="AE1247" i="29"/>
  <c r="AH1247" i="29" s="1"/>
  <c r="AE1249" i="29"/>
  <c r="AH1249" i="29" s="1"/>
  <c r="AE1251" i="29"/>
  <c r="AH1251" i="29" s="1"/>
  <c r="AE1253" i="29"/>
  <c r="AH1253" i="29" s="1"/>
  <c r="AE1255" i="29"/>
  <c r="AH1255" i="29" s="1"/>
  <c r="AE1257" i="29"/>
  <c r="AH1257" i="29" s="1"/>
  <c r="AE1259" i="29"/>
  <c r="AH1259" i="29" s="1"/>
  <c r="AE1261" i="29"/>
  <c r="AH1261" i="29" s="1"/>
  <c r="AE1263" i="29"/>
  <c r="AH1263" i="29" s="1"/>
  <c r="AE1265" i="29"/>
  <c r="AH1265" i="29" s="1"/>
  <c r="AE1267" i="29"/>
  <c r="AH1267" i="29" s="1"/>
  <c r="AE1269" i="29"/>
  <c r="AH1269" i="29" s="1"/>
  <c r="AE1271" i="29"/>
  <c r="AH1271" i="29" s="1"/>
  <c r="AE1273" i="29"/>
  <c r="AH1273" i="29" s="1"/>
  <c r="AE1275" i="29"/>
  <c r="AH1275" i="29" s="1"/>
  <c r="AE1277" i="29"/>
  <c r="AH1277" i="29" s="1"/>
  <c r="AE1279" i="29"/>
  <c r="AH1279" i="29" s="1"/>
  <c r="AE1281" i="29"/>
  <c r="AH1281" i="29" s="1"/>
  <c r="AE1283" i="29"/>
  <c r="AH1283" i="29" s="1"/>
  <c r="AE1285" i="29"/>
  <c r="AH1285" i="29" s="1"/>
  <c r="AE1287" i="29"/>
  <c r="AH1287" i="29" s="1"/>
  <c r="AE1289" i="29"/>
  <c r="AH1289" i="29" s="1"/>
  <c r="AE1291" i="29"/>
  <c r="AH1291" i="29" s="1"/>
  <c r="AE1293" i="29"/>
  <c r="AH1293" i="29" s="1"/>
  <c r="AE1295" i="29"/>
  <c r="AH1295" i="29" s="1"/>
  <c r="AE1297" i="29"/>
  <c r="AH1297" i="29" s="1"/>
  <c r="AE1299" i="29"/>
  <c r="AH1299" i="29" s="1"/>
  <c r="AE1301" i="29"/>
  <c r="AH1301" i="29" s="1"/>
  <c r="AE1303" i="29"/>
  <c r="AH1303" i="29" s="1"/>
  <c r="AE1305" i="29"/>
  <c r="AH1305" i="29" s="1"/>
  <c r="AE1307" i="29"/>
  <c r="AH1307" i="29" s="1"/>
  <c r="AE1309" i="29"/>
  <c r="AH1309" i="29" s="1"/>
  <c r="AE1311" i="29"/>
  <c r="AH1311" i="29" s="1"/>
  <c r="AE1313" i="29"/>
  <c r="AH1313" i="29" s="1"/>
  <c r="AE1315" i="29"/>
  <c r="AH1315" i="29" s="1"/>
  <c r="AE1317" i="29"/>
  <c r="AH1317" i="29" s="1"/>
  <c r="AE1319" i="29"/>
  <c r="AH1319" i="29" s="1"/>
  <c r="AE1321" i="29"/>
  <c r="AH1321" i="29" s="1"/>
  <c r="AE1323" i="29"/>
  <c r="AH1323" i="29" s="1"/>
  <c r="AE1325" i="29"/>
  <c r="AH1325" i="29" s="1"/>
  <c r="AE1327" i="29"/>
  <c r="AH1327" i="29" s="1"/>
  <c r="AE1329" i="29"/>
  <c r="AH1329" i="29" s="1"/>
  <c r="AE1331" i="29"/>
  <c r="AH1331" i="29" s="1"/>
  <c r="AE1333" i="29"/>
  <c r="AH1333" i="29" s="1"/>
  <c r="AE1335" i="29"/>
  <c r="AH1335" i="29" s="1"/>
  <c r="AE1337" i="29"/>
  <c r="AH1337" i="29" s="1"/>
  <c r="AE1339" i="29"/>
  <c r="AH1339" i="29" s="1"/>
  <c r="AE1341" i="29"/>
  <c r="AH1341" i="29" s="1"/>
  <c r="AE1343" i="29"/>
  <c r="AH1343" i="29" s="1"/>
  <c r="AE1345" i="29"/>
  <c r="AH1345" i="29" s="1"/>
  <c r="AE1347" i="29"/>
  <c r="AH1347" i="29" s="1"/>
  <c r="AE1349" i="29"/>
  <c r="AH1349" i="29" s="1"/>
  <c r="AE1351" i="29"/>
  <c r="AH1351" i="29" s="1"/>
  <c r="AE1353" i="29"/>
  <c r="AH1353" i="29" s="1"/>
  <c r="AE1355" i="29"/>
  <c r="AH1355" i="29" s="1"/>
  <c r="AE1357" i="29"/>
  <c r="AH1357" i="29" s="1"/>
  <c r="AE1359" i="29"/>
  <c r="AH1359" i="29" s="1"/>
  <c r="AE1361" i="29"/>
  <c r="AH1361" i="29" s="1"/>
  <c r="AE1363" i="29"/>
  <c r="AH1363" i="29" s="1"/>
  <c r="AE1365" i="29"/>
  <c r="AH1365" i="29" s="1"/>
  <c r="AE1367" i="29"/>
  <c r="AH1367" i="29" s="1"/>
  <c r="AE1369" i="29"/>
  <c r="AH1369" i="29" s="1"/>
  <c r="AE1371" i="29"/>
  <c r="AH1371" i="29" s="1"/>
  <c r="AE1373" i="29"/>
  <c r="AH1373" i="29" s="1"/>
  <c r="AE1375" i="29"/>
  <c r="AH1375" i="29" s="1"/>
  <c r="AE1377" i="29"/>
  <c r="AH1377" i="29" s="1"/>
  <c r="AE1379" i="29"/>
  <c r="AH1379" i="29" s="1"/>
  <c r="AE1381" i="29"/>
  <c r="AH1381" i="29" s="1"/>
  <c r="AE1383" i="29"/>
  <c r="AH1383" i="29" s="1"/>
  <c r="AE1385" i="29"/>
  <c r="AH1385" i="29" s="1"/>
  <c r="AE1387" i="29"/>
  <c r="AH1387" i="29" s="1"/>
  <c r="AE1389" i="29"/>
  <c r="AH1389" i="29" s="1"/>
  <c r="AE1391" i="29"/>
  <c r="AH1391" i="29" s="1"/>
  <c r="AE1393" i="29"/>
  <c r="AH1393" i="29" s="1"/>
  <c r="AE1395" i="29"/>
  <c r="AH1395" i="29" s="1"/>
  <c r="AE1397" i="29"/>
  <c r="AH1397" i="29" s="1"/>
  <c r="AE1399" i="29"/>
  <c r="AH1399" i="29" s="1"/>
  <c r="AE1401" i="29"/>
  <c r="AH1401" i="29" s="1"/>
  <c r="AE1403" i="29"/>
  <c r="AH1403" i="29" s="1"/>
  <c r="AE1405" i="29"/>
  <c r="AH1405" i="29" s="1"/>
  <c r="AE1407" i="29"/>
  <c r="AH1407" i="29" s="1"/>
  <c r="AE1409" i="29"/>
  <c r="AH1409" i="29" s="1"/>
  <c r="AE1411" i="29"/>
  <c r="AH1411" i="29" s="1"/>
  <c r="AE1413" i="29"/>
  <c r="AH1413" i="29" s="1"/>
  <c r="AE1415" i="29"/>
  <c r="AH1415" i="29" s="1"/>
  <c r="AE975" i="29"/>
  <c r="AH975" i="29" s="1"/>
  <c r="AE979" i="29"/>
  <c r="AH979" i="29" s="1"/>
  <c r="AE983" i="29"/>
  <c r="AH983" i="29" s="1"/>
  <c r="AE987" i="29"/>
  <c r="AH987" i="29" s="1"/>
  <c r="AE991" i="29"/>
  <c r="AH991" i="29" s="1"/>
  <c r="AE995" i="29"/>
  <c r="AH995" i="29" s="1"/>
  <c r="AE999" i="29"/>
  <c r="AH999" i="29" s="1"/>
  <c r="AE1003" i="29"/>
  <c r="AH1003" i="29" s="1"/>
  <c r="AE1007" i="29"/>
  <c r="AH1007" i="29" s="1"/>
  <c r="AE1010" i="29"/>
  <c r="AH1010" i="29" s="1"/>
  <c r="AE1012" i="29"/>
  <c r="AE1014" i="29"/>
  <c r="AH1014" i="29" s="1"/>
  <c r="AE1016" i="29"/>
  <c r="AE1018" i="29"/>
  <c r="AH1018" i="29" s="1"/>
  <c r="AE1020" i="29"/>
  <c r="AE1022" i="29"/>
  <c r="AH1022" i="29" s="1"/>
  <c r="AE1024" i="29"/>
  <c r="AE1026" i="29"/>
  <c r="AH1026" i="29" s="1"/>
  <c r="AE1028" i="29"/>
  <c r="AH1028" i="29" s="1"/>
  <c r="AE1030" i="29"/>
  <c r="AH1030" i="29" s="1"/>
  <c r="AE1032" i="29"/>
  <c r="AE1034" i="29"/>
  <c r="AH1034" i="29" s="1"/>
  <c r="AE1036" i="29"/>
  <c r="AE1038" i="29"/>
  <c r="AH1038" i="29" s="1"/>
  <c r="AE1040" i="29"/>
  <c r="AH1040" i="29" s="1"/>
  <c r="AE1042" i="29"/>
  <c r="AH1042" i="29" s="1"/>
  <c r="AE1044" i="29"/>
  <c r="AE1046" i="29"/>
  <c r="AH1046" i="29" s="1"/>
  <c r="AE1048" i="29"/>
  <c r="AH1048" i="29" s="1"/>
  <c r="AE1050" i="29"/>
  <c r="AH1050" i="29" s="1"/>
  <c r="AE1052" i="29"/>
  <c r="AH1052" i="29" s="1"/>
  <c r="AE1054" i="29"/>
  <c r="AH1054" i="29" s="1"/>
  <c r="AE1056" i="29"/>
  <c r="AE1058" i="29"/>
  <c r="AH1058" i="29" s="1"/>
  <c r="AE1060" i="29"/>
  <c r="AH1060" i="29" s="1"/>
  <c r="AE1062" i="29"/>
  <c r="AH1062" i="29" s="1"/>
  <c r="AE1064" i="29"/>
  <c r="AE1066" i="29"/>
  <c r="AH1066" i="29" s="1"/>
  <c r="AE1068" i="29"/>
  <c r="AH1068" i="29" s="1"/>
  <c r="AE1070" i="29"/>
  <c r="AH1070" i="29" s="1"/>
  <c r="AE1072" i="29"/>
  <c r="AH1072" i="29" s="1"/>
  <c r="AE1074" i="29"/>
  <c r="AH1074" i="29" s="1"/>
  <c r="AE1076" i="29"/>
  <c r="AE1078" i="29"/>
  <c r="AH1078" i="29" s="1"/>
  <c r="AE1080" i="29"/>
  <c r="AE1082" i="29"/>
  <c r="AH1082" i="29" s="1"/>
  <c r="AE1084" i="29"/>
  <c r="AE1086" i="29"/>
  <c r="AH1086" i="29" s="1"/>
  <c r="AE1088" i="29"/>
  <c r="AE1090" i="29"/>
  <c r="AH1090" i="29" s="1"/>
  <c r="AE1092" i="29"/>
  <c r="AE1094" i="29"/>
  <c r="AH1094" i="29" s="1"/>
  <c r="AE1096" i="29"/>
  <c r="AH1096" i="29" s="1"/>
  <c r="AE1098" i="29"/>
  <c r="AH1098" i="29" s="1"/>
  <c r="AE1100" i="29"/>
  <c r="AE1102" i="29"/>
  <c r="AH1102" i="29" s="1"/>
  <c r="AE1104" i="29"/>
  <c r="AH1104" i="29" s="1"/>
  <c r="AE1106" i="29"/>
  <c r="AH1106" i="29" s="1"/>
  <c r="AE1108" i="29"/>
  <c r="AE1110" i="29"/>
  <c r="AH1110" i="29" s="1"/>
  <c r="AE1112" i="29"/>
  <c r="AH1112" i="29" s="1"/>
  <c r="AE1114" i="29"/>
  <c r="AH1114" i="29" s="1"/>
  <c r="AE1116" i="29"/>
  <c r="AE1118" i="29"/>
  <c r="AH1118" i="29" s="1"/>
  <c r="AE1120" i="29"/>
  <c r="AH1120" i="29" s="1"/>
  <c r="AE1122" i="29"/>
  <c r="AH1122" i="29" s="1"/>
  <c r="AE1124" i="29"/>
  <c r="AH1124" i="29" s="1"/>
  <c r="AE1126" i="29"/>
  <c r="AH1126" i="29" s="1"/>
  <c r="AE1128" i="29"/>
  <c r="AH1128" i="29" s="1"/>
  <c r="AE1130" i="29"/>
  <c r="AH1130" i="29" s="1"/>
  <c r="AE1132" i="29"/>
  <c r="AH1132" i="29" s="1"/>
  <c r="AE1134" i="29"/>
  <c r="AH1134" i="29" s="1"/>
  <c r="AE1136" i="29"/>
  <c r="AH1136" i="29" s="1"/>
  <c r="AE1138" i="29"/>
  <c r="AH1138" i="29" s="1"/>
  <c r="AE1140" i="29"/>
  <c r="AH1140" i="29" s="1"/>
  <c r="AE1142" i="29"/>
  <c r="AH1142" i="29" s="1"/>
  <c r="AE1144" i="29"/>
  <c r="AH1144" i="29" s="1"/>
  <c r="AE1146" i="29"/>
  <c r="AH1146" i="29" s="1"/>
  <c r="AE1148" i="29"/>
  <c r="AH1148" i="29" s="1"/>
  <c r="AE1150" i="29"/>
  <c r="AH1150" i="29" s="1"/>
  <c r="AE1152" i="29"/>
  <c r="AH1152" i="29" s="1"/>
  <c r="AE1154" i="29"/>
  <c r="AH1154" i="29" s="1"/>
  <c r="AE1156" i="29"/>
  <c r="AH1156" i="29" s="1"/>
  <c r="AE1158" i="29"/>
  <c r="AH1158" i="29" s="1"/>
  <c r="AE1160" i="29"/>
  <c r="AH1160" i="29" s="1"/>
  <c r="AE1162" i="29"/>
  <c r="AH1162" i="29" s="1"/>
  <c r="AE1164" i="29"/>
  <c r="AH1164" i="29" s="1"/>
  <c r="AE1166" i="29"/>
  <c r="AH1166" i="29" s="1"/>
  <c r="AE1168" i="29"/>
  <c r="AH1168" i="29" s="1"/>
  <c r="AE1170" i="29"/>
  <c r="AH1170" i="29" s="1"/>
  <c r="AE1172" i="29"/>
  <c r="AH1172" i="29" s="1"/>
  <c r="AE1174" i="29"/>
  <c r="AH1174" i="29" s="1"/>
  <c r="AE1176" i="29"/>
  <c r="AH1176" i="29" s="1"/>
  <c r="AE1178" i="29"/>
  <c r="AH1178" i="29" s="1"/>
  <c r="AE1180" i="29"/>
  <c r="AH1180" i="29" s="1"/>
  <c r="AE1182" i="29"/>
  <c r="AH1182" i="29" s="1"/>
  <c r="AE1184" i="29"/>
  <c r="AE1186" i="29"/>
  <c r="AH1186" i="29" s="1"/>
  <c r="AE1188" i="29"/>
  <c r="AH1188" i="29" s="1"/>
  <c r="AE1190" i="29"/>
  <c r="AH1190" i="29" s="1"/>
  <c r="AE1192" i="29"/>
  <c r="AH1192" i="29" s="1"/>
  <c r="AE1194" i="29"/>
  <c r="AH1194" i="29" s="1"/>
  <c r="AE1196" i="29"/>
  <c r="AE1198" i="29"/>
  <c r="AH1198" i="29" s="1"/>
  <c r="AE1200" i="29"/>
  <c r="AE1202" i="29"/>
  <c r="AH1202" i="29" s="1"/>
  <c r="AE1204" i="29"/>
  <c r="AE1206" i="29"/>
  <c r="AH1206" i="29" s="1"/>
  <c r="AE1208" i="29"/>
  <c r="AH1208" i="29" s="1"/>
  <c r="AE1210" i="29"/>
  <c r="AH1210" i="29" s="1"/>
  <c r="AE1212" i="29"/>
  <c r="AE1214" i="29"/>
  <c r="AH1214" i="29" s="1"/>
  <c r="AE1216" i="29"/>
  <c r="AE1218" i="29"/>
  <c r="AH1218" i="29" s="1"/>
  <c r="AE1220" i="29"/>
  <c r="AH1220" i="29" s="1"/>
  <c r="AE1222" i="29"/>
  <c r="AH1222" i="29" s="1"/>
  <c r="AE1224" i="29"/>
  <c r="AE1226" i="29"/>
  <c r="AH1226" i="29" s="1"/>
  <c r="AE1228" i="29"/>
  <c r="AE1230" i="29"/>
  <c r="AH1230" i="29" s="1"/>
  <c r="AE1232" i="29"/>
  <c r="AE1234" i="29"/>
  <c r="AH1234" i="29" s="1"/>
  <c r="AE1236" i="29"/>
  <c r="AE1238" i="29"/>
  <c r="AH1238" i="29" s="1"/>
  <c r="AE1240" i="29"/>
  <c r="AE1242" i="29"/>
  <c r="AH1242" i="29" s="1"/>
  <c r="AE1244" i="29"/>
  <c r="AE1246" i="29"/>
  <c r="AH1246" i="29" s="1"/>
  <c r="AE1248" i="29"/>
  <c r="AH1248" i="29" s="1"/>
  <c r="AE1250" i="29"/>
  <c r="AH1250" i="29" s="1"/>
  <c r="AE1252" i="29"/>
  <c r="AE1254" i="29"/>
  <c r="AH1254" i="29" s="1"/>
  <c r="AE1256" i="29"/>
  <c r="AH1256" i="29" s="1"/>
  <c r="AE1258" i="29"/>
  <c r="AH1258" i="29" s="1"/>
  <c r="AE1260" i="29"/>
  <c r="AH1260" i="29" s="1"/>
  <c r="AE1262" i="29"/>
  <c r="AH1262" i="29" s="1"/>
  <c r="AE1264" i="29"/>
  <c r="AE1266" i="29"/>
  <c r="AH1266" i="29" s="1"/>
  <c r="AE1268" i="29"/>
  <c r="AE1270" i="29"/>
  <c r="AH1270" i="29" s="1"/>
  <c r="AE1272" i="29"/>
  <c r="AE1274" i="29"/>
  <c r="AH1274" i="29" s="1"/>
  <c r="AE1276" i="29"/>
  <c r="AH1276" i="29" s="1"/>
  <c r="AE1278" i="29"/>
  <c r="AH1278" i="29" s="1"/>
  <c r="AE1280" i="29"/>
  <c r="AE1282" i="29"/>
  <c r="AH1282" i="29" s="1"/>
  <c r="AE1284" i="29"/>
  <c r="AH1284" i="29" s="1"/>
  <c r="AE1286" i="29"/>
  <c r="AH1286" i="29" s="1"/>
  <c r="AE1288" i="29"/>
  <c r="AH1288" i="29" s="1"/>
  <c r="AE1290" i="29"/>
  <c r="AH1290" i="29" s="1"/>
  <c r="AE1292" i="29"/>
  <c r="AE1294" i="29"/>
  <c r="AH1294" i="29" s="1"/>
  <c r="AE1296" i="29"/>
  <c r="AH1296" i="29" s="1"/>
  <c r="AE1298" i="29"/>
  <c r="AH1298" i="29" s="1"/>
  <c r="AE1300" i="29"/>
  <c r="AH1300" i="29" s="1"/>
  <c r="AE1302" i="29"/>
  <c r="AH1302" i="29" s="1"/>
  <c r="AE1304" i="29"/>
  <c r="AH1304" i="29" s="1"/>
  <c r="AE1306" i="29"/>
  <c r="AH1306" i="29" s="1"/>
  <c r="AE1308" i="29"/>
  <c r="AH1308" i="29" s="1"/>
  <c r="AE1310" i="29"/>
  <c r="AH1310" i="29" s="1"/>
  <c r="AE1312" i="29"/>
  <c r="AE1314" i="29"/>
  <c r="AH1314" i="29" s="1"/>
  <c r="AE1316" i="29"/>
  <c r="AH1316" i="29" s="1"/>
  <c r="AE1318" i="29"/>
  <c r="AH1318" i="29" s="1"/>
  <c r="AE1320" i="29"/>
  <c r="AE1322" i="29"/>
  <c r="AH1322" i="29" s="1"/>
  <c r="AE1324" i="29"/>
  <c r="AE1326" i="29"/>
  <c r="AH1326" i="29" s="1"/>
  <c r="AE1328" i="29"/>
  <c r="AH1328" i="29" s="1"/>
  <c r="AE1330" i="29"/>
  <c r="AH1330" i="29" s="1"/>
  <c r="AE1332" i="29"/>
  <c r="AE1334" i="29"/>
  <c r="AH1334" i="29" s="1"/>
  <c r="AE1336" i="29"/>
  <c r="AH1336" i="29" s="1"/>
  <c r="AE1338" i="29"/>
  <c r="AH1338" i="29" s="1"/>
  <c r="AE1340" i="29"/>
  <c r="AH1340" i="29" s="1"/>
  <c r="AE1342" i="29"/>
  <c r="AH1342" i="29" s="1"/>
  <c r="AE1344" i="29"/>
  <c r="AH1344" i="29" s="1"/>
  <c r="AE1346" i="29"/>
  <c r="AH1346" i="29" s="1"/>
  <c r="AE1348" i="29"/>
  <c r="AH1348" i="29" s="1"/>
  <c r="AE1350" i="29"/>
  <c r="AH1350" i="29" s="1"/>
  <c r="AE1352" i="29"/>
  <c r="AH1352" i="29" s="1"/>
  <c r="AE1354" i="29"/>
  <c r="AH1354" i="29" s="1"/>
  <c r="AE1356" i="29"/>
  <c r="AH1356" i="29" s="1"/>
  <c r="AE1358" i="29"/>
  <c r="AH1358" i="29" s="1"/>
  <c r="AE1360" i="29"/>
  <c r="AH1360" i="29" s="1"/>
  <c r="AE1362" i="29"/>
  <c r="AH1362" i="29" s="1"/>
  <c r="AE1364" i="29"/>
  <c r="AH1364" i="29" s="1"/>
  <c r="AE1366" i="29"/>
  <c r="AH1366" i="29" s="1"/>
  <c r="AE1368" i="29"/>
  <c r="AH1368" i="29" s="1"/>
  <c r="AE1370" i="29"/>
  <c r="AH1370" i="29" s="1"/>
  <c r="AE1372" i="29"/>
  <c r="AH1372" i="29" s="1"/>
  <c r="AE1374" i="29"/>
  <c r="AH1374" i="29" s="1"/>
  <c r="AE1376" i="29"/>
  <c r="AH1376" i="29" s="1"/>
  <c r="AE1378" i="29"/>
  <c r="AH1378" i="29" s="1"/>
  <c r="AE1380" i="29"/>
  <c r="AH1380" i="29" s="1"/>
  <c r="AE1382" i="29"/>
  <c r="AH1382" i="29" s="1"/>
  <c r="AE1384" i="29"/>
  <c r="AH1384" i="29" s="1"/>
  <c r="AE1386" i="29"/>
  <c r="AH1386" i="29" s="1"/>
  <c r="AE1388" i="29"/>
  <c r="AH1388" i="29" s="1"/>
  <c r="AE1390" i="29"/>
  <c r="AH1390" i="29" s="1"/>
  <c r="AE1392" i="29"/>
  <c r="AH1392" i="29" s="1"/>
  <c r="AE1394" i="29"/>
  <c r="AH1394" i="29" s="1"/>
  <c r="AE1396" i="29"/>
  <c r="AH1396" i="29" s="1"/>
  <c r="AE1398" i="29"/>
  <c r="AH1398" i="29" s="1"/>
  <c r="AE1400" i="29"/>
  <c r="AH1400" i="29" s="1"/>
  <c r="AE1402" i="29"/>
  <c r="AH1402" i="29" s="1"/>
  <c r="AE1404" i="29"/>
  <c r="AH1404" i="29" s="1"/>
  <c r="AE1406" i="29"/>
  <c r="AH1406" i="29" s="1"/>
  <c r="AE1408" i="29"/>
  <c r="AH1408" i="29" s="1"/>
  <c r="AE1410" i="29"/>
  <c r="AH1410" i="29" s="1"/>
  <c r="AE1412" i="29"/>
  <c r="AH1412" i="29" s="1"/>
  <c r="AE1414" i="29"/>
  <c r="AH1414" i="29" s="1"/>
  <c r="AE1416" i="29"/>
  <c r="AH1416" i="29" s="1"/>
  <c r="AM10" i="27"/>
  <c r="AU37" i="24"/>
  <c r="AU38" i="24"/>
  <c r="AU40" i="24"/>
  <c r="AU42" i="24"/>
  <c r="AU44" i="24"/>
  <c r="AU46" i="24"/>
  <c r="AU36" i="24"/>
  <c r="AU39" i="24"/>
  <c r="AU41" i="24"/>
  <c r="AU43" i="24"/>
  <c r="AU45" i="24"/>
  <c r="AU47" i="24"/>
  <c r="AU27" i="24"/>
  <c r="AU29" i="24"/>
  <c r="AU31" i="24"/>
  <c r="AU33" i="24"/>
  <c r="AU35" i="24"/>
  <c r="AU28" i="24"/>
  <c r="AU30" i="24"/>
  <c r="AU32" i="24"/>
  <c r="AU34" i="24"/>
  <c r="M16" i="13"/>
  <c r="M17" i="13"/>
  <c r="AN10" i="27"/>
  <c r="AR7" i="13"/>
  <c r="AS7" i="13" s="1"/>
  <c r="R8" i="13"/>
  <c r="F5" i="10"/>
  <c r="F7" i="10"/>
  <c r="F6" i="10"/>
  <c r="O6" i="10"/>
  <c r="F10" i="1" s="1"/>
  <c r="O5" i="10"/>
  <c r="F9" i="1" s="1"/>
  <c r="D7" i="10"/>
  <c r="E6" i="10"/>
  <c r="E4" i="10"/>
  <c r="E3" i="10"/>
  <c r="D3" i="10"/>
  <c r="D6" i="10"/>
  <c r="D5" i="10"/>
  <c r="E7" i="10"/>
  <c r="E5" i="10"/>
  <c r="D4" i="10"/>
  <c r="O3" i="10"/>
  <c r="F7" i="1" s="1"/>
  <c r="O4" i="10"/>
  <c r="F8" i="1" s="1"/>
  <c r="L7" i="10"/>
  <c r="O7" i="10" s="1"/>
  <c r="F11" i="1" s="1"/>
  <c r="M8" i="10"/>
  <c r="AE107" i="6" l="1"/>
  <c r="AE126" i="6"/>
  <c r="AE129" i="6"/>
  <c r="AE124" i="6"/>
  <c r="AD393" i="4"/>
  <c r="AD410" i="4"/>
  <c r="AD409" i="4"/>
  <c r="AD398" i="4"/>
  <c r="AD382" i="4"/>
  <c r="AD399" i="4"/>
  <c r="AD405" i="4"/>
  <c r="AF68" i="26"/>
  <c r="AF67" i="26"/>
  <c r="AF70" i="26"/>
  <c r="AF69" i="26"/>
  <c r="AF8" i="26"/>
  <c r="AF51" i="26"/>
  <c r="AF43" i="26"/>
  <c r="AF35" i="26"/>
  <c r="AF27" i="26"/>
  <c r="AF19" i="26"/>
  <c r="AF11" i="26"/>
  <c r="AG60" i="26"/>
  <c r="AG59" i="26"/>
  <c r="AG62" i="26"/>
  <c r="AG61" i="26"/>
  <c r="AE415" i="17"/>
  <c r="AE318" i="17"/>
  <c r="AE172" i="17"/>
  <c r="AE51" i="17"/>
  <c r="AE408" i="17"/>
  <c r="AE247" i="17"/>
  <c r="AE80" i="17"/>
  <c r="AE358" i="17"/>
  <c r="AE282" i="17"/>
  <c r="AE271" i="17"/>
  <c r="AE313" i="17"/>
  <c r="AE127" i="17"/>
  <c r="AE216" i="17"/>
  <c r="AE337" i="17"/>
  <c r="AE146" i="17"/>
  <c r="AE198" i="17"/>
  <c r="AE38" i="17"/>
  <c r="AE20" i="17"/>
  <c r="AE17" i="17"/>
  <c r="AE395" i="17"/>
  <c r="AE366" i="17"/>
  <c r="AE335" i="17"/>
  <c r="AE311" i="17"/>
  <c r="AE280" i="17"/>
  <c r="AE229" i="17"/>
  <c r="AE200" i="17"/>
  <c r="AE173" i="17"/>
  <c r="AE144" i="17"/>
  <c r="AE116" i="17"/>
  <c r="AE86" i="17"/>
  <c r="AE56" i="17"/>
  <c r="AE23" i="17"/>
  <c r="AF585" i="21"/>
  <c r="AF577" i="21"/>
  <c r="AF569" i="21"/>
  <c r="AF561" i="21"/>
  <c r="AF553" i="21"/>
  <c r="AF537" i="21"/>
  <c r="AF529" i="21"/>
  <c r="AF521" i="21"/>
  <c r="AF505" i="21"/>
  <c r="AF497" i="21"/>
  <c r="AF489" i="21"/>
  <c r="AF481" i="21"/>
  <c r="AF465" i="21"/>
  <c r="AF457" i="21"/>
  <c r="AF449" i="21"/>
  <c r="AF441" i="21"/>
  <c r="AF433" i="21"/>
  <c r="AF425" i="21"/>
  <c r="AF417" i="21"/>
  <c r="AF409" i="21"/>
  <c r="AF401" i="21"/>
  <c r="AF393" i="21"/>
  <c r="AF385" i="21"/>
  <c r="AF377" i="21"/>
  <c r="AF369" i="21"/>
  <c r="AF361" i="21"/>
  <c r="AF353" i="21"/>
  <c r="AF345" i="21"/>
  <c r="AF337" i="21"/>
  <c r="AF329" i="21"/>
  <c r="AF321" i="21"/>
  <c r="AF305" i="21"/>
  <c r="AF289" i="21"/>
  <c r="AF281" i="21"/>
  <c r="AF273" i="21"/>
  <c r="AF265" i="21"/>
  <c r="AF257" i="21"/>
  <c r="AF249" i="21"/>
  <c r="AF241" i="21"/>
  <c r="AF233" i="21"/>
  <c r="AF225" i="21"/>
  <c r="AF209" i="21"/>
  <c r="AF201" i="21"/>
  <c r="AF193" i="21"/>
  <c r="AF185" i="21"/>
  <c r="AF177" i="21"/>
  <c r="AF169" i="21"/>
  <c r="AF161" i="21"/>
  <c r="AF153" i="21"/>
  <c r="AF137" i="21"/>
  <c r="AF121" i="21"/>
  <c r="AF113" i="21"/>
  <c r="AF105" i="21"/>
  <c r="AF89" i="21"/>
  <c r="AF81" i="21"/>
  <c r="AF73" i="21"/>
  <c r="AF65" i="21"/>
  <c r="AF57" i="21"/>
  <c r="AF49" i="21"/>
  <c r="AF41" i="21"/>
  <c r="AF33" i="21"/>
  <c r="AF17" i="21"/>
  <c r="AE109" i="6"/>
  <c r="AE102" i="6"/>
  <c r="AE112" i="6"/>
  <c r="AF60" i="26"/>
  <c r="AF59" i="26"/>
  <c r="AF62" i="26"/>
  <c r="AF61" i="26"/>
  <c r="AE399" i="4"/>
  <c r="AE405" i="4"/>
  <c r="AD385" i="4"/>
  <c r="AD389" i="4"/>
  <c r="AD406" i="4"/>
  <c r="AD403" i="4"/>
  <c r="AD404" i="4"/>
  <c r="AD402" i="4"/>
  <c r="AD401" i="4"/>
  <c r="AD392" i="4"/>
  <c r="AG56" i="26"/>
  <c r="AG55" i="26"/>
  <c r="AG58" i="26"/>
  <c r="AG57" i="26"/>
  <c r="AE123" i="6"/>
  <c r="AE121" i="6"/>
  <c r="AE120" i="6"/>
  <c r="AE111" i="6"/>
  <c r="AE116" i="6"/>
  <c r="AE135" i="6"/>
  <c r="AE118" i="6"/>
  <c r="AD419" i="17"/>
  <c r="AF1197" i="21"/>
  <c r="AF1189" i="21"/>
  <c r="AF1181" i="21"/>
  <c r="AF1165" i="21"/>
  <c r="AF1157" i="21"/>
  <c r="AF1133" i="21"/>
  <c r="AF1125" i="21"/>
  <c r="AF1117" i="21"/>
  <c r="AF1109" i="21"/>
  <c r="AF1101" i="21"/>
  <c r="AF1093" i="21"/>
  <c r="AF1085" i="21"/>
  <c r="AF1077" i="21"/>
  <c r="AF1061" i="21"/>
  <c r="AF1053" i="21"/>
  <c r="AF1045" i="21"/>
  <c r="AF1037" i="21"/>
  <c r="AF1029" i="21"/>
  <c r="AF1021" i="21"/>
  <c r="AF1005" i="21"/>
  <c r="AF981" i="21"/>
  <c r="AF973" i="21"/>
  <c r="AF965" i="21"/>
  <c r="AF957" i="21"/>
  <c r="AF941" i="21"/>
  <c r="AF925" i="21"/>
  <c r="AF917" i="21"/>
  <c r="AF909" i="21"/>
  <c r="AF893" i="21"/>
  <c r="AF885" i="21"/>
  <c r="AF877" i="21"/>
  <c r="AF869" i="21"/>
  <c r="AF861" i="21"/>
  <c r="AF853" i="21"/>
  <c r="AF845" i="21"/>
  <c r="AF829" i="21"/>
  <c r="AF821" i="21"/>
  <c r="AF813" i="21"/>
  <c r="AF805" i="21"/>
  <c r="AF797" i="21"/>
  <c r="AF789" i="21"/>
  <c r="AF781" i="21"/>
  <c r="AF773" i="21"/>
  <c r="AF765" i="21"/>
  <c r="AF757" i="21"/>
  <c r="AF741" i="21"/>
  <c r="AF733" i="21"/>
  <c r="AF725" i="21"/>
  <c r="AF717" i="21"/>
  <c r="AF709" i="21"/>
  <c r="AF701" i="21"/>
  <c r="AF693" i="21"/>
  <c r="AF685" i="21"/>
  <c r="AF677" i="21"/>
  <c r="AF669" i="21"/>
  <c r="AF661" i="21"/>
  <c r="AF645" i="21"/>
  <c r="AF637" i="21"/>
  <c r="AF629" i="21"/>
  <c r="AF621" i="21"/>
  <c r="AF613" i="21"/>
  <c r="AF605" i="21"/>
  <c r="AF597" i="21"/>
  <c r="AF589" i="21"/>
  <c r="AF581" i="21"/>
  <c r="AF573" i="21"/>
  <c r="AF565" i="21"/>
  <c r="AF557" i="21"/>
  <c r="AF549" i="21"/>
  <c r="AF541" i="21"/>
  <c r="AF533" i="21"/>
  <c r="AF525" i="21"/>
  <c r="AF517" i="21"/>
  <c r="AF509" i="21"/>
  <c r="AF501" i="21"/>
  <c r="AF493" i="21"/>
  <c r="AF485" i="21"/>
  <c r="AF469" i="21"/>
  <c r="AF461" i="21"/>
  <c r="AF453" i="21"/>
  <c r="AF445" i="21"/>
  <c r="AF437" i="21"/>
  <c r="AF429" i="21"/>
  <c r="AF421" i="21"/>
  <c r="AF413" i="21"/>
  <c r="AF405" i="21"/>
  <c r="AF389" i="21"/>
  <c r="AF381" i="21"/>
  <c r="AF373" i="21"/>
  <c r="AF365" i="21"/>
  <c r="AF357" i="21"/>
  <c r="AF349" i="21"/>
  <c r="AF341" i="21"/>
  <c r="AF317" i="21"/>
  <c r="AF309" i="21"/>
  <c r="AF301" i="21"/>
  <c r="AF293" i="21"/>
  <c r="AF285" i="21"/>
  <c r="AF277" i="21"/>
  <c r="AF269" i="21"/>
  <c r="AF261" i="21"/>
  <c r="AF253" i="21"/>
  <c r="AF245" i="21"/>
  <c r="AF237" i="21"/>
  <c r="AF229" i="21"/>
  <c r="AF221" i="21"/>
  <c r="AF213" i="21"/>
  <c r="AF197" i="21"/>
  <c r="AF189" i="21"/>
  <c r="AF173" i="21"/>
  <c r="AF165" i="21"/>
  <c r="AF157" i="21"/>
  <c r="AF133" i="21"/>
  <c r="AF125" i="21"/>
  <c r="AF117" i="21"/>
  <c r="AF109" i="21"/>
  <c r="AF85" i="21"/>
  <c r="AF77" i="21"/>
  <c r="AF69" i="21"/>
  <c r="AF61" i="21"/>
  <c r="AF53" i="21"/>
  <c r="AF45" i="21"/>
  <c r="AF37" i="21"/>
  <c r="AF21" i="21"/>
  <c r="AE398" i="17"/>
  <c r="AE359" i="17"/>
  <c r="AE307" i="17"/>
  <c r="AE254" i="17"/>
  <c r="AE206" i="17"/>
  <c r="AE164" i="17"/>
  <c r="AE113" i="17"/>
  <c r="AE77" i="17"/>
  <c r="AE347" i="17"/>
  <c r="AE148" i="17"/>
  <c r="AE34" i="17"/>
  <c r="AE338" i="17"/>
  <c r="AE157" i="17"/>
  <c r="AE389" i="17"/>
  <c r="AE267" i="17"/>
  <c r="AE106" i="17"/>
  <c r="AE66" i="17"/>
  <c r="AE291" i="17"/>
  <c r="AE397" i="17"/>
  <c r="AE154" i="17"/>
  <c r="AE413" i="17"/>
  <c r="AE377" i="17"/>
  <c r="AE346" i="17"/>
  <c r="AE312" i="17"/>
  <c r="AE274" i="17"/>
  <c r="AE231" i="17"/>
  <c r="AE195" i="17"/>
  <c r="AE156" i="17"/>
  <c r="AE121" i="17"/>
  <c r="AE84" i="17"/>
  <c r="AE49" i="17"/>
  <c r="AE376" i="17"/>
  <c r="AE264" i="17"/>
  <c r="AE194" i="17"/>
  <c r="AE87" i="17"/>
  <c r="AE165" i="17"/>
  <c r="AE137" i="17"/>
  <c r="AE110" i="17"/>
  <c r="AE78" i="17"/>
  <c r="AE48" i="17"/>
  <c r="AE16" i="17"/>
  <c r="AE720" i="16"/>
  <c r="AE712" i="16"/>
  <c r="AE704" i="16"/>
  <c r="AE696" i="16"/>
  <c r="AE688" i="16"/>
  <c r="AE680" i="16"/>
  <c r="AE672" i="16"/>
  <c r="AE664" i="16"/>
  <c r="AE656" i="16"/>
  <c r="AE648" i="16"/>
  <c r="AE640" i="16"/>
  <c r="AE632" i="16"/>
  <c r="AE624" i="16"/>
  <c r="AE616" i="16"/>
  <c r="AE608" i="16"/>
  <c r="AE600" i="16"/>
  <c r="AE592" i="16"/>
  <c r="AE584" i="16"/>
  <c r="AE576" i="16"/>
  <c r="AE568" i="16"/>
  <c r="AE560" i="16"/>
  <c r="AE552" i="16"/>
  <c r="AE544" i="16"/>
  <c r="AE536" i="16"/>
  <c r="AE528" i="16"/>
  <c r="AE520" i="16"/>
  <c r="AE512" i="16"/>
  <c r="AE504" i="16"/>
  <c r="AE496" i="16"/>
  <c r="AE488" i="16"/>
  <c r="AE480" i="16"/>
  <c r="AE472" i="16"/>
  <c r="AE464" i="16"/>
  <c r="AE456" i="16"/>
  <c r="AE448" i="16"/>
  <c r="AE440" i="16"/>
  <c r="AE432" i="16"/>
  <c r="AE424" i="16"/>
  <c r="AE416" i="16"/>
  <c r="AE408" i="16"/>
  <c r="AE400" i="16"/>
  <c r="AE392" i="16"/>
  <c r="AE384" i="16"/>
  <c r="AE376" i="16"/>
  <c r="AE368" i="16"/>
  <c r="AE360" i="16"/>
  <c r="AE352" i="16"/>
  <c r="AE344" i="16"/>
  <c r="AE336" i="16"/>
  <c r="AE328" i="16"/>
  <c r="AE320" i="16"/>
  <c r="AE312" i="16"/>
  <c r="AE304" i="16"/>
  <c r="AE296" i="16"/>
  <c r="AE288" i="16"/>
  <c r="AE280" i="16"/>
  <c r="AE272" i="16"/>
  <c r="AE264" i="16"/>
  <c r="AE256" i="16"/>
  <c r="AE248" i="16"/>
  <c r="AE240" i="16"/>
  <c r="AE232" i="16"/>
  <c r="AE224" i="16"/>
  <c r="AE216" i="16"/>
  <c r="AE208" i="16"/>
  <c r="AE200" i="16"/>
  <c r="AE192" i="16"/>
  <c r="AE184" i="16"/>
  <c r="AE176" i="16"/>
  <c r="AE168" i="16"/>
  <c r="AE160" i="16"/>
  <c r="AE152" i="16"/>
  <c r="AE144" i="16"/>
  <c r="AE136" i="16"/>
  <c r="AE128" i="16"/>
  <c r="AE120" i="16"/>
  <c r="AE112" i="16"/>
  <c r="AE104" i="16"/>
  <c r="AE96" i="16"/>
  <c r="AE88" i="16"/>
  <c r="AE80" i="16"/>
  <c r="AE72" i="16"/>
  <c r="AE64" i="16"/>
  <c r="AE56" i="16"/>
  <c r="AE48" i="16"/>
  <c r="AE40" i="16"/>
  <c r="AE32" i="16"/>
  <c r="AE24" i="16"/>
  <c r="AE16" i="16"/>
  <c r="AE8" i="16"/>
  <c r="AE719" i="16"/>
  <c r="AE711" i="16"/>
  <c r="AE703" i="16"/>
  <c r="AE695" i="16"/>
  <c r="AE687" i="16"/>
  <c r="AE679" i="16"/>
  <c r="AE671" i="16"/>
  <c r="AE663" i="16"/>
  <c r="AE655" i="16"/>
  <c r="AE647" i="16"/>
  <c r="AE639" i="16"/>
  <c r="AE631" i="16"/>
  <c r="AE623" i="16"/>
  <c r="AE615" i="16"/>
  <c r="AE607" i="16"/>
  <c r="AE599" i="16"/>
  <c r="AE591" i="16"/>
  <c r="AE583" i="16"/>
  <c r="AE575" i="16"/>
  <c r="AE567" i="16"/>
  <c r="AE559" i="16"/>
  <c r="AE551" i="16"/>
  <c r="AE543" i="16"/>
  <c r="AE535" i="16"/>
  <c r="AE527" i="16"/>
  <c r="AE519" i="16"/>
  <c r="AE511" i="16"/>
  <c r="AE503" i="16"/>
  <c r="AE495" i="16"/>
  <c r="AE487" i="16"/>
  <c r="AE479" i="16"/>
  <c r="AE471" i="16"/>
  <c r="AE463" i="16"/>
  <c r="AE455" i="16"/>
  <c r="AE447" i="16"/>
  <c r="AE439" i="16"/>
  <c r="AE431" i="16"/>
  <c r="AE423" i="16"/>
  <c r="AE415" i="16"/>
  <c r="AE407" i="16"/>
  <c r="AE399" i="16"/>
  <c r="AE391" i="16"/>
  <c r="AE383" i="16"/>
  <c r="AE375" i="16"/>
  <c r="AE367" i="16"/>
  <c r="AE359" i="16"/>
  <c r="AE351" i="16"/>
  <c r="AE343" i="16"/>
  <c r="AE335" i="16"/>
  <c r="AE327" i="16"/>
  <c r="AE319" i="16"/>
  <c r="AE311" i="16"/>
  <c r="AE303" i="16"/>
  <c r="AE295" i="16"/>
  <c r="AE287" i="16"/>
  <c r="AE279" i="16"/>
  <c r="AE271" i="16"/>
  <c r="AE263" i="16"/>
  <c r="AE255" i="16"/>
  <c r="AE247" i="16"/>
  <c r="AE239" i="16"/>
  <c r="AE231" i="16"/>
  <c r="AE223" i="16"/>
  <c r="AE215" i="16"/>
  <c r="AE207" i="16"/>
  <c r="AE199" i="16"/>
  <c r="AE191" i="16"/>
  <c r="AE183" i="16"/>
  <c r="AE175" i="16"/>
  <c r="AE167" i="16"/>
  <c r="AE159" i="16"/>
  <c r="AE151" i="16"/>
  <c r="AE143" i="16"/>
  <c r="AE135" i="16"/>
  <c r="AE127" i="16"/>
  <c r="AE119" i="16"/>
  <c r="AE111" i="16"/>
  <c r="AE103" i="16"/>
  <c r="AE95" i="16"/>
  <c r="AE87" i="16"/>
  <c r="AE79" i="16"/>
  <c r="AE71" i="16"/>
  <c r="AE63" i="16"/>
  <c r="AE55" i="16"/>
  <c r="AE47" i="16"/>
  <c r="AE39" i="16"/>
  <c r="AE31" i="16"/>
  <c r="AE23" i="16"/>
  <c r="AE15" i="16"/>
  <c r="AE7" i="16"/>
  <c r="AD107" i="6"/>
  <c r="AD126" i="6"/>
  <c r="AD129" i="6"/>
  <c r="AD124" i="6"/>
  <c r="AE393" i="4"/>
  <c r="AE410" i="4"/>
  <c r="AE409" i="4"/>
  <c r="AE398" i="4"/>
  <c r="AE382" i="4"/>
  <c r="AD407" i="4"/>
  <c r="AD378" i="4"/>
  <c r="AD388" i="4"/>
  <c r="AD397" i="4"/>
  <c r="AD384" i="4"/>
  <c r="AD396" i="4"/>
  <c r="AD394" i="4"/>
  <c r="AG68" i="26"/>
  <c r="AG67" i="26"/>
  <c r="AG70" i="26"/>
  <c r="AG69" i="26"/>
  <c r="AE117" i="6"/>
  <c r="AE100" i="6"/>
  <c r="AE115" i="6"/>
  <c r="AE122" i="6"/>
  <c r="AE133" i="6"/>
  <c r="AE132" i="6"/>
  <c r="AE113" i="6"/>
  <c r="AE128" i="6"/>
  <c r="AD418" i="17"/>
  <c r="AE348" i="17"/>
  <c r="AE283" i="17"/>
  <c r="AE149" i="17"/>
  <c r="AE103" i="17"/>
  <c r="AE35" i="17"/>
  <c r="AE324" i="17"/>
  <c r="AE135" i="17"/>
  <c r="AE26" i="17"/>
  <c r="AE305" i="17"/>
  <c r="AE147" i="17"/>
  <c r="AE381" i="17"/>
  <c r="AE225" i="17"/>
  <c r="AE76" i="17"/>
  <c r="AE25" i="17"/>
  <c r="AE235" i="17"/>
  <c r="AE287" i="17"/>
  <c r="AE122" i="17"/>
  <c r="AE410" i="17"/>
  <c r="AE379" i="17"/>
  <c r="AE353" i="17"/>
  <c r="AE325" i="17"/>
  <c r="AE296" i="17"/>
  <c r="AE268" i="17"/>
  <c r="AE245" i="17"/>
  <c r="AE217" i="17"/>
  <c r="AE187" i="17"/>
  <c r="AE159" i="17"/>
  <c r="AE129" i="17"/>
  <c r="AE104" i="17"/>
  <c r="AE70" i="17"/>
  <c r="AE40" i="17"/>
  <c r="AE420" i="17"/>
  <c r="AD390" i="4"/>
  <c r="AD391" i="4"/>
  <c r="AD408" i="4"/>
  <c r="AD383" i="4"/>
  <c r="AD386" i="4"/>
  <c r="AD395" i="4"/>
  <c r="AD400" i="4"/>
  <c r="AG64" i="26"/>
  <c r="AG63" i="26"/>
  <c r="AG66" i="26"/>
  <c r="AG65" i="26"/>
  <c r="AE131" i="6"/>
  <c r="AE114" i="6"/>
  <c r="AE127" i="6"/>
  <c r="AE106" i="6"/>
  <c r="AE125" i="6"/>
  <c r="AE104" i="6"/>
  <c r="AE119" i="6"/>
  <c r="AE134" i="6"/>
  <c r="AG405" i="28"/>
  <c r="AG381" i="28"/>
  <c r="AG663" i="28"/>
  <c r="AG495" i="28"/>
  <c r="AG175" i="28"/>
  <c r="AG42" i="26"/>
  <c r="AG39" i="26"/>
  <c r="AF414" i="16"/>
  <c r="AF314" i="16"/>
  <c r="AF142" i="16"/>
  <c r="AF126" i="16"/>
  <c r="AF94" i="16"/>
  <c r="AF10" i="16"/>
  <c r="AF537" i="16"/>
  <c r="AF441" i="16"/>
  <c r="AF393" i="16"/>
  <c r="AE69" i="6"/>
  <c r="AE47" i="6"/>
  <c r="AE42" i="6"/>
  <c r="AE48" i="6"/>
  <c r="AE110" i="4"/>
  <c r="AE176" i="4"/>
  <c r="AG781" i="28"/>
  <c r="AG717" i="28"/>
  <c r="AG269" i="28"/>
  <c r="AG201" i="28"/>
  <c r="AG57" i="28"/>
  <c r="AG53" i="26"/>
  <c r="AF476" i="16"/>
  <c r="AF280" i="16"/>
  <c r="AF575" i="16"/>
  <c r="AF543" i="16"/>
  <c r="AF399" i="16"/>
  <c r="AE67" i="6"/>
  <c r="AE56" i="6"/>
  <c r="AE186" i="4"/>
  <c r="AE205" i="4"/>
  <c r="AE149" i="4"/>
  <c r="AE156" i="4"/>
  <c r="AG373" i="28"/>
  <c r="AG599" i="28"/>
  <c r="AG111" i="28"/>
  <c r="AG654" i="28"/>
  <c r="AG166" i="28"/>
  <c r="AF34" i="16"/>
  <c r="AF701" i="16"/>
  <c r="AF697" i="16"/>
  <c r="AF609" i="16"/>
  <c r="AF285" i="16"/>
  <c r="AE72" i="3"/>
  <c r="AE181" i="4"/>
  <c r="AE163" i="4"/>
  <c r="AE224" i="4"/>
  <c r="AE152" i="4"/>
  <c r="AG712" i="28"/>
  <c r="AG264" i="28"/>
  <c r="AF584" i="16"/>
  <c r="AF372" i="16"/>
  <c r="AF356" i="16"/>
  <c r="AF340" i="16"/>
  <c r="AF499" i="16"/>
  <c r="AF439" i="16"/>
  <c r="AF39" i="16"/>
  <c r="AE230" i="4"/>
  <c r="AE134" i="4"/>
  <c r="AE208" i="4"/>
  <c r="AE179" i="4"/>
  <c r="AE172" i="4"/>
  <c r="AG581" i="28"/>
  <c r="AG485" i="28"/>
  <c r="AG759" i="28"/>
  <c r="AG675" i="28"/>
  <c r="AG319" i="28"/>
  <c r="AG187" i="28"/>
  <c r="AG19" i="28"/>
  <c r="AG462" i="28"/>
  <c r="AG302" i="28"/>
  <c r="AG214" i="28"/>
  <c r="AG54" i="28"/>
  <c r="AG6" i="26"/>
  <c r="AG15" i="26"/>
  <c r="AF674" i="16"/>
  <c r="AF582" i="16"/>
  <c r="AF394" i="16"/>
  <c r="AF342" i="16"/>
  <c r="AF174" i="16"/>
  <c r="AF569" i="16"/>
  <c r="AF561" i="16"/>
  <c r="AF525" i="16"/>
  <c r="AF509" i="16"/>
  <c r="AF489" i="16"/>
  <c r="AF481" i="16"/>
  <c r="AF477" i="16"/>
  <c r="AF397" i="16"/>
  <c r="AF301" i="16"/>
  <c r="AF289" i="16"/>
  <c r="AF25" i="16"/>
  <c r="AF21" i="16"/>
  <c r="AE62" i="6"/>
  <c r="AE40" i="6"/>
  <c r="AE52" i="6"/>
  <c r="AE69" i="3"/>
  <c r="AE125" i="4"/>
  <c r="AE241" i="4"/>
  <c r="AE204" i="4"/>
  <c r="AE161" i="4"/>
  <c r="AE207" i="4"/>
  <c r="AE177" i="4"/>
  <c r="AE160" i="4"/>
  <c r="AE147" i="4"/>
  <c r="AE146" i="4"/>
  <c r="AE164" i="4"/>
  <c r="AE145" i="4"/>
  <c r="AG577" i="28"/>
  <c r="AG481" i="28"/>
  <c r="AG741" i="28"/>
  <c r="AG725" i="28"/>
  <c r="AG459" i="28"/>
  <c r="AG293" i="28"/>
  <c r="AG277" i="28"/>
  <c r="AG93" i="28"/>
  <c r="AG89" i="28"/>
  <c r="AG53" i="28"/>
  <c r="AF704" i="16"/>
  <c r="AF592" i="16"/>
  <c r="AF28" i="16"/>
  <c r="AF707" i="16"/>
  <c r="AF703" i="16"/>
  <c r="AF643" i="16"/>
  <c r="AF583" i="16"/>
  <c r="AF363" i="16"/>
  <c r="AF139" i="16"/>
  <c r="AF27" i="16"/>
  <c r="AE61" i="6"/>
  <c r="AE236" i="4"/>
  <c r="AE227" i="4"/>
  <c r="AE223" i="4"/>
  <c r="AE226" i="4"/>
  <c r="AE219" i="4"/>
  <c r="AE195" i="4"/>
  <c r="AE174" i="4"/>
  <c r="AE153" i="4"/>
  <c r="AE168" i="4"/>
  <c r="AE150" i="4"/>
  <c r="AE225" i="4"/>
  <c r="AE213" i="4"/>
  <c r="AE108" i="4"/>
  <c r="AE178" i="4"/>
  <c r="AE165" i="4"/>
  <c r="AD99" i="4"/>
  <c r="AD144" i="4"/>
  <c r="AD237" i="4"/>
  <c r="AD97" i="4"/>
  <c r="AD247" i="4"/>
  <c r="AD140" i="4"/>
  <c r="AD242" i="4"/>
  <c r="AD263" i="4"/>
  <c r="AD301" i="4"/>
  <c r="AD100" i="4"/>
  <c r="AD78" i="4"/>
  <c r="AD271" i="4"/>
  <c r="AD114" i="4"/>
  <c r="AD84" i="4"/>
  <c r="AD88" i="4"/>
  <c r="AD135" i="4"/>
  <c r="AD142" i="4"/>
  <c r="AD319" i="4"/>
  <c r="AD312" i="4"/>
  <c r="AD224" i="4"/>
  <c r="AD47" i="4"/>
  <c r="AD222" i="4"/>
  <c r="AD33" i="4"/>
  <c r="AD357" i="4"/>
  <c r="AD43" i="4"/>
  <c r="AD37" i="4"/>
  <c r="AD362" i="4"/>
  <c r="AD41" i="4"/>
  <c r="AD314" i="4"/>
  <c r="AD327" i="4"/>
  <c r="AD20" i="4"/>
  <c r="AD307" i="4"/>
  <c r="AD211" i="4"/>
  <c r="AD340" i="4"/>
  <c r="AD75" i="4"/>
  <c r="AD344" i="4"/>
  <c r="AD275" i="4"/>
  <c r="AD326" i="4"/>
  <c r="AD207" i="4"/>
  <c r="AD102" i="4"/>
  <c r="AD16" i="4"/>
  <c r="AD293" i="4"/>
  <c r="AD268" i="4"/>
  <c r="AD197" i="4"/>
  <c r="AD50" i="4"/>
  <c r="AD80" i="4"/>
  <c r="AD196" i="4"/>
  <c r="AD34" i="4"/>
  <c r="AD96" i="4"/>
  <c r="AD289" i="4"/>
  <c r="AD355" i="4"/>
  <c r="AD281" i="4"/>
  <c r="AD360" i="4"/>
  <c r="AD254" i="4"/>
  <c r="AD93" i="4"/>
  <c r="AD45" i="4"/>
  <c r="AD188" i="4"/>
  <c r="AD276" i="4"/>
  <c r="AD370" i="4"/>
  <c r="AD190" i="4"/>
  <c r="AD107" i="4"/>
  <c r="AD252" i="4"/>
  <c r="AD57" i="4"/>
  <c r="AD185" i="4"/>
  <c r="AD182" i="4"/>
  <c r="AD339" i="4"/>
  <c r="AD177" i="4"/>
  <c r="AD176" i="4"/>
  <c r="AD175" i="4"/>
  <c r="AD279" i="4"/>
  <c r="AD317" i="4"/>
  <c r="AD356" i="4"/>
  <c r="AD52" i="4"/>
  <c r="AD7" i="4"/>
  <c r="AD160" i="4"/>
  <c r="AD311" i="4"/>
  <c r="AD32" i="4"/>
  <c r="AD342" i="4"/>
  <c r="AD147" i="4"/>
  <c r="AD64" i="4"/>
  <c r="AD146" i="4"/>
  <c r="AD22" i="4"/>
  <c r="AD170" i="4"/>
  <c r="AD164" i="4"/>
  <c r="AD19" i="4"/>
  <c r="AD145" i="4"/>
  <c r="AD30" i="4"/>
  <c r="AD341" i="4"/>
  <c r="AD372" i="4"/>
  <c r="AD240" i="4"/>
  <c r="AD152" i="4"/>
  <c r="AD26" i="4"/>
  <c r="AD272" i="4"/>
  <c r="AD31" i="4"/>
  <c r="AD239" i="4"/>
  <c r="AD120" i="4"/>
  <c r="AD118" i="4"/>
  <c r="AD132" i="4"/>
  <c r="AD141" i="4"/>
  <c r="AD248" i="4"/>
  <c r="AD282" i="4"/>
  <c r="AD98" i="4"/>
  <c r="AD117" i="4"/>
  <c r="AD234" i="4"/>
  <c r="AD125" i="4"/>
  <c r="AD143" i="4"/>
  <c r="AD325" i="4"/>
  <c r="AD231" i="4"/>
  <c r="AD130" i="4"/>
  <c r="AD122" i="4"/>
  <c r="AD128" i="4"/>
  <c r="AD358" i="4"/>
  <c r="AD68" i="4"/>
  <c r="AD12" i="4"/>
  <c r="AD350" i="4"/>
  <c r="AD337" i="4"/>
  <c r="AD381" i="4"/>
  <c r="AD11" i="4"/>
  <c r="AD220" i="4"/>
  <c r="AD218" i="4"/>
  <c r="AD368" i="4"/>
  <c r="AD290" i="4"/>
  <c r="AD6" i="4"/>
  <c r="AD215" i="4"/>
  <c r="AD214" i="4"/>
  <c r="AD53" i="4"/>
  <c r="AD367" i="4"/>
  <c r="AD212" i="4"/>
  <c r="AD40" i="4"/>
  <c r="AD343" i="4"/>
  <c r="AD241" i="4"/>
  <c r="AD204" i="4"/>
  <c r="AD187" i="4"/>
  <c r="AD201" i="4"/>
  <c r="AD109" i="4"/>
  <c r="AD198" i="4"/>
  <c r="AD87" i="4"/>
  <c r="AD110" i="4"/>
  <c r="AD67" i="4"/>
  <c r="AD91" i="4"/>
  <c r="AD184" i="4"/>
  <c r="AD181" i="4"/>
  <c r="AD180" i="4"/>
  <c r="AD376" i="4"/>
  <c r="AD69" i="4"/>
  <c r="AD65" i="4"/>
  <c r="AD167" i="4"/>
  <c r="AD173" i="4"/>
  <c r="AD171" i="4"/>
  <c r="AD345" i="4"/>
  <c r="AD158" i="4"/>
  <c r="AD166" i="4"/>
  <c r="AD261" i="4"/>
  <c r="AD163" i="4"/>
  <c r="AD365" i="4"/>
  <c r="AD157" i="4"/>
  <c r="AD169" i="4"/>
  <c r="AD332" i="4"/>
  <c r="AD359" i="4"/>
  <c r="AD35" i="4"/>
  <c r="AD295" i="4"/>
  <c r="AD161" i="4"/>
  <c r="AD10" i="4"/>
  <c r="AD323" i="4"/>
  <c r="AD38" i="4"/>
  <c r="AD48" i="4"/>
  <c r="AD17" i="4"/>
  <c r="AD296" i="4"/>
  <c r="AG830" i="28"/>
  <c r="AG653" i="28"/>
  <c r="AG637" i="28"/>
  <c r="AG597" i="28"/>
  <c r="AG501" i="28"/>
  <c r="AG787" i="28"/>
  <c r="AG771" i="28"/>
  <c r="AG727" i="28"/>
  <c r="AG647" i="28"/>
  <c r="AG623" i="28"/>
  <c r="AG279" i="28"/>
  <c r="AG159" i="28"/>
  <c r="AG135" i="28"/>
  <c r="AG638" i="28"/>
  <c r="AG622" i="28"/>
  <c r="AG510" i="28"/>
  <c r="AG478" i="28"/>
  <c r="AG430" i="28"/>
  <c r="AG150" i="28"/>
  <c r="AG134" i="28"/>
  <c r="AG31" i="26"/>
  <c r="AG27" i="26"/>
  <c r="AF714" i="16"/>
  <c r="AF658" i="16"/>
  <c r="AF622" i="16"/>
  <c r="AF602" i="16"/>
  <c r="AF542" i="16"/>
  <c r="AF534" i="16"/>
  <c r="AF434" i="16"/>
  <c r="AF398" i="16"/>
  <c r="AF250" i="16"/>
  <c r="AF78" i="16"/>
  <c r="AF721" i="16"/>
  <c r="AF653" i="16"/>
  <c r="AF545" i="16"/>
  <c r="AF513" i="16"/>
  <c r="AF357" i="16"/>
  <c r="AF249" i="16"/>
  <c r="AE10" i="6"/>
  <c r="AE117" i="4"/>
  <c r="AE201" i="4"/>
  <c r="AE222" i="4"/>
  <c r="AE211" i="4"/>
  <c r="AE196" i="4"/>
  <c r="AE188" i="4"/>
  <c r="AE185" i="4"/>
  <c r="AE170" i="4"/>
  <c r="AG756" i="28"/>
  <c r="AG732" i="28"/>
  <c r="AG633" i="28"/>
  <c r="AG617" i="28"/>
  <c r="AG545" i="28"/>
  <c r="AG821" i="28"/>
  <c r="AG419" i="28"/>
  <c r="AG395" i="28"/>
  <c r="AG387" i="28"/>
  <c r="AG371" i="28"/>
  <c r="AG355" i="28"/>
  <c r="AG165" i="28"/>
  <c r="AG149" i="28"/>
  <c r="AG145" i="28"/>
  <c r="AG129" i="28"/>
  <c r="AG109" i="28"/>
  <c r="AG49" i="28"/>
  <c r="AG544" i="28"/>
  <c r="AG316" i="28"/>
  <c r="AG284" i="28"/>
  <c r="AG56" i="28"/>
  <c r="AG44" i="26"/>
  <c r="AG41" i="26"/>
  <c r="AF640" i="16"/>
  <c r="AF636" i="16"/>
  <c r="AF576" i="16"/>
  <c r="AF540" i="16"/>
  <c r="AF512" i="16"/>
  <c r="AF456" i="16"/>
  <c r="AF436" i="16"/>
  <c r="AF380" i="16"/>
  <c r="AF159" i="16"/>
  <c r="AF115" i="16"/>
  <c r="AF47" i="16"/>
  <c r="AE13" i="6"/>
  <c r="AE97" i="6"/>
  <c r="AE65" i="6"/>
  <c r="AE84" i="6"/>
  <c r="AE44" i="6"/>
  <c r="AE17" i="6"/>
  <c r="AE20" i="6"/>
  <c r="AE86" i="3"/>
  <c r="AE235" i="4"/>
  <c r="AE148" i="4"/>
  <c r="AE229" i="4"/>
  <c r="AE199" i="4"/>
  <c r="AE200" i="4"/>
  <c r="AE159" i="4"/>
  <c r="AE73" i="4"/>
  <c r="AD402" i="17"/>
  <c r="AE402" i="17"/>
  <c r="AD384" i="17"/>
  <c r="AE384" i="17"/>
  <c r="AD371" i="17"/>
  <c r="AE371" i="17"/>
  <c r="AD354" i="17"/>
  <c r="AE354" i="17"/>
  <c r="AD336" i="17"/>
  <c r="AE336" i="17"/>
  <c r="AD321" i="17"/>
  <c r="AE321" i="17"/>
  <c r="AD303" i="17"/>
  <c r="AE303" i="17"/>
  <c r="AD281" i="17"/>
  <c r="AE281" i="17"/>
  <c r="AD252" i="17"/>
  <c r="AE252" i="17"/>
  <c r="AD238" i="17"/>
  <c r="AE238" i="17"/>
  <c r="AD218" i="17"/>
  <c r="AE218" i="17"/>
  <c r="AD202" i="17"/>
  <c r="AE202" i="17"/>
  <c r="AD183" i="17"/>
  <c r="AE183" i="17"/>
  <c r="AD166" i="17"/>
  <c r="AE166" i="17"/>
  <c r="AD145" i="17"/>
  <c r="AE145" i="17"/>
  <c r="AD130" i="17"/>
  <c r="AE130" i="17"/>
  <c r="AD111" i="17"/>
  <c r="AE111" i="17"/>
  <c r="AD91" i="17"/>
  <c r="AE91" i="17"/>
  <c r="AD75" i="17"/>
  <c r="AE75" i="17"/>
  <c r="AD57" i="17"/>
  <c r="AE57" i="17"/>
  <c r="AD41" i="17"/>
  <c r="AE41" i="17"/>
  <c r="AD332" i="17"/>
  <c r="AE332" i="17"/>
  <c r="AD285" i="17"/>
  <c r="AE285" i="17"/>
  <c r="AD256" i="17"/>
  <c r="AE256" i="17"/>
  <c r="AD212" i="17"/>
  <c r="AE212" i="17"/>
  <c r="AD188" i="17"/>
  <c r="AE188" i="17"/>
  <c r="AD115" i="17"/>
  <c r="AE115" i="17"/>
  <c r="AD71" i="17"/>
  <c r="AE71" i="17"/>
  <c r="AE9" i="4"/>
  <c r="AD9" i="4"/>
  <c r="AE304" i="4"/>
  <c r="AD304" i="4"/>
  <c r="AE364" i="4"/>
  <c r="AD364" i="4"/>
  <c r="AE299" i="4"/>
  <c r="AD299" i="4"/>
  <c r="AE354" i="4"/>
  <c r="AD354" i="4"/>
  <c r="AE265" i="4"/>
  <c r="AD265" i="4"/>
  <c r="AE318" i="4"/>
  <c r="AD318" i="4"/>
  <c r="AE18" i="4"/>
  <c r="AD18" i="4"/>
  <c r="AE284" i="4"/>
  <c r="AD284" i="4"/>
  <c r="AE42" i="4"/>
  <c r="AD42" i="4"/>
  <c r="AE335" i="4"/>
  <c r="AD335" i="4"/>
  <c r="AE324" i="4"/>
  <c r="AD324" i="4"/>
  <c r="AE90" i="4"/>
  <c r="AD90" i="4"/>
  <c r="AE105" i="4"/>
  <c r="AD105" i="4"/>
  <c r="AE29" i="4"/>
  <c r="AD29" i="4"/>
  <c r="AE361" i="4"/>
  <c r="AD361" i="4"/>
  <c r="AE334" i="4"/>
  <c r="AD334" i="4"/>
  <c r="AH1332" i="29"/>
  <c r="AG1332" i="29"/>
  <c r="AH1324" i="29"/>
  <c r="AG1324" i="29"/>
  <c r="AH1320" i="29"/>
  <c r="AG1320" i="29"/>
  <c r="AH1312" i="29"/>
  <c r="AG1312" i="29"/>
  <c r="AH1292" i="29"/>
  <c r="AG1292" i="29"/>
  <c r="AH1280" i="29"/>
  <c r="AG1280" i="29"/>
  <c r="AH1272" i="29"/>
  <c r="AG1272" i="29"/>
  <c r="AH1268" i="29"/>
  <c r="AG1268" i="29"/>
  <c r="AH1264" i="29"/>
  <c r="AG1264" i="29"/>
  <c r="AH1252" i="29"/>
  <c r="AG1252" i="29"/>
  <c r="AH1244" i="29"/>
  <c r="AG1244" i="29"/>
  <c r="AH1240" i="29"/>
  <c r="AG1240" i="29"/>
  <c r="AH1236" i="29"/>
  <c r="AG1236" i="29"/>
  <c r="AH1232" i="29"/>
  <c r="AG1232" i="29"/>
  <c r="AH1228" i="29"/>
  <c r="AG1228" i="29"/>
  <c r="AH1224" i="29"/>
  <c r="AG1224" i="29"/>
  <c r="AH1216" i="29"/>
  <c r="AG1216" i="29"/>
  <c r="AH1212" i="29"/>
  <c r="AG1212" i="29"/>
  <c r="AH1204" i="29"/>
  <c r="AG1204" i="29"/>
  <c r="AH1200" i="29"/>
  <c r="AG1200" i="29"/>
  <c r="AH1196" i="29"/>
  <c r="AG1196" i="29"/>
  <c r="AH1184" i="29"/>
  <c r="AG1184" i="29"/>
  <c r="AH1116" i="29"/>
  <c r="AG1116" i="29"/>
  <c r="AH1108" i="29"/>
  <c r="AG1108" i="29"/>
  <c r="AH1100" i="29"/>
  <c r="AG1100" i="29"/>
  <c r="AH1092" i="29"/>
  <c r="AG1092" i="29"/>
  <c r="AH1088" i="29"/>
  <c r="AG1088" i="29"/>
  <c r="AH1084" i="29"/>
  <c r="AG1084" i="29"/>
  <c r="AH1080" i="29"/>
  <c r="AG1080" i="29"/>
  <c r="AH1076" i="29"/>
  <c r="AG1076" i="29"/>
  <c r="AH1064" i="29"/>
  <c r="AG1064" i="29"/>
  <c r="AH1056" i="29"/>
  <c r="AG1056" i="29"/>
  <c r="AH1044" i="29"/>
  <c r="AG1044" i="29"/>
  <c r="AH1036" i="29"/>
  <c r="AG1036" i="29"/>
  <c r="AH1032" i="29"/>
  <c r="AG1032" i="29"/>
  <c r="AH1024" i="29"/>
  <c r="AG1024" i="29"/>
  <c r="AH1020" i="29"/>
  <c r="AG1020" i="29"/>
  <c r="AH1016" i="29"/>
  <c r="AG1016" i="29"/>
  <c r="AH1012" i="29"/>
  <c r="AG1012" i="29"/>
  <c r="AH1004" i="29"/>
  <c r="AG1004" i="29"/>
  <c r="AH1000" i="29"/>
  <c r="AG1000" i="29"/>
  <c r="AH996" i="29"/>
  <c r="AG996" i="29"/>
  <c r="AH992" i="29"/>
  <c r="AG992" i="29"/>
  <c r="AH984" i="29"/>
  <c r="AG984" i="29"/>
  <c r="AH980" i="29"/>
  <c r="AG980" i="29"/>
  <c r="AH976" i="29"/>
  <c r="AG976" i="29"/>
  <c r="AH972" i="29"/>
  <c r="AG972" i="29"/>
  <c r="AH964" i="29"/>
  <c r="AG964" i="29"/>
  <c r="AH960" i="29"/>
  <c r="AG960" i="29"/>
  <c r="AH952" i="29"/>
  <c r="AG952" i="29"/>
  <c r="AH940" i="29"/>
  <c r="AG940" i="29"/>
  <c r="AH936" i="29"/>
  <c r="AG936" i="29"/>
  <c r="AH932" i="29"/>
  <c r="AG932" i="29"/>
  <c r="AH928" i="29"/>
  <c r="AG928" i="29"/>
  <c r="AH924" i="29"/>
  <c r="AG924" i="29"/>
  <c r="AH920" i="29"/>
  <c r="AG920" i="29"/>
  <c r="AH916" i="29"/>
  <c r="AG916" i="29"/>
  <c r="AH912" i="29"/>
  <c r="AG912" i="29"/>
  <c r="AH900" i="29"/>
  <c r="AG900" i="29"/>
  <c r="AH896" i="29"/>
  <c r="AG896" i="29"/>
  <c r="AH892" i="29"/>
  <c r="AG892" i="29"/>
  <c r="AH884" i="29"/>
  <c r="AG884" i="29"/>
  <c r="AH880" i="29"/>
  <c r="AG880" i="29"/>
  <c r="AH876" i="29"/>
  <c r="AG876" i="29"/>
  <c r="AH872" i="29"/>
  <c r="AG872" i="29"/>
  <c r="AH868" i="29"/>
  <c r="AG868" i="29"/>
  <c r="AH864" i="29"/>
  <c r="AG864" i="29"/>
  <c r="AH852" i="29"/>
  <c r="AG852" i="29"/>
  <c r="AH848" i="29"/>
  <c r="AG848" i="29"/>
  <c r="AH840" i="29"/>
  <c r="AG840" i="29"/>
  <c r="AH832" i="29"/>
  <c r="AG832" i="29"/>
  <c r="AH824" i="29"/>
  <c r="AG824" i="29"/>
  <c r="AD415" i="17"/>
  <c r="AD390" i="17"/>
  <c r="AD369" i="17"/>
  <c r="AD348" i="17"/>
  <c r="AD318" i="17"/>
  <c r="AD283" i="17"/>
  <c r="AD260" i="17"/>
  <c r="AD240" i="17"/>
  <c r="AD220" i="17"/>
  <c r="AD192" i="17"/>
  <c r="AD172" i="17"/>
  <c r="AD149" i="17"/>
  <c r="AD128" i="17"/>
  <c r="AD103" i="17"/>
  <c r="AD85" i="17"/>
  <c r="AD67" i="17"/>
  <c r="AD51" i="17"/>
  <c r="AD35" i="17"/>
  <c r="AD408" i="17"/>
  <c r="AD324" i="17"/>
  <c r="AD247" i="17"/>
  <c r="AD135" i="17"/>
  <c r="AD80" i="17"/>
  <c r="AD26" i="17"/>
  <c r="AD358" i="17"/>
  <c r="AD305" i="17"/>
  <c r="AD282" i="17"/>
  <c r="AD147" i="17"/>
  <c r="AD271" i="17"/>
  <c r="AD381" i="17"/>
  <c r="AD313" i="17"/>
  <c r="AD225" i="17"/>
  <c r="AD127" i="17"/>
  <c r="AD76" i="17"/>
  <c r="AD216" i="17"/>
  <c r="AD25" i="17"/>
  <c r="AD337" i="17"/>
  <c r="AD235" i="17"/>
  <c r="AD146" i="17"/>
  <c r="AD287" i="17"/>
  <c r="AD198" i="17"/>
  <c r="AD122" i="17"/>
  <c r="AD38" i="17"/>
  <c r="AD20" i="17"/>
  <c r="AD17" i="17"/>
  <c r="AD410" i="17"/>
  <c r="AD395" i="17"/>
  <c r="AD379" i="17"/>
  <c r="AD366" i="17"/>
  <c r="AD353" i="17"/>
  <c r="AD335" i="17"/>
  <c r="AD325" i="17"/>
  <c r="AD311" i="17"/>
  <c r="AD296" i="17"/>
  <c r="AD280" i="17"/>
  <c r="AD268" i="17"/>
  <c r="AD259" i="17"/>
  <c r="AD245" i="17"/>
  <c r="AD229" i="17"/>
  <c r="AD217" i="17"/>
  <c r="AD200" i="17"/>
  <c r="AD187" i="17"/>
  <c r="AD173" i="17"/>
  <c r="AD159" i="17"/>
  <c r="AD144" i="17"/>
  <c r="AD129" i="17"/>
  <c r="AD116" i="17"/>
  <c r="AD104" i="17"/>
  <c r="AD86" i="17"/>
  <c r="AD70" i="17"/>
  <c r="AD56" i="17"/>
  <c r="AD40" i="17"/>
  <c r="AD23" i="17"/>
  <c r="AD409" i="17"/>
  <c r="AD386" i="17"/>
  <c r="AD363" i="17"/>
  <c r="AD344" i="17"/>
  <c r="AD314" i="17"/>
  <c r="AD279" i="17"/>
  <c r="AD258" i="17"/>
  <c r="AD236" i="17"/>
  <c r="AD210" i="17"/>
  <c r="AD184" i="17"/>
  <c r="AD168" i="17"/>
  <c r="AD143" i="17"/>
  <c r="AD119" i="17"/>
  <c r="AD96" i="17"/>
  <c r="AD81" i="17"/>
  <c r="AD63" i="17"/>
  <c r="AD47" i="17"/>
  <c r="AD27" i="17"/>
  <c r="AD393" i="17"/>
  <c r="AD306" i="17"/>
  <c r="AD205" i="17"/>
  <c r="AD131" i="17"/>
  <c r="AD62" i="17"/>
  <c r="AD414" i="17"/>
  <c r="AD355" i="17"/>
  <c r="AD301" i="17"/>
  <c r="AD204" i="17"/>
  <c r="AD102" i="17"/>
  <c r="AD92" i="17"/>
  <c r="AD372" i="17"/>
  <c r="AD288" i="17"/>
  <c r="AD219" i="17"/>
  <c r="AD118" i="17"/>
  <c r="AD403" i="17"/>
  <c r="AD69" i="17"/>
  <c r="AD411" i="17"/>
  <c r="AD304" i="17"/>
  <c r="AD186" i="17"/>
  <c r="AD112" i="17"/>
  <c r="AD317" i="17"/>
  <c r="AD203" i="17"/>
  <c r="AD142" i="17"/>
  <c r="AD42" i="17"/>
  <c r="AD396" i="17"/>
  <c r="AD380" i="17"/>
  <c r="AD367" i="17"/>
  <c r="AD351" i="17"/>
  <c r="AD334" i="17"/>
  <c r="AD316" i="17"/>
  <c r="AD297" i="17"/>
  <c r="AD277" i="17"/>
  <c r="AD249" i="17"/>
  <c r="AD234" i="17"/>
  <c r="AD215" i="17"/>
  <c r="AD197" i="17"/>
  <c r="AD179" i="17"/>
  <c r="AD163" i="17"/>
  <c r="AD141" i="17"/>
  <c r="AD126" i="17"/>
  <c r="AD105" i="17"/>
  <c r="AD88" i="17"/>
  <c r="AD72" i="17"/>
  <c r="AD54" i="17"/>
  <c r="AD37" i="17"/>
  <c r="AD18" i="17"/>
  <c r="AD328" i="17"/>
  <c r="AD273" i="17"/>
  <c r="AD242" i="17"/>
  <c r="AD201" i="17"/>
  <c r="AD182" i="17"/>
  <c r="AD98" i="17"/>
  <c r="AD53" i="17"/>
  <c r="AD412" i="17"/>
  <c r="AD399" i="17"/>
  <c r="AD383" i="17"/>
  <c r="AD370" i="17"/>
  <c r="AD356" i="17"/>
  <c r="AD341" i="17"/>
  <c r="AD327" i="17"/>
  <c r="AD315" i="17"/>
  <c r="AD300" i="17"/>
  <c r="AD284" i="17"/>
  <c r="AD270" i="17"/>
  <c r="AD261" i="17"/>
  <c r="AD248" i="17"/>
  <c r="AD233" i="17"/>
  <c r="AD221" i="17"/>
  <c r="AD207" i="17"/>
  <c r="AD189" i="17"/>
  <c r="AD177" i="17"/>
  <c r="AD161" i="17"/>
  <c r="AD150" i="17"/>
  <c r="AD133" i="17"/>
  <c r="AD120" i="17"/>
  <c r="AD108" i="17"/>
  <c r="AD90" i="17"/>
  <c r="AD74" i="17"/>
  <c r="AD60" i="17"/>
  <c r="AD44" i="17"/>
  <c r="AD28" i="17"/>
  <c r="AG838" i="28"/>
  <c r="AG822" i="28"/>
  <c r="AG814" i="28"/>
  <c r="AG806" i="28"/>
  <c r="AG798" i="28"/>
  <c r="AG774" i="28"/>
  <c r="AG770" i="28"/>
  <c r="AG766" i="28"/>
  <c r="AG750" i="28"/>
  <c r="AG742" i="28"/>
  <c r="AG718" i="28"/>
  <c r="AG710" i="28"/>
  <c r="AG702" i="28"/>
  <c r="AG694" i="28"/>
  <c r="AG686" i="28"/>
  <c r="AG669" i="28"/>
  <c r="AG629" i="28"/>
  <c r="AG613" i="28"/>
  <c r="AG605" i="28"/>
  <c r="AG589" i="28"/>
  <c r="AG573" i="28"/>
  <c r="AG557" i="28"/>
  <c r="AG549" i="28"/>
  <c r="AG541" i="28"/>
  <c r="AG525" i="28"/>
  <c r="AG509" i="28"/>
  <c r="AG477" i="28"/>
  <c r="AG469" i="28"/>
  <c r="AG453" i="28"/>
  <c r="AG437" i="28"/>
  <c r="AG429" i="28"/>
  <c r="AG389" i="28"/>
  <c r="AG357" i="28"/>
  <c r="AG341" i="28"/>
  <c r="AG333" i="28"/>
  <c r="AG325" i="28"/>
  <c r="AG301" i="28"/>
  <c r="AG847" i="28"/>
  <c r="AG839" i="28"/>
  <c r="AG831" i="28"/>
  <c r="AG823" i="28"/>
  <c r="AG819" i="28"/>
  <c r="AG815" i="28"/>
  <c r="AG811" i="28"/>
  <c r="AG807" i="28"/>
  <c r="AG799" i="28"/>
  <c r="AG795" i="28"/>
  <c r="AG775" i="28"/>
  <c r="AG767" i="28"/>
  <c r="AG763" i="28"/>
  <c r="AG751" i="28"/>
  <c r="AG747" i="28"/>
  <c r="AG743" i="28"/>
  <c r="AG739" i="28"/>
  <c r="AG719" i="28"/>
  <c r="AG715" i="28"/>
  <c r="AG711" i="28"/>
  <c r="AG707" i="28"/>
  <c r="AG703" i="28"/>
  <c r="AG699" i="28"/>
  <c r="AG695" i="28"/>
  <c r="AG691" i="28"/>
  <c r="AG687" i="28"/>
  <c r="AG683" i="28"/>
  <c r="AG671" i="28"/>
  <c r="AG655" i="28"/>
  <c r="AG639" i="28"/>
  <c r="AG631" i="28"/>
  <c r="AG615" i="28"/>
  <c r="AG607" i="28"/>
  <c r="AG591" i="28"/>
  <c r="AG583" i="28"/>
  <c r="AG575" i="28"/>
  <c r="AG567" i="28"/>
  <c r="AG559" i="28"/>
  <c r="AG551" i="28"/>
  <c r="AG543" i="28"/>
  <c r="AG535" i="28"/>
  <c r="AG527" i="28"/>
  <c r="AG511" i="28"/>
  <c r="AG503" i="28"/>
  <c r="AG487" i="28"/>
  <c r="AG479" i="28"/>
  <c r="AG471" i="28"/>
  <c r="AG463" i="28"/>
  <c r="AG455" i="28"/>
  <c r="AG447" i="28"/>
  <c r="AG439" i="28"/>
  <c r="AG431" i="28"/>
  <c r="AG391" i="28"/>
  <c r="AG359" i="28"/>
  <c r="AG343" i="28"/>
  <c r="AG335" i="28"/>
  <c r="AG327" i="28"/>
  <c r="AG311" i="28"/>
  <c r="AG303" i="28"/>
  <c r="AG295" i="28"/>
  <c r="AG291" i="28"/>
  <c r="AG271" i="28"/>
  <c r="AG267" i="28"/>
  <c r="AG263" i="28"/>
  <c r="AG259" i="28"/>
  <c r="AG255" i="28"/>
  <c r="AG247" i="28"/>
  <c r="AG243" i="28"/>
  <c r="AG239" i="28"/>
  <c r="AG235" i="28"/>
  <c r="AG215" i="28"/>
  <c r="AG211" i="28"/>
  <c r="AG207" i="28"/>
  <c r="AG199" i="28"/>
  <c r="AG195" i="28"/>
  <c r="AG183" i="28"/>
  <c r="AG167" i="28"/>
  <c r="AG151" i="28"/>
  <c r="AG143" i="28"/>
  <c r="AG127" i="28"/>
  <c r="AG119" i="28"/>
  <c r="AG115" i="28"/>
  <c r="AG103" i="28"/>
  <c r="AG99" i="28"/>
  <c r="AG95" i="28"/>
  <c r="AG87" i="28"/>
  <c r="AG83" i="28"/>
  <c r="AG79" i="28"/>
  <c r="AG71" i="28"/>
  <c r="AG67" i="28"/>
  <c r="AG63" i="28"/>
  <c r="AG59" i="28"/>
  <c r="AG55" i="28"/>
  <c r="AG51" i="28"/>
  <c r="AG47" i="28"/>
  <c r="AG43" i="28"/>
  <c r="AG39" i="28"/>
  <c r="AG31" i="28"/>
  <c r="AG27" i="28"/>
  <c r="AG630" i="28"/>
  <c r="AG614" i="28"/>
  <c r="AG606" i="28"/>
  <c r="AG598" i="28"/>
  <c r="AG590" i="28"/>
  <c r="AG574" i="28"/>
  <c r="AG558" i="28"/>
  <c r="AG550" i="28"/>
  <c r="AG542" i="28"/>
  <c r="AG526" i="28"/>
  <c r="AG502" i="28"/>
  <c r="AG486" i="28"/>
  <c r="AG470" i="28"/>
  <c r="AG454" i="28"/>
  <c r="AG446" i="28"/>
  <c r="AG438" i="28"/>
  <c r="AG370" i="28"/>
  <c r="AG342" i="28"/>
  <c r="AG334" i="28"/>
  <c r="AG310" i="28"/>
  <c r="AG294" i="28"/>
  <c r="AG270" i="28"/>
  <c r="AG262" i="28"/>
  <c r="AG254" i="28"/>
  <c r="AG246" i="28"/>
  <c r="AG238" i="28"/>
  <c r="AG206" i="28"/>
  <c r="AG198" i="28"/>
  <c r="AG142" i="28"/>
  <c r="AG126" i="28"/>
  <c r="AG118" i="28"/>
  <c r="AG110" i="28"/>
  <c r="AG102" i="28"/>
  <c r="AG86" i="28"/>
  <c r="AG70" i="28"/>
  <c r="AG62" i="28"/>
  <c r="AG46" i="28"/>
  <c r="AG38" i="28"/>
  <c r="AG30" i="28"/>
  <c r="AE118" i="27"/>
  <c r="AE114" i="27"/>
  <c r="AE110" i="27"/>
  <c r="AE106" i="27"/>
  <c r="AE102" i="27"/>
  <c r="AE98" i="27"/>
  <c r="AE94" i="27"/>
  <c r="AE90" i="27"/>
  <c r="AE86" i="27"/>
  <c r="AE82" i="27"/>
  <c r="AE78" i="27"/>
  <c r="AE74" i="27"/>
  <c r="AE70" i="27"/>
  <c r="AE66" i="27"/>
  <c r="AE62" i="27"/>
  <c r="AE58" i="27"/>
  <c r="AE54" i="27"/>
  <c r="AE50" i="27"/>
  <c r="AE46" i="27"/>
  <c r="AE42" i="27"/>
  <c r="AE38" i="27"/>
  <c r="AE34" i="27"/>
  <c r="AE30" i="27"/>
  <c r="AE26" i="27"/>
  <c r="AE22" i="27"/>
  <c r="AE18" i="27"/>
  <c r="AE119" i="27"/>
  <c r="AE115" i="27"/>
  <c r="AE111" i="27"/>
  <c r="AE107" i="27"/>
  <c r="AE103" i="27"/>
  <c r="AE99" i="27"/>
  <c r="AE95" i="27"/>
  <c r="AE91" i="27"/>
  <c r="AE87" i="27"/>
  <c r="AE83" i="27"/>
  <c r="AE79" i="27"/>
  <c r="AE75" i="27"/>
  <c r="AE71" i="27"/>
  <c r="AE67" i="27"/>
  <c r="AE63" i="27"/>
  <c r="AE59" i="27"/>
  <c r="AE55" i="27"/>
  <c r="AE51" i="27"/>
  <c r="AE47" i="27"/>
  <c r="AE43" i="27"/>
  <c r="AE39" i="27"/>
  <c r="AE35" i="27"/>
  <c r="AE31" i="27"/>
  <c r="AE27" i="27"/>
  <c r="AE23" i="27"/>
  <c r="AE19" i="27"/>
  <c r="AG54" i="26"/>
  <c r="AG50" i="26"/>
  <c r="AG46" i="26"/>
  <c r="AG38" i="26"/>
  <c r="AG34" i="26"/>
  <c r="AG30" i="26"/>
  <c r="AG26" i="26"/>
  <c r="AG22" i="26"/>
  <c r="AG18" i="26"/>
  <c r="AG14" i="26"/>
  <c r="AG10" i="26"/>
  <c r="AG51" i="26"/>
  <c r="AG47" i="26"/>
  <c r="AG35" i="26"/>
  <c r="AG23" i="26"/>
  <c r="AG11" i="26"/>
  <c r="AG7" i="26"/>
  <c r="AE1201" i="21"/>
  <c r="AE1197" i="21"/>
  <c r="AE1193" i="21"/>
  <c r="AE1189" i="21"/>
  <c r="AE1185" i="21"/>
  <c r="AE1181" i="21"/>
  <c r="AE1177" i="21"/>
  <c r="AE1173" i="21"/>
  <c r="AE1169" i="21"/>
  <c r="AE1165" i="21"/>
  <c r="AE1161" i="21"/>
  <c r="AE1157" i="21"/>
  <c r="AE1153" i="21"/>
  <c r="AE1149" i="21"/>
  <c r="AE1145" i="21"/>
  <c r="AE1141" i="21"/>
  <c r="AE1137" i="21"/>
  <c r="AE1133" i="21"/>
  <c r="AE1129" i="21"/>
  <c r="AE1125" i="21"/>
  <c r="AE1121" i="21"/>
  <c r="AE1117" i="21"/>
  <c r="AE1113" i="21"/>
  <c r="AE1109" i="21"/>
  <c r="AE1105" i="21"/>
  <c r="AE1101" i="21"/>
  <c r="AE1097" i="21"/>
  <c r="AE1093" i="21"/>
  <c r="AE1089" i="21"/>
  <c r="AE1085" i="21"/>
  <c r="AE1081" i="21"/>
  <c r="AE1077" i="21"/>
  <c r="AE1073" i="21"/>
  <c r="AE1069" i="21"/>
  <c r="AE1065" i="21"/>
  <c r="AE1061" i="21"/>
  <c r="AE1057" i="21"/>
  <c r="AE1053" i="21"/>
  <c r="AE1049" i="21"/>
  <c r="AE1045" i="21"/>
  <c r="AE1041" i="21"/>
  <c r="AE1037" i="21"/>
  <c r="AE1033" i="21"/>
  <c r="AE1029" i="21"/>
  <c r="AE1025" i="21"/>
  <c r="AE1021" i="21"/>
  <c r="AE1017" i="21"/>
  <c r="AE1013" i="21"/>
  <c r="AE1009" i="21"/>
  <c r="AE1005" i="21"/>
  <c r="AE1001" i="21"/>
  <c r="AE997" i="21"/>
  <c r="AE993" i="21"/>
  <c r="AE989" i="21"/>
  <c r="AE985" i="21"/>
  <c r="AE981" i="21"/>
  <c r="AE977" i="21"/>
  <c r="AE973" i="21"/>
  <c r="AE969" i="21"/>
  <c r="AE965" i="21"/>
  <c r="AE961" i="21"/>
  <c r="AE957" i="21"/>
  <c r="AE953" i="21"/>
  <c r="AE949" i="21"/>
  <c r="AE945" i="21"/>
  <c r="AE941" i="21"/>
  <c r="AE937" i="21"/>
  <c r="AE933" i="21"/>
  <c r="AE929" i="21"/>
  <c r="AE925" i="21"/>
  <c r="AE921" i="21"/>
  <c r="AE917" i="21"/>
  <c r="AE913" i="21"/>
  <c r="AE909" i="21"/>
  <c r="AE905" i="21"/>
  <c r="AE901" i="21"/>
  <c r="AE897" i="21"/>
  <c r="AE893" i="21"/>
  <c r="AE889" i="21"/>
  <c r="AE885" i="21"/>
  <c r="AE881" i="21"/>
  <c r="AE877" i="21"/>
  <c r="AE873" i="21"/>
  <c r="AE869" i="21"/>
  <c r="AE865" i="21"/>
  <c r="AE861" i="21"/>
  <c r="AE857" i="21"/>
  <c r="AE853" i="21"/>
  <c r="AE849" i="21"/>
  <c r="AE845" i="21"/>
  <c r="AE841" i="21"/>
  <c r="AE837" i="21"/>
  <c r="AE833" i="21"/>
  <c r="AE829" i="21"/>
  <c r="AE825" i="21"/>
  <c r="AE821" i="21"/>
  <c r="AE817" i="21"/>
  <c r="AE813" i="21"/>
  <c r="AE809" i="21"/>
  <c r="AE805" i="21"/>
  <c r="AE801" i="21"/>
  <c r="AE797" i="21"/>
  <c r="AE793" i="21"/>
  <c r="AE789" i="21"/>
  <c r="AE785" i="21"/>
  <c r="AE781" i="21"/>
  <c r="AE777" i="21"/>
  <c r="AE773" i="21"/>
  <c r="AE769" i="21"/>
  <c r="AE765" i="21"/>
  <c r="AE761" i="21"/>
  <c r="AE757" i="21"/>
  <c r="AE753" i="21"/>
  <c r="AE749" i="21"/>
  <c r="AE745" i="21"/>
  <c r="AE741" i="21"/>
  <c r="AE737" i="21"/>
  <c r="AE733" i="21"/>
  <c r="AE729" i="21"/>
  <c r="AE725" i="21"/>
  <c r="AE721" i="21"/>
  <c r="AE717" i="21"/>
  <c r="AE713" i="21"/>
  <c r="AE709" i="21"/>
  <c r="AE705" i="21"/>
  <c r="AE701" i="21"/>
  <c r="AE697" i="21"/>
  <c r="AE693" i="21"/>
  <c r="AE689" i="21"/>
  <c r="AE685" i="21"/>
  <c r="AE681" i="21"/>
  <c r="AE677" i="21"/>
  <c r="AE673" i="21"/>
  <c r="AE669" i="21"/>
  <c r="AE665" i="21"/>
  <c r="AE661" i="21"/>
  <c r="AE657" i="21"/>
  <c r="AE653" i="21"/>
  <c r="AE649" i="21"/>
  <c r="AE645" i="21"/>
  <c r="AE641" i="21"/>
  <c r="AE637" i="21"/>
  <c r="AE633" i="21"/>
  <c r="AE629" i="21"/>
  <c r="AE625" i="21"/>
  <c r="AE621" i="21"/>
  <c r="AE617" i="21"/>
  <c r="AE613" i="21"/>
  <c r="AE609" i="21"/>
  <c r="AE605" i="21"/>
  <c r="AE601" i="21"/>
  <c r="AE597" i="21"/>
  <c r="AE593" i="21"/>
  <c r="AE589" i="21"/>
  <c r="AE585" i="21"/>
  <c r="AE581" i="21"/>
  <c r="AE577" i="21"/>
  <c r="AE573" i="21"/>
  <c r="AE569" i="21"/>
  <c r="AE565" i="21"/>
  <c r="AE561" i="21"/>
  <c r="AE557" i="21"/>
  <c r="AE553" i="21"/>
  <c r="AE549" i="21"/>
  <c r="AE545" i="21"/>
  <c r="AE541" i="21"/>
  <c r="AE537" i="21"/>
  <c r="AE533" i="21"/>
  <c r="AE529" i="21"/>
  <c r="AE525" i="21"/>
  <c r="AE521" i="21"/>
  <c r="AE517" i="21"/>
  <c r="AE513" i="21"/>
  <c r="AE509" i="21"/>
  <c r="AE505" i="21"/>
  <c r="AE501" i="21"/>
  <c r="AE497" i="21"/>
  <c r="AE493" i="21"/>
  <c r="AE489" i="21"/>
  <c r="AE485" i="21"/>
  <c r="AE481" i="21"/>
  <c r="AE477" i="21"/>
  <c r="AE473" i="21"/>
  <c r="AE469" i="21"/>
  <c r="AE465" i="21"/>
  <c r="AE461" i="21"/>
  <c r="AE457" i="21"/>
  <c r="AE453" i="21"/>
  <c r="AE449" i="21"/>
  <c r="AE445" i="21"/>
  <c r="AE441" i="21"/>
  <c r="AE437" i="21"/>
  <c r="AE433" i="21"/>
  <c r="AE429" i="21"/>
  <c r="AE425" i="21"/>
  <c r="AE421" i="21"/>
  <c r="AE417" i="21"/>
  <c r="AE413" i="21"/>
  <c r="AE409" i="21"/>
  <c r="AE405" i="21"/>
  <c r="AE401" i="21"/>
  <c r="AE397" i="21"/>
  <c r="AE393" i="21"/>
  <c r="AE389" i="21"/>
  <c r="AE385" i="21"/>
  <c r="AE381" i="21"/>
  <c r="AE377" i="21"/>
  <c r="AE373" i="21"/>
  <c r="AE369" i="21"/>
  <c r="AE365" i="21"/>
  <c r="AE361" i="21"/>
  <c r="AE357" i="21"/>
  <c r="AE353" i="21"/>
  <c r="AE349" i="21"/>
  <c r="AE345" i="21"/>
  <c r="AE341" i="21"/>
  <c r="AE337" i="21"/>
  <c r="AE333" i="21"/>
  <c r="AE329" i="21"/>
  <c r="AE325" i="21"/>
  <c r="AE321" i="21"/>
  <c r="AE317" i="21"/>
  <c r="AE313" i="21"/>
  <c r="AE309" i="21"/>
  <c r="AE305" i="21"/>
  <c r="AE301" i="21"/>
  <c r="AE297" i="21"/>
  <c r="AE293" i="21"/>
  <c r="AE289" i="21"/>
  <c r="AE285" i="21"/>
  <c r="AE281" i="21"/>
  <c r="AE277" i="21"/>
  <c r="AE273" i="21"/>
  <c r="AE269" i="21"/>
  <c r="AE265" i="21"/>
  <c r="AE261" i="21"/>
  <c r="AE257" i="21"/>
  <c r="AE253" i="21"/>
  <c r="AE249" i="21"/>
  <c r="AE245" i="21"/>
  <c r="AE241" i="21"/>
  <c r="AE237" i="21"/>
  <c r="AE233" i="21"/>
  <c r="AE229" i="21"/>
  <c r="AE225" i="21"/>
  <c r="AE221" i="21"/>
  <c r="AE217" i="21"/>
  <c r="AE213" i="21"/>
  <c r="AE209" i="21"/>
  <c r="AE205" i="21"/>
  <c r="AE201" i="21"/>
  <c r="AE197" i="21"/>
  <c r="AE193" i="21"/>
  <c r="AE189" i="21"/>
  <c r="AE185" i="21"/>
  <c r="AE181" i="21"/>
  <c r="AE177" i="21"/>
  <c r="AE173" i="21"/>
  <c r="AE169" i="21"/>
  <c r="AE165" i="21"/>
  <c r="AE161" i="21"/>
  <c r="AE157" i="21"/>
  <c r="AE153" i="21"/>
  <c r="AE149" i="21"/>
  <c r="AE145" i="21"/>
  <c r="AE141" i="21"/>
  <c r="AE137" i="21"/>
  <c r="AE133" i="21"/>
  <c r="AE129" i="21"/>
  <c r="AE125" i="21"/>
  <c r="AE121" i="21"/>
  <c r="AE117" i="21"/>
  <c r="AE113" i="21"/>
  <c r="AE109" i="21"/>
  <c r="AE105" i="21"/>
  <c r="AE101" i="21"/>
  <c r="AE97" i="21"/>
  <c r="AE93" i="21"/>
  <c r="AE89" i="21"/>
  <c r="AE85" i="21"/>
  <c r="AE81" i="21"/>
  <c r="AE77" i="21"/>
  <c r="AE73" i="21"/>
  <c r="AE69" i="21"/>
  <c r="AE65" i="21"/>
  <c r="AE61" i="21"/>
  <c r="AE57" i="21"/>
  <c r="AE53" i="21"/>
  <c r="AE49" i="21"/>
  <c r="AE45" i="21"/>
  <c r="AE41" i="21"/>
  <c r="AE37" i="21"/>
  <c r="AE33" i="21"/>
  <c r="AE29" i="21"/>
  <c r="AE25" i="21"/>
  <c r="AE21" i="21"/>
  <c r="AE17" i="21"/>
  <c r="AE1202" i="21"/>
  <c r="AE1198" i="21"/>
  <c r="AE1194" i="21"/>
  <c r="AE1190" i="21"/>
  <c r="AE1186" i="21"/>
  <c r="AE1182" i="21"/>
  <c r="AE1178" i="21"/>
  <c r="AE1174" i="21"/>
  <c r="AE1170" i="21"/>
  <c r="AE1166" i="21"/>
  <c r="AE1162" i="21"/>
  <c r="AE1158" i="21"/>
  <c r="AE1154" i="21"/>
  <c r="AE1150" i="21"/>
  <c r="AE1146" i="21"/>
  <c r="AE1142" i="21"/>
  <c r="AE1138" i="21"/>
  <c r="AE1134" i="21"/>
  <c r="AE1130" i="21"/>
  <c r="AE1126" i="21"/>
  <c r="AE1122" i="21"/>
  <c r="AE1118" i="21"/>
  <c r="AE1114" i="21"/>
  <c r="AE1110" i="21"/>
  <c r="AE1106" i="21"/>
  <c r="AE1102" i="21"/>
  <c r="AE1098" i="21"/>
  <c r="AE1094" i="21"/>
  <c r="AE1090" i="21"/>
  <c r="AE1086" i="21"/>
  <c r="AE1082" i="21"/>
  <c r="AE1078" i="21"/>
  <c r="AE1074" i="21"/>
  <c r="AE1070" i="21"/>
  <c r="AE1066" i="21"/>
  <c r="AE1062" i="21"/>
  <c r="AE1058" i="21"/>
  <c r="AE1054" i="21"/>
  <c r="AE1050" i="21"/>
  <c r="AE1046" i="21"/>
  <c r="AE1042" i="21"/>
  <c r="AE1038" i="21"/>
  <c r="AE1034" i="21"/>
  <c r="AE1030" i="21"/>
  <c r="AE1026" i="21"/>
  <c r="AE1022" i="21"/>
  <c r="AE1018" i="21"/>
  <c r="AE1014" i="21"/>
  <c r="AE1010" i="21"/>
  <c r="AE1006" i="21"/>
  <c r="AE1002" i="21"/>
  <c r="AE998" i="21"/>
  <c r="AE994" i="21"/>
  <c r="AE990" i="21"/>
  <c r="AE986" i="21"/>
  <c r="AE982" i="21"/>
  <c r="AE978" i="21"/>
  <c r="AE974" i="21"/>
  <c r="AE970" i="21"/>
  <c r="AE966" i="21"/>
  <c r="AE962" i="21"/>
  <c r="AE958" i="21"/>
  <c r="AE954" i="21"/>
  <c r="AE950" i="21"/>
  <c r="AE946" i="21"/>
  <c r="AE942" i="21"/>
  <c r="AE938" i="21"/>
  <c r="AE934" i="21"/>
  <c r="AE930" i="21"/>
  <c r="AE926" i="21"/>
  <c r="AE922" i="21"/>
  <c r="AE918" i="21"/>
  <c r="AE914" i="21"/>
  <c r="AE910" i="21"/>
  <c r="AE906" i="21"/>
  <c r="AE902" i="21"/>
  <c r="AE898" i="21"/>
  <c r="AE894" i="21"/>
  <c r="AE890" i="21"/>
  <c r="AE886" i="21"/>
  <c r="AE882" i="21"/>
  <c r="AE878" i="21"/>
  <c r="AE874" i="21"/>
  <c r="AE870" i="21"/>
  <c r="AE866" i="21"/>
  <c r="AE862" i="21"/>
  <c r="AE858" i="21"/>
  <c r="AE854" i="21"/>
  <c r="AE850" i="21"/>
  <c r="AE846" i="21"/>
  <c r="AE842" i="21"/>
  <c r="AE838" i="21"/>
  <c r="AE834" i="21"/>
  <c r="AE830" i="21"/>
  <c r="AE826" i="21"/>
  <c r="AE822" i="21"/>
  <c r="AE818" i="21"/>
  <c r="AE814" i="21"/>
  <c r="AE810" i="21"/>
  <c r="AE806" i="21"/>
  <c r="AE802" i="21"/>
  <c r="AE798" i="21"/>
  <c r="AE794" i="21"/>
  <c r="AE790" i="21"/>
  <c r="AE786" i="21"/>
  <c r="AE782" i="21"/>
  <c r="AE778" i="21"/>
  <c r="AE774" i="21"/>
  <c r="AE770" i="21"/>
  <c r="AE766" i="21"/>
  <c r="AE762" i="21"/>
  <c r="AE758" i="21"/>
  <c r="AE754" i="21"/>
  <c r="AE750" i="21"/>
  <c r="AE746" i="21"/>
  <c r="AE742" i="21"/>
  <c r="AE738" i="21"/>
  <c r="AE734" i="21"/>
  <c r="AE730" i="21"/>
  <c r="AE726" i="21"/>
  <c r="AE722" i="21"/>
  <c r="AE718" i="21"/>
  <c r="AE714" i="21"/>
  <c r="AE710" i="21"/>
  <c r="AE706" i="21"/>
  <c r="AE702" i="21"/>
  <c r="AE698" i="21"/>
  <c r="AE694" i="21"/>
  <c r="AE690" i="21"/>
  <c r="AE686" i="21"/>
  <c r="AE682" i="21"/>
  <c r="AE678" i="21"/>
  <c r="AE674" i="21"/>
  <c r="AE670" i="21"/>
  <c r="AE666" i="21"/>
  <c r="AE662" i="21"/>
  <c r="AE658" i="21"/>
  <c r="AE654" i="21"/>
  <c r="AE650" i="21"/>
  <c r="AE646" i="21"/>
  <c r="AE642" i="21"/>
  <c r="AE638" i="21"/>
  <c r="AE634" i="21"/>
  <c r="AE630" i="21"/>
  <c r="AE626" i="21"/>
  <c r="AE622" i="21"/>
  <c r="AE618" i="21"/>
  <c r="AE614" i="21"/>
  <c r="AE610" i="21"/>
  <c r="AE606" i="21"/>
  <c r="AE602" i="21"/>
  <c r="AE598" i="21"/>
  <c r="AE594" i="21"/>
  <c r="AE590" i="21"/>
  <c r="AE586" i="21"/>
  <c r="AE582" i="21"/>
  <c r="AE578" i="21"/>
  <c r="AE574" i="21"/>
  <c r="AE570" i="21"/>
  <c r="AE566" i="21"/>
  <c r="AE562" i="21"/>
  <c r="AE558" i="21"/>
  <c r="AE554" i="21"/>
  <c r="AE550" i="21"/>
  <c r="AE546" i="21"/>
  <c r="AE542" i="21"/>
  <c r="AE538" i="21"/>
  <c r="AE534" i="21"/>
  <c r="AE530" i="21"/>
  <c r="AE526" i="21"/>
  <c r="AE522" i="21"/>
  <c r="AE518" i="21"/>
  <c r="AE514" i="21"/>
  <c r="AE510" i="21"/>
  <c r="AE506" i="21"/>
  <c r="AE502" i="21"/>
  <c r="AE498" i="21"/>
  <c r="AE494" i="21"/>
  <c r="AE490" i="21"/>
  <c r="AE486" i="21"/>
  <c r="AE482" i="21"/>
  <c r="AE478" i="21"/>
  <c r="AE474" i="21"/>
  <c r="AE470" i="21"/>
  <c r="AE466" i="21"/>
  <c r="AE462" i="21"/>
  <c r="AE458" i="21"/>
  <c r="AE454" i="21"/>
  <c r="AE450" i="21"/>
  <c r="AE446" i="21"/>
  <c r="AE442" i="21"/>
  <c r="AE438" i="21"/>
  <c r="AE434" i="21"/>
  <c r="AE430" i="21"/>
  <c r="AE426" i="21"/>
  <c r="AE422" i="21"/>
  <c r="AE418" i="21"/>
  <c r="AE414" i="21"/>
  <c r="AE410" i="21"/>
  <c r="AE406" i="21"/>
  <c r="AE402" i="21"/>
  <c r="AE398" i="21"/>
  <c r="AE394" i="21"/>
  <c r="AE390" i="21"/>
  <c r="AE386" i="21"/>
  <c r="AE382" i="21"/>
  <c r="AE378" i="21"/>
  <c r="AE374" i="21"/>
  <c r="AE370" i="21"/>
  <c r="AE366" i="21"/>
  <c r="AE362" i="21"/>
  <c r="AE358" i="21"/>
  <c r="AE354" i="21"/>
  <c r="AE350" i="21"/>
  <c r="AE346" i="21"/>
  <c r="AE342" i="21"/>
  <c r="AE338" i="21"/>
  <c r="AE334" i="21"/>
  <c r="AE330" i="21"/>
  <c r="AE326" i="21"/>
  <c r="AE322" i="21"/>
  <c r="AE318" i="21"/>
  <c r="AE314" i="21"/>
  <c r="AE310" i="21"/>
  <c r="AE306" i="21"/>
  <c r="AE302" i="21"/>
  <c r="AE298" i="21"/>
  <c r="AE294" i="21"/>
  <c r="AE290" i="21"/>
  <c r="AE286" i="21"/>
  <c r="AE282" i="21"/>
  <c r="AE278" i="21"/>
  <c r="AE274" i="21"/>
  <c r="AE270" i="21"/>
  <c r="AE266" i="21"/>
  <c r="AE262" i="21"/>
  <c r="AE258" i="21"/>
  <c r="AE254" i="21"/>
  <c r="AE250" i="21"/>
  <c r="AE246" i="21"/>
  <c r="AE242" i="21"/>
  <c r="AE238" i="21"/>
  <c r="AE234" i="21"/>
  <c r="AE230" i="21"/>
  <c r="AE226" i="21"/>
  <c r="AE222" i="21"/>
  <c r="AE218" i="21"/>
  <c r="AE214" i="21"/>
  <c r="AE210" i="21"/>
  <c r="AE206" i="21"/>
  <c r="AE202" i="21"/>
  <c r="AE198" i="21"/>
  <c r="AE194" i="21"/>
  <c r="AE190" i="21"/>
  <c r="AE186" i="21"/>
  <c r="AE182" i="21"/>
  <c r="AE178" i="21"/>
  <c r="AE174" i="21"/>
  <c r="AE170" i="21"/>
  <c r="AE166" i="21"/>
  <c r="AE162" i="21"/>
  <c r="AE158" i="21"/>
  <c r="AE154" i="21"/>
  <c r="AE150" i="21"/>
  <c r="AE146" i="21"/>
  <c r="AE142" i="21"/>
  <c r="AE138" i="21"/>
  <c r="AE134" i="21"/>
  <c r="AE130" i="21"/>
  <c r="AE126" i="21"/>
  <c r="AE122" i="21"/>
  <c r="AE118" i="21"/>
  <c r="AE114" i="21"/>
  <c r="AE110" i="21"/>
  <c r="AE106" i="21"/>
  <c r="AE102" i="21"/>
  <c r="AE98" i="21"/>
  <c r="AE94" i="21"/>
  <c r="AE90" i="21"/>
  <c r="AE86" i="21"/>
  <c r="AE82" i="21"/>
  <c r="AE78" i="21"/>
  <c r="AE74" i="21"/>
  <c r="AE70" i="21"/>
  <c r="AE66" i="21"/>
  <c r="AE62" i="21"/>
  <c r="AE58" i="21"/>
  <c r="AE54" i="21"/>
  <c r="AE50" i="21"/>
  <c r="AE46" i="21"/>
  <c r="AE42" i="21"/>
  <c r="AE38" i="21"/>
  <c r="AE34" i="21"/>
  <c r="AE30" i="21"/>
  <c r="AE26" i="21"/>
  <c r="AE22" i="21"/>
  <c r="AE18" i="21"/>
  <c r="AF722" i="16"/>
  <c r="AF702" i="16"/>
  <c r="AF690" i="16"/>
  <c r="AF682" i="16"/>
  <c r="AF678" i="16"/>
  <c r="AF662" i="16"/>
  <c r="AF654" i="16"/>
  <c r="AF642" i="16"/>
  <c r="AF634" i="16"/>
  <c r="AF630" i="16"/>
  <c r="AF618" i="16"/>
  <c r="AF598" i="16"/>
  <c r="AF594" i="16"/>
  <c r="AF590" i="16"/>
  <c r="AF578" i="16"/>
  <c r="AF574" i="16"/>
  <c r="AF566" i="16"/>
  <c r="AF562" i="16"/>
  <c r="AF558" i="16"/>
  <c r="AF554" i="16"/>
  <c r="AF550" i="16"/>
  <c r="AF546" i="16"/>
  <c r="AF538" i="16"/>
  <c r="AF530" i="16"/>
  <c r="AF526" i="16"/>
  <c r="AF522" i="16"/>
  <c r="AF518" i="16"/>
  <c r="AF514" i="16"/>
  <c r="AF510" i="16"/>
  <c r="AF506" i="16"/>
  <c r="AF502" i="16"/>
  <c r="AF498" i="16"/>
  <c r="AF494" i="16"/>
  <c r="AF490" i="16"/>
  <c r="AF482" i="16"/>
  <c r="AF478" i="16"/>
  <c r="AF474" i="16"/>
  <c r="AF470" i="16"/>
  <c r="AF466" i="16"/>
  <c r="AF462" i="16"/>
  <c r="AF458" i="16"/>
  <c r="AF454" i="16"/>
  <c r="AF450" i="16"/>
  <c r="AF446" i="16"/>
  <c r="AF442" i="16"/>
  <c r="AF438" i="16"/>
  <c r="AF430" i="16"/>
  <c r="AF426" i="16"/>
  <c r="AF422" i="16"/>
  <c r="AF418" i="16"/>
  <c r="AF406" i="16"/>
  <c r="AF402" i="16"/>
  <c r="AF390" i="16"/>
  <c r="AF386" i="16"/>
  <c r="AF382" i="16"/>
  <c r="AF378" i="16"/>
  <c r="AF374" i="16"/>
  <c r="AF370" i="16"/>
  <c r="AF366" i="16"/>
  <c r="AF362" i="16"/>
  <c r="AF358" i="16"/>
  <c r="AF354" i="16"/>
  <c r="AF350" i="16"/>
  <c r="AF346" i="16"/>
  <c r="AF338" i="16"/>
  <c r="AF334" i="16"/>
  <c r="AF322" i="16"/>
  <c r="AF310" i="16"/>
  <c r="AF306" i="16"/>
  <c r="AF302" i="16"/>
  <c r="AF294" i="16"/>
  <c r="AF290" i="16"/>
  <c r="AF286" i="16"/>
  <c r="AF282" i="16"/>
  <c r="AF278" i="16"/>
  <c r="AF274" i="16"/>
  <c r="AF270" i="16"/>
  <c r="AF262" i="16"/>
  <c r="AF258" i="16"/>
  <c r="AF254" i="16"/>
  <c r="AF246" i="16"/>
  <c r="AF242" i="16"/>
  <c r="AF238" i="16"/>
  <c r="AF234" i="16"/>
  <c r="AF230" i="16"/>
  <c r="AF226" i="16"/>
  <c r="AF222" i="16"/>
  <c r="AF218" i="16"/>
  <c r="AF214" i="16"/>
  <c r="AF210" i="16"/>
  <c r="AF202" i="16"/>
  <c r="AF194" i="16"/>
  <c r="AF186" i="16"/>
  <c r="AF178" i="16"/>
  <c r="AF166" i="16"/>
  <c r="AF162" i="16"/>
  <c r="AF154" i="16"/>
  <c r="AF150" i="16"/>
  <c r="AF138" i="16"/>
  <c r="AF134" i="16"/>
  <c r="AF130" i="16"/>
  <c r="AF122" i="16"/>
  <c r="AF118" i="16"/>
  <c r="AF114" i="16"/>
  <c r="AF110" i="16"/>
  <c r="AF106" i="16"/>
  <c r="AF102" i="16"/>
  <c r="AF98" i="16"/>
  <c r="AF90" i="16"/>
  <c r="AF86" i="16"/>
  <c r="AF74" i="16"/>
  <c r="AF70" i="16"/>
  <c r="AF66" i="16"/>
  <c r="AF62" i="16"/>
  <c r="AF58" i="16"/>
  <c r="AF54" i="16"/>
  <c r="AF46" i="16"/>
  <c r="AF42" i="16"/>
  <c r="AF38" i="16"/>
  <c r="AF30" i="16"/>
  <c r="AF26" i="16"/>
  <c r="AF22" i="16"/>
  <c r="AF18" i="16"/>
  <c r="AF14" i="16"/>
  <c r="AF6" i="16"/>
  <c r="AF717" i="16"/>
  <c r="AF705" i="16"/>
  <c r="AF693" i="16"/>
  <c r="AF685" i="16"/>
  <c r="AF677" i="16"/>
  <c r="AF669" i="16"/>
  <c r="AF649" i="16"/>
  <c r="AF645" i="16"/>
  <c r="AF641" i="16"/>
  <c r="AF637" i="16"/>
  <c r="AF633" i="16"/>
  <c r="AF625" i="16"/>
  <c r="AF621" i="16"/>
  <c r="AF597" i="16"/>
  <c r="AF593" i="16"/>
  <c r="AF589" i="16"/>
  <c r="AF585" i="16"/>
  <c r="AF581" i="16"/>
  <c r="AF577" i="16"/>
  <c r="AF573" i="16"/>
  <c r="AF565" i="16"/>
  <c r="AF553" i="16"/>
  <c r="AF549" i="16"/>
  <c r="AF533" i="16"/>
  <c r="AF529" i="16"/>
  <c r="AF521" i="16"/>
  <c r="AF517" i="16"/>
  <c r="AF505" i="16"/>
  <c r="AF501" i="16"/>
  <c r="AF497" i="16"/>
  <c r="AF493" i="16"/>
  <c r="AF473" i="16"/>
  <c r="AF469" i="16"/>
  <c r="AF465" i="16"/>
  <c r="AF461" i="16"/>
  <c r="AF449" i="16"/>
  <c r="AF445" i="16"/>
  <c r="AF437" i="16"/>
  <c r="AF433" i="16"/>
  <c r="AF429" i="16"/>
  <c r="AF425" i="16"/>
  <c r="AF421" i="16"/>
  <c r="AF417" i="16"/>
  <c r="AF409" i="16"/>
  <c r="AF405" i="16"/>
  <c r="AF401" i="16"/>
  <c r="AF389" i="16"/>
  <c r="AF385" i="16"/>
  <c r="AF381" i="16"/>
  <c r="AF377" i="16"/>
  <c r="AF373" i="16"/>
  <c r="AF369" i="16"/>
  <c r="AF365" i="16"/>
  <c r="AF361" i="16"/>
  <c r="AF353" i="16"/>
  <c r="AF349" i="16"/>
  <c r="AF345" i="16"/>
  <c r="AF341" i="16"/>
  <c r="AF337" i="16"/>
  <c r="AF333" i="16"/>
  <c r="AF321" i="16"/>
  <c r="AF317" i="16"/>
  <c r="AF313" i="16"/>
  <c r="AF309" i="16"/>
  <c r="AF305" i="16"/>
  <c r="AF297" i="16"/>
  <c r="AF293" i="16"/>
  <c r="AF281" i="16"/>
  <c r="AF277" i="16"/>
  <c r="AF273" i="16"/>
  <c r="AF269" i="16"/>
  <c r="AF261" i="16"/>
  <c r="AF257" i="16"/>
  <c r="AF253" i="16"/>
  <c r="AF245" i="16"/>
  <c r="AF241" i="16"/>
  <c r="AF237" i="16"/>
  <c r="AF233" i="16"/>
  <c r="AF229" i="16"/>
  <c r="AF225" i="16"/>
  <c r="AF221" i="16"/>
  <c r="AF217" i="16"/>
  <c r="AF213" i="16"/>
  <c r="AF209" i="16"/>
  <c r="AF205" i="16"/>
  <c r="AF197" i="16"/>
  <c r="AF193" i="16"/>
  <c r="AF189" i="16"/>
  <c r="AF185" i="16"/>
  <c r="AF181" i="16"/>
  <c r="AF177" i="16"/>
  <c r="AF173" i="16"/>
  <c r="AF169" i="16"/>
  <c r="AF165" i="16"/>
  <c r="AF161" i="16"/>
  <c r="AF153" i="16"/>
  <c r="AF149" i="16"/>
  <c r="AF145" i="16"/>
  <c r="AF137" i="16"/>
  <c r="AF133" i="16"/>
  <c r="AF129" i="16"/>
  <c r="AF125" i="16"/>
  <c r="AF121" i="16"/>
  <c r="AF117" i="16"/>
  <c r="AF113" i="16"/>
  <c r="AF109" i="16"/>
  <c r="AF105" i="16"/>
  <c r="AF101" i="16"/>
  <c r="AF97" i="16"/>
  <c r="AF93" i="16"/>
  <c r="AF89" i="16"/>
  <c r="AF81" i="16"/>
  <c r="AF77" i="16"/>
  <c r="AF73" i="16"/>
  <c r="AF69" i="16"/>
  <c r="AF65" i="16"/>
  <c r="AF61" i="16"/>
  <c r="AF57" i="16"/>
  <c r="AF53" i="16"/>
  <c r="AF49" i="16"/>
  <c r="AF45" i="16"/>
  <c r="AF41" i="16"/>
  <c r="AF37" i="16"/>
  <c r="AF33" i="16"/>
  <c r="AF29" i="16"/>
  <c r="AF17" i="16"/>
  <c r="AF13" i="16"/>
  <c r="AE77" i="6"/>
  <c r="AE29" i="6"/>
  <c r="AE79" i="6"/>
  <c r="AE23" i="6"/>
  <c r="AE51" i="6"/>
  <c r="AE103" i="6"/>
  <c r="AE73" i="6"/>
  <c r="AE41" i="6"/>
  <c r="AE108" i="6"/>
  <c r="AE59" i="6"/>
  <c r="AE34" i="6"/>
  <c r="AE6" i="6"/>
  <c r="AE32" i="6"/>
  <c r="AE46" i="6"/>
  <c r="AE130" i="6"/>
  <c r="AE38" i="6"/>
  <c r="AE45" i="6"/>
  <c r="AE85" i="6"/>
  <c r="AE15" i="6"/>
  <c r="AE91" i="6"/>
  <c r="AE9" i="6"/>
  <c r="AE37" i="6"/>
  <c r="AE21" i="6"/>
  <c r="AE87" i="6"/>
  <c r="AE83" i="6"/>
  <c r="AE43" i="6"/>
  <c r="AE33" i="6"/>
  <c r="AE71" i="6"/>
  <c r="AE76" i="6"/>
  <c r="AE30" i="6"/>
  <c r="AE24" i="6"/>
  <c r="AE78" i="6"/>
  <c r="AE82" i="6"/>
  <c r="AE57" i="6"/>
  <c r="AE86" i="6"/>
  <c r="AE36" i="6"/>
  <c r="AE58" i="6"/>
  <c r="AE80" i="6"/>
  <c r="AE120" i="3"/>
  <c r="AE116" i="3"/>
  <c r="AE112" i="3"/>
  <c r="AE108" i="3"/>
  <c r="AE104" i="3"/>
  <c r="AE100" i="3"/>
  <c r="AE96" i="3"/>
  <c r="AE92" i="3"/>
  <c r="AE88" i="3"/>
  <c r="AE84" i="3"/>
  <c r="AE80" i="3"/>
  <c r="AE76" i="3"/>
  <c r="AE68" i="3"/>
  <c r="AE64" i="3"/>
  <c r="AE60" i="3"/>
  <c r="AE56" i="3"/>
  <c r="AE52" i="3"/>
  <c r="AE48" i="3"/>
  <c r="AE44" i="3"/>
  <c r="AE39" i="3"/>
  <c r="AE35" i="3"/>
  <c r="AE117" i="3"/>
  <c r="AE109" i="3"/>
  <c r="AE101" i="3"/>
  <c r="AE93" i="3"/>
  <c r="AE89" i="3"/>
  <c r="AE85" i="3"/>
  <c r="AE77" i="3"/>
  <c r="AE61" i="3"/>
  <c r="AE53" i="3"/>
  <c r="AE45" i="3"/>
  <c r="AE40" i="3"/>
  <c r="AE36" i="3"/>
  <c r="AE239" i="4"/>
  <c r="AE118" i="4"/>
  <c r="AE132" i="4"/>
  <c r="AE248" i="4"/>
  <c r="AE282" i="4"/>
  <c r="AE325" i="4"/>
  <c r="AE231" i="4"/>
  <c r="AE358" i="4"/>
  <c r="AE68" i="4"/>
  <c r="AE12" i="4"/>
  <c r="AE350" i="4"/>
  <c r="AE337" i="4"/>
  <c r="AE381" i="4"/>
  <c r="AE11" i="4"/>
  <c r="AE220" i="4"/>
  <c r="AE368" i="4"/>
  <c r="AE290" i="4"/>
  <c r="AE6" i="4"/>
  <c r="AE215" i="4"/>
  <c r="AE214" i="4"/>
  <c r="AE53" i="4"/>
  <c r="AE367" i="4"/>
  <c r="AE212" i="4"/>
  <c r="AE40" i="4"/>
  <c r="AE343" i="4"/>
  <c r="AE187" i="4"/>
  <c r="AE109" i="4"/>
  <c r="AE198" i="4"/>
  <c r="AE87" i="4"/>
  <c r="AE67" i="4"/>
  <c r="AE184" i="4"/>
  <c r="AE376" i="4"/>
  <c r="AE65" i="4"/>
  <c r="AE167" i="4"/>
  <c r="AE173" i="4"/>
  <c r="AE171" i="4"/>
  <c r="AE345" i="4"/>
  <c r="AE166" i="4"/>
  <c r="AE261" i="4"/>
  <c r="AE365" i="4"/>
  <c r="AE169" i="4"/>
  <c r="AE332" i="4"/>
  <c r="AE359" i="4"/>
  <c r="AE35" i="4"/>
  <c r="AE295" i="4"/>
  <c r="AE10" i="4"/>
  <c r="AE323" i="4"/>
  <c r="AE38" i="4"/>
  <c r="AE48" i="4"/>
  <c r="AE17" i="4"/>
  <c r="AE296" i="4"/>
  <c r="AE99" i="4"/>
  <c r="AE237" i="4"/>
  <c r="AE247" i="4"/>
  <c r="AE242" i="4"/>
  <c r="AE263" i="4"/>
  <c r="AE301" i="4"/>
  <c r="AE100" i="4"/>
  <c r="AE78" i="4"/>
  <c r="AE271" i="4"/>
  <c r="AE114" i="4"/>
  <c r="AE84" i="4"/>
  <c r="AE88" i="4"/>
  <c r="AE319" i="4"/>
  <c r="AE312" i="4"/>
  <c r="AE47" i="4"/>
  <c r="AE33" i="4"/>
  <c r="AE357" i="4"/>
  <c r="AE43" i="4"/>
  <c r="AE37" i="4"/>
  <c r="AE362" i="4"/>
  <c r="AE41" i="4"/>
  <c r="AE314" i="4"/>
  <c r="AE327" i="4"/>
  <c r="AE20" i="4"/>
  <c r="AE307" i="4"/>
  <c r="AE340" i="4"/>
  <c r="AE75" i="4"/>
  <c r="AE344" i="4"/>
  <c r="AE275" i="4"/>
  <c r="AE326" i="4"/>
  <c r="AE102" i="4"/>
  <c r="AE16" i="4"/>
  <c r="AE293" i="4"/>
  <c r="AE268" i="4"/>
  <c r="AE80" i="4"/>
  <c r="AE34" i="4"/>
  <c r="AE96" i="4"/>
  <c r="AE289" i="4"/>
  <c r="AE355" i="4"/>
  <c r="AE281" i="4"/>
  <c r="AE360" i="4"/>
  <c r="AE254" i="4"/>
  <c r="AE93" i="4"/>
  <c r="AE45" i="4"/>
  <c r="AE276" i="4"/>
  <c r="AE370" i="4"/>
  <c r="AE190" i="4"/>
  <c r="AE107" i="4"/>
  <c r="AE252" i="4"/>
  <c r="AE57" i="4"/>
  <c r="AE182" i="4"/>
  <c r="AE339" i="4"/>
  <c r="AE175" i="4"/>
  <c r="AE279" i="4"/>
  <c r="AE317" i="4"/>
  <c r="AE356" i="4"/>
  <c r="AE52" i="4"/>
  <c r="AE7" i="4"/>
  <c r="AE311" i="4"/>
  <c r="AE32" i="4"/>
  <c r="AE342" i="4"/>
  <c r="AE22" i="4"/>
  <c r="AE19" i="4"/>
  <c r="AE30" i="4"/>
  <c r="AE341" i="4"/>
  <c r="AE372" i="4"/>
  <c r="AE240" i="4"/>
  <c r="AE26" i="4"/>
  <c r="AE272" i="4"/>
  <c r="AE31" i="4"/>
  <c r="AG1416" i="29"/>
  <c r="AG1412" i="29"/>
  <c r="AG1408" i="29"/>
  <c r="AG1404" i="29"/>
  <c r="AG1400" i="29"/>
  <c r="AG1396" i="29"/>
  <c r="AG1392" i="29"/>
  <c r="AG1388" i="29"/>
  <c r="AG1384" i="29"/>
  <c r="AG1380" i="29"/>
  <c r="AG1376" i="29"/>
  <c r="AG1372" i="29"/>
  <c r="AG1368" i="29"/>
  <c r="AG1364" i="29"/>
  <c r="AG1360" i="29"/>
  <c r="AG1356" i="29"/>
  <c r="AG1352" i="29"/>
  <c r="AG1348" i="29"/>
  <c r="AG1344" i="29"/>
  <c r="AG1340" i="29"/>
  <c r="AG1336" i="29"/>
  <c r="AG1328" i="29"/>
  <c r="AG1316" i="29"/>
  <c r="AG1308" i="29"/>
  <c r="AG1304" i="29"/>
  <c r="AG1300" i="29"/>
  <c r="AG1296" i="29"/>
  <c r="AG1288" i="29"/>
  <c r="AG1284" i="29"/>
  <c r="AG1276" i="29"/>
  <c r="AG1260" i="29"/>
  <c r="AG1256" i="29"/>
  <c r="AG1248" i="29"/>
  <c r="AG1220" i="29"/>
  <c r="AG1208" i="29"/>
  <c r="AG1192" i="29"/>
  <c r="AG1188" i="29"/>
  <c r="AG1180" i="29"/>
  <c r="AG1176" i="29"/>
  <c r="AG1172" i="29"/>
  <c r="AG1168" i="29"/>
  <c r="AG1164" i="29"/>
  <c r="AG1160" i="29"/>
  <c r="AG1156" i="29"/>
  <c r="AG1152" i="29"/>
  <c r="AG1148" i="29"/>
  <c r="AG1144" i="29"/>
  <c r="AG1140" i="29"/>
  <c r="AG1136" i="29"/>
  <c r="AG1132" i="29"/>
  <c r="AG1128" i="29"/>
  <c r="AG1124" i="29"/>
  <c r="AG1120" i="29"/>
  <c r="AG1112" i="29"/>
  <c r="AG1104" i="29"/>
  <c r="AG1096" i="29"/>
  <c r="AG1072" i="29"/>
  <c r="AG1068" i="29"/>
  <c r="AG1060" i="29"/>
  <c r="AG1052" i="29"/>
  <c r="AG1048" i="29"/>
  <c r="AG1040" i="29"/>
  <c r="AG1028" i="29"/>
  <c r="AG1008" i="29"/>
  <c r="AG988" i="29"/>
  <c r="AG968" i="29"/>
  <c r="AG956" i="29"/>
  <c r="AG948" i="29"/>
  <c r="AG944" i="29"/>
  <c r="AG908" i="29"/>
  <c r="AG904" i="29"/>
  <c r="AG888" i="29"/>
  <c r="AG860" i="29"/>
  <c r="AG856" i="29"/>
  <c r="AG844" i="29"/>
  <c r="AG836" i="29"/>
  <c r="AG828" i="29"/>
  <c r="AG820" i="29"/>
  <c r="AG816" i="29"/>
  <c r="AG812" i="29"/>
  <c r="AG808" i="29"/>
  <c r="AG804" i="29"/>
  <c r="AG800" i="29"/>
  <c r="AG796" i="29"/>
  <c r="AG792" i="29"/>
  <c r="AG788" i="29"/>
  <c r="AG784" i="29"/>
  <c r="AG780" i="29"/>
  <c r="AG776" i="29"/>
  <c r="AG772" i="29"/>
  <c r="AG768" i="29"/>
  <c r="AG764" i="29"/>
  <c r="AG760" i="29"/>
  <c r="AG756" i="29"/>
  <c r="AG752" i="29"/>
  <c r="AG748" i="29"/>
  <c r="AG744" i="29"/>
  <c r="AG740" i="29"/>
  <c r="AG736" i="29"/>
  <c r="AG732" i="29"/>
  <c r="AG728" i="29"/>
  <c r="AG724" i="29"/>
  <c r="AG720" i="29"/>
  <c r="AG716" i="29"/>
  <c r="AG712" i="29"/>
  <c r="AG708" i="29"/>
  <c r="AG704" i="29"/>
  <c r="AG700" i="29"/>
  <c r="AG696" i="29"/>
  <c r="AG692" i="29"/>
  <c r="AG688" i="29"/>
  <c r="AG684" i="29"/>
  <c r="AG680" i="29"/>
  <c r="AG676" i="29"/>
  <c r="AG672" i="29"/>
  <c r="AG668" i="29"/>
  <c r="AG664" i="29"/>
  <c r="AG660" i="29"/>
  <c r="AG656" i="29"/>
  <c r="AG652" i="29"/>
  <c r="AG648" i="29"/>
  <c r="AG644" i="29"/>
  <c r="AG640" i="29"/>
  <c r="AG636" i="29"/>
  <c r="AG632" i="29"/>
  <c r="AG628" i="29"/>
  <c r="AG624" i="29"/>
  <c r="AG620" i="29"/>
  <c r="AG616" i="29"/>
  <c r="AG612" i="29"/>
  <c r="AG608" i="29"/>
  <c r="AG604" i="29"/>
  <c r="AG596" i="29"/>
  <c r="AG588" i="29"/>
  <c r="AG1415" i="29"/>
  <c r="AG1411" i="29"/>
  <c r="AG1407" i="29"/>
  <c r="AG1403" i="29"/>
  <c r="AG1399" i="29"/>
  <c r="AG1395" i="29"/>
  <c r="AG1391" i="29"/>
  <c r="AG1387" i="29"/>
  <c r="AG1383" i="29"/>
  <c r="AG1379" i="29"/>
  <c r="AG1375" i="29"/>
  <c r="AG1371" i="29"/>
  <c r="AG1367" i="29"/>
  <c r="AG1363" i="29"/>
  <c r="AG1359" i="29"/>
  <c r="AG1355" i="29"/>
  <c r="AG1351" i="29"/>
  <c r="AG1347" i="29"/>
  <c r="AG1343" i="29"/>
  <c r="AG1339" i="29"/>
  <c r="AG1335" i="29"/>
  <c r="AG1331" i="29"/>
  <c r="AG1327" i="29"/>
  <c r="AG1323" i="29"/>
  <c r="AG1319" i="29"/>
  <c r="AG1315" i="29"/>
  <c r="AG1311" i="29"/>
  <c r="AG1307" i="29"/>
  <c r="AG1303" i="29"/>
  <c r="AG1299" i="29"/>
  <c r="AG1295" i="29"/>
  <c r="AG1291" i="29"/>
  <c r="AG1287" i="29"/>
  <c r="AG1283" i="29"/>
  <c r="AG1279" i="29"/>
  <c r="AG1275" i="29"/>
  <c r="AG1271" i="29"/>
  <c r="AG1267" i="29"/>
  <c r="AG1263" i="29"/>
  <c r="AG1259" i="29"/>
  <c r="AG1255" i="29"/>
  <c r="AG1251" i="29"/>
  <c r="AG1247" i="29"/>
  <c r="AG1243" i="29"/>
  <c r="AG1239" i="29"/>
  <c r="AG1235" i="29"/>
  <c r="AG1231" i="29"/>
  <c r="AG1227" i="29"/>
  <c r="AG1223" i="29"/>
  <c r="AG1219" i="29"/>
  <c r="AG1215" i="29"/>
  <c r="AG1211" i="29"/>
  <c r="AG1207" i="29"/>
  <c r="AG1203" i="29"/>
  <c r="AG1199" i="29"/>
  <c r="AG1195" i="29"/>
  <c r="AG1191" i="29"/>
  <c r="AG1187" i="29"/>
  <c r="AG1183" i="29"/>
  <c r="AG1179" i="29"/>
  <c r="AG1175" i="29"/>
  <c r="AG1171" i="29"/>
  <c r="AG1167" i="29"/>
  <c r="AG1163" i="29"/>
  <c r="AG1159" i="29"/>
  <c r="AG1155" i="29"/>
  <c r="AG1151" i="29"/>
  <c r="AG1147" i="29"/>
  <c r="AG1143" i="29"/>
  <c r="AG1139" i="29"/>
  <c r="AG1135" i="29"/>
  <c r="AG1131" i="29"/>
  <c r="AG1127" i="29"/>
  <c r="AG1123" i="29"/>
  <c r="AG1119" i="29"/>
  <c r="AG1115" i="29"/>
  <c r="AG1111" i="29"/>
  <c r="AG1107" i="29"/>
  <c r="AG1103" i="29"/>
  <c r="AG1099" i="29"/>
  <c r="AG1095" i="29"/>
  <c r="AG1091" i="29"/>
  <c r="AG1087" i="29"/>
  <c r="AG1083" i="29"/>
  <c r="AG1079" i="29"/>
  <c r="AG1075" i="29"/>
  <c r="AG1071" i="29"/>
  <c r="AG1067" i="29"/>
  <c r="AG1063" i="29"/>
  <c r="AG1059" i="29"/>
  <c r="AG1055" i="29"/>
  <c r="AG1051" i="29"/>
  <c r="AG1047" i="29"/>
  <c r="AG1043" i="29"/>
  <c r="AG1039" i="29"/>
  <c r="AG1035" i="29"/>
  <c r="AG1031" i="29"/>
  <c r="AG1027" i="29"/>
  <c r="AG1023" i="29"/>
  <c r="AG1019" i="29"/>
  <c r="AG1015" i="29"/>
  <c r="AG1011" i="29"/>
  <c r="AG1007" i="29"/>
  <c r="AG1003" i="29"/>
  <c r="AG999" i="29"/>
  <c r="AG995" i="29"/>
  <c r="AG991" i="29"/>
  <c r="AG987" i="29"/>
  <c r="AG983" i="29"/>
  <c r="AG979" i="29"/>
  <c r="AG975" i="29"/>
  <c r="AG971" i="29"/>
  <c r="AG967" i="29"/>
  <c r="AG963" i="29"/>
  <c r="AG959" i="29"/>
  <c r="AG955" i="29"/>
  <c r="AG951" i="29"/>
  <c r="AG947" i="29"/>
  <c r="AG943" i="29"/>
  <c r="AG939" i="29"/>
  <c r="AG935" i="29"/>
  <c r="AG931" i="29"/>
  <c r="AG927" i="29"/>
  <c r="AG923" i="29"/>
  <c r="AG919" i="29"/>
  <c r="AG915" i="29"/>
  <c r="AG911" i="29"/>
  <c r="AG907" i="29"/>
  <c r="AG903" i="29"/>
  <c r="AG899" i="29"/>
  <c r="AG895" i="29"/>
  <c r="AG891" i="29"/>
  <c r="AG887" i="29"/>
  <c r="AG883" i="29"/>
  <c r="AG879" i="29"/>
  <c r="AG875" i="29"/>
  <c r="AG871" i="29"/>
  <c r="AG867" i="29"/>
  <c r="AG863" i="29"/>
  <c r="AG859" i="29"/>
  <c r="AG855" i="29"/>
  <c r="AG851" i="29"/>
  <c r="AG847" i="29"/>
  <c r="AG843" i="29"/>
  <c r="AG839" i="29"/>
  <c r="AG835" i="29"/>
  <c r="AG831" i="29"/>
  <c r="AG827" i="29"/>
  <c r="AG823" i="29"/>
  <c r="AG819" i="29"/>
  <c r="AG815" i="29"/>
  <c r="AG811" i="29"/>
  <c r="AG807" i="29"/>
  <c r="AG803" i="29"/>
  <c r="AG799" i="29"/>
  <c r="AG795" i="29"/>
  <c r="AG791" i="29"/>
  <c r="AG787" i="29"/>
  <c r="AG783" i="29"/>
  <c r="AG779" i="29"/>
  <c r="AG775" i="29"/>
  <c r="AG771" i="29"/>
  <c r="AG767" i="29"/>
  <c r="AG763" i="29"/>
  <c r="AG759" i="29"/>
  <c r="AG755" i="29"/>
  <c r="AG751" i="29"/>
  <c r="AG747" i="29"/>
  <c r="AG743" i="29"/>
  <c r="AG739" i="29"/>
  <c r="AG735" i="29"/>
  <c r="AG731" i="29"/>
  <c r="AG727" i="29"/>
  <c r="AG723" i="29"/>
  <c r="AG719" i="29"/>
  <c r="AG715" i="29"/>
  <c r="AG711" i="29"/>
  <c r="AG707" i="29"/>
  <c r="AG703" i="29"/>
  <c r="AG699" i="29"/>
  <c r="AG695" i="29"/>
  <c r="AG691" i="29"/>
  <c r="AG687" i="29"/>
  <c r="AG683" i="29"/>
  <c r="AG679" i="29"/>
  <c r="AG675" i="29"/>
  <c r="AG671" i="29"/>
  <c r="AG667" i="29"/>
  <c r="AG663" i="29"/>
  <c r="AG659" i="29"/>
  <c r="AG655" i="29"/>
  <c r="AG651" i="29"/>
  <c r="AG647" i="29"/>
  <c r="AG643" i="29"/>
  <c r="AG639" i="29"/>
  <c r="AG635" i="29"/>
  <c r="AG631" i="29"/>
  <c r="AG627" i="29"/>
  <c r="AG623" i="29"/>
  <c r="AG619" i="29"/>
  <c r="AG615" i="29"/>
  <c r="AG611" i="29"/>
  <c r="AG607" i="29"/>
  <c r="AG602" i="29"/>
  <c r="AG594" i="29"/>
  <c r="AG586" i="29"/>
  <c r="AG601" i="29"/>
  <c r="AG597" i="29"/>
  <c r="AG593" i="29"/>
  <c r="AG589" i="29"/>
  <c r="AG585" i="29"/>
  <c r="AG581" i="29"/>
  <c r="AG577" i="29"/>
  <c r="AG573" i="29"/>
  <c r="AG569" i="29"/>
  <c r="AG565" i="29"/>
  <c r="AG561" i="29"/>
  <c r="AG557" i="29"/>
  <c r="AG553" i="29"/>
  <c r="AG549" i="29"/>
  <c r="AG545" i="29"/>
  <c r="AG541" i="29"/>
  <c r="AG537" i="29"/>
  <c r="AG533" i="29"/>
  <c r="AG529" i="29"/>
  <c r="AG525" i="29"/>
  <c r="AG521" i="29"/>
  <c r="AG517" i="29"/>
  <c r="AG513" i="29"/>
  <c r="AG509" i="29"/>
  <c r="AG505" i="29"/>
  <c r="AG501" i="29"/>
  <c r="AG497" i="29"/>
  <c r="AG493" i="29"/>
  <c r="AG489" i="29"/>
  <c r="AG485" i="29"/>
  <c r="AG481" i="29"/>
  <c r="AG477" i="29"/>
  <c r="AG473" i="29"/>
  <c r="AG469" i="29"/>
  <c r="AG465" i="29"/>
  <c r="AG461" i="29"/>
  <c r="AG457" i="29"/>
  <c r="AG453" i="29"/>
  <c r="AG449" i="29"/>
  <c r="AG445" i="29"/>
  <c r="AG441" i="29"/>
  <c r="AG437" i="29"/>
  <c r="AG433" i="29"/>
  <c r="AG429" i="29"/>
  <c r="AG425" i="29"/>
  <c r="AG421" i="29"/>
  <c r="AG417" i="29"/>
  <c r="AG413" i="29"/>
  <c r="AG409" i="29"/>
  <c r="AG405" i="29"/>
  <c r="AG401" i="29"/>
  <c r="AG397" i="29"/>
  <c r="AG393" i="29"/>
  <c r="AG389" i="29"/>
  <c r="AG385" i="29"/>
  <c r="AG381" i="29"/>
  <c r="AG377" i="29"/>
  <c r="AG373" i="29"/>
  <c r="AG369" i="29"/>
  <c r="AG365" i="29"/>
  <c r="AG361" i="29"/>
  <c r="AG357" i="29"/>
  <c r="AG353" i="29"/>
  <c r="AG349" i="29"/>
  <c r="AG345" i="29"/>
  <c r="AG341" i="29"/>
  <c r="AG337" i="29"/>
  <c r="AG333" i="29"/>
  <c r="AG329" i="29"/>
  <c r="AG325" i="29"/>
  <c r="AG321" i="29"/>
  <c r="AG317" i="29"/>
  <c r="AG313" i="29"/>
  <c r="AG309" i="29"/>
  <c r="AG305" i="29"/>
  <c r="AG301" i="29"/>
  <c r="AG297" i="29"/>
  <c r="AG293" i="29"/>
  <c r="AG289" i="29"/>
  <c r="AG285" i="29"/>
  <c r="AG281" i="29"/>
  <c r="AG277" i="29"/>
  <c r="AG273" i="29"/>
  <c r="AG269" i="29"/>
  <c r="AG265" i="29"/>
  <c r="AG261" i="29"/>
  <c r="AG257" i="29"/>
  <c r="AG253" i="29"/>
  <c r="AG249" i="29"/>
  <c r="AG245" i="29"/>
  <c r="AG241" i="29"/>
  <c r="AG237" i="29"/>
  <c r="AG233" i="29"/>
  <c r="AG229" i="29"/>
  <c r="AG225" i="29"/>
  <c r="AG221" i="29"/>
  <c r="AG217" i="29"/>
  <c r="AG213" i="29"/>
  <c r="AG209" i="29"/>
  <c r="AG205" i="29"/>
  <c r="AG201" i="29"/>
  <c r="AG197" i="29"/>
  <c r="AG193" i="29"/>
  <c r="AG189" i="29"/>
  <c r="AG185" i="29"/>
  <c r="AG181" i="29"/>
  <c r="AG177" i="29"/>
  <c r="AG173" i="29"/>
  <c r="AG169" i="29"/>
  <c r="AG165" i="29"/>
  <c r="AG161" i="29"/>
  <c r="AG157" i="29"/>
  <c r="AG153" i="29"/>
  <c r="AG149" i="29"/>
  <c r="AG145" i="29"/>
  <c r="AG141" i="29"/>
  <c r="AG137" i="29"/>
  <c r="AG133" i="29"/>
  <c r="AG129" i="29"/>
  <c r="AG125" i="29"/>
  <c r="AG121" i="29"/>
  <c r="AG117" i="29"/>
  <c r="AG113" i="29"/>
  <c r="AG109" i="29"/>
  <c r="AG105" i="29"/>
  <c r="AG101" i="29"/>
  <c r="AG97" i="29"/>
  <c r="AG93" i="29"/>
  <c r="AG89" i="29"/>
  <c r="AG85" i="29"/>
  <c r="AG81" i="29"/>
  <c r="AG77" i="29"/>
  <c r="AG73" i="29"/>
  <c r="AG69" i="29"/>
  <c r="AG65" i="29"/>
  <c r="AG61" i="29"/>
  <c r="AG57" i="29"/>
  <c r="AG53" i="29"/>
  <c r="AG49" i="29"/>
  <c r="AG45" i="29"/>
  <c r="AG41" i="29"/>
  <c r="AG37" i="29"/>
  <c r="AG33" i="29"/>
  <c r="AG29" i="29"/>
  <c r="AG25" i="29"/>
  <c r="AG21" i="29"/>
  <c r="AG17" i="29"/>
  <c r="AG13" i="29"/>
  <c r="AG9" i="29"/>
  <c r="AG582" i="29"/>
  <c r="AG578" i="29"/>
  <c r="AG574" i="29"/>
  <c r="AG570" i="29"/>
  <c r="AG566" i="29"/>
  <c r="AG562" i="29"/>
  <c r="AG558" i="29"/>
  <c r="AG554" i="29"/>
  <c r="AG550" i="29"/>
  <c r="AG546" i="29"/>
  <c r="AG542" i="29"/>
  <c r="AG538" i="29"/>
  <c r="AG534" i="29"/>
  <c r="AG530" i="29"/>
  <c r="AG526" i="29"/>
  <c r="AG522" i="29"/>
  <c r="AG518" i="29"/>
  <c r="AG514" i="29"/>
  <c r="AG510" i="29"/>
  <c r="AG506" i="29"/>
  <c r="AG502" i="29"/>
  <c r="AG498" i="29"/>
  <c r="AG494" i="29"/>
  <c r="AG490" i="29"/>
  <c r="AG486" i="29"/>
  <c r="AG482" i="29"/>
  <c r="AG478" i="29"/>
  <c r="AG474" i="29"/>
  <c r="AG470" i="29"/>
  <c r="AG466" i="29"/>
  <c r="AG462" i="29"/>
  <c r="AG458" i="29"/>
  <c r="AG454" i="29"/>
  <c r="AG450" i="29"/>
  <c r="AG446" i="29"/>
  <c r="AG442" i="29"/>
  <c r="AG438" i="29"/>
  <c r="AG434" i="29"/>
  <c r="AG430" i="29"/>
  <c r="AG426" i="29"/>
  <c r="AG422" i="29"/>
  <c r="AG418" i="29"/>
  <c r="AG414" i="29"/>
  <c r="AG410" i="29"/>
  <c r="AG406" i="29"/>
  <c r="AG402" i="29"/>
  <c r="AG398" i="29"/>
  <c r="AG394" i="29"/>
  <c r="AG390" i="29"/>
  <c r="AG386" i="29"/>
  <c r="AG382" i="29"/>
  <c r="AG378" i="29"/>
  <c r="AG374" i="29"/>
  <c r="AG370" i="29"/>
  <c r="AG366" i="29"/>
  <c r="AG362" i="29"/>
  <c r="AG358" i="29"/>
  <c r="AG354" i="29"/>
  <c r="AG350" i="29"/>
  <c r="AG346" i="29"/>
  <c r="AG342" i="29"/>
  <c r="AG338" i="29"/>
  <c r="AG334" i="29"/>
  <c r="AG330" i="29"/>
  <c r="AG326" i="29"/>
  <c r="AG322" i="29"/>
  <c r="AG318" i="29"/>
  <c r="AG314" i="29"/>
  <c r="AG310" i="29"/>
  <c r="AG306" i="29"/>
  <c r="AG302" i="29"/>
  <c r="AG298" i="29"/>
  <c r="AG294" i="29"/>
  <c r="AG290" i="29"/>
  <c r="AG286" i="29"/>
  <c r="AG282" i="29"/>
  <c r="AG278" i="29"/>
  <c r="AG274" i="29"/>
  <c r="AG270" i="29"/>
  <c r="AG266" i="29"/>
  <c r="AG262" i="29"/>
  <c r="AG258" i="29"/>
  <c r="AG254" i="29"/>
  <c r="AG250" i="29"/>
  <c r="AG246" i="29"/>
  <c r="AG242" i="29"/>
  <c r="AG238" i="29"/>
  <c r="AG234" i="29"/>
  <c r="AG230" i="29"/>
  <c r="AG226" i="29"/>
  <c r="AG222" i="29"/>
  <c r="AG218" i="29"/>
  <c r="AG214" i="29"/>
  <c r="AG210" i="29"/>
  <c r="AG206" i="29"/>
  <c r="AG202" i="29"/>
  <c r="AG198" i="29"/>
  <c r="AG194" i="29"/>
  <c r="AG190" i="29"/>
  <c r="AG186" i="29"/>
  <c r="AG182" i="29"/>
  <c r="AG178" i="29"/>
  <c r="AG174" i="29"/>
  <c r="AG170" i="29"/>
  <c r="AG166" i="29"/>
  <c r="AG162" i="29"/>
  <c r="AG158" i="29"/>
  <c r="AG154" i="29"/>
  <c r="AG150" i="29"/>
  <c r="AG146" i="29"/>
  <c r="AG142" i="29"/>
  <c r="AG138" i="29"/>
  <c r="AG134" i="29"/>
  <c r="AG130" i="29"/>
  <c r="AG126" i="29"/>
  <c r="AG122" i="29"/>
  <c r="AG118" i="29"/>
  <c r="AG114" i="29"/>
  <c r="AG110" i="29"/>
  <c r="AG106" i="29"/>
  <c r="AG102" i="29"/>
  <c r="AG98" i="29"/>
  <c r="AG94" i="29"/>
  <c r="AG90" i="29"/>
  <c r="AG86" i="29"/>
  <c r="AG82" i="29"/>
  <c r="AG78" i="29"/>
  <c r="AG74" i="29"/>
  <c r="AG70" i="29"/>
  <c r="AG66" i="29"/>
  <c r="AG62" i="29"/>
  <c r="AG58" i="29"/>
  <c r="AG54" i="29"/>
  <c r="AG50" i="29"/>
  <c r="AG46" i="29"/>
  <c r="AG42" i="29"/>
  <c r="AG38" i="29"/>
  <c r="AG34" i="29"/>
  <c r="AG30" i="29"/>
  <c r="AG26" i="29"/>
  <c r="AG22" i="29"/>
  <c r="AG18" i="29"/>
  <c r="AG14" i="29"/>
  <c r="AG10" i="29"/>
  <c r="AG6" i="29"/>
  <c r="AD416" i="17"/>
  <c r="AE416" i="17"/>
  <c r="AD401" i="17"/>
  <c r="AE401" i="17"/>
  <c r="AD387" i="17"/>
  <c r="AE387" i="17"/>
  <c r="AD373" i="17"/>
  <c r="AE373" i="17"/>
  <c r="AD360" i="17"/>
  <c r="AE360" i="17"/>
  <c r="AD345" i="17"/>
  <c r="AE345" i="17"/>
  <c r="AD331" i="17"/>
  <c r="AE331" i="17"/>
  <c r="AD319" i="17"/>
  <c r="AE319" i="17"/>
  <c r="AD302" i="17"/>
  <c r="AE302" i="17"/>
  <c r="AD290" i="17"/>
  <c r="AE290" i="17"/>
  <c r="AD272" i="17"/>
  <c r="AE272" i="17"/>
  <c r="AD263" i="17"/>
  <c r="AE263" i="17"/>
  <c r="AD251" i="17"/>
  <c r="AE251" i="17"/>
  <c r="AD237" i="17"/>
  <c r="AE237" i="17"/>
  <c r="AD223" i="17"/>
  <c r="AE223" i="17"/>
  <c r="AD211" i="17"/>
  <c r="AE211" i="17"/>
  <c r="AD193" i="17"/>
  <c r="AE193" i="17"/>
  <c r="AD181" i="17"/>
  <c r="AE181" i="17"/>
  <c r="AE51" i="4"/>
  <c r="AD51" i="4"/>
  <c r="AE24" i="4"/>
  <c r="AD24" i="4"/>
  <c r="AE310" i="4"/>
  <c r="AD310" i="4"/>
  <c r="AE82" i="4"/>
  <c r="AD82" i="4"/>
  <c r="AE267" i="4"/>
  <c r="AD267" i="4"/>
  <c r="AE245" i="4"/>
  <c r="AD245" i="4"/>
  <c r="AE264" i="4"/>
  <c r="AD264" i="4"/>
  <c r="AE243" i="4"/>
  <c r="AD243" i="4"/>
  <c r="AE351" i="4"/>
  <c r="AD351" i="4"/>
  <c r="AE203" i="4"/>
  <c r="AD203" i="4"/>
  <c r="AE250" i="4"/>
  <c r="AD250" i="4"/>
  <c r="AE46" i="4"/>
  <c r="AD46" i="4"/>
  <c r="AE72" i="4"/>
  <c r="AD72" i="4"/>
  <c r="AE285" i="4"/>
  <c r="AD285" i="4"/>
  <c r="AE260" i="4"/>
  <c r="AD260" i="4"/>
  <c r="AE286" i="4"/>
  <c r="AD286" i="4"/>
  <c r="AE255" i="4"/>
  <c r="AD255" i="4"/>
  <c r="AE14" i="4"/>
  <c r="AD14" i="4"/>
  <c r="AE377" i="4"/>
  <c r="AD377" i="4"/>
  <c r="AE369" i="4"/>
  <c r="AD369" i="4"/>
  <c r="AD398" i="17"/>
  <c r="AD382" i="17"/>
  <c r="AD359" i="17"/>
  <c r="AD340" i="17"/>
  <c r="AD307" i="17"/>
  <c r="AD275" i="17"/>
  <c r="AD254" i="17"/>
  <c r="AD232" i="17"/>
  <c r="AD206" i="17"/>
  <c r="AD180" i="17"/>
  <c r="AD164" i="17"/>
  <c r="AD136" i="17"/>
  <c r="AD113" i="17"/>
  <c r="AD93" i="17"/>
  <c r="AD77" i="17"/>
  <c r="AD59" i="17"/>
  <c r="AD43" i="17"/>
  <c r="AD22" i="17"/>
  <c r="AD347" i="17"/>
  <c r="AD295" i="17"/>
  <c r="AD148" i="17"/>
  <c r="AD124" i="17"/>
  <c r="AD34" i="17"/>
  <c r="AD407" i="17"/>
  <c r="AD338" i="17"/>
  <c r="AD298" i="17"/>
  <c r="AD157" i="17"/>
  <c r="AD33" i="17"/>
  <c r="AD389" i="17"/>
  <c r="AD365" i="17"/>
  <c r="AD267" i="17"/>
  <c r="AD209" i="17"/>
  <c r="AD106" i="17"/>
  <c r="AD294" i="17"/>
  <c r="AD66" i="17"/>
  <c r="AD406" i="17"/>
  <c r="AD291" i="17"/>
  <c r="AD171" i="17"/>
  <c r="AD397" i="17"/>
  <c r="AD222" i="17"/>
  <c r="AD154" i="17"/>
  <c r="AD58" i="17"/>
  <c r="AD413" i="17"/>
  <c r="AD392" i="17"/>
  <c r="AD377" i="17"/>
  <c r="AD361" i="17"/>
  <c r="AD346" i="17"/>
  <c r="AD329" i="17"/>
  <c r="AD312" i="17"/>
  <c r="AD293" i="17"/>
  <c r="AD274" i="17"/>
  <c r="AD246" i="17"/>
  <c r="AD231" i="17"/>
  <c r="AD213" i="17"/>
  <c r="AD195" i="17"/>
  <c r="AD174" i="17"/>
  <c r="AD156" i="17"/>
  <c r="AD138" i="17"/>
  <c r="AD121" i="17"/>
  <c r="AD99" i="17"/>
  <c r="AD84" i="17"/>
  <c r="AD65" i="17"/>
  <c r="AD49" i="17"/>
  <c r="AD32" i="17"/>
  <c r="AD376" i="17"/>
  <c r="AD320" i="17"/>
  <c r="AD264" i="17"/>
  <c r="AD230" i="17"/>
  <c r="AD194" i="17"/>
  <c r="AD178" i="17"/>
  <c r="AD87" i="17"/>
  <c r="AD45" i="17"/>
  <c r="AD165" i="17"/>
  <c r="AD153" i="17"/>
  <c r="AD137" i="17"/>
  <c r="AD123" i="17"/>
  <c r="AD110" i="17"/>
  <c r="AD94" i="17"/>
  <c r="AD78" i="17"/>
  <c r="AD64" i="17"/>
  <c r="AD48" i="17"/>
  <c r="AD30" i="17"/>
  <c r="AD16" i="17"/>
  <c r="AD394" i="17"/>
  <c r="AD378" i="17"/>
  <c r="AD352" i="17"/>
  <c r="AD330" i="17"/>
  <c r="AD299" i="17"/>
  <c r="AD265" i="17"/>
  <c r="AD244" i="17"/>
  <c r="AD226" i="17"/>
  <c r="AD199" i="17"/>
  <c r="AD176" i="17"/>
  <c r="AD158" i="17"/>
  <c r="AD132" i="17"/>
  <c r="AD107" i="17"/>
  <c r="AD89" i="17"/>
  <c r="AD73" i="17"/>
  <c r="AD55" i="17"/>
  <c r="AD39" i="17"/>
  <c r="AD417" i="17"/>
  <c r="AD339" i="17"/>
  <c r="AD269" i="17"/>
  <c r="AD139" i="17"/>
  <c r="AD109" i="17"/>
  <c r="AD29" i="17"/>
  <c r="AD368" i="17"/>
  <c r="AD326" i="17"/>
  <c r="AD289" i="17"/>
  <c r="AD152" i="17"/>
  <c r="AD21" i="17"/>
  <c r="AD385" i="17"/>
  <c r="AD343" i="17"/>
  <c r="AD250" i="17"/>
  <c r="AD175" i="17"/>
  <c r="AD101" i="17"/>
  <c r="AD253" i="17"/>
  <c r="AD50" i="17"/>
  <c r="AD362" i="17"/>
  <c r="AD278" i="17"/>
  <c r="AD167" i="17"/>
  <c r="AD400" i="17"/>
  <c r="AD239" i="17"/>
  <c r="AD160" i="17"/>
  <c r="AD100" i="17"/>
  <c r="AD405" i="17"/>
  <c r="AD388" i="17"/>
  <c r="AD374" i="17"/>
  <c r="AD357" i="17"/>
  <c r="AD342" i="17"/>
  <c r="AD323" i="17"/>
  <c r="AD310" i="17"/>
  <c r="AD286" i="17"/>
  <c r="AD257" i="17"/>
  <c r="AD243" i="17"/>
  <c r="AD224" i="17"/>
  <c r="AD208" i="17"/>
  <c r="AD191" i="17"/>
  <c r="AD170" i="17"/>
  <c r="AD151" i="17"/>
  <c r="AD134" i="17"/>
  <c r="AD117" i="17"/>
  <c r="AD95" i="17"/>
  <c r="AD79" i="17"/>
  <c r="AD61" i="17"/>
  <c r="AD46" i="17"/>
  <c r="AD24" i="17"/>
  <c r="AD350" i="17"/>
  <c r="AD309" i="17"/>
  <c r="AD262" i="17"/>
  <c r="AD228" i="17"/>
  <c r="AD190" i="17"/>
  <c r="AD162" i="17"/>
  <c r="AD83" i="17"/>
  <c r="AD31" i="17"/>
  <c r="AD404" i="17"/>
  <c r="AD391" i="17"/>
  <c r="AD375" i="17"/>
  <c r="AD364" i="17"/>
  <c r="AD349" i="17"/>
  <c r="AD333" i="17"/>
  <c r="AD322" i="17"/>
  <c r="AD308" i="17"/>
  <c r="AD292" i="17"/>
  <c r="AD276" i="17"/>
  <c r="AD266" i="17"/>
  <c r="AD255" i="17"/>
  <c r="AD241" i="17"/>
  <c r="AD227" i="17"/>
  <c r="AD214" i="17"/>
  <c r="AD196" i="17"/>
  <c r="AD185" i="17"/>
  <c r="AD169" i="17"/>
  <c r="AD155" i="17"/>
  <c r="AD140" i="17"/>
  <c r="AD125" i="17"/>
  <c r="AD114" i="17"/>
  <c r="AD97" i="17"/>
  <c r="AD82" i="17"/>
  <c r="AD68" i="17"/>
  <c r="AD52" i="17"/>
  <c r="AD36" i="17"/>
  <c r="AD19" i="17"/>
  <c r="AG836" i="28"/>
  <c r="AG832" i="28"/>
  <c r="AG828" i="28"/>
  <c r="AG824" i="28"/>
  <c r="AG820" i="28"/>
  <c r="AG816" i="28"/>
  <c r="AG812" i="28"/>
  <c r="AG808" i="28"/>
  <c r="AG804" i="28"/>
  <c r="AG800" i="28"/>
  <c r="AG796" i="28"/>
  <c r="AG792" i="28"/>
  <c r="AG772" i="28"/>
  <c r="AG768" i="28"/>
  <c r="AG764" i="28"/>
  <c r="AG760" i="28"/>
  <c r="AG748" i="28"/>
  <c r="AG740" i="28"/>
  <c r="AG736" i="28"/>
  <c r="AG724" i="28"/>
  <c r="AG716" i="28"/>
  <c r="AG708" i="28"/>
  <c r="AG704" i="28"/>
  <c r="AG700" i="28"/>
  <c r="AG696" i="28"/>
  <c r="AG692" i="28"/>
  <c r="AG688" i="28"/>
  <c r="AG684" i="28"/>
  <c r="AG680" i="28"/>
  <c r="AG649" i="28"/>
  <c r="AG625" i="28"/>
  <c r="AG609" i="28"/>
  <c r="AG585" i="28"/>
  <c r="AG569" i="28"/>
  <c r="AG553" i="28"/>
  <c r="AG537" i="28"/>
  <c r="AG529" i="28"/>
  <c r="AG521" i="28"/>
  <c r="AG513" i="28"/>
  <c r="AG505" i="28"/>
  <c r="AG497" i="28"/>
  <c r="AG473" i="28"/>
  <c r="AG449" i="28"/>
  <c r="AG441" i="28"/>
  <c r="AG433" i="28"/>
  <c r="AG425" i="28"/>
  <c r="AG337" i="28"/>
  <c r="AG329" i="28"/>
  <c r="AG321" i="28"/>
  <c r="AG305" i="28"/>
  <c r="AG297" i="28"/>
  <c r="AG841" i="28"/>
  <c r="AG837" i="28"/>
  <c r="AG833" i="28"/>
  <c r="AG829" i="28"/>
  <c r="AG825" i="28"/>
  <c r="AG817" i="28"/>
  <c r="AG813" i="28"/>
  <c r="AG809" i="28"/>
  <c r="AG805" i="28"/>
  <c r="AG801" i="28"/>
  <c r="AG797" i="28"/>
  <c r="AG793" i="28"/>
  <c r="AG773" i="28"/>
  <c r="AG769" i="28"/>
  <c r="AG765" i="28"/>
  <c r="AG761" i="28"/>
  <c r="AG749" i="28"/>
  <c r="AG745" i="28"/>
  <c r="AG737" i="28"/>
  <c r="AG721" i="28"/>
  <c r="AG713" i="28"/>
  <c r="AG709" i="28"/>
  <c r="AG705" i="28"/>
  <c r="AG701" i="28"/>
  <c r="AG697" i="28"/>
  <c r="AG693" i="28"/>
  <c r="AG689" i="28"/>
  <c r="AG685" i="28"/>
  <c r="AG681" i="28"/>
  <c r="AG603" i="28"/>
  <c r="AG587" i="28"/>
  <c r="AG571" i="28"/>
  <c r="AG555" i="28"/>
  <c r="AG547" i="28"/>
  <c r="AG539" i="28"/>
  <c r="AG499" i="28"/>
  <c r="AG483" i="28"/>
  <c r="AG475" i="28"/>
  <c r="AG443" i="28"/>
  <c r="AG435" i="28"/>
  <c r="AG427" i="28"/>
  <c r="AG331" i="28"/>
  <c r="AG307" i="28"/>
  <c r="AG299" i="28"/>
  <c r="AG289" i="28"/>
  <c r="AG273" i="28"/>
  <c r="AG265" i="28"/>
  <c r="AG261" i="28"/>
  <c r="AG257" i="28"/>
  <c r="AG249" i="28"/>
  <c r="AG245" i="28"/>
  <c r="AG241" i="28"/>
  <c r="AG237" i="28"/>
  <c r="AG233" i="28"/>
  <c r="AG213" i="28"/>
  <c r="AG209" i="28"/>
  <c r="AG205" i="28"/>
  <c r="AG197" i="28"/>
  <c r="AG193" i="28"/>
  <c r="AG181" i="28"/>
  <c r="AG161" i="28"/>
  <c r="AG141" i="28"/>
  <c r="AG137" i="28"/>
  <c r="AG125" i="28"/>
  <c r="AG121" i="28"/>
  <c r="AG117" i="28"/>
  <c r="AG101" i="28"/>
  <c r="AG97" i="28"/>
  <c r="AG85" i="28"/>
  <c r="AG81" i="28"/>
  <c r="AG69" i="28"/>
  <c r="AG65" i="28"/>
  <c r="AG61" i="28"/>
  <c r="AG45" i="28"/>
  <c r="AG41" i="28"/>
  <c r="AG37" i="28"/>
  <c r="AG33" i="28"/>
  <c r="AG29" i="28"/>
  <c r="AG25" i="28"/>
  <c r="AG660" i="28"/>
  <c r="AG652" i="28"/>
  <c r="AG644" i="28"/>
  <c r="AG636" i="28"/>
  <c r="AG632" i="28"/>
  <c r="AG628" i="28"/>
  <c r="AG624" i="28"/>
  <c r="AG620" i="28"/>
  <c r="AG612" i="28"/>
  <c r="AG608" i="28"/>
  <c r="AG604" i="28"/>
  <c r="AG600" i="28"/>
  <c r="AG596" i="28"/>
  <c r="AG588" i="28"/>
  <c r="AG584" i="28"/>
  <c r="AG580" i="28"/>
  <c r="AG572" i="28"/>
  <c r="AG568" i="28"/>
  <c r="AG564" i="28"/>
  <c r="AG556" i="28"/>
  <c r="AG552" i="28"/>
  <c r="AG548" i="28"/>
  <c r="AG540" i="28"/>
  <c r="AG536" i="28"/>
  <c r="AG524" i="28"/>
  <c r="AG520" i="28"/>
  <c r="AG516" i="28"/>
  <c r="AG508" i="28"/>
  <c r="AG504" i="28"/>
  <c r="AG500" i="28"/>
  <c r="AG496" i="28"/>
  <c r="AG484" i="28"/>
  <c r="AG476" i="28"/>
  <c r="AG472" i="28"/>
  <c r="AG460" i="28"/>
  <c r="AG452" i="28"/>
  <c r="AG448" i="28"/>
  <c r="AG444" i="28"/>
  <c r="AG436" i="28"/>
  <c r="AG432" i="28"/>
  <c r="AG428" i="28"/>
  <c r="AG388" i="28"/>
  <c r="AG356" i="28"/>
  <c r="AG348" i="28"/>
  <c r="AG340" i="28"/>
  <c r="AG336" i="28"/>
  <c r="AG332" i="28"/>
  <c r="AG328" i="28"/>
  <c r="AG324" i="28"/>
  <c r="AG308" i="28"/>
  <c r="AG300" i="28"/>
  <c r="AG292" i="28"/>
  <c r="AG288" i="28"/>
  <c r="AG276" i="28"/>
  <c r="AG268" i="28"/>
  <c r="AG260" i="28"/>
  <c r="AG256" i="28"/>
  <c r="AG252" i="28"/>
  <c r="AG248" i="28"/>
  <c r="AG244" i="28"/>
  <c r="AG240" i="28"/>
  <c r="AG236" i="28"/>
  <c r="AG232" i="28"/>
  <c r="AG212" i="28"/>
  <c r="AG204" i="28"/>
  <c r="AG196" i="28"/>
  <c r="AG192" i="28"/>
  <c r="AG172" i="28"/>
  <c r="AG164" i="28"/>
  <c r="AG156" i="28"/>
  <c r="AG148" i="28"/>
  <c r="AG144" i="28"/>
  <c r="AG140" i="28"/>
  <c r="AG136" i="28"/>
  <c r="AG132" i="28"/>
  <c r="AG124" i="28"/>
  <c r="AG120" i="28"/>
  <c r="AG116" i="28"/>
  <c r="AG112" i="28"/>
  <c r="AG108" i="28"/>
  <c r="AG100" i="28"/>
  <c r="AG96" i="28"/>
  <c r="AG92" i="28"/>
  <c r="AG84" i="28"/>
  <c r="AG80" i="28"/>
  <c r="AG76" i="28"/>
  <c r="AG68" i="28"/>
  <c r="AG64" i="28"/>
  <c r="AG60" i="28"/>
  <c r="AG52" i="28"/>
  <c r="AG44" i="28"/>
  <c r="AG40" i="28"/>
  <c r="AG36" i="28"/>
  <c r="AG32" i="28"/>
  <c r="AG28" i="28"/>
  <c r="AG24" i="28"/>
  <c r="AE116" i="27"/>
  <c r="AE112" i="27"/>
  <c r="AE108" i="27"/>
  <c r="AE104" i="27"/>
  <c r="AE100" i="27"/>
  <c r="AE96" i="27"/>
  <c r="AE92" i="27"/>
  <c r="AE88" i="27"/>
  <c r="AE84" i="27"/>
  <c r="AE80" i="27"/>
  <c r="AE76" i="27"/>
  <c r="AE72" i="27"/>
  <c r="AE68" i="27"/>
  <c r="AE64" i="27"/>
  <c r="AE60" i="27"/>
  <c r="AE56" i="27"/>
  <c r="AE52" i="27"/>
  <c r="AE48" i="27"/>
  <c r="AE44" i="27"/>
  <c r="AE40" i="27"/>
  <c r="AE36" i="27"/>
  <c r="AE32" i="27"/>
  <c r="AE28" i="27"/>
  <c r="AE24" i="27"/>
  <c r="AE20" i="27"/>
  <c r="AE16" i="27"/>
  <c r="AE117" i="27"/>
  <c r="AE113" i="27"/>
  <c r="AE109" i="27"/>
  <c r="AE105" i="27"/>
  <c r="AE101" i="27"/>
  <c r="AE97" i="27"/>
  <c r="AE93" i="27"/>
  <c r="AE89" i="27"/>
  <c r="AE85" i="27"/>
  <c r="AE81" i="27"/>
  <c r="AE77" i="27"/>
  <c r="AE73" i="27"/>
  <c r="AE69" i="27"/>
  <c r="AE65" i="27"/>
  <c r="AE61" i="27"/>
  <c r="AE57" i="27"/>
  <c r="AE53" i="27"/>
  <c r="AE49" i="27"/>
  <c r="AE45" i="27"/>
  <c r="AE41" i="27"/>
  <c r="AE37" i="27"/>
  <c r="AE33" i="27"/>
  <c r="AE29" i="27"/>
  <c r="AE25" i="27"/>
  <c r="AE21" i="27"/>
  <c r="AE17" i="27"/>
  <c r="AG52" i="26"/>
  <c r="AG48" i="26"/>
  <c r="AG40" i="26"/>
  <c r="AG36" i="26"/>
  <c r="AG32" i="26"/>
  <c r="AG28" i="26"/>
  <c r="AG24" i="26"/>
  <c r="AG16" i="26"/>
  <c r="AG12" i="26"/>
  <c r="AG8" i="26"/>
  <c r="AG49" i="26"/>
  <c r="AG45" i="26"/>
  <c r="AG33" i="26"/>
  <c r="AG29" i="26"/>
  <c r="AG25" i="26"/>
  <c r="AG21" i="26"/>
  <c r="AG17" i="26"/>
  <c r="AG13" i="26"/>
  <c r="AG9" i="26"/>
  <c r="AE1203" i="21"/>
  <c r="AE1199" i="21"/>
  <c r="AE1195" i="21"/>
  <c r="AE1191" i="21"/>
  <c r="AE1187" i="21"/>
  <c r="AE1183" i="21"/>
  <c r="AE1179" i="21"/>
  <c r="AE1175" i="21"/>
  <c r="AE1171" i="21"/>
  <c r="AE1167" i="21"/>
  <c r="AE1163" i="21"/>
  <c r="AE1159" i="21"/>
  <c r="AE1155" i="21"/>
  <c r="AE1151" i="21"/>
  <c r="AE1147" i="21"/>
  <c r="AE1143" i="21"/>
  <c r="AE1139" i="21"/>
  <c r="AE1135" i="21"/>
  <c r="AE1131" i="21"/>
  <c r="AE1127" i="21"/>
  <c r="AE1123" i="21"/>
  <c r="AE1119" i="21"/>
  <c r="AE1115" i="21"/>
  <c r="AE1111" i="21"/>
  <c r="AE1107" i="21"/>
  <c r="AE1103" i="21"/>
  <c r="AE1099" i="21"/>
  <c r="AE1095" i="21"/>
  <c r="AE1091" i="21"/>
  <c r="AE1087" i="21"/>
  <c r="AE1083" i="21"/>
  <c r="AE1079" i="21"/>
  <c r="AE1075" i="21"/>
  <c r="AE1071" i="21"/>
  <c r="AE1067" i="21"/>
  <c r="AE1063" i="21"/>
  <c r="AE1059" i="21"/>
  <c r="AE1055" i="21"/>
  <c r="AE1051" i="21"/>
  <c r="AE1047" i="21"/>
  <c r="AE1043" i="21"/>
  <c r="AE1039" i="21"/>
  <c r="AE1035" i="21"/>
  <c r="AE1031" i="21"/>
  <c r="AE1027" i="21"/>
  <c r="AE1023" i="21"/>
  <c r="AE1019" i="21"/>
  <c r="AE1015" i="21"/>
  <c r="AE1011" i="21"/>
  <c r="AE1007" i="21"/>
  <c r="AE1003" i="21"/>
  <c r="AE999" i="21"/>
  <c r="AE995" i="21"/>
  <c r="AE991" i="21"/>
  <c r="AE987" i="21"/>
  <c r="AE983" i="21"/>
  <c r="AE979" i="21"/>
  <c r="AE975" i="21"/>
  <c r="AE971" i="21"/>
  <c r="AE967" i="21"/>
  <c r="AE963" i="21"/>
  <c r="AE959" i="21"/>
  <c r="AE955" i="21"/>
  <c r="AE951" i="21"/>
  <c r="AE947" i="21"/>
  <c r="AE943" i="21"/>
  <c r="AE939" i="21"/>
  <c r="AE935" i="21"/>
  <c r="AE931" i="21"/>
  <c r="AE927" i="21"/>
  <c r="AE923" i="21"/>
  <c r="AE919" i="21"/>
  <c r="AE915" i="21"/>
  <c r="AE911" i="21"/>
  <c r="AE907" i="21"/>
  <c r="AE903" i="21"/>
  <c r="AE899" i="21"/>
  <c r="AE895" i="21"/>
  <c r="AE891" i="21"/>
  <c r="AE887" i="21"/>
  <c r="AE883" i="21"/>
  <c r="AE879" i="21"/>
  <c r="AE875" i="21"/>
  <c r="AE871" i="21"/>
  <c r="AE867" i="21"/>
  <c r="AE863" i="21"/>
  <c r="AE859" i="21"/>
  <c r="AE855" i="21"/>
  <c r="AE851" i="21"/>
  <c r="AE847" i="21"/>
  <c r="AE843" i="21"/>
  <c r="AE839" i="21"/>
  <c r="AE835" i="21"/>
  <c r="AE831" i="21"/>
  <c r="AE827" i="21"/>
  <c r="AE823" i="21"/>
  <c r="AE819" i="21"/>
  <c r="AE815" i="21"/>
  <c r="AE811" i="21"/>
  <c r="AE807" i="21"/>
  <c r="AE803" i="21"/>
  <c r="AE799" i="21"/>
  <c r="AE795" i="21"/>
  <c r="AE791" i="21"/>
  <c r="AE787" i="21"/>
  <c r="AE783" i="21"/>
  <c r="AE779" i="21"/>
  <c r="AE775" i="21"/>
  <c r="AE771" i="21"/>
  <c r="AE767" i="21"/>
  <c r="AE763" i="21"/>
  <c r="AE759" i="21"/>
  <c r="AE755" i="21"/>
  <c r="AE751" i="21"/>
  <c r="AE747" i="21"/>
  <c r="AE743" i="21"/>
  <c r="AE739" i="21"/>
  <c r="AE735" i="21"/>
  <c r="AE731" i="21"/>
  <c r="AE727" i="21"/>
  <c r="AE723" i="21"/>
  <c r="AE719" i="21"/>
  <c r="AE715" i="21"/>
  <c r="AE711" i="21"/>
  <c r="AE707" i="21"/>
  <c r="AE703" i="21"/>
  <c r="AE699" i="21"/>
  <c r="AE695" i="21"/>
  <c r="AE691" i="21"/>
  <c r="AE687" i="21"/>
  <c r="AE683" i="21"/>
  <c r="AE679" i="21"/>
  <c r="AE675" i="21"/>
  <c r="AE671" i="21"/>
  <c r="AE667" i="21"/>
  <c r="AE663" i="21"/>
  <c r="AE659" i="21"/>
  <c r="AE655" i="21"/>
  <c r="AE651" i="21"/>
  <c r="AE647" i="21"/>
  <c r="AE643" i="21"/>
  <c r="AE639" i="21"/>
  <c r="AE635" i="21"/>
  <c r="AE631" i="21"/>
  <c r="AE627" i="21"/>
  <c r="AE623" i="21"/>
  <c r="AE619" i="21"/>
  <c r="AE615" i="21"/>
  <c r="AE611" i="21"/>
  <c r="AE607" i="21"/>
  <c r="AE603" i="21"/>
  <c r="AE599" i="21"/>
  <c r="AE595" i="21"/>
  <c r="AE591" i="21"/>
  <c r="AE587" i="21"/>
  <c r="AE583" i="21"/>
  <c r="AE579" i="21"/>
  <c r="AE575" i="21"/>
  <c r="AE571" i="21"/>
  <c r="AE567" i="21"/>
  <c r="AE563" i="21"/>
  <c r="AE559" i="21"/>
  <c r="AE555" i="21"/>
  <c r="AE551" i="21"/>
  <c r="AE547" i="21"/>
  <c r="AE543" i="21"/>
  <c r="AE539" i="21"/>
  <c r="AE535" i="21"/>
  <c r="AE531" i="21"/>
  <c r="AE527" i="21"/>
  <c r="AE523" i="21"/>
  <c r="AE519" i="21"/>
  <c r="AE515" i="21"/>
  <c r="AE511" i="21"/>
  <c r="AE507" i="21"/>
  <c r="AE503" i="21"/>
  <c r="AE499" i="21"/>
  <c r="AE495" i="21"/>
  <c r="AE491" i="21"/>
  <c r="AE487" i="21"/>
  <c r="AE483" i="21"/>
  <c r="AE479" i="21"/>
  <c r="AE475" i="21"/>
  <c r="AE471" i="21"/>
  <c r="AE467" i="21"/>
  <c r="AE463" i="21"/>
  <c r="AE459" i="21"/>
  <c r="AE455" i="21"/>
  <c r="AE451" i="21"/>
  <c r="AE447" i="21"/>
  <c r="AE443" i="21"/>
  <c r="AE439" i="21"/>
  <c r="AE435" i="21"/>
  <c r="AE431" i="21"/>
  <c r="AE427" i="21"/>
  <c r="AE423" i="21"/>
  <c r="AE419" i="21"/>
  <c r="AE415" i="21"/>
  <c r="AE411" i="21"/>
  <c r="AE407" i="21"/>
  <c r="AE403" i="21"/>
  <c r="AE399" i="21"/>
  <c r="AE395" i="21"/>
  <c r="AE391" i="21"/>
  <c r="AE387" i="21"/>
  <c r="AE383" i="21"/>
  <c r="AE379" i="21"/>
  <c r="AE375" i="21"/>
  <c r="AE371" i="21"/>
  <c r="AE367" i="21"/>
  <c r="AE363" i="21"/>
  <c r="AE359" i="21"/>
  <c r="AE355" i="21"/>
  <c r="AE351" i="21"/>
  <c r="AE347" i="21"/>
  <c r="AE343" i="21"/>
  <c r="AE339" i="21"/>
  <c r="AE335" i="21"/>
  <c r="AE331" i="21"/>
  <c r="AE327" i="21"/>
  <c r="AE323" i="21"/>
  <c r="AE319" i="21"/>
  <c r="AE315" i="21"/>
  <c r="AE311" i="21"/>
  <c r="AE307" i="21"/>
  <c r="AE303" i="21"/>
  <c r="AE299" i="21"/>
  <c r="AE295" i="21"/>
  <c r="AE291" i="21"/>
  <c r="AE287" i="21"/>
  <c r="AE283" i="21"/>
  <c r="AE279" i="21"/>
  <c r="AE275" i="21"/>
  <c r="AE271" i="21"/>
  <c r="AE267" i="21"/>
  <c r="AE263" i="21"/>
  <c r="AE259" i="21"/>
  <c r="AE255" i="21"/>
  <c r="AE251" i="21"/>
  <c r="AE247" i="21"/>
  <c r="AE243" i="21"/>
  <c r="AE239" i="21"/>
  <c r="AE235" i="21"/>
  <c r="AE231" i="21"/>
  <c r="AE227" i="21"/>
  <c r="AE223" i="21"/>
  <c r="AE219" i="21"/>
  <c r="AE215" i="21"/>
  <c r="AE211" i="21"/>
  <c r="AE207" i="21"/>
  <c r="AE203" i="21"/>
  <c r="AE199" i="21"/>
  <c r="AE195" i="21"/>
  <c r="AE191" i="21"/>
  <c r="AE187" i="21"/>
  <c r="AE183" i="21"/>
  <c r="AE179" i="21"/>
  <c r="AE175" i="21"/>
  <c r="AE171" i="21"/>
  <c r="AE167" i="21"/>
  <c r="AE163" i="21"/>
  <c r="AE159" i="21"/>
  <c r="AE155" i="21"/>
  <c r="AE151" i="21"/>
  <c r="AE147" i="21"/>
  <c r="AE143" i="21"/>
  <c r="AE139" i="21"/>
  <c r="AE135" i="21"/>
  <c r="AE131" i="21"/>
  <c r="AE127" i="21"/>
  <c r="AE123" i="21"/>
  <c r="AE119" i="21"/>
  <c r="AE115" i="21"/>
  <c r="AE111" i="21"/>
  <c r="AE107" i="21"/>
  <c r="AE103" i="21"/>
  <c r="AE99" i="21"/>
  <c r="AE95" i="21"/>
  <c r="AE91" i="21"/>
  <c r="AE87" i="21"/>
  <c r="AE83" i="21"/>
  <c r="AE79" i="21"/>
  <c r="AE75" i="21"/>
  <c r="AE71" i="21"/>
  <c r="AE67" i="21"/>
  <c r="AE63" i="21"/>
  <c r="AE59" i="21"/>
  <c r="AE55" i="21"/>
  <c r="AE51" i="21"/>
  <c r="AE47" i="21"/>
  <c r="AE43" i="21"/>
  <c r="AE39" i="21"/>
  <c r="AE35" i="21"/>
  <c r="AE31" i="21"/>
  <c r="AE27" i="21"/>
  <c r="AE23" i="21"/>
  <c r="AE19" i="21"/>
  <c r="AE1204" i="21"/>
  <c r="AE1200" i="21"/>
  <c r="AE1196" i="21"/>
  <c r="AE1192" i="21"/>
  <c r="AE1188" i="21"/>
  <c r="AE1184" i="21"/>
  <c r="AE1180" i="21"/>
  <c r="AE1176" i="21"/>
  <c r="AE1172" i="21"/>
  <c r="AE1168" i="21"/>
  <c r="AE1164" i="21"/>
  <c r="AE1160" i="21"/>
  <c r="AE1156" i="21"/>
  <c r="AE1152" i="21"/>
  <c r="AE1148" i="21"/>
  <c r="AE1144" i="21"/>
  <c r="AE1140" i="21"/>
  <c r="AE1136" i="21"/>
  <c r="AE1132" i="21"/>
  <c r="AE1128" i="21"/>
  <c r="AE1124" i="21"/>
  <c r="AE1120" i="21"/>
  <c r="AE1116" i="21"/>
  <c r="AE1112" i="21"/>
  <c r="AE1108" i="21"/>
  <c r="AE1104" i="21"/>
  <c r="AE1100" i="21"/>
  <c r="AE1096" i="21"/>
  <c r="AE1092" i="21"/>
  <c r="AE1088" i="21"/>
  <c r="AE1084" i="21"/>
  <c r="AE1080" i="21"/>
  <c r="AE1076" i="21"/>
  <c r="AE1072" i="21"/>
  <c r="AE1068" i="21"/>
  <c r="AE1064" i="21"/>
  <c r="AE1060" i="21"/>
  <c r="AE1056" i="21"/>
  <c r="AE1052" i="21"/>
  <c r="AE1048" i="21"/>
  <c r="AE1044" i="21"/>
  <c r="AE1040" i="21"/>
  <c r="AE1036" i="21"/>
  <c r="AE1032" i="21"/>
  <c r="AE1028" i="21"/>
  <c r="AE1024" i="21"/>
  <c r="AE1020" i="21"/>
  <c r="AE1016" i="21"/>
  <c r="AE1012" i="21"/>
  <c r="AE1008" i="21"/>
  <c r="AE1004" i="21"/>
  <c r="AE1000" i="21"/>
  <c r="AE996" i="21"/>
  <c r="AE992" i="21"/>
  <c r="AE988" i="21"/>
  <c r="AE984" i="21"/>
  <c r="AE980" i="21"/>
  <c r="AE976" i="21"/>
  <c r="AE972" i="21"/>
  <c r="AE968" i="21"/>
  <c r="AE964" i="21"/>
  <c r="AE960" i="21"/>
  <c r="AE956" i="21"/>
  <c r="AE952" i="21"/>
  <c r="AE948" i="21"/>
  <c r="AE944" i="21"/>
  <c r="AE940" i="21"/>
  <c r="AE936" i="21"/>
  <c r="AE932" i="21"/>
  <c r="AE928" i="21"/>
  <c r="AE924" i="21"/>
  <c r="AE920" i="21"/>
  <c r="AE916" i="21"/>
  <c r="AE912" i="21"/>
  <c r="AE908" i="21"/>
  <c r="AE904" i="21"/>
  <c r="AE900" i="21"/>
  <c r="AE896" i="21"/>
  <c r="AE892" i="21"/>
  <c r="AE888" i="21"/>
  <c r="AE884" i="21"/>
  <c r="AE880" i="21"/>
  <c r="AE876" i="21"/>
  <c r="AE872" i="21"/>
  <c r="AE868" i="21"/>
  <c r="AE864" i="21"/>
  <c r="AE860" i="21"/>
  <c r="AE856" i="21"/>
  <c r="AE852" i="21"/>
  <c r="AE848" i="21"/>
  <c r="AE844" i="21"/>
  <c r="AE840" i="21"/>
  <c r="AE836" i="21"/>
  <c r="AE832" i="21"/>
  <c r="AE828" i="21"/>
  <c r="AE824" i="21"/>
  <c r="AE820" i="21"/>
  <c r="AE816" i="21"/>
  <c r="AE812" i="21"/>
  <c r="AE808" i="21"/>
  <c r="AE804" i="21"/>
  <c r="AE800" i="21"/>
  <c r="AE796" i="21"/>
  <c r="AE792" i="21"/>
  <c r="AE788" i="21"/>
  <c r="AE784" i="21"/>
  <c r="AE780" i="21"/>
  <c r="AE776" i="21"/>
  <c r="AE772" i="21"/>
  <c r="AE768" i="21"/>
  <c r="AE764" i="21"/>
  <c r="AE760" i="21"/>
  <c r="AE756" i="21"/>
  <c r="AE752" i="21"/>
  <c r="AE748" i="21"/>
  <c r="AE744" i="21"/>
  <c r="AE740" i="21"/>
  <c r="AE736" i="21"/>
  <c r="AE732" i="21"/>
  <c r="AE728" i="21"/>
  <c r="AE724" i="21"/>
  <c r="AE720" i="21"/>
  <c r="AE716" i="21"/>
  <c r="AE712" i="21"/>
  <c r="AE708" i="21"/>
  <c r="AE704" i="21"/>
  <c r="AE700" i="21"/>
  <c r="AE696" i="21"/>
  <c r="AE692" i="21"/>
  <c r="AE688" i="21"/>
  <c r="AE684" i="21"/>
  <c r="AE680" i="21"/>
  <c r="AE676" i="21"/>
  <c r="AE672" i="21"/>
  <c r="AE668" i="21"/>
  <c r="AE664" i="21"/>
  <c r="AE660" i="21"/>
  <c r="AE656" i="21"/>
  <c r="AE652" i="21"/>
  <c r="AE648" i="21"/>
  <c r="AE644" i="21"/>
  <c r="AE640" i="21"/>
  <c r="AE636" i="21"/>
  <c r="AE632" i="21"/>
  <c r="AE628" i="21"/>
  <c r="AE624" i="21"/>
  <c r="AE620" i="21"/>
  <c r="AE616" i="21"/>
  <c r="AE612" i="21"/>
  <c r="AE608" i="21"/>
  <c r="AE604" i="21"/>
  <c r="AE600" i="21"/>
  <c r="AE596" i="21"/>
  <c r="AE592" i="21"/>
  <c r="AE588" i="21"/>
  <c r="AE584" i="21"/>
  <c r="AE580" i="21"/>
  <c r="AE576" i="21"/>
  <c r="AE572" i="21"/>
  <c r="AE568" i="21"/>
  <c r="AE564" i="21"/>
  <c r="AE560" i="21"/>
  <c r="AE556" i="21"/>
  <c r="AE552" i="21"/>
  <c r="AE548" i="21"/>
  <c r="AE544" i="21"/>
  <c r="AE540" i="21"/>
  <c r="AE536" i="21"/>
  <c r="AE532" i="21"/>
  <c r="AE528" i="21"/>
  <c r="AE524" i="21"/>
  <c r="AE520" i="21"/>
  <c r="AE516" i="21"/>
  <c r="AE512" i="21"/>
  <c r="AE508" i="21"/>
  <c r="AE504" i="21"/>
  <c r="AE500" i="21"/>
  <c r="AE496" i="21"/>
  <c r="AE492" i="21"/>
  <c r="AE488" i="21"/>
  <c r="AE484" i="21"/>
  <c r="AE480" i="21"/>
  <c r="AE476" i="21"/>
  <c r="AE472" i="21"/>
  <c r="AE468" i="21"/>
  <c r="AE464" i="21"/>
  <c r="AE460" i="21"/>
  <c r="AE456" i="21"/>
  <c r="AE452" i="21"/>
  <c r="AE448" i="21"/>
  <c r="AE444" i="21"/>
  <c r="AE440" i="21"/>
  <c r="AE436" i="21"/>
  <c r="AE432" i="21"/>
  <c r="AE428" i="21"/>
  <c r="AE424" i="21"/>
  <c r="AE420" i="21"/>
  <c r="AE416" i="21"/>
  <c r="AE412" i="21"/>
  <c r="AE408" i="21"/>
  <c r="AE404" i="21"/>
  <c r="AE400" i="21"/>
  <c r="AE396" i="21"/>
  <c r="AE392" i="21"/>
  <c r="AE388" i="21"/>
  <c r="AE384" i="21"/>
  <c r="AE380" i="21"/>
  <c r="AE376" i="21"/>
  <c r="AE372" i="21"/>
  <c r="AE368" i="21"/>
  <c r="AE364" i="21"/>
  <c r="AE360" i="21"/>
  <c r="AE356" i="21"/>
  <c r="AE352" i="21"/>
  <c r="AE348" i="21"/>
  <c r="AE344" i="21"/>
  <c r="AE340" i="21"/>
  <c r="AE336" i="21"/>
  <c r="AE332" i="21"/>
  <c r="AE328" i="21"/>
  <c r="AE324" i="21"/>
  <c r="AE320" i="21"/>
  <c r="AE316" i="21"/>
  <c r="AE312" i="21"/>
  <c r="AE308" i="21"/>
  <c r="AE304" i="21"/>
  <c r="AE300" i="21"/>
  <c r="AE296" i="21"/>
  <c r="AE292" i="21"/>
  <c r="AE288" i="21"/>
  <c r="AE284" i="21"/>
  <c r="AE280" i="21"/>
  <c r="AE276" i="21"/>
  <c r="AE272" i="21"/>
  <c r="AE268" i="21"/>
  <c r="AE264" i="21"/>
  <c r="AE260" i="21"/>
  <c r="AE256" i="21"/>
  <c r="AE252" i="21"/>
  <c r="AE248" i="21"/>
  <c r="AE244" i="21"/>
  <c r="AE240" i="21"/>
  <c r="AE236" i="21"/>
  <c r="AE232" i="21"/>
  <c r="AE228" i="21"/>
  <c r="AE224" i="21"/>
  <c r="AE220" i="21"/>
  <c r="AE216" i="21"/>
  <c r="AE212" i="21"/>
  <c r="AE208" i="21"/>
  <c r="AE204" i="21"/>
  <c r="AE200" i="21"/>
  <c r="AE196" i="21"/>
  <c r="AE192" i="21"/>
  <c r="AE188" i="21"/>
  <c r="AE184" i="21"/>
  <c r="AE180" i="21"/>
  <c r="AE176" i="21"/>
  <c r="AE172" i="21"/>
  <c r="AE168" i="21"/>
  <c r="AE164" i="21"/>
  <c r="AE160" i="21"/>
  <c r="AE156" i="21"/>
  <c r="AE152" i="21"/>
  <c r="AE148" i="21"/>
  <c r="AE144" i="21"/>
  <c r="AE140" i="21"/>
  <c r="AE136" i="21"/>
  <c r="AE132" i="21"/>
  <c r="AE128" i="21"/>
  <c r="AE124" i="21"/>
  <c r="AE120" i="21"/>
  <c r="AE116" i="21"/>
  <c r="AE112" i="21"/>
  <c r="AE108" i="21"/>
  <c r="AE104" i="21"/>
  <c r="AE100" i="21"/>
  <c r="AE96" i="21"/>
  <c r="AE92" i="21"/>
  <c r="AE88" i="21"/>
  <c r="AE84" i="21"/>
  <c r="AE80" i="21"/>
  <c r="AE76" i="21"/>
  <c r="AE72" i="21"/>
  <c r="AE68" i="21"/>
  <c r="AE64" i="21"/>
  <c r="AE60" i="21"/>
  <c r="AE56" i="21"/>
  <c r="AE52" i="21"/>
  <c r="AE48" i="21"/>
  <c r="AE44" i="21"/>
  <c r="AE40" i="21"/>
  <c r="AE36" i="21"/>
  <c r="AE32" i="21"/>
  <c r="AE28" i="21"/>
  <c r="AE24" i="21"/>
  <c r="AE20" i="21"/>
  <c r="AE16" i="21"/>
  <c r="AF716" i="16"/>
  <c r="AF708" i="16"/>
  <c r="AF700" i="16"/>
  <c r="AF688" i="16"/>
  <c r="AF684" i="16"/>
  <c r="AF680" i="16"/>
  <c r="AF672" i="16"/>
  <c r="AF628" i="16"/>
  <c r="AF624" i="16"/>
  <c r="AF620" i="16"/>
  <c r="AF588" i="16"/>
  <c r="AF580" i="16"/>
  <c r="AF572" i="16"/>
  <c r="AF568" i="16"/>
  <c r="AF564" i="16"/>
  <c r="AF560" i="16"/>
  <c r="AF556" i="16"/>
  <c r="AF544" i="16"/>
  <c r="AF536" i="16"/>
  <c r="AF532" i="16"/>
  <c r="AF528" i="16"/>
  <c r="AF524" i="16"/>
  <c r="AF520" i="16"/>
  <c r="AF516" i="16"/>
  <c r="AF508" i="16"/>
  <c r="AF504" i="16"/>
  <c r="AF500" i="16"/>
  <c r="AF496" i="16"/>
  <c r="AF492" i="16"/>
  <c r="AF488" i="16"/>
  <c r="AF484" i="16"/>
  <c r="AF480" i="16"/>
  <c r="AF472" i="16"/>
  <c r="AF468" i="16"/>
  <c r="AF464" i="16"/>
  <c r="AF460" i="16"/>
  <c r="AF452" i="16"/>
  <c r="AF448" i="16"/>
  <c r="AF444" i="16"/>
  <c r="AF432" i="16"/>
  <c r="AF428" i="16"/>
  <c r="AF424" i="16"/>
  <c r="AF420" i="16"/>
  <c r="AF416" i="16"/>
  <c r="AF408" i="16"/>
  <c r="AF404" i="16"/>
  <c r="AF400" i="16"/>
  <c r="AF396" i="16"/>
  <c r="AF388" i="16"/>
  <c r="AF384" i="16"/>
  <c r="AF376" i="16"/>
  <c r="AF368" i="16"/>
  <c r="AF364" i="16"/>
  <c r="AF360" i="16"/>
  <c r="AF352" i="16"/>
  <c r="AF348" i="16"/>
  <c r="AF344" i="16"/>
  <c r="AF336" i="16"/>
  <c r="AF332" i="16"/>
  <c r="AF320" i="16"/>
  <c r="AF316" i="16"/>
  <c r="AF312" i="16"/>
  <c r="AF308" i="16"/>
  <c r="AF304" i="16"/>
  <c r="AF300" i="16"/>
  <c r="AF296" i="16"/>
  <c r="AF292" i="16"/>
  <c r="AF288" i="16"/>
  <c r="AF284" i="16"/>
  <c r="AF272" i="16"/>
  <c r="AF264" i="16"/>
  <c r="AF260" i="16"/>
  <c r="AF256" i="16"/>
  <c r="AF248" i="16"/>
  <c r="AF244" i="16"/>
  <c r="AF240" i="16"/>
  <c r="AF236" i="16"/>
  <c r="AF232" i="16"/>
  <c r="AF228" i="16"/>
  <c r="AF224" i="16"/>
  <c r="AF220" i="16"/>
  <c r="AF216" i="16"/>
  <c r="AF212" i="16"/>
  <c r="AF208" i="16"/>
  <c r="AF204" i="16"/>
  <c r="AF200" i="16"/>
  <c r="AF196" i="16"/>
  <c r="AF192" i="16"/>
  <c r="AF188" i="16"/>
  <c r="AF184" i="16"/>
  <c r="AF180" i="16"/>
  <c r="AF176" i="16"/>
  <c r="AF172" i="16"/>
  <c r="AF168" i="16"/>
  <c r="AF164" i="16"/>
  <c r="AF160" i="16"/>
  <c r="AF156" i="16"/>
  <c r="AF152" i="16"/>
  <c r="AF148" i="16"/>
  <c r="AF144" i="16"/>
  <c r="AF140" i="16"/>
  <c r="AF136" i="16"/>
  <c r="AF132" i="16"/>
  <c r="AF128" i="16"/>
  <c r="AF124" i="16"/>
  <c r="AF120" i="16"/>
  <c r="AF116" i="16"/>
  <c r="AF112" i="16"/>
  <c r="AF108" i="16"/>
  <c r="AF104" i="16"/>
  <c r="AF92" i="16"/>
  <c r="AF88" i="16"/>
  <c r="AF84" i="16"/>
  <c r="AF76" i="16"/>
  <c r="AF72" i="16"/>
  <c r="AF64" i="16"/>
  <c r="AF60" i="16"/>
  <c r="AF52" i="16"/>
  <c r="AF48" i="16"/>
  <c r="AF44" i="16"/>
  <c r="AF40" i="16"/>
  <c r="AF36" i="16"/>
  <c r="AF32" i="16"/>
  <c r="AF24" i="16"/>
  <c r="AF20" i="16"/>
  <c r="AF16" i="16"/>
  <c r="AF12" i="16"/>
  <c r="AF8" i="16"/>
  <c r="AF719" i="16"/>
  <c r="AF715" i="16"/>
  <c r="AF699" i="16"/>
  <c r="AF683" i="16"/>
  <c r="AF679" i="16"/>
  <c r="AF671" i="16"/>
  <c r="AF655" i="16"/>
  <c r="AF639" i="16"/>
  <c r="AF627" i="16"/>
  <c r="AF623" i="16"/>
  <c r="AF619" i="16"/>
  <c r="AF611" i="16"/>
  <c r="AF591" i="16"/>
  <c r="AF587" i="16"/>
  <c r="AF579" i="16"/>
  <c r="AF571" i="16"/>
  <c r="AF567" i="16"/>
  <c r="AF563" i="16"/>
  <c r="AF555" i="16"/>
  <c r="AF551" i="16"/>
  <c r="AF547" i="16"/>
  <c r="AF535" i="16"/>
  <c r="AF531" i="16"/>
  <c r="AF527" i="16"/>
  <c r="AF523" i="16"/>
  <c r="AF519" i="16"/>
  <c r="AF515" i="16"/>
  <c r="AF511" i="16"/>
  <c r="AF507" i="16"/>
  <c r="AF503" i="16"/>
  <c r="AF495" i="16"/>
  <c r="AF491" i="16"/>
  <c r="AF483" i="16"/>
  <c r="AF479" i="16"/>
  <c r="AF471" i="16"/>
  <c r="AF467" i="16"/>
  <c r="AF463" i="16"/>
  <c r="AF451" i="16"/>
  <c r="AF447" i="16"/>
  <c r="AF443" i="16"/>
  <c r="AF435" i="16"/>
  <c r="AF431" i="16"/>
  <c r="AF427" i="16"/>
  <c r="AF423" i="16"/>
  <c r="AF419" i="16"/>
  <c r="AF415" i="16"/>
  <c r="AF407" i="16"/>
  <c r="AF403" i="16"/>
  <c r="AF395" i="16"/>
  <c r="AF391" i="16"/>
  <c r="AF383" i="16"/>
  <c r="AF379" i="16"/>
  <c r="AF375" i="16"/>
  <c r="AF371" i="16"/>
  <c r="AF367" i="16"/>
  <c r="AF359" i="16"/>
  <c r="AF355" i="16"/>
  <c r="AF351" i="16"/>
  <c r="AF347" i="16"/>
  <c r="AF343" i="16"/>
  <c r="AF339" i="16"/>
  <c r="AF335" i="16"/>
  <c r="AF331" i="16"/>
  <c r="AF323" i="16"/>
  <c r="AF319" i="16"/>
  <c r="AF315" i="16"/>
  <c r="AF311" i="16"/>
  <c r="AF307" i="16"/>
  <c r="AF303" i="16"/>
  <c r="AF299" i="16"/>
  <c r="AF295" i="16"/>
  <c r="AF291" i="16"/>
  <c r="AF287" i="16"/>
  <c r="AF283" i="16"/>
  <c r="AF279" i="16"/>
  <c r="AF275" i="16"/>
  <c r="AF271" i="16"/>
  <c r="AF267" i="16"/>
  <c r="AF263" i="16"/>
  <c r="AF255" i="16"/>
  <c r="AF247" i="16"/>
  <c r="AF243" i="16"/>
  <c r="AF239" i="16"/>
  <c r="AF235" i="16"/>
  <c r="AF231" i="16"/>
  <c r="AF227" i="16"/>
  <c r="AF223" i="16"/>
  <c r="AF219" i="16"/>
  <c r="AF215" i="16"/>
  <c r="AF211" i="16"/>
  <c r="AF207" i="16"/>
  <c r="AF203" i="16"/>
  <c r="AF199" i="16"/>
  <c r="AF195" i="16"/>
  <c r="AF191" i="16"/>
  <c r="AF187" i="16"/>
  <c r="AF179" i="16"/>
  <c r="AF175" i="16"/>
  <c r="AF167" i="16"/>
  <c r="AF151" i="16"/>
  <c r="AF147" i="16"/>
  <c r="AF143" i="16"/>
  <c r="AF135" i="16"/>
  <c r="AF131" i="16"/>
  <c r="AF127" i="16"/>
  <c r="AF123" i="16"/>
  <c r="AF119" i="16"/>
  <c r="AF111" i="16"/>
  <c r="AF107" i="16"/>
  <c r="AF103" i="16"/>
  <c r="AF99" i="16"/>
  <c r="AF95" i="16"/>
  <c r="AF91" i="16"/>
  <c r="AF75" i="16"/>
  <c r="AF71" i="16"/>
  <c r="AF67" i="16"/>
  <c r="AF63" i="16"/>
  <c r="AF59" i="16"/>
  <c r="AF51" i="16"/>
  <c r="AF43" i="16"/>
  <c r="AF31" i="16"/>
  <c r="AF23" i="16"/>
  <c r="AF19" i="16"/>
  <c r="AF15" i="16"/>
  <c r="AF11" i="16"/>
  <c r="AF7" i="16"/>
  <c r="AE95" i="6"/>
  <c r="AE11" i="6"/>
  <c r="AE99" i="6"/>
  <c r="AE89" i="6"/>
  <c r="AE31" i="6"/>
  <c r="AE8" i="6"/>
  <c r="AE74" i="6"/>
  <c r="AE90" i="6"/>
  <c r="AE96" i="6"/>
  <c r="AE16" i="6"/>
  <c r="AE110" i="6"/>
  <c r="AE14" i="6"/>
  <c r="AE28" i="6"/>
  <c r="AE26" i="6"/>
  <c r="AE93" i="6"/>
  <c r="AE105" i="6"/>
  <c r="AE81" i="6"/>
  <c r="AE7" i="6"/>
  <c r="AE49" i="6"/>
  <c r="AE101" i="6"/>
  <c r="AE66" i="6"/>
  <c r="AE35" i="6"/>
  <c r="AE25" i="6"/>
  <c r="AE39" i="6"/>
  <c r="AE75" i="6"/>
  <c r="AE27" i="6"/>
  <c r="AE92" i="6"/>
  <c r="AE98" i="6"/>
  <c r="AE22" i="6"/>
  <c r="AE70" i="6"/>
  <c r="AE88" i="6"/>
  <c r="AE72" i="6"/>
  <c r="AE94" i="6"/>
  <c r="AE18" i="6"/>
  <c r="AE50" i="6"/>
  <c r="AE60" i="6"/>
  <c r="AE118" i="3"/>
  <c r="AE114" i="3"/>
  <c r="AE106" i="3"/>
  <c r="AE102" i="3"/>
  <c r="AE98" i="3"/>
  <c r="AE94" i="3"/>
  <c r="AE90" i="3"/>
  <c r="AE82" i="3"/>
  <c r="AE78" i="3"/>
  <c r="AE74" i="3"/>
  <c r="AE70" i="3"/>
  <c r="AE66" i="3"/>
  <c r="AE62" i="3"/>
  <c r="AE58" i="3"/>
  <c r="AE54" i="3"/>
  <c r="AE50" i="3"/>
  <c r="AE46" i="3"/>
  <c r="AE42" i="3"/>
  <c r="AE37" i="3"/>
  <c r="AE33" i="3"/>
  <c r="AE119" i="3"/>
  <c r="AE115" i="3"/>
  <c r="AE111" i="3"/>
  <c r="AE107" i="3"/>
  <c r="AE103" i="3"/>
  <c r="AE99" i="3"/>
  <c r="AE95" i="3"/>
  <c r="AE91" i="3"/>
  <c r="AE87" i="3"/>
  <c r="AE83" i="3"/>
  <c r="AE79" i="3"/>
  <c r="AE75" i="3"/>
  <c r="AE71" i="3"/>
  <c r="AE67" i="3"/>
  <c r="AE63" i="3"/>
  <c r="AE59" i="3"/>
  <c r="AE55" i="3"/>
  <c r="AE51" i="3"/>
  <c r="AE47" i="3"/>
  <c r="AE43" i="3"/>
  <c r="AE38" i="3"/>
  <c r="AE34" i="3"/>
  <c r="AE113" i="4"/>
  <c r="AE270" i="4"/>
  <c r="AE287" i="4"/>
  <c r="AE266" i="4"/>
  <c r="AE244" i="4"/>
  <c r="AE126" i="4"/>
  <c r="AE253" i="4"/>
  <c r="AE127" i="4"/>
  <c r="AE23" i="4"/>
  <c r="AE209" i="4"/>
  <c r="AE374" i="4"/>
  <c r="AE292" i="4"/>
  <c r="AE89" i="4"/>
  <c r="AE300" i="4"/>
  <c r="AE137" i="4"/>
  <c r="AE288" i="4"/>
  <c r="AE259" i="4"/>
  <c r="AE193" i="4"/>
  <c r="AE70" i="4"/>
  <c r="AE309" i="4"/>
  <c r="AE321" i="4"/>
  <c r="AE283" i="4"/>
  <c r="AE104" i="4"/>
  <c r="AE258" i="4"/>
  <c r="AE322" i="4"/>
  <c r="AE83" i="4"/>
  <c r="AE191" i="4"/>
  <c r="AE277" i="4"/>
  <c r="AE79" i="4"/>
  <c r="AE274" i="4"/>
  <c r="AE76" i="4"/>
  <c r="AE330" i="4"/>
  <c r="AE106" i="4"/>
  <c r="AE8" i="4"/>
  <c r="AE352" i="4"/>
  <c r="AE320" i="4"/>
  <c r="AE316" i="4"/>
  <c r="AE59" i="4"/>
  <c r="AE151" i="4"/>
  <c r="AE333" i="4"/>
  <c r="AE308" i="4"/>
  <c r="AE315" i="4"/>
  <c r="AE373" i="4"/>
  <c r="AE328" i="4"/>
  <c r="AE353" i="4"/>
  <c r="AE101" i="4"/>
  <c r="AE306" i="4"/>
  <c r="AE13" i="4"/>
  <c r="AE86" i="4"/>
  <c r="AE375" i="4"/>
  <c r="AE249" i="4"/>
  <c r="AE111" i="4"/>
  <c r="AE95" i="4"/>
  <c r="AE115" i="4"/>
  <c r="AE251" i="4"/>
  <c r="AE55" i="4"/>
  <c r="AE56" i="4"/>
  <c r="AE228" i="4"/>
  <c r="AE44" i="4"/>
  <c r="AE346" i="4"/>
  <c r="AE303" i="4"/>
  <c r="AE298" i="4"/>
  <c r="AE15" i="4"/>
  <c r="AE221" i="4"/>
  <c r="AE81" i="4"/>
  <c r="AE348" i="4"/>
  <c r="AE54" i="4"/>
  <c r="AE262" i="4"/>
  <c r="AE329" i="4"/>
  <c r="AE379" i="4"/>
  <c r="AE112" i="4"/>
  <c r="AE210" i="4"/>
  <c r="AE363" i="4"/>
  <c r="AE331" i="4"/>
  <c r="AE371" i="4"/>
  <c r="AE206" i="4"/>
  <c r="AE27" i="4"/>
  <c r="AE71" i="4"/>
  <c r="AE257" i="4"/>
  <c r="AE349" i="4"/>
  <c r="AE273" i="4"/>
  <c r="AE246" i="4"/>
  <c r="AE60" i="4"/>
  <c r="AE85" i="4"/>
  <c r="AE278" i="4"/>
  <c r="AE62" i="4"/>
  <c r="AE297" i="4"/>
  <c r="AE202" i="4"/>
  <c r="AE291" i="4"/>
  <c r="AE189" i="4"/>
  <c r="AE77" i="4"/>
  <c r="AE280" i="4"/>
  <c r="AE256" i="4"/>
  <c r="AE183" i="4"/>
  <c r="AE302" i="4"/>
  <c r="AE103" i="4"/>
  <c r="AE366" i="4"/>
  <c r="AE49" i="4"/>
  <c r="AE336" i="4"/>
  <c r="AE25" i="4"/>
  <c r="AE269" i="4"/>
  <c r="AE162" i="4"/>
  <c r="AE39" i="4"/>
  <c r="AE380" i="4"/>
  <c r="AE58" i="4"/>
  <c r="AE347" i="4"/>
  <c r="AE387" i="4"/>
  <c r="AE294" i="4"/>
  <c r="AE21" i="4"/>
  <c r="AE154" i="4"/>
  <c r="AE305" i="4"/>
  <c r="AE338" i="4"/>
  <c r="AE313" i="4"/>
  <c r="AE28" i="4"/>
  <c r="AE92" i="4"/>
  <c r="AG1414" i="29"/>
  <c r="AG1410" i="29"/>
  <c r="AG1406" i="29"/>
  <c r="AG1402" i="29"/>
  <c r="AG1398" i="29"/>
  <c r="AG1394" i="29"/>
  <c r="AG1390" i="29"/>
  <c r="AG1386" i="29"/>
  <c r="AG1382" i="29"/>
  <c r="AG1378" i="29"/>
  <c r="AG1374" i="29"/>
  <c r="AG1370" i="29"/>
  <c r="AG1366" i="29"/>
  <c r="AG1362" i="29"/>
  <c r="AG1358" i="29"/>
  <c r="AG1354" i="29"/>
  <c r="AG1350" i="29"/>
  <c r="AG1346" i="29"/>
  <c r="AG1342" i="29"/>
  <c r="AG1338" i="29"/>
  <c r="AG1334" i="29"/>
  <c r="AG1330" i="29"/>
  <c r="AG1326" i="29"/>
  <c r="AG1322" i="29"/>
  <c r="AG1318" i="29"/>
  <c r="AG1314" i="29"/>
  <c r="AG1310" i="29"/>
  <c r="AG1306" i="29"/>
  <c r="AG1302" i="29"/>
  <c r="AG1298" i="29"/>
  <c r="AG1294" i="29"/>
  <c r="AG1290" i="29"/>
  <c r="AG1286" i="29"/>
  <c r="AG1282" i="29"/>
  <c r="AG1278" i="29"/>
  <c r="AG1274" i="29"/>
  <c r="AG1270" i="29"/>
  <c r="AG1266" i="29"/>
  <c r="AG1262" i="29"/>
  <c r="AG1258" i="29"/>
  <c r="AG1254" i="29"/>
  <c r="AG1250" i="29"/>
  <c r="AG1246" i="29"/>
  <c r="AG1242" i="29"/>
  <c r="AG1238" i="29"/>
  <c r="AG1234" i="29"/>
  <c r="AG1230" i="29"/>
  <c r="AG1226" i="29"/>
  <c r="AG1222" i="29"/>
  <c r="AG1218" i="29"/>
  <c r="AG1214" i="29"/>
  <c r="AG1210" i="29"/>
  <c r="AG1206" i="29"/>
  <c r="AG1202" i="29"/>
  <c r="AG1198" i="29"/>
  <c r="AG1194" i="29"/>
  <c r="AG1190" i="29"/>
  <c r="AG1186" i="29"/>
  <c r="AG1182" i="29"/>
  <c r="AG1178" i="29"/>
  <c r="AG1174" i="29"/>
  <c r="AG1170" i="29"/>
  <c r="AG1166" i="29"/>
  <c r="AG1162" i="29"/>
  <c r="AG1158" i="29"/>
  <c r="AG1154" i="29"/>
  <c r="AG1150" i="29"/>
  <c r="AG1146" i="29"/>
  <c r="AG1142" i="29"/>
  <c r="AG1138" i="29"/>
  <c r="AG1134" i="29"/>
  <c r="AG1130" i="29"/>
  <c r="AG1126" i="29"/>
  <c r="AG1122" i="29"/>
  <c r="AG1118" i="29"/>
  <c r="AG1114" i="29"/>
  <c r="AG1110" i="29"/>
  <c r="AG1106" i="29"/>
  <c r="AG1102" i="29"/>
  <c r="AG1098" i="29"/>
  <c r="AG1094" i="29"/>
  <c r="AG1090" i="29"/>
  <c r="AG1086" i="29"/>
  <c r="AG1082" i="29"/>
  <c r="AG1078" i="29"/>
  <c r="AG1074" i="29"/>
  <c r="AG1070" i="29"/>
  <c r="AG1066" i="29"/>
  <c r="AG1062" i="29"/>
  <c r="AG1058" i="29"/>
  <c r="AG1054" i="29"/>
  <c r="AG1050" i="29"/>
  <c r="AG1046" i="29"/>
  <c r="AG1042" i="29"/>
  <c r="AG1038" i="29"/>
  <c r="AG1034" i="29"/>
  <c r="AG1030" i="29"/>
  <c r="AG1026" i="29"/>
  <c r="AG1022" i="29"/>
  <c r="AG1018" i="29"/>
  <c r="AG1014" i="29"/>
  <c r="AG1010" i="29"/>
  <c r="AG1006" i="29"/>
  <c r="AG1002" i="29"/>
  <c r="AG998" i="29"/>
  <c r="AG994" i="29"/>
  <c r="AG990" i="29"/>
  <c r="AG986" i="29"/>
  <c r="AG982" i="29"/>
  <c r="AG978" i="29"/>
  <c r="AG974" i="29"/>
  <c r="AG970" i="29"/>
  <c r="AG966" i="29"/>
  <c r="AG962" i="29"/>
  <c r="AG958" i="29"/>
  <c r="AG954" i="29"/>
  <c r="AG950" i="29"/>
  <c r="AG946" i="29"/>
  <c r="AG942" i="29"/>
  <c r="AG938" i="29"/>
  <c r="AG934" i="29"/>
  <c r="AG930" i="29"/>
  <c r="AG926" i="29"/>
  <c r="AG922" i="29"/>
  <c r="AG918" i="29"/>
  <c r="AG914" i="29"/>
  <c r="AG910" i="29"/>
  <c r="AG906" i="29"/>
  <c r="AG902" i="29"/>
  <c r="AG898" i="29"/>
  <c r="AG894" i="29"/>
  <c r="AG890" i="29"/>
  <c r="AG886" i="29"/>
  <c r="AG882" i="29"/>
  <c r="AG878" i="29"/>
  <c r="AG874" i="29"/>
  <c r="AG870" i="29"/>
  <c r="AG866" i="29"/>
  <c r="AG862" i="29"/>
  <c r="AG858" i="29"/>
  <c r="AG854" i="29"/>
  <c r="AG850" i="29"/>
  <c r="AG846" i="29"/>
  <c r="AG842" i="29"/>
  <c r="AG838" i="29"/>
  <c r="AG834" i="29"/>
  <c r="AG830" i="29"/>
  <c r="AG826" i="29"/>
  <c r="AG822" i="29"/>
  <c r="AG818" i="29"/>
  <c r="AG814" i="29"/>
  <c r="AG810" i="29"/>
  <c r="AG806" i="29"/>
  <c r="AG802" i="29"/>
  <c r="AG798" i="29"/>
  <c r="AG794" i="29"/>
  <c r="AG790" i="29"/>
  <c r="AG786" i="29"/>
  <c r="AG782" i="29"/>
  <c r="AG778" i="29"/>
  <c r="AG774" i="29"/>
  <c r="AG770" i="29"/>
  <c r="AG766" i="29"/>
  <c r="AG762" i="29"/>
  <c r="AG758" i="29"/>
  <c r="AG754" i="29"/>
  <c r="AG750" i="29"/>
  <c r="AG746" i="29"/>
  <c r="AG742" i="29"/>
  <c r="AG738" i="29"/>
  <c r="AG734" i="29"/>
  <c r="AG730" i="29"/>
  <c r="AG726" i="29"/>
  <c r="AG722" i="29"/>
  <c r="AG718" i="29"/>
  <c r="AG714" i="29"/>
  <c r="AG710" i="29"/>
  <c r="AG706" i="29"/>
  <c r="AG702" i="29"/>
  <c r="AG698" i="29"/>
  <c r="AG694" i="29"/>
  <c r="AG690" i="29"/>
  <c r="AG686" i="29"/>
  <c r="AG682" i="29"/>
  <c r="AG678" i="29"/>
  <c r="AG674" i="29"/>
  <c r="AG670" i="29"/>
  <c r="AG666" i="29"/>
  <c r="AG662" i="29"/>
  <c r="AG658" i="29"/>
  <c r="AG654" i="29"/>
  <c r="AG650" i="29"/>
  <c r="AG646" i="29"/>
  <c r="AG642" i="29"/>
  <c r="AG638" i="29"/>
  <c r="AG634" i="29"/>
  <c r="AG630" i="29"/>
  <c r="AG626" i="29"/>
  <c r="AG622" i="29"/>
  <c r="AG618" i="29"/>
  <c r="AG614" i="29"/>
  <c r="AG610" i="29"/>
  <c r="AG606" i="29"/>
  <c r="AG600" i="29"/>
  <c r="AG592" i="29"/>
  <c r="AG584" i="29"/>
  <c r="AG1413" i="29"/>
  <c r="AG1409" i="29"/>
  <c r="AG1405" i="29"/>
  <c r="AG1401" i="29"/>
  <c r="AG1397" i="29"/>
  <c r="AG1393" i="29"/>
  <c r="AG1389" i="29"/>
  <c r="AG1385" i="29"/>
  <c r="AG1381" i="29"/>
  <c r="AG1377" i="29"/>
  <c r="AG1373" i="29"/>
  <c r="AG1369" i="29"/>
  <c r="AG1365" i="29"/>
  <c r="AG1361" i="29"/>
  <c r="AG1357" i="29"/>
  <c r="AG1353" i="29"/>
  <c r="AG1349" i="29"/>
  <c r="AG1345" i="29"/>
  <c r="AG1341" i="29"/>
  <c r="AG1337" i="29"/>
  <c r="AG1333" i="29"/>
  <c r="AG1329" i="29"/>
  <c r="AG1325" i="29"/>
  <c r="AG1321" i="29"/>
  <c r="AG1317" i="29"/>
  <c r="AG1313" i="29"/>
  <c r="AG1309" i="29"/>
  <c r="AG1305" i="29"/>
  <c r="AG1301" i="29"/>
  <c r="AG1297" i="29"/>
  <c r="AG1293" i="29"/>
  <c r="AG1289" i="29"/>
  <c r="AG1285" i="29"/>
  <c r="AG1281" i="29"/>
  <c r="AG1277" i="29"/>
  <c r="AG1273" i="29"/>
  <c r="AG1269" i="29"/>
  <c r="AG1265" i="29"/>
  <c r="AG1261" i="29"/>
  <c r="AG1257" i="29"/>
  <c r="AG1253" i="29"/>
  <c r="AG1249" i="29"/>
  <c r="AG1245" i="29"/>
  <c r="AG1241" i="29"/>
  <c r="AG1237" i="29"/>
  <c r="AG1233" i="29"/>
  <c r="AG1229" i="29"/>
  <c r="AG1225" i="29"/>
  <c r="AG1221" i="29"/>
  <c r="AG1217" i="29"/>
  <c r="AG1213" i="29"/>
  <c r="AG1209" i="29"/>
  <c r="AG1205" i="29"/>
  <c r="AG1201" i="29"/>
  <c r="AG1197" i="29"/>
  <c r="AG1193" i="29"/>
  <c r="AG1189" i="29"/>
  <c r="AG1185" i="29"/>
  <c r="AG1181" i="29"/>
  <c r="AG1177" i="29"/>
  <c r="AG1173" i="29"/>
  <c r="AG1169" i="29"/>
  <c r="AG1165" i="29"/>
  <c r="AG1161" i="29"/>
  <c r="AG1157" i="29"/>
  <c r="AG1153" i="29"/>
  <c r="AG1149" i="29"/>
  <c r="AG1145" i="29"/>
  <c r="AG1141" i="29"/>
  <c r="AG1137" i="29"/>
  <c r="AG1133" i="29"/>
  <c r="AG1129" i="29"/>
  <c r="AG1125" i="29"/>
  <c r="AG1121" i="29"/>
  <c r="AG1117" i="29"/>
  <c r="AG1113" i="29"/>
  <c r="AG1109" i="29"/>
  <c r="AG1105" i="29"/>
  <c r="AG1101" i="29"/>
  <c r="AG1097" i="29"/>
  <c r="AG1093" i="29"/>
  <c r="AG1089" i="29"/>
  <c r="AG1085" i="29"/>
  <c r="AG1081" i="29"/>
  <c r="AG1077" i="29"/>
  <c r="AG1073" i="29"/>
  <c r="AG1069" i="29"/>
  <c r="AG1065" i="29"/>
  <c r="AG1061" i="29"/>
  <c r="AG1057" i="29"/>
  <c r="AG1053" i="29"/>
  <c r="AG1049" i="29"/>
  <c r="AG1045" i="29"/>
  <c r="AG1041" i="29"/>
  <c r="AG1037" i="29"/>
  <c r="AG1033" i="29"/>
  <c r="AG1029" i="29"/>
  <c r="AG1025" i="29"/>
  <c r="AG1021" i="29"/>
  <c r="AG1017" i="29"/>
  <c r="AG1013" i="29"/>
  <c r="AG1009" i="29"/>
  <c r="AG1005" i="29"/>
  <c r="AG1001" i="29"/>
  <c r="AG997" i="29"/>
  <c r="AG993" i="29"/>
  <c r="AG989" i="29"/>
  <c r="AG985" i="29"/>
  <c r="AG981" i="29"/>
  <c r="AG977" i="29"/>
  <c r="AG973" i="29"/>
  <c r="AG969" i="29"/>
  <c r="AG965" i="29"/>
  <c r="AG961" i="29"/>
  <c r="AG957" i="29"/>
  <c r="AG953" i="29"/>
  <c r="AG949" i="29"/>
  <c r="AG945" i="29"/>
  <c r="AG941" i="29"/>
  <c r="AG937" i="29"/>
  <c r="AG933" i="29"/>
  <c r="AG929" i="29"/>
  <c r="AG925" i="29"/>
  <c r="AG921" i="29"/>
  <c r="AG917" i="29"/>
  <c r="AG913" i="29"/>
  <c r="AG909" i="29"/>
  <c r="AG905" i="29"/>
  <c r="AG901" i="29"/>
  <c r="AG897" i="29"/>
  <c r="AG893" i="29"/>
  <c r="AG889" i="29"/>
  <c r="AG885" i="29"/>
  <c r="AG881" i="29"/>
  <c r="AG877" i="29"/>
  <c r="AG873" i="29"/>
  <c r="AG869" i="29"/>
  <c r="AG865" i="29"/>
  <c r="AG861" i="29"/>
  <c r="AG857" i="29"/>
  <c r="AG853" i="29"/>
  <c r="AG849" i="29"/>
  <c r="AG845" i="29"/>
  <c r="AG841" i="29"/>
  <c r="AG837" i="29"/>
  <c r="AG833" i="29"/>
  <c r="AG829" i="29"/>
  <c r="AG825" i="29"/>
  <c r="AG821" i="29"/>
  <c r="AG817" i="29"/>
  <c r="AG813" i="29"/>
  <c r="AG809" i="29"/>
  <c r="AG805" i="29"/>
  <c r="AG801" i="29"/>
  <c r="AG797" i="29"/>
  <c r="AG793" i="29"/>
  <c r="AG789" i="29"/>
  <c r="AG785" i="29"/>
  <c r="AG781" i="29"/>
  <c r="AG777" i="29"/>
  <c r="AG773" i="29"/>
  <c r="AG769" i="29"/>
  <c r="AG765" i="29"/>
  <c r="AG761" i="29"/>
  <c r="AG757" i="29"/>
  <c r="AG753" i="29"/>
  <c r="AG749" i="29"/>
  <c r="AG745" i="29"/>
  <c r="AG741" i="29"/>
  <c r="AG737" i="29"/>
  <c r="AG733" i="29"/>
  <c r="AG729" i="29"/>
  <c r="AG725" i="29"/>
  <c r="AG721" i="29"/>
  <c r="AG717" i="29"/>
  <c r="AG713" i="29"/>
  <c r="AG709" i="29"/>
  <c r="AG705" i="29"/>
  <c r="AG701" i="29"/>
  <c r="AG697" i="29"/>
  <c r="AG693" i="29"/>
  <c r="AG689" i="29"/>
  <c r="AG685" i="29"/>
  <c r="AG681" i="29"/>
  <c r="AG677" i="29"/>
  <c r="AG673" i="29"/>
  <c r="AG669" i="29"/>
  <c r="AG665" i="29"/>
  <c r="AG661" i="29"/>
  <c r="AG657" i="29"/>
  <c r="AG653" i="29"/>
  <c r="AG649" i="29"/>
  <c r="AG645" i="29"/>
  <c r="AG641" i="29"/>
  <c r="AG637" i="29"/>
  <c r="AG633" i="29"/>
  <c r="AG629" i="29"/>
  <c r="AG625" i="29"/>
  <c r="AG621" i="29"/>
  <c r="AG617" i="29"/>
  <c r="AG613" i="29"/>
  <c r="AG609" i="29"/>
  <c r="AG605" i="29"/>
  <c r="AG598" i="29"/>
  <c r="AG590" i="29"/>
  <c r="AG603" i="29"/>
  <c r="AG599" i="29"/>
  <c r="AG595" i="29"/>
  <c r="AG591" i="29"/>
  <c r="AG587" i="29"/>
  <c r="AG583" i="29"/>
  <c r="AG579" i="29"/>
  <c r="AG575" i="29"/>
  <c r="AG571" i="29"/>
  <c r="AG567" i="29"/>
  <c r="AG563" i="29"/>
  <c r="AG559" i="29"/>
  <c r="AG555" i="29"/>
  <c r="AG551" i="29"/>
  <c r="AG547" i="29"/>
  <c r="AG543" i="29"/>
  <c r="AG539" i="29"/>
  <c r="AG535" i="29"/>
  <c r="AG531" i="29"/>
  <c r="AG527" i="29"/>
  <c r="AG523" i="29"/>
  <c r="AG519" i="29"/>
  <c r="AG515" i="29"/>
  <c r="AG511" i="29"/>
  <c r="AG507" i="29"/>
  <c r="AG503" i="29"/>
  <c r="AG499" i="29"/>
  <c r="AG495" i="29"/>
  <c r="AG491" i="29"/>
  <c r="AG487" i="29"/>
  <c r="AG483" i="29"/>
  <c r="AG479" i="29"/>
  <c r="AG475" i="29"/>
  <c r="AG471" i="29"/>
  <c r="AG467" i="29"/>
  <c r="AG463" i="29"/>
  <c r="AG459" i="29"/>
  <c r="AG455" i="29"/>
  <c r="AG451" i="29"/>
  <c r="AG447" i="29"/>
  <c r="AG443" i="29"/>
  <c r="AG439" i="29"/>
  <c r="AG435" i="29"/>
  <c r="AG431" i="29"/>
  <c r="AG427" i="29"/>
  <c r="AG423" i="29"/>
  <c r="AG419" i="29"/>
  <c r="AG415" i="29"/>
  <c r="AG411" i="29"/>
  <c r="AG407" i="29"/>
  <c r="AG403" i="29"/>
  <c r="AG399" i="29"/>
  <c r="AG395" i="29"/>
  <c r="AG391" i="29"/>
  <c r="AG387" i="29"/>
  <c r="AG383" i="29"/>
  <c r="AG379" i="29"/>
  <c r="AG375" i="29"/>
  <c r="AG371" i="29"/>
  <c r="AG367" i="29"/>
  <c r="AG363" i="29"/>
  <c r="AG359" i="29"/>
  <c r="AG355" i="29"/>
  <c r="AG351" i="29"/>
  <c r="AG347" i="29"/>
  <c r="AG343" i="29"/>
  <c r="AG339" i="29"/>
  <c r="AG335" i="29"/>
  <c r="AG331" i="29"/>
  <c r="AG327" i="29"/>
  <c r="AG323" i="29"/>
  <c r="AG319" i="29"/>
  <c r="AG315" i="29"/>
  <c r="AG311" i="29"/>
  <c r="AG307" i="29"/>
  <c r="AG303" i="29"/>
  <c r="AG299" i="29"/>
  <c r="AG295" i="29"/>
  <c r="AG291" i="29"/>
  <c r="AG287" i="29"/>
  <c r="AG283" i="29"/>
  <c r="AG279" i="29"/>
  <c r="AG275" i="29"/>
  <c r="AG271" i="29"/>
  <c r="AG267" i="29"/>
  <c r="AG263" i="29"/>
  <c r="AG259" i="29"/>
  <c r="AG255" i="29"/>
  <c r="AG251" i="29"/>
  <c r="AG247" i="29"/>
  <c r="AG243" i="29"/>
  <c r="AG239" i="29"/>
  <c r="AG235" i="29"/>
  <c r="AG231" i="29"/>
  <c r="AG227" i="29"/>
  <c r="AG223" i="29"/>
  <c r="AG219" i="29"/>
  <c r="AG215" i="29"/>
  <c r="AG211" i="29"/>
  <c r="AG207" i="29"/>
  <c r="AG203" i="29"/>
  <c r="AG199" i="29"/>
  <c r="AG195" i="29"/>
  <c r="AG191" i="29"/>
  <c r="AG187" i="29"/>
  <c r="AG183" i="29"/>
  <c r="AG179" i="29"/>
  <c r="AG175" i="29"/>
  <c r="AG171" i="29"/>
  <c r="AG167" i="29"/>
  <c r="AG163" i="29"/>
  <c r="AG159" i="29"/>
  <c r="AG155" i="29"/>
  <c r="AG151" i="29"/>
  <c r="AG147" i="29"/>
  <c r="AG143" i="29"/>
  <c r="AG139" i="29"/>
  <c r="AG135" i="29"/>
  <c r="AG131" i="29"/>
  <c r="AG127" i="29"/>
  <c r="AG123" i="29"/>
  <c r="AG119" i="29"/>
  <c r="AG115" i="29"/>
  <c r="AG111" i="29"/>
  <c r="AG107" i="29"/>
  <c r="AG103" i="29"/>
  <c r="AG99" i="29"/>
  <c r="AG95" i="29"/>
  <c r="AG91" i="29"/>
  <c r="AG87" i="29"/>
  <c r="AG83" i="29"/>
  <c r="AG79" i="29"/>
  <c r="AG75" i="29"/>
  <c r="AG71" i="29"/>
  <c r="AG67" i="29"/>
  <c r="AG63" i="29"/>
  <c r="AG59" i="29"/>
  <c r="AG55" i="29"/>
  <c r="AG51" i="29"/>
  <c r="AG47" i="29"/>
  <c r="AG43" i="29"/>
  <c r="AG39" i="29"/>
  <c r="AG35" i="29"/>
  <c r="AG31" i="29"/>
  <c r="AG27" i="29"/>
  <c r="AG23" i="29"/>
  <c r="AG19" i="29"/>
  <c r="AG15" i="29"/>
  <c r="AG11" i="29"/>
  <c r="AG7" i="29"/>
  <c r="AG580" i="29"/>
  <c r="AG576" i="29"/>
  <c r="AG572" i="29"/>
  <c r="AG568" i="29"/>
  <c r="AG564" i="29"/>
  <c r="AG560" i="29"/>
  <c r="AG556" i="29"/>
  <c r="AG552" i="29"/>
  <c r="AG548" i="29"/>
  <c r="AG544" i="29"/>
  <c r="AG540" i="29"/>
  <c r="AG536" i="29"/>
  <c r="AG532" i="29"/>
  <c r="AG528" i="29"/>
  <c r="AG524" i="29"/>
  <c r="AG520" i="29"/>
  <c r="AG516" i="29"/>
  <c r="AG512" i="29"/>
  <c r="AG508" i="29"/>
  <c r="AG504" i="29"/>
  <c r="AG500" i="29"/>
  <c r="AG496" i="29"/>
  <c r="AG492" i="29"/>
  <c r="AG488" i="29"/>
  <c r="AG484" i="29"/>
  <c r="AG480" i="29"/>
  <c r="AG476" i="29"/>
  <c r="AG472" i="29"/>
  <c r="AG468" i="29"/>
  <c r="AG464" i="29"/>
  <c r="AG460" i="29"/>
  <c r="AG456" i="29"/>
  <c r="AG452" i="29"/>
  <c r="AG448" i="29"/>
  <c r="AG444" i="29"/>
  <c r="AG440" i="29"/>
  <c r="AG436" i="29"/>
  <c r="AG432" i="29"/>
  <c r="AG428" i="29"/>
  <c r="AG424" i="29"/>
  <c r="AG420" i="29"/>
  <c r="AG416" i="29"/>
  <c r="AG412" i="29"/>
  <c r="AG408" i="29"/>
  <c r="AG404" i="29"/>
  <c r="AG400" i="29"/>
  <c r="AG396" i="29"/>
  <c r="AG392" i="29"/>
  <c r="AG388" i="29"/>
  <c r="AG384" i="29"/>
  <c r="AG380" i="29"/>
  <c r="AG376" i="29"/>
  <c r="AG372" i="29"/>
  <c r="AG368" i="29"/>
  <c r="AG364" i="29"/>
  <c r="AG360" i="29"/>
  <c r="AG356" i="29"/>
  <c r="AG352" i="29"/>
  <c r="AG348" i="29"/>
  <c r="AG344" i="29"/>
  <c r="AG340" i="29"/>
  <c r="AG336" i="29"/>
  <c r="AG332" i="29"/>
  <c r="AG328" i="29"/>
  <c r="AG324" i="29"/>
  <c r="AG320" i="29"/>
  <c r="AG316" i="29"/>
  <c r="AG312" i="29"/>
  <c r="AG308" i="29"/>
  <c r="AG304" i="29"/>
  <c r="AG300" i="29"/>
  <c r="AG296" i="29"/>
  <c r="AG292" i="29"/>
  <c r="AG288" i="29"/>
  <c r="AG284" i="29"/>
  <c r="AG280" i="29"/>
  <c r="AG276" i="29"/>
  <c r="AG272" i="29"/>
  <c r="AG268" i="29"/>
  <c r="AG264" i="29"/>
  <c r="AG260" i="29"/>
  <c r="AG256" i="29"/>
  <c r="AG252" i="29"/>
  <c r="AG248" i="29"/>
  <c r="AG244" i="29"/>
  <c r="AG240" i="29"/>
  <c r="AG236" i="29"/>
  <c r="AG232" i="29"/>
  <c r="AG228" i="29"/>
  <c r="AG224" i="29"/>
  <c r="AG220" i="29"/>
  <c r="AG216" i="29"/>
  <c r="AG212" i="29"/>
  <c r="AG208" i="29"/>
  <c r="AG204" i="29"/>
  <c r="AG200" i="29"/>
  <c r="AG196" i="29"/>
  <c r="AG192" i="29"/>
  <c r="AG188" i="29"/>
  <c r="AG184" i="29"/>
  <c r="AG180" i="29"/>
  <c r="AG176" i="29"/>
  <c r="AG172" i="29"/>
  <c r="AG168" i="29"/>
  <c r="AG164" i="29"/>
  <c r="AG160" i="29"/>
  <c r="AG156" i="29"/>
  <c r="AG152" i="29"/>
  <c r="AG148" i="29"/>
  <c r="AG144" i="29"/>
  <c r="AG140" i="29"/>
  <c r="AG136" i="29"/>
  <c r="AG132" i="29"/>
  <c r="AG128" i="29"/>
  <c r="AG124" i="29"/>
  <c r="AG120" i="29"/>
  <c r="AG116" i="29"/>
  <c r="AG112" i="29"/>
  <c r="AG108" i="29"/>
  <c r="AG104" i="29"/>
  <c r="AG100" i="29"/>
  <c r="AG96" i="29"/>
  <c r="AG92" i="29"/>
  <c r="AG88" i="29"/>
  <c r="AG84" i="29"/>
  <c r="AG80" i="29"/>
  <c r="AG76" i="29"/>
  <c r="AG72" i="29"/>
  <c r="AG68" i="29"/>
  <c r="AG64" i="29"/>
  <c r="AG60" i="29"/>
  <c r="AG56" i="29"/>
  <c r="AG52" i="29"/>
  <c r="AG48" i="29"/>
  <c r="AG44" i="29"/>
  <c r="AG40" i="29"/>
  <c r="AG36" i="29"/>
  <c r="AG32" i="29"/>
  <c r="AG28" i="29"/>
  <c r="AG24" i="29"/>
  <c r="AG20" i="29"/>
  <c r="AG16" i="29"/>
  <c r="AG12" i="29"/>
  <c r="AG8" i="29"/>
  <c r="AM37" i="24"/>
  <c r="AM36" i="24"/>
  <c r="AV43" i="24"/>
  <c r="AV36" i="24"/>
  <c r="AV46" i="24"/>
  <c r="AV38" i="24"/>
  <c r="AV41" i="24"/>
  <c r="AV44" i="24"/>
  <c r="AV37" i="24"/>
  <c r="AV47" i="24"/>
  <c r="AV39" i="24"/>
  <c r="AV42" i="24"/>
  <c r="AV45" i="24"/>
  <c r="AV40" i="24"/>
  <c r="D6" i="21"/>
  <c r="E7" i="21"/>
  <c r="AB40" i="13" s="1"/>
  <c r="D4" i="21"/>
  <c r="D8" i="21"/>
  <c r="E4" i="21"/>
  <c r="AB37" i="13" s="1"/>
  <c r="E5" i="21"/>
  <c r="AB38" i="13" s="1"/>
  <c r="E9" i="21"/>
  <c r="AB42" i="13" s="1"/>
  <c r="E10" i="21"/>
  <c r="D3" i="21"/>
  <c r="D7" i="21"/>
  <c r="D10" i="21"/>
  <c r="D5" i="21"/>
  <c r="E3" i="21"/>
  <c r="AB36" i="13" s="1"/>
  <c r="D9" i="21"/>
  <c r="E6" i="21"/>
  <c r="AB39" i="13" s="1"/>
  <c r="E8" i="21"/>
  <c r="AB41" i="13" s="1"/>
  <c r="AM35" i="24"/>
  <c r="AM41" i="24"/>
  <c r="AM38" i="24"/>
  <c r="AM39" i="24"/>
  <c r="AQ38" i="24"/>
  <c r="F36" i="1"/>
  <c r="F37" i="1"/>
  <c r="F34" i="1"/>
  <c r="F35" i="1"/>
  <c r="AM40" i="24"/>
  <c r="AQ34" i="24"/>
  <c r="AM26" i="24"/>
  <c r="F38" i="1"/>
  <c r="F39" i="1"/>
  <c r="F31" i="1"/>
  <c r="F40" i="1"/>
  <c r="F32" i="1"/>
  <c r="F33" i="1"/>
  <c r="L17" i="13"/>
  <c r="L16" i="13"/>
  <c r="AN8" i="27"/>
  <c r="AO10" i="27"/>
  <c r="AM8" i="27"/>
  <c r="AQ33" i="24"/>
  <c r="AM31" i="24"/>
  <c r="J31" i="24" s="1"/>
  <c r="AM28" i="24"/>
  <c r="I28" i="24" s="1"/>
  <c r="C5" i="28"/>
  <c r="C4" i="28"/>
  <c r="C6" i="28"/>
  <c r="C8" i="28"/>
  <c r="C7" i="28"/>
  <c r="C10" i="28"/>
  <c r="C9" i="28"/>
  <c r="C3" i="28"/>
  <c r="J5" i="1"/>
  <c r="AD16" i="1"/>
  <c r="AD31" i="1"/>
  <c r="AD15" i="1"/>
  <c r="D24" i="1"/>
  <c r="D26" i="1"/>
  <c r="AD32" i="1"/>
  <c r="AD14" i="1"/>
  <c r="AD33" i="1"/>
  <c r="AD10" i="1"/>
  <c r="AD13" i="1"/>
  <c r="AD12" i="1"/>
  <c r="AD38" i="1"/>
  <c r="AD7" i="1"/>
  <c r="AD6" i="1"/>
  <c r="D23" i="1"/>
  <c r="D22" i="1"/>
  <c r="D19" i="1"/>
  <c r="D20" i="1"/>
  <c r="AD34" i="1"/>
  <c r="AD36" i="1"/>
  <c r="AD30" i="1"/>
  <c r="AD39" i="1"/>
  <c r="AD9" i="1"/>
  <c r="D25" i="1"/>
  <c r="D21" i="1"/>
  <c r="AD40" i="1"/>
  <c r="AD37" i="1"/>
  <c r="AD8" i="1"/>
  <c r="AB26" i="3"/>
  <c r="AB28" i="3" s="1"/>
  <c r="C43" i="1" s="1"/>
  <c r="AC26" i="3"/>
  <c r="AC28" i="3" s="1"/>
  <c r="E43" i="1" s="1"/>
  <c r="K5" i="1"/>
  <c r="M9" i="10"/>
  <c r="L8" i="10"/>
  <c r="O8" i="10" s="1"/>
  <c r="F12" i="1" s="1"/>
  <c r="G3" i="10"/>
  <c r="G7" i="10"/>
  <c r="G6" i="10"/>
  <c r="G5" i="10"/>
  <c r="G4" i="10"/>
  <c r="AQ40" i="24" l="1"/>
  <c r="O40" i="24" s="1"/>
  <c r="G5" i="21"/>
  <c r="Y38" i="13" s="1"/>
  <c r="AQ39" i="24"/>
  <c r="T39" i="24" s="1"/>
  <c r="AQ35" i="24"/>
  <c r="O35" i="24" s="1"/>
  <c r="G4" i="21"/>
  <c r="Y37" i="13" s="1"/>
  <c r="G6" i="21"/>
  <c r="Y39" i="13" s="1"/>
  <c r="F7" i="21"/>
  <c r="AD40" i="13" s="1"/>
  <c r="G3" i="21"/>
  <c r="Y36" i="13" s="1"/>
  <c r="F9" i="21"/>
  <c r="AD42" i="13" s="1"/>
  <c r="F10" i="21"/>
  <c r="AE43" i="13" s="1"/>
  <c r="F6" i="21"/>
  <c r="AE39" i="13" s="1"/>
  <c r="F3" i="21"/>
  <c r="AD36" i="13" s="1"/>
  <c r="F5" i="21"/>
  <c r="AE38" i="13" s="1"/>
  <c r="G7" i="21"/>
  <c r="Y40" i="13" s="1"/>
  <c r="F4" i="21"/>
  <c r="AE37" i="13" s="1"/>
  <c r="G9" i="21"/>
  <c r="Y42" i="13" s="1"/>
  <c r="F8" i="21"/>
  <c r="AE41" i="13" s="1"/>
  <c r="G10" i="21"/>
  <c r="Y43" i="13" s="1"/>
  <c r="G8" i="21"/>
  <c r="Y41" i="13" s="1"/>
  <c r="AB43" i="13"/>
  <c r="AD41" i="13"/>
  <c r="AQ37" i="24"/>
  <c r="Z37" i="24" s="1"/>
  <c r="AR40" i="24"/>
  <c r="I41" i="24"/>
  <c r="E41" i="24"/>
  <c r="F41" i="24"/>
  <c r="J41" i="24"/>
  <c r="L41" i="24"/>
  <c r="D41" i="24"/>
  <c r="AR38" i="24"/>
  <c r="X38" i="24" s="1"/>
  <c r="AQ21" i="24"/>
  <c r="Q21" i="24" s="1"/>
  <c r="AQ31" i="24"/>
  <c r="Z31" i="24" s="1"/>
  <c r="AR41" i="24"/>
  <c r="AQ41" i="24"/>
  <c r="AA41" i="24" s="1"/>
  <c r="AQ36" i="24"/>
  <c r="Z36" i="24" s="1"/>
  <c r="AR33" i="24"/>
  <c r="W33" i="24" s="1"/>
  <c r="AQ24" i="24"/>
  <c r="Q24" i="24" s="1"/>
  <c r="AQ23" i="24"/>
  <c r="Z23" i="24" s="1"/>
  <c r="AR35" i="24"/>
  <c r="AQ32" i="24"/>
  <c r="U32" i="24" s="1"/>
  <c r="T34" i="24"/>
  <c r="Z34" i="24"/>
  <c r="AF34" i="24"/>
  <c r="O34" i="24"/>
  <c r="U34" i="24"/>
  <c r="AA34" i="24"/>
  <c r="R34" i="24"/>
  <c r="AE34" i="24"/>
  <c r="Q34" i="24"/>
  <c r="AB34" i="24"/>
  <c r="T33" i="24"/>
  <c r="Z33" i="24"/>
  <c r="AF33" i="24"/>
  <c r="O33" i="24"/>
  <c r="U33" i="24"/>
  <c r="AA33" i="24"/>
  <c r="R33" i="24"/>
  <c r="AE33" i="24"/>
  <c r="Q33" i="24"/>
  <c r="AB33" i="24"/>
  <c r="T38" i="24"/>
  <c r="Z38" i="24"/>
  <c r="AF38" i="24"/>
  <c r="O38" i="24"/>
  <c r="U38" i="24"/>
  <c r="AA38" i="24"/>
  <c r="R38" i="24"/>
  <c r="AE38" i="24"/>
  <c r="Q38" i="24"/>
  <c r="AB38" i="24"/>
  <c r="T40" i="24"/>
  <c r="AF40" i="24"/>
  <c r="U40" i="24"/>
  <c r="R40" i="24"/>
  <c r="Q40" i="24"/>
  <c r="AO8" i="27"/>
  <c r="D5" i="28"/>
  <c r="AQ26" i="24"/>
  <c r="AF26" i="24" s="1"/>
  <c r="AQ27" i="24"/>
  <c r="AF27" i="24" s="1"/>
  <c r="AQ25" i="24"/>
  <c r="AB25" i="24" s="1"/>
  <c r="AR27" i="24"/>
  <c r="AQ20" i="24"/>
  <c r="AE20" i="24" s="1"/>
  <c r="AQ29" i="24"/>
  <c r="R29" i="24" s="1"/>
  <c r="AQ28" i="24"/>
  <c r="AA28" i="24" s="1"/>
  <c r="AQ30" i="24"/>
  <c r="AB30" i="24" s="1"/>
  <c r="AR23" i="24"/>
  <c r="AQ22" i="24"/>
  <c r="T22" i="24" s="1"/>
  <c r="D40" i="24"/>
  <c r="AM18" i="24"/>
  <c r="D18" i="24" s="1"/>
  <c r="I37" i="24"/>
  <c r="AM30" i="24"/>
  <c r="E30" i="24" s="1"/>
  <c r="AM27" i="24"/>
  <c r="L27" i="24" s="1"/>
  <c r="AM21" i="24"/>
  <c r="F21" i="24" s="1"/>
  <c r="AM34" i="24"/>
  <c r="E34" i="24" s="1"/>
  <c r="F39" i="24"/>
  <c r="AM17" i="24"/>
  <c r="D17" i="24" s="1"/>
  <c r="D36" i="24"/>
  <c r="L38" i="24"/>
  <c r="AM33" i="24"/>
  <c r="E33" i="24" s="1"/>
  <c r="AM19" i="24"/>
  <c r="F19" i="24" s="1"/>
  <c r="AM16" i="24"/>
  <c r="L16" i="24" s="1"/>
  <c r="F26" i="24"/>
  <c r="E26" i="24"/>
  <c r="D26" i="24"/>
  <c r="L26" i="24"/>
  <c r="AM24" i="24"/>
  <c r="E24" i="24" s="1"/>
  <c r="F35" i="24"/>
  <c r="AM29" i="24"/>
  <c r="L29" i="24" s="1"/>
  <c r="AM22" i="24"/>
  <c r="D22" i="24" s="1"/>
  <c r="AM20" i="24"/>
  <c r="F20" i="24" s="1"/>
  <c r="AM23" i="24"/>
  <c r="E23" i="24" s="1"/>
  <c r="AM15" i="24"/>
  <c r="I15" i="24" s="1"/>
  <c r="AM25" i="24"/>
  <c r="I31" i="24"/>
  <c r="L28" i="24"/>
  <c r="E28" i="24"/>
  <c r="D28" i="24"/>
  <c r="F28" i="24"/>
  <c r="J28" i="24"/>
  <c r="AM8" i="24"/>
  <c r="E8" i="24" s="1"/>
  <c r="AM32" i="24"/>
  <c r="J32" i="24" s="1"/>
  <c r="F31" i="24"/>
  <c r="D31" i="24"/>
  <c r="L31" i="24"/>
  <c r="E31" i="24"/>
  <c r="AM6" i="24"/>
  <c r="D6" i="24" s="1"/>
  <c r="AM10" i="24"/>
  <c r="L10" i="24" s="1"/>
  <c r="AM11" i="24"/>
  <c r="D11" i="24" s="1"/>
  <c r="AM9" i="24"/>
  <c r="L9" i="24" s="1"/>
  <c r="AM13" i="24"/>
  <c r="D13" i="24" s="1"/>
  <c r="AM7" i="24"/>
  <c r="D7" i="24" s="1"/>
  <c r="AM14" i="24"/>
  <c r="D14" i="24" s="1"/>
  <c r="AM12" i="24"/>
  <c r="AF40" i="1"/>
  <c r="O40" i="1" s="1"/>
  <c r="AR28" i="24"/>
  <c r="AR26" i="24"/>
  <c r="AR30" i="24"/>
  <c r="AR21" i="24"/>
  <c r="AR25" i="24"/>
  <c r="AR31" i="24"/>
  <c r="AR22" i="24"/>
  <c r="AR34" i="24"/>
  <c r="W34" i="24" s="1"/>
  <c r="AR39" i="24"/>
  <c r="AR29" i="24"/>
  <c r="AR32" i="24"/>
  <c r="AR36" i="24"/>
  <c r="AR24" i="24"/>
  <c r="AR37" i="24"/>
  <c r="AR20" i="24"/>
  <c r="AR14" i="24"/>
  <c r="AR15" i="24"/>
  <c r="E5" i="28"/>
  <c r="D6" i="28"/>
  <c r="E8" i="28"/>
  <c r="E9" i="28"/>
  <c r="D9" i="28"/>
  <c r="E7" i="28"/>
  <c r="E4" i="28"/>
  <c r="D8" i="28"/>
  <c r="D10" i="28"/>
  <c r="E10" i="28"/>
  <c r="D7" i="28"/>
  <c r="E6" i="28"/>
  <c r="E3" i="28"/>
  <c r="D3" i="28"/>
  <c r="D4" i="28"/>
  <c r="AO36" i="24"/>
  <c r="AO37" i="24"/>
  <c r="I26" i="24"/>
  <c r="J26" i="24"/>
  <c r="L5" i="1"/>
  <c r="AB22" i="1"/>
  <c r="E22" i="1" s="1"/>
  <c r="AN38" i="13"/>
  <c r="M38" i="13" s="1"/>
  <c r="AO40" i="13"/>
  <c r="AN40" i="13"/>
  <c r="AN37" i="13"/>
  <c r="AN39" i="13"/>
  <c r="AO38" i="13"/>
  <c r="AO39" i="13"/>
  <c r="AO37" i="13"/>
  <c r="AN36" i="13"/>
  <c r="M36" i="13" s="1"/>
  <c r="AC21" i="1"/>
  <c r="A21" i="1" s="1"/>
  <c r="AO35" i="13"/>
  <c r="AO36" i="13"/>
  <c r="AN10" i="13"/>
  <c r="AN27" i="13"/>
  <c r="AO10" i="13"/>
  <c r="AN9" i="13"/>
  <c r="M9" i="13" s="1"/>
  <c r="AC23" i="1"/>
  <c r="A23" i="1" s="1"/>
  <c r="AC25" i="1"/>
  <c r="A25" i="1" s="1"/>
  <c r="AB20" i="1"/>
  <c r="F20" i="1" s="1"/>
  <c r="AC26" i="1"/>
  <c r="A26" i="1" s="1"/>
  <c r="AB21" i="1"/>
  <c r="F21" i="1" s="1"/>
  <c r="AN19" i="13"/>
  <c r="AN12" i="13"/>
  <c r="AN11" i="13"/>
  <c r="AN7" i="13"/>
  <c r="M7" i="13" s="1"/>
  <c r="AN13" i="13"/>
  <c r="AN18" i="13"/>
  <c r="AO19" i="13"/>
  <c r="AO20" i="13"/>
  <c r="AN24" i="13"/>
  <c r="AN21" i="13"/>
  <c r="AN20" i="13"/>
  <c r="AN35" i="13"/>
  <c r="AO9" i="13"/>
  <c r="AN15" i="13"/>
  <c r="AO8" i="13"/>
  <c r="AN14" i="13"/>
  <c r="AN34" i="13"/>
  <c r="AO32" i="13"/>
  <c r="AN8" i="13"/>
  <c r="AO34" i="13"/>
  <c r="AO27" i="13"/>
  <c r="AO14" i="13"/>
  <c r="AO6" i="13"/>
  <c r="AN32" i="13"/>
  <c r="AN30" i="13"/>
  <c r="M30" i="13" s="1"/>
  <c r="AN33" i="13"/>
  <c r="M33" i="13" s="1"/>
  <c r="AO7" i="13"/>
  <c r="AN26" i="13"/>
  <c r="M26" i="13" s="1"/>
  <c r="AO30" i="13"/>
  <c r="AO31" i="13"/>
  <c r="AO13" i="13"/>
  <c r="AN22" i="13"/>
  <c r="AO29" i="13"/>
  <c r="AN5" i="13"/>
  <c r="AO26" i="13"/>
  <c r="AO23" i="13"/>
  <c r="AO33" i="13"/>
  <c r="AN6" i="13"/>
  <c r="AO28" i="13"/>
  <c r="AN23" i="13"/>
  <c r="AO15" i="13"/>
  <c r="AO5" i="13"/>
  <c r="AO24" i="13"/>
  <c r="AO21" i="13"/>
  <c r="AN31" i="13"/>
  <c r="M31" i="13" s="1"/>
  <c r="AO22" i="13"/>
  <c r="AO12" i="13"/>
  <c r="AN25" i="13"/>
  <c r="AN28" i="13"/>
  <c r="AN29" i="13"/>
  <c r="M29" i="13" s="1"/>
  <c r="AO11" i="13"/>
  <c r="AO18" i="13"/>
  <c r="AR19" i="13"/>
  <c r="AO25" i="13"/>
  <c r="AR20" i="13"/>
  <c r="AB25" i="1"/>
  <c r="F25" i="1" s="1"/>
  <c r="AE34" i="1"/>
  <c r="AF38" i="1"/>
  <c r="V38" i="1" s="1"/>
  <c r="AE38" i="1"/>
  <c r="AF30" i="1"/>
  <c r="W30" i="1" s="1"/>
  <c r="AF36" i="1"/>
  <c r="V36" i="1" s="1"/>
  <c r="AB19" i="1"/>
  <c r="F19" i="1" s="1"/>
  <c r="AF32" i="1"/>
  <c r="W32" i="1" s="1"/>
  <c r="AF12" i="1"/>
  <c r="V12" i="1" s="1"/>
  <c r="AC19" i="1"/>
  <c r="A19" i="1" s="1"/>
  <c r="AB23" i="1"/>
  <c r="F23" i="1" s="1"/>
  <c r="AE33" i="1"/>
  <c r="AE40" i="1"/>
  <c r="AE30" i="1"/>
  <c r="AE39" i="1"/>
  <c r="AC22" i="1"/>
  <c r="A22" i="1" s="1"/>
  <c r="AB24" i="1"/>
  <c r="F24" i="1" s="1"/>
  <c r="AE37" i="1"/>
  <c r="AF7" i="1"/>
  <c r="W7" i="1" s="1"/>
  <c r="AF6" i="1"/>
  <c r="W6" i="1" s="1"/>
  <c r="AE32" i="1"/>
  <c r="AE31" i="1"/>
  <c r="AF31" i="1"/>
  <c r="W31" i="1" s="1"/>
  <c r="AF33" i="1"/>
  <c r="W33" i="1" s="1"/>
  <c r="AE36" i="1"/>
  <c r="AF8" i="1"/>
  <c r="W8" i="1" s="1"/>
  <c r="AF10" i="1"/>
  <c r="W10" i="1" s="1"/>
  <c r="AC20" i="1"/>
  <c r="A20" i="1" s="1"/>
  <c r="AB26" i="1"/>
  <c r="E26" i="1" s="1"/>
  <c r="AF13" i="1"/>
  <c r="O13" i="1" s="1"/>
  <c r="AF39" i="1"/>
  <c r="V39" i="1" s="1"/>
  <c r="AC24" i="1"/>
  <c r="A24" i="1" s="1"/>
  <c r="AF34" i="1"/>
  <c r="W34" i="1" s="1"/>
  <c r="AI29" i="1"/>
  <c r="AF14" i="1"/>
  <c r="V14" i="1" s="1"/>
  <c r="AF15" i="1"/>
  <c r="V15" i="1" s="1"/>
  <c r="AF9" i="1"/>
  <c r="W9" i="1" s="1"/>
  <c r="AI30" i="1"/>
  <c r="AF37" i="1"/>
  <c r="V37" i="1" s="1"/>
  <c r="AF16" i="1"/>
  <c r="O16" i="1" s="1"/>
  <c r="AE15" i="1"/>
  <c r="J24" i="1"/>
  <c r="K24" i="1"/>
  <c r="AE10" i="1"/>
  <c r="AE14" i="1"/>
  <c r="AE7" i="1"/>
  <c r="AE9" i="1"/>
  <c r="AE6" i="1"/>
  <c r="AE16" i="1"/>
  <c r="AE13" i="1"/>
  <c r="AE12" i="1"/>
  <c r="AE8" i="1"/>
  <c r="AI6" i="1"/>
  <c r="AI5" i="1"/>
  <c r="L9" i="10"/>
  <c r="O9" i="10" s="1"/>
  <c r="F13" i="1" s="1"/>
  <c r="M10" i="10"/>
  <c r="X40" i="24" l="1"/>
  <c r="AF39" i="24"/>
  <c r="R39" i="24"/>
  <c r="AE39" i="24"/>
  <c r="AB40" i="24"/>
  <c r="AA40" i="24"/>
  <c r="Z40" i="24"/>
  <c r="O39" i="24"/>
  <c r="AE40" i="24"/>
  <c r="W39" i="24"/>
  <c r="AB39" i="24"/>
  <c r="AA39" i="24"/>
  <c r="Z39" i="24"/>
  <c r="Q39" i="24"/>
  <c r="U39" i="24"/>
  <c r="X35" i="24"/>
  <c r="T35" i="24"/>
  <c r="Z35" i="24"/>
  <c r="R35" i="24"/>
  <c r="AB35" i="24"/>
  <c r="U35" i="24"/>
  <c r="AE35" i="24"/>
  <c r="AA35" i="24"/>
  <c r="AF35" i="24"/>
  <c r="Q35" i="24"/>
  <c r="AD38" i="13"/>
  <c r="AE40" i="13"/>
  <c r="AD43" i="13"/>
  <c r="AE42" i="13"/>
  <c r="AD39" i="13"/>
  <c r="AD37" i="13"/>
  <c r="AE36" i="13"/>
  <c r="AR39" i="13"/>
  <c r="U37" i="24"/>
  <c r="W37" i="24"/>
  <c r="AE37" i="24"/>
  <c r="AF37" i="24"/>
  <c r="Q37" i="24"/>
  <c r="O37" i="24"/>
  <c r="W38" i="24"/>
  <c r="R37" i="24"/>
  <c r="T37" i="24"/>
  <c r="W40" i="24"/>
  <c r="AB37" i="24"/>
  <c r="AA37" i="24"/>
  <c r="L28" i="13"/>
  <c r="M28" i="13"/>
  <c r="L8" i="13"/>
  <c r="M8" i="13"/>
  <c r="L34" i="13"/>
  <c r="M34" i="13"/>
  <c r="L20" i="13"/>
  <c r="M20" i="13"/>
  <c r="L24" i="13"/>
  <c r="M24" i="13"/>
  <c r="L13" i="13"/>
  <c r="M13" i="13"/>
  <c r="L11" i="13"/>
  <c r="M11" i="13"/>
  <c r="L19" i="13"/>
  <c r="M19" i="13"/>
  <c r="L27" i="13"/>
  <c r="M27" i="13"/>
  <c r="L37" i="13"/>
  <c r="M37" i="13"/>
  <c r="L25" i="13"/>
  <c r="M25" i="13"/>
  <c r="L23" i="13"/>
  <c r="M23" i="13"/>
  <c r="L6" i="13"/>
  <c r="M6" i="13"/>
  <c r="L5" i="13"/>
  <c r="M5" i="13"/>
  <c r="L22" i="13"/>
  <c r="M22" i="13"/>
  <c r="L32" i="13"/>
  <c r="M32" i="13"/>
  <c r="L14" i="13"/>
  <c r="M14" i="13"/>
  <c r="L15" i="13"/>
  <c r="M15" i="13"/>
  <c r="L35" i="13"/>
  <c r="M35" i="13"/>
  <c r="L21" i="13"/>
  <c r="M21" i="13"/>
  <c r="L18" i="13"/>
  <c r="M18" i="13"/>
  <c r="L12" i="13"/>
  <c r="M12" i="13"/>
  <c r="L10" i="13"/>
  <c r="M10" i="13"/>
  <c r="Z21" i="24"/>
  <c r="X21" i="24"/>
  <c r="C7" i="13"/>
  <c r="L7" i="13"/>
  <c r="C9" i="13"/>
  <c r="L9" i="13"/>
  <c r="C31" i="13"/>
  <c r="L31" i="13"/>
  <c r="C30" i="13"/>
  <c r="L30" i="13"/>
  <c r="C26" i="13"/>
  <c r="L26" i="13"/>
  <c r="C36" i="13"/>
  <c r="L36" i="13"/>
  <c r="C38" i="13"/>
  <c r="L38" i="13"/>
  <c r="C29" i="13"/>
  <c r="L29" i="13"/>
  <c r="C33" i="13"/>
  <c r="L33" i="13"/>
  <c r="T21" i="24"/>
  <c r="U21" i="24"/>
  <c r="AJ7" i="28"/>
  <c r="AO7" i="28"/>
  <c r="AM7" i="28"/>
  <c r="AP7" i="28"/>
  <c r="AJ5" i="28"/>
  <c r="AO5" i="28"/>
  <c r="AP5" i="28"/>
  <c r="AM5" i="28"/>
  <c r="AP3" i="28"/>
  <c r="AJ3" i="28"/>
  <c r="AM3" i="28"/>
  <c r="AO3" i="28"/>
  <c r="AM8" i="28"/>
  <c r="AO8" i="28"/>
  <c r="AP8" i="28"/>
  <c r="AJ8" i="28"/>
  <c r="AP10" i="28"/>
  <c r="AM10" i="28"/>
  <c r="AJ10" i="28"/>
  <c r="AO10" i="28"/>
  <c r="AM4" i="28"/>
  <c r="AP4" i="28"/>
  <c r="AJ4" i="28"/>
  <c r="AO4" i="28"/>
  <c r="AI1" i="28"/>
  <c r="AP6" i="28"/>
  <c r="AJ6" i="28"/>
  <c r="AM6" i="28"/>
  <c r="AO6" i="28"/>
  <c r="AJ9" i="28"/>
  <c r="AO9" i="28"/>
  <c r="AP9" i="28"/>
  <c r="AM9" i="28"/>
  <c r="D27" i="24"/>
  <c r="AB31" i="24"/>
  <c r="L34" i="24"/>
  <c r="O41" i="24"/>
  <c r="T31" i="24"/>
  <c r="O21" i="24"/>
  <c r="AB21" i="24"/>
  <c r="AA21" i="24"/>
  <c r="R21" i="24"/>
  <c r="AE21" i="24"/>
  <c r="AF21" i="24"/>
  <c r="T36" i="24"/>
  <c r="R31" i="24"/>
  <c r="AA31" i="24"/>
  <c r="U31" i="24"/>
  <c r="W31" i="24"/>
  <c r="Q31" i="24"/>
  <c r="O31" i="24"/>
  <c r="AF31" i="24"/>
  <c r="AE31" i="24"/>
  <c r="Q36" i="24"/>
  <c r="W36" i="24"/>
  <c r="AE36" i="24"/>
  <c r="U36" i="24"/>
  <c r="O36" i="24"/>
  <c r="R36" i="24"/>
  <c r="AF36" i="24"/>
  <c r="AB36" i="24"/>
  <c r="AA36" i="24"/>
  <c r="Z41" i="24"/>
  <c r="R41" i="24"/>
  <c r="X33" i="24"/>
  <c r="AF41" i="24"/>
  <c r="U41" i="24"/>
  <c r="AB41" i="24"/>
  <c r="Q41" i="24"/>
  <c r="T41" i="24"/>
  <c r="X41" i="24"/>
  <c r="W41" i="24"/>
  <c r="AE41" i="24"/>
  <c r="U24" i="24"/>
  <c r="W24" i="24"/>
  <c r="AB24" i="24"/>
  <c r="AE24" i="24"/>
  <c r="R24" i="24"/>
  <c r="AF24" i="24"/>
  <c r="Z24" i="24"/>
  <c r="T24" i="24"/>
  <c r="W27" i="24"/>
  <c r="AF32" i="24"/>
  <c r="W32" i="24"/>
  <c r="AA24" i="24"/>
  <c r="O24" i="24"/>
  <c r="Q32" i="24"/>
  <c r="AE32" i="24"/>
  <c r="O32" i="24"/>
  <c r="O23" i="24"/>
  <c r="W23" i="24"/>
  <c r="AE23" i="24"/>
  <c r="AF23" i="24"/>
  <c r="AB23" i="24"/>
  <c r="Q23" i="24"/>
  <c r="T23" i="24"/>
  <c r="R23" i="24"/>
  <c r="AA23" i="24"/>
  <c r="U23" i="24"/>
  <c r="R32" i="24"/>
  <c r="AA32" i="24"/>
  <c r="Z32" i="24"/>
  <c r="AB32" i="24"/>
  <c r="T32" i="24"/>
  <c r="W35" i="24"/>
  <c r="X39" i="24"/>
  <c r="X37" i="24"/>
  <c r="X34" i="24"/>
  <c r="X36" i="24"/>
  <c r="AF25" i="24"/>
  <c r="X23" i="24"/>
  <c r="O26" i="24"/>
  <c r="AE26" i="24"/>
  <c r="T27" i="24"/>
  <c r="Q27" i="24"/>
  <c r="AB27" i="24"/>
  <c r="Q25" i="24"/>
  <c r="O27" i="24"/>
  <c r="AA27" i="24"/>
  <c r="Z26" i="24"/>
  <c r="U26" i="24"/>
  <c r="R26" i="24"/>
  <c r="W25" i="24"/>
  <c r="AA26" i="24"/>
  <c r="AB26" i="24"/>
  <c r="T25" i="24"/>
  <c r="Q26" i="24"/>
  <c r="T26" i="24"/>
  <c r="W26" i="24"/>
  <c r="X26" i="24"/>
  <c r="X27" i="24"/>
  <c r="AE27" i="24"/>
  <c r="U27" i="24"/>
  <c r="Z27" i="24"/>
  <c r="R27" i="24"/>
  <c r="AA25" i="24"/>
  <c r="AE25" i="24"/>
  <c r="R25" i="24"/>
  <c r="U25" i="24"/>
  <c r="Z25" i="24"/>
  <c r="O25" i="24"/>
  <c r="U20" i="24"/>
  <c r="R20" i="24"/>
  <c r="AF20" i="24"/>
  <c r="U22" i="24"/>
  <c r="O22" i="24"/>
  <c r="T20" i="24"/>
  <c r="AB20" i="24"/>
  <c r="Z20" i="24"/>
  <c r="O20" i="24"/>
  <c r="AA20" i="24"/>
  <c r="Q20" i="24"/>
  <c r="AF28" i="24"/>
  <c r="Z29" i="24"/>
  <c r="Q29" i="24"/>
  <c r="T28" i="24"/>
  <c r="O29" i="24"/>
  <c r="AA29" i="24"/>
  <c r="AF29" i="24"/>
  <c r="AE29" i="24"/>
  <c r="AB29" i="24"/>
  <c r="X29" i="24"/>
  <c r="T29" i="24"/>
  <c r="U29" i="24"/>
  <c r="AE22" i="24"/>
  <c r="AA22" i="24"/>
  <c r="R22" i="24"/>
  <c r="Z28" i="24"/>
  <c r="Q28" i="24"/>
  <c r="R28" i="24"/>
  <c r="AB28" i="24"/>
  <c r="AE28" i="24"/>
  <c r="U28" i="24"/>
  <c r="X28" i="24"/>
  <c r="O28" i="24"/>
  <c r="W28" i="24"/>
  <c r="AE30" i="24"/>
  <c r="AA30" i="24"/>
  <c r="O30" i="24"/>
  <c r="Q30" i="24"/>
  <c r="T30" i="24"/>
  <c r="U30" i="24"/>
  <c r="R30" i="24"/>
  <c r="Z30" i="24"/>
  <c r="AF30" i="24"/>
  <c r="X30" i="24"/>
  <c r="J40" i="24"/>
  <c r="F40" i="24"/>
  <c r="E40" i="24"/>
  <c r="F18" i="24"/>
  <c r="I40" i="24"/>
  <c r="L40" i="24"/>
  <c r="J18" i="24"/>
  <c r="AB22" i="24"/>
  <c r="X22" i="24"/>
  <c r="AF22" i="24"/>
  <c r="Z22" i="24"/>
  <c r="Q22" i="24"/>
  <c r="E18" i="24"/>
  <c r="I18" i="24"/>
  <c r="I34" i="24"/>
  <c r="L37" i="24"/>
  <c r="L18" i="24"/>
  <c r="F37" i="24"/>
  <c r="J37" i="24"/>
  <c r="D30" i="24"/>
  <c r="D37" i="24"/>
  <c r="E37" i="24"/>
  <c r="J30" i="24"/>
  <c r="I30" i="24"/>
  <c r="L30" i="24"/>
  <c r="I27" i="24"/>
  <c r="J27" i="24"/>
  <c r="F27" i="24"/>
  <c r="E27" i="24"/>
  <c r="F30" i="24"/>
  <c r="D38" i="24"/>
  <c r="F38" i="24"/>
  <c r="J34" i="24"/>
  <c r="D34" i="24"/>
  <c r="F34" i="24"/>
  <c r="E36" i="24"/>
  <c r="J39" i="24"/>
  <c r="L39" i="24"/>
  <c r="L33" i="24"/>
  <c r="E39" i="24"/>
  <c r="D21" i="24"/>
  <c r="E21" i="24"/>
  <c r="E17" i="24"/>
  <c r="J21" i="24"/>
  <c r="I39" i="24"/>
  <c r="D39" i="24"/>
  <c r="L21" i="24"/>
  <c r="I21" i="24"/>
  <c r="L17" i="24"/>
  <c r="F36" i="24"/>
  <c r="L36" i="24"/>
  <c r="E35" i="24"/>
  <c r="F17" i="24"/>
  <c r="E19" i="24"/>
  <c r="F22" i="24"/>
  <c r="L19" i="24"/>
  <c r="J15" i="24"/>
  <c r="D24" i="24"/>
  <c r="D19" i="24"/>
  <c r="J33" i="24"/>
  <c r="F33" i="24"/>
  <c r="J38" i="24"/>
  <c r="I6" i="24"/>
  <c r="I33" i="24"/>
  <c r="E38" i="24"/>
  <c r="D33" i="24"/>
  <c r="I38" i="24"/>
  <c r="I16" i="24"/>
  <c r="L23" i="24"/>
  <c r="F16" i="24"/>
  <c r="J16" i="24"/>
  <c r="D16" i="24"/>
  <c r="D29" i="24"/>
  <c r="S8" i="1"/>
  <c r="J29" i="24"/>
  <c r="I23" i="24"/>
  <c r="D23" i="24"/>
  <c r="J23" i="24"/>
  <c r="E29" i="24"/>
  <c r="F29" i="24"/>
  <c r="I29" i="24"/>
  <c r="F23" i="24"/>
  <c r="E16" i="24"/>
  <c r="J22" i="24"/>
  <c r="J24" i="24"/>
  <c r="L22" i="24"/>
  <c r="L24" i="24"/>
  <c r="E22" i="24"/>
  <c r="F24" i="24"/>
  <c r="I22" i="24"/>
  <c r="I24" i="24"/>
  <c r="F8" i="24"/>
  <c r="J8" i="24"/>
  <c r="I35" i="24"/>
  <c r="I32" i="24"/>
  <c r="L20" i="24"/>
  <c r="J35" i="24"/>
  <c r="L35" i="24"/>
  <c r="E15" i="24"/>
  <c r="F15" i="24"/>
  <c r="L15" i="24"/>
  <c r="D15" i="24"/>
  <c r="I20" i="24"/>
  <c r="J20" i="24"/>
  <c r="D20" i="24"/>
  <c r="D35" i="24"/>
  <c r="E25" i="24"/>
  <c r="D25" i="24"/>
  <c r="L25" i="24"/>
  <c r="J25" i="24"/>
  <c r="F25" i="24"/>
  <c r="I25" i="24"/>
  <c r="L8" i="24"/>
  <c r="E20" i="24"/>
  <c r="E10" i="24"/>
  <c r="E7" i="24"/>
  <c r="L6" i="24"/>
  <c r="I14" i="24"/>
  <c r="E11" i="24"/>
  <c r="D8" i="24"/>
  <c r="E6" i="24"/>
  <c r="E32" i="24"/>
  <c r="D32" i="24"/>
  <c r="F32" i="24"/>
  <c r="L32" i="24"/>
  <c r="I7" i="24"/>
  <c r="L7" i="24"/>
  <c r="F10" i="24"/>
  <c r="F7" i="24"/>
  <c r="D10" i="24"/>
  <c r="S12" i="1"/>
  <c r="L11" i="24"/>
  <c r="F11" i="24"/>
  <c r="L14" i="24"/>
  <c r="D9" i="24"/>
  <c r="O36" i="1"/>
  <c r="V40" i="1"/>
  <c r="L13" i="24"/>
  <c r="F9" i="24"/>
  <c r="E13" i="24"/>
  <c r="E9" i="24"/>
  <c r="F13" i="24"/>
  <c r="I13" i="24"/>
  <c r="J14" i="24"/>
  <c r="E14" i="24"/>
  <c r="F14" i="24"/>
  <c r="E12" i="24"/>
  <c r="F12" i="24"/>
  <c r="D12" i="24"/>
  <c r="L12" i="24"/>
  <c r="J36" i="24"/>
  <c r="I19" i="24"/>
  <c r="J19" i="24"/>
  <c r="I36" i="24"/>
  <c r="I11" i="24"/>
  <c r="I9" i="24"/>
  <c r="J6" i="24"/>
  <c r="I8" i="24"/>
  <c r="J9" i="24"/>
  <c r="F6" i="24"/>
  <c r="J11" i="24"/>
  <c r="W30" i="24"/>
  <c r="I17" i="24"/>
  <c r="W21" i="24"/>
  <c r="J10" i="24"/>
  <c r="I10" i="24"/>
  <c r="J17" i="24"/>
  <c r="X31" i="24"/>
  <c r="J7" i="24"/>
  <c r="X32" i="24"/>
  <c r="X24" i="24"/>
  <c r="J12" i="24"/>
  <c r="J13" i="24"/>
  <c r="X25" i="24"/>
  <c r="I12" i="24"/>
  <c r="W22" i="24"/>
  <c r="W29" i="24"/>
  <c r="AR16" i="24"/>
  <c r="X20" i="24"/>
  <c r="W20" i="24"/>
  <c r="S16" i="1"/>
  <c r="S15" i="1"/>
  <c r="S9" i="1"/>
  <c r="S13" i="1"/>
  <c r="S7" i="1"/>
  <c r="S14" i="1"/>
  <c r="S6" i="1"/>
  <c r="S10" i="1"/>
  <c r="S30" i="1"/>
  <c r="S38" i="1"/>
  <c r="S32" i="1"/>
  <c r="D25" i="13"/>
  <c r="C25" i="13"/>
  <c r="F23" i="13"/>
  <c r="C23" i="13"/>
  <c r="F6" i="13"/>
  <c r="C6" i="13"/>
  <c r="D5" i="13"/>
  <c r="C5" i="13"/>
  <c r="F22" i="13"/>
  <c r="C22" i="13"/>
  <c r="F32" i="13"/>
  <c r="C32" i="13"/>
  <c r="D14" i="13"/>
  <c r="C14" i="13"/>
  <c r="F15" i="13"/>
  <c r="C15" i="13"/>
  <c r="D35" i="13"/>
  <c r="C35" i="13"/>
  <c r="H21" i="13"/>
  <c r="C21" i="13"/>
  <c r="D18" i="13"/>
  <c r="C18" i="13"/>
  <c r="D12" i="13"/>
  <c r="C12" i="13"/>
  <c r="D10" i="13"/>
  <c r="C10" i="13"/>
  <c r="F28" i="13"/>
  <c r="C28" i="13"/>
  <c r="D8" i="13"/>
  <c r="C8" i="13"/>
  <c r="H34" i="13"/>
  <c r="C34" i="13"/>
  <c r="H20" i="13"/>
  <c r="C20" i="13"/>
  <c r="D24" i="13"/>
  <c r="C24" i="13"/>
  <c r="H13" i="13"/>
  <c r="C13" i="13"/>
  <c r="H11" i="13"/>
  <c r="C11" i="13"/>
  <c r="H19" i="13"/>
  <c r="C19" i="13"/>
  <c r="D27" i="13"/>
  <c r="C27" i="13"/>
  <c r="F37" i="13"/>
  <c r="C37" i="13"/>
  <c r="S31" i="1"/>
  <c r="S36" i="1"/>
  <c r="S37" i="1"/>
  <c r="S33" i="1"/>
  <c r="S34" i="1"/>
  <c r="S39" i="1"/>
  <c r="S40" i="1"/>
  <c r="F22" i="1"/>
  <c r="H38" i="13"/>
  <c r="D38" i="13"/>
  <c r="F38" i="13"/>
  <c r="D37" i="13"/>
  <c r="F36" i="13"/>
  <c r="H37" i="13"/>
  <c r="D36" i="13"/>
  <c r="H36" i="13"/>
  <c r="H10" i="13"/>
  <c r="F27" i="13"/>
  <c r="H27" i="13"/>
  <c r="F10" i="13"/>
  <c r="H9" i="13"/>
  <c r="F9" i="13"/>
  <c r="D9" i="13"/>
  <c r="H12" i="13"/>
  <c r="F19" i="13"/>
  <c r="F13" i="13"/>
  <c r="F12" i="13"/>
  <c r="D19" i="13"/>
  <c r="E20" i="1"/>
  <c r="F18" i="13"/>
  <c r="D11" i="13"/>
  <c r="D13" i="13"/>
  <c r="E21" i="1"/>
  <c r="F11" i="13"/>
  <c r="D7" i="13"/>
  <c r="H7" i="13"/>
  <c r="F7" i="13"/>
  <c r="F20" i="13"/>
  <c r="D20" i="13"/>
  <c r="H15" i="13"/>
  <c r="H18" i="13"/>
  <c r="H35" i="13"/>
  <c r="H24" i="13"/>
  <c r="D34" i="13"/>
  <c r="F24" i="13"/>
  <c r="D21" i="13"/>
  <c r="F34" i="13"/>
  <c r="F21" i="13"/>
  <c r="F35" i="13"/>
  <c r="F14" i="13"/>
  <c r="F8" i="13"/>
  <c r="H8" i="13"/>
  <c r="D15" i="13"/>
  <c r="H14" i="13"/>
  <c r="D32" i="13"/>
  <c r="H22" i="13"/>
  <c r="F30" i="13"/>
  <c r="D22" i="13"/>
  <c r="H30" i="13"/>
  <c r="D30" i="13"/>
  <c r="H33" i="13"/>
  <c r="D33" i="13"/>
  <c r="H28" i="13"/>
  <c r="H32" i="13"/>
  <c r="H5" i="13"/>
  <c r="F33" i="13"/>
  <c r="F5" i="13"/>
  <c r="D26" i="13"/>
  <c r="H26" i="13"/>
  <c r="F26" i="13"/>
  <c r="F25" i="13"/>
  <c r="H6" i="13"/>
  <c r="D28" i="13"/>
  <c r="H25" i="13"/>
  <c r="D6" i="13"/>
  <c r="D31" i="13"/>
  <c r="F31" i="13"/>
  <c r="D23" i="13"/>
  <c r="H23" i="13"/>
  <c r="H31" i="13"/>
  <c r="D29" i="13"/>
  <c r="F29" i="13"/>
  <c r="H29" i="13"/>
  <c r="E25" i="1"/>
  <c r="T38" i="1"/>
  <c r="O38" i="1"/>
  <c r="T30" i="1"/>
  <c r="E19" i="1"/>
  <c r="T36" i="1"/>
  <c r="O12" i="1"/>
  <c r="E23" i="1"/>
  <c r="O30" i="1"/>
  <c r="O31" i="1"/>
  <c r="O33" i="1"/>
  <c r="O6" i="1"/>
  <c r="T7" i="1"/>
  <c r="E24" i="1"/>
  <c r="O39" i="1"/>
  <c r="T40" i="1"/>
  <c r="T32" i="1"/>
  <c r="O32" i="1"/>
  <c r="T33" i="1"/>
  <c r="T31" i="1"/>
  <c r="T39" i="1"/>
  <c r="O34" i="1"/>
  <c r="O10" i="1"/>
  <c r="V13" i="1"/>
  <c r="F26" i="1"/>
  <c r="AB18" i="1"/>
  <c r="T9" i="1"/>
  <c r="T15" i="1"/>
  <c r="O14" i="1"/>
  <c r="T34" i="1"/>
  <c r="O15" i="1"/>
  <c r="V16" i="1"/>
  <c r="L24" i="1"/>
  <c r="T37" i="1"/>
  <c r="O37" i="1"/>
  <c r="O7" i="1"/>
  <c r="T10" i="1"/>
  <c r="T6" i="1"/>
  <c r="T13" i="1"/>
  <c r="T14" i="1"/>
  <c r="T16" i="1"/>
  <c r="O9" i="1"/>
  <c r="T12" i="1"/>
  <c r="O8" i="1"/>
  <c r="T8" i="1"/>
  <c r="L10" i="10"/>
  <c r="O10" i="10" s="1"/>
  <c r="F14" i="1" s="1"/>
  <c r="M12" i="10"/>
  <c r="M11" i="10"/>
  <c r="L11" i="10" l="1"/>
  <c r="O11" i="10" s="1"/>
  <c r="F15" i="1" s="1"/>
  <c r="L12" i="10"/>
  <c r="O12" i="10" s="1"/>
  <c r="F16" i="1" s="1"/>
</calcChain>
</file>

<file path=xl/connections.xml><?xml version="1.0" encoding="utf-8"?>
<connections xmlns="http://schemas.openxmlformats.org/spreadsheetml/2006/main">
  <connection id="1" sourceFile="F:\Backup\Data for dashboard\Dashboard obscured.accdb" odcFile="C:\Documents and Settings\marjorie.waters\My Documents\My Data Sources\Dashboard obscured Bz Theme_Month.odc" keepAlive="1" name="Expense1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z Theme_Month" commandType="3"/>
  </connection>
  <connection id="2" sourceFile="F:\Backup\Data for dashboard\Dashboard obscured.accdb" odcFile="C:\Documents and Settings\marjorie.waters\My Documents\My Data Sources\Dashboard obscured Czz All_Acct_Month.odc" keepAlive="1" name="Expense2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Czz All_Acct_Month" commandType="3"/>
  </connection>
  <connection id="3" sourceFile="F:\Backup\Data for dashboard\Dashboard obscured.accdb" keepAlive="1" name="Expense3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Cz Theme_Acct_Month" commandType="3"/>
  </connection>
  <connection id="4" sourceFile="F:\Backup\Data for dashboard\Dashboard obscured.accdb" keepAlive="1" name="Funding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Gz Sec_Like_Theme_FY" commandType="3"/>
  </connection>
  <connection id="5" sourceFile="F:\Backup\Data for dashboard\Dashboard obscured.accdb" keepAlive="1" name="HighLikely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Hz Sec_Like_SOF_FY" commandType="3"/>
  </connection>
  <connection id="6" sourceFile="F:\Backup\Data for dashboard\Dashboard obscured.accdb" keepAlive="1" name="HighProjec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Ez Theme_Project_Month" commandType="3"/>
  </connection>
  <connection id="7" sourceFile="F:\Backup\Data for dashboard\Dashboard obscured.accdb" keepAlive="1" name="HighSOF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z Theme_SOF_Month" commandType="3"/>
  </connection>
  <connection id="8" sourceFile="F:\Backup\Data for dashboard\Dashboard obscured.accdb" keepAlive="1" name="SOFend3Mon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K1 SOFending3mon" commandType="3"/>
  </connection>
  <connection id="9" sourceFile="F:\Backup\Data for dashboard\Dashboard obscured.accdb" keepAlive="1" name="SOFFS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Jz FSCommitted" commandType="3"/>
  </connection>
  <connection id="10" sourceFile="F:\Backup\Data for dashboard\Dashboard obscured.accdb" keepAlive="1" name="SOFLis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z Theme_SOF_Month" commandType="3"/>
  </connection>
  <connection id="11" sourceFile="F:\Backup\Data for dashboard\Dashboard obscured.accdb" keepAlive="1" name="SOFThemeAcc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z Theme_SOFAcct_Month" commandType="3"/>
  </connection>
  <connection id="12" sourceFile="F:\Backup\Data for dashboard\Dashboard obscured.accdb" keepAlive="1" name="SOFThemeProjec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Fz Theme_SOFProject_Month" commandType="3"/>
  </connection>
  <connection id="13" sourceFile="F:\Backup\Data for dashboard\Dashboard obscured.accdb" keepAlive="1" name="STProjectbyAcc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Tz Theme_ST_STProject_Acct_Month" commandType="3"/>
  </connection>
  <connection id="14" sourceFile="F:\Backup\Data for dashboard\Dashboard obscured.accdb" keepAlive="1" name="STProjectbyMonth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z Theme_ST_STProject_Month" commandType="3"/>
  </connection>
  <connection id="15" sourceFile="F:\Backup\Data for dashboard\Dashboard obscured.accdb" keepAlive="1" name="STProjectList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Rz Theme_ST_Project_Month" commandType="3"/>
  </connection>
  <connection id="16" sourceFile="F:\Backup\Data for dashboard\Dashboard obscured.accdb" keepAlive="1" name="STProjectsbySOF" type="5" refreshedVersion="3" background="1" saveData="1">
    <dbPr connection="Provider=Microsoft.ACE.OLEDB.12.0;User ID=Admin;Data Source=F:\Backup\Data for dashboard\Dashboard obscured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Uz Theme_ST_STProject_SOF_Month" commandType="3"/>
  </connection>
</connections>
</file>

<file path=xl/sharedStrings.xml><?xml version="1.0" encoding="utf-8"?>
<sst xmlns="http://schemas.openxmlformats.org/spreadsheetml/2006/main" count="17857" uniqueCount="1523">
  <si>
    <t>TO BE HIDDEN</t>
  </si>
  <si>
    <t>Show All</t>
  </si>
  <si>
    <t>Education</t>
  </si>
  <si>
    <t>Health</t>
  </si>
  <si>
    <t>Nutrition</t>
  </si>
  <si>
    <t>Child rights governance</t>
  </si>
  <si>
    <t>Child Protection</t>
  </si>
  <si>
    <t>HIV / AIDS</t>
  </si>
  <si>
    <t>Livelihoods</t>
  </si>
  <si>
    <t>Emergencies</t>
  </si>
  <si>
    <t>Cross-thematic</t>
  </si>
  <si>
    <t>Bangladesh CO</t>
  </si>
  <si>
    <t>$ USD</t>
  </si>
  <si>
    <t>$K USD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</si>
  <si>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</si>
  <si>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</si>
  <si>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</si>
  <si>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</si>
  <si>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</si>
  <si>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</si>
  <si>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</si>
  <si>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</si>
  <si>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</si>
  <si>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</si>
  <si>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</si>
  <si>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</si>
  <si>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Last Updated:</t>
  </si>
  <si>
    <t>Values in:</t>
  </si>
  <si>
    <t>Sort by:</t>
  </si>
  <si>
    <t>Periods</t>
  </si>
  <si>
    <t>Burn</t>
  </si>
  <si>
    <t>Variance</t>
  </si>
  <si>
    <t>Time</t>
  </si>
  <si>
    <t>Expense</t>
  </si>
  <si>
    <t>Actual</t>
  </si>
  <si>
    <t>Plan</t>
  </si>
  <si>
    <t>Utilization</t>
  </si>
  <si>
    <t>Secured</t>
  </si>
  <si>
    <t>Likely</t>
  </si>
  <si>
    <t>Total</t>
  </si>
  <si>
    <t>Forecast:</t>
  </si>
  <si>
    <t>$MM USD</t>
  </si>
  <si>
    <t>LineNum</t>
  </si>
  <si>
    <t>Theme(T)</t>
  </si>
  <si>
    <t>SOFFull</t>
  </si>
  <si>
    <t>Plan01</t>
  </si>
  <si>
    <t>Plan02</t>
  </si>
  <si>
    <t>Plan03</t>
  </si>
  <si>
    <t>Plan04</t>
  </si>
  <si>
    <t>Plan05</t>
  </si>
  <si>
    <t>Plan06</t>
  </si>
  <si>
    <t>Plan07</t>
  </si>
  <si>
    <t>Plan08</t>
  </si>
  <si>
    <t>Plan09</t>
  </si>
  <si>
    <t>Plan10</t>
  </si>
  <si>
    <t>Plan11</t>
  </si>
  <si>
    <t>Plan12</t>
  </si>
  <si>
    <t>Act01</t>
  </si>
  <si>
    <t>Act02</t>
  </si>
  <si>
    <t>Act03</t>
  </si>
  <si>
    <t>Act04</t>
  </si>
  <si>
    <t>Act05</t>
  </si>
  <si>
    <t>Act06</t>
  </si>
  <si>
    <t>Act07</t>
  </si>
  <si>
    <t>Act08</t>
  </si>
  <si>
    <t>Act09</t>
  </si>
  <si>
    <t>Act10</t>
  </si>
  <si>
    <t>Act11</t>
  </si>
  <si>
    <t>Act12</t>
  </si>
  <si>
    <t>SOFMin</t>
  </si>
  <si>
    <t>SOFMax</t>
  </si>
  <si>
    <t>Yellow</t>
  </si>
  <si>
    <t>Red</t>
  </si>
  <si>
    <t>To be filled in</t>
  </si>
  <si>
    <t>Last Update</t>
  </si>
  <si>
    <t>Basis for Forecast</t>
  </si>
  <si>
    <t xml:space="preserve"> </t>
  </si>
  <si>
    <t>2013 AT-A-GLANCE SUMMARY:</t>
  </si>
  <si>
    <t>Forecast</t>
  </si>
  <si>
    <t>Theme</t>
  </si>
  <si>
    <t>CAP</t>
  </si>
  <si>
    <t>CAR</t>
  </si>
  <si>
    <t xml:space="preserve">  Secured</t>
  </si>
  <si>
    <t>SumOfSec_USD_MM</t>
  </si>
  <si>
    <t>SumOfLik_USD_MM</t>
  </si>
  <si>
    <t>SumOfTotalFunding_USD</t>
  </si>
  <si>
    <t>Aspirational</t>
  </si>
  <si>
    <t>FY Funding</t>
  </si>
  <si>
    <t>Expense by Project</t>
  </si>
  <si>
    <t>Expense by SOF</t>
  </si>
  <si>
    <t>userForecast2</t>
  </si>
  <si>
    <t>Expense by Theme</t>
  </si>
  <si>
    <t>%Util.</t>
  </si>
  <si>
    <t>Top 5 Low Spending SOF</t>
  </si>
  <si>
    <t>Top 5 High Spending SOF</t>
  </si>
  <si>
    <t>Top 5 High Spending Project</t>
  </si>
  <si>
    <t>Top 5 Low Spending Project</t>
  </si>
  <si>
    <t>End Date</t>
  </si>
  <si>
    <t>% Spent</t>
  </si>
  <si>
    <t>Start date</t>
  </si>
  <si>
    <t>final posting date</t>
  </si>
  <si>
    <t>Committed FS</t>
  </si>
  <si>
    <t>TotalSpend</t>
  </si>
  <si>
    <t>Remaining</t>
  </si>
  <si>
    <t>%Spent</t>
  </si>
  <si>
    <t>Flag</t>
  </si>
  <si>
    <t>X</t>
  </si>
  <si>
    <t>Asp_USD</t>
  </si>
  <si>
    <t>Order</t>
  </si>
  <si>
    <t>' For vlookups for monthly</t>
  </si>
  <si>
    <t>Type</t>
  </si>
  <si>
    <t>Actuals</t>
  </si>
  <si>
    <t>' To exclude future months</t>
  </si>
  <si>
    <t>SOF with highest FY likely amount</t>
  </si>
  <si>
    <t>% Non-programatic</t>
  </si>
  <si>
    <t>CoA Category</t>
  </si>
  <si>
    <t>SumOfPlan01</t>
  </si>
  <si>
    <t>SumOfPlan02</t>
  </si>
  <si>
    <t>SumOfPlan03</t>
  </si>
  <si>
    <t>SumOfPlan04</t>
  </si>
  <si>
    <t>SumOfPlan05</t>
  </si>
  <si>
    <t>SumOfPlan06</t>
  </si>
  <si>
    <t>SumOfPlan07</t>
  </si>
  <si>
    <t>SumOfPlan08</t>
  </si>
  <si>
    <t>SumOfPlan09</t>
  </si>
  <si>
    <t>SumOfPlan10</t>
  </si>
  <si>
    <t>SumOfPlan11</t>
  </si>
  <si>
    <t>SumOfPlan12</t>
  </si>
  <si>
    <t>SumOfAct01</t>
  </si>
  <si>
    <t>SumOfAct02</t>
  </si>
  <si>
    <t>SumOfAct03</t>
  </si>
  <si>
    <t>SumOfAct04</t>
  </si>
  <si>
    <t>SumOfAct05</t>
  </si>
  <si>
    <t>SumOfAct06</t>
  </si>
  <si>
    <t>SumOfAct07</t>
  </si>
  <si>
    <t>SumOfAct08</t>
  </si>
  <si>
    <t>SumOfAct09</t>
  </si>
  <si>
    <t>SumOfAct10</t>
  </si>
  <si>
    <t>SumOfAct11</t>
  </si>
  <si>
    <t>SumOfAct12</t>
  </si>
  <si>
    <t>Pay &amp; Benefits</t>
  </si>
  <si>
    <t>Travel &amp; Entertain.</t>
  </si>
  <si>
    <t>Partner expenses</t>
  </si>
  <si>
    <t>Infrastructure</t>
  </si>
  <si>
    <t>Other</t>
  </si>
  <si>
    <t>PROJECTFull</t>
  </si>
  <si>
    <t>0500019 - BGD Integrated service delivery (MNH-FP-nutrition)</t>
  </si>
  <si>
    <t>Slider</t>
  </si>
  <si>
    <t>Expense by Account</t>
  </si>
  <si>
    <t>End</t>
  </si>
  <si>
    <t>Post</t>
  </si>
  <si>
    <t>Variance (Actuals-Plan)</t>
  </si>
  <si>
    <t>Burn (Actuals/Plan)</t>
  </si>
  <si>
    <r>
      <t xml:space="preserve">Actual Spend </t>
    </r>
    <r>
      <rPr>
        <i/>
        <u/>
        <sz val="9"/>
        <color theme="1"/>
        <rFont val="Arial"/>
        <family val="2"/>
      </rPr>
      <t>Above</t>
    </r>
    <r>
      <rPr>
        <sz val="9"/>
        <color theme="1"/>
        <rFont val="Arial"/>
        <family val="2"/>
      </rPr>
      <t xml:space="preserve"> Plan</t>
    </r>
  </si>
  <si>
    <r>
      <t xml:space="preserve">Actual Spend </t>
    </r>
    <r>
      <rPr>
        <i/>
        <u/>
        <sz val="9"/>
        <color theme="1"/>
        <rFont val="Arial"/>
        <family val="2"/>
      </rPr>
      <t>Below</t>
    </r>
    <r>
      <rPr>
        <sz val="9"/>
        <color theme="1"/>
        <rFont val="Arial"/>
        <family val="2"/>
      </rPr>
      <t xml:space="preserve"> Plan</t>
    </r>
  </si>
  <si>
    <t>Ranges</t>
  </si>
  <si>
    <t>Plan and Actuals</t>
  </si>
  <si>
    <t>No plan $ (burn cannot be calculated)</t>
  </si>
  <si>
    <t>Plan (Secured + Likely Funds)</t>
  </si>
  <si>
    <t xml:space="preserve"> Actual</t>
  </si>
  <si>
    <t xml:space="preserve">  Plan</t>
  </si>
  <si>
    <t xml:space="preserve">  Actual</t>
  </si>
  <si>
    <t xml:space="preserve">  Likely</t>
  </si>
  <si>
    <t>$Thousands USD</t>
  </si>
  <si>
    <t>$Millions USD</t>
  </si>
  <si>
    <t xml:space="preserve">$Whole </t>
  </si>
  <si>
    <t>$Thousands</t>
  </si>
  <si>
    <t>$Millions</t>
  </si>
  <si>
    <t>Grand Total</t>
  </si>
  <si>
    <t>Min</t>
  </si>
  <si>
    <t>Max</t>
  </si>
  <si>
    <t>Var.</t>
  </si>
  <si>
    <t>SOF#</t>
  </si>
  <si>
    <t xml:space="preserve"> Plan</t>
  </si>
  <si>
    <t>Committed Funding</t>
  </si>
  <si>
    <t>Aspirational Funding</t>
  </si>
  <si>
    <t>Likely Funding</t>
  </si>
  <si>
    <t>Start</t>
  </si>
  <si>
    <t>Spend to Date</t>
  </si>
  <si>
    <t>Today</t>
  </si>
  <si>
    <t>SOF (select SOF# to see details)</t>
  </si>
  <si>
    <t>SC-Member</t>
  </si>
  <si>
    <t>Currency</t>
  </si>
  <si>
    <t>United States</t>
  </si>
  <si>
    <t>USD</t>
  </si>
  <si>
    <t>SC International</t>
  </si>
  <si>
    <t>Australia</t>
  </si>
  <si>
    <t>BDT</t>
  </si>
  <si>
    <t>AUD</t>
  </si>
  <si>
    <t>Denmark</t>
  </si>
  <si>
    <t>DKK</t>
  </si>
  <si>
    <t>EUR</t>
  </si>
  <si>
    <t>INR</t>
  </si>
  <si>
    <t>Finland</t>
  </si>
  <si>
    <t>Korea</t>
  </si>
  <si>
    <t>KRW</t>
  </si>
  <si>
    <t>New Zealand</t>
  </si>
  <si>
    <t>NZD</t>
  </si>
  <si>
    <t>Sweden</t>
  </si>
  <si>
    <t>SEK</t>
  </si>
  <si>
    <t>United Kingdom</t>
  </si>
  <si>
    <t>GBP</t>
  </si>
  <si>
    <t>Spent</t>
  </si>
  <si>
    <t xml:space="preserve">Final posting date: </t>
  </si>
  <si>
    <t xml:space="preserve">   Plan</t>
  </si>
  <si>
    <t>2013 Expense by Month</t>
  </si>
  <si>
    <t>Account Category</t>
  </si>
  <si>
    <t>LoA Amount remaining</t>
  </si>
  <si>
    <t>FY</t>
  </si>
  <si>
    <t>FY Plan</t>
  </si>
  <si>
    <t>FY Actuals</t>
  </si>
  <si>
    <t>FY Burn</t>
  </si>
  <si>
    <t>Large Under</t>
  </si>
  <si>
    <t>Large Over</t>
  </si>
  <si>
    <t>On Plan</t>
  </si>
  <si>
    <t>Monthly</t>
  </si>
  <si>
    <t>ß</t>
  </si>
  <si>
    <t>Financial Dashboard and Drilldown</t>
  </si>
  <si>
    <t>If there is a security warning on the top of this page - Select "Options" and "Enable this content"</t>
  </si>
  <si>
    <t xml:space="preserve">If you have already ignored the security warning </t>
  </si>
  <si>
    <t>In ActiveX Settings - select Enable all controls</t>
  </si>
  <si>
    <t>In Macro Settings - select Enable all macros</t>
  </si>
  <si>
    <t>1. The easiest path is to close this file, reopen it and follow the guidance above</t>
  </si>
  <si>
    <t>2. Otherwise, select the Office button in the top left and select "Excel Options", select"Trust Center" on the left, then "Trust Center Settings" on the right</t>
  </si>
  <si>
    <t>Follow #2 above to the Trust Center and set the location of this file as a Trusted Location</t>
  </si>
  <si>
    <t>Dropdowns and selectors will change the data you see</t>
  </si>
  <si>
    <r>
      <t xml:space="preserve">To access the dashboard features you </t>
    </r>
    <r>
      <rPr>
        <b/>
        <i/>
        <u/>
        <sz val="12"/>
        <color theme="1"/>
        <rFont val="Arial"/>
        <family val="2"/>
      </rPr>
      <t xml:space="preserve">MUST </t>
    </r>
    <r>
      <rPr>
        <b/>
        <sz val="12"/>
        <color theme="1"/>
        <rFont val="Arial"/>
        <family val="2"/>
      </rPr>
      <t>allow macros</t>
    </r>
  </si>
  <si>
    <t>Forecast is based on the Master Plan as indicated</t>
  </si>
  <si>
    <t>On screen help is available on each tab by clicking on the "Save the Children" icon on each tab</t>
  </si>
  <si>
    <t>SC Pooled Emergency</t>
  </si>
  <si>
    <t>If you don't want to see the security warning again, make this a trusted document</t>
  </si>
  <si>
    <t>Budget (Jan)</t>
  </si>
  <si>
    <t>2nd (July)</t>
  </si>
  <si>
    <t>1st   (Apr)</t>
  </si>
  <si>
    <t>3rd   (NA)</t>
  </si>
  <si>
    <t>Office costs</t>
  </si>
  <si>
    <t>Program Costs</t>
  </si>
  <si>
    <t>Recruit &amp; Training</t>
  </si>
  <si>
    <t>Recruit. &amp;Training</t>
  </si>
  <si>
    <t>Office Costs</t>
  </si>
  <si>
    <t>Full year Funding by Theme</t>
  </si>
  <si>
    <t>Click "Save the Children" again to hide help</t>
  </si>
  <si>
    <t>Subtheme(T)</t>
  </si>
  <si>
    <t>ProjectFull</t>
  </si>
  <si>
    <t>Information Systems</t>
  </si>
  <si>
    <t>Safety &amp; Security</t>
  </si>
  <si>
    <t>Legal and Compliance</t>
  </si>
  <si>
    <t>Partner Management</t>
  </si>
  <si>
    <t>Non-programmatic</t>
  </si>
  <si>
    <t>Administration</t>
  </si>
  <si>
    <t>Member Service and Media</t>
  </si>
  <si>
    <t>Logistics</t>
  </si>
  <si>
    <t>Human Resource Management</t>
  </si>
  <si>
    <t>Grant Management</t>
  </si>
  <si>
    <t>Finance</t>
  </si>
  <si>
    <t>Country Management</t>
  </si>
  <si>
    <t>NewTheme</t>
  </si>
  <si>
    <t>NewST</t>
  </si>
  <si>
    <t>SubTheme</t>
  </si>
  <si>
    <t>Project</t>
  </si>
  <si>
    <t>Select Subtheme OR Project# to see details</t>
  </si>
  <si>
    <t>SOF</t>
  </si>
  <si>
    <t>STProject</t>
  </si>
  <si>
    <t>2013 Expense by Account</t>
  </si>
  <si>
    <t>Lookup</t>
  </si>
  <si>
    <t>For project list</t>
  </si>
  <si>
    <t>For SOF list</t>
  </si>
  <si>
    <t>Posting Date</t>
  </si>
  <si>
    <t>ABS Max</t>
  </si>
  <si>
    <t>Detailed view by Subtheme or Project</t>
  </si>
  <si>
    <t>Project#</t>
  </si>
  <si>
    <t>Full Year 2013</t>
  </si>
  <si>
    <t>Period</t>
  </si>
  <si>
    <t xml:space="preserve">Filter to show projects for </t>
  </si>
  <si>
    <t>FYPlan</t>
  </si>
  <si>
    <t>FYActuals</t>
  </si>
  <si>
    <t>FYBurn</t>
  </si>
  <si>
    <t>%FY Spent</t>
  </si>
  <si>
    <t>2013 Expense by SOF (for the Subtheme/Project)</t>
  </si>
  <si>
    <t>Month Burn</t>
  </si>
  <si>
    <t>FY 
Burn</t>
  </si>
  <si>
    <t>Total Plan</t>
  </si>
  <si>
    <t>Selecting any SOF number on the At-a-glance or Project tabs will bring up that SOF in the details tab</t>
  </si>
  <si>
    <t>"At-a-glance" tab, select "Bangladesh CO" in the top dropdown, select only "May" in the months</t>
  </si>
  <si>
    <t>"At-a-glance" tab, select "Nutrition" in the top dropdown, select Jan, Feb, Mar, Apr, May in the months</t>
  </si>
  <si>
    <t>From "At-a-glance" click on the SOF number to go the the details</t>
  </si>
  <si>
    <t>"SOF Details" tab, Ensure "Show all SOFs" is activated, select "Education" in the top drop down, sort as desired.  NOTE:  The shows only the portion of the SOF in that theme.  Use Bangladesh CO to see the full SOF</t>
  </si>
  <si>
    <t>"Project Details" tab, ensure "show all projects" is activated and the filter is for "Education" or "Bangladesh CO", click on "Basic Education" in the table</t>
  </si>
  <si>
    <t>"SOF Details" tab, Ensure "Show all SOFs" is activated, select "Non-thematic" in the top drop down, showing %FY spend by SOF</t>
  </si>
  <si>
    <t>"Project Details" tab, ensure "show all projects" is activated and the filter is for "Non-thematic" or "Bangladesh CO", click on "Human Resource Management" in the table</t>
  </si>
  <si>
    <t>Examples:  I want to see….</t>
  </si>
  <si>
    <t>How Bangladesh CO performed in the month of May</t>
  </si>
  <si>
    <t>How Nutrition performed year to date</t>
  </si>
  <si>
    <t>Details on an overspending SOF</t>
  </si>
  <si>
    <t>An overview of SOFs in Education</t>
  </si>
  <si>
    <t>Details for "Basic Education"</t>
  </si>
  <si>
    <t>What % of non-thematic spend has already been expended this year by SOF</t>
  </si>
  <si>
    <t>Spending for HR</t>
  </si>
  <si>
    <t>If monthly variance has averaged out over time</t>
  </si>
  <si>
    <t>On any tab, select the "Show Cumulative" box in the expense by month graph</t>
  </si>
  <si>
    <t>Last closed month</t>
  </si>
  <si>
    <t>User selected</t>
  </si>
  <si>
    <t>Closed</t>
  </si>
  <si>
    <t>Dates in red are within next 90 days</t>
  </si>
  <si>
    <t>Units:</t>
  </si>
  <si>
    <t>SOF ending/final post next 3 mon</t>
  </si>
  <si>
    <t>valTheme</t>
  </si>
  <si>
    <t>valUnits</t>
  </si>
  <si>
    <t>valSort</t>
  </si>
  <si>
    <t>valCumm</t>
  </si>
  <si>
    <t>valSOFSort</t>
  </si>
  <si>
    <t>valSOF</t>
  </si>
  <si>
    <t>valSTProject</t>
  </si>
  <si>
    <t>valProjectSort</t>
  </si>
  <si>
    <t>numThemes</t>
  </si>
  <si>
    <t>numAccounts</t>
  </si>
  <si>
    <t>selSOFShow</t>
  </si>
  <si>
    <t>ShowMsg</t>
  </si>
  <si>
    <t>selPrpjectShow</t>
  </si>
  <si>
    <t>ShowMsg2</t>
  </si>
  <si>
    <t>selHelpShow</t>
  </si>
  <si>
    <t>selHelpShow2</t>
  </si>
  <si>
    <t>selHelpShow3</t>
  </si>
  <si>
    <t>selHelpShow4</t>
  </si>
  <si>
    <t>FY
Burn</t>
  </si>
  <si>
    <t>By theme and project
(click on (+) for project detail)</t>
  </si>
  <si>
    <t>Life of award (all themes)</t>
  </si>
  <si>
    <t>By Month</t>
  </si>
  <si>
    <t>By Acount</t>
  </si>
  <si>
    <t>Detailed view by SOF</t>
  </si>
  <si>
    <t>absMax</t>
  </si>
  <si>
    <t>2013 Spending (for selected Theme only)</t>
  </si>
  <si>
    <t>Theme:</t>
  </si>
  <si>
    <t>2013 Monthly Spending (for all themes funded through SOF)</t>
  </si>
  <si>
    <t>Selecting any Project number on the At-a-glance will bring up that project in the details tab</t>
  </si>
  <si>
    <t>Name of Value</t>
  </si>
  <si>
    <t>Value from Control</t>
  </si>
  <si>
    <t>Lookup Values</t>
  </si>
  <si>
    <t>ValTheme Lookup</t>
  </si>
  <si>
    <t>valUnits Lookup</t>
  </si>
  <si>
    <t>Month Labels</t>
  </si>
  <si>
    <t>valSort lookups (one for each tab)</t>
  </si>
  <si>
    <t>Theme 1</t>
  </si>
  <si>
    <t>Theme 2</t>
  </si>
  <si>
    <t>Theme 3</t>
  </si>
  <si>
    <t>Theme 4</t>
  </si>
  <si>
    <t>Theme 5</t>
  </si>
  <si>
    <t>Theme 6</t>
  </si>
  <si>
    <t>Theme 7</t>
  </si>
  <si>
    <t>Theme 8</t>
  </si>
  <si>
    <t>Theme 9</t>
  </si>
  <si>
    <t>Theme 10</t>
  </si>
  <si>
    <t>72393833 - SOF 66</t>
  </si>
  <si>
    <t>18072790 - SOF 41</t>
  </si>
  <si>
    <t>76902868 - SOF 18</t>
  </si>
  <si>
    <t>28651574 - SOF 81</t>
  </si>
  <si>
    <t>81960144 - SOF 80</t>
  </si>
  <si>
    <t>13514762 - SOF 63</t>
  </si>
  <si>
    <t>52012895 - SOF 28</t>
  </si>
  <si>
    <t>89651430 - SOF 36</t>
  </si>
  <si>
    <t>90450317 - SOF 35</t>
  </si>
  <si>
    <t>49364757 - SOF 33</t>
  </si>
  <si>
    <t>38944310 - SOF 30</t>
  </si>
  <si>
    <t>80848453 - SOF 95</t>
  </si>
  <si>
    <t>25293904 - SOF 114</t>
  </si>
  <si>
    <t>66692406 - SOF 40</t>
  </si>
  <si>
    <t>16460272 - SOF 85</t>
  </si>
  <si>
    <t>19909676 - SOF 61</t>
  </si>
  <si>
    <t>54109154 - SOF 12</t>
  </si>
  <si>
    <t>80793091</t>
  </si>
  <si>
    <t>82108882</t>
  </si>
  <si>
    <t>87319457</t>
  </si>
  <si>
    <t>79667520</t>
  </si>
  <si>
    <t>67141408</t>
  </si>
  <si>
    <t>42375577</t>
  </si>
  <si>
    <t>23386574</t>
  </si>
  <si>
    <t>53153093</t>
  </si>
  <si>
    <t>31658399</t>
  </si>
  <si>
    <t>37820497</t>
  </si>
  <si>
    <t>76952288</t>
  </si>
  <si>
    <t>54109154</t>
  </si>
  <si>
    <t>42910073</t>
  </si>
  <si>
    <t>35437440</t>
  </si>
  <si>
    <t>25361378</t>
  </si>
  <si>
    <t>93034258</t>
  </si>
  <si>
    <t>46115228</t>
  </si>
  <si>
    <t>76902868</t>
  </si>
  <si>
    <t>25769255</t>
  </si>
  <si>
    <t>57646128</t>
  </si>
  <si>
    <t>35492335</t>
  </si>
  <si>
    <t>19741290</t>
  </si>
  <si>
    <t>18573509</t>
  </si>
  <si>
    <t>56273679</t>
  </si>
  <si>
    <t>70627397</t>
  </si>
  <si>
    <t>11050994</t>
  </si>
  <si>
    <t>18946394</t>
  </si>
  <si>
    <t>52012895</t>
  </si>
  <si>
    <t>91115735</t>
  </si>
  <si>
    <t>38944310</t>
  </si>
  <si>
    <t>10982744</t>
  </si>
  <si>
    <t>39953425</t>
  </si>
  <si>
    <t>49364757</t>
  </si>
  <si>
    <t>21254302</t>
  </si>
  <si>
    <t>90450317</t>
  </si>
  <si>
    <t>89651430</t>
  </si>
  <si>
    <t>55277321</t>
  </si>
  <si>
    <t>96913151</t>
  </si>
  <si>
    <t>28973909</t>
  </si>
  <si>
    <t>66692406</t>
  </si>
  <si>
    <t>18072790</t>
  </si>
  <si>
    <t>92127180</t>
  </si>
  <si>
    <t>27277231</t>
  </si>
  <si>
    <t>84992292</t>
  </si>
  <si>
    <t>55861536</t>
  </si>
  <si>
    <t>94988998</t>
  </si>
  <si>
    <t>75208426</t>
  </si>
  <si>
    <t>66604486</t>
  </si>
  <si>
    <t>40174274</t>
  </si>
  <si>
    <t>14925742</t>
  </si>
  <si>
    <t>10604713</t>
  </si>
  <si>
    <t>36506045</t>
  </si>
  <si>
    <t>83299205</t>
  </si>
  <si>
    <t>81107313</t>
  </si>
  <si>
    <t>95054751</t>
  </si>
  <si>
    <t>83261888</t>
  </si>
  <si>
    <t>80613236</t>
  </si>
  <si>
    <t>44334113</t>
  </si>
  <si>
    <t>12831166</t>
  </si>
  <si>
    <t>19909676</t>
  </si>
  <si>
    <t>75457345</t>
  </si>
  <si>
    <t>13514762</t>
  </si>
  <si>
    <t>14122484</t>
  </si>
  <si>
    <t>67005014</t>
  </si>
  <si>
    <t>72393833</t>
  </si>
  <si>
    <t>24631815</t>
  </si>
  <si>
    <t>81419264</t>
  </si>
  <si>
    <t>42625033</t>
  </si>
  <si>
    <t>52989884</t>
  </si>
  <si>
    <t>99992573</t>
  </si>
  <si>
    <t>72383897</t>
  </si>
  <si>
    <t>83165500</t>
  </si>
  <si>
    <t>19289657</t>
  </si>
  <si>
    <t>19641667</t>
  </si>
  <si>
    <t>84113902</t>
  </si>
  <si>
    <t>15257207</t>
  </si>
  <si>
    <t>47582614</t>
  </si>
  <si>
    <t>55352291</t>
  </si>
  <si>
    <t>81960144</t>
  </si>
  <si>
    <t>28651574</t>
  </si>
  <si>
    <t>22386924</t>
  </si>
  <si>
    <t>46240023</t>
  </si>
  <si>
    <t>16059950</t>
  </si>
  <si>
    <t>16460272</t>
  </si>
  <si>
    <t>31412842</t>
  </si>
  <si>
    <t>12381712</t>
  </si>
  <si>
    <t>19248607</t>
  </si>
  <si>
    <t>41648553</t>
  </si>
  <si>
    <t>26286524</t>
  </si>
  <si>
    <t>31076731</t>
  </si>
  <si>
    <t>86866304</t>
  </si>
  <si>
    <t>96171218</t>
  </si>
  <si>
    <t>64472239</t>
  </si>
  <si>
    <t>80848453</t>
  </si>
  <si>
    <t>70614937</t>
  </si>
  <si>
    <t>33175583</t>
  </si>
  <si>
    <t>26829471</t>
  </si>
  <si>
    <t>58741984</t>
  </si>
  <si>
    <t>93719829</t>
  </si>
  <si>
    <t>60259137</t>
  </si>
  <si>
    <t>34560468</t>
  </si>
  <si>
    <t>41722128</t>
  </si>
  <si>
    <t>51354100</t>
  </si>
  <si>
    <t>83911347</t>
  </si>
  <si>
    <t>98739617</t>
  </si>
  <si>
    <t>61169454</t>
  </si>
  <si>
    <t>25293904</t>
  </si>
  <si>
    <t>80949346</t>
  </si>
  <si>
    <t>72346013</t>
  </si>
  <si>
    <t>47697492</t>
  </si>
  <si>
    <t>79321106</t>
  </si>
  <si>
    <t>2. Theme 1</t>
  </si>
  <si>
    <t>3. Theme 2</t>
  </si>
  <si>
    <t>4. Theme 3</t>
  </si>
  <si>
    <t>5. Theme 4</t>
  </si>
  <si>
    <t>6. Theme 5</t>
  </si>
  <si>
    <t>7. Theme 6</t>
  </si>
  <si>
    <t>8. Theme 7</t>
  </si>
  <si>
    <t>9. Theme 8</t>
  </si>
  <si>
    <t>10. Theme 9</t>
  </si>
  <si>
    <t>11. Theme 10</t>
  </si>
  <si>
    <t>SubTheme 1</t>
  </si>
  <si>
    <t>SubTheme 10</t>
  </si>
  <si>
    <t>SubTheme 2</t>
  </si>
  <si>
    <t>SubTheme 26</t>
  </si>
  <si>
    <t>SubTheme 3</t>
  </si>
  <si>
    <t>SubTheme 16</t>
  </si>
  <si>
    <t>SubTheme 18</t>
  </si>
  <si>
    <t>SubTheme 19</t>
  </si>
  <si>
    <t>SubTheme 20</t>
  </si>
  <si>
    <t>SubTheme 21</t>
  </si>
  <si>
    <t>SubTheme 23</t>
  </si>
  <si>
    <t>SubTheme 24</t>
  </si>
  <si>
    <t>SubTheme 34</t>
  </si>
  <si>
    <t>SubTheme 35</t>
  </si>
  <si>
    <t>SubTheme 36</t>
  </si>
  <si>
    <t>SubTheme 37</t>
  </si>
  <si>
    <t>SubTheme 39</t>
  </si>
  <si>
    <t>SubTheme 28</t>
  </si>
  <si>
    <t>SubTheme 5</t>
  </si>
  <si>
    <t>SubTheme 8</t>
  </si>
  <si>
    <t>SubTheme 4</t>
  </si>
  <si>
    <t>SubTheme 7</t>
  </si>
  <si>
    <t>SubTheme 11</t>
  </si>
  <si>
    <t>SubTheme 29</t>
  </si>
  <si>
    <t>SubTheme 30</t>
  </si>
  <si>
    <t>SubTheme 12</t>
  </si>
  <si>
    <t>SubTheme 14</t>
  </si>
  <si>
    <t>SubTheme 27</t>
  </si>
  <si>
    <t>SubTheme 9</t>
  </si>
  <si>
    <t>SubTheme 15</t>
  </si>
  <si>
    <t>SubTheme 38</t>
  </si>
  <si>
    <t>SubTheme 40</t>
  </si>
  <si>
    <t>SubTheme 13</t>
  </si>
  <si>
    <t>SubTheme 6</t>
  </si>
  <si>
    <t>SubTheme 25</t>
  </si>
  <si>
    <t>SubTheme 32</t>
  </si>
  <si>
    <t>SubTheme 17</t>
  </si>
  <si>
    <t>SubTheme 22</t>
  </si>
  <si>
    <t>SubTheme 33</t>
  </si>
  <si>
    <t>SubTheme 1Infrastructure</t>
  </si>
  <si>
    <t>SubTheme 1Office costs</t>
  </si>
  <si>
    <t>SubTheme 1Other</t>
  </si>
  <si>
    <t>SubTheme 1Partner expenses</t>
  </si>
  <si>
    <t>SubTheme 1Pay &amp; Benefits</t>
  </si>
  <si>
    <t>SubTheme 1Program Costs</t>
  </si>
  <si>
    <t>SubTheme 1Recruit &amp; Training</t>
  </si>
  <si>
    <t>SubTheme 1Travel &amp; Entertain.</t>
  </si>
  <si>
    <t>SubTheme 10Infrastructure</t>
  </si>
  <si>
    <t>SubTheme 10Office costs</t>
  </si>
  <si>
    <t>SubTheme 10Other</t>
  </si>
  <si>
    <t>SubTheme 10Partner expenses</t>
  </si>
  <si>
    <t>SubTheme 10Pay &amp; Benefits</t>
  </si>
  <si>
    <t>SubTheme 10Program Costs</t>
  </si>
  <si>
    <t>SubTheme 10Recruit &amp; Training</t>
  </si>
  <si>
    <t>SubTheme 10Travel &amp; Entertain.</t>
  </si>
  <si>
    <t>SubTheme 2Infrastructure</t>
  </si>
  <si>
    <t>SubTheme 2Office costs</t>
  </si>
  <si>
    <t>SubTheme 2Other</t>
  </si>
  <si>
    <t>SubTheme 2Partner expenses</t>
  </si>
  <si>
    <t>SubTheme 2Pay &amp; Benefits</t>
  </si>
  <si>
    <t>SubTheme 2Program Costs</t>
  </si>
  <si>
    <t>SubTheme 2Recruit &amp; Training</t>
  </si>
  <si>
    <t>SubTheme 2Travel &amp; Entertain.</t>
  </si>
  <si>
    <t>SubTheme 26Infrastructure</t>
  </si>
  <si>
    <t>SubTheme 26Office costs</t>
  </si>
  <si>
    <t>SubTheme 26Other</t>
  </si>
  <si>
    <t>SubTheme 26Partner expenses</t>
  </si>
  <si>
    <t>SubTheme 26Pay &amp; Benefits</t>
  </si>
  <si>
    <t>SubTheme 26Program Costs</t>
  </si>
  <si>
    <t>SubTheme 26Recruit &amp; Training</t>
  </si>
  <si>
    <t>SubTheme 26Travel &amp; Entertain.</t>
  </si>
  <si>
    <t>SubTheme 3Infrastructure</t>
  </si>
  <si>
    <t>SubTheme 3Office costs</t>
  </si>
  <si>
    <t>SubTheme 3Other</t>
  </si>
  <si>
    <t>SubTheme 3Partner expenses</t>
  </si>
  <si>
    <t>SubTheme 3Pay &amp; Benefits</t>
  </si>
  <si>
    <t>SubTheme 3Program Costs</t>
  </si>
  <si>
    <t>SubTheme 3Recruit &amp; Training</t>
  </si>
  <si>
    <t>SubTheme 3Travel &amp; Entertain.</t>
  </si>
  <si>
    <t>SubTheme 16Infrastructure</t>
  </si>
  <si>
    <t>SubTheme 16Office costs</t>
  </si>
  <si>
    <t>SubTheme 16Other</t>
  </si>
  <si>
    <t>SubTheme 16Partner expenses</t>
  </si>
  <si>
    <t>SubTheme 16Pay &amp; Benefits</t>
  </si>
  <si>
    <t>SubTheme 16Program Costs</t>
  </si>
  <si>
    <t>SubTheme 16Recruit &amp; Training</t>
  </si>
  <si>
    <t>SubTheme 16Travel &amp; Entertain.</t>
  </si>
  <si>
    <t>SubTheme 18Infrastructure</t>
  </si>
  <si>
    <t>SubTheme 18Office costs</t>
  </si>
  <si>
    <t>SubTheme 18Other</t>
  </si>
  <si>
    <t>SubTheme 18Partner expenses</t>
  </si>
  <si>
    <t>SubTheme 18Pay &amp; Benefits</t>
  </si>
  <si>
    <t>SubTheme 18Program Costs</t>
  </si>
  <si>
    <t>SubTheme 18Recruit &amp; Training</t>
  </si>
  <si>
    <t>SubTheme 18Travel &amp; Entertain.</t>
  </si>
  <si>
    <t>SubTheme 19Infrastructure</t>
  </si>
  <si>
    <t>SubTheme 19Office costs</t>
  </si>
  <si>
    <t>SubTheme 19Other</t>
  </si>
  <si>
    <t>SubTheme 19Partner expenses</t>
  </si>
  <si>
    <t>SubTheme 19Pay &amp; Benefits</t>
  </si>
  <si>
    <t>SubTheme 19Program Costs</t>
  </si>
  <si>
    <t>SubTheme 19Recruit &amp; Training</t>
  </si>
  <si>
    <t>SubTheme 19Travel &amp; Entertain.</t>
  </si>
  <si>
    <t>SubTheme 20Infrastructure</t>
  </si>
  <si>
    <t>SubTheme 20Office costs</t>
  </si>
  <si>
    <t>SubTheme 20Other</t>
  </si>
  <si>
    <t>SubTheme 20Partner expenses</t>
  </si>
  <si>
    <t>SubTheme 20Pay &amp; Benefits</t>
  </si>
  <si>
    <t>SubTheme 20Program Costs</t>
  </si>
  <si>
    <t>SubTheme 20Recruit &amp; Training</t>
  </si>
  <si>
    <t>SubTheme 20Travel &amp; Entertain.</t>
  </si>
  <si>
    <t>SubTheme 21Infrastructure</t>
  </si>
  <si>
    <t>SubTheme 21Office costs</t>
  </si>
  <si>
    <t>SubTheme 21Other</t>
  </si>
  <si>
    <t>SubTheme 21Partner expenses</t>
  </si>
  <si>
    <t>SubTheme 21Pay &amp; Benefits</t>
  </si>
  <si>
    <t>SubTheme 21Program Costs</t>
  </si>
  <si>
    <t>SubTheme 21Recruit &amp; Training</t>
  </si>
  <si>
    <t>SubTheme 21Travel &amp; Entertain.</t>
  </si>
  <si>
    <t>SubTheme 23Infrastructure</t>
  </si>
  <si>
    <t>SubTheme 23Office costs</t>
  </si>
  <si>
    <t>SubTheme 23Other</t>
  </si>
  <si>
    <t>SubTheme 23Partner expenses</t>
  </si>
  <si>
    <t>SubTheme 23Pay &amp; Benefits</t>
  </si>
  <si>
    <t>SubTheme 23Program Costs</t>
  </si>
  <si>
    <t>SubTheme 23Recruit &amp; Training</t>
  </si>
  <si>
    <t>SubTheme 23Travel &amp; Entertain.</t>
  </si>
  <si>
    <t>SubTheme 24Infrastructure</t>
  </si>
  <si>
    <t>SubTheme 24Office costs</t>
  </si>
  <si>
    <t>SubTheme 24Other</t>
  </si>
  <si>
    <t>SubTheme 24Partner expenses</t>
  </si>
  <si>
    <t>SubTheme 24Pay &amp; Benefits</t>
  </si>
  <si>
    <t>SubTheme 24Program Costs</t>
  </si>
  <si>
    <t>SubTheme 24Recruit &amp; Training</t>
  </si>
  <si>
    <t>SubTheme 24Travel &amp; Entertain.</t>
  </si>
  <si>
    <t>SubTheme 34Infrastructure</t>
  </si>
  <si>
    <t>SubTheme 34Office costs</t>
  </si>
  <si>
    <t>SubTheme 34Other</t>
  </si>
  <si>
    <t>SubTheme 34Partner expenses</t>
  </si>
  <si>
    <t>SubTheme 34Pay &amp; Benefits</t>
  </si>
  <si>
    <t>SubTheme 34Program Costs</t>
  </si>
  <si>
    <t>SubTheme 34Recruit &amp; Training</t>
  </si>
  <si>
    <t>SubTheme 34Travel &amp; Entertain.</t>
  </si>
  <si>
    <t>SubTheme 35Infrastructure</t>
  </si>
  <si>
    <t>SubTheme 35Office costs</t>
  </si>
  <si>
    <t>SubTheme 35Other</t>
  </si>
  <si>
    <t>SubTheme 35Partner expenses</t>
  </si>
  <si>
    <t>SubTheme 35Pay &amp; Benefits</t>
  </si>
  <si>
    <t>SubTheme 35Program Costs</t>
  </si>
  <si>
    <t>SubTheme 35Recruit &amp; Training</t>
  </si>
  <si>
    <t>SubTheme 35Travel &amp; Entertain.</t>
  </si>
  <si>
    <t>SubTheme 36Infrastructure</t>
  </si>
  <si>
    <t>SubTheme 36Office costs</t>
  </si>
  <si>
    <t>SubTheme 36Other</t>
  </si>
  <si>
    <t>SubTheme 36Partner expenses</t>
  </si>
  <si>
    <t>SubTheme 36Pay &amp; Benefits</t>
  </si>
  <si>
    <t>SubTheme 36Program Costs</t>
  </si>
  <si>
    <t>SubTheme 36Recruit &amp; Training</t>
  </si>
  <si>
    <t>SubTheme 36Travel &amp; Entertain.</t>
  </si>
  <si>
    <t>SubTheme 37Infrastructure</t>
  </si>
  <si>
    <t>SubTheme 37Office costs</t>
  </si>
  <si>
    <t>SubTheme 37Other</t>
  </si>
  <si>
    <t>SubTheme 37Partner expenses</t>
  </si>
  <si>
    <t>SubTheme 37Pay &amp; Benefits</t>
  </si>
  <si>
    <t>SubTheme 37Program Costs</t>
  </si>
  <si>
    <t>SubTheme 37Recruit &amp; Training</t>
  </si>
  <si>
    <t>SubTheme 37Travel &amp; Entertain.</t>
  </si>
  <si>
    <t>SubTheme 39Infrastructure</t>
  </si>
  <si>
    <t>SubTheme 39Office costs</t>
  </si>
  <si>
    <t>SubTheme 39Other</t>
  </si>
  <si>
    <t>SubTheme 39Partner expenses</t>
  </si>
  <si>
    <t>SubTheme 39Pay &amp; Benefits</t>
  </si>
  <si>
    <t>SubTheme 39Program Costs</t>
  </si>
  <si>
    <t>SubTheme 39Recruit &amp; Training</t>
  </si>
  <si>
    <t>SubTheme 39Travel &amp; Entertain.</t>
  </si>
  <si>
    <t>SubTheme 28Infrastructure</t>
  </si>
  <si>
    <t>SubTheme 28Office costs</t>
  </si>
  <si>
    <t>SubTheme 28Other</t>
  </si>
  <si>
    <t>SubTheme 28Partner expenses</t>
  </si>
  <si>
    <t>SubTheme 28Pay &amp; Benefits</t>
  </si>
  <si>
    <t>SubTheme 28Program Costs</t>
  </si>
  <si>
    <t>SubTheme 28Recruit &amp; Training</t>
  </si>
  <si>
    <t>SubTheme 28Travel &amp; Entertain.</t>
  </si>
  <si>
    <t>SubTheme 5Infrastructure</t>
  </si>
  <si>
    <t>SubTheme 5Office costs</t>
  </si>
  <si>
    <t>SubTheme 5Other</t>
  </si>
  <si>
    <t>SubTheme 5Partner expenses</t>
  </si>
  <si>
    <t>SubTheme 5Pay &amp; Benefits</t>
  </si>
  <si>
    <t>SubTheme 5Program Costs</t>
  </si>
  <si>
    <t>SubTheme 5Recruit &amp; Training</t>
  </si>
  <si>
    <t>SubTheme 5Travel &amp; Entertain.</t>
  </si>
  <si>
    <t>SubTheme 8Infrastructure</t>
  </si>
  <si>
    <t>SubTheme 8Office costs</t>
  </si>
  <si>
    <t>SubTheme 8Other</t>
  </si>
  <si>
    <t>SubTheme 8Partner expenses</t>
  </si>
  <si>
    <t>SubTheme 8Pay &amp; Benefits</t>
  </si>
  <si>
    <t>SubTheme 8Program Costs</t>
  </si>
  <si>
    <t>SubTheme 8Recruit &amp; Training</t>
  </si>
  <si>
    <t>SubTheme 8Travel &amp; Entertain.</t>
  </si>
  <si>
    <t>SubTheme 4Infrastructure</t>
  </si>
  <si>
    <t>SubTheme 4Office costs</t>
  </si>
  <si>
    <t>SubTheme 4Other</t>
  </si>
  <si>
    <t>SubTheme 4Partner expenses</t>
  </si>
  <si>
    <t>SubTheme 4Pay &amp; Benefits</t>
  </si>
  <si>
    <t>SubTheme 4Program Costs</t>
  </si>
  <si>
    <t>SubTheme 4Recruit &amp; Training</t>
  </si>
  <si>
    <t>SubTheme 4Travel &amp; Entertain.</t>
  </si>
  <si>
    <t>SubTheme 7Infrastructure</t>
  </si>
  <si>
    <t>SubTheme 7Office costs</t>
  </si>
  <si>
    <t>SubTheme 7Other</t>
  </si>
  <si>
    <t>SubTheme 7Partner expenses</t>
  </si>
  <si>
    <t>SubTheme 7Pay &amp; Benefits</t>
  </si>
  <si>
    <t>SubTheme 7Program Costs</t>
  </si>
  <si>
    <t>SubTheme 7Recruit &amp; Training</t>
  </si>
  <si>
    <t>SubTheme 7Travel &amp; Entertain.</t>
  </si>
  <si>
    <t>SubTheme 11Infrastructure</t>
  </si>
  <si>
    <t>SubTheme 11Office costs</t>
  </si>
  <si>
    <t>SubTheme 11Other</t>
  </si>
  <si>
    <t>SubTheme 11Partner expenses</t>
  </si>
  <si>
    <t>SubTheme 11Pay &amp; Benefits</t>
  </si>
  <si>
    <t>SubTheme 11Program Costs</t>
  </si>
  <si>
    <t>SubTheme 11Recruit &amp; Training</t>
  </si>
  <si>
    <t>SubTheme 11Travel &amp; Entertain.</t>
  </si>
  <si>
    <t>SubTheme 29Infrastructure</t>
  </si>
  <si>
    <t>SubTheme 29Office costs</t>
  </si>
  <si>
    <t>SubTheme 29Other</t>
  </si>
  <si>
    <t>SubTheme 29Partner expenses</t>
  </si>
  <si>
    <t>SubTheme 29Pay &amp; Benefits</t>
  </si>
  <si>
    <t>SubTheme 29Program Costs</t>
  </si>
  <si>
    <t>SubTheme 29Recruit &amp; Training</t>
  </si>
  <si>
    <t>SubTheme 29Travel &amp; Entertain.</t>
  </si>
  <si>
    <t>SubTheme 30Infrastructure</t>
  </si>
  <si>
    <t>SubTheme 30Office costs</t>
  </si>
  <si>
    <t>SubTheme 30Other</t>
  </si>
  <si>
    <t>SubTheme 30Partner expenses</t>
  </si>
  <si>
    <t>SubTheme 30Pay &amp; Benefits</t>
  </si>
  <si>
    <t>SubTheme 30Program Costs</t>
  </si>
  <si>
    <t>SubTheme 30Recruit &amp; Training</t>
  </si>
  <si>
    <t>SubTheme 30Travel &amp; Entertain.</t>
  </si>
  <si>
    <t>SubTheme 12Infrastructure</t>
  </si>
  <si>
    <t>SubTheme 12Office costs</t>
  </si>
  <si>
    <t>SubTheme 12Other</t>
  </si>
  <si>
    <t>SubTheme 12Partner expenses</t>
  </si>
  <si>
    <t>SubTheme 12Pay &amp; Benefits</t>
  </si>
  <si>
    <t>SubTheme 12Program Costs</t>
  </si>
  <si>
    <t>SubTheme 12Recruit &amp; Training</t>
  </si>
  <si>
    <t>SubTheme 12Travel &amp; Entertain.</t>
  </si>
  <si>
    <t>SubTheme 14Infrastructure</t>
  </si>
  <si>
    <t>SubTheme 14Office costs</t>
  </si>
  <si>
    <t>SubTheme 14Other</t>
  </si>
  <si>
    <t>SubTheme 14Partner expenses</t>
  </si>
  <si>
    <t>SubTheme 14Pay &amp; Benefits</t>
  </si>
  <si>
    <t>SubTheme 14Program Costs</t>
  </si>
  <si>
    <t>SubTheme 14Recruit &amp; Training</t>
  </si>
  <si>
    <t>SubTheme 14Travel &amp; Entertain.</t>
  </si>
  <si>
    <t>SubTheme 27Infrastructure</t>
  </si>
  <si>
    <t>SubTheme 27Office costs</t>
  </si>
  <si>
    <t>SubTheme 27Other</t>
  </si>
  <si>
    <t>SubTheme 27Partner expenses</t>
  </si>
  <si>
    <t>SubTheme 27Pay &amp; Benefits</t>
  </si>
  <si>
    <t>SubTheme 27Program Costs</t>
  </si>
  <si>
    <t>SubTheme 27Recruit &amp; Training</t>
  </si>
  <si>
    <t>SubTheme 27Travel &amp; Entertain.</t>
  </si>
  <si>
    <t>SubTheme 9Infrastructure</t>
  </si>
  <si>
    <t>SubTheme 9Office costs</t>
  </si>
  <si>
    <t>SubTheme 9Other</t>
  </si>
  <si>
    <t>SubTheme 9Partner expenses</t>
  </si>
  <si>
    <t>SubTheme 9Pay &amp; Benefits</t>
  </si>
  <si>
    <t>SubTheme 9Program Costs</t>
  </si>
  <si>
    <t>SubTheme 9Recruit &amp; Training</t>
  </si>
  <si>
    <t>SubTheme 9Travel &amp; Entertain.</t>
  </si>
  <si>
    <t>SubTheme 15Infrastructure</t>
  </si>
  <si>
    <t>SubTheme 15Office costs</t>
  </si>
  <si>
    <t>SubTheme 15Other</t>
  </si>
  <si>
    <t>SubTheme 15Partner expenses</t>
  </si>
  <si>
    <t>SubTheme 15Pay &amp; Benefits</t>
  </si>
  <si>
    <t>SubTheme 15Program Costs</t>
  </si>
  <si>
    <t>SubTheme 15Recruit &amp; Training</t>
  </si>
  <si>
    <t>SubTheme 15Travel &amp; Entertain.</t>
  </si>
  <si>
    <t>SubTheme 38Infrastructure</t>
  </si>
  <si>
    <t>SubTheme 38Office costs</t>
  </si>
  <si>
    <t>SubTheme 38Other</t>
  </si>
  <si>
    <t>SubTheme 38Partner expenses</t>
  </si>
  <si>
    <t>SubTheme 38Pay &amp; Benefits</t>
  </si>
  <si>
    <t>SubTheme 38Program Costs</t>
  </si>
  <si>
    <t>SubTheme 38Recruit &amp; Training</t>
  </si>
  <si>
    <t>SubTheme 38Travel &amp; Entertain.</t>
  </si>
  <si>
    <t>SubTheme 40Infrastructure</t>
  </si>
  <si>
    <t>SubTheme 40Office costs</t>
  </si>
  <si>
    <t>SubTheme 40Other</t>
  </si>
  <si>
    <t>SubTheme 40Partner expenses</t>
  </si>
  <si>
    <t>SubTheme 40Pay &amp; Benefits</t>
  </si>
  <si>
    <t>SubTheme 40Program Costs</t>
  </si>
  <si>
    <t>SubTheme 40Recruit &amp; Training</t>
  </si>
  <si>
    <t>SubTheme 40Travel &amp; Entertain.</t>
  </si>
  <si>
    <t>SubTheme 13Infrastructure</t>
  </si>
  <si>
    <t>SubTheme 13Office costs</t>
  </si>
  <si>
    <t>SubTheme 13Other</t>
  </si>
  <si>
    <t>SubTheme 13Partner expenses</t>
  </si>
  <si>
    <t>SubTheme 13Pay &amp; Benefits</t>
  </si>
  <si>
    <t>SubTheme 13Program Costs</t>
  </si>
  <si>
    <t>SubTheme 13Recruit &amp; Training</t>
  </si>
  <si>
    <t>SubTheme 13Travel &amp; Entertain.</t>
  </si>
  <si>
    <t>SubTheme 6Infrastructure</t>
  </si>
  <si>
    <t>SubTheme 6Office costs</t>
  </si>
  <si>
    <t>SubTheme 6Other</t>
  </si>
  <si>
    <t>SubTheme 6Partner expenses</t>
  </si>
  <si>
    <t>SubTheme 6Pay &amp; Benefits</t>
  </si>
  <si>
    <t>SubTheme 6Program Costs</t>
  </si>
  <si>
    <t>SubTheme 6Recruit &amp; Training</t>
  </si>
  <si>
    <t>SubTheme 6Travel &amp; Entertain.</t>
  </si>
  <si>
    <t>SubTheme 25Infrastructure</t>
  </si>
  <si>
    <t>SubTheme 25Office costs</t>
  </si>
  <si>
    <t>SubTheme 25Other</t>
  </si>
  <si>
    <t>SubTheme 25Partner expenses</t>
  </si>
  <si>
    <t>SubTheme 25Pay &amp; Benefits</t>
  </si>
  <si>
    <t>SubTheme 25Program Costs</t>
  </si>
  <si>
    <t>SubTheme 25Recruit &amp; Training</t>
  </si>
  <si>
    <t>SubTheme 25Travel &amp; Entertain.</t>
  </si>
  <si>
    <t>SubTheme 32Infrastructure</t>
  </si>
  <si>
    <t>SubTheme 32Office costs</t>
  </si>
  <si>
    <t>SubTheme 32Other</t>
  </si>
  <si>
    <t>SubTheme 32Partner expenses</t>
  </si>
  <si>
    <t>SubTheme 32Pay &amp; Benefits</t>
  </si>
  <si>
    <t>SubTheme 32Program Costs</t>
  </si>
  <si>
    <t>SubTheme 32Recruit &amp; Training</t>
  </si>
  <si>
    <t>SubTheme 32Travel &amp; Entertain.</t>
  </si>
  <si>
    <t>SubTheme 17Infrastructure</t>
  </si>
  <si>
    <t>SubTheme 17Office costs</t>
  </si>
  <si>
    <t>SubTheme 17Other</t>
  </si>
  <si>
    <t>SubTheme 17Partner expenses</t>
  </si>
  <si>
    <t>SubTheme 17Pay &amp; Benefits</t>
  </si>
  <si>
    <t>SubTheme 17Program Costs</t>
  </si>
  <si>
    <t>SubTheme 17Recruit &amp; Training</t>
  </si>
  <si>
    <t>SubTheme 17Travel &amp; Entertain.</t>
  </si>
  <si>
    <t>SubTheme 22Infrastructure</t>
  </si>
  <si>
    <t>SubTheme 22Office costs</t>
  </si>
  <si>
    <t>SubTheme 22Other</t>
  </si>
  <si>
    <t>SubTheme 22Partner expenses</t>
  </si>
  <si>
    <t>SubTheme 22Pay &amp; Benefits</t>
  </si>
  <si>
    <t>SubTheme 22Program Costs</t>
  </si>
  <si>
    <t>SubTheme 22Recruit &amp; Training</t>
  </si>
  <si>
    <t>SubTheme 22Travel &amp; Entertain.</t>
  </si>
  <si>
    <t>SubTheme 33Infrastructure</t>
  </si>
  <si>
    <t>SubTheme 33Office costs</t>
  </si>
  <si>
    <t>SubTheme 33Other</t>
  </si>
  <si>
    <t>SubTheme 33Partner expenses</t>
  </si>
  <si>
    <t>SubTheme 33Pay &amp; Benefits</t>
  </si>
  <si>
    <t>SubTheme 33Program Costs</t>
  </si>
  <si>
    <t>SubTheme 33Recruit &amp; Training</t>
  </si>
  <si>
    <t>SubTheme 33Travel &amp; Entertain.</t>
  </si>
  <si>
    <t>10604713 - SOF 52</t>
  </si>
  <si>
    <t>10982744 - SOF 31</t>
  </si>
  <si>
    <t>11050994 - SOF 26</t>
  </si>
  <si>
    <t>12381712 - SOF 87</t>
  </si>
  <si>
    <t>12831166 - SOF 60</t>
  </si>
  <si>
    <t>14122484 - SOF 64</t>
  </si>
  <si>
    <t>14925742 - SOF 51</t>
  </si>
  <si>
    <t>15257207 - SOF 77</t>
  </si>
  <si>
    <t>16059950 - SOF 84</t>
  </si>
  <si>
    <t>18573509 - SOF 23</t>
  </si>
  <si>
    <t>18946394 - SOF 27</t>
  </si>
  <si>
    <t>19248607 - SOF 88</t>
  </si>
  <si>
    <t>19289657 - SOF 74</t>
  </si>
  <si>
    <t>19641667 - SOF 75</t>
  </si>
  <si>
    <t>19741290 - SOF 22</t>
  </si>
  <si>
    <t>21254302 - SOF 34</t>
  </si>
  <si>
    <t>22386924 - SOF 82</t>
  </si>
  <si>
    <t>23386574 - SOF 7</t>
  </si>
  <si>
    <t>24631815 - SOF 67</t>
  </si>
  <si>
    <t>25361378 - SOF 15</t>
  </si>
  <si>
    <t>25695423 - SOF 103</t>
  </si>
  <si>
    <t>25769255 - SOF 19</t>
  </si>
  <si>
    <t>26286524 - SOF 90</t>
  </si>
  <si>
    <t>26829471 - SOF 98</t>
  </si>
  <si>
    <t>27277231 - SOF 43</t>
  </si>
  <si>
    <t>28973909 - SOF 39</t>
  </si>
  <si>
    <t>31076731 - SOF 91</t>
  </si>
  <si>
    <t>31412842 - SOF 86</t>
  </si>
  <si>
    <t>31658399 - SOF 9</t>
  </si>
  <si>
    <t>33175583 - SOF 97</t>
  </si>
  <si>
    <t>34560468 - SOF 102</t>
  </si>
  <si>
    <t>35437440 - SOF 14</t>
  </si>
  <si>
    <t>35474736 - SOF 110</t>
  </si>
  <si>
    <t>35492335 - SOF 21</t>
  </si>
  <si>
    <t>36506045 - SOF 53</t>
  </si>
  <si>
    <t>37820497 - SOF 10</t>
  </si>
  <si>
    <t>39953425 - SOF 32</t>
  </si>
  <si>
    <t>40174274 - SOF 50</t>
  </si>
  <si>
    <t>41648553 - SOF 89</t>
  </si>
  <si>
    <t>41722128 - SOF 104</t>
  </si>
  <si>
    <t>42375577 - SOF 6</t>
  </si>
  <si>
    <t>42625033 - SOF 69</t>
  </si>
  <si>
    <t>42910073 - SOF 13</t>
  </si>
  <si>
    <t>44334113 - SOF 59</t>
  </si>
  <si>
    <t>46115228 - SOF 17</t>
  </si>
  <si>
    <t>46240023 - SOF 83</t>
  </si>
  <si>
    <t>47582614 - SOF 78</t>
  </si>
  <si>
    <t>51354100 - SOF 106</t>
  </si>
  <si>
    <t>52814464 - SOF 105</t>
  </si>
  <si>
    <t>52989884 - SOF 70</t>
  </si>
  <si>
    <t>53153093 - SOF 8</t>
  </si>
  <si>
    <t>55277321 - SOF 37</t>
  </si>
  <si>
    <t>55352291 - SOF 79</t>
  </si>
  <si>
    <t>55861536 - SOF 45</t>
  </si>
  <si>
    <t>56273679 - SOF 24</t>
  </si>
  <si>
    <t>57646128 - SOF 20</t>
  </si>
  <si>
    <t>58296851 - SOF 112</t>
  </si>
  <si>
    <t>58741984 - SOF 99</t>
  </si>
  <si>
    <t>60259137 - SOF 101</t>
  </si>
  <si>
    <t>61169454 - SOF 111</t>
  </si>
  <si>
    <t>63175636 - SOF 108</t>
  </si>
  <si>
    <t>64472239 - SOF 94</t>
  </si>
  <si>
    <t>66604486 - SOF 49</t>
  </si>
  <si>
    <t>67005014 - SOF 65</t>
  </si>
  <si>
    <t>67141408 - SOF 5</t>
  </si>
  <si>
    <t>70614937 - SOF 96</t>
  </si>
  <si>
    <t>70627397 - SOF 25</t>
  </si>
  <si>
    <t>72383897 - SOF 72</t>
  </si>
  <si>
    <t>75208426 - SOF 47</t>
  </si>
  <si>
    <t>75457345 - SOF 62</t>
  </si>
  <si>
    <t>76952288 - SOF 11</t>
  </si>
  <si>
    <t>79667520 - SOF 4</t>
  </si>
  <si>
    <t>80613236 - SOF 58</t>
  </si>
  <si>
    <t>80762383 - SOF 113</t>
  </si>
  <si>
    <t>80793091 - SOF 1</t>
  </si>
  <si>
    <t>80949346 - SOF 115</t>
  </si>
  <si>
    <t>81107313 - SOF 55</t>
  </si>
  <si>
    <t>81419264 - SOF 68</t>
  </si>
  <si>
    <t>82108882 - SOF 2</t>
  </si>
  <si>
    <t>83165500 - SOF 73</t>
  </si>
  <si>
    <t>83261888 - SOF 57</t>
  </si>
  <si>
    <t>83299205 - SOF 54</t>
  </si>
  <si>
    <t>83911347 - SOF 107</t>
  </si>
  <si>
    <t>84113902 - SOF 76</t>
  </si>
  <si>
    <t>84992292 - SOF 44</t>
  </si>
  <si>
    <t>86866304 - SOF 92</t>
  </si>
  <si>
    <t>87319457 - SOF 3</t>
  </si>
  <si>
    <t>91115735 - SOF 29</t>
  </si>
  <si>
    <t>92127180 - SOF 42</t>
  </si>
  <si>
    <t>93034258 - SOF 16</t>
  </si>
  <si>
    <t>93719829 - SOF 100</t>
  </si>
  <si>
    <t>94988998 - SOF 46</t>
  </si>
  <si>
    <t>95054751 - SOF 56</t>
  </si>
  <si>
    <t>96171218 - SOF 93</t>
  </si>
  <si>
    <t>96913151 - SOF 38</t>
  </si>
  <si>
    <t>98739617 - SOF 109</t>
  </si>
  <si>
    <t>99992573 - SOF 71</t>
  </si>
  <si>
    <t>1001142 - Project 5</t>
  </si>
  <si>
    <t>1001169 - Project 36</t>
  </si>
  <si>
    <t>1001446 - Project 39</t>
  </si>
  <si>
    <t>1001572 - Project 48</t>
  </si>
  <si>
    <t>1002043 - Project 7</t>
  </si>
  <si>
    <t>1002120 - Project 45</t>
  </si>
  <si>
    <t>1002382 - Project 12</t>
  </si>
  <si>
    <t>1002499 - Project 18</t>
  </si>
  <si>
    <t>1002633 - Project 49</t>
  </si>
  <si>
    <t>1002681 - Project 51</t>
  </si>
  <si>
    <t>1002757 - Project 31</t>
  </si>
  <si>
    <t>1002772 - Project 57</t>
  </si>
  <si>
    <t>1003354 - Project 28</t>
  </si>
  <si>
    <t>1003417 - Project 43</t>
  </si>
  <si>
    <t>1003484 - Project 29</t>
  </si>
  <si>
    <t>1003604 - Project 38</t>
  </si>
  <si>
    <t>1003604 - Project 6</t>
  </si>
  <si>
    <t>1004006 - Project 13</t>
  </si>
  <si>
    <t>1004006 - Project 4</t>
  </si>
  <si>
    <t>1004172 - Project 10</t>
  </si>
  <si>
    <t>1004330 - Project 15</t>
  </si>
  <si>
    <t>1004339 - Project 25</t>
  </si>
  <si>
    <t>1004364 - Project 66</t>
  </si>
  <si>
    <t>1004402 - Project 64</t>
  </si>
  <si>
    <t>1004543 - Project 61</t>
  </si>
  <si>
    <t>1004552 - Project 60</t>
  </si>
  <si>
    <t>1004760 - Project 52</t>
  </si>
  <si>
    <t>1004898 - Project 63</t>
  </si>
  <si>
    <t>1004932 - Project 19</t>
  </si>
  <si>
    <t>1005028 - Project 37</t>
  </si>
  <si>
    <t>1005327 - Project 26</t>
  </si>
  <si>
    <t>1005369 - Project 1</t>
  </si>
  <si>
    <t>1005395 - Project 32</t>
  </si>
  <si>
    <t>1005472 - Project 9</t>
  </si>
  <si>
    <t>1005539 - Project 35</t>
  </si>
  <si>
    <t>1005645 - Project 56</t>
  </si>
  <si>
    <t>1005659 - Project 21</t>
  </si>
  <si>
    <t>1005739 - Project 22</t>
  </si>
  <si>
    <t>1005820 - Project 50</t>
  </si>
  <si>
    <t>1005953 - Project 62</t>
  </si>
  <si>
    <t>1006042 - Project 53</t>
  </si>
  <si>
    <t>1006297 - Project 8</t>
  </si>
  <si>
    <t>1006397 - Project 23</t>
  </si>
  <si>
    <t>1006634 - Project 14</t>
  </si>
  <si>
    <t>1006770 - Project 2</t>
  </si>
  <si>
    <t>1006951 - Project 33</t>
  </si>
  <si>
    <t>1007261 - Project 27</t>
  </si>
  <si>
    <t>1007370 - Project 47</t>
  </si>
  <si>
    <t>1007387 - Project 3</t>
  </si>
  <si>
    <t>1007740 - Project 16</t>
  </si>
  <si>
    <t>1007755 - Project 11</t>
  </si>
  <si>
    <t>1008042 - Project 67</t>
  </si>
  <si>
    <t>1008131 - Project 58</t>
  </si>
  <si>
    <t>1008571 - Project 55</t>
  </si>
  <si>
    <t>1008845 - Project 46</t>
  </si>
  <si>
    <t>1008885 - Project 41</t>
  </si>
  <si>
    <t>1009046 - Project 65</t>
  </si>
  <si>
    <t>1009065 - Project 54</t>
  </si>
  <si>
    <t>1009144 - Project 42</t>
  </si>
  <si>
    <t>1009373 - Project 34</t>
  </si>
  <si>
    <t>1009440 - Project 20</t>
  </si>
  <si>
    <t>1009644 - Project 24</t>
  </si>
  <si>
    <t>1009678 - Project 17</t>
  </si>
  <si>
    <t>1009741 - Project 30</t>
  </si>
  <si>
    <t>1009863 - Project 59</t>
  </si>
  <si>
    <t>1004898 - Project 63Infrastructure</t>
  </si>
  <si>
    <t>1004898 - Project 63Office costs</t>
  </si>
  <si>
    <t>1004898 - Project 63Other</t>
  </si>
  <si>
    <t>1004898 - Project 63Partner expenses</t>
  </si>
  <si>
    <t>1004898 - Project 63Pay &amp; Benefits</t>
  </si>
  <si>
    <t>1004898 - Project 63Program Costs</t>
  </si>
  <si>
    <t>1004898 - Project 63Recruit &amp; Training</t>
  </si>
  <si>
    <t>1004898 - Project 63Travel &amp; Entertain.</t>
  </si>
  <si>
    <t>1005369 - Project 1Infrastructure</t>
  </si>
  <si>
    <t>1005369 - Project 1Office costs</t>
  </si>
  <si>
    <t>1005369 - Project 1Other</t>
  </si>
  <si>
    <t>1005369 - Project 1Partner expenses</t>
  </si>
  <si>
    <t>1005369 - Project 1Pay &amp; Benefits</t>
  </si>
  <si>
    <t>1005369 - Project 1Program Costs</t>
  </si>
  <si>
    <t>1005369 - Project 1Recruit &amp; Training</t>
  </si>
  <si>
    <t>1005369 - Project 1Travel &amp; Entertain.</t>
  </si>
  <si>
    <t>1008845 - Project 46Infrastructure</t>
  </si>
  <si>
    <t>1008845 - Project 46Office costs</t>
  </si>
  <si>
    <t>1008845 - Project 46Other</t>
  </si>
  <si>
    <t>1008845 - Project 46Partner expenses</t>
  </si>
  <si>
    <t>1008845 - Project 46Pay &amp; Benefits</t>
  </si>
  <si>
    <t>1008845 - Project 46Program Costs</t>
  </si>
  <si>
    <t>1008845 - Project 46Recruit &amp; Training</t>
  </si>
  <si>
    <t>1008845 - Project 46Travel &amp; Entertain.</t>
  </si>
  <si>
    <t>1009373 - Project 34Infrastructure</t>
  </si>
  <si>
    <t>1009373 - Project 34Office costs</t>
  </si>
  <si>
    <t>1009373 - Project 34Other</t>
  </si>
  <si>
    <t>1009373 - Project 34Partner expenses</t>
  </si>
  <si>
    <t>1009373 - Project 34Pay &amp; Benefits</t>
  </si>
  <si>
    <t>1009373 - Project 34Program Costs</t>
  </si>
  <si>
    <t>1009373 - Project 34Recruit &amp; Training</t>
  </si>
  <si>
    <t>1009373 - Project 34Travel &amp; Entertain.</t>
  </si>
  <si>
    <t>1004330 - Project 15Infrastructure</t>
  </si>
  <si>
    <t>1004330 - Project 15Office costs</t>
  </si>
  <si>
    <t>1004330 - Project 15Other</t>
  </si>
  <si>
    <t>1004330 - Project 15Partner expenses</t>
  </si>
  <si>
    <t>1004330 - Project 15Pay &amp; Benefits</t>
  </si>
  <si>
    <t>1004330 - Project 15Program Costs</t>
  </si>
  <si>
    <t>1004330 - Project 15Recruit &amp; Training</t>
  </si>
  <si>
    <t>1004330 - Project 15Travel &amp; Entertain.</t>
  </si>
  <si>
    <t>1007755 - Project 11Infrastructure</t>
  </si>
  <si>
    <t>1007755 - Project 11Office costs</t>
  </si>
  <si>
    <t>1007755 - Project 11Other</t>
  </si>
  <si>
    <t>1007755 - Project 11Partner expenses</t>
  </si>
  <si>
    <t>1007755 - Project 11Pay &amp; Benefits</t>
  </si>
  <si>
    <t>1007755 - Project 11Program Costs</t>
  </si>
  <si>
    <t>1007755 - Project 11Recruit &amp; Training</t>
  </si>
  <si>
    <t>1007755 - Project 11Travel &amp; Entertain.</t>
  </si>
  <si>
    <t>1006770 - Project 2Infrastructure</t>
  </si>
  <si>
    <t>1006770 - Project 2Office costs</t>
  </si>
  <si>
    <t>1006770 - Project 2Other</t>
  </si>
  <si>
    <t>1006770 - Project 2Partner expenses</t>
  </si>
  <si>
    <t>1006770 - Project 2Pay &amp; Benefits</t>
  </si>
  <si>
    <t>1006770 - Project 2Program Costs</t>
  </si>
  <si>
    <t>1006770 - Project 2Recruit &amp; Training</t>
  </si>
  <si>
    <t>1006770 - Project 2Travel &amp; Entertain.</t>
  </si>
  <si>
    <t>1005539 - Project 35Infrastructure</t>
  </si>
  <si>
    <t>1005539 - Project 35Office costs</t>
  </si>
  <si>
    <t>1005539 - Project 35Other</t>
  </si>
  <si>
    <t>1005539 - Project 35Partner expenses</t>
  </si>
  <si>
    <t>1005539 - Project 35Pay &amp; Benefits</t>
  </si>
  <si>
    <t>1005539 - Project 35Program Costs</t>
  </si>
  <si>
    <t>1005539 - Project 35Recruit &amp; Training</t>
  </si>
  <si>
    <t>1005539 - Project 35Travel &amp; Entertain.</t>
  </si>
  <si>
    <t>1007387 - Project 3Infrastructure</t>
  </si>
  <si>
    <t>1007387 - Project 3Office costs</t>
  </si>
  <si>
    <t>1007387 - Project 3Other</t>
  </si>
  <si>
    <t>1007387 - Project 3Partner expenses</t>
  </si>
  <si>
    <t>1007387 - Project 3Pay &amp; Benefits</t>
  </si>
  <si>
    <t>1007387 - Project 3Program Costs</t>
  </si>
  <si>
    <t>1007387 - Project 3Recruit &amp; Training</t>
  </si>
  <si>
    <t>1007387 - Project 3Travel &amp; Entertain.</t>
  </si>
  <si>
    <t>1009440 - Project 20Infrastructure</t>
  </si>
  <si>
    <t>1009440 - Project 20Office costs</t>
  </si>
  <si>
    <t>1009440 - Project 20Other</t>
  </si>
  <si>
    <t>1009440 - Project 20Partner expenses</t>
  </si>
  <si>
    <t>1009440 - Project 20Pay &amp; Benefits</t>
  </si>
  <si>
    <t>1009440 - Project 20Program Costs</t>
  </si>
  <si>
    <t>1009440 - Project 20Recruit &amp; Training</t>
  </si>
  <si>
    <t>1009440 - Project 20Travel &amp; Entertain.</t>
  </si>
  <si>
    <t>1005739 - Project 22Infrastructure</t>
  </si>
  <si>
    <t>1005739 - Project 22Office costs</t>
  </si>
  <si>
    <t>1005739 - Project 22Other</t>
  </si>
  <si>
    <t>1005739 - Project 22Partner expenses</t>
  </si>
  <si>
    <t>1005739 - Project 22Pay &amp; Benefits</t>
  </si>
  <si>
    <t>1005739 - Project 22Program Costs</t>
  </si>
  <si>
    <t>1005739 - Project 22Recruit &amp; Training</t>
  </si>
  <si>
    <t>1005739 - Project 22Travel &amp; Entertain.</t>
  </si>
  <si>
    <t>1006397 - Project 23Infrastructure</t>
  </si>
  <si>
    <t>1006397 - Project 23Office costs</t>
  </si>
  <si>
    <t>1006397 - Project 23Other</t>
  </si>
  <si>
    <t>1006397 - Project 23Partner expenses</t>
  </si>
  <si>
    <t>1006397 - Project 23Pay &amp; Benefits</t>
  </si>
  <si>
    <t>1006397 - Project 23Program Costs</t>
  </si>
  <si>
    <t>1006397 - Project 23Recruit &amp; Training</t>
  </si>
  <si>
    <t>1006397 - Project 23Travel &amp; Entertain.</t>
  </si>
  <si>
    <t>1009644 - Project 24Infrastructure</t>
  </si>
  <si>
    <t>1009644 - Project 24Office costs</t>
  </si>
  <si>
    <t>1009644 - Project 24Other</t>
  </si>
  <si>
    <t>1009644 - Project 24Partner expenses</t>
  </si>
  <si>
    <t>1009644 - Project 24Pay &amp; Benefits</t>
  </si>
  <si>
    <t>1009644 - Project 24Program Costs</t>
  </si>
  <si>
    <t>1009644 - Project 24Recruit &amp; Training</t>
  </si>
  <si>
    <t>1009644 - Project 24Travel &amp; Entertain.</t>
  </si>
  <si>
    <t>1004339 - Project 25Infrastructure</t>
  </si>
  <si>
    <t>1004339 - Project 25Office costs</t>
  </si>
  <si>
    <t>1004339 - Project 25Other</t>
  </si>
  <si>
    <t>1004339 - Project 25Partner expenses</t>
  </si>
  <si>
    <t>1004339 - Project 25Pay &amp; Benefits</t>
  </si>
  <si>
    <t>1004339 - Project 25Program Costs</t>
  </si>
  <si>
    <t>1004339 - Project 25Recruit &amp; Training</t>
  </si>
  <si>
    <t>1004339 - Project 25Travel &amp; Entertain.</t>
  </si>
  <si>
    <t>1007261 - Project 27Infrastructure</t>
  </si>
  <si>
    <t>1007261 - Project 27Office costs</t>
  </si>
  <si>
    <t>1007261 - Project 27Other</t>
  </si>
  <si>
    <t>1007261 - Project 27Partner expenses</t>
  </si>
  <si>
    <t>1007261 - Project 27Pay &amp; Benefits</t>
  </si>
  <si>
    <t>1007261 - Project 27Program Costs</t>
  </si>
  <si>
    <t>1007261 - Project 27Recruit &amp; Training</t>
  </si>
  <si>
    <t>1007261 - Project 27Travel &amp; Entertain.</t>
  </si>
  <si>
    <t>1003354 - Project 28Infrastructure</t>
  </si>
  <si>
    <t>1003354 - Project 28Office costs</t>
  </si>
  <si>
    <t>1003354 - Project 28Other</t>
  </si>
  <si>
    <t>1003354 - Project 28Partner expenses</t>
  </si>
  <si>
    <t>1003354 - Project 28Pay &amp; Benefits</t>
  </si>
  <si>
    <t>1003354 - Project 28Program Costs</t>
  </si>
  <si>
    <t>1003354 - Project 28Recruit &amp; Training</t>
  </si>
  <si>
    <t>1003354 - Project 28Travel &amp; Entertain.</t>
  </si>
  <si>
    <t>1002633 - Project 49Infrastructure</t>
  </si>
  <si>
    <t>1002633 - Project 49Office costs</t>
  </si>
  <si>
    <t>1002633 - Project 49Other</t>
  </si>
  <si>
    <t>1002633 - Project 49Partner expenses</t>
  </si>
  <si>
    <t>1002633 - Project 49Pay &amp; Benefits</t>
  </si>
  <si>
    <t>1002633 - Project 49Program Costs</t>
  </si>
  <si>
    <t>1002633 - Project 49Recruit &amp; Training</t>
  </si>
  <si>
    <t>1002633 - Project 49Travel &amp; Entertain.</t>
  </si>
  <si>
    <t>1005820 - Project 50Infrastructure</t>
  </si>
  <si>
    <t>1005820 - Project 50Office costs</t>
  </si>
  <si>
    <t>1005820 - Project 50Other</t>
  </si>
  <si>
    <t>1005820 - Project 50Partner expenses</t>
  </si>
  <si>
    <t>1005820 - Project 50Pay &amp; Benefits</t>
  </si>
  <si>
    <t>1005820 - Project 50Program Costs</t>
  </si>
  <si>
    <t>1005820 - Project 50Recruit &amp; Training</t>
  </si>
  <si>
    <t>1005820 - Project 50Travel &amp; Entertain.</t>
  </si>
  <si>
    <t>1002681 - Project 51Infrastructure</t>
  </si>
  <si>
    <t>1002681 - Project 51Office costs</t>
  </si>
  <si>
    <t>1002681 - Project 51Other</t>
  </si>
  <si>
    <t>1002681 - Project 51Partner expenses</t>
  </si>
  <si>
    <t>1002681 - Project 51Pay &amp; Benefits</t>
  </si>
  <si>
    <t>1002681 - Project 51Program Costs</t>
  </si>
  <si>
    <t>1002681 - Project 51Recruit &amp; Training</t>
  </si>
  <si>
    <t>1002681 - Project 51Travel &amp; Entertain.</t>
  </si>
  <si>
    <t>1004760 - Project 52Infrastructure</t>
  </si>
  <si>
    <t>1004760 - Project 52Office costs</t>
  </si>
  <si>
    <t>1004760 - Project 52Other</t>
  </si>
  <si>
    <t>1004760 - Project 52Partner expenses</t>
  </si>
  <si>
    <t>1004760 - Project 52Pay &amp; Benefits</t>
  </si>
  <si>
    <t>1004760 - Project 52Program Costs</t>
  </si>
  <si>
    <t>1004760 - Project 52Recruit &amp; Training</t>
  </si>
  <si>
    <t>1004760 - Project 52Travel &amp; Entertain.</t>
  </si>
  <si>
    <t>1008131 - Project 58Infrastructure</t>
  </si>
  <si>
    <t>1008131 - Project 58Office costs</t>
  </si>
  <si>
    <t>1008131 - Project 58Other</t>
  </si>
  <si>
    <t>1008131 - Project 58Partner expenses</t>
  </si>
  <si>
    <t>1008131 - Project 58Pay &amp; Benefits</t>
  </si>
  <si>
    <t>1008131 - Project 58Program Costs</t>
  </si>
  <si>
    <t>1008131 - Project 58Recruit &amp; Training</t>
  </si>
  <si>
    <t>1008131 - Project 58Travel &amp; Entertain.</t>
  </si>
  <si>
    <t>1005953 - Project 62Infrastructure</t>
  </si>
  <si>
    <t>1005953 - Project 62Office costs</t>
  </si>
  <si>
    <t>1005953 - Project 62Other</t>
  </si>
  <si>
    <t>1005953 - Project 62Partner expenses</t>
  </si>
  <si>
    <t>1005953 - Project 62Pay &amp; Benefits</t>
  </si>
  <si>
    <t>1005953 - Project 62Program Costs</t>
  </si>
  <si>
    <t>1005953 - Project 62Recruit &amp; Training</t>
  </si>
  <si>
    <t>1005953 - Project 62Travel &amp; Entertain.</t>
  </si>
  <si>
    <t>1001142 - Project 5Infrastructure</t>
  </si>
  <si>
    <t>1001142 - Project 5Office costs</t>
  </si>
  <si>
    <t>1001142 - Project 5Other</t>
  </si>
  <si>
    <t>1001142 - Project 5Partner expenses</t>
  </si>
  <si>
    <t>1001142 - Project 5Pay &amp; Benefits</t>
  </si>
  <si>
    <t>1001142 - Project 5Program Costs</t>
  </si>
  <si>
    <t>1001142 - Project 5Recruit &amp; Training</t>
  </si>
  <si>
    <t>1001142 - Project 5Travel &amp; Entertain.</t>
  </si>
  <si>
    <t>1001169 - Project 36Infrastructure</t>
  </si>
  <si>
    <t>1001169 - Project 36Office costs</t>
  </si>
  <si>
    <t>1001169 - Project 36Other</t>
  </si>
  <si>
    <t>1001169 - Project 36Partner expenses</t>
  </si>
  <si>
    <t>1001169 - Project 36Pay &amp; Benefits</t>
  </si>
  <si>
    <t>1001169 - Project 36Program Costs</t>
  </si>
  <si>
    <t>1001169 - Project 36Recruit &amp; Training</t>
  </si>
  <si>
    <t>1001169 - Project 36Travel &amp; Entertain.</t>
  </si>
  <si>
    <t>1003604 - Project 6Infrastructure</t>
  </si>
  <si>
    <t>1003604 - Project 6Office costs</t>
  </si>
  <si>
    <t>1003604 - Project 6Other</t>
  </si>
  <si>
    <t>1003604 - Project 6Partner expenses</t>
  </si>
  <si>
    <t>1003604 - Project 6Pay &amp; Benefits</t>
  </si>
  <si>
    <t>1003604 - Project 6Program Costs</t>
  </si>
  <si>
    <t>1003604 - Project 6Recruit &amp; Training</t>
  </si>
  <si>
    <t>1003604 - Project 6Travel &amp; Entertain.</t>
  </si>
  <si>
    <t>1004364 - Project 66Infrastructure</t>
  </si>
  <si>
    <t>1004364 - Project 66Office costs</t>
  </si>
  <si>
    <t>1004364 - Project 66Other</t>
  </si>
  <si>
    <t>1004364 - Project 66Partner expenses</t>
  </si>
  <si>
    <t>1004364 - Project 66Pay &amp; Benefits</t>
  </si>
  <si>
    <t>1004364 - Project 66Program Costs</t>
  </si>
  <si>
    <t>1004364 - Project 66Recruit &amp; Training</t>
  </si>
  <si>
    <t>1004364 - Project 66Travel &amp; Entertain.</t>
  </si>
  <si>
    <t>1008042 - Project 67Infrastructure</t>
  </si>
  <si>
    <t>1008042 - Project 67Office costs</t>
  </si>
  <si>
    <t>1008042 - Project 67Other</t>
  </si>
  <si>
    <t>1008042 - Project 67Partner expenses</t>
  </si>
  <si>
    <t>1008042 - Project 67Pay &amp; Benefits</t>
  </si>
  <si>
    <t>1008042 - Project 67Program Costs</t>
  </si>
  <si>
    <t>1008042 - Project 67Recruit &amp; Training</t>
  </si>
  <si>
    <t>1008042 - Project 67Travel &amp; Entertain.</t>
  </si>
  <si>
    <t>1005472 - Project 9Infrastructure</t>
  </si>
  <si>
    <t>1005472 - Project 9Office costs</t>
  </si>
  <si>
    <t>1005472 - Project 9Other</t>
  </si>
  <si>
    <t>1005472 - Project 9Partner expenses</t>
  </si>
  <si>
    <t>1005472 - Project 9Pay &amp; Benefits</t>
  </si>
  <si>
    <t>1005472 - Project 9Program Costs</t>
  </si>
  <si>
    <t>1005472 - Project 9Recruit &amp; Training</t>
  </si>
  <si>
    <t>1005472 - Project 9Travel &amp; Entertain.</t>
  </si>
  <si>
    <t>1004006 - Project 4Infrastructure</t>
  </si>
  <si>
    <t>1004006 - Project 4Office costs</t>
  </si>
  <si>
    <t>1004006 - Project 4Other</t>
  </si>
  <si>
    <t>1004006 - Project 4Partner expenses</t>
  </si>
  <si>
    <t>1004006 - Project 4Pay &amp; Benefits</t>
  </si>
  <si>
    <t>1004006 - Project 4Program Costs</t>
  </si>
  <si>
    <t>1004006 - Project 4Recruit &amp; Training</t>
  </si>
  <si>
    <t>1004006 - Project 4Travel &amp; Entertain.</t>
  </si>
  <si>
    <t>1006297 - Project 8Infrastructure</t>
  </si>
  <si>
    <t>1006297 - Project 8Office costs</t>
  </si>
  <si>
    <t>1006297 - Project 8Other</t>
  </si>
  <si>
    <t>1006297 - Project 8Partner expenses</t>
  </si>
  <si>
    <t>1006297 - Project 8Pay &amp; Benefits</t>
  </si>
  <si>
    <t>1006297 - Project 8Program Costs</t>
  </si>
  <si>
    <t>1006297 - Project 8Recruit &amp; Training</t>
  </si>
  <si>
    <t>1006297 - Project 8Travel &amp; Entertain.</t>
  </si>
  <si>
    <t>1009678 - Project 17Infrastructure</t>
  </si>
  <si>
    <t>1009678 - Project 17Office costs</t>
  </si>
  <si>
    <t>1009678 - Project 17Other</t>
  </si>
  <si>
    <t>1009678 - Project 17Partner expenses</t>
  </si>
  <si>
    <t>1009678 - Project 17Pay &amp; Benefits</t>
  </si>
  <si>
    <t>1009678 - Project 17Program Costs</t>
  </si>
  <si>
    <t>1009678 - Project 17Recruit &amp; Training</t>
  </si>
  <si>
    <t>1009678 - Project 17Travel &amp; Entertain.</t>
  </si>
  <si>
    <t>1002382 - Project 12Infrastructure</t>
  </si>
  <si>
    <t>1002382 - Project 12Office costs</t>
  </si>
  <si>
    <t>1002382 - Project 12Other</t>
  </si>
  <si>
    <t>1002382 - Project 12Partner expenses</t>
  </si>
  <si>
    <t>1002382 - Project 12Pay &amp; Benefits</t>
  </si>
  <si>
    <t>1002382 - Project 12Program Costs</t>
  </si>
  <si>
    <t>1002382 - Project 12Recruit &amp; Training</t>
  </si>
  <si>
    <t>1002382 - Project 12Travel &amp; Entertain.</t>
  </si>
  <si>
    <t>1009144 - Project 42Infrastructure</t>
  </si>
  <si>
    <t>1009144 - Project 42Office costs</t>
  </si>
  <si>
    <t>1009144 - Project 42Other</t>
  </si>
  <si>
    <t>1009144 - Project 42Partner expenses</t>
  </si>
  <si>
    <t>1009144 - Project 42Pay &amp; Benefits</t>
  </si>
  <si>
    <t>1009144 - Project 42Program Costs</t>
  </si>
  <si>
    <t>1009144 - Project 42Recruit &amp; Training</t>
  </si>
  <si>
    <t>1009144 - Project 42Travel &amp; Entertain.</t>
  </si>
  <si>
    <t>1003417 - Project 43Infrastructure</t>
  </si>
  <si>
    <t>1003417 - Project 43Office costs</t>
  </si>
  <si>
    <t>1003417 - Project 43Other</t>
  </si>
  <si>
    <t>1003417 - Project 43Partner expenses</t>
  </si>
  <si>
    <t>1003417 - Project 43Pay &amp; Benefits</t>
  </si>
  <si>
    <t>1003417 - Project 43Program Costs</t>
  </si>
  <si>
    <t>1003417 - Project 43Recruit &amp; Training</t>
  </si>
  <si>
    <t>1003417 - Project 43Travel &amp; Entertain.</t>
  </si>
  <si>
    <t>1004006 - Project 13Infrastructure</t>
  </si>
  <si>
    <t>1004006 - Project 13Office costs</t>
  </si>
  <si>
    <t>1004006 - Project 13Other</t>
  </si>
  <si>
    <t>1004006 - Project 13Partner expenses</t>
  </si>
  <si>
    <t>1004006 - Project 13Pay &amp; Benefits</t>
  </si>
  <si>
    <t>1004006 - Project 13Program Costs</t>
  </si>
  <si>
    <t>1004006 - Project 13Recruit &amp; Training</t>
  </si>
  <si>
    <t>1004006 - Project 13Travel &amp; Entertain.</t>
  </si>
  <si>
    <t>1004932 - Project 19Infrastructure</t>
  </si>
  <si>
    <t>1004932 - Project 19Office costs</t>
  </si>
  <si>
    <t>1004932 - Project 19Other</t>
  </si>
  <si>
    <t>1004932 - Project 19Partner expenses</t>
  </si>
  <si>
    <t>1004932 - Project 19Pay &amp; Benefits</t>
  </si>
  <si>
    <t>1004932 - Project 19Program Costs</t>
  </si>
  <si>
    <t>1004932 - Project 19Recruit &amp; Training</t>
  </si>
  <si>
    <t>1004932 - Project 19Travel &amp; Entertain.</t>
  </si>
  <si>
    <t>1007740 - Project 16Infrastructure</t>
  </si>
  <si>
    <t>1007740 - Project 16Office costs</t>
  </si>
  <si>
    <t>1007740 - Project 16Other</t>
  </si>
  <si>
    <t>1007740 - Project 16Partner expenses</t>
  </si>
  <si>
    <t>1007740 - Project 16Pay &amp; Benefits</t>
  </si>
  <si>
    <t>1007740 - Project 16Program Costs</t>
  </si>
  <si>
    <t>1007740 - Project 16Recruit &amp; Training</t>
  </si>
  <si>
    <t>1007740 - Project 16Travel &amp; Entertain.</t>
  </si>
  <si>
    <t>1005028 - Project 37Infrastructure</t>
  </si>
  <si>
    <t>1005028 - Project 37Office costs</t>
  </si>
  <si>
    <t>1005028 - Project 37Other</t>
  </si>
  <si>
    <t>1005028 - Project 37Partner expenses</t>
  </si>
  <si>
    <t>1005028 - Project 37Pay &amp; Benefits</t>
  </si>
  <si>
    <t>1005028 - Project 37Program Costs</t>
  </si>
  <si>
    <t>1005028 - Project 37Recruit &amp; Training</t>
  </si>
  <si>
    <t>1005028 - Project 37Travel &amp; Entertain.</t>
  </si>
  <si>
    <t>1003604 - Project 38Infrastructure</t>
  </si>
  <si>
    <t>1003604 - Project 38Office costs</t>
  </si>
  <si>
    <t>1003604 - Project 38Other</t>
  </si>
  <si>
    <t>1003604 - Project 38Partner expenses</t>
  </si>
  <si>
    <t>1003604 - Project 38Pay &amp; Benefits</t>
  </si>
  <si>
    <t>1003604 - Project 38Program Costs</t>
  </si>
  <si>
    <t>1003604 - Project 38Recruit &amp; Training</t>
  </si>
  <si>
    <t>1003604 - Project 38Travel &amp; Entertain.</t>
  </si>
  <si>
    <t>1004172 - Project 10Infrastructure</t>
  </si>
  <si>
    <t>1004172 - Project 10Office costs</t>
  </si>
  <si>
    <t>1004172 - Project 10Other</t>
  </si>
  <si>
    <t>1004172 - Project 10Partner expenses</t>
  </si>
  <si>
    <t>1004172 - Project 10Pay &amp; Benefits</t>
  </si>
  <si>
    <t>1004172 - Project 10Program Costs</t>
  </si>
  <si>
    <t>1004172 - Project 10Recruit &amp; Training</t>
  </si>
  <si>
    <t>1004172 - Project 10Travel &amp; Entertain.</t>
  </si>
  <si>
    <t>1002499 - Project 18Infrastructure</t>
  </si>
  <si>
    <t>1002499 - Project 18Office costs</t>
  </si>
  <si>
    <t>1002499 - Project 18Other</t>
  </si>
  <si>
    <t>1002499 - Project 18Partner expenses</t>
  </si>
  <si>
    <t>1002499 - Project 18Pay &amp; Benefits</t>
  </si>
  <si>
    <t>1002499 - Project 18Program Costs</t>
  </si>
  <si>
    <t>1002499 - Project 18Recruit &amp; Training</t>
  </si>
  <si>
    <t>1002499 - Project 18Travel &amp; Entertain.</t>
  </si>
  <si>
    <t>1002757 - Project 31Infrastructure</t>
  </si>
  <si>
    <t>1002757 - Project 31Office costs</t>
  </si>
  <si>
    <t>1002757 - Project 31Other</t>
  </si>
  <si>
    <t>1002757 - Project 31Partner expenses</t>
  </si>
  <si>
    <t>1002757 - Project 31Pay &amp; Benefits</t>
  </si>
  <si>
    <t>1002757 - Project 31Program Costs</t>
  </si>
  <si>
    <t>1002757 - Project 31Recruit &amp; Training</t>
  </si>
  <si>
    <t>1002757 - Project 31Travel &amp; Entertain.</t>
  </si>
  <si>
    <t>1003484 - Project 29Infrastructure</t>
  </si>
  <si>
    <t>1003484 - Project 29Office costs</t>
  </si>
  <si>
    <t>1003484 - Project 29Other</t>
  </si>
  <si>
    <t>1003484 - Project 29Partner expenses</t>
  </si>
  <si>
    <t>1003484 - Project 29Pay &amp; Benefits</t>
  </si>
  <si>
    <t>1003484 - Project 29Program Costs</t>
  </si>
  <si>
    <t>1003484 - Project 29Recruit &amp; Training</t>
  </si>
  <si>
    <t>1003484 - Project 29Travel &amp; Entertain.</t>
  </si>
  <si>
    <t>1004552 - Project 60Infrastructure</t>
  </si>
  <si>
    <t>1004552 - Project 60Office costs</t>
  </si>
  <si>
    <t>1004552 - Project 60Other</t>
  </si>
  <si>
    <t>1004552 - Project 60Partner expenses</t>
  </si>
  <si>
    <t>1004552 - Project 60Pay &amp; Benefits</t>
  </si>
  <si>
    <t>1004552 - Project 60Program Costs</t>
  </si>
  <si>
    <t>1004552 - Project 60Recruit &amp; Training</t>
  </si>
  <si>
    <t>1004552 - Project 60Travel &amp; Entertain.</t>
  </si>
  <si>
    <t>1005645 - Project 56Infrastructure</t>
  </si>
  <si>
    <t>1005645 - Project 56Office costs</t>
  </si>
  <si>
    <t>1005645 - Project 56Other</t>
  </si>
  <si>
    <t>1005645 - Project 56Partner expenses</t>
  </si>
  <si>
    <t>1005645 - Project 56Pay &amp; Benefits</t>
  </si>
  <si>
    <t>1005645 - Project 56Program Costs</t>
  </si>
  <si>
    <t>1005645 - Project 56Recruit &amp; Training</t>
  </si>
  <si>
    <t>1005645 - Project 56Travel &amp; Entertain.</t>
  </si>
  <si>
    <t>1008571 - Project 55Infrastructure</t>
  </si>
  <si>
    <t>1008571 - Project 55Office costs</t>
  </si>
  <si>
    <t>1008571 - Project 55Other</t>
  </si>
  <si>
    <t>1008571 - Project 55Partner expenses</t>
  </si>
  <si>
    <t>1008571 - Project 55Pay &amp; Benefits</t>
  </si>
  <si>
    <t>1008571 - Project 55Program Costs</t>
  </si>
  <si>
    <t>1008571 - Project 55Recruit &amp; Training</t>
  </si>
  <si>
    <t>1008571 - Project 55Travel &amp; Entertain.</t>
  </si>
  <si>
    <t>1009741 - Project 30Infrastructure</t>
  </si>
  <si>
    <t>1009741 - Project 30Office costs</t>
  </si>
  <si>
    <t>1009741 - Project 30Other</t>
  </si>
  <si>
    <t>1009741 - Project 30Partner expenses</t>
  </si>
  <si>
    <t>1009741 - Project 30Pay &amp; Benefits</t>
  </si>
  <si>
    <t>1009741 - Project 30Program Costs</t>
  </si>
  <si>
    <t>1009741 - Project 30Recruit &amp; Training</t>
  </si>
  <si>
    <t>1009741 - Project 30Travel &amp; Entertain.</t>
  </si>
  <si>
    <t>1009863 - Project 59Infrastructure</t>
  </si>
  <si>
    <t>1009863 - Project 59Office costs</t>
  </si>
  <si>
    <t>1009863 - Project 59Other</t>
  </si>
  <si>
    <t>1009863 - Project 59Partner expenses</t>
  </si>
  <si>
    <t>1009863 - Project 59Pay &amp; Benefits</t>
  </si>
  <si>
    <t>1009863 - Project 59Program Costs</t>
  </si>
  <si>
    <t>1009863 - Project 59Recruit &amp; Training</t>
  </si>
  <si>
    <t>1009863 - Project 59Travel &amp; Entertain.</t>
  </si>
  <si>
    <t>1002772 - Project 57Infrastructure</t>
  </si>
  <si>
    <t>1002772 - Project 57Office costs</t>
  </si>
  <si>
    <t>1002772 - Project 57Other</t>
  </si>
  <si>
    <t>1002772 - Project 57Partner expenses</t>
  </si>
  <si>
    <t>1002772 - Project 57Pay &amp; Benefits</t>
  </si>
  <si>
    <t>1002772 - Project 57Program Costs</t>
  </si>
  <si>
    <t>1002772 - Project 57Recruit &amp; Training</t>
  </si>
  <si>
    <t>1002772 - Project 57Travel &amp; Entertain.</t>
  </si>
  <si>
    <t>1004402 - Project 64Infrastructure</t>
  </si>
  <si>
    <t>1004402 - Project 64Office costs</t>
  </si>
  <si>
    <t>1004402 - Project 64Other</t>
  </si>
  <si>
    <t>1004402 - Project 64Partner expenses</t>
  </si>
  <si>
    <t>1004402 - Project 64Pay &amp; Benefits</t>
  </si>
  <si>
    <t>1004402 - Project 64Program Costs</t>
  </si>
  <si>
    <t>1004402 - Project 64Recruit &amp; Training</t>
  </si>
  <si>
    <t>1004402 - Project 64Travel &amp; Entertain.</t>
  </si>
  <si>
    <t>1004543 - Project 61Infrastructure</t>
  </si>
  <si>
    <t>1004543 - Project 61Office costs</t>
  </si>
  <si>
    <t>1004543 - Project 61Other</t>
  </si>
  <si>
    <t>1004543 - Project 61Partner expenses</t>
  </si>
  <si>
    <t>1004543 - Project 61Pay &amp; Benefits</t>
  </si>
  <si>
    <t>1004543 - Project 61Program Costs</t>
  </si>
  <si>
    <t>1004543 - Project 61Recruit &amp; Training</t>
  </si>
  <si>
    <t>1004543 - Project 61Travel &amp; Entertain.</t>
  </si>
  <si>
    <t>1005395 - Project 32Infrastructure</t>
  </si>
  <si>
    <t>1005395 - Project 32Office costs</t>
  </si>
  <si>
    <t>1005395 - Project 32Other</t>
  </si>
  <si>
    <t>1005395 - Project 32Partner expenses</t>
  </si>
  <si>
    <t>1005395 - Project 32Pay &amp; Benefits</t>
  </si>
  <si>
    <t>1005395 - Project 32Program Costs</t>
  </si>
  <si>
    <t>1005395 - Project 32Recruit &amp; Training</t>
  </si>
  <si>
    <t>1005395 - Project 32Travel &amp; Entertain.</t>
  </si>
  <si>
    <t>1006634 - Project 14Infrastructure</t>
  </si>
  <si>
    <t>1006634 - Project 14Office costs</t>
  </si>
  <si>
    <t>1006634 - Project 14Other</t>
  </si>
  <si>
    <t>1006634 - Project 14Partner expenses</t>
  </si>
  <si>
    <t>1006634 - Project 14Pay &amp; Benefits</t>
  </si>
  <si>
    <t>1006634 - Project 14Program Costs</t>
  </si>
  <si>
    <t>1006634 - Project 14Recruit &amp; Training</t>
  </si>
  <si>
    <t>1006634 - Project 14Travel &amp; Entertain.</t>
  </si>
  <si>
    <t>1008885 - Project 41Infrastructure</t>
  </si>
  <si>
    <t>1008885 - Project 41Office costs</t>
  </si>
  <si>
    <t>1008885 - Project 41Other</t>
  </si>
  <si>
    <t>1008885 - Project 41Partner expenses</t>
  </si>
  <si>
    <t>1008885 - Project 41Pay &amp; Benefits</t>
  </si>
  <si>
    <t>1008885 - Project 41Program Costs</t>
  </si>
  <si>
    <t>1008885 - Project 41Recruit &amp; Training</t>
  </si>
  <si>
    <t>1008885 - Project 41Travel &amp; Entertain.</t>
  </si>
  <si>
    <t>1002043 - Project 7Infrastructure</t>
  </si>
  <si>
    <t>1002043 - Project 7Office costs</t>
  </si>
  <si>
    <t>1002043 - Project 7Other</t>
  </si>
  <si>
    <t>1002043 - Project 7Partner expenses</t>
  </si>
  <si>
    <t>1002043 - Project 7Pay &amp; Benefits</t>
  </si>
  <si>
    <t>1002043 - Project 7Program Costs</t>
  </si>
  <si>
    <t>1002043 - Project 7Recruit &amp; Training</t>
  </si>
  <si>
    <t>1002043 - Project 7Travel &amp; Entertain.</t>
  </si>
  <si>
    <t>1001446 - Project 39Infrastructure</t>
  </si>
  <si>
    <t>1001446 - Project 39Office costs</t>
  </si>
  <si>
    <t>1001446 - Project 39Other</t>
  </si>
  <si>
    <t>1001446 - Project 39Partner expenses</t>
  </si>
  <si>
    <t>1001446 - Project 39Pay &amp; Benefits</t>
  </si>
  <si>
    <t>1001446 - Project 39Program Costs</t>
  </si>
  <si>
    <t>1001446 - Project 39Recruit &amp; Training</t>
  </si>
  <si>
    <t>1001446 - Project 39Travel &amp; Entertain.</t>
  </si>
  <si>
    <t>1006042 - Project 53Infrastructure</t>
  </si>
  <si>
    <t>1006042 - Project 53Office costs</t>
  </si>
  <si>
    <t>1006042 - Project 53Other</t>
  </si>
  <si>
    <t>1006042 - Project 53Partner expenses</t>
  </si>
  <si>
    <t>1006042 - Project 53Pay &amp; Benefits</t>
  </si>
  <si>
    <t>1006042 - Project 53Program Costs</t>
  </si>
  <si>
    <t>1006042 - Project 53Recruit &amp; Training</t>
  </si>
  <si>
    <t>1006042 - Project 53Travel &amp; Entertain.</t>
  </si>
  <si>
    <t>1006951 - Project 33Infrastructure</t>
  </si>
  <si>
    <t>1006951 - Project 33Office costs</t>
  </si>
  <si>
    <t>1006951 - Project 33Other</t>
  </si>
  <si>
    <t>1006951 - Project 33Partner expenses</t>
  </si>
  <si>
    <t>1006951 - Project 33Pay &amp; Benefits</t>
  </si>
  <si>
    <t>1006951 - Project 33Program Costs</t>
  </si>
  <si>
    <t>1006951 - Project 33Recruit &amp; Training</t>
  </si>
  <si>
    <t>1006951 - Project 33Travel &amp; Entertain.</t>
  </si>
  <si>
    <t>1007370 - Project 47Infrastructure</t>
  </si>
  <si>
    <t>1007370 - Project 47Office costs</t>
  </si>
  <si>
    <t>1007370 - Project 47Other</t>
  </si>
  <si>
    <t>1007370 - Project 47Partner expenses</t>
  </si>
  <si>
    <t>1007370 - Project 47Pay &amp; Benefits</t>
  </si>
  <si>
    <t>1007370 - Project 47Program Costs</t>
  </si>
  <si>
    <t>1007370 - Project 47Recruit &amp; Training</t>
  </si>
  <si>
    <t>1007370 - Project 47Travel &amp; Entertain.</t>
  </si>
  <si>
    <t>1009046 - Project 65Infrastructure</t>
  </si>
  <si>
    <t>1009046 - Project 65Office costs</t>
  </si>
  <si>
    <t>1009046 - Project 65Other</t>
  </si>
  <si>
    <t>1009046 - Project 65Partner expenses</t>
  </si>
  <si>
    <t>1009046 - Project 65Pay &amp; Benefits</t>
  </si>
  <si>
    <t>1009046 - Project 65Program Costs</t>
  </si>
  <si>
    <t>1009046 - Project 65Recruit &amp; Training</t>
  </si>
  <si>
    <t>1009046 - Project 65Travel &amp; Entertain.</t>
  </si>
  <si>
    <t>1002120 - Project 45Infrastructure</t>
  </si>
  <si>
    <t>1002120 - Project 45Office costs</t>
  </si>
  <si>
    <t>1002120 - Project 45Other</t>
  </si>
  <si>
    <t>1002120 - Project 45Partner expenses</t>
  </si>
  <si>
    <t>1002120 - Project 45Pay &amp; Benefits</t>
  </si>
  <si>
    <t>1002120 - Project 45Program Costs</t>
  </si>
  <si>
    <t>1002120 - Project 45Recruit &amp; Training</t>
  </si>
  <si>
    <t>1002120 - Project 45Travel &amp; Entertain.</t>
  </si>
  <si>
    <t>1005659 - Project 21Infrastructure</t>
  </si>
  <si>
    <t>1005659 - Project 21Office costs</t>
  </si>
  <si>
    <t>1005659 - Project 21Other</t>
  </si>
  <si>
    <t>1005659 - Project 21Partner expenses</t>
  </si>
  <si>
    <t>1005659 - Project 21Pay &amp; Benefits</t>
  </si>
  <si>
    <t>1005659 - Project 21Program Costs</t>
  </si>
  <si>
    <t>1005659 - Project 21Recruit &amp; Training</t>
  </si>
  <si>
    <t>1005659 - Project 21Travel &amp; Entertain.</t>
  </si>
  <si>
    <t>1009065 - Project 54Infrastructure</t>
  </si>
  <si>
    <t>1009065 - Project 54Office costs</t>
  </si>
  <si>
    <t>1009065 - Project 54Other</t>
  </si>
  <si>
    <t>1009065 - Project 54Partner expenses</t>
  </si>
  <si>
    <t>1009065 - Project 54Pay &amp; Benefits</t>
  </si>
  <si>
    <t>1009065 - Project 54Program Costs</t>
  </si>
  <si>
    <t>1009065 - Project 54Recruit &amp; Training</t>
  </si>
  <si>
    <t>1009065 - Project 54Travel &amp; Entertain.</t>
  </si>
  <si>
    <t>1005327 - Project 26Infrastructure</t>
  </si>
  <si>
    <t>1005327 - Project 26Office costs</t>
  </si>
  <si>
    <t>1005327 - Project 26Other</t>
  </si>
  <si>
    <t>1005327 - Project 26Partner expenses</t>
  </si>
  <si>
    <t>1005327 - Project 26Pay &amp; Benefits</t>
  </si>
  <si>
    <t>1005327 - Project 26Program Costs</t>
  </si>
  <si>
    <t>1005327 - Project 26Recruit &amp; Training</t>
  </si>
  <si>
    <t>1005327 - Project 26Travel &amp; Entertain.</t>
  </si>
  <si>
    <t>1001572 - Project 48Infrastructure</t>
  </si>
  <si>
    <t>1001572 - Project 48Office costs</t>
  </si>
  <si>
    <t>1001572 - Project 48Other</t>
  </si>
  <si>
    <t>1001572 - Project 48Partner expenses</t>
  </si>
  <si>
    <t>1001572 - Project 48Pay &amp; Benefits</t>
  </si>
  <si>
    <t>1001572 - Project 48Program Costs</t>
  </si>
  <si>
    <t>1001572 - Project 48Recruit &amp; Training</t>
  </si>
  <si>
    <t>1001572 - Project 48Travel &amp; Entertain.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</si>
</sst>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[$-409]mmmm\ d\,\ yyyy;@"/>
    <numFmt numFmtId="165" formatCode="0.0"/>
    <numFmt numFmtId="166" formatCode="_(* #,##0_);_(* \(#,##0\);_(* &quot;-&quot;??_);_(@_)"/>
    <numFmt numFmtId="167" formatCode="0.0%"/>
    <numFmt numFmtId="168" formatCode="0.0000000"/>
    <numFmt numFmtId="169" formatCode="[$-409]d\-mmm\-yy;@"/>
    <numFmt numFmtId="170" formatCode="#,##0;[Red]\ \(#,##0\)"/>
  </numFmts>
  <fonts count="42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000000"/>
      <name val="Tahoma"/>
      <family val="2"/>
    </font>
    <font>
      <sz val="10"/>
      <color theme="1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u/>
      <sz val="9"/>
      <color theme="1"/>
      <name val="Arial"/>
      <family val="2"/>
    </font>
    <font>
      <sz val="11"/>
      <color theme="1"/>
      <name val="Arial"/>
      <family val="2"/>
    </font>
    <font>
      <i/>
      <u/>
      <sz val="9"/>
      <color theme="1"/>
      <name val="Arial"/>
      <family val="2"/>
    </font>
    <font>
      <sz val="14"/>
      <color theme="0"/>
      <name val="Arial"/>
      <family val="2"/>
    </font>
    <font>
      <sz val="11"/>
      <color theme="0"/>
      <name val="Arial"/>
      <family val="2"/>
    </font>
    <font>
      <b/>
      <i/>
      <sz val="12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0" tint="-0.249977111117893"/>
      <name val="Arial"/>
      <family val="2"/>
    </font>
    <font>
      <i/>
      <sz val="8"/>
      <color theme="1"/>
      <name val="Arial"/>
      <family val="2"/>
    </font>
    <font>
      <b/>
      <i/>
      <sz val="9"/>
      <name val="Arial"/>
      <family val="2"/>
    </font>
    <font>
      <b/>
      <sz val="9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sz val="10"/>
      <color rgb="FF000000"/>
      <name val="Arial"/>
      <family val="2"/>
    </font>
    <font>
      <sz val="8"/>
      <color theme="1"/>
      <name val="Wingdings 2"/>
      <family val="1"/>
      <charset val="2"/>
    </font>
    <font>
      <sz val="9"/>
      <color theme="1"/>
      <name val="Wingdings 2"/>
      <family val="1"/>
      <charset val="2"/>
    </font>
    <font>
      <sz val="20"/>
      <color theme="1"/>
      <name val="Arial"/>
      <family val="2"/>
    </font>
    <font>
      <b/>
      <i/>
      <u/>
      <sz val="12"/>
      <color theme="1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i/>
      <sz val="8"/>
      <name val="Arial"/>
      <family val="2"/>
    </font>
    <font>
      <b/>
      <i/>
      <sz val="9"/>
      <color rgb="FFC00000"/>
      <name val="Arial"/>
      <family val="2"/>
    </font>
    <font>
      <b/>
      <sz val="11"/>
      <name val="Arial"/>
      <family val="2"/>
    </font>
    <font>
      <i/>
      <sz val="10"/>
      <color theme="1"/>
      <name val="Arial"/>
      <family val="2"/>
    </font>
    <font>
      <b/>
      <sz val="11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0"/>
        </stop>
        <stop position="0.5">
          <color theme="4" tint="0.40000610370189521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90">
        <stop position="0">
          <color theme="0"/>
        </stop>
        <stop position="0.5">
          <color rgb="FF00B0F0"/>
        </stop>
        <stop position="1">
          <color theme="0"/>
        </stop>
      </gradientFill>
    </fill>
    <fill>
      <patternFill patternType="solid">
        <fgColor rgb="FFFFFF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double">
        <color rgb="FFC00000"/>
      </left>
      <right/>
      <top/>
      <bottom/>
      <diagonal/>
    </border>
    <border>
      <left/>
      <right style="double">
        <color rgb="FFC00000"/>
      </right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double">
        <color rgb="FFC00000"/>
      </left>
      <right/>
      <top style="medium">
        <color rgb="FFC00000"/>
      </top>
      <bottom/>
      <diagonal/>
    </border>
    <border>
      <left/>
      <right style="double">
        <color rgb="FFC00000"/>
      </right>
      <top style="medium">
        <color rgb="FFC00000"/>
      </top>
      <bottom/>
      <diagonal/>
    </border>
    <border>
      <left style="double">
        <color rgb="FFC00000"/>
      </left>
      <right/>
      <top/>
      <bottom style="medium">
        <color rgb="FFC00000"/>
      </bottom>
      <diagonal/>
    </border>
    <border>
      <left/>
      <right style="double">
        <color rgb="FFC00000"/>
      </right>
      <top/>
      <bottom style="medium">
        <color rgb="FFC00000"/>
      </bottom>
      <diagonal/>
    </border>
    <border>
      <left style="thin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double">
        <color rgb="FFC00000"/>
      </right>
      <top/>
      <bottom style="thin">
        <color rgb="FFC00000"/>
      </bottom>
      <diagonal/>
    </border>
    <border>
      <left style="double">
        <color rgb="FFC00000"/>
      </left>
      <right/>
      <top/>
      <bottom style="thin">
        <color rgb="FFC00000"/>
      </bottom>
      <diagonal/>
    </border>
    <border>
      <left/>
      <right style="medium">
        <color rgb="FFC00000"/>
      </right>
      <top/>
      <bottom style="thin">
        <color rgb="FFC0000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/>
      <top/>
      <bottom style="dashed">
        <color theme="9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rgb="FFC0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rgb="FFC00000"/>
      </bottom>
      <diagonal/>
    </border>
    <border>
      <left/>
      <right/>
      <top style="thick">
        <color theme="0"/>
      </top>
      <bottom style="medium">
        <color rgb="FFC00000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/>
      <right/>
      <top style="medium">
        <color rgb="FFC00000"/>
      </top>
      <bottom style="dashed">
        <color theme="9"/>
      </bottom>
      <diagonal/>
    </border>
    <border>
      <left/>
      <right style="thick">
        <color rgb="FFC00000"/>
      </right>
      <top style="medium">
        <color rgb="FFC00000"/>
      </top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C00000"/>
      </right>
      <top/>
      <bottom style="medium">
        <color rgb="FFC00000"/>
      </bottom>
      <diagonal/>
    </border>
    <border>
      <left/>
      <right/>
      <top/>
      <bottom style="thin">
        <color theme="8" tint="-0.499984740745262"/>
      </bottom>
      <diagonal/>
    </border>
    <border>
      <left style="dashed">
        <color theme="1" tint="0.499984740745262"/>
      </left>
      <right style="dashed">
        <color theme="1" tint="0.499984740745262"/>
      </right>
      <top/>
      <bottom/>
      <diagonal/>
    </border>
    <border>
      <left style="thick">
        <color rgb="FFC00000"/>
      </left>
      <right/>
      <top style="medium">
        <color rgb="FFC00000"/>
      </top>
      <bottom/>
      <diagonal/>
    </border>
    <border>
      <left style="thick">
        <color rgb="FFC00000"/>
      </left>
      <right/>
      <top/>
      <bottom/>
      <diagonal/>
    </border>
    <border>
      <left style="thick">
        <color rgb="FFC00000"/>
      </left>
      <right/>
      <top/>
      <bottom style="medium">
        <color rgb="FFC00000"/>
      </bottom>
      <diagonal/>
    </border>
    <border>
      <left/>
      <right/>
      <top/>
      <bottom style="double">
        <color theme="1" tint="0.499984740745262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ck">
        <color theme="3"/>
      </right>
      <top style="thick">
        <color theme="3"/>
      </top>
      <bottom/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599">
    <xf numFmtId="0" fontId="0" fillId="0" borderId="0" xfId="0"/>
    <xf numFmtId="0" fontId="2" fillId="2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Fill="1"/>
    <xf numFmtId="0" fontId="5" fillId="0" borderId="0" xfId="0" applyFont="1" applyAlignment="1">
      <alignment horizontal="center"/>
    </xf>
    <xf numFmtId="0" fontId="1" fillId="3" borderId="1" xfId="0" applyFont="1" applyFill="1" applyBorder="1"/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Fill="1" applyBorder="1"/>
    <xf numFmtId="0" fontId="5" fillId="0" borderId="0" xfId="0" applyFont="1" applyBorder="1"/>
    <xf numFmtId="0" fontId="2" fillId="0" borderId="0" xfId="0" applyFont="1" applyBorder="1"/>
    <xf numFmtId="0" fontId="5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/>
    <xf numFmtId="0" fontId="2" fillId="9" borderId="0" xfId="0" applyFont="1" applyFill="1"/>
    <xf numFmtId="0" fontId="2" fillId="0" borderId="0" xfId="0" applyFont="1" applyFill="1" applyBorder="1" applyAlignment="1">
      <alignment horizontal="center"/>
    </xf>
    <xf numFmtId="14" fontId="2" fillId="0" borderId="0" xfId="0" applyNumberFormat="1" applyFont="1"/>
    <xf numFmtId="14" fontId="2" fillId="0" borderId="0" xfId="0" applyNumberFormat="1" applyFont="1" applyAlignment="1">
      <alignment horizontal="center"/>
    </xf>
    <xf numFmtId="166" fontId="0" fillId="10" borderId="2" xfId="2" applyNumberFormat="1" applyFont="1" applyFill="1" applyBorder="1"/>
    <xf numFmtId="166" fontId="0" fillId="0" borderId="3" xfId="2" applyNumberFormat="1" applyFont="1" applyBorder="1"/>
    <xf numFmtId="166" fontId="0" fillId="10" borderId="3" xfId="2" applyNumberFormat="1" applyFont="1" applyFill="1" applyBorder="1"/>
    <xf numFmtId="166" fontId="0" fillId="11" borderId="2" xfId="2" applyNumberFormat="1" applyFont="1" applyFill="1" applyBorder="1"/>
    <xf numFmtId="166" fontId="0" fillId="8" borderId="3" xfId="2" applyNumberFormat="1" applyFont="1" applyFill="1" applyBorder="1"/>
    <xf numFmtId="166" fontId="0" fillId="11" borderId="3" xfId="2" applyNumberFormat="1" applyFont="1" applyFill="1" applyBorder="1"/>
    <xf numFmtId="166" fontId="0" fillId="7" borderId="0" xfId="2" applyNumberFormat="1" applyFont="1" applyFill="1"/>
    <xf numFmtId="166" fontId="0" fillId="8" borderId="0" xfId="2" applyNumberFormat="1" applyFont="1" applyFill="1"/>
    <xf numFmtId="0" fontId="0" fillId="0" borderId="0" xfId="0" quotePrefix="1"/>
    <xf numFmtId="0" fontId="0" fillId="0" borderId="0" xfId="0" applyAlignment="1">
      <alignment horizontal="center"/>
    </xf>
    <xf numFmtId="0" fontId="0" fillId="12" borderId="0" xfId="0" applyFill="1" applyAlignment="1">
      <alignment horizontal="center"/>
    </xf>
    <xf numFmtId="9" fontId="0" fillId="0" borderId="0" xfId="1" applyFont="1"/>
    <xf numFmtId="166" fontId="0" fillId="0" borderId="0" xfId="2" applyNumberFormat="1" applyFont="1"/>
    <xf numFmtId="0" fontId="0" fillId="0" borderId="0" xfId="0" applyNumberFormat="1"/>
    <xf numFmtId="10" fontId="0" fillId="0" borderId="0" xfId="1" applyNumberFormat="1" applyFont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4" fillId="0" borderId="0" xfId="0" applyFont="1" applyFill="1"/>
    <xf numFmtId="0" fontId="4" fillId="0" borderId="0" xfId="0" applyFont="1" applyFill="1" applyBorder="1"/>
    <xf numFmtId="0" fontId="5" fillId="13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9" fontId="5" fillId="0" borderId="0" xfId="1" applyFont="1" applyBorder="1" applyAlignment="1">
      <alignment vertical="center"/>
    </xf>
    <xf numFmtId="0" fontId="2" fillId="0" borderId="4" xfId="0" applyFont="1" applyFill="1" applyBorder="1"/>
    <xf numFmtId="0" fontId="4" fillId="0" borderId="0" xfId="0" applyFont="1" applyBorder="1"/>
    <xf numFmtId="0" fontId="9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7" xfId="0" applyFont="1" applyBorder="1" applyAlignment="1">
      <alignment horizontal="center"/>
    </xf>
    <xf numFmtId="0" fontId="2" fillId="0" borderId="7" xfId="0" applyFont="1" applyFill="1" applyBorder="1"/>
    <xf numFmtId="0" fontId="5" fillId="0" borderId="7" xfId="0" applyFont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" fillId="0" borderId="0" xfId="0" applyFont="1" applyBorder="1" applyAlignment="1">
      <alignment horizontal="center"/>
    </xf>
    <xf numFmtId="0" fontId="2" fillId="0" borderId="10" xfId="0" applyFont="1" applyBorder="1"/>
    <xf numFmtId="0" fontId="2" fillId="0" borderId="12" xfId="0" applyFont="1" applyFill="1" applyBorder="1"/>
    <xf numFmtId="0" fontId="2" fillId="0" borderId="13" xfId="0" applyFont="1" applyFill="1" applyBorder="1"/>
    <xf numFmtId="0" fontId="2" fillId="0" borderId="11" xfId="0" applyFont="1" applyBorder="1"/>
    <xf numFmtId="0" fontId="2" fillId="0" borderId="12" xfId="0" applyFont="1" applyBorder="1"/>
    <xf numFmtId="0" fontId="2" fillId="0" borderId="12" xfId="0" applyFont="1" applyBorder="1" applyAlignment="1">
      <alignment horizontal="center"/>
    </xf>
    <xf numFmtId="0" fontId="3" fillId="0" borderId="12" xfId="0" applyFont="1" applyFill="1" applyBorder="1" applyAlignment="1">
      <alignment vertical="center"/>
    </xf>
    <xf numFmtId="0" fontId="3" fillId="0" borderId="12" xfId="0" applyFont="1" applyFill="1" applyBorder="1"/>
    <xf numFmtId="0" fontId="3" fillId="0" borderId="12" xfId="0" applyFont="1" applyBorder="1"/>
    <xf numFmtId="0" fontId="3" fillId="0" borderId="12" xfId="0" applyFont="1" applyBorder="1" applyAlignment="1">
      <alignment horizontal="right"/>
    </xf>
    <xf numFmtId="0" fontId="4" fillId="0" borderId="12" xfId="0" applyFont="1" applyBorder="1" applyAlignment="1"/>
    <xf numFmtId="0" fontId="4" fillId="0" borderId="12" xfId="0" applyFont="1" applyBorder="1" applyAlignment="1">
      <alignment horizontal="right"/>
    </xf>
    <xf numFmtId="164" fontId="4" fillId="0" borderId="12" xfId="0" applyNumberFormat="1" applyFont="1" applyBorder="1" applyAlignment="1"/>
    <xf numFmtId="0" fontId="2" fillId="0" borderId="13" xfId="0" applyFont="1" applyBorder="1"/>
    <xf numFmtId="0" fontId="2" fillId="0" borderId="6" xfId="0" applyFont="1" applyFill="1" applyBorder="1"/>
    <xf numFmtId="0" fontId="4" fillId="0" borderId="9" xfId="0" applyFont="1" applyFill="1" applyBorder="1"/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2" fillId="0" borderId="9" xfId="0" applyFont="1" applyFill="1" applyBorder="1"/>
    <xf numFmtId="0" fontId="2" fillId="0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right"/>
    </xf>
    <xf numFmtId="167" fontId="2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Fill="1" applyBorder="1"/>
    <xf numFmtId="0" fontId="2" fillId="0" borderId="10" xfId="0" applyFont="1" applyFill="1" applyBorder="1"/>
    <xf numFmtId="0" fontId="5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9" fontId="5" fillId="0" borderId="0" xfId="1" applyFont="1" applyBorder="1" applyAlignment="1">
      <alignment horizontal="center" vertical="center"/>
    </xf>
    <xf numFmtId="9" fontId="5" fillId="0" borderId="10" xfId="1" applyFont="1" applyFill="1" applyBorder="1" applyAlignment="1"/>
    <xf numFmtId="0" fontId="2" fillId="5" borderId="6" xfId="0" applyFont="1" applyFill="1" applyBorder="1"/>
    <xf numFmtId="0" fontId="6" fillId="5" borderId="9" xfId="0" applyFont="1" applyFill="1" applyBorder="1"/>
    <xf numFmtId="0" fontId="5" fillId="5" borderId="9" xfId="0" applyFont="1" applyFill="1" applyBorder="1" applyAlignment="1">
      <alignment horizontal="center" vertical="top"/>
    </xf>
    <xf numFmtId="0" fontId="5" fillId="5" borderId="9" xfId="0" applyFont="1" applyFill="1" applyBorder="1" applyAlignment="1">
      <alignment vertical="top"/>
    </xf>
    <xf numFmtId="0" fontId="5" fillId="5" borderId="9" xfId="0" applyFont="1" applyFill="1" applyBorder="1" applyAlignment="1">
      <alignment wrapText="1"/>
    </xf>
    <xf numFmtId="0" fontId="5" fillId="5" borderId="9" xfId="0" applyFont="1" applyFill="1" applyBorder="1" applyAlignment="1">
      <alignment horizontal="center"/>
    </xf>
    <xf numFmtId="0" fontId="5" fillId="5" borderId="9" xfId="0" applyFont="1" applyFill="1" applyBorder="1"/>
    <xf numFmtId="0" fontId="2" fillId="5" borderId="9" xfId="0" applyFont="1" applyFill="1" applyBorder="1"/>
    <xf numFmtId="0" fontId="6" fillId="5" borderId="9" xfId="0" applyFont="1" applyFill="1" applyBorder="1" applyAlignment="1">
      <alignment horizontal="center"/>
    </xf>
    <xf numFmtId="0" fontId="2" fillId="5" borderId="11" xfId="0" applyFont="1" applyFill="1" applyBorder="1"/>
    <xf numFmtId="0" fontId="9" fillId="0" borderId="12" xfId="0" applyFont="1" applyBorder="1"/>
    <xf numFmtId="0" fontId="5" fillId="0" borderId="12" xfId="0" applyFont="1" applyBorder="1"/>
    <xf numFmtId="1" fontId="5" fillId="0" borderId="12" xfId="0" applyNumberFormat="1" applyFon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0" fontId="2" fillId="0" borderId="16" xfId="0" applyFont="1" applyFill="1" applyBorder="1"/>
    <xf numFmtId="0" fontId="2" fillId="14" borderId="14" xfId="0" applyFont="1" applyFill="1" applyBorder="1"/>
    <xf numFmtId="0" fontId="2" fillId="14" borderId="7" xfId="0" applyFont="1" applyFill="1" applyBorder="1"/>
    <xf numFmtId="0" fontId="2" fillId="14" borderId="4" xfId="0" applyFont="1" applyFill="1" applyBorder="1"/>
    <xf numFmtId="0" fontId="5" fillId="0" borderId="0" xfId="0" applyFont="1" applyBorder="1" applyAlignment="1">
      <alignment horizontal="left" vertical="center" indent="1"/>
    </xf>
    <xf numFmtId="0" fontId="11" fillId="0" borderId="12" xfId="0" applyFont="1" applyBorder="1" applyAlignment="1">
      <alignment vertical="top"/>
    </xf>
    <xf numFmtId="0" fontId="12" fillId="0" borderId="0" xfId="0" applyFont="1" applyFill="1" applyBorder="1"/>
    <xf numFmtId="0" fontId="2" fillId="5" borderId="10" xfId="0" applyFont="1" applyFill="1" applyBorder="1"/>
    <xf numFmtId="0" fontId="2" fillId="15" borderId="0" xfId="0" applyFont="1" applyFill="1" applyBorder="1" applyAlignment="1">
      <alignment horizontal="right" vertical="center"/>
    </xf>
    <xf numFmtId="0" fontId="2" fillId="15" borderId="0" xfId="0" applyFont="1" applyFill="1" applyBorder="1"/>
    <xf numFmtId="9" fontId="5" fillId="15" borderId="0" xfId="0" applyNumberFormat="1" applyFont="1" applyFill="1" applyBorder="1" applyAlignment="1">
      <alignment horizontal="center"/>
    </xf>
    <xf numFmtId="0" fontId="2" fillId="15" borderId="9" xfId="0" applyFont="1" applyFill="1" applyBorder="1"/>
    <xf numFmtId="0" fontId="4" fillId="0" borderId="0" xfId="0" applyFont="1" applyFill="1" applyBorder="1" applyAlignment="1">
      <alignment vertical="center"/>
    </xf>
    <xf numFmtId="9" fontId="5" fillId="0" borderId="0" xfId="1" applyFont="1" applyFill="1" applyBorder="1" applyAlignment="1">
      <alignment vertical="center"/>
    </xf>
    <xf numFmtId="165" fontId="5" fillId="0" borderId="0" xfId="0" applyNumberFormat="1" applyFont="1" applyFill="1" applyBorder="1" applyAlignment="1">
      <alignment vertical="center"/>
    </xf>
    <xf numFmtId="9" fontId="10" fillId="14" borderId="0" xfId="1" applyFont="1" applyFill="1" applyBorder="1" applyAlignment="1">
      <alignment horizontal="center" vertical="center"/>
    </xf>
    <xf numFmtId="0" fontId="10" fillId="14" borderId="0" xfId="0" applyFont="1" applyFill="1" applyBorder="1" applyAlignment="1">
      <alignment horizontal="center" vertical="center"/>
    </xf>
    <xf numFmtId="0" fontId="0" fillId="0" borderId="0" xfId="0" applyFill="1"/>
    <xf numFmtId="0" fontId="13" fillId="0" borderId="0" xfId="0" applyFont="1" applyBorder="1"/>
    <xf numFmtId="0" fontId="10" fillId="0" borderId="0" xfId="0" applyFont="1" applyBorder="1"/>
    <xf numFmtId="0" fontId="13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 indent="1"/>
    </xf>
    <xf numFmtId="0" fontId="10" fillId="0" borderId="0" xfId="0" applyFont="1" applyBorder="1" applyAlignment="1">
      <alignment horizontal="left"/>
    </xf>
    <xf numFmtId="0" fontId="2" fillId="5" borderId="0" xfId="0" applyFont="1" applyFill="1" applyBorder="1"/>
    <xf numFmtId="0" fontId="2" fillId="5" borderId="12" xfId="0" applyFont="1" applyFill="1" applyBorder="1"/>
    <xf numFmtId="0" fontId="9" fillId="0" borderId="7" xfId="0" applyFont="1" applyFill="1" applyBorder="1"/>
    <xf numFmtId="0" fontId="15" fillId="0" borderId="12" xfId="0" applyFont="1" applyFill="1" applyBorder="1"/>
    <xf numFmtId="0" fontId="9" fillId="14" borderId="15" xfId="0" applyFont="1" applyFill="1" applyBorder="1"/>
    <xf numFmtId="0" fontId="9" fillId="14" borderId="5" xfId="0" applyFont="1" applyFill="1" applyBorder="1"/>
    <xf numFmtId="0" fontId="9" fillId="0" borderId="5" xfId="0" applyFont="1" applyFill="1" applyBorder="1"/>
    <xf numFmtId="0" fontId="9" fillId="0" borderId="17" xfId="0" applyFont="1" applyFill="1" applyBorder="1"/>
    <xf numFmtId="0" fontId="9" fillId="0" borderId="0" xfId="0" applyFont="1" applyFill="1" applyBorder="1"/>
    <xf numFmtId="0" fontId="16" fillId="0" borderId="0" xfId="0" applyFont="1" applyBorder="1"/>
    <xf numFmtId="0" fontId="9" fillId="0" borderId="0" xfId="0" applyFont="1" applyFill="1"/>
    <xf numFmtId="0" fontId="13" fillId="5" borderId="9" xfId="0" applyFont="1" applyFill="1" applyBorder="1"/>
    <xf numFmtId="0" fontId="2" fillId="5" borderId="0" xfId="0" applyFont="1" applyFill="1"/>
    <xf numFmtId="0" fontId="8" fillId="5" borderId="9" xfId="0" applyFont="1" applyFill="1" applyBorder="1"/>
    <xf numFmtId="0" fontId="13" fillId="5" borderId="11" xfId="0" applyFont="1" applyFill="1" applyBorder="1"/>
    <xf numFmtId="0" fontId="13" fillId="0" borderId="0" xfId="0" applyFont="1" applyFill="1" applyBorder="1"/>
    <xf numFmtId="0" fontId="8" fillId="0" borderId="0" xfId="0" applyFont="1" applyFill="1" applyBorder="1"/>
    <xf numFmtId="0" fontId="2" fillId="0" borderId="20" xfId="0" applyFont="1" applyFill="1" applyBorder="1"/>
    <xf numFmtId="0" fontId="2" fillId="0" borderId="21" xfId="0" applyFont="1" applyFill="1" applyBorder="1"/>
    <xf numFmtId="0" fontId="2" fillId="0" borderId="22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right"/>
    </xf>
    <xf numFmtId="0" fontId="2" fillId="0" borderId="23" xfId="0" applyFont="1" applyFill="1" applyBorder="1"/>
    <xf numFmtId="0" fontId="5" fillId="0" borderId="21" xfId="0" applyFont="1" applyFill="1" applyBorder="1" applyAlignment="1">
      <alignment horizontal="center" vertical="center"/>
    </xf>
    <xf numFmtId="0" fontId="2" fillId="0" borderId="24" xfId="0" applyFont="1" applyFill="1" applyBorder="1"/>
    <xf numFmtId="0" fontId="17" fillId="0" borderId="12" xfId="0" applyFont="1" applyBorder="1"/>
    <xf numFmtId="0" fontId="11" fillId="0" borderId="12" xfId="0" applyFont="1" applyBorder="1" applyAlignment="1">
      <alignment horizontal="right" vertical="top"/>
    </xf>
    <xf numFmtId="9" fontId="5" fillId="4" borderId="0" xfId="1" applyFont="1" applyFill="1" applyBorder="1" applyAlignment="1">
      <alignment horizontal="center" vertical="center"/>
    </xf>
    <xf numFmtId="0" fontId="5" fillId="0" borderId="0" xfId="0" applyFont="1"/>
    <xf numFmtId="9" fontId="5" fillId="15" borderId="0" xfId="1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9" fillId="0" borderId="0" xfId="0" applyFont="1"/>
    <xf numFmtId="0" fontId="2" fillId="16" borderId="0" xfId="0" applyFont="1" applyFill="1"/>
    <xf numFmtId="14" fontId="0" fillId="0" borderId="0" xfId="0" applyNumberFormat="1"/>
    <xf numFmtId="0" fontId="2" fillId="0" borderId="0" xfId="0" applyFont="1" applyAlignment="1">
      <alignment vertical="center"/>
    </xf>
    <xf numFmtId="15" fontId="4" fillId="0" borderId="0" xfId="0" applyNumberFormat="1" applyFont="1" applyAlignment="1"/>
    <xf numFmtId="0" fontId="2" fillId="4" borderId="0" xfId="0" applyFont="1" applyFill="1" applyBorder="1"/>
    <xf numFmtId="0" fontId="10" fillId="0" borderId="0" xfId="0" applyFont="1" applyFill="1" applyBorder="1" applyAlignment="1">
      <alignment horizontal="right" vertical="top"/>
    </xf>
    <xf numFmtId="0" fontId="10" fillId="0" borderId="0" xfId="0" applyFont="1" applyFill="1" applyBorder="1" applyAlignment="1">
      <alignment horizontal="right"/>
    </xf>
    <xf numFmtId="0" fontId="2" fillId="17" borderId="0" xfId="0" applyFont="1" applyFill="1"/>
    <xf numFmtId="0" fontId="5" fillId="17" borderId="0" xfId="0" applyFont="1" applyFill="1" applyBorder="1"/>
    <xf numFmtId="0" fontId="2" fillId="17" borderId="0" xfId="0" applyFont="1" applyFill="1" applyBorder="1"/>
    <xf numFmtId="0" fontId="2" fillId="17" borderId="0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horizontal="center" vertical="top"/>
    </xf>
    <xf numFmtId="0" fontId="4" fillId="5" borderId="0" xfId="0" applyFont="1" applyFill="1" applyBorder="1"/>
    <xf numFmtId="0" fontId="2" fillId="5" borderId="0" xfId="0" applyFont="1" applyFill="1" applyBorder="1" applyAlignment="1">
      <alignment horizontal="center"/>
    </xf>
    <xf numFmtId="0" fontId="2" fillId="4" borderId="7" xfId="0" applyFont="1" applyFill="1" applyBorder="1"/>
    <xf numFmtId="0" fontId="2" fillId="0" borderId="7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Fill="1" applyBorder="1"/>
    <xf numFmtId="0" fontId="21" fillId="4" borderId="0" xfId="0" applyFont="1" applyFill="1" applyBorder="1" applyAlignment="1">
      <alignment vertical="center"/>
    </xf>
    <xf numFmtId="0" fontId="5" fillId="0" borderId="0" xfId="0" applyFont="1" applyFill="1" applyBorder="1"/>
    <xf numFmtId="0" fontId="22" fillId="0" borderId="0" xfId="0" applyFont="1" applyFill="1" applyBorder="1" applyAlignment="1">
      <alignment vertical="top" wrapText="1"/>
    </xf>
    <xf numFmtId="0" fontId="5" fillId="0" borderId="0" xfId="0" applyFont="1" applyBorder="1" applyAlignment="1"/>
    <xf numFmtId="15" fontId="6" fillId="0" borderId="0" xfId="0" applyNumberFormat="1" applyFont="1" applyBorder="1" applyAlignment="1"/>
    <xf numFmtId="0" fontId="2" fillId="0" borderId="0" xfId="0" applyFont="1" applyBorder="1" applyAlignment="1">
      <alignment horizontal="left" vertical="center" indent="5"/>
    </xf>
    <xf numFmtId="38" fontId="2" fillId="0" borderId="0" xfId="0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right" indent="1"/>
    </xf>
    <xf numFmtId="0" fontId="2" fillId="16" borderId="0" xfId="0" applyFont="1" applyFill="1" applyBorder="1"/>
    <xf numFmtId="15" fontId="4" fillId="0" borderId="0" xfId="0" applyNumberFormat="1" applyFont="1" applyFill="1" applyBorder="1" applyAlignment="1">
      <alignment horizontal="left"/>
    </xf>
    <xf numFmtId="0" fontId="2" fillId="0" borderId="0" xfId="0" applyFont="1" applyFill="1" applyBorder="1" applyAlignment="1">
      <alignment horizontal="left" vertical="center" indent="5"/>
    </xf>
    <xf numFmtId="0" fontId="2" fillId="17" borderId="0" xfId="0" applyFont="1" applyFill="1" applyBorder="1" applyAlignment="1">
      <alignment horizontal="left" vertical="center" indent="5"/>
    </xf>
    <xf numFmtId="38" fontId="2" fillId="17" borderId="0" xfId="0" applyNumberFormat="1" applyFont="1" applyFill="1" applyBorder="1" applyAlignment="1">
      <alignment horizontal="right"/>
    </xf>
    <xf numFmtId="0" fontId="2" fillId="17" borderId="0" xfId="0" applyFont="1" applyFill="1" applyBorder="1" applyAlignment="1">
      <alignment horizontal="right"/>
    </xf>
    <xf numFmtId="0" fontId="2" fillId="17" borderId="10" xfId="0" applyFont="1" applyFill="1" applyBorder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indent="1"/>
    </xf>
    <xf numFmtId="0" fontId="2" fillId="4" borderId="7" xfId="0" applyFont="1" applyFill="1" applyBorder="1" applyAlignment="1">
      <alignment horizontal="center"/>
    </xf>
    <xf numFmtId="0" fontId="4" fillId="0" borderId="0" xfId="0" applyFont="1" applyBorder="1" applyAlignment="1">
      <alignment vertical="center"/>
    </xf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0" fontId="18" fillId="0" borderId="12" xfId="0" applyFont="1" applyBorder="1"/>
    <xf numFmtId="0" fontId="18" fillId="0" borderId="12" xfId="0" applyFont="1" applyBorder="1" applyAlignment="1">
      <alignment horizontal="center"/>
    </xf>
    <xf numFmtId="0" fontId="5" fillId="17" borderId="9" xfId="0" applyFont="1" applyFill="1" applyBorder="1"/>
    <xf numFmtId="0" fontId="2" fillId="5" borderId="0" xfId="0" applyFont="1" applyFill="1" applyBorder="1" applyAlignment="1">
      <alignment vertical="top"/>
    </xf>
    <xf numFmtId="0" fontId="2" fillId="5" borderId="7" xfId="0" applyFont="1" applyFill="1" applyBorder="1"/>
    <xf numFmtId="0" fontId="2" fillId="0" borderId="12" xfId="0" applyFont="1" applyBorder="1" applyAlignment="1">
      <alignment horizontal="right"/>
    </xf>
    <xf numFmtId="0" fontId="5" fillId="14" borderId="7" xfId="0" applyFont="1" applyFill="1" applyBorder="1"/>
    <xf numFmtId="0" fontId="5" fillId="14" borderId="15" xfId="0" applyFont="1" applyFill="1" applyBorder="1"/>
    <xf numFmtId="0" fontId="2" fillId="14" borderId="0" xfId="0" applyFont="1" applyFill="1" applyBorder="1"/>
    <xf numFmtId="0" fontId="5" fillId="14" borderId="12" xfId="0" applyFont="1" applyFill="1" applyBorder="1"/>
    <xf numFmtId="0" fontId="5" fillId="14" borderId="17" xfId="0" applyFont="1" applyFill="1" applyBorder="1"/>
    <xf numFmtId="0" fontId="0" fillId="14" borderId="0" xfId="0" applyFill="1"/>
    <xf numFmtId="0" fontId="2" fillId="4" borderId="0" xfId="0" applyFont="1" applyFill="1" applyBorder="1" applyAlignment="1">
      <alignment horizontal="right"/>
    </xf>
    <xf numFmtId="0" fontId="2" fillId="15" borderId="0" xfId="0" applyFont="1" applyFill="1" applyBorder="1" applyAlignment="1">
      <alignment vertical="center"/>
    </xf>
    <xf numFmtId="9" fontId="5" fillId="0" borderId="0" xfId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vertical="center"/>
    </xf>
    <xf numFmtId="0" fontId="2" fillId="0" borderId="12" xfId="0" applyFont="1" applyFill="1" applyBorder="1" applyAlignment="1">
      <alignment horizontal="left" vertical="center" indent="5"/>
    </xf>
    <xf numFmtId="3" fontId="24" fillId="0" borderId="12" xfId="0" applyNumberFormat="1" applyFont="1" applyBorder="1" applyAlignment="1">
      <alignment horizontal="right"/>
    </xf>
    <xf numFmtId="15" fontId="5" fillId="0" borderId="12" xfId="0" applyNumberFormat="1" applyFont="1" applyBorder="1" applyAlignment="1">
      <alignment horizontal="left"/>
    </xf>
    <xf numFmtId="0" fontId="5" fillId="17" borderId="12" xfId="0" applyFont="1" applyFill="1" applyBorder="1"/>
    <xf numFmtId="0" fontId="5" fillId="0" borderId="12" xfId="0" applyFont="1" applyBorder="1" applyAlignment="1">
      <alignment horizontal="left"/>
    </xf>
    <xf numFmtId="165" fontId="19" fillId="15" borderId="0" xfId="0" applyNumberFormat="1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vertical="center"/>
    </xf>
    <xf numFmtId="165" fontId="19" fillId="0" borderId="0" xfId="0" applyNumberFormat="1" applyFont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165" fontId="19" fillId="0" borderId="0" xfId="0" applyNumberFormat="1" applyFont="1" applyFill="1" applyBorder="1" applyAlignment="1">
      <alignment horizontal="center" vertical="center"/>
    </xf>
    <xf numFmtId="3" fontId="19" fillId="0" borderId="0" xfId="0" applyNumberFormat="1" applyFont="1" applyFill="1" applyBorder="1" applyAlignment="1">
      <alignment horizontal="center" vertical="center"/>
    </xf>
    <xf numFmtId="3" fontId="23" fillId="0" borderId="0" xfId="0" applyNumberFormat="1" applyFont="1" applyBorder="1" applyAlignment="1">
      <alignment horizontal="left" vertical="center" indent="4"/>
    </xf>
    <xf numFmtId="0" fontId="22" fillId="14" borderId="0" xfId="0" applyFont="1" applyFill="1" applyBorder="1" applyAlignment="1">
      <alignment vertical="top" wrapText="1"/>
    </xf>
    <xf numFmtId="0" fontId="10" fillId="14" borderId="0" xfId="0" applyFont="1" applyFill="1" applyBorder="1" applyAlignment="1">
      <alignment vertical="center"/>
    </xf>
    <xf numFmtId="0" fontId="2" fillId="4" borderId="7" xfId="0" applyFont="1" applyFill="1" applyBorder="1" applyAlignment="1">
      <alignment horizontal="right"/>
    </xf>
    <xf numFmtId="9" fontId="22" fillId="14" borderId="0" xfId="1" applyFont="1" applyFill="1" applyAlignment="1">
      <alignment horizontal="center" vertical="center"/>
    </xf>
    <xf numFmtId="0" fontId="28" fillId="14" borderId="0" xfId="0" applyFont="1" applyFill="1" applyAlignment="1">
      <alignment horizontal="center" vertical="center"/>
    </xf>
    <xf numFmtId="0" fontId="27" fillId="14" borderId="0" xfId="0" applyFont="1" applyFill="1" applyAlignment="1">
      <alignment horizontal="center" vertical="center"/>
    </xf>
    <xf numFmtId="0" fontId="18" fillId="0" borderId="0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0" fillId="0" borderId="7" xfId="0" applyFont="1" applyBorder="1" applyAlignment="1">
      <alignment horizontal="right"/>
    </xf>
    <xf numFmtId="0" fontId="10" fillId="0" borderId="7" xfId="0" applyFont="1" applyBorder="1" applyAlignment="1">
      <alignment horizontal="left" indent="1"/>
    </xf>
    <xf numFmtId="0" fontId="18" fillId="5" borderId="0" xfId="0" applyFont="1" applyFill="1" applyBorder="1"/>
    <xf numFmtId="0" fontId="18" fillId="5" borderId="12" xfId="0" applyFont="1" applyFill="1" applyBorder="1"/>
    <xf numFmtId="0" fontId="25" fillId="4" borderId="0" xfId="0" applyFont="1" applyFill="1" applyBorder="1" applyAlignment="1">
      <alignment vertical="center"/>
    </xf>
    <xf numFmtId="0" fontId="9" fillId="4" borderId="7" xfId="0" applyFont="1" applyFill="1" applyBorder="1"/>
    <xf numFmtId="0" fontId="20" fillId="0" borderId="0" xfId="0" applyFont="1" applyBorder="1" applyAlignment="1">
      <alignment vertical="center"/>
    </xf>
    <xf numFmtId="0" fontId="9" fillId="15" borderId="0" xfId="0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17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6" fillId="5" borderId="7" xfId="0" applyFont="1" applyFill="1" applyBorder="1"/>
    <xf numFmtId="0" fontId="9" fillId="5" borderId="0" xfId="0" applyFont="1" applyFill="1" applyBorder="1"/>
    <xf numFmtId="0" fontId="2" fillId="0" borderId="9" xfId="0" applyFont="1" applyFill="1" applyBorder="1" applyAlignment="1">
      <alignment vertical="center"/>
    </xf>
    <xf numFmtId="3" fontId="5" fillId="15" borderId="0" xfId="1" applyNumberFormat="1" applyFont="1" applyFill="1" applyBorder="1" applyAlignment="1">
      <alignment horizontal="center" vertical="center"/>
    </xf>
    <xf numFmtId="3" fontId="5" fillId="4" borderId="0" xfId="1" applyNumberFormat="1" applyFont="1" applyFill="1" applyBorder="1" applyAlignment="1">
      <alignment horizontal="center" vertical="center"/>
    </xf>
    <xf numFmtId="3" fontId="2" fillId="17" borderId="0" xfId="0" applyNumberFormat="1" applyFont="1" applyFill="1" applyBorder="1" applyAlignment="1">
      <alignment vertical="center"/>
    </xf>
    <xf numFmtId="3" fontId="5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ont="1" applyBorder="1" applyAlignment="1">
      <alignment horizontal="left" vertical="center" indent="4"/>
    </xf>
    <xf numFmtId="3" fontId="2" fillId="0" borderId="7" xfId="0" applyNumberFormat="1" applyFont="1" applyBorder="1"/>
    <xf numFmtId="0" fontId="5" fillId="0" borderId="0" xfId="0" applyFont="1" applyFill="1"/>
    <xf numFmtId="1" fontId="2" fillId="0" borderId="0" xfId="0" applyNumberFormat="1" applyFont="1" applyFill="1"/>
    <xf numFmtId="0" fontId="5" fillId="0" borderId="10" xfId="0" applyFont="1" applyFill="1" applyBorder="1"/>
    <xf numFmtId="0" fontId="5" fillId="0" borderId="10" xfId="0" applyFont="1" applyBorder="1"/>
    <xf numFmtId="3" fontId="22" fillId="14" borderId="0" xfId="0" applyNumberFormat="1" applyFont="1" applyFill="1" applyAlignment="1">
      <alignment horizontal="right" vertical="center"/>
    </xf>
    <xf numFmtId="0" fontId="30" fillId="4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13" fillId="0" borderId="0" xfId="0" applyFont="1"/>
    <xf numFmtId="0" fontId="21" fillId="0" borderId="0" xfId="0" applyFont="1"/>
    <xf numFmtId="0" fontId="22" fillId="0" borderId="0" xfId="0" applyFont="1"/>
    <xf numFmtId="0" fontId="25" fillId="4" borderId="0" xfId="0" applyFont="1" applyFill="1" applyBorder="1" applyAlignment="1">
      <alignment vertical="top"/>
    </xf>
    <xf numFmtId="0" fontId="26" fillId="4" borderId="0" xfId="0" applyFont="1" applyFill="1" applyBorder="1" applyAlignment="1">
      <alignment vertical="center"/>
    </xf>
    <xf numFmtId="0" fontId="31" fillId="0" borderId="12" xfId="0" applyFont="1" applyBorder="1" applyAlignment="1">
      <alignment horizontal="center" vertical="top"/>
    </xf>
    <xf numFmtId="0" fontId="2" fillId="0" borderId="12" xfId="0" applyFont="1" applyBorder="1" applyAlignment="1">
      <alignment vertical="top"/>
    </xf>
    <xf numFmtId="0" fontId="27" fillId="14" borderId="0" xfId="0" applyFont="1" applyFill="1"/>
    <xf numFmtId="0" fontId="27" fillId="14" borderId="0" xfId="0" applyFont="1" applyFill="1" applyAlignment="1">
      <alignment horizontal="right"/>
    </xf>
    <xf numFmtId="0" fontId="31" fillId="15" borderId="0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17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horizontal="center" vertical="center"/>
    </xf>
    <xf numFmtId="14" fontId="0" fillId="2" borderId="0" xfId="0" applyNumberFormat="1" applyFill="1"/>
    <xf numFmtId="0" fontId="0" fillId="2" borderId="0" xfId="0" applyFill="1"/>
    <xf numFmtId="0" fontId="0" fillId="18" borderId="0" xfId="0" applyFill="1"/>
    <xf numFmtId="9" fontId="0" fillId="18" borderId="0" xfId="1" applyFont="1" applyFill="1"/>
    <xf numFmtId="0" fontId="34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30" fillId="0" borderId="0" xfId="0" applyFont="1" applyFill="1" applyBorder="1" applyAlignment="1">
      <alignment horizontal="center" vertical="center"/>
    </xf>
    <xf numFmtId="0" fontId="6" fillId="0" borderId="0" xfId="0" applyFont="1" applyBorder="1"/>
    <xf numFmtId="0" fontId="5" fillId="17" borderId="12" xfId="0" applyFont="1" applyFill="1" applyBorder="1" applyAlignment="1"/>
    <xf numFmtId="0" fontId="5" fillId="0" borderId="12" xfId="0" applyFont="1" applyBorder="1" applyAlignment="1"/>
    <xf numFmtId="0" fontId="5" fillId="0" borderId="0" xfId="0" pivotButton="1" applyFont="1" applyBorder="1" applyAlignment="1"/>
    <xf numFmtId="0" fontId="0" fillId="0" borderId="2" xfId="0" applyFont="1" applyBorder="1"/>
    <xf numFmtId="0" fontId="1" fillId="3" borderId="2" xfId="0" applyFont="1" applyFill="1" applyBorder="1"/>
    <xf numFmtId="0" fontId="0" fillId="10" borderId="2" xfId="0" applyFont="1" applyFill="1" applyBorder="1"/>
    <xf numFmtId="2" fontId="2" fillId="0" borderId="0" xfId="0" applyNumberFormat="1" applyFont="1"/>
    <xf numFmtId="0" fontId="5" fillId="0" borderId="0" xfId="0" applyFont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3" fontId="5" fillId="0" borderId="0" xfId="0" applyNumberFormat="1" applyFont="1" applyBorder="1"/>
    <xf numFmtId="0" fontId="2" fillId="14" borderId="0" xfId="0" applyFont="1" applyFill="1" applyBorder="1" applyAlignment="1">
      <alignment horizontal="right"/>
    </xf>
    <xf numFmtId="0" fontId="5" fillId="14" borderId="0" xfId="0" applyFont="1" applyFill="1" applyBorder="1"/>
    <xf numFmtId="0" fontId="25" fillId="4" borderId="0" xfId="0" applyFont="1" applyFill="1" applyBorder="1" applyAlignment="1">
      <alignment horizontal="right" vertical="top"/>
    </xf>
    <xf numFmtId="3" fontId="5" fillId="6" borderId="25" xfId="0" applyNumberFormat="1" applyFont="1" applyFill="1" applyBorder="1"/>
    <xf numFmtId="0" fontId="25" fillId="4" borderId="0" xfId="0" applyFont="1" applyFill="1" applyBorder="1" applyAlignment="1">
      <alignment horizontal="right" vertical="center"/>
    </xf>
    <xf numFmtId="9" fontId="5" fillId="0" borderId="26" xfId="1" applyFont="1" applyBorder="1" applyAlignment="1">
      <alignment vertical="center"/>
    </xf>
    <xf numFmtId="0" fontId="2" fillId="6" borderId="25" xfId="0" applyFont="1" applyFill="1" applyBorder="1"/>
    <xf numFmtId="0" fontId="31" fillId="0" borderId="0" xfId="0" applyFont="1" applyBorder="1" applyAlignment="1">
      <alignment horizontal="right"/>
    </xf>
    <xf numFmtId="0" fontId="10" fillId="0" borderId="7" xfId="0" applyFont="1" applyBorder="1" applyAlignment="1">
      <alignment horizontal="left"/>
    </xf>
    <xf numFmtId="0" fontId="5" fillId="0" borderId="6" xfId="0" applyFont="1" applyBorder="1"/>
    <xf numFmtId="0" fontId="5" fillId="0" borderId="8" xfId="0" applyFont="1" applyBorder="1"/>
    <xf numFmtId="0" fontId="5" fillId="0" borderId="9" xfId="0" applyFont="1" applyBorder="1"/>
    <xf numFmtId="0" fontId="35" fillId="0" borderId="0" xfId="0" applyFont="1" applyBorder="1"/>
    <xf numFmtId="0" fontId="6" fillId="0" borderId="0" xfId="0" applyFont="1" applyBorder="1" applyAlignment="1">
      <alignment horizontal="center"/>
    </xf>
    <xf numFmtId="1" fontId="5" fillId="0" borderId="0" xfId="0" applyNumberFormat="1" applyFont="1" applyBorder="1" applyAlignment="1">
      <alignment vertical="center"/>
    </xf>
    <xf numFmtId="169" fontId="5" fillId="0" borderId="0" xfId="0" applyNumberFormat="1" applyFont="1" applyBorder="1" applyAlignment="1">
      <alignment horizontal="center" vertical="center"/>
    </xf>
    <xf numFmtId="169" fontId="5" fillId="0" borderId="0" xfId="0" applyNumberFormat="1" applyFont="1" applyFill="1" applyBorder="1" applyAlignment="1">
      <alignment horizontal="center" vertical="center"/>
    </xf>
    <xf numFmtId="0" fontId="5" fillId="0" borderId="13" xfId="0" applyFont="1" applyBorder="1"/>
    <xf numFmtId="9" fontId="5" fillId="0" borderId="7" xfId="1" applyFont="1" applyFill="1" applyBorder="1" applyAlignment="1">
      <alignment vertical="center"/>
    </xf>
    <xf numFmtId="169" fontId="5" fillId="0" borderId="7" xfId="0" applyNumberFormat="1" applyFont="1" applyFill="1" applyBorder="1" applyAlignment="1">
      <alignment horizontal="center" vertical="center"/>
    </xf>
    <xf numFmtId="0" fontId="5" fillId="5" borderId="0" xfId="0" applyFont="1" applyFill="1" applyBorder="1"/>
    <xf numFmtId="0" fontId="35" fillId="0" borderId="9" xfId="0" applyFont="1" applyBorder="1"/>
    <xf numFmtId="0" fontId="5" fillId="0" borderId="12" xfId="0" applyFont="1" applyBorder="1" applyAlignment="1">
      <alignment vertical="center"/>
    </xf>
    <xf numFmtId="3" fontId="5" fillId="0" borderId="12" xfId="0" applyNumberFormat="1" applyFont="1" applyBorder="1" applyAlignment="1">
      <alignment vertical="center"/>
    </xf>
    <xf numFmtId="1" fontId="5" fillId="0" borderId="12" xfId="0" applyNumberFormat="1" applyFont="1" applyBorder="1" applyAlignment="1">
      <alignment vertical="center"/>
    </xf>
    <xf numFmtId="0" fontId="30" fillId="0" borderId="12" xfId="0" applyFont="1" applyFill="1" applyBorder="1" applyAlignment="1">
      <alignment horizontal="center" vertical="center"/>
    </xf>
    <xf numFmtId="9" fontId="5" fillId="0" borderId="12" xfId="1" applyFont="1" applyBorder="1" applyAlignment="1">
      <alignment vertical="center"/>
    </xf>
    <xf numFmtId="3" fontId="5" fillId="6" borderId="28" xfId="0" applyNumberFormat="1" applyFont="1" applyFill="1" applyBorder="1" applyAlignment="1">
      <alignment horizontal="right" vertical="center"/>
    </xf>
    <xf numFmtId="9" fontId="5" fillId="0" borderId="29" xfId="1" applyFont="1" applyBorder="1" applyAlignment="1">
      <alignment vertical="center"/>
    </xf>
    <xf numFmtId="169" fontId="5" fillId="0" borderId="12" xfId="0" applyNumberFormat="1" applyFont="1" applyBorder="1" applyAlignment="1">
      <alignment horizontal="center" vertical="center"/>
    </xf>
    <xf numFmtId="0" fontId="5" fillId="14" borderId="14" xfId="0" applyFont="1" applyFill="1" applyBorder="1"/>
    <xf numFmtId="0" fontId="5" fillId="14" borderId="4" xfId="0" applyFont="1" applyFill="1" applyBorder="1"/>
    <xf numFmtId="0" fontId="5" fillId="14" borderId="5" xfId="0" applyFont="1" applyFill="1" applyBorder="1"/>
    <xf numFmtId="0" fontId="5" fillId="14" borderId="16" xfId="0" applyFont="1" applyFill="1" applyBorder="1"/>
    <xf numFmtId="0" fontId="5" fillId="0" borderId="15" xfId="0" applyFont="1" applyBorder="1"/>
    <xf numFmtId="0" fontId="5" fillId="0" borderId="5" xfId="0" applyFont="1" applyBorder="1"/>
    <xf numFmtId="0" fontId="5" fillId="0" borderId="17" xfId="0" applyFont="1" applyBorder="1"/>
    <xf numFmtId="0" fontId="5" fillId="0" borderId="14" xfId="0" applyFont="1" applyBorder="1"/>
    <xf numFmtId="0" fontId="10" fillId="0" borderId="4" xfId="0" applyFont="1" applyBorder="1" applyAlignment="1">
      <alignment horizontal="left" vertical="center"/>
    </xf>
    <xf numFmtId="0" fontId="5" fillId="0" borderId="4" xfId="0" applyFont="1" applyBorder="1"/>
    <xf numFmtId="0" fontId="2" fillId="5" borderId="8" xfId="0" applyFont="1" applyFill="1" applyBorder="1"/>
    <xf numFmtId="0" fontId="5" fillId="5" borderId="11" xfId="0" applyFont="1" applyFill="1" applyBorder="1"/>
    <xf numFmtId="0" fontId="2" fillId="5" borderId="13" xfId="0" applyFont="1" applyFill="1" applyBorder="1"/>
    <xf numFmtId="0" fontId="5" fillId="15" borderId="0" xfId="0" applyFont="1" applyFill="1" applyBorder="1"/>
    <xf numFmtId="0" fontId="30" fillId="15" borderId="0" xfId="0" applyFont="1" applyFill="1" applyBorder="1" applyAlignment="1">
      <alignment horizontal="center" vertical="center"/>
    </xf>
    <xf numFmtId="0" fontId="5" fillId="4" borderId="0" xfId="0" applyFont="1" applyFill="1" applyBorder="1"/>
    <xf numFmtId="0" fontId="35" fillId="15" borderId="9" xfId="0" applyFont="1" applyFill="1" applyBorder="1"/>
    <xf numFmtId="0" fontId="35" fillId="15" borderId="0" xfId="0" applyFont="1" applyFill="1" applyBorder="1"/>
    <xf numFmtId="0" fontId="2" fillId="6" borderId="30" xfId="0" applyFont="1" applyFill="1" applyBorder="1"/>
    <xf numFmtId="0" fontId="6" fillId="0" borderId="0" xfId="0" applyFont="1" applyBorder="1" applyAlignment="1">
      <alignment horizontal="left"/>
    </xf>
    <xf numFmtId="3" fontId="5" fillId="0" borderId="12" xfId="0" applyNumberFormat="1" applyFont="1" applyBorder="1" applyAlignment="1">
      <alignment horizontal="left" vertical="center"/>
    </xf>
    <xf numFmtId="1" fontId="5" fillId="15" borderId="0" xfId="0" applyNumberFormat="1" applyFont="1" applyFill="1" applyBorder="1" applyAlignment="1">
      <alignment vertical="center"/>
    </xf>
    <xf numFmtId="9" fontId="5" fillId="15" borderId="0" xfId="1" applyFont="1" applyFill="1" applyBorder="1" applyAlignment="1">
      <alignment vertical="center"/>
    </xf>
    <xf numFmtId="9" fontId="5" fillId="15" borderId="26" xfId="1" applyFont="1" applyFill="1" applyBorder="1" applyAlignment="1">
      <alignment vertical="center"/>
    </xf>
    <xf numFmtId="169" fontId="5" fillId="15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4" borderId="0" xfId="0" applyFont="1" applyFill="1"/>
    <xf numFmtId="3" fontId="5" fillId="4" borderId="0" xfId="0" applyNumberFormat="1" applyFont="1" applyFill="1" applyBorder="1"/>
    <xf numFmtId="0" fontId="5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vertical="top"/>
    </xf>
    <xf numFmtId="0" fontId="5" fillId="0" borderId="10" xfId="0" applyFont="1" applyFill="1" applyBorder="1" applyAlignment="1">
      <alignment horizontal="center"/>
    </xf>
    <xf numFmtId="0" fontId="4" fillId="5" borderId="6" xfId="0" applyFont="1" applyFill="1" applyBorder="1" applyAlignment="1">
      <alignment vertical="center"/>
    </xf>
    <xf numFmtId="0" fontId="5" fillId="5" borderId="7" xfId="0" applyFont="1" applyFill="1" applyBorder="1"/>
    <xf numFmtId="0" fontId="4" fillId="5" borderId="9" xfId="0" applyFont="1" applyFill="1" applyBorder="1"/>
    <xf numFmtId="9" fontId="2" fillId="0" borderId="31" xfId="1" applyFont="1" applyFill="1" applyBorder="1" applyAlignment="1">
      <alignment vertical="center"/>
    </xf>
    <xf numFmtId="0" fontId="6" fillId="0" borderId="32" xfId="0" applyFont="1" applyBorder="1" applyAlignment="1"/>
    <xf numFmtId="0" fontId="2" fillId="4" borderId="33" xfId="0" applyFont="1" applyFill="1" applyBorder="1"/>
    <xf numFmtId="0" fontId="2" fillId="4" borderId="34" xfId="0" applyFont="1" applyFill="1" applyBorder="1"/>
    <xf numFmtId="0" fontId="2" fillId="0" borderId="34" xfId="0" applyFont="1" applyBorder="1" applyAlignment="1">
      <alignment vertical="center"/>
    </xf>
    <xf numFmtId="0" fontId="2" fillId="0" borderId="34" xfId="0" applyFont="1" applyBorder="1"/>
    <xf numFmtId="0" fontId="2" fillId="17" borderId="34" xfId="0" applyFont="1" applyFill="1" applyBorder="1"/>
    <xf numFmtId="0" fontId="2" fillId="0" borderId="34" xfId="0" applyFont="1" applyFill="1" applyBorder="1"/>
    <xf numFmtId="0" fontId="2" fillId="0" borderId="33" xfId="0" applyFont="1" applyBorder="1"/>
    <xf numFmtId="0" fontId="2" fillId="0" borderId="35" xfId="0" applyFont="1" applyBorder="1"/>
    <xf numFmtId="0" fontId="10" fillId="0" borderId="0" xfId="0" applyFont="1" applyAlignment="1">
      <alignment vertical="center"/>
    </xf>
    <xf numFmtId="0" fontId="5" fillId="0" borderId="0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vertical="center"/>
    </xf>
    <xf numFmtId="0" fontId="6" fillId="0" borderId="7" xfId="0" applyFont="1" applyBorder="1" applyAlignment="1">
      <alignment horizontal="left" indent="1"/>
    </xf>
    <xf numFmtId="3" fontId="5" fillId="0" borderId="7" xfId="0" applyNumberFormat="1" applyFont="1" applyBorder="1"/>
    <xf numFmtId="0" fontId="6" fillId="0" borderId="7" xfId="0" applyFont="1" applyBorder="1" applyAlignment="1">
      <alignment horizontal="right"/>
    </xf>
    <xf numFmtId="0" fontId="30" fillId="0" borderId="0" xfId="0" applyFont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19" fillId="0" borderId="0" xfId="0" applyFont="1" applyBorder="1"/>
    <xf numFmtId="0" fontId="19" fillId="0" borderId="0" xfId="0" applyFont="1" applyBorder="1" applyAlignment="1">
      <alignment horizontal="right"/>
    </xf>
    <xf numFmtId="0" fontId="19" fillId="0" borderId="12" xfId="0" applyFont="1" applyBorder="1"/>
    <xf numFmtId="0" fontId="19" fillId="0" borderId="12" xfId="0" applyFont="1" applyBorder="1" applyAlignment="1">
      <alignment horizontal="center"/>
    </xf>
    <xf numFmtId="0" fontId="19" fillId="0" borderId="12" xfId="0" applyFont="1" applyBorder="1" applyAlignment="1">
      <alignment horizontal="right"/>
    </xf>
    <xf numFmtId="0" fontId="6" fillId="14" borderId="0" xfId="0" applyFont="1" applyFill="1" applyBorder="1" applyAlignment="1">
      <alignment vertical="top"/>
    </xf>
    <xf numFmtId="0" fontId="4" fillId="14" borderId="0" xfId="0" applyFont="1" applyFill="1" applyBorder="1" applyAlignment="1">
      <alignment horizontal="right" vertical="top"/>
    </xf>
    <xf numFmtId="0" fontId="6" fillId="14" borderId="5" xfId="0" applyFont="1" applyFill="1" applyBorder="1" applyAlignment="1">
      <alignment horizontal="right" vertical="top"/>
    </xf>
    <xf numFmtId="0" fontId="5" fillId="2" borderId="0" xfId="0" applyFont="1" applyFill="1"/>
    <xf numFmtId="0" fontId="5" fillId="2" borderId="0" xfId="0" applyFont="1" applyFill="1" applyBorder="1"/>
    <xf numFmtId="2" fontId="2" fillId="2" borderId="0" xfId="0" applyNumberFormat="1" applyFont="1" applyFill="1"/>
    <xf numFmtId="168" fontId="2" fillId="2" borderId="0" xfId="0" applyNumberFormat="1" applyFont="1" applyFill="1"/>
    <xf numFmtId="165" fontId="2" fillId="2" borderId="0" xfId="0" applyNumberFormat="1" applyFont="1" applyFill="1"/>
    <xf numFmtId="9" fontId="2" fillId="2" borderId="0" xfId="1" applyFont="1" applyFill="1"/>
    <xf numFmtId="9" fontId="2" fillId="2" borderId="0" xfId="0" applyNumberFormat="1" applyFont="1" applyFill="1"/>
    <xf numFmtId="0" fontId="2" fillId="2" borderId="0" xfId="0" applyFont="1" applyFill="1" applyAlignment="1">
      <alignment vertical="center"/>
    </xf>
    <xf numFmtId="9" fontId="2" fillId="2" borderId="0" xfId="1" applyFont="1" applyFill="1" applyAlignment="1">
      <alignment horizontal="center"/>
    </xf>
    <xf numFmtId="1" fontId="2" fillId="2" borderId="0" xfId="0" applyNumberFormat="1" applyFont="1" applyFill="1"/>
    <xf numFmtId="3" fontId="5" fillId="2" borderId="0" xfId="0" applyNumberFormat="1" applyFont="1" applyFill="1" applyAlignment="1">
      <alignment horizontal="right"/>
    </xf>
    <xf numFmtId="9" fontId="5" fillId="2" borderId="0" xfId="1" applyFont="1" applyFill="1" applyAlignment="1">
      <alignment horizontal="right"/>
    </xf>
    <xf numFmtId="0" fontId="2" fillId="2" borderId="0" xfId="0" applyFont="1" applyFill="1" applyBorder="1"/>
    <xf numFmtId="0" fontId="13" fillId="2" borderId="0" xfId="0" applyFont="1" applyFill="1" applyBorder="1"/>
    <xf numFmtId="0" fontId="8" fillId="2" borderId="0" xfId="0" applyFont="1" applyFill="1" applyBorder="1"/>
    <xf numFmtId="166" fontId="2" fillId="0" borderId="0" xfId="2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10" fillId="0" borderId="0" xfId="0" applyFont="1"/>
    <xf numFmtId="9" fontId="5" fillId="0" borderId="12" xfId="0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4" borderId="0" xfId="0" applyFill="1"/>
    <xf numFmtId="170" fontId="5" fillId="0" borderId="0" xfId="0" applyNumberFormat="1" applyFont="1" applyBorder="1" applyAlignment="1">
      <alignment horizontal="right"/>
    </xf>
    <xf numFmtId="170" fontId="5" fillId="0" borderId="12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3" fontId="5" fillId="15" borderId="0" xfId="2" applyNumberFormat="1" applyFont="1" applyFill="1" applyBorder="1" applyAlignment="1">
      <alignment horizontal="right"/>
    </xf>
    <xf numFmtId="3" fontId="5" fillId="0" borderId="0" xfId="2" applyNumberFormat="1" applyFont="1" applyBorder="1" applyAlignment="1">
      <alignment horizontal="right"/>
    </xf>
    <xf numFmtId="3" fontId="5" fillId="0" borderId="0" xfId="0" applyNumberFormat="1" applyFont="1" applyBorder="1" applyAlignment="1">
      <alignment horizontal="right" vertical="center"/>
    </xf>
    <xf numFmtId="3" fontId="5" fillId="6" borderId="19" xfId="0" applyNumberFormat="1" applyFont="1" applyFill="1" applyBorder="1" applyAlignment="1">
      <alignment vertical="center"/>
    </xf>
    <xf numFmtId="3" fontId="5" fillId="0" borderId="5" xfId="0" applyNumberFormat="1" applyFont="1" applyBorder="1" applyAlignment="1">
      <alignment horizontal="center" vertical="center"/>
    </xf>
    <xf numFmtId="3" fontId="5" fillId="0" borderId="0" xfId="0" applyNumberFormat="1" applyFont="1" applyBorder="1" applyAlignment="1">
      <alignment horizontal="center"/>
    </xf>
    <xf numFmtId="3" fontId="10" fillId="14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Border="1" applyAlignment="1">
      <alignment vertical="center"/>
    </xf>
    <xf numFmtId="3" fontId="5" fillId="0" borderId="18" xfId="0" applyNumberFormat="1" applyFont="1" applyBorder="1" applyAlignment="1">
      <alignment vertical="center"/>
    </xf>
    <xf numFmtId="3" fontId="2" fillId="0" borderId="0" xfId="0" applyNumberFormat="1" applyFont="1" applyBorder="1"/>
    <xf numFmtId="3" fontId="2" fillId="0" borderId="0" xfId="0" applyNumberFormat="1" applyFont="1" applyBorder="1" applyAlignment="1">
      <alignment horizontal="right"/>
    </xf>
    <xf numFmtId="3" fontId="2" fillId="0" borderId="0" xfId="0" applyNumberFormat="1" applyFont="1" applyBorder="1" applyAlignment="1"/>
    <xf numFmtId="3" fontId="19" fillId="15" borderId="0" xfId="0" applyNumberFormat="1" applyFont="1" applyFill="1" applyBorder="1" applyAlignment="1">
      <alignment horizontal="center" vertical="center"/>
    </xf>
    <xf numFmtId="3" fontId="19" fillId="0" borderId="0" xfId="0" applyNumberFormat="1" applyFont="1" applyBorder="1" applyAlignment="1">
      <alignment horizontal="center" vertical="center"/>
    </xf>
    <xf numFmtId="3" fontId="2" fillId="17" borderId="0" xfId="0" applyNumberFormat="1" applyFont="1" applyFill="1" applyBorder="1" applyAlignment="1">
      <alignment horizontal="center" vertical="center"/>
    </xf>
    <xf numFmtId="3" fontId="22" fillId="14" borderId="0" xfId="0" applyNumberFormat="1" applyFont="1" applyFill="1" applyAlignment="1">
      <alignment horizontal="center" vertical="center"/>
    </xf>
    <xf numFmtId="3" fontId="27" fillId="14" borderId="0" xfId="0" applyNumberFormat="1" applyFont="1" applyFill="1"/>
    <xf numFmtId="3" fontId="5" fillId="0" borderId="0" xfId="0" applyNumberFormat="1" applyFont="1" applyFill="1" applyBorder="1"/>
    <xf numFmtId="3" fontId="5" fillId="0" borderId="25" xfId="0" applyNumberFormat="1" applyFont="1" applyFill="1" applyBorder="1"/>
    <xf numFmtId="3" fontId="5" fillId="0" borderId="10" xfId="0" applyNumberFormat="1" applyFont="1" applyFill="1" applyBorder="1"/>
    <xf numFmtId="3" fontId="5" fillId="15" borderId="0" xfId="0" applyNumberFormat="1" applyFont="1" applyFill="1" applyBorder="1" applyAlignment="1">
      <alignment vertical="center"/>
    </xf>
    <xf numFmtId="3" fontId="5" fillId="6" borderId="25" xfId="0" applyNumberFormat="1" applyFont="1" applyFill="1" applyBorder="1" applyAlignment="1">
      <alignment horizontal="right" vertical="center"/>
    </xf>
    <xf numFmtId="3" fontId="5" fillId="15" borderId="0" xfId="0" applyNumberFormat="1" applyFont="1" applyFill="1" applyBorder="1" applyAlignment="1">
      <alignment horizontal="left" vertical="center"/>
    </xf>
    <xf numFmtId="3" fontId="5" fillId="0" borderId="0" xfId="0" applyNumberFormat="1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 wrapText="1"/>
    </xf>
    <xf numFmtId="0" fontId="5" fillId="0" borderId="10" xfId="0" applyFont="1" applyBorder="1" applyAlignment="1"/>
    <xf numFmtId="9" fontId="2" fillId="0" borderId="37" xfId="0" applyNumberFormat="1" applyFont="1" applyBorder="1"/>
    <xf numFmtId="0" fontId="2" fillId="0" borderId="0" xfId="0" pivotButton="1" applyFont="1" applyBorder="1" applyAlignment="1">
      <alignment vertical="center" wrapText="1"/>
    </xf>
    <xf numFmtId="0" fontId="2" fillId="4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2" fontId="0" fillId="0" borderId="0" xfId="0" applyNumberFormat="1"/>
    <xf numFmtId="1" fontId="5" fillId="0" borderId="0" xfId="0" applyNumberFormat="1" applyFont="1" applyBorder="1" applyAlignment="1">
      <alignment horizontal="left"/>
    </xf>
    <xf numFmtId="0" fontId="2" fillId="14" borderId="8" xfId="0" applyFont="1" applyFill="1" applyBorder="1"/>
    <xf numFmtId="0" fontId="10" fillId="14" borderId="0" xfId="0" applyFont="1" applyFill="1" applyBorder="1" applyAlignment="1">
      <alignment horizontal="left" vertical="center" indent="1"/>
    </xf>
    <xf numFmtId="0" fontId="2" fillId="14" borderId="10" xfId="0" applyFont="1" applyFill="1" applyBorder="1"/>
    <xf numFmtId="0" fontId="2" fillId="14" borderId="10" xfId="0" applyFont="1" applyFill="1" applyBorder="1" applyAlignment="1"/>
    <xf numFmtId="15" fontId="6" fillId="14" borderId="0" xfId="0" applyNumberFormat="1" applyFont="1" applyFill="1" applyBorder="1" applyAlignment="1"/>
    <xf numFmtId="15" fontId="4" fillId="14" borderId="0" xfId="0" applyNumberFormat="1" applyFont="1" applyFill="1" applyBorder="1" applyAlignment="1"/>
    <xf numFmtId="15" fontId="4" fillId="14" borderId="10" xfId="0" applyNumberFormat="1" applyFont="1" applyFill="1" applyBorder="1" applyAlignment="1"/>
    <xf numFmtId="9" fontId="2" fillId="0" borderId="0" xfId="0" applyNumberFormat="1" applyFont="1" applyBorder="1"/>
    <xf numFmtId="0" fontId="2" fillId="4" borderId="38" xfId="0" applyFont="1" applyFill="1" applyBorder="1"/>
    <xf numFmtId="0" fontId="2" fillId="4" borderId="39" xfId="0" applyFont="1" applyFill="1" applyBorder="1"/>
    <xf numFmtId="0" fontId="2" fillId="0" borderId="39" xfId="0" applyFont="1" applyBorder="1" applyAlignment="1">
      <alignment vertical="center"/>
    </xf>
    <xf numFmtId="0" fontId="2" fillId="0" borderId="39" xfId="0" applyFont="1" applyBorder="1"/>
    <xf numFmtId="0" fontId="0" fillId="0" borderId="0" xfId="0" applyFont="1" applyBorder="1" applyAlignment="1">
      <alignment horizontal="left" indent="4"/>
    </xf>
    <xf numFmtId="0" fontId="2" fillId="0" borderId="40" xfId="0" applyFont="1" applyBorder="1"/>
    <xf numFmtId="0" fontId="2" fillId="17" borderId="39" xfId="0" applyFont="1" applyFill="1" applyBorder="1"/>
    <xf numFmtId="0" fontId="2" fillId="0" borderId="39" xfId="0" applyFont="1" applyFill="1" applyBorder="1"/>
    <xf numFmtId="0" fontId="0" fillId="0" borderId="0" xfId="0" applyBorder="1"/>
    <xf numFmtId="0" fontId="18" fillId="0" borderId="39" xfId="0" applyFont="1" applyBorder="1"/>
    <xf numFmtId="0" fontId="18" fillId="0" borderId="40" xfId="0" applyFont="1" applyBorder="1"/>
    <xf numFmtId="0" fontId="4" fillId="0" borderId="0" xfId="0" applyFont="1" applyBorder="1" applyAlignment="1">
      <alignment horizontal="left"/>
    </xf>
    <xf numFmtId="0" fontId="2" fillId="0" borderId="15" xfId="0" applyFont="1" applyFill="1" applyBorder="1"/>
    <xf numFmtId="0" fontId="2" fillId="0" borderId="5" xfId="0" applyFont="1" applyFill="1" applyBorder="1"/>
    <xf numFmtId="0" fontId="10" fillId="0" borderId="5" xfId="0" applyFont="1" applyFill="1" applyBorder="1" applyAlignment="1">
      <alignment vertical="center"/>
    </xf>
    <xf numFmtId="0" fontId="22" fillId="0" borderId="5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center"/>
    </xf>
    <xf numFmtId="0" fontId="2" fillId="0" borderId="17" xfId="0" applyFont="1" applyFill="1" applyBorder="1"/>
    <xf numFmtId="0" fontId="2" fillId="17" borderId="5" xfId="0" applyFont="1" applyFill="1" applyBorder="1"/>
    <xf numFmtId="0" fontId="0" fillId="0" borderId="5" xfId="0" applyBorder="1"/>
    <xf numFmtId="0" fontId="6" fillId="0" borderId="5" xfId="0" applyFont="1" applyBorder="1" applyAlignment="1">
      <alignment horizontal="center" vertical="center" wrapText="1"/>
    </xf>
    <xf numFmtId="9" fontId="2" fillId="0" borderId="5" xfId="0" applyNumberFormat="1" applyFont="1" applyBorder="1"/>
    <xf numFmtId="0" fontId="5" fillId="0" borderId="23" xfId="0" applyFont="1" applyBorder="1"/>
    <xf numFmtId="0" fontId="5" fillId="0" borderId="21" xfId="0" applyFont="1" applyBorder="1"/>
    <xf numFmtId="170" fontId="5" fillId="0" borderId="21" xfId="0" applyNumberFormat="1" applyFont="1" applyBorder="1" applyAlignment="1">
      <alignment horizontal="right"/>
    </xf>
    <xf numFmtId="9" fontId="5" fillId="0" borderId="21" xfId="0" applyNumberFormat="1" applyFont="1" applyBorder="1" applyAlignment="1">
      <alignment horizontal="center"/>
    </xf>
    <xf numFmtId="0" fontId="5" fillId="0" borderId="24" xfId="0" applyFont="1" applyBorder="1"/>
    <xf numFmtId="0" fontId="5" fillId="0" borderId="13" xfId="0" applyFont="1" applyBorder="1" applyAlignment="1"/>
    <xf numFmtId="0" fontId="5" fillId="0" borderId="10" xfId="0" applyFont="1" applyBorder="1" applyAlignment="1">
      <alignment horizontal="center" vertical="center" wrapText="1"/>
    </xf>
    <xf numFmtId="9" fontId="5" fillId="0" borderId="10" xfId="0" applyNumberFormat="1" applyFont="1" applyBorder="1" applyAlignment="1">
      <alignment horizontal="center"/>
    </xf>
    <xf numFmtId="9" fontId="5" fillId="0" borderId="13" xfId="0" applyNumberFormat="1" applyFont="1" applyBorder="1" applyAlignment="1">
      <alignment horizontal="center"/>
    </xf>
    <xf numFmtId="9" fontId="2" fillId="4" borderId="0" xfId="0" applyNumberFormat="1" applyFont="1" applyFill="1" applyBorder="1"/>
    <xf numFmtId="0" fontId="0" fillId="4" borderId="0" xfId="0" applyFill="1" applyBorder="1"/>
    <xf numFmtId="0" fontId="5" fillId="0" borderId="16" xfId="0" applyFont="1" applyBorder="1"/>
    <xf numFmtId="0" fontId="0" fillId="0" borderId="12" xfId="0" applyBorder="1"/>
    <xf numFmtId="0" fontId="10" fillId="0" borderId="41" xfId="0" applyFont="1" applyBorder="1" applyAlignment="1">
      <alignment vertical="center"/>
    </xf>
    <xf numFmtId="0" fontId="5" fillId="0" borderId="41" xfId="0" applyFont="1" applyFill="1" applyBorder="1"/>
    <xf numFmtId="0" fontId="2" fillId="0" borderId="41" xfId="0" applyFont="1" applyFill="1" applyBorder="1"/>
    <xf numFmtId="0" fontId="2" fillId="0" borderId="41" xfId="0" applyFont="1" applyFill="1" applyBorder="1" applyAlignment="1">
      <alignment horizontal="right"/>
    </xf>
    <xf numFmtId="0" fontId="10" fillId="0" borderId="0" xfId="0" applyFont="1" applyFill="1" applyBorder="1" applyAlignment="1">
      <alignment horizontal="right" vertical="center"/>
    </xf>
    <xf numFmtId="0" fontId="37" fillId="4" borderId="0" xfId="0" applyFont="1" applyFill="1" applyBorder="1" applyAlignment="1">
      <alignment vertical="center"/>
    </xf>
    <xf numFmtId="0" fontId="38" fillId="4" borderId="0" xfId="0" applyFont="1" applyFill="1" applyBorder="1" applyAlignment="1">
      <alignment vertical="center"/>
    </xf>
    <xf numFmtId="3" fontId="5" fillId="19" borderId="25" xfId="0" applyNumberFormat="1" applyFont="1" applyFill="1" applyBorder="1" applyAlignment="1">
      <alignment horizontal="right"/>
    </xf>
    <xf numFmtId="3" fontId="5" fillId="0" borderId="0" xfId="0" applyNumberFormat="1" applyFont="1" applyBorder="1" applyAlignment="1">
      <alignment horizontal="left"/>
    </xf>
    <xf numFmtId="0" fontId="39" fillId="4" borderId="0" xfId="0" applyFont="1" applyFill="1" applyBorder="1" applyAlignment="1">
      <alignment vertical="center"/>
    </xf>
    <xf numFmtId="0" fontId="5" fillId="5" borderId="12" xfId="0" applyFont="1" applyFill="1" applyBorder="1"/>
    <xf numFmtId="0" fontId="2" fillId="5" borderId="14" xfId="0" applyFont="1" applyFill="1" applyBorder="1" applyAlignment="1">
      <alignment horizontal="right"/>
    </xf>
    <xf numFmtId="0" fontId="2" fillId="5" borderId="16" xfId="0" applyFont="1" applyFill="1" applyBorder="1"/>
    <xf numFmtId="0" fontId="2" fillId="13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5" fillId="0" borderId="12" xfId="0" applyFont="1" applyFill="1" applyBorder="1" applyAlignment="1">
      <alignment vertical="center"/>
    </xf>
    <xf numFmtId="9" fontId="5" fillId="0" borderId="12" xfId="1" applyFont="1" applyFill="1" applyBorder="1" applyAlignment="1">
      <alignment vertical="center"/>
    </xf>
    <xf numFmtId="0" fontId="5" fillId="0" borderId="33" xfId="0" applyFont="1" applyBorder="1"/>
    <xf numFmtId="0" fontId="5" fillId="0" borderId="34" xfId="0" applyFont="1" applyBorder="1"/>
    <xf numFmtId="0" fontId="5" fillId="15" borderId="34" xfId="0" applyFont="1" applyFill="1" applyBorder="1"/>
    <xf numFmtId="0" fontId="5" fillId="0" borderId="35" xfId="0" applyFont="1" applyBorder="1"/>
    <xf numFmtId="0" fontId="5" fillId="0" borderId="38" xfId="0" applyFont="1" applyBorder="1"/>
    <xf numFmtId="0" fontId="10" fillId="0" borderId="39" xfId="0" applyFont="1" applyBorder="1" applyAlignment="1">
      <alignment horizontal="left" vertical="center" indent="1"/>
    </xf>
    <xf numFmtId="0" fontId="5" fillId="0" borderId="39" xfId="0" applyFont="1" applyBorder="1"/>
    <xf numFmtId="0" fontId="5" fillId="0" borderId="40" xfId="0" applyFont="1" applyBorder="1"/>
    <xf numFmtId="0" fontId="10" fillId="0" borderId="39" xfId="0" applyFont="1" applyBorder="1" applyAlignment="1">
      <alignment horizontal="left" vertical="center"/>
    </xf>
    <xf numFmtId="0" fontId="35" fillId="0" borderId="39" xfId="0" applyFont="1" applyBorder="1"/>
    <xf numFmtId="0" fontId="35" fillId="15" borderId="39" xfId="0" applyFont="1" applyFill="1" applyBorder="1" applyAlignment="1">
      <alignment vertical="center"/>
    </xf>
    <xf numFmtId="0" fontId="35" fillId="0" borderId="39" xfId="0" applyFont="1" applyBorder="1" applyAlignment="1">
      <alignment vertical="center"/>
    </xf>
    <xf numFmtId="0" fontId="35" fillId="0" borderId="40" xfId="0" applyFont="1" applyBorder="1"/>
    <xf numFmtId="0" fontId="5" fillId="5" borderId="38" xfId="0" applyFont="1" applyFill="1" applyBorder="1"/>
    <xf numFmtId="0" fontId="5" fillId="5" borderId="39" xfId="0" applyFont="1" applyFill="1" applyBorder="1"/>
    <xf numFmtId="0" fontId="5" fillId="5" borderId="40" xfId="0" applyFont="1" applyFill="1" applyBorder="1"/>
    <xf numFmtId="0" fontId="0" fillId="20" borderId="2" xfId="0" applyFont="1" applyFill="1" applyBorder="1"/>
    <xf numFmtId="165" fontId="5" fillId="2" borderId="0" xfId="0" applyNumberFormat="1" applyFont="1" applyFill="1"/>
    <xf numFmtId="0" fontId="0" fillId="2" borderId="2" xfId="0" applyFont="1" applyFill="1" applyBorder="1"/>
    <xf numFmtId="15" fontId="6" fillId="2" borderId="0" xfId="0" applyNumberFormat="1" applyFont="1" applyFill="1" applyBorder="1" applyAlignment="1"/>
    <xf numFmtId="0" fontId="2" fillId="2" borderId="0" xfId="0" applyFont="1" applyFill="1" applyBorder="1" applyAlignment="1">
      <alignment vertical="center"/>
    </xf>
    <xf numFmtId="9" fontId="5" fillId="2" borderId="0" xfId="1" applyFont="1" applyFill="1"/>
    <xf numFmtId="0" fontId="41" fillId="0" borderId="0" xfId="0" applyFont="1"/>
    <xf numFmtId="0" fontId="0" fillId="0" borderId="0" xfId="0" applyFont="1" applyFill="1" applyBorder="1"/>
    <xf numFmtId="0" fontId="0" fillId="0" borderId="0" xfId="0" applyFill="1" applyBorder="1"/>
    <xf numFmtId="0" fontId="10" fillId="0" borderId="42" xfId="0" applyFont="1" applyFill="1" applyBorder="1"/>
    <xf numFmtId="0" fontId="10" fillId="0" borderId="43" xfId="0" applyFont="1" applyFill="1" applyBorder="1"/>
    <xf numFmtId="0" fontId="0" fillId="0" borderId="44" xfId="0" applyFill="1" applyBorder="1"/>
    <xf numFmtId="0" fontId="2" fillId="0" borderId="45" xfId="0" applyFont="1" applyFill="1" applyBorder="1"/>
    <xf numFmtId="0" fontId="0" fillId="0" borderId="46" xfId="0" applyFill="1" applyBorder="1"/>
    <xf numFmtId="0" fontId="0" fillId="0" borderId="47" xfId="0" applyFill="1" applyBorder="1"/>
    <xf numFmtId="0" fontId="0" fillId="0" borderId="48" xfId="0" applyFill="1" applyBorder="1"/>
    <xf numFmtId="0" fontId="0" fillId="0" borderId="49" xfId="0" applyFill="1" applyBorder="1"/>
    <xf numFmtId="0" fontId="0" fillId="0" borderId="50" xfId="0" applyBorder="1"/>
    <xf numFmtId="0" fontId="0" fillId="0" borderId="51" xfId="0" applyFill="1" applyBorder="1"/>
    <xf numFmtId="0" fontId="0" fillId="0" borderId="52" xfId="0" applyBorder="1"/>
    <xf numFmtId="0" fontId="0" fillId="0" borderId="53" xfId="0" applyFill="1" applyBorder="1"/>
    <xf numFmtId="0" fontId="2" fillId="0" borderId="54" xfId="0" applyFont="1" applyFill="1" applyBorder="1"/>
    <xf numFmtId="0" fontId="0" fillId="0" borderId="55" xfId="0" applyBorder="1"/>
    <xf numFmtId="0" fontId="0" fillId="21" borderId="0" xfId="0" applyFill="1"/>
    <xf numFmtId="0" fontId="0" fillId="21" borderId="0" xfId="0" applyFont="1" applyFill="1" applyBorder="1"/>
    <xf numFmtId="0" fontId="0" fillId="22" borderId="0" xfId="0" applyFill="1"/>
    <xf numFmtId="0" fontId="0" fillId="22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0" borderId="56" xfId="0" applyFill="1" applyBorder="1"/>
    <xf numFmtId="0" fontId="0" fillId="0" borderId="57" xfId="0" applyFill="1" applyBorder="1"/>
    <xf numFmtId="0" fontId="0" fillId="0" borderId="58" xfId="0" applyBorder="1"/>
    <xf numFmtId="0" fontId="2" fillId="0" borderId="59" xfId="0" applyFont="1" applyFill="1" applyBorder="1"/>
    <xf numFmtId="0" fontId="2" fillId="0" borderId="59" xfId="0" applyFont="1" applyBorder="1"/>
    <xf numFmtId="0" fontId="0" fillId="0" borderId="59" xfId="0" applyBorder="1"/>
    <xf numFmtId="0" fontId="0" fillId="0" borderId="60" xfId="0" applyBorder="1"/>
    <xf numFmtId="0" fontId="2" fillId="0" borderId="61" xfId="0" applyFont="1" applyBorder="1"/>
    <xf numFmtId="0" fontId="0" fillId="24" borderId="0" xfId="0" applyFill="1"/>
    <xf numFmtId="0" fontId="0" fillId="0" borderId="0" xfId="0" applyFill="1" applyAlignment="1">
      <alignment horizontal="left"/>
    </xf>
    <xf numFmtId="0" fontId="0" fillId="0" borderId="3" xfId="0" applyFont="1" applyBorder="1"/>
    <xf numFmtId="0" fontId="0" fillId="10" borderId="3" xfId="0" applyFont="1" applyFill="1" applyBorder="1"/>
    <xf numFmtId="0" fontId="0" fillId="10" borderId="1" xfId="0" applyFont="1" applyFill="1" applyBorder="1"/>
    <xf numFmtId="0" fontId="0" fillId="0" borderId="62" xfId="0" applyFont="1" applyBorder="1"/>
    <xf numFmtId="0" fontId="0" fillId="10" borderId="62" xfId="0" applyFont="1" applyFill="1" applyBorder="1"/>
    <xf numFmtId="0" fontId="13" fillId="0" borderId="0" xfId="0" applyFont="1" applyAlignment="1">
      <alignment horizontal="left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1" fillId="14" borderId="7" xfId="0" applyFont="1" applyFill="1" applyBorder="1" applyAlignment="1">
      <alignment horizontal="left" vertical="top"/>
    </xf>
    <xf numFmtId="0" fontId="11" fillId="14" borderId="0" xfId="0" applyFont="1" applyFill="1" applyBorder="1" applyAlignment="1">
      <alignment horizontal="left" vertical="top"/>
    </xf>
    <xf numFmtId="16" fontId="5" fillId="0" borderId="0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left"/>
    </xf>
    <xf numFmtId="0" fontId="4" fillId="0" borderId="0" xfId="0" applyFont="1" applyBorder="1" applyAlignment="1">
      <alignment horizontal="center" vertical="center"/>
    </xf>
    <xf numFmtId="15" fontId="4" fillId="0" borderId="0" xfId="0" applyNumberFormat="1" applyFont="1" applyFill="1" applyBorder="1" applyAlignment="1">
      <alignment horizontal="right" indent="1"/>
    </xf>
    <xf numFmtId="0" fontId="4" fillId="5" borderId="0" xfId="0" applyFont="1" applyFill="1" applyBorder="1" applyAlignment="1">
      <alignment horizontal="center"/>
    </xf>
    <xf numFmtId="0" fontId="10" fillId="14" borderId="0" xfId="0" applyFont="1" applyFill="1" applyBorder="1" applyAlignment="1">
      <alignment horizontal="center" vertical="center"/>
    </xf>
    <xf numFmtId="0" fontId="22" fillId="14" borderId="0" xfId="0" applyFont="1" applyFill="1" applyBorder="1" applyAlignment="1">
      <alignment horizontal="center" vertical="top" wrapText="1"/>
    </xf>
    <xf numFmtId="0" fontId="40" fillId="5" borderId="7" xfId="0" applyFont="1" applyFill="1" applyBorder="1" applyAlignment="1">
      <alignment horizontal="center" vertical="center"/>
    </xf>
    <xf numFmtId="0" fontId="40" fillId="5" borderId="12" xfId="0" applyFont="1" applyFill="1" applyBorder="1" applyAlignment="1">
      <alignment horizontal="center" vertical="center"/>
    </xf>
    <xf numFmtId="0" fontId="10" fillId="14" borderId="4" xfId="0" applyFont="1" applyFill="1" applyBorder="1" applyAlignment="1">
      <alignment horizontal="center" vertical="center"/>
    </xf>
    <xf numFmtId="0" fontId="10" fillId="14" borderId="5" xfId="0" applyFont="1" applyFill="1" applyBorder="1" applyAlignment="1">
      <alignment horizontal="center" vertical="center"/>
    </xf>
    <xf numFmtId="169" fontId="36" fillId="0" borderId="0" xfId="0" applyNumberFormat="1" applyFont="1" applyFill="1" applyBorder="1" applyAlignment="1">
      <alignment horizontal="center" vertical="center" wrapText="1"/>
    </xf>
    <xf numFmtId="0" fontId="22" fillId="14" borderId="5" xfId="0" applyFont="1" applyFill="1" applyBorder="1" applyAlignment="1">
      <alignment horizontal="center" vertical="top" wrapText="1"/>
    </xf>
    <xf numFmtId="0" fontId="2" fillId="5" borderId="0" xfId="0" applyFont="1" applyFill="1" applyBorder="1" applyAlignment="1">
      <alignment horizontal="center" vertical="top"/>
    </xf>
    <xf numFmtId="0" fontId="2" fillId="5" borderId="10" xfId="0" applyFont="1" applyFill="1" applyBorder="1" applyAlignment="1">
      <alignment horizontal="center" vertical="top"/>
    </xf>
    <xf numFmtId="0" fontId="6" fillId="0" borderId="3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5" fillId="4" borderId="0" xfId="0" applyFont="1" applyFill="1" applyBorder="1" applyAlignment="1">
      <alignment horizontal="center" vertical="top"/>
    </xf>
  </cellXfs>
  <cellStyles count="3">
    <cellStyle name="Comma" xfId="2" builtinId="3"/>
    <cellStyle name="Normal" xfId="0" builtinId="0"/>
    <cellStyle name="Percent" xfId="1" builtinId="5"/>
  </cellStyles>
  <dxfs count="38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C00000"/>
      </font>
    </dxf>
    <dxf>
      <font>
        <b val="0"/>
        <i/>
        <color theme="1" tint="0.499984740745262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_(* #,##0_);_(* \(#,##0\);_(* &quot;-&quot;??_);_(@_)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border>
        <right style="medium">
          <color rgb="FFC00000"/>
        </right>
      </border>
    </dxf>
    <dxf>
      <alignment wrapText="1" readingOrder="0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3" formatCode="0%"/>
    </dxf>
    <dxf>
      <numFmt numFmtId="13" formatCode="0%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3" formatCode="0%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numFmt numFmtId="171" formatCode="#,##0.000;[Red]\ \(#,##0.000\)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numFmt numFmtId="13" formatCode="0%"/>
    </dxf>
    <dxf>
      <numFmt numFmtId="13" formatCode="0%"/>
    </dxf>
    <dxf>
      <font>
        <sz val="8"/>
      </font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1" formatCode="#,##0.000;[Red]\ \(#,##0.000\)"/>
    </dxf>
    <dxf>
      <numFmt numFmtId="171" formatCode="#,##0.000;[Red]\ \(#,##0.000\)"/>
    </dxf>
    <dxf>
      <numFmt numFmtId="170" formatCode="#,##0;[Red]\ \(#,##0\)"/>
    </dxf>
    <dxf>
      <numFmt numFmtId="170" formatCode="#,##0;[Red]\ \(#,##0\)"/>
    </dxf>
    <dxf>
      <numFmt numFmtId="172" formatCode="#,##0.00000"/>
    </dxf>
    <dxf>
      <numFmt numFmtId="172" formatCode="#,##0.00000"/>
    </dxf>
    <dxf>
      <numFmt numFmtId="173" formatCode="#,##0.000"/>
    </dxf>
    <dxf>
      <numFmt numFmtId="173" formatCode="#,##0.000"/>
    </dxf>
    <dxf>
      <numFmt numFmtId="172" formatCode="#,##0.00000"/>
    </dxf>
    <dxf>
      <numFmt numFmtId="172" formatCode="#,##0.00000"/>
    </dxf>
    <dxf>
      <numFmt numFmtId="173" formatCode="#,##0.000"/>
    </dxf>
    <dxf>
      <numFmt numFmtId="173" formatCode="#,##0.000"/>
    </dxf>
    <dxf>
      <numFmt numFmtId="3" formatCode="#,##0"/>
    </dxf>
    <dxf>
      <numFmt numFmtId="3" formatCode="#,##0"/>
    </dxf>
    <dxf>
      <numFmt numFmtId="173" formatCode="#,##0.000"/>
    </dxf>
    <dxf>
      <numFmt numFmtId="173" formatCode="#,##0.000"/>
    </dxf>
    <dxf>
      <numFmt numFmtId="3" formatCode="#,##0"/>
    </dxf>
    <dxf>
      <numFmt numFmtId="3" formatCode="#,##0"/>
    </dxf>
    <dxf>
      <numFmt numFmtId="173" formatCode="#,##0.000"/>
    </dxf>
    <dxf>
      <numFmt numFmtId="173" formatCode="#,##0.000"/>
    </dxf>
    <dxf>
      <numFmt numFmtId="3" formatCode="#,##0"/>
    </dxf>
    <dxf>
      <numFmt numFmtId="3" formatCode="#,##0"/>
    </dxf>
    <dxf>
      <numFmt numFmtId="174" formatCode="#,##0;[Red]\(#,##0\)"/>
    </dxf>
    <dxf>
      <numFmt numFmtId="174" formatCode="#,##0;[Red]\(#,##0\)"/>
    </dxf>
    <dxf>
      <numFmt numFmtId="175" formatCode="#,##0.000;[Red]\(#,##0.000\)"/>
    </dxf>
    <dxf>
      <numFmt numFmtId="175" formatCode="#,##0.000;[Red]\(#,##0.000\)"/>
    </dxf>
    <dxf>
      <numFmt numFmtId="174" formatCode="#,##0;[Red]\(#,##0\)"/>
    </dxf>
    <dxf>
      <numFmt numFmtId="174" formatCode="#,##0;[Red]\(#,##0\)"/>
    </dxf>
    <dxf>
      <numFmt numFmtId="175" formatCode="#,##0.000;[Red]\(#,##0.000\)"/>
    </dxf>
    <dxf>
      <numFmt numFmtId="175" formatCode="#,##0.000;[Red]\(#,##0.000\)"/>
    </dxf>
    <dxf>
      <numFmt numFmtId="174" formatCode="#,##0;[Red]\(#,##0\)"/>
    </dxf>
    <dxf>
      <numFmt numFmtId="174" formatCode="#,##0;[Red]\(#,##0\)"/>
    </dxf>
    <dxf>
      <numFmt numFmtId="176" formatCode="#,##0.000_);[Red]\(#,##0.000\)"/>
    </dxf>
    <dxf>
      <numFmt numFmtId="6" formatCode="#,##0_);[Red]\(#,##0\)"/>
    </dxf>
    <dxf>
      <numFmt numFmtId="6" formatCode="#,##0_);[Red]\(#,##0\)"/>
    </dxf>
    <dxf>
      <numFmt numFmtId="176" formatCode="#,##0.000_);[Red]\(#,##0.000\)"/>
    </dxf>
    <dxf>
      <numFmt numFmtId="176" formatCode="#,##0.000_);[Red]\(#,##0.000\)"/>
    </dxf>
    <dxf>
      <numFmt numFmtId="6" formatCode="#,##0_);[Red]\(#,##0\)"/>
    </dxf>
    <dxf>
      <numFmt numFmtId="6" formatCode="#,##0_);[Red]\(#,##0\)"/>
    </dxf>
    <dxf>
      <numFmt numFmtId="176" formatCode="#,##0.000_);[Red]\(#,##0.000\)"/>
    </dxf>
    <dxf>
      <numFmt numFmtId="176" formatCode="#,##0.000_);[Red]\(#,##0.000\)"/>
    </dxf>
    <dxf>
      <numFmt numFmtId="6" formatCode="#,##0_);[Red]\(#,##0\)"/>
    </dxf>
    <dxf>
      <numFmt numFmtId="6" formatCode="#,##0_);[Red]\(#,##0\)"/>
    </dxf>
    <dxf>
      <numFmt numFmtId="176" formatCode="#,##0.000_);[Red]\(#,##0.000\)"/>
    </dxf>
    <dxf>
      <numFmt numFmtId="176" formatCode="#,##0.000_);[Red]\(#,##0.000\)"/>
    </dxf>
    <dxf>
      <border>
        <left/>
        <right/>
        <top/>
      </border>
    </dxf>
    <dxf>
      <border>
        <left style="medium">
          <color rgb="FFC00000"/>
        </left>
        <right style="medium">
          <color rgb="FFC00000"/>
        </right>
        <top style="medium">
          <color rgb="FFC00000"/>
        </top>
        <bottom style="medium">
          <color rgb="FFC00000"/>
        </bottom>
      </border>
    </dxf>
    <dxf>
      <font>
        <sz val="9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sz val="9"/>
      </font>
    </dxf>
    <dxf>
      <font>
        <sz val="9"/>
      </font>
    </dxf>
    <dxf>
      <fill>
        <patternFill>
          <bgColor theme="0" tint="-0.249977111117893"/>
        </patternFill>
      </fill>
    </dxf>
    <dxf>
      <alignment vertical="center" readingOrder="0"/>
    </dxf>
    <dxf>
      <alignment horizontal="center" readingOrder="0"/>
    </dxf>
    <dxf>
      <font>
        <sz val="9"/>
      </font>
    </dxf>
    <dxf>
      <font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numFmt numFmtId="6" formatCode="#,##0_);[Red]\(#,##0\)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>
          <bgColor theme="0" tint="-0.14999847407452621"/>
        </patternFill>
      </fill>
    </dxf>
    <dxf>
      <font>
        <sz val="8"/>
      </font>
    </dxf>
    <dxf>
      <font>
        <sz val="9"/>
      </font>
    </dxf>
    <dxf>
      <font>
        <sz val="9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numFmt numFmtId="1" formatCode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 val="0"/>
        <i/>
        <color theme="1" tint="0.499984740745262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/>
        <i val="0"/>
        <color rgb="FFC0000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border>
        <top style="thin">
          <color theme="8" tint="-0.499984740745262"/>
        </top>
        <bottom style="double">
          <color theme="8" tint="-0.499984740745262"/>
        </bottom>
      </border>
    </dxf>
    <dxf>
      <font>
        <b/>
        <i val="0"/>
      </font>
      <border>
        <top style="double">
          <color theme="8" tint="-0.499984740745262"/>
        </top>
        <bottom style="thin">
          <color theme="8" tint="-0.499984740745262"/>
        </bottom>
      </border>
    </dxf>
  </dxfs>
  <tableStyles count="2" defaultTableStyle="TableStyleMedium2" defaultPivotStyle="PivotStyleLight16">
    <tableStyle name="PivotTable Style 1" table="0" count="3">
      <tableStyleElement type="headerRow" dxfId="386"/>
      <tableStyleElement type="totalRow" dxfId="385"/>
      <tableStyleElement type="firstRowSubheading" dxfId="384"/>
    </tableStyle>
    <tableStyle name="Table Style 1" pivot="0" count="1">
      <tableStyleElement type="firstRowStripe" dxfId="383"/>
    </tableStyle>
  </tableStyles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592222073334114E-2"/>
          <c:y val="0.16916498849318728"/>
          <c:w val="0.76788465143026863"/>
          <c:h val="0.8308350115068190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Funding!$L$2</c:f>
              <c:strCache>
                <c:ptCount val="1"/>
                <c:pt idx="0">
                  <c:v>Secured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cat>
            <c:strRef>
              <c:f>Funding!$K$3:$K$12</c:f>
              <c:strCache>
                <c:ptCount val="10"/>
                <c:pt idx="0">
                  <c:v>Theme 1</c:v>
                </c:pt>
                <c:pt idx="1">
                  <c:v>Theme 2</c:v>
                </c:pt>
                <c:pt idx="2">
                  <c:v>Theme 3</c:v>
                </c:pt>
                <c:pt idx="3">
                  <c:v>Theme 4</c:v>
                </c:pt>
                <c:pt idx="4">
                  <c:v>Theme 5</c:v>
                </c:pt>
                <c:pt idx="5">
                  <c:v>Theme 6</c:v>
                </c:pt>
                <c:pt idx="6">
                  <c:v>Theme 7</c:v>
                </c:pt>
                <c:pt idx="7">
                  <c:v>Theme 8</c:v>
                </c:pt>
                <c:pt idx="8">
                  <c:v>Theme 9</c:v>
                </c:pt>
                <c:pt idx="9">
                  <c:v>Theme 10</c:v>
                </c:pt>
              </c:strCache>
            </c:strRef>
          </c:cat>
          <c:val>
            <c:numRef>
              <c:f>Funding!$L$3:$L$12</c:f>
              <c:numCache>
                <c:formatCode>0</c:formatCode>
                <c:ptCount val="10"/>
                <c:pt idx="0">
                  <c:v>14630.374698999982</c:v>
                </c:pt>
                <c:pt idx="1">
                  <c:v>2565.9226059999946</c:v>
                </c:pt>
                <c:pt idx="2">
                  <c:v>11484.485471999966</c:v>
                </c:pt>
                <c:pt idx="3">
                  <c:v>1170.5091769999974</c:v>
                </c:pt>
                <c:pt idx="4">
                  <c:v>2702.9825049999931</c:v>
                </c:pt>
                <c:pt idx="5">
                  <c:v>1.63696</c:v>
                </c:pt>
                <c:pt idx="6">
                  <c:v>6270.5648130000063</c:v>
                </c:pt>
                <c:pt idx="7">
                  <c:v>2989.0194479999936</c:v>
                </c:pt>
                <c:pt idx="8">
                  <c:v>234.92872500000021</c:v>
                </c:pt>
                <c:pt idx="9">
                  <c:v>3457.5378350000133</c:v>
                </c:pt>
              </c:numCache>
            </c:numRef>
          </c:val>
        </c:ser>
        <c:ser>
          <c:idx val="1"/>
          <c:order val="1"/>
          <c:tx>
            <c:strRef>
              <c:f>Funding!$M$2</c:f>
              <c:strCache>
                <c:ptCount val="1"/>
                <c:pt idx="0">
                  <c:v>Likely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strRef>
              <c:f>Funding!$K$3:$K$12</c:f>
              <c:strCache>
                <c:ptCount val="10"/>
                <c:pt idx="0">
                  <c:v>Theme 1</c:v>
                </c:pt>
                <c:pt idx="1">
                  <c:v>Theme 2</c:v>
                </c:pt>
                <c:pt idx="2">
                  <c:v>Theme 3</c:v>
                </c:pt>
                <c:pt idx="3">
                  <c:v>Theme 4</c:v>
                </c:pt>
                <c:pt idx="4">
                  <c:v>Theme 5</c:v>
                </c:pt>
                <c:pt idx="5">
                  <c:v>Theme 6</c:v>
                </c:pt>
                <c:pt idx="6">
                  <c:v>Theme 7</c:v>
                </c:pt>
                <c:pt idx="7">
                  <c:v>Theme 8</c:v>
                </c:pt>
                <c:pt idx="8">
                  <c:v>Theme 9</c:v>
                </c:pt>
                <c:pt idx="9">
                  <c:v>Theme 10</c:v>
                </c:pt>
              </c:strCache>
            </c:strRef>
          </c:cat>
          <c:val>
            <c:numRef>
              <c:f>Funding!$M$3:$M$12</c:f>
              <c:numCache>
                <c:formatCode>0</c:formatCode>
                <c:ptCount val="10"/>
                <c:pt idx="0">
                  <c:v>424.89250999999877</c:v>
                </c:pt>
                <c:pt idx="1">
                  <c:v>6782.2301079999997</c:v>
                </c:pt>
                <c:pt idx="2">
                  <c:v>62.446914</c:v>
                </c:pt>
                <c:pt idx="3">
                  <c:v>53.430187999999994</c:v>
                </c:pt>
                <c:pt idx="4">
                  <c:v>0</c:v>
                </c:pt>
                <c:pt idx="5">
                  <c:v>7051.2661540000108</c:v>
                </c:pt>
                <c:pt idx="6">
                  <c:v>201.34599600000016</c:v>
                </c:pt>
                <c:pt idx="7">
                  <c:v>173.58793400000002</c:v>
                </c:pt>
                <c:pt idx="8">
                  <c:v>34.011679000000008</c:v>
                </c:pt>
                <c:pt idx="9">
                  <c:v>1013.621038</c:v>
                </c:pt>
              </c:numCache>
            </c:numRef>
          </c:val>
        </c:ser>
        <c:ser>
          <c:idx val="2"/>
          <c:order val="2"/>
          <c:tx>
            <c:strRef>
              <c:f>Funding!$N$2</c:f>
              <c:strCache>
                <c:ptCount val="1"/>
                <c:pt idx="0">
                  <c:v>Aspirational</c:v>
                </c:pt>
              </c:strCache>
            </c:strRef>
          </c:tx>
          <c:invertIfNegative val="0"/>
          <c:cat>
            <c:strRef>
              <c:f>Funding!$K$3:$K$12</c:f>
              <c:strCache>
                <c:ptCount val="10"/>
                <c:pt idx="0">
                  <c:v>Theme 1</c:v>
                </c:pt>
                <c:pt idx="1">
                  <c:v>Theme 2</c:v>
                </c:pt>
                <c:pt idx="2">
                  <c:v>Theme 3</c:v>
                </c:pt>
                <c:pt idx="3">
                  <c:v>Theme 4</c:v>
                </c:pt>
                <c:pt idx="4">
                  <c:v>Theme 5</c:v>
                </c:pt>
                <c:pt idx="5">
                  <c:v>Theme 6</c:v>
                </c:pt>
                <c:pt idx="6">
                  <c:v>Theme 7</c:v>
                </c:pt>
                <c:pt idx="7">
                  <c:v>Theme 8</c:v>
                </c:pt>
                <c:pt idx="8">
                  <c:v>Theme 9</c:v>
                </c:pt>
                <c:pt idx="9">
                  <c:v>Theme 10</c:v>
                </c:pt>
              </c:strCache>
            </c:strRef>
          </c:cat>
          <c:val>
            <c:numRef>
              <c:f>Funding!$N$3:$N$12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6585776"/>
        <c:axId val="456586168"/>
      </c:barChart>
      <c:catAx>
        <c:axId val="45658577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crossAx val="456586168"/>
        <c:crosses val="autoZero"/>
        <c:auto val="1"/>
        <c:lblAlgn val="ctr"/>
        <c:lblOffset val="50"/>
        <c:noMultiLvlLbl val="0"/>
      </c:catAx>
      <c:valAx>
        <c:axId val="456586168"/>
        <c:scaling>
          <c:orientation val="minMax"/>
        </c:scaling>
        <c:delete val="0"/>
        <c:axPos val="t"/>
        <c:majorGridlines/>
        <c:numFmt formatCode="0" sourceLinked="1"/>
        <c:majorTickMark val="out"/>
        <c:minorTickMark val="none"/>
        <c:tickLblPos val="nextTo"/>
        <c:crossAx val="4565857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522" l="0.70000000000000062" r="0.70000000000000062" t="0.7500000000000052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593877137566543"/>
          <c:y val="3.6198801879766596E-2"/>
          <c:w val="0.7520182380452809"/>
          <c:h val="0.746155603760758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Funding!$D$2</c:f>
              <c:strCache>
                <c:ptCount val="1"/>
                <c:pt idx="0">
                  <c:v>Secured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cat>
            <c:strRef>
              <c:f>Funding!$B$3:$B$7</c:f>
              <c:strCache>
                <c:ptCount val="5"/>
                <c:pt idx="0">
                  <c:v>CAP</c:v>
                </c:pt>
                <c:pt idx="1">
                  <c:v>1st   (Apr)</c:v>
                </c:pt>
                <c:pt idx="2">
                  <c:v>2nd (July)</c:v>
                </c:pt>
                <c:pt idx="3">
                  <c:v>3rd   (NA)</c:v>
                </c:pt>
                <c:pt idx="4">
                  <c:v>CAR</c:v>
                </c:pt>
              </c:strCache>
            </c:strRef>
          </c:cat>
          <c:val>
            <c:numRef>
              <c:f>Funding!$D$3:$D$7</c:f>
              <c:numCache>
                <c:formatCode>0</c:formatCode>
                <c:ptCount val="5"/>
                <c:pt idx="0">
                  <c:v>26591.292000000001</c:v>
                </c:pt>
                <c:pt idx="1">
                  <c:v>45507.96223999995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Funding!$E$2</c:f>
              <c:strCache>
                <c:ptCount val="1"/>
                <c:pt idx="0">
                  <c:v>Likely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strRef>
              <c:f>Funding!$B$3:$B$7</c:f>
              <c:strCache>
                <c:ptCount val="5"/>
                <c:pt idx="0">
                  <c:v>CAP</c:v>
                </c:pt>
                <c:pt idx="1">
                  <c:v>1st   (Apr)</c:v>
                </c:pt>
                <c:pt idx="2">
                  <c:v>2nd (July)</c:v>
                </c:pt>
                <c:pt idx="3">
                  <c:v>3rd   (NA)</c:v>
                </c:pt>
                <c:pt idx="4">
                  <c:v>CAR</c:v>
                </c:pt>
              </c:strCache>
            </c:strRef>
          </c:cat>
          <c:val>
            <c:numRef>
              <c:f>Funding!$E$3:$E$7</c:f>
              <c:numCache>
                <c:formatCode>0</c:formatCode>
                <c:ptCount val="5"/>
                <c:pt idx="0">
                  <c:v>23889.303</c:v>
                </c:pt>
                <c:pt idx="1">
                  <c:v>15796.832521000009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bg1">
                <a:lumMod val="85000"/>
              </a:schemeClr>
            </a:solidFill>
          </c:spPr>
          <c:invertIfNegative val="0"/>
          <c:cat>
            <c:strRef>
              <c:f>Funding!$B$3:$B$7</c:f>
              <c:strCache>
                <c:ptCount val="5"/>
                <c:pt idx="0">
                  <c:v>CAP</c:v>
                </c:pt>
                <c:pt idx="1">
                  <c:v>1st   (Apr)</c:v>
                </c:pt>
                <c:pt idx="2">
                  <c:v>2nd (July)</c:v>
                </c:pt>
                <c:pt idx="3">
                  <c:v>3rd   (NA)</c:v>
                </c:pt>
                <c:pt idx="4">
                  <c:v>CAR</c:v>
                </c:pt>
              </c:strCache>
            </c:strRef>
          </c:cat>
          <c:val>
            <c:numRef>
              <c:f>Funding!$F$3:$F$7</c:f>
              <c:numCache>
                <c:formatCode>0</c:formatCode>
                <c:ptCount val="5"/>
                <c:pt idx="0">
                  <c:v>2372.2150000000001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6586952"/>
        <c:axId val="456588520"/>
      </c:barChart>
      <c:catAx>
        <c:axId val="456586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 b="0"/>
            </a:pPr>
            <a:endParaRPr lang="en-US"/>
          </a:p>
        </c:txPr>
        <c:crossAx val="456588520"/>
        <c:crosses val="autoZero"/>
        <c:auto val="1"/>
        <c:lblAlgn val="ctr"/>
        <c:lblOffset val="100"/>
        <c:noMultiLvlLbl val="0"/>
      </c:catAx>
      <c:valAx>
        <c:axId val="4565885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5658695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9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3606038606944"/>
          <c:y val="5.1400425852819134E-2"/>
          <c:w val="0.87902843394576302"/>
          <c:h val="0.808099049094277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Expense!$C$6</c:f>
              <c:strCache>
                <c:ptCount val="1"/>
                <c:pt idx="0">
                  <c:v>Actuals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Expense!$D$6:$O$6</c:f>
              <c:numCache>
                <c:formatCode>0</c:formatCode>
                <c:ptCount val="12"/>
                <c:pt idx="0">
                  <c:v>2277.9741200000003</c:v>
                </c:pt>
                <c:pt idx="1">
                  <c:v>2970.3389700000002</c:v>
                </c:pt>
                <c:pt idx="2">
                  <c:v>3033.5498100000009</c:v>
                </c:pt>
                <c:pt idx="3">
                  <c:v>5394.9108799999967</c:v>
                </c:pt>
                <c:pt idx="4">
                  <c:v>3583.4246199999975</c:v>
                </c:pt>
                <c:pt idx="5">
                  <c:v>6468.9116499999991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603416"/>
        <c:axId val="456600280"/>
      </c:barChart>
      <c:lineChart>
        <c:grouping val="standard"/>
        <c:varyColors val="0"/>
        <c:ser>
          <c:idx val="0"/>
          <c:order val="0"/>
          <c:tx>
            <c:strRef>
              <c:f>Expense!$C$5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</c:spPr>
          </c:marke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Expense!$D$5:$O$5</c:f>
              <c:numCache>
                <c:formatCode>0</c:formatCode>
                <c:ptCount val="12"/>
                <c:pt idx="0">
                  <c:v>2568.0572870000001</c:v>
                </c:pt>
                <c:pt idx="1">
                  <c:v>3286.3479410000009</c:v>
                </c:pt>
                <c:pt idx="2">
                  <c:v>3416.4752959999996</c:v>
                </c:pt>
                <c:pt idx="3">
                  <c:v>7542.1027539999995</c:v>
                </c:pt>
                <c:pt idx="4">
                  <c:v>4555.0590999999995</c:v>
                </c:pt>
                <c:pt idx="5">
                  <c:v>5753.2846699999991</c:v>
                </c:pt>
                <c:pt idx="6">
                  <c:v>5569.9678969999995</c:v>
                </c:pt>
                <c:pt idx="7">
                  <c:v>3709.9379799999997</c:v>
                </c:pt>
                <c:pt idx="8">
                  <c:v>5378.8337000000001</c:v>
                </c:pt>
                <c:pt idx="9">
                  <c:v>4967.493112000001</c:v>
                </c:pt>
                <c:pt idx="10">
                  <c:v>3219.396612</c:v>
                </c:pt>
                <c:pt idx="11">
                  <c:v>6014.1784700000007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603416"/>
        <c:axId val="456600280"/>
      </c:lineChart>
      <c:catAx>
        <c:axId val="4566034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56600280"/>
        <c:crosses val="autoZero"/>
        <c:auto val="1"/>
        <c:lblAlgn val="ctr"/>
        <c:lblOffset val="100"/>
        <c:noMultiLvlLbl val="0"/>
      </c:catAx>
      <c:valAx>
        <c:axId val="45660028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45660341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68075701063713E-2"/>
          <c:y val="0.16293758402150951"/>
          <c:w val="0.82804889056470399"/>
          <c:h val="0.810457637026266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Expense!$AB$15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invertIfNegative val="0"/>
          <c:val>
            <c:numRef>
              <c:f>Expense!$AB$16:$AB$25</c:f>
              <c:numCache>
                <c:formatCode>0</c:formatCode>
                <c:ptCount val="10"/>
                <c:pt idx="0">
                  <c:v>5754.3643219999994</c:v>
                </c:pt>
                <c:pt idx="1">
                  <c:v>3819.3158290000006</c:v>
                </c:pt>
                <c:pt idx="2">
                  <c:v>5795.8230860000003</c:v>
                </c:pt>
                <c:pt idx="3">
                  <c:v>528.55988400000001</c:v>
                </c:pt>
                <c:pt idx="4">
                  <c:v>1107.6123420000001</c:v>
                </c:pt>
                <c:pt idx="5">
                  <c:v>2770.2710770000003</c:v>
                </c:pt>
                <c:pt idx="6">
                  <c:v>3055.0066429999993</c:v>
                </c:pt>
                <c:pt idx="7">
                  <c:v>1940.7565439999996</c:v>
                </c:pt>
                <c:pt idx="8">
                  <c:v>212.04436099999992</c:v>
                </c:pt>
                <c:pt idx="9">
                  <c:v>2137.5729600000004</c:v>
                </c:pt>
              </c:numCache>
            </c:numRef>
          </c:val>
        </c:ser>
        <c:ser>
          <c:idx val="1"/>
          <c:order val="1"/>
          <c:tx>
            <c:strRef>
              <c:f>Expense!$AC$15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invertIfNegative val="0"/>
          <c:val>
            <c:numRef>
              <c:f>Expense!$AC$16:$AC$25</c:f>
              <c:numCache>
                <c:formatCode>0</c:formatCode>
                <c:ptCount val="10"/>
                <c:pt idx="0">
                  <c:v>5256.423929999999</c:v>
                </c:pt>
                <c:pt idx="1">
                  <c:v>1679.7570300000002</c:v>
                </c:pt>
                <c:pt idx="2">
                  <c:v>4620.4859299999989</c:v>
                </c:pt>
                <c:pt idx="3">
                  <c:v>495.67224000000004</c:v>
                </c:pt>
                <c:pt idx="4">
                  <c:v>1007.0367499999998</c:v>
                </c:pt>
                <c:pt idx="5">
                  <c:v>3059.5304700000002</c:v>
                </c:pt>
                <c:pt idx="6">
                  <c:v>3061.9361700000004</c:v>
                </c:pt>
                <c:pt idx="7">
                  <c:v>2592.1317999999987</c:v>
                </c:pt>
                <c:pt idx="8">
                  <c:v>182.50205999999997</c:v>
                </c:pt>
                <c:pt idx="9">
                  <c:v>1773.6336699999993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75"/>
        <c:axId val="456597928"/>
        <c:axId val="456600672"/>
      </c:barChart>
      <c:catAx>
        <c:axId val="456597928"/>
        <c:scaling>
          <c:orientation val="maxMin"/>
        </c:scaling>
        <c:delete val="1"/>
        <c:axPos val="l"/>
        <c:majorTickMark val="out"/>
        <c:minorTickMark val="none"/>
        <c:tickLblPos val="none"/>
        <c:crossAx val="456600672"/>
        <c:crosses val="autoZero"/>
        <c:auto val="1"/>
        <c:lblAlgn val="ctr"/>
        <c:lblOffset val="100"/>
        <c:noMultiLvlLbl val="0"/>
      </c:catAx>
      <c:valAx>
        <c:axId val="456600672"/>
        <c:scaling>
          <c:orientation val="minMax"/>
        </c:scaling>
        <c:delete val="0"/>
        <c:axPos val="t"/>
        <c:majorGridlines/>
        <c:numFmt formatCode="0" sourceLinked="1"/>
        <c:majorTickMark val="out"/>
        <c:minorTickMark val="none"/>
        <c:tickLblPos val="nextTo"/>
        <c:crossAx val="4565979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433263305141832E-2"/>
          <c:y val="0.35703692378258772"/>
          <c:w val="0.78889697648997803"/>
          <c:h val="0.53624544504752469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C00000"/>
            </a:solidFill>
          </c:spPr>
          <c:invertIfNegative val="0"/>
          <c:cat>
            <c:strRef>
              <c:f>'SOF Details'!$AQ$6:$AQ$7</c:f>
              <c:strCache>
                <c:ptCount val="2"/>
                <c:pt idx="0">
                  <c:v>Today</c:v>
                </c:pt>
                <c:pt idx="1">
                  <c:v>%Spent</c:v>
                </c:pt>
              </c:strCache>
            </c:strRef>
          </c:cat>
          <c:val>
            <c:numRef>
              <c:f>'SOF Details'!$AR$6:$AR$7</c:f>
              <c:numCache>
                <c:formatCode>0%</c:formatCode>
                <c:ptCount val="2"/>
                <c:pt idx="0">
                  <c:v>1.5321944809461234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Tw Cen MT Condensed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'SOF Details'!$AQ$6:$AQ$7</c:f>
              <c:strCache>
                <c:ptCount val="2"/>
                <c:pt idx="0">
                  <c:v>Today</c:v>
                </c:pt>
                <c:pt idx="1">
                  <c:v>%Spent</c:v>
                </c:pt>
              </c:strCache>
            </c:strRef>
          </c:cat>
          <c:val>
            <c:numRef>
              <c:f>'SOF Details'!$AS$6:$AS$7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56604200"/>
        <c:axId val="456601456"/>
      </c:barChart>
      <c:catAx>
        <c:axId val="45660420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one"/>
        <c:crossAx val="456601456"/>
        <c:crosses val="autoZero"/>
        <c:auto val="1"/>
        <c:lblAlgn val="ctr"/>
        <c:lblOffset val="100"/>
        <c:noMultiLvlLbl val="0"/>
      </c:catAx>
      <c:valAx>
        <c:axId val="456601456"/>
        <c:scaling>
          <c:orientation val="minMax"/>
          <c:max val="1"/>
          <c:min val="0"/>
        </c:scaling>
        <c:delete val="0"/>
        <c:axPos val="t"/>
        <c:majorGridlines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6604200"/>
        <c:crosses val="autoZero"/>
        <c:crossBetween val="between"/>
        <c:majorUnit val="0.25"/>
      </c:valAx>
    </c:plotArea>
    <c:plotVisOnly val="0"/>
    <c:dispBlanksAs val="gap"/>
    <c:showDLblsOverMax val="0"/>
  </c:chart>
  <c:spPr>
    <a:noFill/>
    <a:ln>
      <a:noFill/>
    </a:ln>
  </c:sp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3606038606944"/>
          <c:y val="5.1400425852819134E-2"/>
          <c:w val="0.8203001737458876"/>
          <c:h val="0.754765587634888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SOFList!$C$8</c:f>
              <c:strCache>
                <c:ptCount val="1"/>
                <c:pt idx="0">
                  <c:v>Actuals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SOFList!$D$8:$O$8</c:f>
              <c:numCache>
                <c:formatCode>0</c:formatCode>
                <c:ptCount val="12"/>
                <c:pt idx="0">
                  <c:v>18.663329999999998</c:v>
                </c:pt>
                <c:pt idx="1">
                  <c:v>231.81171999999995</c:v>
                </c:pt>
                <c:pt idx="2">
                  <c:v>197.74703999999997</c:v>
                </c:pt>
                <c:pt idx="3">
                  <c:v>188.13629999999998</c:v>
                </c:pt>
                <c:pt idx="4">
                  <c:v>148.80026000000004</c:v>
                </c:pt>
                <c:pt idx="5">
                  <c:v>89.118040000000008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598320"/>
        <c:axId val="456596752"/>
      </c:barChart>
      <c:lineChart>
        <c:grouping val="standard"/>
        <c:varyColors val="0"/>
        <c:ser>
          <c:idx val="0"/>
          <c:order val="0"/>
          <c:tx>
            <c:strRef>
              <c:f>SOFList!$C$7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</c:spPr>
          </c:marke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SOFList!$D$7:$O$7</c:f>
              <c:numCache>
                <c:formatCode>0</c:formatCode>
                <c:ptCount val="12"/>
                <c:pt idx="0">
                  <c:v>118.193066</c:v>
                </c:pt>
                <c:pt idx="1">
                  <c:v>411.70257400000008</c:v>
                </c:pt>
                <c:pt idx="2">
                  <c:v>385.03125300000005</c:v>
                </c:pt>
                <c:pt idx="3">
                  <c:v>481.73154799999992</c:v>
                </c:pt>
                <c:pt idx="4">
                  <c:v>415.56320800000003</c:v>
                </c:pt>
                <c:pt idx="5">
                  <c:v>293.59524800000003</c:v>
                </c:pt>
                <c:pt idx="6">
                  <c:v>267.00289799999996</c:v>
                </c:pt>
                <c:pt idx="7">
                  <c:v>281.95899800000001</c:v>
                </c:pt>
                <c:pt idx="8">
                  <c:v>270.57959299999999</c:v>
                </c:pt>
                <c:pt idx="9">
                  <c:v>273.42974800000002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98320"/>
        <c:axId val="456596752"/>
      </c:lineChart>
      <c:catAx>
        <c:axId val="456598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>
                <a:latin typeface="+mn-lt"/>
                <a:cs typeface="Arial" pitchFamily="34" charset="0"/>
              </a:defRPr>
            </a:pPr>
            <a:endParaRPr lang="en-US"/>
          </a:p>
        </c:txPr>
        <c:crossAx val="456596752"/>
        <c:crosses val="autoZero"/>
        <c:auto val="1"/>
        <c:lblAlgn val="ctr"/>
        <c:lblOffset val="100"/>
        <c:tickLblSkip val="1"/>
        <c:noMultiLvlLbl val="0"/>
      </c:catAx>
      <c:valAx>
        <c:axId val="45659675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4565983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3606038606944"/>
          <c:y val="5.1400425852819134E-2"/>
          <c:w val="0.8203001737458876"/>
          <c:h val="0.7321543363229329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STProjectbyMonth!$C$7</c:f>
              <c:strCache>
                <c:ptCount val="1"/>
                <c:pt idx="0">
                  <c:v>Actuals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STProjectbyMonth!$D$7:$O$7</c:f>
              <c:numCache>
                <c:formatCode>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605768"/>
        <c:axId val="456595184"/>
      </c:barChart>
      <c:lineChart>
        <c:grouping val="standard"/>
        <c:varyColors val="0"/>
        <c:ser>
          <c:idx val="0"/>
          <c:order val="0"/>
          <c:tx>
            <c:strRef>
              <c:f>STProjectbyMonth!$C$6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</c:spPr>
          </c:marker>
          <c:cat>
            <c:strRef>
              <c:f>Expense!$D$4:$O$4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STProjectbyMonth!$D$6:$O$6</c:f>
              <c:numCache>
                <c:formatCode>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605768"/>
        <c:axId val="456595184"/>
      </c:lineChart>
      <c:catAx>
        <c:axId val="456605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>
                <a:latin typeface="+mn-lt"/>
                <a:cs typeface="Arial" pitchFamily="34" charset="0"/>
              </a:defRPr>
            </a:pPr>
            <a:endParaRPr lang="en-US"/>
          </a:p>
        </c:txPr>
        <c:crossAx val="456595184"/>
        <c:crosses val="autoZero"/>
        <c:auto val="1"/>
        <c:lblAlgn val="ctr"/>
        <c:lblOffset val="100"/>
        <c:tickLblSkip val="1"/>
        <c:noMultiLvlLbl val="0"/>
      </c:catAx>
      <c:valAx>
        <c:axId val="45659518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crossAx val="456605768"/>
        <c:crosses val="autoZero"/>
        <c:crossBetween val="between"/>
      </c:valAx>
    </c:plotArea>
    <c:plotVisOnly val="0"/>
    <c:dispBlanksAs val="gap"/>
    <c:showDLblsOverMax val="0"/>
  </c:chart>
  <c:spPr>
    <a:noFill/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Non-thematic breakdown</a:t>
            </a:r>
          </a:p>
        </c:rich>
      </c:tx>
      <c:layout>
        <c:manualLayout>
          <c:xMode val="edge"/>
          <c:yMode val="edge"/>
          <c:x val="8.3618762925048492E-3"/>
          <c:y val="3.6335898812238452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4273734075923705E-3"/>
          <c:y val="9.7957437534557275E-3"/>
          <c:w val="0.98642997302961732"/>
          <c:h val="0.97057111838467935"/>
        </c:manualLayout>
      </c:layout>
      <c:ofPieChart>
        <c:ofPieType val="pie"/>
        <c:varyColors val="1"/>
        <c:ser>
          <c:idx val="0"/>
          <c:order val="0"/>
          <c:explosion val="8"/>
          <c:dLbls>
            <c:dLbl>
              <c:idx val="9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layout/>
              <c:numFmt formatCode="0.0%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Non-thematic
9%</a:t>
                    </a:r>
                  </a:p>
                </c:rich>
              </c:tx>
              <c:numFmt formatCode="0.00%" sourceLinked="0"/>
              <c:spPr/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'Project Details'!$AT$27:$AT$47</c:f>
              <c:strCache>
                <c:ptCount val="21"/>
                <c:pt idx="0">
                  <c:v>Education</c:v>
                </c:pt>
                <c:pt idx="1">
                  <c:v>Health</c:v>
                </c:pt>
                <c:pt idx="2">
                  <c:v>Nutrition</c:v>
                </c:pt>
                <c:pt idx="3">
                  <c:v>Child rights governance</c:v>
                </c:pt>
                <c:pt idx="4">
                  <c:v>Child Protection</c:v>
                </c:pt>
                <c:pt idx="5">
                  <c:v>HIV / AIDS</c:v>
                </c:pt>
                <c:pt idx="6">
                  <c:v>Livelihoods</c:v>
                </c:pt>
                <c:pt idx="7">
                  <c:v>Emergencies</c:v>
                </c:pt>
                <c:pt idx="8">
                  <c:v>Cross-thematic</c:v>
                </c:pt>
                <c:pt idx="9">
                  <c:v>Administration</c:v>
                </c:pt>
                <c:pt idx="10">
                  <c:v>Country Management</c:v>
                </c:pt>
                <c:pt idx="11">
                  <c:v>Finance</c:v>
                </c:pt>
                <c:pt idx="12">
                  <c:v>Grant Management</c:v>
                </c:pt>
                <c:pt idx="13">
                  <c:v>Human Resource Management</c:v>
                </c:pt>
                <c:pt idx="14">
                  <c:v>Information Systems</c:v>
                </c:pt>
                <c:pt idx="15">
                  <c:v>Legal and Compliance</c:v>
                </c:pt>
                <c:pt idx="16">
                  <c:v>Logistics</c:v>
                </c:pt>
                <c:pt idx="17">
                  <c:v>Member Service and Media</c:v>
                </c:pt>
                <c:pt idx="18">
                  <c:v>Non-programmatic</c:v>
                </c:pt>
                <c:pt idx="19">
                  <c:v>Partner Management</c:v>
                </c:pt>
                <c:pt idx="20">
                  <c:v>Safety &amp; Security</c:v>
                </c:pt>
              </c:strCache>
            </c:strRef>
          </c:cat>
          <c:val>
            <c:numRef>
              <c:f>'Project Details'!$AU$27:$AU$47</c:f>
              <c:numCache>
                <c:formatCode>0.0</c:formatCode>
                <c:ptCount val="21"/>
                <c:pt idx="0">
                  <c:v>5256.423929999999</c:v>
                </c:pt>
                <c:pt idx="1">
                  <c:v>1679.7570300000002</c:v>
                </c:pt>
                <c:pt idx="2">
                  <c:v>4620.4859299999989</c:v>
                </c:pt>
                <c:pt idx="3">
                  <c:v>495.67224000000004</c:v>
                </c:pt>
                <c:pt idx="4">
                  <c:v>1007.0367499999998</c:v>
                </c:pt>
                <c:pt idx="5">
                  <c:v>3059.5304700000002</c:v>
                </c:pt>
                <c:pt idx="6">
                  <c:v>3061.9361700000004</c:v>
                </c:pt>
                <c:pt idx="7">
                  <c:v>2592.1317999999987</c:v>
                </c:pt>
                <c:pt idx="8">
                  <c:v>182.50205999999997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98"/>
        <c:splitType val="pos"/>
        <c:splitPos val="12"/>
        <c:secondPieSize val="103"/>
        <c:serLines/>
      </c:ofPieChart>
    </c:plotArea>
    <c:plotVisOnly val="0"/>
    <c:dispBlanksAs val="zero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Selections!$E$30" lockText="1"/>
</file>

<file path=xl/ctrlProps/ctrlProp5.xml><?xml version="1.0" encoding="utf-8"?>
<formControlPr xmlns="http://schemas.microsoft.com/office/spreadsheetml/2009/9/main" objectType="Scroll" dx="16" fmlaLink="SOFend3Mon!$B$1" max="25" min="1" page="7"/>
</file>

<file path=xl/ctrlProps/ctrlProp6.xml><?xml version="1.0" encoding="utf-8"?>
<formControlPr xmlns="http://schemas.microsoft.com/office/spreadsheetml/2009/9/main" objectType="CheckBox" checked="Checked" fmlaLink="Selections!$E$9" lockText="1" noThreeD="1"/>
</file>

<file path=xl/ctrlProps/ctrlProp7.xml><?xml version="1.0" encoding="utf-8"?>
<formControlPr xmlns="http://schemas.microsoft.com/office/spreadsheetml/2009/9/main" objectType="CheckBox" checked="Checked" fmlaLink="Selections!$E$10" lockText="1" noThreeD="1"/>
</file>

<file path=xl/ctrlProps/ctrlProp8.xml><?xml version="1.0" encoding="utf-8"?>
<formControlPr xmlns="http://schemas.microsoft.com/office/spreadsheetml/2009/9/main" objectType="CheckBox" checked="Checked" fmlaLink="Selections!$E$11" lockText="1" noThreeD="1"/>
</file>

<file path=xl/ctrlProps/ctrlProp9.xml><?xml version="1.0" encoding="utf-8"?>
<formControlPr xmlns="http://schemas.microsoft.com/office/spreadsheetml/2009/9/main" objectType="CheckBox" checked="Checked" fmlaLink="Selections!$E$12" lockText="1" noThreeD="1"/>
</file>

<file path=xl/ctrlProps/ctrlProp10.xml><?xml version="1.0" encoding="utf-8"?>
<formControlPr xmlns="http://schemas.microsoft.com/office/spreadsheetml/2009/9/main" objectType="CheckBox" checked="Checked" fmlaLink="Selections!$E$13" lockText="1" noThreeD="1"/>
</file>

<file path=xl/ctrlProps/ctrlProp11.xml><?xml version="1.0" encoding="utf-8"?>
<formControlPr xmlns="http://schemas.microsoft.com/office/spreadsheetml/2009/9/main" objectType="CheckBox" checked="Checked" fmlaLink="Selections!$E$14" lockText="1" noThreeD="1"/>
</file>

<file path=xl/ctrlProps/ctrlProp12.xml><?xml version="1.0" encoding="utf-8"?>
<formControlPr xmlns="http://schemas.microsoft.com/office/spreadsheetml/2009/9/main" objectType="CheckBox" fmlaLink="Selections!$E$15" lockText="1" noThreeD="1"/>
</file>

<file path=xl/ctrlProps/ctrlProp13.xml><?xml version="1.0" encoding="utf-8"?>
<formControlPr xmlns="http://schemas.microsoft.com/office/spreadsheetml/2009/9/main" objectType="CheckBox" fmlaLink="Selections!$E$16" lockText="1" noThreeD="1"/>
</file>

<file path=xl/ctrlProps/ctrlProp14.xml><?xml version="1.0" encoding="utf-8"?>
<formControlPr xmlns="http://schemas.microsoft.com/office/spreadsheetml/2009/9/main" objectType="CheckBox" fmlaLink="Selections!$E$17" lockText="1" noThreeD="1"/>
</file>

<file path=xl/ctrlProps/ctrlProp15.xml><?xml version="1.0" encoding="utf-8"?>
<formControlPr xmlns="http://schemas.microsoft.com/office/spreadsheetml/2009/9/main" objectType="CheckBox" fmlaLink="Selections!$E$18" lockText="1" noThreeD="1"/>
</file>

<file path=xl/ctrlProps/ctrlProp16.xml><?xml version="1.0" encoding="utf-8"?>
<formControlPr xmlns="http://schemas.microsoft.com/office/spreadsheetml/2009/9/main" objectType="CheckBox" fmlaLink="Selections!$E$19" lockText="1" noThreeD="1"/>
</file>

<file path=xl/ctrlProps/ctrlProp17.xml><?xml version="1.0" encoding="utf-8"?>
<formControlPr xmlns="http://schemas.microsoft.com/office/spreadsheetml/2009/9/main" objectType="CheckBox" fmlaLink="Selections!$E$20" lockText="1" noThreeD="1"/>
</file>

<file path=xl/ctrlProps/ctrlProp18.xml><?xml version="1.0" encoding="utf-8"?>
<formControlPr xmlns="http://schemas.microsoft.com/office/spreadsheetml/2009/9/main" objectType="Drop" dropLines="3" dropStyle="combo" dx="15" fmlaLink="Selections!$E$28" fmlaRange="$AL$3:$AL$5" noThreeD="1" sel="2" val="0"/>
</file>

<file path=xl/ctrlProps/ctrlProp19.xml><?xml version="1.0" encoding="utf-8"?>
<formControlPr xmlns="http://schemas.microsoft.com/office/spreadsheetml/2009/9/main" objectType="Drop" dropLines="2" dropStyle="combo" dx="15" fmlaLink="Selections!$E$31" fmlaRange="'At-a-glance'!$AN$4:$AN$5" noThreeD="1" sel="2" val="0"/>
</file>

<file path=xl/ctrlProps/ctrlProp20.xml><?xml version="1.0" encoding="utf-8"?>
<formControlPr xmlns="http://schemas.microsoft.com/office/spreadsheetml/2009/9/main" objectType="Scroll" dx="15" fmlaLink="SOFList!$B$1" max="150" min="1" page="29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Lines="3" dropStyle="combo" dx="15" fmlaLink="Selections!$E$32" fmlaRange="$AQ$12:$AQ$14" noThreeD="1" sel="1" val="0"/>
</file>

<file path=xl/ctrlProps/ctrlProp23.xml><?xml version="1.0" encoding="utf-8"?>
<formControlPr xmlns="http://schemas.microsoft.com/office/spreadsheetml/2009/9/main" objectType="CheckBox" fmlaLink="Selections!$E$30" lockText="1"/>
</file>

<file path=xl/ctrlProps/ctrlProp24.xml><?xml version="1.0" encoding="utf-8"?>
<formControlPr xmlns="http://schemas.microsoft.com/office/spreadsheetml/2009/9/main" objectType="CheckBox" checked="Checked" fmlaLink="Selections!$E$9" lockText="1" noThreeD="1"/>
</file>

<file path=xl/ctrlProps/ctrlProp25.xml><?xml version="1.0" encoding="utf-8"?>
<formControlPr xmlns="http://schemas.microsoft.com/office/spreadsheetml/2009/9/main" objectType="CheckBox" checked="Checked" fmlaLink="Selections!$E$10" lockText="1" noThreeD="1"/>
</file>

<file path=xl/ctrlProps/ctrlProp26.xml><?xml version="1.0" encoding="utf-8"?>
<formControlPr xmlns="http://schemas.microsoft.com/office/spreadsheetml/2009/9/main" objectType="CheckBox" checked="Checked" fmlaLink="Selections!$E$11" lockText="1" noThreeD="1"/>
</file>

<file path=xl/ctrlProps/ctrlProp27.xml><?xml version="1.0" encoding="utf-8"?>
<formControlPr xmlns="http://schemas.microsoft.com/office/spreadsheetml/2009/9/main" objectType="CheckBox" checked="Checked" fmlaLink="Selections!$E$12" lockText="1" noThreeD="1"/>
</file>

<file path=xl/ctrlProps/ctrlProp28.xml><?xml version="1.0" encoding="utf-8"?>
<formControlPr xmlns="http://schemas.microsoft.com/office/spreadsheetml/2009/9/main" objectType="CheckBox" checked="Checked" fmlaLink="Selections!$E$13" lockText="1" noThreeD="1"/>
</file>

<file path=xl/ctrlProps/ctrlProp29.xml><?xml version="1.0" encoding="utf-8"?>
<formControlPr xmlns="http://schemas.microsoft.com/office/spreadsheetml/2009/9/main" objectType="CheckBox" checked="Checked" fmlaLink="Selections!$E$14" lockText="1" noThreeD="1"/>
</file>

<file path=xl/ctrlProps/ctrlProp30.xml><?xml version="1.0" encoding="utf-8"?>
<formControlPr xmlns="http://schemas.microsoft.com/office/spreadsheetml/2009/9/main" objectType="CheckBox" fmlaLink="Selections!$E$15" lockText="1" noThreeD="1"/>
</file>

<file path=xl/ctrlProps/ctrlProp31.xml><?xml version="1.0" encoding="utf-8"?>
<formControlPr xmlns="http://schemas.microsoft.com/office/spreadsheetml/2009/9/main" objectType="CheckBox" fmlaLink="Selections!$E$16" lockText="1" noThreeD="1"/>
</file>

<file path=xl/ctrlProps/ctrlProp32.xml><?xml version="1.0" encoding="utf-8"?>
<formControlPr xmlns="http://schemas.microsoft.com/office/spreadsheetml/2009/9/main" objectType="CheckBox" fmlaLink="Selections!$E$17" lockText="1" noThreeD="1"/>
</file>

<file path=xl/ctrlProps/ctrlProp33.xml><?xml version="1.0" encoding="utf-8"?>
<formControlPr xmlns="http://schemas.microsoft.com/office/spreadsheetml/2009/9/main" objectType="CheckBox" fmlaLink="Selections!$E$18" lockText="1" noThreeD="1"/>
</file>

<file path=xl/ctrlProps/ctrlProp34.xml><?xml version="1.0" encoding="utf-8"?>
<formControlPr xmlns="http://schemas.microsoft.com/office/spreadsheetml/2009/9/main" objectType="CheckBox" fmlaLink="Selections!$E$19" lockText="1" noThreeD="1"/>
</file>

<file path=xl/ctrlProps/ctrlProp35.xml><?xml version="1.0" encoding="utf-8"?>
<formControlPr xmlns="http://schemas.microsoft.com/office/spreadsheetml/2009/9/main" objectType="CheckBox" fmlaLink="Selections!$E$20" lockText="1" noThreeD="1"/>
</file>

<file path=xl/ctrlProps/ctrlProp36.xml><?xml version="1.0" encoding="utf-8"?>
<formControlPr xmlns="http://schemas.microsoft.com/office/spreadsheetml/2009/9/main" objectType="Drop" dropLines="3" dropStyle="combo" dx="15" fmlaLink="Selections!$E$28" fmlaRange="'At-a-glance'!$AL$3:$AL$5" noThreeD="1" sel="2" val="0"/>
</file>

<file path=xl/ctrlProps/ctrlProp37.xml><?xml version="1.0" encoding="utf-8"?>
<formControlPr xmlns="http://schemas.microsoft.com/office/spreadsheetml/2009/9/main" objectType="Scroll" dx="15" fmlaLink="STProjectList!$B$1" max="250" min="1" page="29"/>
</file>

<file path=xl/ctrlProps/ctrlProp38.xml><?xml version="1.0" encoding="utf-8"?>
<formControlPr xmlns="http://schemas.microsoft.com/office/spreadsheetml/2009/9/main" objectType="CheckBox" fmlaLink="Selections!$E$30" lockText="1"/>
</file>

<file path=xl/ctrlProps/ctrlProp39.xml><?xml version="1.0" encoding="utf-8"?>
<formControlPr xmlns="http://schemas.microsoft.com/office/spreadsheetml/2009/9/main" objectType="Scroll" dx="15" fmlaLink="STProjectbySOF!$B$1" max="100" min="1" page="19"/>
</file>

<file path=xl/ctrlProps/ctrlProp40.xml><?xml version="1.0" encoding="utf-8"?>
<formControlPr xmlns="http://schemas.microsoft.com/office/spreadsheetml/2009/9/main" objectType="CheckBox" checked="Checked" fmlaLink="Selections!$E$9" lockText="1" noThreeD="1"/>
</file>

<file path=xl/ctrlProps/ctrlProp41.xml><?xml version="1.0" encoding="utf-8"?>
<formControlPr xmlns="http://schemas.microsoft.com/office/spreadsheetml/2009/9/main" objectType="CheckBox" checked="Checked" fmlaLink="Selections!$E$10" lockText="1" noThreeD="1"/>
</file>

<file path=xl/ctrlProps/ctrlProp42.xml><?xml version="1.0" encoding="utf-8"?>
<formControlPr xmlns="http://schemas.microsoft.com/office/spreadsheetml/2009/9/main" objectType="CheckBox" checked="Checked" fmlaLink="Selections!$E$11" lockText="1" noThreeD="1"/>
</file>

<file path=xl/ctrlProps/ctrlProp43.xml><?xml version="1.0" encoding="utf-8"?>
<formControlPr xmlns="http://schemas.microsoft.com/office/spreadsheetml/2009/9/main" objectType="CheckBox" checked="Checked" fmlaLink="Selections!$E$12" lockText="1" noThreeD="1"/>
</file>

<file path=xl/ctrlProps/ctrlProp44.xml><?xml version="1.0" encoding="utf-8"?>
<formControlPr xmlns="http://schemas.microsoft.com/office/spreadsheetml/2009/9/main" objectType="CheckBox" checked="Checked" fmlaLink="Selections!$E$13" lockText="1" noThreeD="1"/>
</file>

<file path=xl/ctrlProps/ctrlProp45.xml><?xml version="1.0" encoding="utf-8"?>
<formControlPr xmlns="http://schemas.microsoft.com/office/spreadsheetml/2009/9/main" objectType="CheckBox" checked="Checked" fmlaLink="Selections!$E$14" lockText="1" noThreeD="1"/>
</file>

<file path=xl/ctrlProps/ctrlProp46.xml><?xml version="1.0" encoding="utf-8"?>
<formControlPr xmlns="http://schemas.microsoft.com/office/spreadsheetml/2009/9/main" objectType="CheckBox" fmlaLink="Selections!$E$15" lockText="1" noThreeD="1"/>
</file>

<file path=xl/ctrlProps/ctrlProp47.xml><?xml version="1.0" encoding="utf-8"?>
<formControlPr xmlns="http://schemas.microsoft.com/office/spreadsheetml/2009/9/main" objectType="CheckBox" fmlaLink="Selections!$E$16" lockText="1" noThreeD="1"/>
</file>

<file path=xl/ctrlProps/ctrlProp48.xml><?xml version="1.0" encoding="utf-8"?>
<formControlPr xmlns="http://schemas.microsoft.com/office/spreadsheetml/2009/9/main" objectType="CheckBox" fmlaLink="Selections!$E$17" lockText="1" noThreeD="1"/>
</file>

<file path=xl/ctrlProps/ctrlProp49.xml><?xml version="1.0" encoding="utf-8"?>
<formControlPr xmlns="http://schemas.microsoft.com/office/spreadsheetml/2009/9/main" objectType="CheckBox" fmlaLink="Selections!$E$18" lockText="1" noThreeD="1"/>
</file>

<file path=xl/ctrlProps/ctrlProp50.xml><?xml version="1.0" encoding="utf-8"?>
<formControlPr xmlns="http://schemas.microsoft.com/office/spreadsheetml/2009/9/main" objectType="CheckBox" fmlaLink="Selections!$E$19" lockText="1" noThreeD="1"/>
</file>

<file path=xl/ctrlProps/ctrlProp51.xml><?xml version="1.0" encoding="utf-8"?>
<formControlPr xmlns="http://schemas.microsoft.com/office/spreadsheetml/2009/9/main" objectType="CheckBox" fmlaLink="Selections!$E$20" lockText="1" noThreeD="1"/>
</file>

<file path=xl/ctrlProps/ctrlProp52.xml><?xml version="1.0" encoding="utf-8"?>
<formControlPr xmlns="http://schemas.microsoft.com/office/spreadsheetml/2009/9/main" objectType="Drop" dropLines="3" dropStyle="combo" dx="15" fmlaLink="Selections!$E$28" fmlaRange="'At-a-glance'!$AL$3:$AL$5" noThreeD="1" sel="2" val="0"/>
</file>

<file path=xl/ctrlProps/ctrlProp53.xml><?xml version="1.0" encoding="utf-8"?>
<formControlPr xmlns="http://schemas.microsoft.com/office/spreadsheetml/2009/9/main" objectType="Drop" dropLines="3" dropStyle="combo" dx="15" fmlaLink="Selections!$E$33" fmlaRange="$AQ$5:$AQ$7" noThreeD="1" sel="1" val="0"/>
</file>

<file path=xl/ctrlProps/ctrlProp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jpeg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jpeg"/><Relationship Id="rId1" Type="http://schemas.openxmlformats.org/officeDocument/2006/relationships/chart" Target="../charts/chart7.xml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chart" Target="../charts/chart8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127485</xdr:colOff>
      <xdr:row>2</xdr:row>
      <xdr:rowOff>2116</xdr:rowOff>
    </xdr:to>
    <xdr:pic macro="[0]!ShowHelp3">
      <xdr:nvPicPr>
        <xdr:cNvPr id="2" name="Picture 1" descr="corporate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956285" cy="4286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571500</xdr:colOff>
      <xdr:row>2</xdr:row>
      <xdr:rowOff>133351</xdr:rowOff>
    </xdr:from>
    <xdr:to>
      <xdr:col>5</xdr:col>
      <xdr:colOff>495299</xdr:colOff>
      <xdr:row>7</xdr:row>
      <xdr:rowOff>161925</xdr:rowOff>
    </xdr:to>
    <xdr:sp macro="" textlink="">
      <xdr:nvSpPr>
        <xdr:cNvPr id="3" name="Help3" hidden="1"/>
        <xdr:cNvSpPr/>
      </xdr:nvSpPr>
      <xdr:spPr>
        <a:xfrm>
          <a:off x="1181100" y="561976"/>
          <a:ext cx="2362199" cy="914399"/>
        </a:xfrm>
        <a:prstGeom prst="wedgeRectCallout">
          <a:avLst>
            <a:gd name="adj1" fmla="val -28435"/>
            <a:gd name="adj2" fmla="val -70424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>
            <a:spcAft>
              <a:spcPts val="600"/>
            </a:spcAft>
          </a:pPr>
          <a:r>
            <a:rPr lang="en-US" sz="1100"/>
            <a:t>There is no</a:t>
          </a:r>
          <a:r>
            <a:rPr lang="en-US" sz="1100" baseline="0"/>
            <a:t> help on the instructions sheet, but if you are seeing this, you have figured out the help feature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3</xdr:row>
          <xdr:rowOff>152400</xdr:rowOff>
        </xdr:from>
        <xdr:to>
          <xdr:col>10</xdr:col>
          <xdr:colOff>552450</xdr:colOff>
          <xdr:row>6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tables after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1</xdr:row>
          <xdr:rowOff>47625</xdr:rowOff>
        </xdr:from>
        <xdr:to>
          <xdr:col>9</xdr:col>
          <xdr:colOff>85725</xdr:colOff>
          <xdr:row>3</xdr:row>
          <xdr:rowOff>38100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1</xdr:row>
          <xdr:rowOff>57150</xdr:rowOff>
        </xdr:from>
        <xdr:to>
          <xdr:col>10</xdr:col>
          <xdr:colOff>552450</xdr:colOff>
          <xdr:row>3</xdr:row>
          <xdr:rowOff>57150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640772</xdr:colOff>
      <xdr:row>3</xdr:row>
      <xdr:rowOff>95250</xdr:rowOff>
    </xdr:from>
    <xdr:to>
      <xdr:col>5</xdr:col>
      <xdr:colOff>276225</xdr:colOff>
      <xdr:row>16</xdr:row>
      <xdr:rowOff>8659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25978</xdr:colOff>
      <xdr:row>5</xdr:row>
      <xdr:rowOff>17319</xdr:rowOff>
    </xdr:from>
    <xdr:to>
      <xdr:col>12</xdr:col>
      <xdr:colOff>34637</xdr:colOff>
      <xdr:row>16</xdr:row>
      <xdr:rowOff>8659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896721</xdr:colOff>
      <xdr:row>3</xdr:row>
      <xdr:rowOff>18545</xdr:rowOff>
    </xdr:from>
    <xdr:to>
      <xdr:col>9</xdr:col>
      <xdr:colOff>109511</xdr:colOff>
      <xdr:row>3</xdr:row>
      <xdr:rowOff>128273</xdr:rowOff>
    </xdr:to>
    <xdr:sp macro="" textlink="">
      <xdr:nvSpPr>
        <xdr:cNvPr id="36" name="Rectangle 35"/>
        <xdr:cNvSpPr/>
      </xdr:nvSpPr>
      <xdr:spPr>
        <a:xfrm>
          <a:off x="3643096" y="359858"/>
          <a:ext cx="109728" cy="109728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15224</xdr:colOff>
      <xdr:row>3</xdr:row>
      <xdr:rowOff>18545</xdr:rowOff>
    </xdr:from>
    <xdr:to>
      <xdr:col>10</xdr:col>
      <xdr:colOff>124952</xdr:colOff>
      <xdr:row>3</xdr:row>
      <xdr:rowOff>128273</xdr:rowOff>
    </xdr:to>
    <xdr:sp macro="" textlink="">
      <xdr:nvSpPr>
        <xdr:cNvPr id="37" name="Rectangle 36"/>
        <xdr:cNvSpPr/>
      </xdr:nvSpPr>
      <xdr:spPr>
        <a:xfrm>
          <a:off x="4333224" y="359858"/>
          <a:ext cx="109728" cy="109728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23597</xdr:colOff>
      <xdr:row>22</xdr:row>
      <xdr:rowOff>27926</xdr:rowOff>
    </xdr:from>
    <xdr:to>
      <xdr:col>9</xdr:col>
      <xdr:colOff>133325</xdr:colOff>
      <xdr:row>22</xdr:row>
      <xdr:rowOff>137654</xdr:rowOff>
    </xdr:to>
    <xdr:sp macro="" textlink="">
      <xdr:nvSpPr>
        <xdr:cNvPr id="40" name="Rectangle 39"/>
        <xdr:cNvSpPr/>
      </xdr:nvSpPr>
      <xdr:spPr>
        <a:xfrm>
          <a:off x="3666910" y="3226739"/>
          <a:ext cx="109728" cy="10972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46976</xdr:colOff>
      <xdr:row>22</xdr:row>
      <xdr:rowOff>27926</xdr:rowOff>
    </xdr:from>
    <xdr:to>
      <xdr:col>10</xdr:col>
      <xdr:colOff>156704</xdr:colOff>
      <xdr:row>22</xdr:row>
      <xdr:rowOff>137654</xdr:rowOff>
    </xdr:to>
    <xdr:sp macro="" textlink="">
      <xdr:nvSpPr>
        <xdr:cNvPr id="41" name="Rectangle 40"/>
        <xdr:cNvSpPr/>
      </xdr:nvSpPr>
      <xdr:spPr>
        <a:xfrm>
          <a:off x="4364976" y="3226739"/>
          <a:ext cx="109728" cy="109728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85725</xdr:colOff>
      <xdr:row>25</xdr:row>
      <xdr:rowOff>31750</xdr:rowOff>
    </xdr:from>
    <xdr:to>
      <xdr:col>11</xdr:col>
      <xdr:colOff>523875</xdr:colOff>
      <xdr:row>42</xdr:row>
      <xdr:rowOff>104776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638175</xdr:colOff>
      <xdr:row>27</xdr:row>
      <xdr:rowOff>142874</xdr:rowOff>
    </xdr:from>
    <xdr:to>
      <xdr:col>5</xdr:col>
      <xdr:colOff>200025</xdr:colOff>
      <xdr:row>41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107157</xdr:colOff>
      <xdr:row>45</xdr:row>
      <xdr:rowOff>15872</xdr:rowOff>
    </xdr:from>
    <xdr:to>
      <xdr:col>3</xdr:col>
      <xdr:colOff>381477</xdr:colOff>
      <xdr:row>45</xdr:row>
      <xdr:rowOff>125600</xdr:rowOff>
    </xdr:to>
    <xdr:sp macro="" textlink="">
      <xdr:nvSpPr>
        <xdr:cNvPr id="11" name="Rectangle 10"/>
        <xdr:cNvSpPr/>
      </xdr:nvSpPr>
      <xdr:spPr>
        <a:xfrm>
          <a:off x="1381126" y="6659560"/>
          <a:ext cx="274320" cy="109728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107157</xdr:colOff>
      <xdr:row>46</xdr:row>
      <xdr:rowOff>29367</xdr:rowOff>
    </xdr:from>
    <xdr:to>
      <xdr:col>3</xdr:col>
      <xdr:colOff>381477</xdr:colOff>
      <xdr:row>46</xdr:row>
      <xdr:rowOff>139095</xdr:rowOff>
    </xdr:to>
    <xdr:sp macro="" textlink="">
      <xdr:nvSpPr>
        <xdr:cNvPr id="12" name="Rectangle 11"/>
        <xdr:cNvSpPr/>
      </xdr:nvSpPr>
      <xdr:spPr>
        <a:xfrm flipH="1">
          <a:off x="1381126" y="6827836"/>
          <a:ext cx="274320" cy="10972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392906</xdr:colOff>
      <xdr:row>45</xdr:row>
      <xdr:rowOff>31748</xdr:rowOff>
    </xdr:from>
    <xdr:to>
      <xdr:col>10</xdr:col>
      <xdr:colOff>2381</xdr:colOff>
      <xdr:row>46</xdr:row>
      <xdr:rowOff>23813</xdr:rowOff>
    </xdr:to>
    <xdr:sp macro="" textlink="">
      <xdr:nvSpPr>
        <xdr:cNvPr id="13" name="Rectangle 12"/>
        <xdr:cNvSpPr/>
      </xdr:nvSpPr>
      <xdr:spPr>
        <a:xfrm>
          <a:off x="4048125" y="6687342"/>
          <a:ext cx="288131" cy="146846"/>
        </a:xfrm>
        <a:prstGeom prst="rect">
          <a:avLst/>
        </a:prstGeom>
        <a:gradFill flip="none" rotWithShape="1">
          <a:gsLst>
            <a:gs pos="0">
              <a:srgbClr val="FF0000"/>
            </a:gs>
            <a:gs pos="45000">
              <a:srgbClr val="FF0000"/>
            </a:gs>
            <a:gs pos="100000">
              <a:schemeClr val="bg1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79372</xdr:colOff>
      <xdr:row>46</xdr:row>
      <xdr:rowOff>25399</xdr:rowOff>
    </xdr:from>
    <xdr:to>
      <xdr:col>9</xdr:col>
      <xdr:colOff>392905</xdr:colOff>
      <xdr:row>47</xdr:row>
      <xdr:rowOff>0</xdr:rowOff>
    </xdr:to>
    <xdr:sp macro="" textlink="">
      <xdr:nvSpPr>
        <xdr:cNvPr id="14" name="Rectangle 13"/>
        <xdr:cNvSpPr/>
      </xdr:nvSpPr>
      <xdr:spPr>
        <a:xfrm rot="10800000">
          <a:off x="3734591" y="6835774"/>
          <a:ext cx="313533" cy="129382"/>
        </a:xfrm>
        <a:prstGeom prst="rect">
          <a:avLst/>
        </a:prstGeom>
        <a:gradFill flip="none" rotWithShape="1">
          <a:gsLst>
            <a:gs pos="0">
              <a:schemeClr val="accent1"/>
            </a:gs>
            <a:gs pos="45000">
              <a:schemeClr val="accent1"/>
            </a:gs>
            <a:gs pos="100000">
              <a:schemeClr val="bg1"/>
            </a:gs>
          </a:gsLst>
          <a:lin ang="0" scaled="0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127000</xdr:rowOff>
    </xdr:from>
    <xdr:to>
      <xdr:col>5</xdr:col>
      <xdr:colOff>10584</xdr:colOff>
      <xdr:row>25</xdr:row>
      <xdr:rowOff>137583</xdr:rowOff>
    </xdr:to>
    <xdr:cxnSp macro="">
      <xdr:nvCxnSpPr>
        <xdr:cNvPr id="17" name="Straight Connector 16"/>
        <xdr:cNvCxnSpPr/>
      </xdr:nvCxnSpPr>
      <xdr:spPr>
        <a:xfrm flipH="1">
          <a:off x="2106083" y="2677583"/>
          <a:ext cx="10584" cy="1195917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</xdr:colOff>
      <xdr:row>10</xdr:row>
      <xdr:rowOff>158750</xdr:rowOff>
    </xdr:from>
    <xdr:to>
      <xdr:col>22</xdr:col>
      <xdr:colOff>7938</xdr:colOff>
      <xdr:row>15</xdr:row>
      <xdr:rowOff>169333</xdr:rowOff>
    </xdr:to>
    <xdr:cxnSp macro="">
      <xdr:nvCxnSpPr>
        <xdr:cNvPr id="18" name="Straight Connector 17"/>
        <xdr:cNvCxnSpPr/>
      </xdr:nvCxnSpPr>
      <xdr:spPr>
        <a:xfrm flipH="1">
          <a:off x="8604252" y="1674813"/>
          <a:ext cx="7936" cy="883708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</xdr:colOff>
      <xdr:row>35</xdr:row>
      <xdr:rowOff>9525</xdr:rowOff>
    </xdr:from>
    <xdr:to>
      <xdr:col>22</xdr:col>
      <xdr:colOff>10583</xdr:colOff>
      <xdr:row>40</xdr:row>
      <xdr:rowOff>10584</xdr:rowOff>
    </xdr:to>
    <xdr:cxnSp macro="">
      <xdr:nvCxnSpPr>
        <xdr:cNvPr id="22" name="Straight Connector 21"/>
        <xdr:cNvCxnSpPr/>
      </xdr:nvCxnSpPr>
      <xdr:spPr>
        <a:xfrm>
          <a:off x="8666692" y="5100108"/>
          <a:ext cx="1058" cy="794809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0</xdr:col>
      <xdr:colOff>32896</xdr:colOff>
      <xdr:row>44</xdr:row>
      <xdr:rowOff>8387</xdr:rowOff>
    </xdr:from>
    <xdr:ext cx="342786" cy="795474"/>
    <xdr:sp macro="" textlink="">
      <xdr:nvSpPr>
        <xdr:cNvPr id="24" name="TextBox 23"/>
        <xdr:cNvSpPr txBox="1"/>
      </xdr:nvSpPr>
      <xdr:spPr>
        <a:xfrm rot="16200000">
          <a:off x="-193448" y="6676012"/>
          <a:ext cx="79547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600" b="1"/>
            <a:t>Legend</a:t>
          </a:r>
        </a:p>
      </xdr:txBody>
    </xdr:sp>
    <xdr:clientData/>
  </xdr:oneCellAnchor>
  <xdr:twoCellAnchor editAs="oneCell">
    <xdr:from>
      <xdr:col>0</xdr:col>
      <xdr:colOff>55566</xdr:colOff>
      <xdr:row>1</xdr:row>
      <xdr:rowOff>3</xdr:rowOff>
    </xdr:from>
    <xdr:to>
      <xdr:col>2</xdr:col>
      <xdr:colOff>269877</xdr:colOff>
      <xdr:row>1</xdr:row>
      <xdr:rowOff>255653</xdr:rowOff>
    </xdr:to>
    <xdr:pic macro="[0]!ShowHelp">
      <xdr:nvPicPr>
        <xdr:cNvPr id="38" name="Picture 37" descr="corporate_logo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55566" y="31753"/>
          <a:ext cx="1166811" cy="255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</xdr:row>
      <xdr:rowOff>271462</xdr:rowOff>
    </xdr:from>
    <xdr:to>
      <xdr:col>43</xdr:col>
      <xdr:colOff>309563</xdr:colOff>
      <xdr:row>43</xdr:row>
      <xdr:rowOff>11905</xdr:rowOff>
    </xdr:to>
    <xdr:grpSp>
      <xdr:nvGrpSpPr>
        <xdr:cNvPr id="4" name="HelpGrp" hidden="1"/>
        <xdr:cNvGrpSpPr/>
      </xdr:nvGrpSpPr>
      <xdr:grpSpPr>
        <a:xfrm>
          <a:off x="0" y="303212"/>
          <a:ext cx="12236980" cy="5921110"/>
          <a:chOff x="0" y="300037"/>
          <a:chExt cx="12539663" cy="6017418"/>
        </a:xfrm>
      </xdr:grpSpPr>
      <xdr:sp macro="" textlink="">
        <xdr:nvSpPr>
          <xdr:cNvPr id="31" name="Rectangle 30" hidden="1"/>
          <xdr:cNvSpPr/>
        </xdr:nvSpPr>
        <xdr:spPr>
          <a:xfrm>
            <a:off x="11886" y="309054"/>
            <a:ext cx="5598276" cy="2173200"/>
          </a:xfrm>
          <a:prstGeom prst="rect">
            <a:avLst/>
          </a:prstGeom>
          <a:solidFill>
            <a:schemeClr val="accent1"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4" name="Rectangle 33" hidden="1"/>
          <xdr:cNvSpPr/>
        </xdr:nvSpPr>
        <xdr:spPr>
          <a:xfrm>
            <a:off x="0" y="3216655"/>
            <a:ext cx="5617293" cy="3075154"/>
          </a:xfrm>
          <a:prstGeom prst="rect">
            <a:avLst/>
          </a:prstGeom>
          <a:solidFill>
            <a:schemeClr val="accent2">
              <a:lumMod val="40000"/>
              <a:lumOff val="60000"/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Rectangle 32" hidden="1"/>
          <xdr:cNvSpPr/>
        </xdr:nvSpPr>
        <xdr:spPr>
          <a:xfrm>
            <a:off x="5633933" y="300037"/>
            <a:ext cx="3456430" cy="6017418"/>
          </a:xfrm>
          <a:prstGeom prst="rect">
            <a:avLst/>
          </a:prstGeom>
          <a:solidFill>
            <a:schemeClr val="accent2">
              <a:lumMod val="40000"/>
              <a:lumOff val="60000"/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Rectangular Callout 18" hidden="1"/>
          <xdr:cNvSpPr/>
        </xdr:nvSpPr>
        <xdr:spPr>
          <a:xfrm>
            <a:off x="6121257" y="348997"/>
            <a:ext cx="2876396" cy="850973"/>
          </a:xfrm>
          <a:prstGeom prst="wedgeRectCallout">
            <a:avLst>
              <a:gd name="adj1" fmla="val -74156"/>
              <a:gd name="adj2" fmla="val -59204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Use the dropdown to select individual Themes</a:t>
            </a:r>
          </a:p>
          <a:p>
            <a:pPr algn="ctr"/>
            <a:r>
              <a:rPr lang="en-US" sz="1000"/>
              <a:t>Excluding</a:t>
            </a:r>
            <a:r>
              <a:rPr lang="en-US" sz="1000" baseline="0"/>
              <a:t> the funding/expense by theme, all finacial data shown will be only for that theme</a:t>
            </a:r>
          </a:p>
          <a:p>
            <a:pPr algn="ctr"/>
            <a:r>
              <a:rPr lang="en-US" sz="1000" baseline="0"/>
              <a:t>Example:  Selecting Education will show only speinding by SOF to the Education Theme</a:t>
            </a:r>
            <a:endParaRPr lang="en-US" sz="1000"/>
          </a:p>
        </xdr:txBody>
      </xdr:sp>
      <xdr:sp macro="" textlink="">
        <xdr:nvSpPr>
          <xdr:cNvPr id="20" name="Rectangular Callout 19" hidden="1"/>
          <xdr:cNvSpPr/>
        </xdr:nvSpPr>
        <xdr:spPr>
          <a:xfrm>
            <a:off x="10075186" y="568151"/>
            <a:ext cx="2464477" cy="841648"/>
          </a:xfrm>
          <a:prstGeom prst="wedgeRectCallout">
            <a:avLst>
              <a:gd name="adj1" fmla="val -56692"/>
              <a:gd name="adj2" fmla="val 1274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Use the unit selector to change the values and how they are shown</a:t>
            </a:r>
          </a:p>
          <a:p>
            <a:pPr algn="ctr"/>
            <a:r>
              <a:rPr lang="en-US" sz="1000"/>
              <a:t>$K</a:t>
            </a:r>
            <a:r>
              <a:rPr lang="en-US" sz="1000" baseline="0"/>
              <a:t> USD = Thousands , shown no decimals</a:t>
            </a:r>
          </a:p>
          <a:p>
            <a:pPr algn="ctr"/>
            <a:r>
              <a:rPr lang="en-US" sz="1000" baseline="0"/>
              <a:t>$MM USD = Millions, shown to 3 decimals</a:t>
            </a:r>
          </a:p>
        </xdr:txBody>
      </xdr:sp>
      <xdr:sp macro="" textlink="">
        <xdr:nvSpPr>
          <xdr:cNvPr id="21" name="Rectangular Callout 20" hidden="1"/>
          <xdr:cNvSpPr/>
        </xdr:nvSpPr>
        <xdr:spPr>
          <a:xfrm>
            <a:off x="10087055" y="1533360"/>
            <a:ext cx="2309977" cy="1158722"/>
          </a:xfrm>
          <a:prstGeom prst="wedgeRectCallout">
            <a:avLst>
              <a:gd name="adj1" fmla="val -72332"/>
              <a:gd name="adj2" fmla="val -54127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000"/>
              <a:t>Change the sorting 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Variance  - highlight the SOF/projects contributing the most to BdCO variance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Burn - highlight individual SOF/projects that are over/under performing</a:t>
            </a:r>
          </a:p>
        </xdr:txBody>
      </xdr:sp>
      <xdr:sp macro="" textlink="">
        <xdr:nvSpPr>
          <xdr:cNvPr id="23" name="Rectangular Callout 22" hidden="1"/>
          <xdr:cNvSpPr/>
        </xdr:nvSpPr>
        <xdr:spPr>
          <a:xfrm>
            <a:off x="9635407" y="2824972"/>
            <a:ext cx="2666538" cy="1534083"/>
          </a:xfrm>
          <a:prstGeom prst="wedgeRectCallout">
            <a:avLst>
              <a:gd name="adj1" fmla="val -58540"/>
              <a:gd name="adj2" fmla="val -22049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000"/>
              <a:t>Pick the months to show</a:t>
            </a:r>
            <a:endParaRPr lang="en-US" sz="1000" baseline="0"/>
          </a:p>
          <a:p>
            <a:pPr algn="l">
              <a:spcAft>
                <a:spcPts val="600"/>
              </a:spcAft>
            </a:pPr>
            <a:r>
              <a:rPr lang="en-US" sz="1000" baseline="0"/>
              <a:t>Select an individual month to show only one month of financials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Select a 3 months to show Quarterly data (ie Jan-Feb-Mar will give 1Q results)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Select all prior months to see YTD</a:t>
            </a:r>
          </a:p>
          <a:p>
            <a:pPr algn="l">
              <a:spcAft>
                <a:spcPts val="600"/>
              </a:spcAft>
            </a:pPr>
            <a:r>
              <a:rPr lang="en-US" sz="1000" baseline="0"/>
              <a:t>Select all months to see actuals vs FY</a:t>
            </a:r>
          </a:p>
        </xdr:txBody>
      </xdr:sp>
      <xdr:sp macro="" textlink="">
        <xdr:nvSpPr>
          <xdr:cNvPr id="25" name="Rectangular Callout 24" hidden="1"/>
          <xdr:cNvSpPr/>
        </xdr:nvSpPr>
        <xdr:spPr>
          <a:xfrm>
            <a:off x="3260258" y="3846141"/>
            <a:ext cx="1993325" cy="559543"/>
          </a:xfrm>
          <a:prstGeom prst="wedgeRectCallout">
            <a:avLst>
              <a:gd name="adj1" fmla="val 17140"/>
              <a:gd name="adj2" fmla="val -62356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000"/>
              <a:t>Monthly data can be shown as individual months or cumulative</a:t>
            </a:r>
            <a:r>
              <a:rPr lang="en-US" sz="1000" baseline="0"/>
              <a:t> by changing the selector</a:t>
            </a:r>
          </a:p>
        </xdr:txBody>
      </xdr:sp>
      <xdr:sp macro="" textlink="">
        <xdr:nvSpPr>
          <xdr:cNvPr id="26" name="Rectangular Callout 25" hidden="1"/>
          <xdr:cNvSpPr/>
        </xdr:nvSpPr>
        <xdr:spPr>
          <a:xfrm>
            <a:off x="1019828" y="5011855"/>
            <a:ext cx="1816544" cy="659794"/>
          </a:xfrm>
          <a:prstGeom prst="wedgeRectCallout">
            <a:avLst>
              <a:gd name="adj1" fmla="val -64773"/>
              <a:gd name="adj2" fmla="val 207556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000"/>
              <a:t>Understanding the colors, symbols and </a:t>
            </a:r>
            <a:r>
              <a:rPr lang="en-US" sz="900"/>
              <a:t>formating</a:t>
            </a:r>
            <a:r>
              <a:rPr lang="en-US" sz="1000" baseline="0"/>
              <a:t> is available in the legend</a:t>
            </a:r>
          </a:p>
        </xdr:txBody>
      </xdr:sp>
      <xdr:sp macro="" textlink="">
        <xdr:nvSpPr>
          <xdr:cNvPr id="28" name="Rectangular Callout 27" hidden="1"/>
          <xdr:cNvSpPr/>
        </xdr:nvSpPr>
        <xdr:spPr>
          <a:xfrm>
            <a:off x="6529857" y="1769711"/>
            <a:ext cx="2547468" cy="592489"/>
          </a:xfrm>
          <a:prstGeom prst="wedgeRectCallout">
            <a:avLst>
              <a:gd name="adj1" fmla="val -68533"/>
              <a:gd name="adj2" fmla="val -2846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Selecting any SOF number  on the page will bring you to the SOF details page for the</a:t>
            </a:r>
            <a:r>
              <a:rPr lang="en-US" sz="1000" baseline="0"/>
              <a:t> selected SOF</a:t>
            </a:r>
          </a:p>
        </xdr:txBody>
      </xdr:sp>
      <xdr:sp macro="" textlink="">
        <xdr:nvSpPr>
          <xdr:cNvPr id="27" name="Rounded Rectangle 26" hidden="1"/>
          <xdr:cNvSpPr/>
        </xdr:nvSpPr>
        <xdr:spPr>
          <a:xfrm>
            <a:off x="1557059" y="1118369"/>
            <a:ext cx="2032494" cy="594515"/>
          </a:xfrm>
          <a:prstGeom prst="round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These section</a:t>
            </a:r>
            <a:r>
              <a:rPr lang="en-US" sz="1100" baseline="0"/>
              <a:t> show 2013 Full year Secured and Likely Funding</a:t>
            </a:r>
          </a:p>
        </xdr:txBody>
      </xdr:sp>
      <xdr:sp macro="" textlink="">
        <xdr:nvSpPr>
          <xdr:cNvPr id="29" name="Rounded Rectangle 28" hidden="1"/>
          <xdr:cNvSpPr/>
        </xdr:nvSpPr>
        <xdr:spPr>
          <a:xfrm>
            <a:off x="3763774" y="5457816"/>
            <a:ext cx="2781310" cy="673783"/>
          </a:xfrm>
          <a:prstGeom prst="round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These section</a:t>
            </a:r>
            <a:r>
              <a:rPr lang="en-US" sz="1100" baseline="0"/>
              <a:t> shows2013 Expense vs Plan</a:t>
            </a:r>
          </a:p>
          <a:p>
            <a:pPr algn="ctr"/>
            <a:endParaRPr lang="en-US" sz="1100" baseline="0"/>
          </a:p>
          <a:p>
            <a:pPr algn="ctr"/>
            <a:r>
              <a:rPr lang="en-US" sz="1100" baseline="0"/>
              <a:t>Months included can be selected at right</a:t>
            </a:r>
          </a:p>
        </xdr:txBody>
      </xdr:sp>
      <xdr:sp macro="" textlink="">
        <xdr:nvSpPr>
          <xdr:cNvPr id="32" name="Rectangle 31" hidden="1"/>
          <xdr:cNvSpPr/>
        </xdr:nvSpPr>
        <xdr:spPr>
          <a:xfrm>
            <a:off x="2555477" y="2470598"/>
            <a:ext cx="3064193" cy="757714"/>
          </a:xfrm>
          <a:prstGeom prst="rect">
            <a:avLst/>
          </a:prstGeom>
          <a:solidFill>
            <a:schemeClr val="accent1"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5" name="Rectangle 34" hidden="1"/>
          <xdr:cNvSpPr/>
        </xdr:nvSpPr>
        <xdr:spPr>
          <a:xfrm>
            <a:off x="1" y="2479924"/>
            <a:ext cx="2555477" cy="736732"/>
          </a:xfrm>
          <a:prstGeom prst="rect">
            <a:avLst/>
          </a:prstGeom>
          <a:solidFill>
            <a:schemeClr val="accent2">
              <a:lumMod val="40000"/>
              <a:lumOff val="60000"/>
              <a:alpha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9" name="Oval 38" hidden="1"/>
          <xdr:cNvSpPr/>
        </xdr:nvSpPr>
        <xdr:spPr>
          <a:xfrm>
            <a:off x="6970937" y="1328754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SOF</a:t>
            </a:r>
          </a:p>
        </xdr:txBody>
      </xdr:sp>
      <xdr:sp macro="" textlink="">
        <xdr:nvSpPr>
          <xdr:cNvPr id="42" name="Oval 41" hidden="1"/>
          <xdr:cNvSpPr/>
        </xdr:nvSpPr>
        <xdr:spPr>
          <a:xfrm>
            <a:off x="6570546" y="4170210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Project</a:t>
            </a:r>
          </a:p>
        </xdr:txBody>
      </xdr:sp>
      <xdr:sp macro="" textlink="">
        <xdr:nvSpPr>
          <xdr:cNvPr id="43" name="Oval 42" hidden="1"/>
          <xdr:cNvSpPr/>
        </xdr:nvSpPr>
        <xdr:spPr>
          <a:xfrm>
            <a:off x="577657" y="2897250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Account</a:t>
            </a:r>
          </a:p>
        </xdr:txBody>
      </xdr:sp>
      <xdr:sp macro="" textlink="">
        <xdr:nvSpPr>
          <xdr:cNvPr id="44" name="Oval 43" hidden="1"/>
          <xdr:cNvSpPr/>
        </xdr:nvSpPr>
        <xdr:spPr>
          <a:xfrm>
            <a:off x="610938" y="4142234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Theme</a:t>
            </a:r>
          </a:p>
        </xdr:txBody>
      </xdr:sp>
      <xdr:sp macro="" textlink="">
        <xdr:nvSpPr>
          <xdr:cNvPr id="45" name="Oval 44" hidden="1"/>
          <xdr:cNvSpPr/>
        </xdr:nvSpPr>
        <xdr:spPr>
          <a:xfrm>
            <a:off x="713156" y="1934369"/>
            <a:ext cx="1224252" cy="349715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Theme</a:t>
            </a:r>
          </a:p>
        </xdr:txBody>
      </xdr:sp>
      <xdr:sp macro="" textlink="">
        <xdr:nvSpPr>
          <xdr:cNvPr id="46" name="Oval 45" hidden="1"/>
          <xdr:cNvSpPr/>
        </xdr:nvSpPr>
        <xdr:spPr>
          <a:xfrm>
            <a:off x="4122043" y="1803809"/>
            <a:ext cx="1224252" cy="349715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</a:t>
            </a:r>
            <a:r>
              <a:rPr lang="en-US" sz="1100" baseline="0"/>
              <a:t> Forecast</a:t>
            </a:r>
            <a:endParaRPr lang="en-US" sz="1100"/>
          </a:p>
        </xdr:txBody>
      </xdr:sp>
      <xdr:sp macro="" textlink="">
        <xdr:nvSpPr>
          <xdr:cNvPr id="47" name="Oval 46" hidden="1"/>
          <xdr:cNvSpPr/>
        </xdr:nvSpPr>
        <xdr:spPr>
          <a:xfrm>
            <a:off x="3489711" y="4750736"/>
            <a:ext cx="1307453" cy="384687"/>
          </a:xfrm>
          <a:prstGeom prst="ellipse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By Month</a:t>
            </a:r>
          </a:p>
        </xdr:txBody>
      </xdr:sp>
      <xdr:sp macro="" textlink="">
        <xdr:nvSpPr>
          <xdr:cNvPr id="58" name="Rectangular Callout 57" hidden="1"/>
          <xdr:cNvSpPr/>
        </xdr:nvSpPr>
        <xdr:spPr>
          <a:xfrm>
            <a:off x="7096125" y="5348287"/>
            <a:ext cx="2404596" cy="633413"/>
          </a:xfrm>
          <a:prstGeom prst="wedgeRectCallout">
            <a:avLst>
              <a:gd name="adj1" fmla="val -70029"/>
              <a:gd name="adj2" fmla="val -5579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Selecting any Project number  on the page will bring you to the Project details page for the</a:t>
            </a:r>
            <a:r>
              <a:rPr lang="en-US" sz="1000" baseline="0"/>
              <a:t> selected Project</a:t>
            </a:r>
          </a:p>
        </xdr:txBody>
      </xdr:sp>
      <xdr:sp macro="" textlink="">
        <xdr:nvSpPr>
          <xdr:cNvPr id="59" name="Rectangular Callout 58" hidden="1"/>
          <xdr:cNvSpPr/>
        </xdr:nvSpPr>
        <xdr:spPr>
          <a:xfrm>
            <a:off x="6181725" y="3157537"/>
            <a:ext cx="2404596" cy="633413"/>
          </a:xfrm>
          <a:prstGeom prst="wedgeRectCallout">
            <a:avLst>
              <a:gd name="adj1" fmla="val 57917"/>
              <a:gd name="adj2" fmla="val -3173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000"/>
              <a:t>%Spent is</a:t>
            </a:r>
            <a:r>
              <a:rPr lang="en-US" sz="1000" baseline="0"/>
              <a:t> for the entire SOF as life of award commitment at theme level commitments is not available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19050</xdr:rowOff>
        </xdr:from>
        <xdr:to>
          <xdr:col>15</xdr:col>
          <xdr:colOff>542925</xdr:colOff>
          <xdr:row>1</xdr:row>
          <xdr:rowOff>257175</xdr:rowOff>
        </xdr:to>
        <xdr:sp macro="" textlink="">
          <xdr:nvSpPr>
            <xdr:cNvPr id="1052" name="ComboBox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24</xdr:row>
          <xdr:rowOff>28575</xdr:rowOff>
        </xdr:from>
        <xdr:to>
          <xdr:col>13</xdr:col>
          <xdr:colOff>57150</xdr:colOff>
          <xdr:row>25</xdr:row>
          <xdr:rowOff>95250</xdr:rowOff>
        </xdr:to>
        <xdr:sp macro="" textlink="">
          <xdr:nvSpPr>
            <xdr:cNvPr id="1058" name="Check Box 34" descr="Show cumulative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cumulative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18</xdr:row>
          <xdr:rowOff>9525</xdr:rowOff>
        </xdr:from>
        <xdr:to>
          <xdr:col>14</xdr:col>
          <xdr:colOff>114300</xdr:colOff>
          <xdr:row>26</xdr:row>
          <xdr:rowOff>0</xdr:rowOff>
        </xdr:to>
        <xdr:sp macro="" textlink="">
          <xdr:nvSpPr>
            <xdr:cNvPr id="1059" name="Scroll Bar 35" descr="Slider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13</xdr:row>
          <xdr:rowOff>28575</xdr:rowOff>
        </xdr:from>
        <xdr:to>
          <xdr:col>26</xdr:col>
          <xdr:colOff>47625</xdr:colOff>
          <xdr:row>14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14</xdr:row>
          <xdr:rowOff>95250</xdr:rowOff>
        </xdr:from>
        <xdr:to>
          <xdr:col>26</xdr:col>
          <xdr:colOff>28575</xdr:colOff>
          <xdr:row>16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16</xdr:row>
          <xdr:rowOff>0</xdr:rowOff>
        </xdr:from>
        <xdr:to>
          <xdr:col>25</xdr:col>
          <xdr:colOff>19050</xdr:colOff>
          <xdr:row>18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18</xdr:row>
          <xdr:rowOff>9525</xdr:rowOff>
        </xdr:from>
        <xdr:to>
          <xdr:col>25</xdr:col>
          <xdr:colOff>28575</xdr:colOff>
          <xdr:row>19</xdr:row>
          <xdr:rowOff>76200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19</xdr:row>
          <xdr:rowOff>85725</xdr:rowOff>
        </xdr:from>
        <xdr:to>
          <xdr:col>26</xdr:col>
          <xdr:colOff>28575</xdr:colOff>
          <xdr:row>21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21</xdr:row>
          <xdr:rowOff>19050</xdr:rowOff>
        </xdr:from>
        <xdr:to>
          <xdr:col>25</xdr:col>
          <xdr:colOff>38100</xdr:colOff>
          <xdr:row>22</xdr:row>
          <xdr:rowOff>85725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22</xdr:row>
          <xdr:rowOff>104775</xdr:rowOff>
        </xdr:from>
        <xdr:to>
          <xdr:col>25</xdr:col>
          <xdr:colOff>0</xdr:colOff>
          <xdr:row>24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24</xdr:row>
          <xdr:rowOff>28575</xdr:rowOff>
        </xdr:from>
        <xdr:to>
          <xdr:col>25</xdr:col>
          <xdr:colOff>19050</xdr:colOff>
          <xdr:row>25</xdr:row>
          <xdr:rowOff>123825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25</xdr:row>
          <xdr:rowOff>123825</xdr:rowOff>
        </xdr:from>
        <xdr:to>
          <xdr:col>25</xdr:col>
          <xdr:colOff>0</xdr:colOff>
          <xdr:row>27</xdr:row>
          <xdr:rowOff>152400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28</xdr:row>
          <xdr:rowOff>19050</xdr:rowOff>
        </xdr:from>
        <xdr:to>
          <xdr:col>25</xdr:col>
          <xdr:colOff>19050</xdr:colOff>
          <xdr:row>29</xdr:row>
          <xdr:rowOff>76200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29</xdr:row>
          <xdr:rowOff>95250</xdr:rowOff>
        </xdr:from>
        <xdr:to>
          <xdr:col>25</xdr:col>
          <xdr:colOff>38100</xdr:colOff>
          <xdr:row>30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31</xdr:row>
          <xdr:rowOff>28575</xdr:rowOff>
        </xdr:from>
        <xdr:to>
          <xdr:col>25</xdr:col>
          <xdr:colOff>19050</xdr:colOff>
          <xdr:row>32</xdr:row>
          <xdr:rowOff>95250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</xdr:row>
          <xdr:rowOff>142875</xdr:rowOff>
        </xdr:from>
        <xdr:to>
          <xdr:col>26</xdr:col>
          <xdr:colOff>142875</xdr:colOff>
          <xdr:row>8</xdr:row>
          <xdr:rowOff>0</xdr:rowOff>
        </xdr:to>
        <xdr:sp macro="" textlink="">
          <xdr:nvSpPr>
            <xdr:cNvPr id="1056" name="Drop Dow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9</xdr:row>
          <xdr:rowOff>0</xdr:rowOff>
        </xdr:from>
        <xdr:to>
          <xdr:col>26</xdr:col>
          <xdr:colOff>142875</xdr:colOff>
          <xdr:row>10</xdr:row>
          <xdr:rowOff>28575</xdr:rowOff>
        </xdr:to>
        <xdr:sp macro="" textlink="">
          <xdr:nvSpPr>
            <xdr:cNvPr id="1057" name="Drop Dow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447674</xdr:colOff>
      <xdr:row>8</xdr:row>
      <xdr:rowOff>104774</xdr:rowOff>
    </xdr:from>
    <xdr:to>
      <xdr:col>19</xdr:col>
      <xdr:colOff>104775</xdr:colOff>
      <xdr:row>14</xdr:row>
      <xdr:rowOff>66675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11544</xdr:colOff>
      <xdr:row>19</xdr:row>
      <xdr:rowOff>285750</xdr:rowOff>
    </xdr:from>
    <xdr:to>
      <xdr:col>32</xdr:col>
      <xdr:colOff>201083</xdr:colOff>
      <xdr:row>33</xdr:row>
      <xdr:rowOff>105835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152144</xdr:colOff>
      <xdr:row>18</xdr:row>
      <xdr:rowOff>31300</xdr:rowOff>
    </xdr:from>
    <xdr:to>
      <xdr:col>30</xdr:col>
      <xdr:colOff>289304</xdr:colOff>
      <xdr:row>18</xdr:row>
      <xdr:rowOff>168460</xdr:rowOff>
    </xdr:to>
    <xdr:sp macro="" textlink="">
      <xdr:nvSpPr>
        <xdr:cNvPr id="22" name="Rectangle 21"/>
        <xdr:cNvSpPr/>
      </xdr:nvSpPr>
      <xdr:spPr>
        <a:xfrm>
          <a:off x="13899894" y="2486633"/>
          <a:ext cx="137160" cy="13716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152144</xdr:colOff>
      <xdr:row>19</xdr:row>
      <xdr:rowOff>89507</xdr:rowOff>
    </xdr:from>
    <xdr:to>
      <xdr:col>30</xdr:col>
      <xdr:colOff>289304</xdr:colOff>
      <xdr:row>19</xdr:row>
      <xdr:rowOff>226667</xdr:rowOff>
    </xdr:to>
    <xdr:sp macro="" textlink="">
      <xdr:nvSpPr>
        <xdr:cNvPr id="23" name="Rectangle 22"/>
        <xdr:cNvSpPr/>
      </xdr:nvSpPr>
      <xdr:spPr>
        <a:xfrm>
          <a:off x="13899894" y="2714174"/>
          <a:ext cx="137160" cy="13716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333375</xdr:colOff>
      <xdr:row>7</xdr:row>
      <xdr:rowOff>0</xdr:rowOff>
    </xdr:from>
    <xdr:to>
      <xdr:col>19</xdr:col>
      <xdr:colOff>28575</xdr:colOff>
      <xdr:row>7</xdr:row>
      <xdr:rowOff>1</xdr:rowOff>
    </xdr:to>
    <xdr:cxnSp macro="">
      <xdr:nvCxnSpPr>
        <xdr:cNvPr id="3" name="Straight Connector 2"/>
        <xdr:cNvCxnSpPr/>
      </xdr:nvCxnSpPr>
      <xdr:spPr>
        <a:xfrm>
          <a:off x="5314950" y="952500"/>
          <a:ext cx="3143250" cy="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2642</xdr:colOff>
      <xdr:row>3</xdr:row>
      <xdr:rowOff>33339</xdr:rowOff>
    </xdr:from>
    <xdr:to>
      <xdr:col>16</xdr:col>
      <xdr:colOff>253467</xdr:colOff>
      <xdr:row>8</xdr:row>
      <xdr:rowOff>147639</xdr:rowOff>
    </xdr:to>
    <xdr:sp macro="[0]!ShowSOFs" textlink="ShowMsg">
      <xdr:nvSpPr>
        <xdr:cNvPr id="2" name="Snip Same Side Corner Rectangle 1"/>
        <xdr:cNvSpPr/>
      </xdr:nvSpPr>
      <xdr:spPr>
        <a:xfrm rot="5400000">
          <a:off x="5463113" y="711201"/>
          <a:ext cx="908050" cy="314325"/>
        </a:xfrm>
        <a:prstGeom prst="snip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lIns="0" rIns="0" rtlCol="0" anchor="t"/>
        <a:lstStyle/>
        <a:p>
          <a:pPr algn="ctr"/>
          <a:fld id="{C5BDFB1F-9EF2-40E7-A88A-2BA4E4742D5D}" type="TxLink">
            <a:rPr lang="en-US" sz="1100" b="0" i="0" u="none" strike="noStrike">
              <a:solidFill>
                <a:srgbClr val="000000"/>
              </a:solidFill>
              <a:latin typeface="Arialri"/>
            </a:rPr>
            <a:pPr algn="ctr"/>
            <a:t>Show All SOFs</a:t>
          </a:fld>
          <a:endParaRPr lang="en-US" sz="1100"/>
        </a:p>
      </xdr:txBody>
    </xdr:sp>
    <xdr:clientData fPrintsWithSheet="0"/>
  </xdr:twoCellAnchor>
  <xdr:oneCellAnchor>
    <xdr:from>
      <xdr:col>24</xdr:col>
      <xdr:colOff>1340909</xdr:colOff>
      <xdr:row>1</xdr:row>
      <xdr:rowOff>9524</xdr:rowOff>
    </xdr:from>
    <xdr:ext cx="1166811" cy="248506"/>
    <xdr:pic macro="[0]!ShowHelp2">
      <xdr:nvPicPr>
        <xdr:cNvPr id="28" name="Picture 27" descr="corporate_logo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8800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12495742" y="41274"/>
          <a:ext cx="1166811" cy="248506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1</xdr:col>
      <xdr:colOff>9528</xdr:colOff>
      <xdr:row>38</xdr:row>
      <xdr:rowOff>85723</xdr:rowOff>
    </xdr:from>
    <xdr:to>
      <xdr:col>3</xdr:col>
      <xdr:colOff>0</xdr:colOff>
      <xdr:row>43</xdr:row>
      <xdr:rowOff>87447</xdr:rowOff>
    </xdr:to>
    <xdr:sp macro="" textlink="">
      <xdr:nvSpPr>
        <xdr:cNvPr id="29" name="TextBox 28"/>
        <xdr:cNvSpPr txBox="1"/>
      </xdr:nvSpPr>
      <xdr:spPr>
        <a:xfrm rot="16200000">
          <a:off x="-124686" y="6477862"/>
          <a:ext cx="811349" cy="2571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b">
          <a:noAutofit/>
        </a:bodyPr>
        <a:lstStyle/>
        <a:p>
          <a:r>
            <a:rPr lang="en-US" sz="1600" b="1"/>
            <a:t>Legend</a:t>
          </a:r>
        </a:p>
      </xdr:txBody>
    </xdr:sp>
    <xdr:clientData/>
  </xdr:twoCellAnchor>
  <xdr:twoCellAnchor>
    <xdr:from>
      <xdr:col>14</xdr:col>
      <xdr:colOff>7937</xdr:colOff>
      <xdr:row>44</xdr:row>
      <xdr:rowOff>1</xdr:rowOff>
    </xdr:from>
    <xdr:to>
      <xdr:col>22</xdr:col>
      <xdr:colOff>95250</xdr:colOff>
      <xdr:row>44</xdr:row>
      <xdr:rowOff>12</xdr:rowOff>
    </xdr:to>
    <xdr:cxnSp macro="">
      <xdr:nvCxnSpPr>
        <xdr:cNvPr id="5" name="Straight Connector 4"/>
        <xdr:cNvCxnSpPr/>
      </xdr:nvCxnSpPr>
      <xdr:spPr>
        <a:xfrm flipV="1">
          <a:off x="6357937" y="6900334"/>
          <a:ext cx="4997980" cy="1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35</xdr:row>
      <xdr:rowOff>0</xdr:rowOff>
    </xdr:from>
    <xdr:to>
      <xdr:col>30</xdr:col>
      <xdr:colOff>1</xdr:colOff>
      <xdr:row>42</xdr:row>
      <xdr:rowOff>158750</xdr:rowOff>
    </xdr:to>
    <xdr:cxnSp macro="">
      <xdr:nvCxnSpPr>
        <xdr:cNvPr id="39" name="Straight Connector 38"/>
        <xdr:cNvCxnSpPr/>
      </xdr:nvCxnSpPr>
      <xdr:spPr>
        <a:xfrm flipH="1">
          <a:off x="12784667" y="5630333"/>
          <a:ext cx="1" cy="1418167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31750</xdr:colOff>
      <xdr:row>0</xdr:row>
      <xdr:rowOff>10583</xdr:rowOff>
    </xdr:from>
    <xdr:to>
      <xdr:col>49</xdr:col>
      <xdr:colOff>333625</xdr:colOff>
      <xdr:row>43</xdr:row>
      <xdr:rowOff>169333</xdr:rowOff>
    </xdr:to>
    <xdr:grpSp>
      <xdr:nvGrpSpPr>
        <xdr:cNvPr id="10" name="HelpGrp2" hidden="1"/>
        <xdr:cNvGrpSpPr/>
      </xdr:nvGrpSpPr>
      <xdr:grpSpPr>
        <a:xfrm>
          <a:off x="365125" y="10583"/>
          <a:ext cx="12036675" cy="6864350"/>
          <a:chOff x="6244167" y="10583"/>
          <a:chExt cx="12059958" cy="6879167"/>
        </a:xfrm>
      </xdr:grpSpPr>
      <xdr:sp macro="" textlink="">
        <xdr:nvSpPr>
          <xdr:cNvPr id="8" name="Rectangle 7" hidden="1"/>
          <xdr:cNvSpPr/>
        </xdr:nvSpPr>
        <xdr:spPr>
          <a:xfrm>
            <a:off x="6244167" y="10583"/>
            <a:ext cx="4974166" cy="6879167"/>
          </a:xfrm>
          <a:prstGeom prst="rect">
            <a:avLst/>
          </a:prstGeom>
          <a:solidFill>
            <a:schemeClr val="accent2">
              <a:lumMod val="20000"/>
              <a:lumOff val="80000"/>
              <a:alpha val="20000"/>
            </a:schemeClr>
          </a:solidFill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600"/>
              <a:t>This section shows Life of Award and is not affected</a:t>
            </a:r>
            <a:r>
              <a:rPr lang="en-US" sz="1600" baseline="0"/>
              <a:t> by the theme filter</a:t>
            </a:r>
          </a:p>
          <a:p>
            <a:pPr algn="ctr"/>
            <a:endParaRPr lang="en-US" sz="1600" baseline="0"/>
          </a:p>
          <a:p>
            <a:pPr algn="ctr"/>
            <a:endParaRPr lang="en-US" sz="1600"/>
          </a:p>
        </xdr:txBody>
      </xdr:sp>
      <xdr:sp macro="" textlink="">
        <xdr:nvSpPr>
          <xdr:cNvPr id="13" name="Rectangular Callout 12" hidden="1"/>
          <xdr:cNvSpPr/>
        </xdr:nvSpPr>
        <xdr:spPr>
          <a:xfrm>
            <a:off x="15731785" y="2871678"/>
            <a:ext cx="2572340" cy="864397"/>
          </a:xfrm>
          <a:prstGeom prst="wedgeRectCallout">
            <a:avLst>
              <a:gd name="adj1" fmla="val -58195"/>
              <a:gd name="adj2" fmla="val -24881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Use the unit selector to change the values and how they are shown</a:t>
            </a:r>
          </a:p>
          <a:p>
            <a:pPr algn="ctr"/>
            <a:r>
              <a:rPr lang="en-US" sz="1100"/>
              <a:t>$K</a:t>
            </a:r>
            <a:r>
              <a:rPr lang="en-US" sz="1100" baseline="0"/>
              <a:t> USD = Thousands , shown no decimals</a:t>
            </a:r>
          </a:p>
          <a:p>
            <a:pPr algn="ctr"/>
            <a:r>
              <a:rPr lang="en-US" sz="1100" baseline="0"/>
              <a:t>$MM USD = Millions, shown to 3 decimals</a:t>
            </a:r>
          </a:p>
        </xdr:txBody>
      </xdr:sp>
      <xdr:sp macro="" textlink="">
        <xdr:nvSpPr>
          <xdr:cNvPr id="15" name="Rectangular Callout 14" hidden="1"/>
          <xdr:cNvSpPr/>
        </xdr:nvSpPr>
        <xdr:spPr>
          <a:xfrm>
            <a:off x="15391519" y="3872222"/>
            <a:ext cx="2572340" cy="1575549"/>
          </a:xfrm>
          <a:prstGeom prst="wedgeRectCallout">
            <a:avLst>
              <a:gd name="adj1" fmla="val -58232"/>
              <a:gd name="adj2" fmla="val -2862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Pick the months to show</a:t>
            </a:r>
            <a:endParaRPr lang="en-US" sz="1100" baseline="0"/>
          </a:p>
          <a:p>
            <a:pPr algn="l">
              <a:spcAft>
                <a:spcPts val="600"/>
              </a:spcAft>
            </a:pPr>
            <a:r>
              <a:rPr lang="en-US" sz="1100" baseline="0"/>
              <a:t>Select an individual month to show only one month of financials</a:t>
            </a:r>
          </a:p>
          <a:p>
            <a:pPr algn="l">
              <a:spcAft>
                <a:spcPts val="600"/>
              </a:spcAft>
            </a:pPr>
            <a:r>
              <a:rPr lang="en-US" sz="1100" baseline="0"/>
              <a:t>Select a 3 months to show Quarterly data (ie Jan-Feb-Mar will give 1Q results)</a:t>
            </a:r>
          </a:p>
          <a:p>
            <a:pPr algn="l">
              <a:spcAft>
                <a:spcPts val="600"/>
              </a:spcAft>
            </a:pPr>
            <a:r>
              <a:rPr lang="en-US" sz="1100" baseline="0"/>
              <a:t>Select all prior months to see YTD</a:t>
            </a:r>
          </a:p>
        </xdr:txBody>
      </xdr:sp>
      <xdr:sp macro="" textlink="">
        <xdr:nvSpPr>
          <xdr:cNvPr id="16" name="Rectangular Callout 15" hidden="1"/>
          <xdr:cNvSpPr/>
        </xdr:nvSpPr>
        <xdr:spPr>
          <a:xfrm>
            <a:off x="11375239" y="3073598"/>
            <a:ext cx="2799983" cy="454945"/>
          </a:xfrm>
          <a:prstGeom prst="wedgeRectCallout">
            <a:avLst>
              <a:gd name="adj1" fmla="val -46943"/>
              <a:gd name="adj2" fmla="val -10559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Monthly data can be shown as individual months or cumulative</a:t>
            </a:r>
            <a:r>
              <a:rPr lang="en-US" sz="1100" baseline="0"/>
              <a:t> by changing the selector</a:t>
            </a:r>
          </a:p>
        </xdr:txBody>
      </xdr:sp>
      <xdr:sp macro="" textlink="">
        <xdr:nvSpPr>
          <xdr:cNvPr id="17" name="Rectangular Callout 16" hidden="1"/>
          <xdr:cNvSpPr/>
        </xdr:nvSpPr>
        <xdr:spPr>
          <a:xfrm>
            <a:off x="9244127" y="1912898"/>
            <a:ext cx="1736901" cy="811718"/>
          </a:xfrm>
          <a:prstGeom prst="wedgeRectCallout">
            <a:avLst>
              <a:gd name="adj1" fmla="val -97056"/>
              <a:gd name="adj2" fmla="val -48958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Graph shows the % of time elaspsed to date, as well as the % of spend to date</a:t>
            </a:r>
            <a:endParaRPr lang="en-US" sz="1100" baseline="0"/>
          </a:p>
        </xdr:txBody>
      </xdr:sp>
      <xdr:sp macro="" textlink="">
        <xdr:nvSpPr>
          <xdr:cNvPr id="19" name="Rectangular Callout 18" hidden="1"/>
          <xdr:cNvSpPr/>
        </xdr:nvSpPr>
        <xdr:spPr>
          <a:xfrm>
            <a:off x="6724386" y="200265"/>
            <a:ext cx="1308364" cy="826318"/>
          </a:xfrm>
          <a:prstGeom prst="wedgeRectCallout">
            <a:avLst>
              <a:gd name="adj1" fmla="val -71501"/>
              <a:gd name="adj2" fmla="val 37172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Selecting this tab will open and close the full list of SOFs</a:t>
            </a:r>
          </a:p>
        </xdr:txBody>
      </xdr:sp>
      <xdr:sp macro="" textlink="">
        <xdr:nvSpPr>
          <xdr:cNvPr id="12" name="Rectangular Callout 11" hidden="1"/>
          <xdr:cNvSpPr/>
        </xdr:nvSpPr>
        <xdr:spPr>
          <a:xfrm>
            <a:off x="9457870" y="587375"/>
            <a:ext cx="2469903" cy="838057"/>
          </a:xfrm>
          <a:prstGeom prst="wedgeRectCallout">
            <a:avLst>
              <a:gd name="adj1" fmla="val -63008"/>
              <a:gd name="adj2" fmla="val -3988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For SOFs originated</a:t>
            </a:r>
            <a:r>
              <a:rPr lang="en-US" sz="1100" baseline="0"/>
              <a:t> prior to merger, the system information on life of spend is incomplete.  "Unavail" will show until the information can be collected</a:t>
            </a:r>
            <a:endParaRPr lang="en-US" sz="1100"/>
          </a:p>
        </xdr:txBody>
      </xdr:sp>
      <xdr:sp macro="" textlink="">
        <xdr:nvSpPr>
          <xdr:cNvPr id="20" name="Rectangular Callout 19" hidden="1"/>
          <xdr:cNvSpPr/>
        </xdr:nvSpPr>
        <xdr:spPr>
          <a:xfrm>
            <a:off x="6496762" y="3897960"/>
            <a:ext cx="2497220" cy="945807"/>
          </a:xfrm>
          <a:prstGeom prst="wedgeRectCallout">
            <a:avLst>
              <a:gd name="adj1" fmla="val -53169"/>
              <a:gd name="adj2" fmla="val -81285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Spend by theme and project</a:t>
            </a:r>
          </a:p>
          <a:p>
            <a:pPr algn="ctr">
              <a:spcAft>
                <a:spcPts val="600"/>
              </a:spcAft>
            </a:pPr>
            <a:r>
              <a:rPr lang="en-US" sz="1100" i="1" baseline="0"/>
              <a:t>Click on the (+) to expand any theme to see project level details</a:t>
            </a:r>
          </a:p>
        </xdr:txBody>
      </xdr:sp>
      <xdr:sp macro="" textlink="">
        <xdr:nvSpPr>
          <xdr:cNvPr id="45" name="Rectangular Callout 44" hidden="1"/>
          <xdr:cNvSpPr/>
        </xdr:nvSpPr>
        <xdr:spPr>
          <a:xfrm>
            <a:off x="12776912" y="1132417"/>
            <a:ext cx="2497220" cy="678166"/>
          </a:xfrm>
          <a:prstGeom prst="wedgeRectCallout">
            <a:avLst>
              <a:gd name="adj1" fmla="val 25235"/>
              <a:gd name="adj2" fmla="val 68658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 i="0" baseline="0"/>
              <a:t>Slect a theme to show details for only that theme.  Choosing "Bangladesh CO" will show the full SOF</a:t>
            </a:r>
            <a:endParaRPr lang="en-US" sz="1100" i="1" baseline="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19050</xdr:rowOff>
        </xdr:from>
        <xdr:to>
          <xdr:col>13</xdr:col>
          <xdr:colOff>57150</xdr:colOff>
          <xdr:row>40</xdr:row>
          <xdr:rowOff>9525</xdr:rowOff>
        </xdr:to>
        <xdr:sp macro="" textlink="">
          <xdr:nvSpPr>
            <xdr:cNvPr id="10255" name="Scroll Bar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371475</xdr:colOff>
          <xdr:row>1</xdr:row>
          <xdr:rowOff>9525</xdr:rowOff>
        </xdr:from>
        <xdr:to>
          <xdr:col>19</xdr:col>
          <xdr:colOff>495300</xdr:colOff>
          <xdr:row>2</xdr:row>
          <xdr:rowOff>0</xdr:rowOff>
        </xdr:to>
        <xdr:sp macro="" textlink="">
          <xdr:nvSpPr>
            <xdr:cNvPr id="10267" name="Button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At-a-glance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19050</xdr:rowOff>
        </xdr:from>
        <xdr:to>
          <xdr:col>16</xdr:col>
          <xdr:colOff>447675</xdr:colOff>
          <xdr:row>2</xdr:row>
          <xdr:rowOff>0</xdr:rowOff>
        </xdr:to>
        <xdr:sp macro="" textlink="">
          <xdr:nvSpPr>
            <xdr:cNvPr id="10256" name="SortSelector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19</xdr:row>
          <xdr:rowOff>47625</xdr:rowOff>
        </xdr:from>
        <xdr:to>
          <xdr:col>26</xdr:col>
          <xdr:colOff>647700</xdr:colOff>
          <xdr:row>19</xdr:row>
          <xdr:rowOff>219075</xdr:rowOff>
        </xdr:to>
        <xdr:sp macro="" textlink="">
          <xdr:nvSpPr>
            <xdr:cNvPr id="10258" name="Check Box 18" descr="Show cumulative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cumulative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25</xdr:row>
          <xdr:rowOff>47625</xdr:rowOff>
        </xdr:from>
        <xdr:to>
          <xdr:col>36</xdr:col>
          <xdr:colOff>19050</xdr:colOff>
          <xdr:row>26</xdr:row>
          <xdr:rowOff>104775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27</xdr:row>
          <xdr:rowOff>0</xdr:rowOff>
        </xdr:from>
        <xdr:to>
          <xdr:col>36</xdr:col>
          <xdr:colOff>19050</xdr:colOff>
          <xdr:row>28</xdr:row>
          <xdr:rowOff>57150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28</xdr:row>
          <xdr:rowOff>104775</xdr:rowOff>
        </xdr:from>
        <xdr:to>
          <xdr:col>36</xdr:col>
          <xdr:colOff>19050</xdr:colOff>
          <xdr:row>30</xdr:row>
          <xdr:rowOff>57150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30</xdr:row>
          <xdr:rowOff>28575</xdr:rowOff>
        </xdr:from>
        <xdr:to>
          <xdr:col>36</xdr:col>
          <xdr:colOff>19050</xdr:colOff>
          <xdr:row>31</xdr:row>
          <xdr:rowOff>114300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31</xdr:row>
          <xdr:rowOff>133350</xdr:rowOff>
        </xdr:from>
        <xdr:to>
          <xdr:col>36</xdr:col>
          <xdr:colOff>19050</xdr:colOff>
          <xdr:row>33</xdr:row>
          <xdr:rowOff>95250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33</xdr:row>
          <xdr:rowOff>76200</xdr:rowOff>
        </xdr:from>
        <xdr:to>
          <xdr:col>36</xdr:col>
          <xdr:colOff>19050</xdr:colOff>
          <xdr:row>34</xdr:row>
          <xdr:rowOff>152400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35</xdr:row>
          <xdr:rowOff>0</xdr:rowOff>
        </xdr:from>
        <xdr:to>
          <xdr:col>36</xdr:col>
          <xdr:colOff>19050</xdr:colOff>
          <xdr:row>36</xdr:row>
          <xdr:rowOff>38100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36</xdr:row>
          <xdr:rowOff>95250</xdr:rowOff>
        </xdr:from>
        <xdr:to>
          <xdr:col>36</xdr:col>
          <xdr:colOff>19050</xdr:colOff>
          <xdr:row>37</xdr:row>
          <xdr:rowOff>114300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38</xdr:row>
          <xdr:rowOff>9525</xdr:rowOff>
        </xdr:from>
        <xdr:to>
          <xdr:col>36</xdr:col>
          <xdr:colOff>19050</xdr:colOff>
          <xdr:row>39</xdr:row>
          <xdr:rowOff>28575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39</xdr:row>
          <xdr:rowOff>95250</xdr:rowOff>
        </xdr:from>
        <xdr:to>
          <xdr:col>36</xdr:col>
          <xdr:colOff>19050</xdr:colOff>
          <xdr:row>40</xdr:row>
          <xdr:rowOff>114300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41</xdr:row>
          <xdr:rowOff>9525</xdr:rowOff>
        </xdr:from>
        <xdr:to>
          <xdr:col>36</xdr:col>
          <xdr:colOff>19050</xdr:colOff>
          <xdr:row>42</xdr:row>
          <xdr:rowOff>38100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42</xdr:row>
          <xdr:rowOff>95250</xdr:rowOff>
        </xdr:from>
        <xdr:to>
          <xdr:col>36</xdr:col>
          <xdr:colOff>19050</xdr:colOff>
          <xdr:row>43</xdr:row>
          <xdr:rowOff>123825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9525</xdr:colOff>
          <xdr:row>20</xdr:row>
          <xdr:rowOff>19050</xdr:rowOff>
        </xdr:from>
        <xdr:to>
          <xdr:col>38</xdr:col>
          <xdr:colOff>95250</xdr:colOff>
          <xdr:row>21</xdr:row>
          <xdr:rowOff>38100</xdr:rowOff>
        </xdr:to>
        <xdr:sp macro="" textlink="">
          <xdr:nvSpPr>
            <xdr:cNvPr id="10253" name="Drop Down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13</xdr:row>
          <xdr:rowOff>38100</xdr:rowOff>
        </xdr:from>
        <xdr:to>
          <xdr:col>37</xdr:col>
          <xdr:colOff>104775</xdr:colOff>
          <xdr:row>14</xdr:row>
          <xdr:rowOff>123825</xdr:rowOff>
        </xdr:to>
        <xdr:sp macro="" textlink="">
          <xdr:nvSpPr>
            <xdr:cNvPr id="10455" name="ComboBox1" hidden="1">
              <a:extLst>
                <a:ext uri="{63B3BB69-23CF-44E3-9099-C40C66FF867C}">
                  <a14:compatExt spid="_x0000_s1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57150</xdr:colOff>
      <xdr:row>4</xdr:row>
      <xdr:rowOff>0</xdr:rowOff>
    </xdr:from>
    <xdr:to>
      <xdr:col>17</xdr:col>
      <xdr:colOff>361950</xdr:colOff>
      <xdr:row>16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313675</xdr:colOff>
      <xdr:row>1</xdr:row>
      <xdr:rowOff>56500</xdr:rowOff>
    </xdr:from>
    <xdr:to>
      <xdr:col>16</xdr:col>
      <xdr:colOff>423403</xdr:colOff>
      <xdr:row>1</xdr:row>
      <xdr:rowOff>166228</xdr:rowOff>
    </xdr:to>
    <xdr:sp macro="" textlink="">
      <xdr:nvSpPr>
        <xdr:cNvPr id="5" name="Rectangle 4"/>
        <xdr:cNvSpPr/>
      </xdr:nvSpPr>
      <xdr:spPr>
        <a:xfrm>
          <a:off x="8486125" y="104125"/>
          <a:ext cx="109728" cy="10972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313675</xdr:colOff>
      <xdr:row>3</xdr:row>
      <xdr:rowOff>8875</xdr:rowOff>
    </xdr:from>
    <xdr:to>
      <xdr:col>16</xdr:col>
      <xdr:colOff>423403</xdr:colOff>
      <xdr:row>3</xdr:row>
      <xdr:rowOff>118603</xdr:rowOff>
    </xdr:to>
    <xdr:sp macro="" textlink="">
      <xdr:nvSpPr>
        <xdr:cNvPr id="6" name="Rectangle 5"/>
        <xdr:cNvSpPr/>
      </xdr:nvSpPr>
      <xdr:spPr>
        <a:xfrm>
          <a:off x="8486125" y="285100"/>
          <a:ext cx="109728" cy="109728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70911</xdr:colOff>
      <xdr:row>1</xdr:row>
      <xdr:rowOff>20106</xdr:rowOff>
    </xdr:from>
    <xdr:ext cx="1166811" cy="248506"/>
    <xdr:pic macro="[0]!ShowHelp4">
      <xdr:nvPicPr>
        <xdr:cNvPr id="22" name="Picture 21" descr="corporate_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  <a14:imgEffect>
                    <a14:brightnessContrast contrast="88000"/>
                  </a14:imgEffect>
                </a14:imgLayer>
              </a14:imgProps>
            </a:ext>
          </a:extLst>
        </a:blip>
        <a:srcRect/>
        <a:stretch>
          <a:fillRect/>
        </a:stretch>
      </xdr:blipFill>
      <xdr:spPr bwMode="auto">
        <a:xfrm>
          <a:off x="9384244" y="73023"/>
          <a:ext cx="1166811" cy="248506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23</xdr:col>
      <xdr:colOff>0</xdr:colOff>
      <xdr:row>19</xdr:row>
      <xdr:rowOff>0</xdr:rowOff>
    </xdr:from>
    <xdr:to>
      <xdr:col>23</xdr:col>
      <xdr:colOff>0</xdr:colOff>
      <xdr:row>40</xdr:row>
      <xdr:rowOff>114300</xdr:rowOff>
    </xdr:to>
    <xdr:cxnSp macro="">
      <xdr:nvCxnSpPr>
        <xdr:cNvPr id="27" name="Straight Connector 26"/>
        <xdr:cNvCxnSpPr/>
      </xdr:nvCxnSpPr>
      <xdr:spPr>
        <a:xfrm>
          <a:off x="10058400" y="2867025"/>
          <a:ext cx="0" cy="351472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41</xdr:row>
      <xdr:rowOff>38100</xdr:rowOff>
    </xdr:from>
    <xdr:to>
      <xdr:col>3</xdr:col>
      <xdr:colOff>3</xdr:colOff>
      <xdr:row>46</xdr:row>
      <xdr:rowOff>82157</xdr:rowOff>
    </xdr:to>
    <xdr:sp macro="" textlink="">
      <xdr:nvSpPr>
        <xdr:cNvPr id="29" name="TextBox 28"/>
        <xdr:cNvSpPr txBox="1"/>
      </xdr:nvSpPr>
      <xdr:spPr>
        <a:xfrm rot="16200000">
          <a:off x="-217290" y="6703815"/>
          <a:ext cx="806057" cy="33337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b">
          <a:noAutofit/>
        </a:bodyPr>
        <a:lstStyle/>
        <a:p>
          <a:r>
            <a:rPr lang="en-US" sz="1600" b="1"/>
            <a:t>Legend</a:t>
          </a:r>
        </a:p>
      </xdr:txBody>
    </xdr:sp>
    <xdr:clientData/>
  </xdr:twoCellAnchor>
  <xdr:twoCellAnchor>
    <xdr:from>
      <xdr:col>13</xdr:col>
      <xdr:colOff>66675</xdr:colOff>
      <xdr:row>41</xdr:row>
      <xdr:rowOff>47625</xdr:rowOff>
    </xdr:from>
    <xdr:to>
      <xdr:col>14</xdr:col>
      <xdr:colOff>55030</xdr:colOff>
      <xdr:row>46</xdr:row>
      <xdr:rowOff>91682</xdr:rowOff>
    </xdr:to>
    <xdr:sp macro="" textlink="">
      <xdr:nvSpPr>
        <xdr:cNvPr id="30" name="TextBox 29"/>
        <xdr:cNvSpPr txBox="1"/>
      </xdr:nvSpPr>
      <xdr:spPr>
        <a:xfrm rot="16200000">
          <a:off x="5372824" y="6752501"/>
          <a:ext cx="806057" cy="2550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b">
          <a:noAutofit/>
        </a:bodyPr>
        <a:lstStyle/>
        <a:p>
          <a:r>
            <a:rPr lang="en-US" sz="1600" b="1"/>
            <a:t>Legend</a:t>
          </a:r>
        </a:p>
      </xdr:txBody>
    </xdr:sp>
    <xdr:clientData/>
  </xdr:twoCellAnchor>
  <xdr:twoCellAnchor>
    <xdr:from>
      <xdr:col>13</xdr:col>
      <xdr:colOff>5291</xdr:colOff>
      <xdr:row>6</xdr:row>
      <xdr:rowOff>0</xdr:rowOff>
    </xdr:from>
    <xdr:to>
      <xdr:col>14</xdr:col>
      <xdr:colOff>7407</xdr:colOff>
      <xdr:row>13</xdr:row>
      <xdr:rowOff>57150</xdr:rowOff>
    </xdr:to>
    <xdr:sp macro="[0]!ShowProjects" textlink="ShowMsg2">
      <xdr:nvSpPr>
        <xdr:cNvPr id="32" name="Snip Same Side Corner Rectangle 31"/>
        <xdr:cNvSpPr/>
      </xdr:nvSpPr>
      <xdr:spPr>
        <a:xfrm rot="5400000">
          <a:off x="5184774" y="1212850"/>
          <a:ext cx="1168400" cy="266700"/>
        </a:xfrm>
        <a:prstGeom prst="snip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lIns="0" rIns="0" rtlCol="0" anchor="t"/>
        <a:lstStyle/>
        <a:p>
          <a:pPr algn="ctr"/>
          <a:fld id="{AF00D0F4-C8D2-4CA4-8F5B-3D0854C9E5B0}" type="TxLink">
            <a:rPr lang="en-US" sz="1100" b="0" i="0" u="none" strike="noStrike">
              <a:solidFill>
                <a:srgbClr val="000000"/>
              </a:solidFill>
              <a:latin typeface="Arialri"/>
            </a:rPr>
            <a:pPr algn="ctr"/>
            <a:t>Hide All Projects</a:t>
          </a:fld>
          <a:endParaRPr lang="en-US" sz="1100"/>
        </a:p>
      </xdr:txBody>
    </xdr:sp>
    <xdr:clientData fPrintsWithSheet="0"/>
  </xdr:twoCellAnchor>
  <xdr:twoCellAnchor>
    <xdr:from>
      <xdr:col>14</xdr:col>
      <xdr:colOff>166161</xdr:colOff>
      <xdr:row>4</xdr:row>
      <xdr:rowOff>61402</xdr:rowOff>
    </xdr:from>
    <xdr:to>
      <xdr:col>49</xdr:col>
      <xdr:colOff>384844</xdr:colOff>
      <xdr:row>37</xdr:row>
      <xdr:rowOff>33335</xdr:rowOff>
    </xdr:to>
    <xdr:grpSp>
      <xdr:nvGrpSpPr>
        <xdr:cNvPr id="33" name="HelpGrp4" hidden="1"/>
        <xdr:cNvGrpSpPr/>
      </xdr:nvGrpSpPr>
      <xdr:grpSpPr>
        <a:xfrm>
          <a:off x="6062136" y="499552"/>
          <a:ext cx="11724883" cy="5315458"/>
          <a:chOff x="767850" y="256445"/>
          <a:chExt cx="11216915" cy="5192865"/>
        </a:xfrm>
      </xdr:grpSpPr>
      <xdr:sp macro="" textlink="">
        <xdr:nvSpPr>
          <xdr:cNvPr id="34" name="Rectangular Callout 33" hidden="1"/>
          <xdr:cNvSpPr/>
        </xdr:nvSpPr>
        <xdr:spPr>
          <a:xfrm>
            <a:off x="9275021" y="2550285"/>
            <a:ext cx="2690812" cy="859633"/>
          </a:xfrm>
          <a:prstGeom prst="wedgeRectCallout">
            <a:avLst>
              <a:gd name="adj1" fmla="val -37045"/>
              <a:gd name="adj2" fmla="val -6905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Use the unit selector to change the values and how they are shown</a:t>
            </a:r>
          </a:p>
          <a:p>
            <a:pPr algn="ctr"/>
            <a:r>
              <a:rPr lang="en-US" sz="1100"/>
              <a:t>$K</a:t>
            </a:r>
            <a:r>
              <a:rPr lang="en-US" sz="1100" baseline="0"/>
              <a:t> USD = Thousands , shown no decimals</a:t>
            </a:r>
          </a:p>
          <a:p>
            <a:pPr algn="ctr"/>
            <a:r>
              <a:rPr lang="en-US" sz="1100" baseline="0"/>
              <a:t>$MM USD = Millions, shown to 3 decimals</a:t>
            </a:r>
          </a:p>
        </xdr:txBody>
      </xdr:sp>
      <xdr:sp macro="" textlink="">
        <xdr:nvSpPr>
          <xdr:cNvPr id="35" name="Rectangular Callout 34" hidden="1"/>
          <xdr:cNvSpPr/>
        </xdr:nvSpPr>
        <xdr:spPr>
          <a:xfrm>
            <a:off x="9293953" y="3882445"/>
            <a:ext cx="2690812" cy="1566865"/>
          </a:xfrm>
          <a:prstGeom prst="wedgeRectCallout">
            <a:avLst>
              <a:gd name="adj1" fmla="val -59093"/>
              <a:gd name="adj2" fmla="val -31993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Pick the months to show</a:t>
            </a:r>
            <a:endParaRPr lang="en-US" sz="1100" baseline="0"/>
          </a:p>
          <a:p>
            <a:pPr algn="l">
              <a:spcAft>
                <a:spcPts val="600"/>
              </a:spcAft>
            </a:pPr>
            <a:r>
              <a:rPr lang="en-US" sz="1100" baseline="0"/>
              <a:t>Select an individual month to show only one month of financials</a:t>
            </a:r>
          </a:p>
          <a:p>
            <a:pPr algn="l">
              <a:spcAft>
                <a:spcPts val="600"/>
              </a:spcAft>
            </a:pPr>
            <a:r>
              <a:rPr lang="en-US" sz="1100" baseline="0"/>
              <a:t>Select a 3 months to show Quarterly data (ie Jan-Feb-Mar will give 1Q results)</a:t>
            </a:r>
          </a:p>
          <a:p>
            <a:pPr algn="l">
              <a:spcAft>
                <a:spcPts val="600"/>
              </a:spcAft>
            </a:pPr>
            <a:r>
              <a:rPr lang="en-US" sz="1100" baseline="0"/>
              <a:t>Select all prior months to see YTD</a:t>
            </a:r>
          </a:p>
        </xdr:txBody>
      </xdr:sp>
      <xdr:sp macro="" textlink="">
        <xdr:nvSpPr>
          <xdr:cNvPr id="36" name="Rectangular Callout 35" hidden="1"/>
          <xdr:cNvSpPr/>
        </xdr:nvSpPr>
        <xdr:spPr>
          <a:xfrm>
            <a:off x="1475222" y="256445"/>
            <a:ext cx="2928939" cy="452437"/>
          </a:xfrm>
          <a:prstGeom prst="wedgeRectCallout">
            <a:avLst>
              <a:gd name="adj1" fmla="val -24642"/>
              <a:gd name="adj2" fmla="val -89309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Monthly data can be shown as individual months or cumulative</a:t>
            </a:r>
            <a:r>
              <a:rPr lang="en-US" sz="1100" baseline="0"/>
              <a:t> by changing the selector</a:t>
            </a:r>
          </a:p>
        </xdr:txBody>
      </xdr:sp>
      <xdr:sp macro="" textlink="">
        <xdr:nvSpPr>
          <xdr:cNvPr id="37" name="Rectangular Callout 36" hidden="1"/>
          <xdr:cNvSpPr/>
        </xdr:nvSpPr>
        <xdr:spPr>
          <a:xfrm>
            <a:off x="6188959" y="4306277"/>
            <a:ext cx="2000582" cy="807244"/>
          </a:xfrm>
          <a:prstGeom prst="wedgeRectCallout">
            <a:avLst>
              <a:gd name="adj1" fmla="val -34474"/>
              <a:gd name="adj2" fmla="val -86709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Graph shows the % of spend for year to date through</a:t>
            </a:r>
            <a:r>
              <a:rPr lang="en-US" sz="1100" baseline="0"/>
              <a:t> last month with closed financials</a:t>
            </a:r>
          </a:p>
        </xdr:txBody>
      </xdr:sp>
      <xdr:sp macro="" textlink="">
        <xdr:nvSpPr>
          <xdr:cNvPr id="38" name="Rectangular Callout 37" hidden="1"/>
          <xdr:cNvSpPr/>
        </xdr:nvSpPr>
        <xdr:spPr>
          <a:xfrm>
            <a:off x="767850" y="1587169"/>
            <a:ext cx="2396914" cy="960097"/>
          </a:xfrm>
          <a:prstGeom prst="wedgeRectCallout">
            <a:avLst>
              <a:gd name="adj1" fmla="val -63260"/>
              <a:gd name="adj2" fmla="val -86372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Selecting this tab will open and close the full list of Projects</a:t>
            </a:r>
          </a:p>
          <a:p>
            <a:pPr algn="ctr"/>
            <a:r>
              <a:rPr lang="en-US" sz="1100"/>
              <a:t>The list can be filtered by Theme</a:t>
            </a:r>
          </a:p>
          <a:p>
            <a:pPr algn="ctr"/>
            <a:r>
              <a:rPr lang="en-US" sz="1100"/>
              <a:t>Both Projects and Subthemes</a:t>
            </a:r>
            <a:r>
              <a:rPr lang="en-US" sz="1100" baseline="0"/>
              <a:t> can be selected to bring up details</a:t>
            </a:r>
            <a:endParaRPr lang="en-US" sz="1100"/>
          </a:p>
        </xdr:txBody>
      </xdr:sp>
      <xdr:sp macro="" textlink="">
        <xdr:nvSpPr>
          <xdr:cNvPr id="39" name="Rectangular Callout 38" hidden="1"/>
          <xdr:cNvSpPr/>
        </xdr:nvSpPr>
        <xdr:spPr>
          <a:xfrm>
            <a:off x="1753074" y="3516548"/>
            <a:ext cx="1582668" cy="833438"/>
          </a:xfrm>
          <a:prstGeom prst="wedgeRectCallout">
            <a:avLst>
              <a:gd name="adj1" fmla="val -91250"/>
              <a:gd name="adj2" fmla="val -55874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Selecting a SOF number will bring up the SOF details</a:t>
            </a:r>
            <a:r>
              <a:rPr lang="en-US" sz="1100" baseline="0"/>
              <a:t> tab</a:t>
            </a:r>
            <a:endParaRPr lang="en-US" sz="1100"/>
          </a:p>
        </xdr:txBody>
      </xdr:sp>
      <xdr:sp macro="" textlink="">
        <xdr:nvSpPr>
          <xdr:cNvPr id="40" name="Rectangular Callout 39" hidden="1"/>
          <xdr:cNvSpPr/>
        </xdr:nvSpPr>
        <xdr:spPr>
          <a:xfrm>
            <a:off x="7008606" y="1002082"/>
            <a:ext cx="2612232" cy="940594"/>
          </a:xfrm>
          <a:prstGeom prst="wedgeRectCallout">
            <a:avLst>
              <a:gd name="adj1" fmla="val -63587"/>
              <a:gd name="adj2" fmla="val 34092"/>
            </a:avLst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>
              <a:spcAft>
                <a:spcPts val="600"/>
              </a:spcAft>
            </a:pPr>
            <a:r>
              <a:rPr lang="en-US" sz="1100"/>
              <a:t>Summary spend and plan for</a:t>
            </a:r>
          </a:p>
          <a:p>
            <a:pPr algn="ctr">
              <a:spcAft>
                <a:spcPts val="0"/>
              </a:spcAft>
            </a:pPr>
            <a:r>
              <a:rPr lang="en-US" sz="1100" baseline="0"/>
              <a:t>Monthly = Only Months selected</a:t>
            </a:r>
          </a:p>
          <a:p>
            <a:pPr algn="ctr">
              <a:spcAft>
                <a:spcPts val="600"/>
              </a:spcAft>
            </a:pPr>
            <a:r>
              <a:rPr lang="en-US" sz="1100" baseline="0"/>
              <a:t>FY = total 2013 independent of selection</a:t>
            </a:r>
          </a:p>
          <a:p>
            <a:pPr algn="ctr">
              <a:spcAft>
                <a:spcPts val="600"/>
              </a:spcAft>
            </a:pPr>
            <a:r>
              <a:rPr lang="en-US" sz="1100" i="1" baseline="0"/>
              <a:t>Monthly will = FY if all months selected</a:t>
            </a:r>
          </a:p>
        </xdr:txBody>
      </xdr:sp>
    </xdr:grpSp>
    <xdr:clientData/>
  </xdr:twoCellAnchor>
  <xdr:twoCellAnchor>
    <xdr:from>
      <xdr:col>48</xdr:col>
      <xdr:colOff>2024063</xdr:colOff>
      <xdr:row>1</xdr:row>
      <xdr:rowOff>44449</xdr:rowOff>
    </xdr:from>
    <xdr:to>
      <xdr:col>63</xdr:col>
      <xdr:colOff>523875</xdr:colOff>
      <xdr:row>47</xdr:row>
      <xdr:rowOff>83343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0</xdr:rowOff>
        </xdr:from>
        <xdr:to>
          <xdr:col>1</xdr:col>
          <xdr:colOff>28575</xdr:colOff>
          <xdr:row>40</xdr:row>
          <xdr:rowOff>0</xdr:rowOff>
        </xdr:to>
        <xdr:sp macro="" textlink="">
          <xdr:nvSpPr>
            <xdr:cNvPr id="14337" name="Scroll Bar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352425</xdr:colOff>
          <xdr:row>1</xdr:row>
          <xdr:rowOff>38100</xdr:rowOff>
        </xdr:from>
        <xdr:to>
          <xdr:col>16</xdr:col>
          <xdr:colOff>123825</xdr:colOff>
          <xdr:row>3</xdr:row>
          <xdr:rowOff>19050</xdr:rowOff>
        </xdr:to>
        <xdr:sp macro="" textlink="">
          <xdr:nvSpPr>
            <xdr:cNvPr id="14339" name="Check Box 3" descr="Show cumulative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cumulative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19</xdr:row>
          <xdr:rowOff>0</xdr:rowOff>
        </xdr:from>
        <xdr:to>
          <xdr:col>13</xdr:col>
          <xdr:colOff>219075</xdr:colOff>
          <xdr:row>40</xdr:row>
          <xdr:rowOff>76200</xdr:rowOff>
        </xdr:to>
        <xdr:sp macro="" textlink="">
          <xdr:nvSpPr>
            <xdr:cNvPr id="14340" name="Scroll Bar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21</xdr:row>
          <xdr:rowOff>76200</xdr:rowOff>
        </xdr:from>
        <xdr:to>
          <xdr:col>34</xdr:col>
          <xdr:colOff>447675</xdr:colOff>
          <xdr:row>22</xdr:row>
          <xdr:rowOff>95250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23</xdr:row>
          <xdr:rowOff>28575</xdr:rowOff>
        </xdr:from>
        <xdr:to>
          <xdr:col>34</xdr:col>
          <xdr:colOff>447675</xdr:colOff>
          <xdr:row>24</xdr:row>
          <xdr:rowOff>47625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24</xdr:row>
          <xdr:rowOff>133350</xdr:rowOff>
        </xdr:from>
        <xdr:to>
          <xdr:col>34</xdr:col>
          <xdr:colOff>447675</xdr:colOff>
          <xdr:row>25</xdr:row>
          <xdr:rowOff>152400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26</xdr:row>
          <xdr:rowOff>57150</xdr:rowOff>
        </xdr:from>
        <xdr:to>
          <xdr:col>34</xdr:col>
          <xdr:colOff>447675</xdr:colOff>
          <xdr:row>27</xdr:row>
          <xdr:rowOff>85725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28</xdr:row>
          <xdr:rowOff>0</xdr:rowOff>
        </xdr:from>
        <xdr:to>
          <xdr:col>34</xdr:col>
          <xdr:colOff>447675</xdr:colOff>
          <xdr:row>29</xdr:row>
          <xdr:rowOff>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29</xdr:row>
          <xdr:rowOff>104775</xdr:rowOff>
        </xdr:from>
        <xdr:to>
          <xdr:col>34</xdr:col>
          <xdr:colOff>447675</xdr:colOff>
          <xdr:row>30</xdr:row>
          <xdr:rowOff>123825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31</xdr:row>
          <xdr:rowOff>28575</xdr:rowOff>
        </xdr:from>
        <xdr:to>
          <xdr:col>34</xdr:col>
          <xdr:colOff>447675</xdr:colOff>
          <xdr:row>32</xdr:row>
          <xdr:rowOff>47625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32</xdr:row>
          <xdr:rowOff>123825</xdr:rowOff>
        </xdr:from>
        <xdr:to>
          <xdr:col>34</xdr:col>
          <xdr:colOff>447675</xdr:colOff>
          <xdr:row>33</xdr:row>
          <xdr:rowOff>133350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34</xdr:row>
          <xdr:rowOff>38100</xdr:rowOff>
        </xdr:from>
        <xdr:to>
          <xdr:col>34</xdr:col>
          <xdr:colOff>447675</xdr:colOff>
          <xdr:row>35</xdr:row>
          <xdr:rowOff>57150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35</xdr:row>
          <xdr:rowOff>123825</xdr:rowOff>
        </xdr:from>
        <xdr:to>
          <xdr:col>34</xdr:col>
          <xdr:colOff>447675</xdr:colOff>
          <xdr:row>36</xdr:row>
          <xdr:rowOff>142875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37</xdr:row>
          <xdr:rowOff>38100</xdr:rowOff>
        </xdr:from>
        <xdr:to>
          <xdr:col>34</xdr:col>
          <xdr:colOff>447675</xdr:colOff>
          <xdr:row>38</xdr:row>
          <xdr:rowOff>66675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38</xdr:row>
          <xdr:rowOff>123825</xdr:rowOff>
        </xdr:from>
        <xdr:to>
          <xdr:col>34</xdr:col>
          <xdr:colOff>447675</xdr:colOff>
          <xdr:row>39</xdr:row>
          <xdr:rowOff>142875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17</xdr:row>
          <xdr:rowOff>19050</xdr:rowOff>
        </xdr:from>
        <xdr:to>
          <xdr:col>48</xdr:col>
          <xdr:colOff>133350</xdr:colOff>
          <xdr:row>18</xdr:row>
          <xdr:rowOff>57150</xdr:rowOff>
        </xdr:to>
        <xdr:sp macro="" textlink="">
          <xdr:nvSpPr>
            <xdr:cNvPr id="14353" name="Drop Down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11</xdr:col>
          <xdr:colOff>19050</xdr:colOff>
          <xdr:row>2</xdr:row>
          <xdr:rowOff>28575</xdr:rowOff>
        </xdr:to>
        <xdr:sp macro="" textlink="">
          <xdr:nvSpPr>
            <xdr:cNvPr id="14357" name="SortSelector2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14</xdr:row>
          <xdr:rowOff>123825</xdr:rowOff>
        </xdr:from>
        <xdr:to>
          <xdr:col>31</xdr:col>
          <xdr:colOff>609600</xdr:colOff>
          <xdr:row>16</xdr:row>
          <xdr:rowOff>0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At-a-glance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1</xdr:row>
          <xdr:rowOff>9525</xdr:rowOff>
        </xdr:from>
        <xdr:to>
          <xdr:col>6</xdr:col>
          <xdr:colOff>371475</xdr:colOff>
          <xdr:row>3</xdr:row>
          <xdr:rowOff>9525</xdr:rowOff>
        </xdr:to>
        <xdr:sp macro="" textlink="">
          <xdr:nvSpPr>
            <xdr:cNvPr id="14483" name="ComboBox1" hidden="1">
              <a:extLst>
                <a:ext uri="{63B3BB69-23CF-44E3-9099-C40C66FF867C}">
                  <a14:compatExt spid="_x0000_s14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11</xdr:row>
          <xdr:rowOff>161925</xdr:rowOff>
        </xdr:from>
        <xdr:to>
          <xdr:col>27</xdr:col>
          <xdr:colOff>419100</xdr:colOff>
          <xdr:row>16</xdr:row>
          <xdr:rowOff>152400</xdr:rowOff>
        </xdr:to>
        <xdr:pic>
          <xdr:nvPicPr>
            <xdr:cNvPr id="14512" name="Picture 23"/>
            <xdr:cNvPicPr>
              <a:picLocks noChangeAspect="1" noChangeArrowheads="1"/>
              <a:extLst>
                <a:ext uri="{84589F7E-364E-4C9E-8A38-B11213B215E9}">
                  <a14:cameraTool cellRange="STProjectbyMonth!$AJ$7:$AP$11" spid="_x0000_s1451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9286875" y="1733550"/>
              <a:ext cx="2790825" cy="800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1</xdr:row>
          <xdr:rowOff>152400</xdr:rowOff>
        </xdr:from>
        <xdr:to>
          <xdr:col>35</xdr:col>
          <xdr:colOff>123825</xdr:colOff>
          <xdr:row>12</xdr:row>
          <xdr:rowOff>76200</xdr:rowOff>
        </xdr:to>
        <xdr:pic>
          <xdr:nvPicPr>
            <xdr:cNvPr id="14513" name="Picture 32"/>
            <xdr:cNvPicPr>
              <a:picLocks noChangeAspect="1" noChangeArrowheads="1"/>
              <a:extLst>
                <a:ext uri="{84589F7E-364E-4C9E-8A38-B11213B215E9}">
                  <a14:cameraTool cellRange="STProjectbyAcct!$AJ$2:$AP$10" spid="_x0000_s1451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2211050" y="200025"/>
              <a:ext cx="2457450" cy="1609725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13335</xdr:colOff>
      <xdr:row>7</xdr:row>
      <xdr:rowOff>47626</xdr:rowOff>
    </xdr:from>
    <xdr:to>
      <xdr:col>37</xdr:col>
      <xdr:colOff>104775</xdr:colOff>
      <xdr:row>7</xdr:row>
      <xdr:rowOff>184786</xdr:rowOff>
    </xdr:to>
    <xdr:sp macro="" textlink="">
      <xdr:nvSpPr>
        <xdr:cNvPr id="2" name="Flowchart: Extract 1"/>
        <xdr:cNvSpPr/>
      </xdr:nvSpPr>
      <xdr:spPr>
        <a:xfrm rot="5400000">
          <a:off x="30603825" y="1432561"/>
          <a:ext cx="137160" cy="91440"/>
        </a:xfrm>
        <a:prstGeom prst="flowChartExtract">
          <a:avLst/>
        </a:prstGeom>
        <a:solidFill>
          <a:schemeClr val="accent6">
            <a:lumMod val="60000"/>
            <a:lumOff val="40000"/>
          </a:schemeClr>
        </a:solidFill>
        <a:ln w="9525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13335</xdr:colOff>
      <xdr:row>9</xdr:row>
      <xdr:rowOff>28576</xdr:rowOff>
    </xdr:from>
    <xdr:to>
      <xdr:col>37</xdr:col>
      <xdr:colOff>104775</xdr:colOff>
      <xdr:row>9</xdr:row>
      <xdr:rowOff>165736</xdr:rowOff>
    </xdr:to>
    <xdr:sp macro="" textlink="">
      <xdr:nvSpPr>
        <xdr:cNvPr id="3" name="Flowchart: Extract 2"/>
        <xdr:cNvSpPr/>
      </xdr:nvSpPr>
      <xdr:spPr>
        <a:xfrm rot="5400000">
          <a:off x="30603825" y="1689736"/>
          <a:ext cx="137160" cy="91440"/>
        </a:xfrm>
        <a:prstGeom prst="flowChartExtract">
          <a:avLst/>
        </a:prstGeom>
        <a:solidFill>
          <a:schemeClr val="accent6">
            <a:lumMod val="60000"/>
            <a:lumOff val="40000"/>
          </a:schemeClr>
        </a:solidFill>
        <a:ln w="9525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</xdr:colOff>
      <xdr:row>2</xdr:row>
      <xdr:rowOff>19050</xdr:rowOff>
    </xdr:from>
    <xdr:to>
      <xdr:col>41</xdr:col>
      <xdr:colOff>9525</xdr:colOff>
      <xdr:row>10</xdr:row>
      <xdr:rowOff>0</xdr:rowOff>
    </xdr:to>
    <xdr:cxnSp macro="">
      <xdr:nvCxnSpPr>
        <xdr:cNvPr id="2" name="Straight Connector 1"/>
        <xdr:cNvCxnSpPr/>
      </xdr:nvCxnSpPr>
      <xdr:spPr>
        <a:xfrm>
          <a:off x="14820900" y="457200"/>
          <a:ext cx="0" cy="127635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jorie Waters" refreshedDate="41983.841502199073" createdVersion="4" refreshedVersion="5" minRefreshableVersion="3" recordCount="718">
  <cacheSource type="worksheet">
    <worksheetSource name="DB_SOFProject"/>
  </cacheSource>
  <cacheFields count="35">
    <cacheField name="Theme(T)" numFmtId="0">
      <sharedItems count="31">
        <s v="2. Theme 1"/>
        <s v="11. Theme 10"/>
        <s v="3. Theme 2"/>
        <s v="4. Theme 3"/>
        <s v="5. Theme 4"/>
        <s v="6. Theme 5"/>
        <s v="7. Theme 6"/>
        <s v="8. Theme 7"/>
        <s v="9. Theme 8"/>
        <s v="10. Theme 9"/>
        <s v="10. Cross-Thematic" u="1"/>
        <s v="HIV / AIDS" u="1"/>
        <s v="9. Emergencies" u="1"/>
        <s v="4. Nutrition" u="1"/>
        <s v="5. Child rights governance" u="1"/>
        <s v="Nutrition" u="1"/>
        <s v="Cross-Thematic" u="1"/>
        <s v="Livelihoods" u="1"/>
        <s v="Education" u="1"/>
        <s v="Show All" u="1"/>
        <s v="Non-Thematic" u="1"/>
        <s v="8. Livelihoods" u="1"/>
        <s v="7. HIV / AIDS" u="1"/>
        <s v="2. Education" u="1"/>
        <s v="6. Child protection" u="1"/>
        <s v="Child rights governance" u="1"/>
        <s v="11. Non-Thematic" u="1"/>
        <s v="Health" u="1"/>
        <s v="3. Health" u="1"/>
        <s v="Emergencies" u="1"/>
        <s v="Child protection" u="1"/>
      </sharedItems>
    </cacheField>
    <cacheField name="SOFFull" numFmtId="0">
      <sharedItems count="231">
        <s v="10604713 - SOF 52"/>
        <s v="12831166 - SOF 60"/>
        <s v="14925742 - SOF 51"/>
        <s v="16059950 - SOF 84"/>
        <s v="19248607 - SOF 88"/>
        <s v="19741290 - SOF 22"/>
        <s v="19909676 - SOF 61"/>
        <s v="23386574 - SOF 7"/>
        <s v="25695423 - SOF 103"/>
        <s v="35492335 - SOF 21"/>
        <s v="39953425 - SOF 32"/>
        <s v="40174274 - SOF 50"/>
        <s v="41722128 - SOF 104"/>
        <s v="42375577 - SOF 6"/>
        <s v="42625033 - SOF 69"/>
        <s v="44334113 - SOF 59"/>
        <s v="46240023 - SOF 83"/>
        <s v="52814464 - SOF 105"/>
        <s v="52989884 - SOF 70"/>
        <s v="55277321 - SOF 37"/>
        <s v="57646128 - SOF 20"/>
        <s v="58741984 - SOF 99"/>
        <s v="60259137 - SOF 101"/>
        <s v="66604486 - SOF 49"/>
        <s v="67141408 - SOF 5"/>
        <s v="75457345 - SOF 62"/>
        <s v="79667520 - SOF 4"/>
        <s v="80793091 - SOF 1"/>
        <s v="80848453 - SOF 95"/>
        <s v="82108882 - SOF 2"/>
        <s v="87319457 - SOF 3"/>
        <s v="10982744 - SOF 31"/>
        <s v="11050994 - SOF 26"/>
        <s v="13514762 - SOF 63"/>
        <s v="14122484 - SOF 64"/>
        <s v="15257207 - SOF 77"/>
        <s v="16460272 - SOF 85"/>
        <s v="18072790 - SOF 41"/>
        <s v="18573509 - SOF 23"/>
        <s v="19289657 - SOF 74"/>
        <s v="19641667 - SOF 75"/>
        <s v="21254302 - SOF 34"/>
        <s v="22386924 - SOF 82"/>
        <s v="24631815 - SOF 67"/>
        <s v="25361378 - SOF 15"/>
        <s v="25769255 - SOF 19"/>
        <s v="26286524 - SOF 90"/>
        <s v="27277231 - SOF 43"/>
        <s v="28651574 - SOF 81"/>
        <s v="28973909 - SOF 39"/>
        <s v="31076731 - SOF 91"/>
        <s v="31412842 - SOF 86"/>
        <s v="31658399 - SOF 9"/>
        <s v="33175583 - SOF 97"/>
        <s v="35437440 - SOF 14"/>
        <s v="36506045 - SOF 53"/>
        <s v="37820497 - SOF 10"/>
        <s v="38944310 - SOF 30"/>
        <s v="42910073 - SOF 13"/>
        <s v="46115228 - SOF 17"/>
        <s v="47582614 - SOF 78"/>
        <s v="49364757 - SOF 33"/>
        <s v="52012895 - SOF 28"/>
        <s v="53153093 - SOF 8"/>
        <s v="54109154 - SOF 12"/>
        <s v="55352291 - SOF 79"/>
        <s v="55861536 - SOF 45"/>
        <s v="56273679 - SOF 24"/>
        <s v="66692406 - SOF 40"/>
        <s v="67005014 - SOF 65"/>
        <s v="70627397 - SOF 25"/>
        <s v="72383897 - SOF 72"/>
        <s v="75208426 - SOF 47"/>
        <s v="76902868 - SOF 18"/>
        <s v="76952288 - SOF 11"/>
        <s v="80613236 - SOF 58"/>
        <s v="80949346 - SOF 115"/>
        <s v="81107313 - SOF 55"/>
        <s v="81419264 - SOF 68"/>
        <s v="81960144 - SOF 80"/>
        <s v="83165500 - SOF 73"/>
        <s v="83261888 - SOF 57"/>
        <s v="83299205 - SOF 54"/>
        <s v="84113902 - SOF 76"/>
        <s v="84992292 - SOF 44"/>
        <s v="86866304 - SOF 92"/>
        <s v="89651430 - SOF 36"/>
        <s v="90450317 - SOF 35"/>
        <s v="91115735 - SOF 29"/>
        <s v="92127180 - SOF 42"/>
        <s v="93034258 - SOF 16"/>
        <s v="94988998 - SOF 46"/>
        <s v="95054751 - SOF 56"/>
        <s v="96913151 - SOF 38"/>
        <s v="99992573 - SOF 71"/>
        <s v="34560468 - SOF 102"/>
        <s v="35474736 - SOF 110"/>
        <s v="51354100 - SOF 106"/>
        <s v="93719829 - SOF 100"/>
        <s v="41648553 - SOF 89"/>
        <s v="70614937 - SOF 96"/>
        <s v="96171218 - SOF 93"/>
        <s v="18946394 - SOF 27"/>
        <s v="61169454 - SOF 111"/>
        <s v="83911347 - SOF 107"/>
        <s v="64472239 - SOF 94"/>
        <s v="72393833 - SOF 66"/>
        <s v="80762383 - SOF 113"/>
        <s v="12381712 - SOF 87"/>
        <s v="25293904 - SOF 114"/>
        <s v="26829471 - SOF 98"/>
        <s v="63175636 - SOF 108"/>
        <s v="98739617 - SOF 109"/>
        <s v="58296851 - SOF 112"/>
        <s v="82600145 - BGD Unilever Bangladesh - Tackling Childhood Malnutrition" u="1"/>
        <s v="84000204 - BGD Nike Foundation - Nike Girl Initiative" u="1"/>
        <s v="82600062 - BGD Mother Care" u="1"/>
        <s v="75200285 - BGD SCS MGF 2013 CP Restricted" u="1"/>
        <s v="24600008 - BGD Livelihoods framework funding" u="1"/>
        <s v="99902013 - Non-Award Funded Country Office Costs 2013" u="1"/>
        <s v="20800014 - BGD Support Urban slum children to access inclusive Non-fomal Education(SUSTAIN)" u="1"/>
        <s v="84000659 - BGD Rotary Club GIK" u="1"/>
        <s v="82600604 - BGD Breakthrough Allocation Education 2013" u="1"/>
        <s v="20800003 - BGD Partnerships to combat child labour" u="1"/>
        <s v="82600550 - BGD Hygiene support aftermath of the flooding in the Sathkhira and Bhola" u="1"/>
        <s v="75200284 - BGD SCS MGF 2013 CRG Restricted" u="1"/>
        <s v="75200017 - BGD IKEA Soft Toys Campaign 2009" u="1"/>
        <s v="03600091 - BGD AusAID ANCP DRR CCA 2012-2013" u="1"/>
        <s v="20800001 - BGD Child Protection Danida frame 2011-2013" u="1"/>
        <s v="03600092 - BGD SCA ANCP Match DRR CCA 2012-2013" u="1"/>
        <s v="03600093 - BGD AusAID ANCP CHETONA CP 2012-2013" u="1"/>
        <s v="84000639 - BGD FY13 Designated and Carry forward FY12" u="1"/>
        <s v="84000454 - BGD UNHCR 2013" u="1"/>
        <s v="84000483 - BGD Saving Newborn Lives 3" u="1"/>
        <s v="20800010 - BGD Rural Urban Child Migration" u="1"/>
        <s v="84000201 - BGD MCHIP Core" u="1"/>
        <s v="55400007 - BGD  Protection through Education for socially excluded Children in BD" u="1"/>
        <s v="41000064 - BGD ECEP Dauladia Research Project 2012-13" u="1"/>
        <s v="84000072 - BGD Bangladesh Quality Education" u="1"/>
        <s v="99700009 - HUM Central Seed Funding" u="1"/>
        <s v="82600123 - BGD Phase-2 Household Economic and Food Security of Extreme Poor" u="1"/>
        <s v="84000147 - BGD Aquaculture for Income and Nutrition (AIN)" u="1"/>
        <s v="82600105 - BGD The Clinic Appeal:Providing skilled birth attendance&amp;maternal serv ices" u="1"/>
        <s v="84000082 - BGD Designated" u="1"/>
        <s v="84000145 - BGD Designated FY 12" u="1"/>
        <s v="84000047 - BGD MYAP - food shipped and received" u="1"/>
        <s v="20800006 - BGD Child Right Governance Frame 2011-2013" u="1"/>
        <s v="82600074 - BGD Shiree Innovation Fund 4" u="1"/>
        <s v="82600605 - BGD Hunger&amp;Livelihoods Strategic Investment Funds 2013" u="1"/>
        <s v="84000085 - BGD ITSH-Nobo Jibon-MYAP" u="1"/>
        <s v="82600708 - BGD RB GIK 2011" u="1"/>
        <s v="84000532 - BGD Sponsorship 2013" u="1"/>
        <s v="82600050 - BGD UNDP CHTDF Health Cluster Phase II" u="1"/>
        <s v="82600052 - BGD Education in Emergency" u="1"/>
        <s v="82600106 - BGD Supporting working children- Bangladesh" u="1"/>
        <s v="75200091 - BGD Soft Toys 2012 2015" u="1"/>
        <s v="41000045 - BGD 2012 ECEP (Early Childhood Education Program) in Daulatdia and Cox´s Bazar" u="1"/>
        <s v="41000095 - BGD 2013 ECEP (Early Childhood Education Program) in Daulatdia and Cox´s Bazar" u="1"/>
        <s v="84000078 - BGD Sponsorship" u="1"/>
        <s v="41000018 - BGD Safe home  programme" u="1"/>
        <s v="20800008 - BGD Our Home, Phase III SANLAAP" u="1"/>
        <s v="41000077 - BGD 2013 KOICA - MaMoni Expansion of Maternal/Newborn Health (MNH) Services in Rural Bangladesh" u="1"/>
        <s v="84000184 - BGD Spring" u="1"/>
        <s v="84000130 - BGD Innovations Fund - VSL piloting" u="1"/>
        <s v="03600072 - BGD Office Management 2012" u="1"/>
        <s v="84000146 - BGD Sponsorship FY 12" u="1"/>
        <s v="82600616 - BGD CEF Appeal Fund 2013" u="1"/>
        <s v="75200099 - BGD Sida CSO 2013 15" u="1"/>
        <s v="82600091 - BGD SC UK General Fund Allocation 2012" u="1"/>
        <s v="03600094 - BGD SCA ANCP Match CHETONA CP 2012 - 2013" u="1"/>
        <s v="84000128 - BGD Procter and Gamble-Vicks Breathe for Pneumonia" u="1"/>
        <s v="41000038 - BGD 2012 KOICA-MaMoni Expansion of Maternal/Newborn Health (MNH) Services" u="1"/>
        <s v="41000007 - BGD Early Childhood Education Programme Bangladesh" u="1"/>
        <s v="82600353 - BGD Eary Recovery Support to flood victims in South East Bangladesh" u="1"/>
        <s v="99900020 - Exchange differences" u="1"/>
        <s v="82600053 - BGD EC Education &amp; Training For Young People" u="1"/>
        <s v="84000168 - BGD MCHIP- National Scaling up of HBB Initiatives" u="1"/>
        <s v="75200058 - BGD Sida Frame 2012" u="1"/>
        <s v="84000088 - BGD Helping Babies Breath (HBB) Scale Up" u="1"/>
        <s v="75200241 - BGD Emergency support to cold wave affected children" u="1"/>
        <s v="84000076 - BGD SHIKHON Learning Alternatives for Vulnerable Children" u="1"/>
        <s v="84000081 - BGD Tanisha: Improv Income &amp; Social" u="1"/>
        <s v="99900027 - Capacity Building" u="1"/>
        <s v="84000083 - BGD Makiko ISHNE evaluation" u="1"/>
        <s v="84000071 - BGD MCHIP" u="1"/>
        <s v="41000078 - BGD 2013 KOICA Match(SCK) - MaMoni Expansion of Maternal/Newborn Health (MNH) Services in Rural Bangladesh" u="1"/>
        <s v="84000063 - BGD ECB Phase 2" u="1"/>
        <s v="82600069 - BGD Shikhon II Supporting the Hardest to Reach Through Basic Education" u="1"/>
        <s v="84000023 - BGD PROTEEVA" u="1"/>
        <s v="84000091 - BGD Provision of educational services to refugees in Bangladesh" u="1"/>
        <s v="84000171 - BGD GIK - Government of Bangladesh" u="1"/>
        <s v="20800002 - BGD Work 2 Learn" u="1"/>
        <s v="75200064 - BGD Post Code Lottery 2012" u="1"/>
        <s v="82600257 - BGD Unilever Signature Programme" u="1"/>
        <s v="75200222 - BGD Post Code Lottery 2013" u="1"/>
        <s v="41000033 - BGD SBS TV Strengthening Maternal Newborn Child Health Care in Rural BGD" u="1"/>
        <s v="84000254 - BGD Health Strengthening Project" u="1"/>
        <s v="82600363 - BGD Flood response to support affected households in Satkhira" u="1"/>
        <s v="84000144 - BGD Undesignated FY 12" u="1"/>
        <s v="82600114 - BGD FY 2012 NCS Challenge Fund" u="1"/>
        <s v="84000084 - BGD Government Contribution for MYAP" u="1"/>
        <s v="84000056 - BGD 202e Nobo Jibon- MYAP" u="1"/>
        <s v="03600073 - BGD Child Rights Governance 2012" u="1"/>
        <s v="20800015 - BGD Improving child protection from sexual abuse" u="1"/>
        <s v="82600049 - BGD Child domestic workers Protection" u="1"/>
        <s v="82600606 - BGD Breakthrough Allocation-Accountability 2013" u="1"/>
        <s v="41000050 - BGD Bangladesh Safe Home 2012-2013 (Year 1)" u="1"/>
        <s v="41000039 - BGD 2012 KOICA Match(SCK)-MaMoni Expansion of MNH Services" u="1"/>
        <s v="82600148 - BGD  Pukra Health Clinic Capital Appeal RB" u="1"/>
        <s v="03600014 - BGD ORTOB MJF" u="1"/>
        <s v="75200018 - BGD IKEA Soft Toys campaign 2010" u="1"/>
        <s v="84000079 - BGD Rolling Continuation Channel" u="1"/>
        <s v="24600007 - BGD DRR Framework programme funding" u="1"/>
        <s v="82600119 - BGD Supporting working children Bangladesh-Match for 82600003" u="1"/>
        <s v="20800005 - BGD Education Danida frame 2011 - 2013" u="1"/>
        <s v="84000066 - BGD Monetization Nobo Jibon MYAP" u="1"/>
        <s v="84000077 - BGD Alive &amp; Thrive" u="1"/>
        <s v="41000049 - BGD Aparajito?Community based Child Protection Work" u="1"/>
        <s v="20800009 - BGD Work 2 Learn S Oliver" u="1"/>
        <s v="82600117 - BGD Strategic Investment FundS-Hunger &amp; Livelihoods" u="1"/>
        <s v="84000073 - BGD MCHIP (Maternal Child Health Integrated Program) MaMoni" u="1"/>
        <s v="20800007 - BGD Sponsorship: Save night for exploited street children INCIDIN" u="1"/>
        <s v="03600068 - BGD Education in Emergencies Capacity Building Project" u="1"/>
        <s v="03600011 - BGD ORTOB Plan" u="1"/>
        <s v="82600115 - BGD FY 2012 Education Challenge fund" u="1"/>
        <s v="82600003 - BGD Strengthening Non-State Actors" u="1"/>
        <s v="84000562 - BGD MM12 Award Haber-Silver Funds" u="1"/>
        <s v="41000055 - BGD Empowering working children to sustain and enjoy their rights-Jagoron" u="1"/>
        <s v="84000074 - BGD Saving Newborn Lives (SNL-2)" u="1"/>
        <s v="20800020 - BGD EYE Activities 2012" u="1"/>
        <s v="82600020 - BGD Challenge Fund  - Education" u="1"/>
      </sharedItems>
    </cacheField>
    <cacheField name="PROJECTFull" numFmtId="0">
      <sharedItems count="132">
        <s v="1007387 - Project 3"/>
        <s v="1005369 - Project 1"/>
        <s v="1006770 - Project 2"/>
        <s v="1004330 - Project 15"/>
        <s v="1007755 - Project 11"/>
        <s v="1009373 - Project 34"/>
        <s v="1005539 - Project 35"/>
        <s v="1008845 - Project 46"/>
        <s v="1004898 - Project 63"/>
        <s v="1005739 - Project 22"/>
        <s v="1002681 - Project 51"/>
        <s v="1004339 - Project 25"/>
        <s v="1007261 - Project 27"/>
        <s v="1009440 - Project 20"/>
        <s v="1009644 - Project 24"/>
        <s v="1002633 - Project 49"/>
        <s v="1006397 - Project 23"/>
        <s v="1005820 - Project 50"/>
        <s v="1003354 - Project 28"/>
        <s v="1008131 - Project 58"/>
        <s v="1004760 - Project 52"/>
        <s v="1001142 - Project 5"/>
        <s v="1005472 - Project 9"/>
        <s v="1001169 - Project 36"/>
        <s v="1005953 - Project 62"/>
        <s v="1003604 - Project 6"/>
        <s v="1004364 - Project 66"/>
        <s v="1008042 - Project 67"/>
        <s v="1006297 - Project 8"/>
        <s v="1009678 - Project 17"/>
        <s v="1004006 - Project 4"/>
        <s v="1002382 - Project 12"/>
        <s v="1009144 - Project 42"/>
        <s v="1003417 - Project 43"/>
        <s v="1003604 - Project 38"/>
        <s v="1004172 - Project 10"/>
        <s v="1004006 - Project 13"/>
        <s v="1007740 - Project 16"/>
        <s v="1004932 - Project 19"/>
        <s v="1005028 - Project 37"/>
        <s v="1002499 - Project 18"/>
        <s v="1002757 - Project 31"/>
        <s v="1002772 - Project 57"/>
        <s v="1003484 - Project 29"/>
        <s v="1004402 - Project 64"/>
        <s v="1004543 - Project 61"/>
        <s v="1004552 - Project 60"/>
        <s v="1005645 - Project 56"/>
        <s v="1008571 - Project 55"/>
        <s v="1009741 - Project 30"/>
        <s v="1009863 - Project 59"/>
        <s v="1006634 - Project 14"/>
        <s v="1002043 - Project 7"/>
        <s v="1005395 - Project 32"/>
        <s v="1008885 - Project 41"/>
        <s v="1006951 - Project 33"/>
        <s v="1002120 - Project 45"/>
        <s v="1001446 - Project 39"/>
        <s v="1009046 - Project 65"/>
        <s v="1007370 - Project 47"/>
        <s v="1006042 - Project 53"/>
        <s v="1005327 - Project 26"/>
        <s v="1005659 - Project 21"/>
        <s v="1009065 - Project 54"/>
        <s v="1001572 - Project 48"/>
        <s v="0500023 - BGD adolescent livelihoods" u="1"/>
        <s v="0500024 - BGD child nutrition CMAM" u="1"/>
        <s v="0500002 - BGD SDA 1.2 Services for female sex" u="1"/>
        <s v="0509062 - Advocacy and Media" u="1"/>
        <s v="0509066 - Member Servicing &amp; Marketing" u="1"/>
        <s v="0500026 - BGD Adolescent health" u="1"/>
        <s v="0509054 - Administration" u="1"/>
        <s v="0500030 - BGD Saving newborn lives (SNL)" u="1"/>
        <s v="0500041 - BGD Child led monitoring and reporting" u="1"/>
        <s v="0500055 - BGD Prevention of HIV" u="1"/>
        <s v="0500048 - BGD Technical vacational education &amp; training" u="1"/>
        <s v="0500040 - BGD Social Protection (SP)" u="1"/>
        <s v="0500044 - BGD Multi lingual education" u="1"/>
        <s v="0500027 - BGD Child protection" u="1"/>
        <s v="0500056 - BGD Integrated Child Centered CCA" u="1"/>
        <s v="0500021 - BGD Community mobilisation" u="1"/>
        <s v="0509057 - Logistics &amp; Procurement" u="1"/>
        <s v="0500004 - BGD SDA 2.2: Expand delivery of behavior change" u="1"/>
        <s v="0500008 - BGD SDA 3.7 Monitoring coverage and quality" u="1"/>
        <s v="0500028 - BGD EYE Education for Youth Empowerment" u="1"/>
        <s v="0500011 - BGD SDA 3.8 Operational research into intervention" u="1"/>
        <s v="0500029 - BGD Adolescent Education" u="1"/>
        <s v="0500053 - BGD ICT Formal Education" u="1"/>
        <s v="0500032 - BGD Child Rights Governance" u="1"/>
        <s v="0509051 - Country Leadership" u="1"/>
        <s v="0509064 - Emergency Preparedness" u="1"/>
        <s v="0500003 - BGD SDA 2.1 Expand HIV teaching to unnerved areas" u="1"/>
        <s v="0500013 - BGD Early Childhood Development" u="1"/>
        <s v="0500054 - BGD Child Nutrition" u="1"/>
        <s v="0509060 - Grant Management" u="1"/>
        <s v="0500016 - BGD Market based production and income generation" u="1"/>
        <s v="0500034 - BGD Children justice system" u="1"/>
        <s v="0500005 - BGD SDA 2.4 Youth friendly health services" u="1"/>
        <s v="0500022 - BGD Advocacy and BCC" u="1"/>
        <s v="0509058 - Human Resource Management" u="1"/>
        <s v="0500001 - BGD SDA 1.1 services for Injecting DrugUsers Ides" u="1"/>
        <s v="0500057 - BGD Care &amp; protection for children of sex workers" u="1"/>
        <s v="0500006 - BGD SDA 2.5 Primary prevention &amp; risk reduction" u="1"/>
        <s v="0500043 - BGD NCTF (national children´s task force)" u="1"/>
        <s v="0500018 - BGD Non-formal primary education" u="1"/>
        <s v="0500015 - BGD Maternal and child health and nutrition" u="1"/>
        <s v="0509059 - Finance" u="1"/>
        <s v="9999100 - Balance Sheet Currency Revaluations" u="1"/>
        <s v="0500035 - BGD Livelihoods" u="1"/>
        <s v="0500033 - BGD Child labour" u="1"/>
        <s v="0500039 - BGD Mobile medical services - young children" u="1"/>
        <s v="0509053 - Monitoring and Evaluation" u="1"/>
        <s v="0509068 - HR Capacity Building - Programmatic" u="1"/>
        <s v="0509055 - Information Systems" u="1"/>
        <s v="0500010 - BGD SDA 3.6 Develop capacity building mechanism" u="1"/>
        <s v="0500051 - BGD General Relief and Emergency Management" u="1"/>
        <s v="0500017 - BGD DRR" u="1"/>
        <s v="0500037 - BGD Education in emergencies" u="1"/>
        <s v="0500031 - BGD Institutional capacity building" u="1"/>
        <s v="0500020 - BGD Health systems strengthening" u="1"/>
        <s v="0509052 - Program Management" u="1"/>
        <s v="0509065 - Partner Management" u="1"/>
        <s v="0509056 - Legal and Compliance" u="1"/>
        <s v="0509063 - Safety &amp; Security" u="1"/>
        <s v="0500049 - BGD Safe home" u="1"/>
        <s v="0500036 - BGD Accountability &amp; Child Participation" u="1"/>
        <s v="0509067 - Education &amp; Retention (Sponsorship)" u="1"/>
        <s v="0500009 - BGD SDA 1.4 Care &amp; support for most affected" u="1"/>
        <s v="0500019 - BGD Integrated service delivery (MNH-FP-nutrition)" u="1"/>
        <s v="0500012 - BGD Basic Education" u="1"/>
        <s v="0500042 - BGD Child parliament" u="1"/>
        <s v="0500014 - BGD School Health and Nutrtion" u="1"/>
      </sharedItems>
    </cacheField>
    <cacheField name="Plan01" numFmtId="0">
      <sharedItems containsString="0" containsBlank="1" containsNumber="1" minValue="-3797.5700000000124" maxValue="421561.88000000006"/>
    </cacheField>
    <cacheField name="Plan02" numFmtId="0">
      <sharedItems containsString="0" containsBlank="1" containsNumber="1" minValue="-29164.635999999995" maxValue="466811.75699999993"/>
    </cacheField>
    <cacheField name="Plan03" numFmtId="0">
      <sharedItems containsString="0" containsBlank="1" containsNumber="1" minValue="-67816.968999999983" maxValue="429401.63000000006"/>
    </cacheField>
    <cacheField name="Plan04" numFmtId="0">
      <sharedItems containsString="0" containsBlank="1" containsNumber="1" minValue="-158244.90000000002" maxValue="1605695.61"/>
    </cacheField>
    <cacheField name="Plan05" numFmtId="0">
      <sharedItems containsString="0" containsBlank="1" containsNumber="1" minValue="-121443.4" maxValue="783574.40199999977"/>
    </cacheField>
    <cacheField name="Plan06" numFmtId="0">
      <sharedItems containsString="0" containsBlank="1" containsNumber="1" minValue="0" maxValue="1491983.7069999999"/>
    </cacheField>
    <cacheField name="Plan07" numFmtId="0">
      <sharedItems containsString="0" containsBlank="1" containsNumber="1" minValue="0" maxValue="727505.22499999963"/>
    </cacheField>
    <cacheField name="Plan08" numFmtId="0">
      <sharedItems containsString="0" containsBlank="1" containsNumber="1" minValue="0" maxValue="438220.88799999998"/>
    </cacheField>
    <cacheField name="Plan09" numFmtId="0">
      <sharedItems containsString="0" containsBlank="1" containsNumber="1" minValue="0" maxValue="1491983.7069999999"/>
    </cacheField>
    <cacheField name="Plan10" numFmtId="0">
      <sharedItems containsString="0" containsBlank="1" containsNumber="1" minValue="0" maxValue="598115.50900000008"/>
    </cacheField>
    <cacheField name="Plan11" numFmtId="0">
      <sharedItems containsString="0" containsBlank="1" containsNumber="1" minValue="0" maxValue="497095.06299999997"/>
    </cacheField>
    <cacheField name="Plan12" numFmtId="0">
      <sharedItems containsString="0" containsBlank="1" containsNumber="1" minValue="0" maxValue="1478955.7069999999"/>
    </cacheField>
    <cacheField name="Act01" numFmtId="0">
      <sharedItems containsString="0" containsBlank="1" containsNumber="1" minValue="-3699.7099999999909" maxValue="421561.88"/>
    </cacheField>
    <cacheField name="Act02" numFmtId="0">
      <sharedItems containsString="0" containsBlank="1" containsNumber="1" minValue="-28671.710000000003" maxValue="483719.53000000009"/>
    </cacheField>
    <cacheField name="Act03" numFmtId="0">
      <sharedItems containsString="0" containsBlank="1" containsNumber="1" minValue="-69249.810000000012" maxValue="429401.63000000018"/>
    </cacheField>
    <cacheField name="Act04" numFmtId="0">
      <sharedItems containsString="0" containsBlank="1" containsNumber="1" minValue="-158424.49" maxValue="1605695.61"/>
    </cacheField>
    <cacheField name="Act05" numFmtId="0">
      <sharedItems containsString="0" containsBlank="1" containsNumber="1" minValue="-121443.40000000001" maxValue="781528.41000000015"/>
    </cacheField>
    <cacheField name="Act06" numFmtId="0">
      <sharedItems containsString="0" containsBlank="1" containsNumber="1" minValue="-22224.77" maxValue="1087668.3600000001"/>
    </cacheField>
    <cacheField name="Act07" numFmtId="0">
      <sharedItems containsString="0" containsBlank="1" containsNumber="1" minValue="-3.19" maxValue="53578.559999999998"/>
    </cacheField>
    <cacheField name="Act08" numFmtId="0">
      <sharedItems containsString="0" containsBlank="1" containsNumber="1" containsInteger="1" minValue="0" maxValue="0"/>
    </cacheField>
    <cacheField name="Act09" numFmtId="0">
      <sharedItems containsString="0" containsBlank="1" containsNumber="1" containsInteger="1" minValue="0" maxValue="0"/>
    </cacheField>
    <cacheField name="Act10" numFmtId="0">
      <sharedItems containsString="0" containsBlank="1" containsNumber="1" containsInteger="1" minValue="0" maxValue="0"/>
    </cacheField>
    <cacheField name="Act11" numFmtId="0">
      <sharedItems containsString="0" containsBlank="1" containsNumber="1" containsInteger="1" minValue="0" maxValue="0"/>
    </cacheField>
    <cacheField name="Act12" numFmtId="0">
      <sharedItems containsString="0" containsBlank="1" containsNumber="1" containsInteger="1" minValue="0" maxValue="0"/>
    </cacheField>
    <cacheField name="Plan" numFmtId="0">
      <sharedItems containsSemiMixedTypes="0" containsString="0" containsNumber="1" minValue="-59.426970000000019" maxValue="3097.6793169999996"/>
    </cacheField>
    <cacheField name="Actual" numFmtId="0">
      <sharedItems containsSemiMixedTypes="0" containsString="0" containsNumber="1" minValue="-59.421829999999993" maxValue="2178.4374299999999"/>
    </cacheField>
    <cacheField name="Variance" numFmtId="0">
      <sharedItems containsSemiMixedTypes="0" containsString="0" containsNumber="1" minValue="-1208.9784359999999" maxValue="490.72030799999987"/>
    </cacheField>
    <cacheField name="Burn" numFmtId="9">
      <sharedItems containsSemiMixedTypes="0" containsString="0" containsNumber="1" minValue="-2.2076744657963463" maxValue="423.52556653108655"/>
    </cacheField>
    <cacheField name="FYPlan" numFmtId="0">
      <sharedItems containsSemiMixedTypes="0" containsString="0" containsNumber="1" minValue="-59.426970000000019" maxValue="6068.6187310000005"/>
    </cacheField>
    <cacheField name="FYActuals" numFmtId="0">
      <sharedItems containsSemiMixedTypes="0" containsString="0" containsNumber="1" minValue="-59.421829999999993" maxValue="2178.4374299999999"/>
    </cacheField>
    <cacheField name="Mon Burn" numFmtId="0" formula="IF(Plan&lt;&gt;0,Actual/Plan,0)" databaseField="0"/>
    <cacheField name="FYBurnCalc" numFmtId="0" formula="IF(FYPlan&lt;&gt;0,FYActuals/FYPlan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8">
  <r>
    <x v="0"/>
    <x v="0"/>
    <x v="0"/>
    <n v="242.49"/>
    <n v="3022.9"/>
    <n v="2635.7200000000003"/>
    <n v="1532.25"/>
    <n v="1635.31"/>
    <m/>
    <m/>
    <m/>
    <m/>
    <m/>
    <m/>
    <m/>
    <n v="242.49"/>
    <n v="3022.8999999999996"/>
    <n v="2635.7200000000003"/>
    <n v="1532.2499999999998"/>
    <n v="1635.31"/>
    <m/>
    <m/>
    <m/>
    <m/>
    <m/>
    <m/>
    <m/>
    <n v="9.0686700000000009"/>
    <n v="9.0686700000000009"/>
    <n v="0"/>
    <n v="1"/>
    <n v="9.0686700000000009"/>
    <n v="9.0686700000000009"/>
  </r>
  <r>
    <x v="0"/>
    <x v="1"/>
    <x v="1"/>
    <m/>
    <m/>
    <m/>
    <m/>
    <n v="151.71"/>
    <n v="0"/>
    <m/>
    <m/>
    <m/>
    <m/>
    <m/>
    <m/>
    <m/>
    <m/>
    <m/>
    <m/>
    <n v="152.69"/>
    <n v="203.47"/>
    <m/>
    <m/>
    <m/>
    <m/>
    <m/>
    <m/>
    <n v="0.15171000000000001"/>
    <n v="0.35615999999999998"/>
    <n v="0.20444999999999997"/>
    <n v="2.3476369388965788"/>
    <n v="0.15171000000000001"/>
    <n v="0.35615999999999998"/>
  </r>
  <r>
    <x v="0"/>
    <x v="2"/>
    <x v="2"/>
    <m/>
    <m/>
    <m/>
    <m/>
    <n v="9318.1869999999999"/>
    <n v="0"/>
    <m/>
    <m/>
    <m/>
    <m/>
    <m/>
    <m/>
    <m/>
    <m/>
    <m/>
    <m/>
    <n v="9526.64"/>
    <n v="261.21999999999986"/>
    <m/>
    <m/>
    <m/>
    <m/>
    <m/>
    <m/>
    <n v="9.318187"/>
    <n v="9.7878599999999985"/>
    <n v="0.46967299999999845"/>
    <n v="1.050403903677829"/>
    <n v="9.318187"/>
    <n v="9.7878599999999985"/>
  </r>
  <r>
    <x v="0"/>
    <x v="3"/>
    <x v="2"/>
    <m/>
    <m/>
    <m/>
    <m/>
    <m/>
    <n v="0"/>
    <m/>
    <m/>
    <m/>
    <m/>
    <m/>
    <m/>
    <m/>
    <m/>
    <m/>
    <m/>
    <m/>
    <n v="2522.2399999999998"/>
    <m/>
    <m/>
    <m/>
    <m/>
    <m/>
    <m/>
    <n v="0"/>
    <n v="2.5222399999999996"/>
    <n v="2.5222399999999996"/>
    <n v="1.0000110000110001"/>
    <n v="0"/>
    <n v="2.5222399999999996"/>
  </r>
  <r>
    <x v="0"/>
    <x v="4"/>
    <x v="1"/>
    <n v="-1037.548"/>
    <m/>
    <m/>
    <m/>
    <m/>
    <m/>
    <m/>
    <m/>
    <m/>
    <m/>
    <m/>
    <m/>
    <n v="-1061.6500000000001"/>
    <m/>
    <m/>
    <m/>
    <m/>
    <m/>
    <m/>
    <m/>
    <m/>
    <m/>
    <m/>
    <m/>
    <n v="-1.0375479999999999"/>
    <n v="-1.06165"/>
    <n v="-2.4102000000000068E-2"/>
    <n v="1.0232297686468481"/>
    <n v="-1.0375479999999999"/>
    <n v="-1.06165"/>
  </r>
  <r>
    <x v="0"/>
    <x v="5"/>
    <x v="3"/>
    <n v="24151.307000000001"/>
    <n v="29482.164000000001"/>
    <n v="-67816.968999999983"/>
    <n v="1124.8230000000008"/>
    <n v="6690.7449999999926"/>
    <n v="8756.8700000000008"/>
    <n v="8756.8700000000008"/>
    <n v="8756.8700000000008"/>
    <n v="8756.8700000000008"/>
    <n v="8756.8700000000008"/>
    <n v="8756.8700000000008"/>
    <n v="8756.8700000000008"/>
    <n v="23736.449999999997"/>
    <n v="30443.38"/>
    <n v="-69249.810000000012"/>
    <n v="1118.4099999999999"/>
    <n v="6631.4299999999976"/>
    <n v="2303.699999999998"/>
    <n v="0"/>
    <n v="0"/>
    <n v="0"/>
    <n v="0"/>
    <n v="0"/>
    <n v="0"/>
    <n v="2.3889400000000158"/>
    <n v="-5.0164400000000153"/>
    <n v="-7.4053800000000312"/>
    <n v="-2.0998601890378086"/>
    <n v="54.930160000000022"/>
    <n v="-5.0164400000000153"/>
  </r>
  <r>
    <x v="0"/>
    <x v="5"/>
    <x v="4"/>
    <n v="104.922"/>
    <n v="4279.8060000000014"/>
    <n v="80491.197"/>
    <n v="13574.23"/>
    <n v="25778.35999999999"/>
    <n v="14875.83"/>
    <n v="14875.83"/>
    <n v="14875.83"/>
    <n v="14875.830000000002"/>
    <n v="14875.83"/>
    <n v="14875.83"/>
    <n v="14875.83"/>
    <n v="103.37"/>
    <n v="4351.2"/>
    <n v="82050.569999999992"/>
    <n v="13520.34"/>
    <n v="25473.479999999985"/>
    <n v="15027.32"/>
    <n v="0"/>
    <n v="0"/>
    <n v="0"/>
    <n v="0"/>
    <n v="0"/>
    <n v="0"/>
    <n v="139.10434499999997"/>
    <n v="140.52627999999996"/>
    <n v="1.4219349999999906"/>
    <n v="1.0102220746591344"/>
    <n v="228.35932499999993"/>
    <n v="140.52627999999996"/>
  </r>
  <r>
    <x v="0"/>
    <x v="5"/>
    <x v="5"/>
    <m/>
    <m/>
    <m/>
    <n v="89.18"/>
    <n v="167.53900000000002"/>
    <n v="0"/>
    <m/>
    <m/>
    <m/>
    <m/>
    <m/>
    <m/>
    <m/>
    <m/>
    <m/>
    <n v="88.88"/>
    <n v="167.62"/>
    <n v="514.83999999999651"/>
    <m/>
    <m/>
    <m/>
    <m/>
    <m/>
    <m/>
    <n v="0.25671900000000003"/>
    <n v="0.77133999999999647"/>
    <n v="0.51462099999999644"/>
    <n v="3.0046081513249754"/>
    <n v="0.25671900000000003"/>
    <n v="0.77133999999999647"/>
  </r>
  <r>
    <x v="0"/>
    <x v="6"/>
    <x v="4"/>
    <n v="877.58799999999997"/>
    <n v="1553.616"/>
    <n v="1956.9379999999999"/>
    <n v="15593.886999999999"/>
    <n v="29253.228999999999"/>
    <n v="7383.8369999999995"/>
    <n v="7347.5640000000003"/>
    <n v="7226.7739999999994"/>
    <n v="7338.9439999999995"/>
    <m/>
    <m/>
    <m/>
    <n v="864.61"/>
    <n v="1572.42"/>
    <n v="1981.02"/>
    <n v="15330.48"/>
    <n v="29324.699999999997"/>
    <n v="2158.2500000000009"/>
    <n v="0"/>
    <n v="0"/>
    <n v="0"/>
    <m/>
    <m/>
    <m/>
    <n v="56.619095000000002"/>
    <n v="51.231479999999998"/>
    <n v="-5.3876150000000038"/>
    <n v="0.9048445581830652"/>
    <n v="78.532377000000011"/>
    <n v="51.231479999999998"/>
  </r>
  <r>
    <x v="0"/>
    <x v="6"/>
    <x v="5"/>
    <n v="1032.154"/>
    <n v="61021.371999999996"/>
    <n v="23637.035"/>
    <n v="18132.755000000005"/>
    <n v="44354.953000000001"/>
    <n v="746.44900000000007"/>
    <n v="153.256"/>
    <m/>
    <m/>
    <n v="0"/>
    <m/>
    <m/>
    <n v="1013.3700000000001"/>
    <n v="62560.039999999994"/>
    <n v="23985.890000000003"/>
    <n v="18118.7"/>
    <n v="43875.02"/>
    <n v="3688.51"/>
    <n v="0"/>
    <m/>
    <m/>
    <n v="0"/>
    <m/>
    <m/>
    <n v="148.92471799999998"/>
    <n v="153.24153000000001"/>
    <n v="4.3168120000000272"/>
    <n v="1.0289865380171479"/>
    <n v="149.07797399999998"/>
    <n v="153.24153000000001"/>
  </r>
  <r>
    <x v="0"/>
    <x v="7"/>
    <x v="1"/>
    <n v="15646.46"/>
    <n v="20950.91"/>
    <n v="35375.540000000008"/>
    <n v="62429.179999999993"/>
    <n v="34982.339999999997"/>
    <n v="42611.584000000003"/>
    <n v="59278.25"/>
    <n v="78334.497000000003"/>
    <n v="40611.584000000003"/>
    <n v="83558.915999999997"/>
    <n v="40611.584000000003"/>
    <n v="40611.584000000003"/>
    <n v="15646.46"/>
    <n v="20979.520000000008"/>
    <n v="35375.539999999994"/>
    <n v="62569.090000000011"/>
    <n v="35107.179999999993"/>
    <n v="73810.91"/>
    <n v="0"/>
    <n v="0"/>
    <n v="0"/>
    <n v="0"/>
    <n v="0"/>
    <n v="0"/>
    <n v="211.996014"/>
    <n v="243.48870000000002"/>
    <n v="31.49268600000002"/>
    <n v="1.1485531987408029"/>
    <n v="555.00242900000001"/>
    <n v="243.48870000000002"/>
  </r>
  <r>
    <x v="0"/>
    <x v="7"/>
    <x v="6"/>
    <n v="0"/>
    <n v="0"/>
    <n v="0"/>
    <n v="0"/>
    <n v="114.91"/>
    <n v="350"/>
    <n v="350"/>
    <n v="350"/>
    <n v="350"/>
    <n v="350"/>
    <n v="350"/>
    <n v="350"/>
    <n v="0"/>
    <n v="0"/>
    <n v="0"/>
    <n v="0"/>
    <n v="114.91"/>
    <n v="0"/>
    <n v="0"/>
    <n v="0"/>
    <n v="0"/>
    <n v="0"/>
    <n v="0"/>
    <n v="0"/>
    <n v="0.46490999999999999"/>
    <n v="0.11491"/>
    <n v="-0.35"/>
    <n v="0.24716611817340992"/>
    <n v="2.5649099999999998"/>
    <n v="0.11491"/>
  </r>
  <r>
    <x v="0"/>
    <x v="7"/>
    <x v="2"/>
    <n v="9289.7800000000007"/>
    <n v="12542.31"/>
    <n v="20923.069999999992"/>
    <n v="18624.580000000002"/>
    <n v="26249.159999999993"/>
    <n v="49941.251000000004"/>
    <n v="81607.917000000001"/>
    <n v="52426.001000000004"/>
    <n v="76327.081000000006"/>
    <n v="59660.417000000001"/>
    <n v="40993.751000000004"/>
    <n v="40993.751000000004"/>
    <n v="9289.7800000000007"/>
    <n v="12542.310000000001"/>
    <n v="20923.070000000003"/>
    <n v="18678.289999999997"/>
    <n v="26309.48"/>
    <n v="67009.650000000009"/>
    <n v="0"/>
    <n v="0"/>
    <n v="0"/>
    <n v="0"/>
    <n v="0"/>
    <n v="0"/>
    <n v="137.57015099999998"/>
    <n v="154.75258000000002"/>
    <n v="17.182429000000042"/>
    <n v="1.1248993976898378"/>
    <n v="489.57906899999995"/>
    <n v="154.75258000000002"/>
  </r>
  <r>
    <x v="0"/>
    <x v="7"/>
    <x v="0"/>
    <n v="8409.8900000000012"/>
    <n v="10451.390000000001"/>
    <n v="14874.89"/>
    <n v="21709.65"/>
    <n v="16403.119999999995"/>
    <n v="45556.940999999999"/>
    <n v="70823.607000000004"/>
    <n v="49038.190999999992"/>
    <n v="47156.940999999999"/>
    <n v="83535.987999999998"/>
    <n v="43556.941000000006"/>
    <n v="87092.270999999993"/>
    <n v="8409.89"/>
    <n v="10451.390000000001"/>
    <n v="14874.890000000007"/>
    <n v="21763.360000000004"/>
    <n v="16463.439999999995"/>
    <n v="62406.18"/>
    <n v="0"/>
    <n v="0"/>
    <n v="0"/>
    <n v="0"/>
    <n v="0"/>
    <n v="0"/>
    <n v="117.40588099999999"/>
    <n v="134.36914999999999"/>
    <n v="16.963268999999997"/>
    <n v="1.1444839803212243"/>
    <n v="498.60982000000001"/>
    <n v="134.36914999999999"/>
  </r>
  <r>
    <x v="0"/>
    <x v="7"/>
    <x v="7"/>
    <n v="2044.96"/>
    <n v="1989.9499999999998"/>
    <n v="2607.0700000000002"/>
    <n v="8851.84"/>
    <n v="4572.28"/>
    <n v="2675.0010000000002"/>
    <n v="2675.0010000000002"/>
    <n v="3250.0010000000002"/>
    <n v="2675.0010000000002"/>
    <n v="2675.0010000000002"/>
    <n v="2675.0010000000002"/>
    <n v="2675.0010000000002"/>
    <n v="2044.96"/>
    <n v="1989.9500000000003"/>
    <n v="2800.6800000000003"/>
    <n v="8973.9300000000021"/>
    <n v="5699.6800000000012"/>
    <n v="12525.359999999997"/>
    <n v="0"/>
    <n v="0"/>
    <n v="0"/>
    <n v="0"/>
    <n v="0"/>
    <n v="0"/>
    <n v="22.741101"/>
    <n v="34.034559999999999"/>
    <n v="11.293458999999999"/>
    <n v="1.4966100366028892"/>
    <n v="39.366107000000007"/>
    <n v="34.034559999999999"/>
  </r>
  <r>
    <x v="0"/>
    <x v="8"/>
    <x v="1"/>
    <m/>
    <m/>
    <n v="7.2759576141834259E-12"/>
    <m/>
    <m/>
    <m/>
    <m/>
    <m/>
    <m/>
    <m/>
    <m/>
    <m/>
    <m/>
    <m/>
    <n v="0"/>
    <m/>
    <m/>
    <m/>
    <m/>
    <m/>
    <m/>
    <m/>
    <m/>
    <m/>
    <n v="7.2759576141834261E-15"/>
    <n v="0"/>
    <n v="-7.2759576141834261E-15"/>
    <n v="0"/>
    <n v="7.2759576141834261E-15"/>
    <n v="0"/>
  </r>
  <r>
    <x v="0"/>
    <x v="9"/>
    <x v="1"/>
    <n v="1049.4290000000001"/>
    <n v="1109.69"/>
    <n v="1751.5749999999998"/>
    <n v="1110.22"/>
    <n v="1200.3710000000001"/>
    <n v="0"/>
    <m/>
    <m/>
    <m/>
    <m/>
    <m/>
    <m/>
    <n v="1033.9100000000001"/>
    <n v="1132.96"/>
    <n v="1767.43"/>
    <n v="1103.8899999999999"/>
    <n v="1185.8200000000002"/>
    <n v="1264.53"/>
    <m/>
    <m/>
    <m/>
    <m/>
    <m/>
    <m/>
    <n v="6.221285"/>
    <n v="7.4885399999999995"/>
    <n v="1.2672549999999996"/>
    <n v="1.203696663952865"/>
    <n v="6.221285"/>
    <n v="7.4885399999999995"/>
  </r>
  <r>
    <x v="0"/>
    <x v="9"/>
    <x v="4"/>
    <n v="3582.0419999999976"/>
    <n v="176842.56200000001"/>
    <n v="3032.2860000000046"/>
    <n v="177271.78199999992"/>
    <n v="5485.8969999999963"/>
    <n v="66269.688999999998"/>
    <n v="93458.718999999968"/>
    <n v="67004.866000000009"/>
    <n v="66659.427999999985"/>
    <n v="73664.043999999994"/>
    <n v="61834.857000000004"/>
    <n v="68002.844999999987"/>
    <n v="3516.58"/>
    <n v="182379.26000000004"/>
    <n v="3065.1599999999871"/>
    <n v="176671.47999999995"/>
    <n v="5466.8999999999987"/>
    <n v="3328.1400000000108"/>
    <n v="53578.559999999998"/>
    <n v="0"/>
    <n v="0"/>
    <n v="0"/>
    <n v="0"/>
    <n v="0"/>
    <n v="432.4842579999999"/>
    <n v="374.42752000000002"/>
    <n v="-58.056737999999882"/>
    <n v="0.86575988160013007"/>
    <n v="863.10901699999977"/>
    <n v="374.42752000000002"/>
  </r>
  <r>
    <x v="0"/>
    <x v="10"/>
    <x v="3"/>
    <n v="59863.381000000059"/>
    <n v="105317.46400000002"/>
    <n v="59194.476000000002"/>
    <n v="87446.015999999989"/>
    <n v="8677.780999999999"/>
    <n v="95664.887000000032"/>
    <n v="71351.97600000001"/>
    <n v="70401.946000000011"/>
    <n v="63596.390000000021"/>
    <n v="59808.366000000024"/>
    <n v="63138.29500000002"/>
    <n v="59808.366000000009"/>
    <n v="58585.65000000006"/>
    <n v="108648.65000000001"/>
    <n v="59734.47"/>
    <n v="87427.329999999987"/>
    <n v="8582.0999999999967"/>
    <n v="13236.519999999984"/>
    <n v="0"/>
    <n v="0"/>
    <n v="0"/>
    <n v="0"/>
    <n v="0"/>
    <n v="0"/>
    <n v="416.16400500000015"/>
    <n v="336.21472000000006"/>
    <n v="-79.949285000000089"/>
    <n v="0.80788995674914255"/>
    <n v="804.26934400000027"/>
    <n v="336.21472000000006"/>
  </r>
  <r>
    <x v="0"/>
    <x v="10"/>
    <x v="4"/>
    <n v="536.52300000000002"/>
    <n v="533.99300000000005"/>
    <n v="777.80500000000006"/>
    <m/>
    <n v="0"/>
    <m/>
    <m/>
    <m/>
    <m/>
    <m/>
    <m/>
    <m/>
    <n v="528.59"/>
    <n v="545.19000000000005"/>
    <n v="784.76"/>
    <m/>
    <n v="0"/>
    <m/>
    <m/>
    <m/>
    <m/>
    <m/>
    <m/>
    <m/>
    <n v="1.8483210000000001"/>
    <n v="1.8585400000000001"/>
    <n v="1.0218999999999978E-2"/>
    <n v="1.0055288015447532"/>
    <n v="1.8483210000000001"/>
    <n v="1.8585400000000001"/>
  </r>
  <r>
    <x v="0"/>
    <x v="11"/>
    <x v="2"/>
    <n v="4607.6589999999997"/>
    <n v="9286.8229999999985"/>
    <n v="11150.308000000001"/>
    <n v="11737.118999999999"/>
    <n v="11737.118999999999"/>
    <n v="11737.118999999999"/>
    <n v="11737.118999999999"/>
    <n v="11737.118999999999"/>
    <n v="11737.118999999999"/>
    <n v="11737.118999999999"/>
    <n v="11737.118999999999"/>
    <n v="11737.118999999999"/>
    <n v="4690.1800000000021"/>
    <n v="9261.76"/>
    <n v="-695.09999999999991"/>
    <n v="0"/>
    <n v="0"/>
    <n v="4060.4"/>
    <n v="0"/>
    <n v="0"/>
    <n v="0"/>
    <n v="0"/>
    <n v="0"/>
    <n v="0"/>
    <n v="60.256146999999999"/>
    <n v="17.317240000000002"/>
    <n v="-42.938907"/>
    <n v="0.28739374922196737"/>
    <n v="130.67886100000004"/>
    <n v="17.317240000000002"/>
  </r>
  <r>
    <x v="0"/>
    <x v="12"/>
    <x v="8"/>
    <m/>
    <m/>
    <n v="-672.90200000000004"/>
    <m/>
    <m/>
    <m/>
    <m/>
    <m/>
    <m/>
    <m/>
    <m/>
    <m/>
    <m/>
    <m/>
    <n v="-663.63"/>
    <m/>
    <m/>
    <m/>
    <m/>
    <m/>
    <m/>
    <m/>
    <m/>
    <m/>
    <n v="-0.672902"/>
    <n v="-0.66362999999999994"/>
    <n v="9.272000000000058E-3"/>
    <n v="0.98622087614541187"/>
    <n v="-0.672902"/>
    <n v="-0.66362999999999994"/>
  </r>
  <r>
    <x v="0"/>
    <x v="12"/>
    <x v="2"/>
    <m/>
    <m/>
    <n v="2413.0659999999998"/>
    <m/>
    <m/>
    <m/>
    <m/>
    <m/>
    <m/>
    <m/>
    <m/>
    <m/>
    <m/>
    <m/>
    <n v="2383.13"/>
    <m/>
    <m/>
    <m/>
    <m/>
    <m/>
    <m/>
    <m/>
    <m/>
    <m/>
    <n v="2.4130659999999997"/>
    <n v="2.38313"/>
    <n v="-2.9935999999999741E-2"/>
    <n v="0.98759420587750202"/>
    <n v="2.4130659999999997"/>
    <n v="2.38313"/>
  </r>
  <r>
    <x v="0"/>
    <x v="13"/>
    <x v="1"/>
    <m/>
    <m/>
    <n v="0"/>
    <n v="118744.27000000003"/>
    <n v="10991.75"/>
    <n v="84318.406999999992"/>
    <n v="19495.204999999998"/>
    <n v="11264.85"/>
    <n v="84318.406999999992"/>
    <n v="10131.85"/>
    <n v="10131.85"/>
    <n v="183564.59000000003"/>
    <m/>
    <m/>
    <n v="0"/>
    <n v="118744.31000000001"/>
    <n v="10991.750000000002"/>
    <n v="53768.47"/>
    <n v="0"/>
    <n v="0"/>
    <n v="0"/>
    <n v="0"/>
    <n v="0"/>
    <n v="0"/>
    <n v="214.05442700000003"/>
    <n v="183.50453000000002"/>
    <n v="-30.549897000000016"/>
    <n v="0.85727977025207702"/>
    <n v="532.96117900000002"/>
    <n v="183.50453000000002"/>
  </r>
  <r>
    <x v="0"/>
    <x v="14"/>
    <x v="4"/>
    <n v="15815.819000000009"/>
    <n v="8397.732"/>
    <n v="4060.2589999999991"/>
    <n v="15888.638000000003"/>
    <n v="109945.58400000005"/>
    <n v="24296.654999999999"/>
    <n v="33011.420999999988"/>
    <n v="25532.191000000003"/>
    <n v="25022.501"/>
    <n v="30657.285999999996"/>
    <n v="33301.520999999986"/>
    <n v="20042.27900000001"/>
    <n v="15956.909999999989"/>
    <n v="8602.7200000000084"/>
    <n v="4097.1999999999925"/>
    <n v="15737.75"/>
    <n v="109732.69000000003"/>
    <n v="15682.210000000025"/>
    <n v="0"/>
    <n v="0"/>
    <n v="0"/>
    <n v="0"/>
    <n v="0"/>
    <n v="0"/>
    <n v="178.40468700000005"/>
    <n v="169.80948000000004"/>
    <n v="-8.5952070000000163"/>
    <n v="0.95182185432157385"/>
    <n v="345.97188600000004"/>
    <n v="169.80948000000004"/>
  </r>
  <r>
    <x v="0"/>
    <x v="15"/>
    <x v="1"/>
    <n v="9927.57"/>
    <n v="10151.709999999999"/>
    <n v="10000"/>
    <n v="10000"/>
    <n v="9848.2900000000009"/>
    <n v="10000"/>
    <n v="10000"/>
    <n v="10000"/>
    <n v="10000"/>
    <n v="10000"/>
    <n v="10000"/>
    <n v="10000"/>
    <n v="-72.430000000000007"/>
    <n v="151.70999999999998"/>
    <n v="0.98"/>
    <n v="0"/>
    <n v="-152.69"/>
    <n v="0"/>
    <n v="0"/>
    <n v="0"/>
    <n v="0"/>
    <n v="0"/>
    <n v="0"/>
    <n v="0"/>
    <n v="59.927570000000003"/>
    <n v="-7.2430000000000022E-2"/>
    <n v="-60"/>
    <n v="-1.2086256792991942E-3"/>
    <n v="119.92757"/>
    <n v="-7.2430000000000022E-2"/>
  </r>
  <r>
    <x v="0"/>
    <x v="15"/>
    <x v="2"/>
    <n v="3583.3330000000001"/>
    <n v="3583.3330000000001"/>
    <n v="3583.3330000000001"/>
    <n v="3583.3330000000001"/>
    <n v="3583.3330000000001"/>
    <n v="3583.3330000000001"/>
    <n v="3583.3330000000001"/>
    <n v="3583.3330000000001"/>
    <n v="3583.3330000000001"/>
    <n v="3583.3330000000001"/>
    <n v="3583.3330000000001"/>
    <n v="3583.3330000000001"/>
    <n v="0"/>
    <n v="0"/>
    <n v="0"/>
    <n v="0"/>
    <n v="0"/>
    <n v="0"/>
    <n v="0"/>
    <n v="0"/>
    <n v="0"/>
    <n v="0"/>
    <n v="0"/>
    <n v="0"/>
    <n v="21.499997999999998"/>
    <n v="0"/>
    <n v="-21.499997999999998"/>
    <n v="0"/>
    <n v="42.999995999999989"/>
    <n v="0"/>
  </r>
  <r>
    <x v="0"/>
    <x v="15"/>
    <x v="5"/>
    <n v="1416.6669999999999"/>
    <n v="1416.6669999999999"/>
    <n v="1416.6669999999999"/>
    <n v="1416.6669999999999"/>
    <n v="1416.6669999999999"/>
    <n v="1416.6669999999999"/>
    <n v="1416.6669999999999"/>
    <n v="1416.6669999999999"/>
    <n v="1416.6669999999999"/>
    <n v="1416.6669999999999"/>
    <n v="1416.6669999999999"/>
    <n v="1416.6669999999999"/>
    <n v="0"/>
    <n v="0"/>
    <n v="0"/>
    <n v="0"/>
    <n v="0"/>
    <n v="0"/>
    <n v="0"/>
    <n v="0"/>
    <n v="0"/>
    <n v="0"/>
    <n v="0"/>
    <n v="0"/>
    <n v="8.5000019999999985"/>
    <n v="0"/>
    <n v="-8.5000019999999985"/>
    <n v="0"/>
    <n v="17.000003999999997"/>
    <n v="0"/>
  </r>
  <r>
    <x v="0"/>
    <x v="16"/>
    <x v="4"/>
    <n v="6272.8189999999995"/>
    <n v="-3296.5239999999999"/>
    <m/>
    <m/>
    <m/>
    <m/>
    <m/>
    <m/>
    <m/>
    <m/>
    <m/>
    <m/>
    <n v="6208.16"/>
    <n v="-3324.29"/>
    <m/>
    <m/>
    <m/>
    <m/>
    <m/>
    <m/>
    <m/>
    <m/>
    <m/>
    <m/>
    <n v="2.9762949999999995"/>
    <n v="2.8838699999999999"/>
    <n v="-9.2424999999999535E-2"/>
    <n v="0.96894629060627402"/>
    <n v="2.9762949999999995"/>
    <n v="2.8838699999999999"/>
  </r>
  <r>
    <x v="0"/>
    <x v="17"/>
    <x v="5"/>
    <m/>
    <m/>
    <n v="0"/>
    <m/>
    <m/>
    <m/>
    <m/>
    <m/>
    <m/>
    <m/>
    <m/>
    <m/>
    <m/>
    <m/>
    <n v="0"/>
    <m/>
    <m/>
    <m/>
    <m/>
    <m/>
    <m/>
    <m/>
    <m/>
    <m/>
    <n v="0"/>
    <n v="0"/>
    <n v="0"/>
    <n v="1.0000110000110001"/>
    <n v="0"/>
    <n v="0"/>
  </r>
  <r>
    <x v="0"/>
    <x v="18"/>
    <x v="4"/>
    <n v="1652.0629999999987"/>
    <n v="1579.1709999999987"/>
    <n v="49885.458000000006"/>
    <n v="169143.11099999998"/>
    <n v="3229.6700000000023"/>
    <n v="39276.385000000017"/>
    <n v="36981.005000000005"/>
    <n v="40456.140000000014"/>
    <n v="39276.385000000002"/>
    <n v="34696.514999999999"/>
    <n v="76891.439999999973"/>
    <n v="34696.514999999999"/>
    <n v="1656.5900000000006"/>
    <n v="1615.7399999999998"/>
    <n v="49802.929999999993"/>
    <n v="167006.68999999997"/>
    <n v="3277.8300000000049"/>
    <n v="3889.5999999999949"/>
    <n v="0"/>
    <n v="0"/>
    <n v="0"/>
    <n v="0"/>
    <n v="0"/>
    <n v="0"/>
    <n v="264.76585799999998"/>
    <n v="227.24937999999997"/>
    <n v="-37.516478000000006"/>
    <n v="0.85830318801905336"/>
    <n v="527.76385800000003"/>
    <n v="227.24937999999997"/>
  </r>
  <r>
    <x v="0"/>
    <x v="19"/>
    <x v="4"/>
    <n v="5376.0830000000014"/>
    <n v="4652.4819999999991"/>
    <n v="18096.314999999999"/>
    <n v="6621.1709999999994"/>
    <n v="13775.653"/>
    <n v="8212.83"/>
    <n v="9836.7749999999996"/>
    <n v="8579.4689999999991"/>
    <n v="12971.638000000001"/>
    <n v="6193.9000000000005"/>
    <n v="6250.5070000000005"/>
    <n v="6193.9000000000005"/>
    <n v="791.93000000000018"/>
    <n v="234.95000000000067"/>
    <n v="9104.01"/>
    <n v="235.13999999999973"/>
    <n v="1051.0000000000005"/>
    <n v="29124.48"/>
    <n v="0"/>
    <n v="0"/>
    <n v="0"/>
    <n v="0"/>
    <n v="0"/>
    <n v="0"/>
    <n v="56.734533999999996"/>
    <n v="40.541510000000002"/>
    <n v="-16.193023999999994"/>
    <n v="0.71458258562589061"/>
    <n v="106.76072299999998"/>
    <n v="40.541510000000002"/>
  </r>
  <r>
    <x v="0"/>
    <x v="20"/>
    <x v="4"/>
    <n v="35875.718999999997"/>
    <n v="-29164.635999999995"/>
    <n v="138911.916"/>
    <n v="69921.355999999985"/>
    <n v="62340.483999999997"/>
    <n v="43275.436999999991"/>
    <n v="49523.081999999995"/>
    <n v="49523.081999999988"/>
    <n v="49523.081999999995"/>
    <n v="46059.183999999994"/>
    <n v="46059.183999999994"/>
    <n v="46059.183999999994"/>
    <n v="35875.590000000004"/>
    <n v="-28671.710000000003"/>
    <n v="137910.51"/>
    <n v="70258.170000000013"/>
    <n v="62596.359999999993"/>
    <n v="3955.0900000000083"/>
    <n v="757"/>
    <n v="0"/>
    <n v="0"/>
    <n v="0"/>
    <n v="0"/>
    <n v="0"/>
    <n v="321.16027599999995"/>
    <n v="281.92401000000007"/>
    <n v="-39.236265999999887"/>
    <n v="0.87782964167087751"/>
    <n v="607.90707399999985"/>
    <n v="281.92401000000007"/>
  </r>
  <r>
    <x v="0"/>
    <x v="21"/>
    <x v="1"/>
    <n v="-197.101"/>
    <n v="-108.33"/>
    <m/>
    <m/>
    <m/>
    <m/>
    <m/>
    <m/>
    <m/>
    <m/>
    <m/>
    <m/>
    <n v="-204.70000000000002"/>
    <n v="-115.53"/>
    <m/>
    <m/>
    <m/>
    <m/>
    <m/>
    <m/>
    <m/>
    <m/>
    <m/>
    <m/>
    <n v="-0.30543100000000001"/>
    <n v="-0.32023000000000001"/>
    <n v="-1.4799000000000007E-2"/>
    <n v="1.0484528420494319"/>
    <n v="-0.30543100000000001"/>
    <n v="-0.32023000000000001"/>
  </r>
  <r>
    <x v="0"/>
    <x v="22"/>
    <x v="4"/>
    <n v="-12.531000000000001"/>
    <n v="2.5430000000000001"/>
    <m/>
    <n v="252.79300000000001"/>
    <n v="816.20299999999997"/>
    <m/>
    <m/>
    <m/>
    <m/>
    <m/>
    <m/>
    <m/>
    <n v="-12.53"/>
    <n v="2.54"/>
    <m/>
    <n v="254.21"/>
    <n v="820.17"/>
    <m/>
    <m/>
    <m/>
    <m/>
    <m/>
    <m/>
    <m/>
    <n v="1.0590079999999999"/>
    <n v="1.0643899999999999"/>
    <n v="5.3819999999999979E-3"/>
    <n v="1.0050821145827038"/>
    <n v="1.0590079999999999"/>
    <n v="1.0643899999999999"/>
  </r>
  <r>
    <x v="0"/>
    <x v="23"/>
    <x v="1"/>
    <m/>
    <m/>
    <m/>
    <n v="3529.5940000000001"/>
    <n v="13558.859"/>
    <n v="1565.962"/>
    <n v="1163.0519999999999"/>
    <n v="1997.4759999999999"/>
    <n v="961.59799999999996"/>
    <n v="8804.2480000000014"/>
    <n v="8094.7259999999997"/>
    <n v="8083.1230000000014"/>
    <m/>
    <m/>
    <m/>
    <n v="3490.79"/>
    <n v="13713.25"/>
    <n v="1776.06"/>
    <n v="0"/>
    <n v="0"/>
    <n v="0"/>
    <n v="0"/>
    <n v="0"/>
    <n v="0"/>
    <n v="18.654415"/>
    <n v="18.980100000000004"/>
    <n v="0.32568500000000355"/>
    <n v="1.0174588696563256"/>
    <n v="47.758637999999998"/>
    <n v="18.980100000000004"/>
  </r>
  <r>
    <x v="0"/>
    <x v="24"/>
    <x v="1"/>
    <n v="3600.1500000000005"/>
    <n v="9.6999999999999993"/>
    <n v="-3497.0600000000004"/>
    <n v="281.51"/>
    <n v="-4178.2"/>
    <n v="0"/>
    <n v="0"/>
    <n v="0"/>
    <n v="0"/>
    <n v="0"/>
    <n v="0"/>
    <n v="0"/>
    <n v="3600.1500000000005"/>
    <n v="-18.91"/>
    <n v="-3497.0600000000004"/>
    <n v="281.51"/>
    <n v="-4178.2"/>
    <n v="0"/>
    <n v="0"/>
    <n v="0"/>
    <n v="0"/>
    <n v="0"/>
    <n v="0"/>
    <n v="0"/>
    <n v="-3.7838999999999996"/>
    <n v="-3.8125099999999992"/>
    <n v="-2.860999999999958E-2"/>
    <n v="1.0075609820555511"/>
    <n v="-3.7838999999999996"/>
    <n v="-3.8125099999999992"/>
  </r>
  <r>
    <x v="0"/>
    <x v="24"/>
    <x v="2"/>
    <n v="878.56000000000006"/>
    <n v="379.1"/>
    <n v="664.37"/>
    <n v="281.5"/>
    <n v="-1741.91"/>
    <n v="0"/>
    <n v="0"/>
    <n v="0"/>
    <n v="0"/>
    <n v="0"/>
    <n v="0"/>
    <n v="0"/>
    <n v="878.56"/>
    <n v="379.1"/>
    <n v="664.37"/>
    <n v="281.5"/>
    <n v="-1741.9099999999999"/>
    <n v="0"/>
    <n v="0"/>
    <n v="0"/>
    <n v="0"/>
    <n v="0"/>
    <n v="0"/>
    <n v="0"/>
    <n v="0.46162000000000014"/>
    <n v="0.46161999999999986"/>
    <n v="0"/>
    <n v="0.99999999999999944"/>
    <n v="0.46162000000000014"/>
    <n v="0.46161999999999986"/>
  </r>
  <r>
    <x v="0"/>
    <x v="24"/>
    <x v="0"/>
    <n v="1378.1100000000001"/>
    <n v="0"/>
    <n v="2268.04"/>
    <n v="281.51"/>
    <n v="-3271.72"/>
    <n v="0"/>
    <n v="0"/>
    <n v="0"/>
    <n v="0"/>
    <n v="0"/>
    <n v="0"/>
    <n v="0"/>
    <n v="1378.1100000000001"/>
    <n v="0"/>
    <n v="2268.04"/>
    <n v="281.51"/>
    <n v="-3271.72"/>
    <n v="0"/>
    <n v="0"/>
    <n v="0"/>
    <n v="0"/>
    <n v="0"/>
    <n v="0"/>
    <n v="0"/>
    <n v="0.65594000000000008"/>
    <n v="0.65594000000000008"/>
    <n v="0"/>
    <n v="1"/>
    <n v="0.65594000000000008"/>
    <n v="0.65594000000000008"/>
  </r>
  <r>
    <x v="0"/>
    <x v="24"/>
    <x v="7"/>
    <n v="0"/>
    <n v="218.46"/>
    <n v="0"/>
    <n v="0"/>
    <n v="-218.46"/>
    <n v="0"/>
    <n v="0"/>
    <n v="0"/>
    <n v="0"/>
    <n v="0"/>
    <n v="0"/>
    <n v="0"/>
    <n v="0"/>
    <n v="218.46"/>
    <n v="0"/>
    <n v="0"/>
    <n v="-218.46"/>
    <n v="0"/>
    <n v="0"/>
    <n v="0"/>
    <n v="0"/>
    <n v="0"/>
    <n v="0"/>
    <n v="0"/>
    <n v="0"/>
    <n v="0"/>
    <n v="0"/>
    <n v="1.0000110000110001"/>
    <n v="0"/>
    <n v="0"/>
  </r>
  <r>
    <x v="0"/>
    <x v="25"/>
    <x v="5"/>
    <n v="12264.900000000001"/>
    <n v="2436.9799999999937"/>
    <n v="5403.4299999999994"/>
    <m/>
    <n v="-79532.280000000013"/>
    <m/>
    <m/>
    <m/>
    <m/>
    <m/>
    <m/>
    <m/>
    <n v="12264.900000000005"/>
    <n v="2442.1200000000008"/>
    <n v="5403.4299999999994"/>
    <m/>
    <n v="-79532.28"/>
    <m/>
    <m/>
    <m/>
    <m/>
    <m/>
    <m/>
    <m/>
    <n v="-59.426970000000019"/>
    <n v="-59.421829999999993"/>
    <n v="5.1400000000256796E-3"/>
    <n v="0.999913507284655"/>
    <n v="-59.426970000000019"/>
    <n v="-59.421829999999993"/>
  </r>
  <r>
    <x v="0"/>
    <x v="26"/>
    <x v="1"/>
    <n v="5207.9000000000005"/>
    <n v="-3143.130000000001"/>
    <m/>
    <n v="-4329.43"/>
    <m/>
    <m/>
    <m/>
    <m/>
    <m/>
    <m/>
    <m/>
    <m/>
    <n v="5207.9000000000015"/>
    <n v="-3143.130000000001"/>
    <m/>
    <n v="-4329.43"/>
    <m/>
    <m/>
    <m/>
    <m/>
    <m/>
    <m/>
    <m/>
    <m/>
    <n v="-2.2646600000000006"/>
    <n v="-2.2646599999999997"/>
    <n v="0"/>
    <n v="0.99999999999999956"/>
    <n v="-2.2646600000000006"/>
    <n v="-2.2646599999999997"/>
  </r>
  <r>
    <x v="0"/>
    <x v="27"/>
    <x v="1"/>
    <n v="44.030999999999999"/>
    <n v="282.55900000000003"/>
    <n v="150.916"/>
    <n v="548.61"/>
    <n v="178.56200000000001"/>
    <n v="0"/>
    <n v="0"/>
    <m/>
    <m/>
    <n v="0"/>
    <m/>
    <m/>
    <n v="44.09"/>
    <n v="288.7"/>
    <n v="148.79999999999998"/>
    <n v="533.91000000000008"/>
    <n v="181.87"/>
    <n v="235.57"/>
    <n v="0"/>
    <m/>
    <m/>
    <n v="0"/>
    <m/>
    <m/>
    <n v="1.2046779999999999"/>
    <n v="1.4329399999999999"/>
    <n v="0.22826199999999996"/>
    <n v="1.1894796783870876"/>
    <n v="1.2046779999999999"/>
    <n v="1.4329399999999999"/>
  </r>
  <r>
    <x v="0"/>
    <x v="27"/>
    <x v="2"/>
    <n v="836.10099999999977"/>
    <n v="873.02199999999766"/>
    <n v="18501.333000000002"/>
    <n v="826.87599999999952"/>
    <n v="747.12900000000047"/>
    <n v="7672.5240000000022"/>
    <n v="8417.6970000000001"/>
    <n v="9825.1029999999992"/>
    <n v="8540.9850000000006"/>
    <n v="8356.2070000000003"/>
    <n v="8193.5390000000025"/>
    <n v="7732.3700000000017"/>
    <n v="840.48000000000104"/>
    <n v="894.0999999999998"/>
    <n v="18327.32"/>
    <n v="812.45000000000027"/>
    <n v="755.45999999999913"/>
    <n v="8135.7800000000007"/>
    <n v="0"/>
    <n v="0"/>
    <n v="0"/>
    <n v="0"/>
    <n v="0"/>
    <n v="0"/>
    <n v="29.456985"/>
    <n v="29.765590000000003"/>
    <n v="0.30860500000000357"/>
    <n v="1.010476462543604"/>
    <n v="80.522886"/>
    <n v="29.765590000000003"/>
  </r>
  <r>
    <x v="0"/>
    <x v="28"/>
    <x v="1"/>
    <m/>
    <m/>
    <m/>
    <m/>
    <m/>
    <n v="0"/>
    <m/>
    <m/>
    <m/>
    <m/>
    <m/>
    <m/>
    <m/>
    <m/>
    <m/>
    <m/>
    <m/>
    <n v="2877.3"/>
    <m/>
    <m/>
    <m/>
    <m/>
    <m/>
    <m/>
    <n v="0"/>
    <n v="2.8773"/>
    <n v="2.8773"/>
    <n v="1.0000110000110001"/>
    <n v="0"/>
    <n v="2.8773"/>
  </r>
  <r>
    <x v="0"/>
    <x v="29"/>
    <x v="1"/>
    <n v="25622.029000000006"/>
    <n v="463902.80299999984"/>
    <n v="18816.313000000016"/>
    <n v="50643.18"/>
    <n v="783574.40199999977"/>
    <n v="245125.13800000004"/>
    <n v="727505.22499999963"/>
    <n v="325491.2269999999"/>
    <n v="565132.76899999997"/>
    <n v="559049.55699999968"/>
    <n v="497095.06299999997"/>
    <n v="598075.69099999976"/>
    <n v="25032.759999999991"/>
    <n v="477954.31"/>
    <n v="18997.529999999988"/>
    <n v="50225.869999999886"/>
    <n v="781528.41000000015"/>
    <n v="188853.50000000006"/>
    <n v="0"/>
    <n v="0"/>
    <n v="0"/>
    <n v="0"/>
    <n v="0"/>
    <n v="0"/>
    <n v="1587.6838649999995"/>
    <n v="1542.5923799999998"/>
    <n v="-45.091484999999693"/>
    <n v="0.97159920435419955"/>
    <n v="4860.0333969999983"/>
    <n v="1542.5923799999998"/>
  </r>
  <r>
    <x v="0"/>
    <x v="30"/>
    <x v="1"/>
    <n v="5903.84"/>
    <n v="21496.27"/>
    <n v="10777.39"/>
    <n v="2726.5700000000024"/>
    <n v="11762.680000000002"/>
    <n v="28148.582999999999"/>
    <n v="28148.582999999999"/>
    <n v="28148.582999999999"/>
    <n v="28148.582999999999"/>
    <n v="28148.582999999999"/>
    <n v="28148.582999999999"/>
    <n v="28148.582999999999"/>
    <n v="5903.8399999999983"/>
    <n v="21496.27"/>
    <n v="10777.390000000001"/>
    <n v="2726.5700000000006"/>
    <n v="11762.680000000004"/>
    <n v="13361.76"/>
    <n v="0"/>
    <n v="0"/>
    <n v="0"/>
    <n v="0"/>
    <n v="0"/>
    <n v="0"/>
    <n v="80.815332999999995"/>
    <n v="66.028509999999997"/>
    <n v="-14.786822999999998"/>
    <n v="0.81702948622385807"/>
    <n v="249.70683099999994"/>
    <n v="66.028509999999997"/>
  </r>
  <r>
    <x v="0"/>
    <x v="30"/>
    <x v="2"/>
    <n v="421561.88000000006"/>
    <n v="77134.140000000014"/>
    <n v="51545.089999999989"/>
    <n v="84373.520000000019"/>
    <n v="301200.40999999997"/>
    <n v="252451.99899999998"/>
    <n v="144687.666"/>
    <n v="144687.666"/>
    <n v="144687.666"/>
    <n v="144687.666"/>
    <n v="144687.666"/>
    <n v="144687.666"/>
    <n v="421561.88"/>
    <n v="77197.389999999985"/>
    <n v="51545.089999999989"/>
    <n v="84373.51999999999"/>
    <n v="301200.41000000015"/>
    <n v="136075.99999999997"/>
    <n v="0"/>
    <n v="0"/>
    <n v="0"/>
    <n v="0"/>
    <n v="0"/>
    <n v="0"/>
    <n v="1188.2670390000001"/>
    <n v="1071.9542900000001"/>
    <n v="-116.31274899999994"/>
    <n v="0.90211564809717837"/>
    <n v="2056.3930350000001"/>
    <n v="1071.9542900000001"/>
  </r>
  <r>
    <x v="0"/>
    <x v="30"/>
    <x v="0"/>
    <n v="1903.01"/>
    <n v="2075.96"/>
    <n v="1963.66"/>
    <n v="1983.36"/>
    <n v="2249.69"/>
    <n v="0"/>
    <m/>
    <m/>
    <m/>
    <m/>
    <m/>
    <m/>
    <n v="1903.01"/>
    <n v="2075.96"/>
    <n v="1963.66"/>
    <n v="1983.36"/>
    <n v="2249.69"/>
    <n v="3200.6400000000003"/>
    <m/>
    <m/>
    <m/>
    <m/>
    <m/>
    <m/>
    <n v="10.17568"/>
    <n v="13.37632"/>
    <n v="3.2006399999999999"/>
    <n v="1.3145381930249378"/>
    <n v="10.17568"/>
    <n v="13.37632"/>
  </r>
  <r>
    <x v="1"/>
    <x v="0"/>
    <x v="9"/>
    <n v="0"/>
    <n v="0"/>
    <n v="0"/>
    <m/>
    <m/>
    <n v="0"/>
    <m/>
    <m/>
    <m/>
    <m/>
    <m/>
    <m/>
    <n v="0"/>
    <n v="0"/>
    <n v="0"/>
    <m/>
    <m/>
    <n v="610.80999999999995"/>
    <m/>
    <m/>
    <m/>
    <m/>
    <m/>
    <m/>
    <n v="0"/>
    <n v="0.61080999999999996"/>
    <n v="0.61080999999999996"/>
    <n v="1.0000110000110001"/>
    <n v="0"/>
    <n v="0.61080999999999996"/>
  </r>
  <r>
    <x v="1"/>
    <x v="31"/>
    <x v="10"/>
    <m/>
    <m/>
    <m/>
    <m/>
    <m/>
    <n v="0"/>
    <m/>
    <m/>
    <m/>
    <m/>
    <m/>
    <m/>
    <m/>
    <m/>
    <m/>
    <m/>
    <m/>
    <n v="265.95999999999998"/>
    <m/>
    <m/>
    <m/>
    <m/>
    <m/>
    <m/>
    <n v="0"/>
    <n v="0.26595999999999997"/>
    <n v="0.26595999999999997"/>
    <n v="1.0000110000110001"/>
    <n v="0"/>
    <n v="0.26595999999999997"/>
  </r>
  <r>
    <x v="1"/>
    <x v="31"/>
    <x v="11"/>
    <m/>
    <m/>
    <m/>
    <n v="1853.046"/>
    <n v="1473.1009999999999"/>
    <n v="0"/>
    <m/>
    <m/>
    <m/>
    <m/>
    <m/>
    <m/>
    <m/>
    <m/>
    <m/>
    <n v="1847.81"/>
    <n v="1455.91"/>
    <n v="705.13"/>
    <m/>
    <m/>
    <m/>
    <m/>
    <m/>
    <m/>
    <n v="3.3261469999999997"/>
    <n v="4.0088500000000007"/>
    <n v="0.68270300000000095"/>
    <n v="1.2052534058176025"/>
    <n v="3.3261469999999997"/>
    <n v="4.0088500000000007"/>
  </r>
  <r>
    <x v="1"/>
    <x v="31"/>
    <x v="9"/>
    <n v="0"/>
    <n v="0"/>
    <n v="0"/>
    <n v="3977.2450000000003"/>
    <n v="3472.5899999999997"/>
    <n v="3933.8810000000003"/>
    <n v="3933.8810000000003"/>
    <n v="3933.8810000000003"/>
    <n v="3933.8810000000003"/>
    <n v="3933.8810000000003"/>
    <n v="3933.8810000000003"/>
    <n v="3933.8810000000003"/>
    <n v="0"/>
    <n v="0"/>
    <n v="0"/>
    <n v="4026.4999999999995"/>
    <n v="3486.0000000000009"/>
    <n v="1529.52"/>
    <n v="0"/>
    <n v="0"/>
    <n v="0"/>
    <n v="0"/>
    <n v="0"/>
    <n v="0"/>
    <n v="11.383716"/>
    <n v="9.0420200000000008"/>
    <n v="-2.3416959999999989"/>
    <n v="0.79429423573110935"/>
    <n v="34.987002000000011"/>
    <n v="9.0420200000000008"/>
  </r>
  <r>
    <x v="1"/>
    <x v="31"/>
    <x v="12"/>
    <m/>
    <m/>
    <m/>
    <m/>
    <n v="8238.5650000000005"/>
    <n v="0"/>
    <m/>
    <m/>
    <m/>
    <m/>
    <m/>
    <m/>
    <m/>
    <m/>
    <m/>
    <m/>
    <n v="8252.380000000001"/>
    <n v="2465.2399999999998"/>
    <m/>
    <m/>
    <m/>
    <m/>
    <m/>
    <m/>
    <n v="8.2385650000000012"/>
    <n v="10.71762"/>
    <n v="2.4790549999999989"/>
    <n v="1.3009085926978787"/>
    <n v="8.2385650000000012"/>
    <n v="10.71762"/>
  </r>
  <r>
    <x v="1"/>
    <x v="31"/>
    <x v="13"/>
    <m/>
    <m/>
    <m/>
    <n v="738.07400000000007"/>
    <n v="577.58100000000002"/>
    <n v="0"/>
    <n v="0"/>
    <m/>
    <m/>
    <m/>
    <m/>
    <m/>
    <m/>
    <m/>
    <m/>
    <n v="734.22"/>
    <n v="570.83000000000004"/>
    <n v="654.99"/>
    <n v="3097"/>
    <m/>
    <m/>
    <m/>
    <m/>
    <m/>
    <n v="1.3156550000000002"/>
    <n v="1.9600400000000002"/>
    <n v="0.64438499999999999"/>
    <n v="1.4897826557874214"/>
    <n v="1.3156550000000002"/>
    <n v="1.9600400000000002"/>
  </r>
  <r>
    <x v="1"/>
    <x v="31"/>
    <x v="14"/>
    <n v="0"/>
    <n v="0"/>
    <n v="0"/>
    <n v="0"/>
    <n v="1287.8109999999999"/>
    <n v="374.988"/>
    <n v="374.988"/>
    <n v="374.988"/>
    <n v="374.988"/>
    <n v="374.988"/>
    <n v="374.988"/>
    <n v="374.988"/>
    <n v="0"/>
    <n v="0"/>
    <n v="0"/>
    <n v="0"/>
    <n v="1272.2"/>
    <n v="2168.92"/>
    <n v="0"/>
    <n v="0"/>
    <n v="0"/>
    <n v="0"/>
    <n v="0"/>
    <n v="0"/>
    <n v="1.6627989999999999"/>
    <n v="3.4411199999999997"/>
    <n v="1.7783209999999998"/>
    <n v="2.0694744223444927"/>
    <n v="3.9127269999999994"/>
    <n v="3.4411199999999997"/>
  </r>
  <r>
    <x v="1"/>
    <x v="32"/>
    <x v="15"/>
    <m/>
    <m/>
    <m/>
    <n v="0"/>
    <n v="0"/>
    <n v="879.74599999999998"/>
    <n v="879.74599999999998"/>
    <n v="879.74599999999998"/>
    <n v="879.74599999999998"/>
    <n v="879.74599999999998"/>
    <n v="879.74599999999998"/>
    <n v="879.74599999999998"/>
    <m/>
    <m/>
    <m/>
    <n v="0"/>
    <n v="0"/>
    <n v="0"/>
    <n v="0"/>
    <n v="0"/>
    <n v="0"/>
    <n v="0"/>
    <n v="0"/>
    <n v="0"/>
    <n v="0.87974600000000003"/>
    <n v="0"/>
    <n v="-0.87974600000000003"/>
    <n v="0"/>
    <n v="6.1582219999999994"/>
    <n v="0"/>
  </r>
  <r>
    <x v="1"/>
    <x v="32"/>
    <x v="10"/>
    <m/>
    <m/>
    <m/>
    <m/>
    <n v="584.17899999999997"/>
    <n v="0"/>
    <m/>
    <m/>
    <m/>
    <m/>
    <m/>
    <m/>
    <m/>
    <m/>
    <m/>
    <m/>
    <n v="577.24"/>
    <n v="447.12"/>
    <m/>
    <m/>
    <m/>
    <m/>
    <m/>
    <m/>
    <n v="0.584179"/>
    <n v="1.0243600000000002"/>
    <n v="0.44018100000000016"/>
    <n v="1.7535036350159801"/>
    <n v="0.584179"/>
    <n v="1.0243600000000002"/>
  </r>
  <r>
    <x v="1"/>
    <x v="32"/>
    <x v="11"/>
    <m/>
    <m/>
    <m/>
    <n v="0"/>
    <n v="0"/>
    <n v="1759.4940000000001"/>
    <n v="1759.4940000000001"/>
    <n v="1759.4940000000001"/>
    <n v="1759.4940000000001"/>
    <n v="1759.4940000000001"/>
    <n v="1759.4940000000001"/>
    <n v="1759.4940000000001"/>
    <m/>
    <m/>
    <m/>
    <n v="0"/>
    <n v="0"/>
    <n v="637.87"/>
    <n v="0"/>
    <n v="0"/>
    <n v="0"/>
    <n v="0"/>
    <n v="0"/>
    <n v="0"/>
    <n v="1.7594940000000001"/>
    <n v="0.63787000000000005"/>
    <n v="-1.1216240000000002"/>
    <n v="0.36253036384324128"/>
    <n v="12.316458000000003"/>
    <n v="0.63787000000000005"/>
  </r>
  <r>
    <x v="1"/>
    <x v="32"/>
    <x v="9"/>
    <m/>
    <m/>
    <m/>
    <n v="5758.6000000000013"/>
    <n v="3681.4029999999998"/>
    <n v="1187.6579999999999"/>
    <n v="1187.6579999999999"/>
    <n v="1187.6579999999999"/>
    <n v="1187.6579999999999"/>
    <n v="1187.6579999999999"/>
    <n v="1187.6579999999999"/>
    <n v="1187.6579999999999"/>
    <m/>
    <m/>
    <m/>
    <n v="5772.58"/>
    <n v="3674.6400000000003"/>
    <n v="3447.58"/>
    <n v="0"/>
    <n v="0"/>
    <n v="0"/>
    <n v="0"/>
    <n v="0"/>
    <n v="0"/>
    <n v="10.627661"/>
    <n v="12.894800000000002"/>
    <n v="2.267139000000002"/>
    <n v="1.2133243617763121"/>
    <n v="17.753608999999997"/>
    <n v="12.894800000000002"/>
  </r>
  <r>
    <x v="1"/>
    <x v="32"/>
    <x v="16"/>
    <m/>
    <m/>
    <m/>
    <n v="0"/>
    <n v="0"/>
    <n v="879.74599999999998"/>
    <n v="879.74599999999998"/>
    <n v="879.74599999999998"/>
    <n v="879.74599999999998"/>
    <n v="879.74599999999998"/>
    <n v="879.74599999999998"/>
    <n v="879.74599999999998"/>
    <m/>
    <m/>
    <m/>
    <n v="0"/>
    <n v="0"/>
    <n v="0"/>
    <n v="0"/>
    <n v="0"/>
    <n v="0"/>
    <n v="0"/>
    <n v="0"/>
    <n v="0"/>
    <n v="0.87974600000000003"/>
    <n v="0"/>
    <n v="-0.87974600000000003"/>
    <n v="0"/>
    <n v="6.1582219999999994"/>
    <n v="0"/>
  </r>
  <r>
    <x v="1"/>
    <x v="32"/>
    <x v="14"/>
    <m/>
    <m/>
    <m/>
    <n v="4022.5070000000001"/>
    <n v="6886.0330000000004"/>
    <n v="879.74599999999998"/>
    <n v="879.74599999999998"/>
    <n v="879.74599999999998"/>
    <n v="879.74599999999998"/>
    <n v="879.74599999999998"/>
    <n v="879.74599999999998"/>
    <n v="879.74599999999998"/>
    <m/>
    <m/>
    <m/>
    <n v="4026.44"/>
    <n v="6953.75"/>
    <n v="2400.9299999999998"/>
    <n v="0"/>
    <n v="0"/>
    <n v="0"/>
    <n v="0"/>
    <n v="0"/>
    <n v="0"/>
    <n v="11.788285999999999"/>
    <n v="13.381120000000001"/>
    <n v="1.5928340000000016"/>
    <n v="1.1351200674975142"/>
    <n v="17.066761999999994"/>
    <n v="13.381120000000001"/>
  </r>
  <r>
    <x v="1"/>
    <x v="1"/>
    <x v="12"/>
    <m/>
    <m/>
    <m/>
    <m/>
    <m/>
    <n v="0"/>
    <m/>
    <m/>
    <m/>
    <m/>
    <m/>
    <m/>
    <m/>
    <m/>
    <m/>
    <m/>
    <m/>
    <n v="247.09"/>
    <m/>
    <m/>
    <m/>
    <m/>
    <m/>
    <m/>
    <n v="0"/>
    <n v="0.24709"/>
    <n v="0.24709"/>
    <n v="1.0000110000110001"/>
    <n v="0"/>
    <n v="0.24709"/>
  </r>
  <r>
    <x v="1"/>
    <x v="33"/>
    <x v="11"/>
    <m/>
    <m/>
    <m/>
    <n v="0"/>
    <n v="0"/>
    <n v="78.599999999999994"/>
    <m/>
    <m/>
    <m/>
    <m/>
    <m/>
    <m/>
    <m/>
    <m/>
    <m/>
    <n v="0"/>
    <n v="0"/>
    <n v="0"/>
    <m/>
    <m/>
    <m/>
    <m/>
    <m/>
    <m/>
    <n v="7.8599999999999989E-2"/>
    <n v="0"/>
    <n v="-7.8599999999999989E-2"/>
    <n v="0"/>
    <n v="7.8599999999999989E-2"/>
    <n v="0"/>
  </r>
  <r>
    <x v="1"/>
    <x v="33"/>
    <x v="9"/>
    <m/>
    <n v="42.879999999999995"/>
    <n v="45.81"/>
    <n v="140.63"/>
    <n v="179.32999999999998"/>
    <n v="304.37200000000001"/>
    <m/>
    <m/>
    <m/>
    <m/>
    <m/>
    <m/>
    <m/>
    <n v="42.879999999999995"/>
    <n v="45.81"/>
    <n v="140.63"/>
    <n v="179.75"/>
    <n v="152.38000000000002"/>
    <m/>
    <m/>
    <m/>
    <m/>
    <m/>
    <m/>
    <n v="0.71302199999999993"/>
    <n v="0.56145"/>
    <n v="-0.15157199999999993"/>
    <n v="0.78742310896437984"/>
    <n v="0.71302199999999993"/>
    <n v="0.56145"/>
  </r>
  <r>
    <x v="1"/>
    <x v="33"/>
    <x v="14"/>
    <m/>
    <m/>
    <m/>
    <n v="0"/>
    <n v="0"/>
    <n v="78.599999999999994"/>
    <m/>
    <m/>
    <m/>
    <m/>
    <m/>
    <m/>
    <m/>
    <m/>
    <m/>
    <n v="0"/>
    <n v="0"/>
    <n v="0"/>
    <m/>
    <m/>
    <m/>
    <m/>
    <m/>
    <m/>
    <n v="7.8599999999999989E-2"/>
    <n v="0"/>
    <n v="-7.8599999999999989E-2"/>
    <n v="0"/>
    <n v="7.8599999999999989E-2"/>
    <n v="0"/>
  </r>
  <r>
    <x v="1"/>
    <x v="34"/>
    <x v="9"/>
    <n v="0"/>
    <n v="0"/>
    <n v="0"/>
    <n v="206.8"/>
    <n v="70.69"/>
    <n v="73.546999999999997"/>
    <n v="73.546999999999997"/>
    <n v="73.546999999999997"/>
    <n v="73.546999999999997"/>
    <n v="73.546999999999997"/>
    <n v="73.546999999999997"/>
    <n v="73.546999999999997"/>
    <n v="0"/>
    <n v="0"/>
    <n v="0"/>
    <n v="206.79999999999998"/>
    <n v="71"/>
    <n v="76.41"/>
    <n v="0"/>
    <n v="0"/>
    <n v="0"/>
    <n v="0"/>
    <n v="0"/>
    <n v="0"/>
    <n v="0.35103700000000004"/>
    <n v="0.35420999999999991"/>
    <n v="3.1729999999998704E-3"/>
    <n v="1.0090389332178655"/>
    <n v="0.79231900000000022"/>
    <n v="0.35420999999999991"/>
  </r>
  <r>
    <x v="1"/>
    <x v="34"/>
    <x v="17"/>
    <n v="0"/>
    <n v="0"/>
    <n v="0"/>
    <n v="0"/>
    <n v="0"/>
    <n v="36.899000000000001"/>
    <n v="36.899000000000001"/>
    <n v="36.899000000000001"/>
    <n v="36.899000000000001"/>
    <n v="36.899000000000001"/>
    <n v="36.899000000000001"/>
    <n v="36.899000000000001"/>
    <n v="0"/>
    <n v="0"/>
    <n v="0"/>
    <n v="0"/>
    <n v="0"/>
    <n v="0"/>
    <n v="0"/>
    <n v="0"/>
    <n v="0"/>
    <n v="0"/>
    <n v="0"/>
    <n v="0"/>
    <n v="3.6899000000000001E-2"/>
    <n v="0"/>
    <n v="-3.6899000000000001E-2"/>
    <n v="0"/>
    <n v="0.25829299999999999"/>
    <n v="0"/>
  </r>
  <r>
    <x v="1"/>
    <x v="34"/>
    <x v="16"/>
    <n v="0"/>
    <n v="0"/>
    <n v="0"/>
    <n v="0"/>
    <n v="0"/>
    <n v="61.297000000000004"/>
    <n v="61.297000000000004"/>
    <n v="61.297000000000004"/>
    <n v="61.297000000000004"/>
    <n v="61.297000000000004"/>
    <n v="61.297000000000004"/>
    <n v="61.297000000000004"/>
    <n v="0"/>
    <n v="0"/>
    <n v="0"/>
    <n v="0"/>
    <n v="0"/>
    <n v="0"/>
    <n v="0"/>
    <n v="0"/>
    <n v="0"/>
    <n v="0"/>
    <n v="0"/>
    <n v="0"/>
    <n v="6.1297000000000004E-2"/>
    <n v="0"/>
    <n v="-6.1297000000000004E-2"/>
    <n v="0"/>
    <n v="0.42907900000000004"/>
    <n v="0"/>
  </r>
  <r>
    <x v="1"/>
    <x v="34"/>
    <x v="14"/>
    <n v="0"/>
    <n v="0"/>
    <n v="0"/>
    <n v="0"/>
    <n v="0"/>
    <n v="186.34700000000001"/>
    <n v="186.34700000000001"/>
    <n v="186.34700000000001"/>
    <n v="186.34700000000001"/>
    <n v="186.34700000000001"/>
    <n v="186.34700000000001"/>
    <n v="186.34700000000001"/>
    <n v="0"/>
    <n v="0"/>
    <n v="0"/>
    <n v="0"/>
    <n v="0"/>
    <n v="0"/>
    <n v="0"/>
    <n v="0"/>
    <n v="0"/>
    <n v="0"/>
    <n v="0"/>
    <n v="0"/>
    <n v="0.18634700000000001"/>
    <n v="0"/>
    <n v="-0.18634700000000001"/>
    <n v="0"/>
    <n v="1.3044290000000001"/>
    <n v="0"/>
  </r>
  <r>
    <x v="1"/>
    <x v="2"/>
    <x v="9"/>
    <m/>
    <m/>
    <m/>
    <m/>
    <n v="997.62900000000002"/>
    <n v="0"/>
    <m/>
    <m/>
    <m/>
    <m/>
    <m/>
    <m/>
    <m/>
    <m/>
    <m/>
    <m/>
    <n v="1020.8899999999999"/>
    <n v="105.59000000000002"/>
    <m/>
    <m/>
    <m/>
    <m/>
    <m/>
    <m/>
    <n v="0.99762899999999999"/>
    <n v="1.1264799999999997"/>
    <n v="0.12885099999999972"/>
    <n v="1.1291572317965894"/>
    <n v="0.99762899999999999"/>
    <n v="1.1264799999999997"/>
  </r>
  <r>
    <x v="1"/>
    <x v="2"/>
    <x v="14"/>
    <m/>
    <m/>
    <m/>
    <m/>
    <n v="2107.2779999999998"/>
    <n v="0"/>
    <m/>
    <m/>
    <m/>
    <m/>
    <m/>
    <m/>
    <m/>
    <m/>
    <m/>
    <m/>
    <n v="2167.4"/>
    <n v="-1056.29"/>
    <m/>
    <m/>
    <m/>
    <m/>
    <m/>
    <m/>
    <n v="2.107278"/>
    <n v="1.11111"/>
    <n v="-0.99616799999999994"/>
    <n v="0.52727262373545403"/>
    <n v="2.107278"/>
    <n v="1.11111"/>
  </r>
  <r>
    <x v="1"/>
    <x v="35"/>
    <x v="11"/>
    <m/>
    <m/>
    <m/>
    <n v="582.07600000000002"/>
    <n v="0"/>
    <m/>
    <m/>
    <m/>
    <m/>
    <m/>
    <m/>
    <m/>
    <m/>
    <m/>
    <m/>
    <n v="576.66999999999996"/>
    <n v="0"/>
    <m/>
    <m/>
    <m/>
    <m/>
    <m/>
    <m/>
    <m/>
    <n v="0.58207600000000004"/>
    <n v="0.5766699999999999"/>
    <n v="-5.4060000000001329E-3"/>
    <n v="0.99071255299995165"/>
    <n v="0.58207600000000004"/>
    <n v="0.5766699999999999"/>
  </r>
  <r>
    <x v="1"/>
    <x v="3"/>
    <x v="15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1"/>
    <x v="3"/>
    <x v="11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1"/>
    <x v="3"/>
    <x v="9"/>
    <m/>
    <m/>
    <m/>
    <n v="10.608000000000001"/>
    <n v="19.908000000000001"/>
    <n v="0"/>
    <m/>
    <m/>
    <m/>
    <m/>
    <m/>
    <m/>
    <m/>
    <m/>
    <m/>
    <n v="10.27"/>
    <n v="20.059999999999999"/>
    <n v="2191.9499999999998"/>
    <m/>
    <m/>
    <m/>
    <m/>
    <m/>
    <m/>
    <n v="3.0516000000000001E-2"/>
    <n v="2.2222799999999996"/>
    <n v="2.1917639999999996"/>
    <n v="72.823436885568213"/>
    <n v="3.0516000000000001E-2"/>
    <n v="2.2222799999999996"/>
  </r>
  <r>
    <x v="1"/>
    <x v="3"/>
    <x v="16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1"/>
    <x v="3"/>
    <x v="14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1"/>
    <x v="36"/>
    <x v="9"/>
    <n v="0"/>
    <n v="0"/>
    <n v="0"/>
    <n v="524.08600000000001"/>
    <n v="162.79200000000003"/>
    <n v="0"/>
    <n v="0"/>
    <n v="0"/>
    <m/>
    <m/>
    <m/>
    <m/>
    <n v="0"/>
    <n v="0"/>
    <n v="0"/>
    <n v="532.14"/>
    <n v="164.35"/>
    <n v="176.83"/>
    <n v="0"/>
    <n v="0"/>
    <m/>
    <m/>
    <m/>
    <m/>
    <n v="0.68687799999999999"/>
    <n v="0.8733200000000001"/>
    <n v="0.18644200000000011"/>
    <n v="1.271433937322203"/>
    <n v="0.68687799999999999"/>
    <n v="0.8733200000000001"/>
  </r>
  <r>
    <x v="1"/>
    <x v="37"/>
    <x v="11"/>
    <m/>
    <m/>
    <n v="0"/>
    <n v="0"/>
    <m/>
    <n v="0"/>
    <m/>
    <m/>
    <m/>
    <m/>
    <m/>
    <m/>
    <m/>
    <m/>
    <n v="0"/>
    <n v="0"/>
    <m/>
    <n v="664.75"/>
    <m/>
    <m/>
    <m/>
    <m/>
    <m/>
    <m/>
    <n v="0"/>
    <n v="0.66474999999999995"/>
    <n v="0.66474999999999995"/>
    <n v="1.0000110000110001"/>
    <n v="0"/>
    <n v="0.66474999999999995"/>
  </r>
  <r>
    <x v="1"/>
    <x v="37"/>
    <x v="9"/>
    <m/>
    <m/>
    <n v="0"/>
    <n v="441.84699999999998"/>
    <n v="861.21"/>
    <n v="0"/>
    <m/>
    <m/>
    <m/>
    <m/>
    <m/>
    <m/>
    <m/>
    <m/>
    <n v="0"/>
    <n v="440.36"/>
    <n v="860.59"/>
    <n v="612.54"/>
    <m/>
    <m/>
    <m/>
    <m/>
    <m/>
    <m/>
    <n v="1.3030569999999999"/>
    <n v="1.9134899999999999"/>
    <n v="0.610433"/>
    <n v="1.4684622391806346"/>
    <n v="1.3030569999999999"/>
    <n v="1.9134899999999999"/>
  </r>
  <r>
    <x v="1"/>
    <x v="37"/>
    <x v="14"/>
    <m/>
    <m/>
    <n v="0"/>
    <n v="0"/>
    <m/>
    <m/>
    <m/>
    <m/>
    <m/>
    <m/>
    <m/>
    <m/>
    <m/>
    <m/>
    <n v="0"/>
    <n v="0"/>
    <m/>
    <m/>
    <m/>
    <m/>
    <m/>
    <m/>
    <m/>
    <m/>
    <n v="0"/>
    <n v="0"/>
    <n v="0"/>
    <n v="1.0000110000110001"/>
    <n v="0"/>
    <n v="0"/>
  </r>
  <r>
    <x v="1"/>
    <x v="38"/>
    <x v="15"/>
    <n v="0"/>
    <n v="0"/>
    <n v="0"/>
    <n v="0"/>
    <n v="0"/>
    <n v="170.35399999999998"/>
    <n v="170.35399999999998"/>
    <n v="170.35399999999998"/>
    <n v="170.35399999999998"/>
    <n v="170.35399999999998"/>
    <n v="170.35399999999998"/>
    <n v="170.35399999999998"/>
    <n v="0"/>
    <n v="0"/>
    <n v="0"/>
    <n v="0"/>
    <n v="0"/>
    <n v="0"/>
    <n v="0"/>
    <n v="0"/>
    <n v="0"/>
    <n v="0"/>
    <n v="0"/>
    <n v="0"/>
    <n v="0.17035399999999998"/>
    <n v="0"/>
    <n v="-0.17035399999999998"/>
    <n v="0"/>
    <n v="1.1924780000000001"/>
    <n v="0"/>
  </r>
  <r>
    <x v="1"/>
    <x v="38"/>
    <x v="11"/>
    <n v="21.917000000000002"/>
    <n v="385.27699999999999"/>
    <n v="0"/>
    <n v="620.99900000000002"/>
    <n v="527.577"/>
    <n v="340.70600000000002"/>
    <n v="340.70600000000002"/>
    <n v="340.70600000000002"/>
    <n v="340.70600000000002"/>
    <n v="340.70600000000002"/>
    <n v="340.70600000000002"/>
    <n v="340.70600000000002"/>
    <n v="21.92"/>
    <n v="385.27"/>
    <n v="0"/>
    <n v="619.24"/>
    <n v="527.32999999999993"/>
    <n v="443.10999999999996"/>
    <n v="0"/>
    <n v="0"/>
    <n v="0"/>
    <n v="0"/>
    <n v="0"/>
    <n v="0"/>
    <n v="1.8964760000000001"/>
    <n v="1.9968699999999999"/>
    <n v="0.10039399999999987"/>
    <n v="1.0529371318171177"/>
    <n v="3.9407120000000009"/>
    <n v="1.9968699999999999"/>
  </r>
  <r>
    <x v="1"/>
    <x v="38"/>
    <x v="9"/>
    <n v="0"/>
    <n v="1013.033"/>
    <n v="0"/>
    <n v="2739.66"/>
    <n v="1256.5450000000003"/>
    <n v="383.29500000000002"/>
    <n v="383.29500000000002"/>
    <n v="383.29500000000002"/>
    <n v="383.29500000000002"/>
    <n v="383.29500000000002"/>
    <n v="383.29500000000002"/>
    <n v="383.29500000000002"/>
    <n v="0"/>
    <n v="1013.0600000000001"/>
    <n v="0"/>
    <n v="2731.6900000000005"/>
    <n v="1258.19"/>
    <n v="-187.01999999999992"/>
    <n v="0"/>
    <n v="0"/>
    <n v="0"/>
    <n v="0"/>
    <n v="0"/>
    <n v="0"/>
    <n v="5.3925330000000002"/>
    <n v="4.8159200000000011"/>
    <n v="-0.57661299999999915"/>
    <n v="0.89307195709326226"/>
    <n v="7.6923030000000008"/>
    <n v="4.8159200000000011"/>
  </r>
  <r>
    <x v="1"/>
    <x v="38"/>
    <x v="16"/>
    <n v="0"/>
    <n v="0"/>
    <n v="0"/>
    <n v="0"/>
    <n v="0"/>
    <n v="170.35399999999998"/>
    <n v="170.35399999999998"/>
    <n v="170.35399999999998"/>
    <n v="170.35399999999998"/>
    <n v="170.35399999999998"/>
    <n v="170.35399999999998"/>
    <n v="170.35399999999998"/>
    <n v="0"/>
    <n v="0"/>
    <n v="0"/>
    <n v="0"/>
    <n v="0"/>
    <n v="0"/>
    <n v="0"/>
    <n v="0"/>
    <n v="0"/>
    <n v="0"/>
    <n v="0"/>
    <n v="0"/>
    <n v="0.17035399999999998"/>
    <n v="0"/>
    <n v="-0.17035399999999998"/>
    <n v="0"/>
    <n v="1.1924780000000001"/>
    <n v="0"/>
  </r>
  <r>
    <x v="1"/>
    <x v="38"/>
    <x v="12"/>
    <m/>
    <n v="295.779"/>
    <m/>
    <n v="135.27500000000001"/>
    <n v="454.19100000000003"/>
    <n v="0"/>
    <m/>
    <m/>
    <m/>
    <m/>
    <m/>
    <m/>
    <m/>
    <n v="295.77999999999997"/>
    <m/>
    <n v="136.03"/>
    <n v="450.25000000000006"/>
    <n v="155.82999999999998"/>
    <m/>
    <m/>
    <m/>
    <m/>
    <m/>
    <m/>
    <n v="0.88524500000000006"/>
    <n v="1.03789"/>
    <n v="0.15264499999999992"/>
    <n v="1.1724324904404995"/>
    <n v="0.88524500000000006"/>
    <n v="1.03789"/>
  </r>
  <r>
    <x v="1"/>
    <x v="38"/>
    <x v="14"/>
    <n v="0"/>
    <n v="987.45100000000002"/>
    <n v="0"/>
    <n v="1128.7819999999999"/>
    <n v="898.23699999999963"/>
    <n v="170.35399999999998"/>
    <n v="170.35399999999998"/>
    <n v="170.35399999999998"/>
    <n v="170.35399999999998"/>
    <n v="170.35399999999998"/>
    <n v="170.35399999999998"/>
    <n v="170.35399999999998"/>
    <n v="0"/>
    <n v="987.43000000000006"/>
    <n v="0"/>
    <n v="1129"/>
    <n v="893.70999999999992"/>
    <n v="526.05999999999995"/>
    <n v="0"/>
    <n v="0"/>
    <n v="0"/>
    <n v="0"/>
    <n v="0"/>
    <n v="0"/>
    <n v="3.1848239999999994"/>
    <n v="3.5362000000000005"/>
    <n v="0.35137600000000102"/>
    <n v="1.1103282316385461"/>
    <n v="4.2069479999999988"/>
    <n v="3.5362000000000005"/>
  </r>
  <r>
    <x v="1"/>
    <x v="4"/>
    <x v="9"/>
    <n v="851.36099999999999"/>
    <m/>
    <m/>
    <m/>
    <m/>
    <m/>
    <m/>
    <m/>
    <m/>
    <m/>
    <m/>
    <m/>
    <n v="868.58"/>
    <m/>
    <m/>
    <m/>
    <m/>
    <m/>
    <m/>
    <m/>
    <m/>
    <m/>
    <m/>
    <m/>
    <n v="0.85136100000000003"/>
    <n v="0.86858000000000002"/>
    <n v="1.7218999999999984E-2"/>
    <n v="1.0202252628438464"/>
    <n v="0.85136100000000003"/>
    <n v="0.86858000000000002"/>
  </r>
  <r>
    <x v="1"/>
    <x v="39"/>
    <x v="15"/>
    <m/>
    <m/>
    <m/>
    <n v="0"/>
    <n v="0"/>
    <n v="16.921999999999997"/>
    <n v="16.921999999999997"/>
    <n v="16.921999999999997"/>
    <n v="16.921999999999997"/>
    <n v="16.921999999999997"/>
    <n v="16.921999999999997"/>
    <n v="16.921999999999997"/>
    <m/>
    <m/>
    <m/>
    <n v="0"/>
    <n v="0"/>
    <n v="0"/>
    <n v="0"/>
    <n v="0"/>
    <n v="0"/>
    <n v="0"/>
    <n v="0"/>
    <n v="0"/>
    <n v="1.6921999999999996E-2"/>
    <n v="0"/>
    <n v="-1.6921999999999996E-2"/>
    <n v="0"/>
    <n v="0.11845399999999998"/>
    <n v="0"/>
  </r>
  <r>
    <x v="1"/>
    <x v="39"/>
    <x v="10"/>
    <m/>
    <m/>
    <m/>
    <m/>
    <m/>
    <n v="0"/>
    <m/>
    <m/>
    <m/>
    <m/>
    <m/>
    <m/>
    <m/>
    <m/>
    <m/>
    <m/>
    <m/>
    <n v="9.48"/>
    <m/>
    <m/>
    <m/>
    <m/>
    <m/>
    <m/>
    <n v="0"/>
    <n v="9.4800000000000006E-3"/>
    <n v="9.4800000000000006E-3"/>
    <n v="1.0000110000110001"/>
    <n v="0"/>
    <n v="9.4800000000000006E-3"/>
  </r>
  <r>
    <x v="1"/>
    <x v="39"/>
    <x v="11"/>
    <m/>
    <m/>
    <m/>
    <n v="0"/>
    <n v="0"/>
    <n v="33.844999999999999"/>
    <n v="33.844999999999999"/>
    <n v="33.844999999999999"/>
    <n v="33.844999999999999"/>
    <n v="33.844999999999999"/>
    <n v="33.844999999999999"/>
    <n v="33.844999999999999"/>
    <m/>
    <m/>
    <m/>
    <n v="0"/>
    <n v="0"/>
    <n v="0"/>
    <n v="0"/>
    <n v="0"/>
    <n v="0"/>
    <n v="0"/>
    <n v="0"/>
    <n v="0"/>
    <n v="3.3845E-2"/>
    <n v="0"/>
    <n v="-3.3845E-2"/>
    <n v="0"/>
    <n v="0.23691499999999999"/>
    <n v="0"/>
  </r>
  <r>
    <x v="1"/>
    <x v="39"/>
    <x v="9"/>
    <m/>
    <m/>
    <m/>
    <n v="12.959"/>
    <n v="24.883999999999997"/>
    <n v="56.69"/>
    <n v="56.69"/>
    <n v="56.69"/>
    <n v="56.69"/>
    <n v="56.69"/>
    <n v="56.69"/>
    <n v="56.69"/>
    <m/>
    <m/>
    <m/>
    <n v="12.79"/>
    <n v="25.04"/>
    <n v="17.77"/>
    <n v="0"/>
    <n v="0"/>
    <n v="0"/>
    <n v="0"/>
    <n v="0"/>
    <n v="0"/>
    <n v="9.4532999999999992E-2"/>
    <n v="5.5599999999999997E-2"/>
    <n v="-3.8932999999999995E-2"/>
    <n v="0.58815440110860762"/>
    <n v="0.43467299999999992"/>
    <n v="5.5599999999999997E-2"/>
  </r>
  <r>
    <x v="1"/>
    <x v="39"/>
    <x v="16"/>
    <m/>
    <m/>
    <m/>
    <n v="0"/>
    <n v="0"/>
    <n v="16.921999999999997"/>
    <n v="16.921999999999997"/>
    <n v="16.921999999999997"/>
    <n v="16.921999999999997"/>
    <n v="16.921999999999997"/>
    <n v="16.921999999999997"/>
    <n v="16.921999999999997"/>
    <m/>
    <m/>
    <m/>
    <n v="0"/>
    <n v="0"/>
    <n v="0"/>
    <n v="0"/>
    <n v="0"/>
    <n v="0"/>
    <n v="0"/>
    <n v="0"/>
    <n v="0"/>
    <n v="1.6921999999999996E-2"/>
    <n v="0"/>
    <n v="-1.6921999999999996E-2"/>
    <n v="0"/>
    <n v="0.11845399999999998"/>
    <n v="0"/>
  </r>
  <r>
    <x v="1"/>
    <x v="39"/>
    <x v="13"/>
    <m/>
    <m/>
    <m/>
    <m/>
    <m/>
    <n v="0"/>
    <m/>
    <m/>
    <m/>
    <m/>
    <m/>
    <m/>
    <m/>
    <m/>
    <m/>
    <m/>
    <m/>
    <n v="114.3"/>
    <m/>
    <m/>
    <m/>
    <m/>
    <m/>
    <m/>
    <n v="0"/>
    <n v="0.1143"/>
    <n v="0.1143"/>
    <n v="1.0000110000110001"/>
    <n v="0"/>
    <n v="0.1143"/>
  </r>
  <r>
    <x v="1"/>
    <x v="39"/>
    <x v="14"/>
    <m/>
    <m/>
    <m/>
    <n v="0"/>
    <n v="0"/>
    <n v="16.921999999999997"/>
    <n v="16.921999999999997"/>
    <n v="16.921999999999997"/>
    <n v="16.921999999999997"/>
    <n v="16.921999999999997"/>
    <n v="16.921999999999997"/>
    <n v="16.921999999999997"/>
    <m/>
    <m/>
    <m/>
    <n v="0"/>
    <n v="0"/>
    <n v="0"/>
    <n v="0"/>
    <n v="0"/>
    <n v="0"/>
    <n v="0"/>
    <n v="0"/>
    <n v="0"/>
    <n v="1.6921999999999996E-2"/>
    <n v="0"/>
    <n v="-1.6921999999999996E-2"/>
    <n v="0"/>
    <n v="0.11845399999999998"/>
    <n v="0"/>
  </r>
  <r>
    <x v="1"/>
    <x v="40"/>
    <x v="15"/>
    <m/>
    <m/>
    <n v="0"/>
    <n v="0"/>
    <n v="0"/>
    <n v="289.17700000000002"/>
    <n v="289.17700000000002"/>
    <n v="289.17700000000002"/>
    <n v="289.17700000000002"/>
    <n v="289.17700000000002"/>
    <n v="289.17700000000002"/>
    <n v="289.17700000000002"/>
    <m/>
    <m/>
    <n v="0"/>
    <n v="0"/>
    <n v="0"/>
    <n v="0"/>
    <n v="0"/>
    <n v="0"/>
    <n v="0"/>
    <n v="0"/>
    <n v="0"/>
    <n v="0"/>
    <n v="0.28917700000000002"/>
    <n v="0"/>
    <n v="-0.28917700000000002"/>
    <n v="0"/>
    <n v="2.0242390000000006"/>
    <n v="0"/>
  </r>
  <r>
    <x v="1"/>
    <x v="40"/>
    <x v="11"/>
    <m/>
    <m/>
    <n v="0"/>
    <n v="0"/>
    <n v="148.065"/>
    <n v="578.35500000000002"/>
    <n v="578.35500000000002"/>
    <n v="578.35500000000002"/>
    <n v="578.35500000000002"/>
    <n v="578.35500000000002"/>
    <n v="578.35500000000002"/>
    <n v="578.35500000000002"/>
    <m/>
    <m/>
    <n v="0"/>
    <n v="0"/>
    <n v="150.05000000000001"/>
    <n v="132.47"/>
    <n v="0"/>
    <n v="0"/>
    <n v="0"/>
    <n v="0"/>
    <n v="0"/>
    <n v="0"/>
    <n v="0.72642000000000007"/>
    <n v="0.28251999999999999"/>
    <n v="-0.44390000000000007"/>
    <n v="0.38892100988408906"/>
    <n v="4.1965500000000002"/>
    <n v="0.28251999999999999"/>
  </r>
  <r>
    <x v="1"/>
    <x v="40"/>
    <x v="9"/>
    <m/>
    <n v="0"/>
    <n v="0"/>
    <n v="1698.0520000000001"/>
    <n v="737.55"/>
    <n v="1025.771"/>
    <n v="1025.771"/>
    <n v="1025.771"/>
    <n v="1025.771"/>
    <n v="1025.771"/>
    <n v="1025.771"/>
    <n v="1025.771"/>
    <m/>
    <n v="0"/>
    <n v="0"/>
    <n v="1704.15"/>
    <n v="766.7299999999999"/>
    <n v="693.51"/>
    <n v="0"/>
    <n v="0"/>
    <n v="0"/>
    <n v="0"/>
    <n v="0"/>
    <n v="0"/>
    <n v="3.4613729999999996"/>
    <n v="3.1643900000000005"/>
    <n v="-0.29698299999999911"/>
    <n v="0.914200809909825"/>
    <n v="9.6159990000000004"/>
    <n v="3.1643900000000005"/>
  </r>
  <r>
    <x v="1"/>
    <x v="40"/>
    <x v="16"/>
    <m/>
    <m/>
    <n v="0"/>
    <n v="967.04499999999996"/>
    <n v="-903.99099999999999"/>
    <n v="289.17700000000002"/>
    <n v="289.17700000000002"/>
    <n v="289.17700000000002"/>
    <n v="289.17700000000002"/>
    <n v="289.17700000000002"/>
    <n v="289.17700000000002"/>
    <n v="289.17700000000002"/>
    <m/>
    <m/>
    <n v="0"/>
    <n v="978.69"/>
    <n v="-978.69"/>
    <n v="0"/>
    <n v="0"/>
    <n v="0"/>
    <n v="0"/>
    <n v="0"/>
    <n v="0"/>
    <n v="0"/>
    <n v="0.35223100000000002"/>
    <n v="0"/>
    <n v="-0.35223100000000002"/>
    <n v="0"/>
    <n v="2.0872930000000007"/>
    <n v="0"/>
  </r>
  <r>
    <x v="1"/>
    <x v="40"/>
    <x v="14"/>
    <m/>
    <m/>
    <n v="0"/>
    <n v="0"/>
    <n v="656.30200000000002"/>
    <n v="289.17700000000002"/>
    <n v="289.17700000000002"/>
    <n v="289.17700000000002"/>
    <n v="289.17700000000002"/>
    <n v="289.17700000000002"/>
    <n v="289.17700000000002"/>
    <n v="289.17700000000002"/>
    <m/>
    <m/>
    <n v="0"/>
    <n v="0"/>
    <n v="665.1"/>
    <n v="696.32"/>
    <n v="0"/>
    <n v="0"/>
    <n v="0"/>
    <n v="0"/>
    <n v="0"/>
    <n v="0"/>
    <n v="0.94547900000000007"/>
    <n v="1.3614200000000001"/>
    <n v="0.41594100000000001"/>
    <n v="1.4399262172930334"/>
    <n v="2.6805410000000007"/>
    <n v="1.3614200000000001"/>
  </r>
  <r>
    <x v="1"/>
    <x v="5"/>
    <x v="15"/>
    <m/>
    <m/>
    <m/>
    <n v="0"/>
    <n v="0"/>
    <n v="553.59699999999998"/>
    <n v="553.59699999999998"/>
    <n v="553.59699999999998"/>
    <n v="553.59699999999998"/>
    <n v="553.59699999999998"/>
    <n v="553.59699999999998"/>
    <n v="553.59699999999998"/>
    <m/>
    <m/>
    <m/>
    <n v="0"/>
    <n v="0"/>
    <n v="0"/>
    <n v="0"/>
    <n v="0"/>
    <n v="0"/>
    <n v="0"/>
    <n v="0"/>
    <n v="0"/>
    <n v="0.55359700000000001"/>
    <n v="0"/>
    <n v="-0.55359700000000001"/>
    <n v="0"/>
    <n v="3.8751789999999993"/>
    <n v="0"/>
  </r>
  <r>
    <x v="1"/>
    <x v="5"/>
    <x v="11"/>
    <m/>
    <n v="291.52699999999999"/>
    <n v="333.00700000000001"/>
    <n v="437.536"/>
    <n v="441.69400000000002"/>
    <n v="1107.1959999999999"/>
    <n v="1107.1959999999999"/>
    <n v="1107.1959999999999"/>
    <n v="1107.1959999999999"/>
    <n v="1107.1959999999999"/>
    <n v="1107.1959999999999"/>
    <n v="1107.1959999999999"/>
    <m/>
    <n v="297.64"/>
    <n v="336.02000000000004"/>
    <n v="435.04"/>
    <n v="436.34000000000003"/>
    <n v="498.28000000000003"/>
    <n v="0"/>
    <n v="0"/>
    <n v="0"/>
    <n v="0"/>
    <n v="0"/>
    <n v="0"/>
    <n v="2.6109599999999999"/>
    <n v="2.00332"/>
    <n v="-0.60763999999999996"/>
    <n v="0.76727334007414894"/>
    <n v="9.254135999999999"/>
    <n v="2.00332"/>
  </r>
  <r>
    <x v="1"/>
    <x v="5"/>
    <x v="9"/>
    <n v="8.7799999999999994"/>
    <n v="457.41800000000001"/>
    <n v="498.77499999999998"/>
    <n v="4621.6659999999993"/>
    <n v="3777.29"/>
    <n v="1379.4970000000001"/>
    <n v="1379.4970000000001"/>
    <n v="1379.4970000000001"/>
    <n v="1379.4970000000001"/>
    <n v="1379.4970000000001"/>
    <n v="1379.4970000000001"/>
    <n v="1379.4970000000001"/>
    <n v="8.65"/>
    <n v="467.01"/>
    <n v="503.29"/>
    <n v="4667.84"/>
    <n v="3783.91"/>
    <n v="1973.3399999999997"/>
    <n v="0"/>
    <n v="0"/>
    <n v="0"/>
    <n v="0"/>
    <n v="0"/>
    <n v="0"/>
    <n v="10.743425999999999"/>
    <n v="11.40404"/>
    <n v="0.6606140000000007"/>
    <n v="1.0614900684381314"/>
    <n v="19.020407999999996"/>
    <n v="11.40404"/>
  </r>
  <r>
    <x v="1"/>
    <x v="5"/>
    <x v="16"/>
    <m/>
    <m/>
    <m/>
    <n v="0"/>
    <n v="0"/>
    <n v="553.59699999999998"/>
    <n v="553.59699999999998"/>
    <n v="553.59699999999998"/>
    <n v="553.59699999999998"/>
    <n v="553.59699999999998"/>
    <n v="553.59699999999998"/>
    <n v="553.59699999999998"/>
    <m/>
    <m/>
    <m/>
    <n v="0"/>
    <n v="0"/>
    <n v="0"/>
    <n v="0"/>
    <n v="0"/>
    <n v="0"/>
    <n v="0"/>
    <n v="0"/>
    <n v="0"/>
    <n v="0.55359700000000001"/>
    <n v="0"/>
    <n v="-0.55359700000000001"/>
    <n v="0"/>
    <n v="3.8751789999999993"/>
    <n v="0"/>
  </r>
  <r>
    <x v="1"/>
    <x v="5"/>
    <x v="13"/>
    <m/>
    <n v="0"/>
    <n v="0"/>
    <n v="0"/>
    <n v="0"/>
    <n v="83.475999999999999"/>
    <n v="83.475999999999999"/>
    <n v="83.475999999999999"/>
    <n v="83.475999999999999"/>
    <n v="83.475999999999999"/>
    <n v="83.475999999999999"/>
    <n v="83.475999999999999"/>
    <m/>
    <n v="0"/>
    <n v="0"/>
    <n v="0"/>
    <n v="0"/>
    <n v="0"/>
    <n v="0"/>
    <n v="0"/>
    <n v="0"/>
    <n v="0"/>
    <n v="0"/>
    <n v="0"/>
    <n v="8.3475999999999995E-2"/>
    <n v="0"/>
    <n v="-8.3475999999999995E-2"/>
    <n v="0"/>
    <n v="0.58433199999999996"/>
    <n v="0"/>
  </r>
  <r>
    <x v="1"/>
    <x v="5"/>
    <x v="14"/>
    <m/>
    <m/>
    <m/>
    <n v="2183.9290000000001"/>
    <n v="617.16099999999994"/>
    <n v="553.59699999999998"/>
    <n v="553.59699999999998"/>
    <n v="553.59699999999998"/>
    <n v="553.59699999999998"/>
    <n v="553.59699999999998"/>
    <n v="553.59699999999998"/>
    <n v="553.59699999999998"/>
    <m/>
    <m/>
    <m/>
    <n v="2193.1000000000004"/>
    <n v="609.68000000000006"/>
    <n v="609.28999999999974"/>
    <n v="0"/>
    <n v="0"/>
    <n v="0"/>
    <n v="0"/>
    <n v="0"/>
    <n v="0"/>
    <n v="3.3546869999999998"/>
    <n v="3.4120700000000008"/>
    <n v="5.7383000000001072E-2"/>
    <n v="1.0171053215993031"/>
    <n v="6.6762689999999987"/>
    <n v="3.4120700000000008"/>
  </r>
  <r>
    <x v="1"/>
    <x v="6"/>
    <x v="9"/>
    <n v="0"/>
    <m/>
    <m/>
    <n v="782.64699999999993"/>
    <n v="1051.2530000000002"/>
    <n v="0"/>
    <n v="0"/>
    <m/>
    <m/>
    <n v="0"/>
    <m/>
    <m/>
    <n v="0"/>
    <m/>
    <m/>
    <n v="781.95"/>
    <n v="1050.52"/>
    <n v="781.87999999999988"/>
    <n v="0"/>
    <m/>
    <m/>
    <n v="0"/>
    <m/>
    <m/>
    <n v="1.8339000000000001"/>
    <n v="2.61435"/>
    <n v="0.78044999999999987"/>
    <n v="1.4255684606576149"/>
    <n v="1.8339000000000001"/>
    <n v="2.61435"/>
  </r>
  <r>
    <x v="1"/>
    <x v="41"/>
    <x v="15"/>
    <n v="1377.2750000000001"/>
    <n v="1851.3899999999999"/>
    <n v="2870.5949999999998"/>
    <n v="5919.5640000000003"/>
    <n v="4420.7609999999995"/>
    <n v="1377.2750000000001"/>
    <n v="1377.2750000000001"/>
    <n v="1377.2750000000001"/>
    <n v="1377.2750000000001"/>
    <n v="1377.2750000000001"/>
    <n v="1377.2750000000001"/>
    <n v="1377.2750000000001"/>
    <n v="118.41999999999999"/>
    <n v="454.82000000000005"/>
    <n v="1435.48"/>
    <n v="4394.5599999999995"/>
    <n v="2962.9900000000002"/>
    <n v="1789.44"/>
    <n v="0"/>
    <n v="0"/>
    <n v="0"/>
    <n v="0"/>
    <n v="0"/>
    <n v="0"/>
    <n v="17.816860000000002"/>
    <n v="11.155710000000001"/>
    <n v="-6.661150000000001"/>
    <n v="0.62613221409384145"/>
    <n v="26.080510000000011"/>
    <n v="11.155710000000001"/>
  </r>
  <r>
    <x v="1"/>
    <x v="41"/>
    <x v="10"/>
    <n v="1660.424"/>
    <n v="2011.325"/>
    <n v="1859.02"/>
    <n v="33.859000000000002"/>
    <n v="0"/>
    <n v="0"/>
    <n v="0"/>
    <n v="0"/>
    <n v="0"/>
    <n v="0"/>
    <n v="0"/>
    <n v="0"/>
    <n v="1569.91"/>
    <n v="1929.5"/>
    <n v="1786.56"/>
    <n v="32.479999999999997"/>
    <n v="0"/>
    <n v="985.2"/>
    <n v="0"/>
    <n v="0"/>
    <n v="0"/>
    <n v="0"/>
    <n v="0"/>
    <n v="0"/>
    <n v="5.5646280000000008"/>
    <n v="6.3036499999999984"/>
    <n v="0.73902199999999763"/>
    <n v="1.1328070807248927"/>
    <n v="5.5646280000000008"/>
    <n v="6.3036499999999984"/>
  </r>
  <r>
    <x v="1"/>
    <x v="41"/>
    <x v="11"/>
    <n v="16164.042999999998"/>
    <n v="16037.682000000001"/>
    <n v="18221.552000000003"/>
    <n v="15946.973000000002"/>
    <n v="16133.349000000002"/>
    <n v="11425.502"/>
    <n v="11425.502"/>
    <n v="11425.502"/>
    <n v="11425.502"/>
    <n v="11425.502"/>
    <n v="11425.502"/>
    <n v="11425.502"/>
    <n v="4480.0999999999995"/>
    <n v="4424.54"/>
    <n v="6531.15"/>
    <n v="4388.82"/>
    <n v="4583.3100000000004"/>
    <n v="4989.66"/>
    <n v="0"/>
    <n v="0"/>
    <n v="0"/>
    <n v="0"/>
    <n v="0"/>
    <n v="0"/>
    <n v="93.929100999999989"/>
    <n v="29.397580000000001"/>
    <n v="-64.531520999999984"/>
    <n v="0.31297627345544388"/>
    <n v="162.48211300000006"/>
    <n v="29.397580000000001"/>
  </r>
  <r>
    <x v="1"/>
    <x v="41"/>
    <x v="9"/>
    <n v="23056.646000000001"/>
    <n v="22743.577000000001"/>
    <n v="22132.974000000006"/>
    <n v="62323.528999999988"/>
    <n v="34777.758000000002"/>
    <n v="18760.276999999998"/>
    <n v="18760.276999999998"/>
    <n v="18760.276999999998"/>
    <n v="18760.276999999998"/>
    <n v="18760.276999999998"/>
    <n v="18760.276999999998"/>
    <n v="18760.217000000001"/>
    <n v="4062.1600000000003"/>
    <n v="3820.72"/>
    <n v="3241.2200000000003"/>
    <n v="41878.19"/>
    <n v="15572.460000000001"/>
    <n v="12570.010000000002"/>
    <n v="0"/>
    <n v="0"/>
    <n v="0"/>
    <n v="0"/>
    <n v="0"/>
    <n v="0"/>
    <n v="183.79476099999999"/>
    <n v="81.144760000000005"/>
    <n v="-102.65000099999999"/>
    <n v="0.441496588686769"/>
    <n v="296.35636299999999"/>
    <n v="81.144760000000005"/>
  </r>
  <r>
    <x v="1"/>
    <x v="41"/>
    <x v="17"/>
    <n v="881.45699999999999"/>
    <n v="1491.98"/>
    <n v="1697.9850000000001"/>
    <n v="2321.4"/>
    <n v="1477.375"/>
    <n v="881.45699999999999"/>
    <n v="881.45699999999999"/>
    <n v="881.45699999999999"/>
    <n v="881.45699999999999"/>
    <n v="881.45699999999999"/>
    <n v="881.45699999999999"/>
    <n v="881.45699999999999"/>
    <n v="0"/>
    <n v="585.68000000000006"/>
    <n v="784.7"/>
    <n v="1381.49"/>
    <n v="580.16"/>
    <n v="695.19999999999993"/>
    <n v="0"/>
    <n v="0"/>
    <n v="0"/>
    <n v="0"/>
    <n v="0"/>
    <n v="0"/>
    <n v="8.7516540000000003"/>
    <n v="4.0272299999999994"/>
    <n v="-4.7244240000000008"/>
    <n v="0.46016787226734507"/>
    <n v="14.040396000000003"/>
    <n v="4.0272299999999994"/>
  </r>
  <r>
    <x v="1"/>
    <x v="41"/>
    <x v="16"/>
    <n v="1377.2750000000001"/>
    <n v="3461.6750000000002"/>
    <n v="4760.7350000000006"/>
    <n v="5447.9469999999992"/>
    <n v="3236.5330000000004"/>
    <n v="1377.2750000000001"/>
    <n v="1377.2750000000001"/>
    <n v="1377.2750000000001"/>
    <n v="1377.2750000000001"/>
    <n v="1377.2750000000001"/>
    <n v="1377.2750000000001"/>
    <n v="1377.2750000000001"/>
    <n v="0"/>
    <n v="1999.6000000000001"/>
    <n v="3251.58"/>
    <n v="3903.4600000000005"/>
    <n v="1810.07"/>
    <n v="2007.9199999999998"/>
    <n v="0"/>
    <n v="0"/>
    <n v="0"/>
    <n v="0"/>
    <n v="0"/>
    <n v="0"/>
    <n v="19.661440000000002"/>
    <n v="12.972630000000001"/>
    <n v="-6.6888100000000019"/>
    <n v="0.65980060463526569"/>
    <n v="27.925090000000012"/>
    <n v="12.972630000000001"/>
  </r>
  <r>
    <x v="1"/>
    <x v="41"/>
    <x v="13"/>
    <n v="3115"/>
    <n v="4194.2800000000007"/>
    <n v="3977.125"/>
    <n v="4253.5309999999999"/>
    <n v="3771.3410000000003"/>
    <n v="3115"/>
    <n v="3115"/>
    <n v="3115"/>
    <n v="3115"/>
    <n v="3115"/>
    <n v="3115"/>
    <n v="3115"/>
    <n v="0"/>
    <n v="1079.28"/>
    <n v="861.25"/>
    <n v="1121.6300000000001"/>
    <n v="655.88000000000011"/>
    <n v="657.1400000000001"/>
    <n v="3098"/>
    <n v="0"/>
    <n v="0"/>
    <n v="0"/>
    <n v="0"/>
    <n v="0"/>
    <n v="22.426277000000002"/>
    <n v="4.3751800000000003"/>
    <n v="-18.051097000000002"/>
    <n v="0.19509167749956891"/>
    <n v="41.116277000000004"/>
    <n v="4.3751800000000003"/>
  </r>
  <r>
    <x v="1"/>
    <x v="41"/>
    <x v="14"/>
    <n v="2422.4369999999999"/>
    <n v="2491.3820000000001"/>
    <n v="3502.0920000000001"/>
    <n v="4174.1350000000002"/>
    <n v="2701.3710000000001"/>
    <n v="1560.912"/>
    <n v="1560.912"/>
    <n v="1560.912"/>
    <n v="1560.912"/>
    <n v="1560.912"/>
    <n v="1560.912"/>
    <n v="1560.912"/>
    <n v="814.56"/>
    <n v="892.62"/>
    <n v="1865.54"/>
    <n v="2513.39"/>
    <n v="1109.9100000000001"/>
    <n v="1589.6000000000001"/>
    <n v="0"/>
    <n v="0"/>
    <n v="0"/>
    <n v="0"/>
    <n v="0"/>
    <n v="0"/>
    <n v="16.852329000000001"/>
    <n v="8.7856199999999998"/>
    <n v="-8.0667090000000012"/>
    <n v="0.52132972243777098"/>
    <n v="26.217801000000001"/>
    <n v="8.7856199999999998"/>
  </r>
  <r>
    <x v="1"/>
    <x v="42"/>
    <x v="15"/>
    <m/>
    <n v="2247.46"/>
    <m/>
    <m/>
    <n v="-2247.46"/>
    <m/>
    <m/>
    <m/>
    <m/>
    <m/>
    <m/>
    <m/>
    <m/>
    <n v="2247.4599999999996"/>
    <m/>
    <m/>
    <n v="-2247.4599999999996"/>
    <m/>
    <m/>
    <m/>
    <m/>
    <m/>
    <m/>
    <m/>
    <n v="0"/>
    <n v="0"/>
    <n v="0"/>
    <n v="1.0000110000110001"/>
    <n v="0"/>
    <n v="0"/>
  </r>
  <r>
    <x v="1"/>
    <x v="42"/>
    <x v="10"/>
    <m/>
    <n v="2609.21"/>
    <m/>
    <m/>
    <n v="-2609.21"/>
    <m/>
    <m/>
    <m/>
    <m/>
    <m/>
    <m/>
    <m/>
    <m/>
    <n v="2609.21"/>
    <m/>
    <m/>
    <n v="-2609.21"/>
    <m/>
    <m/>
    <m/>
    <m/>
    <m/>
    <m/>
    <m/>
    <n v="0"/>
    <n v="0"/>
    <n v="0"/>
    <n v="1.0000110000110001"/>
    <n v="0"/>
    <n v="0"/>
  </r>
  <r>
    <x v="1"/>
    <x v="42"/>
    <x v="11"/>
    <n v="641.61"/>
    <n v="3694.53"/>
    <n v="1310.3"/>
    <m/>
    <n v="-4404.6400000000003"/>
    <m/>
    <m/>
    <m/>
    <m/>
    <m/>
    <m/>
    <m/>
    <n v="641.61"/>
    <n v="3694.53"/>
    <n v="1310.3"/>
    <m/>
    <n v="-4404.6400000000003"/>
    <m/>
    <m/>
    <m/>
    <m/>
    <m/>
    <m/>
    <m/>
    <n v="1.2418000000000002"/>
    <n v="1.2418000000000002"/>
    <n v="0"/>
    <n v="1"/>
    <n v="1.2418000000000002"/>
    <n v="1.2418000000000002"/>
  </r>
  <r>
    <x v="1"/>
    <x v="42"/>
    <x v="9"/>
    <m/>
    <n v="3648.64"/>
    <m/>
    <m/>
    <n v="-3648.64"/>
    <m/>
    <m/>
    <m/>
    <m/>
    <m/>
    <m/>
    <m/>
    <m/>
    <n v="3648.6400000000003"/>
    <m/>
    <m/>
    <n v="-3648.6400000000003"/>
    <m/>
    <m/>
    <m/>
    <m/>
    <m/>
    <m/>
    <m/>
    <n v="0"/>
    <n v="0"/>
    <n v="0"/>
    <n v="1.0000110000110001"/>
    <n v="0"/>
    <n v="0"/>
  </r>
  <r>
    <x v="1"/>
    <x v="42"/>
    <x v="17"/>
    <n v="-1996.32"/>
    <m/>
    <m/>
    <m/>
    <m/>
    <m/>
    <m/>
    <m/>
    <m/>
    <m/>
    <m/>
    <m/>
    <n v="-1996.32"/>
    <m/>
    <m/>
    <m/>
    <m/>
    <m/>
    <m/>
    <m/>
    <m/>
    <m/>
    <m/>
    <m/>
    <n v="-1.9963199999999999"/>
    <n v="-1.9963199999999999"/>
    <n v="0"/>
    <n v="1"/>
    <n v="-1.9963199999999999"/>
    <n v="-1.9963199999999999"/>
  </r>
  <r>
    <x v="1"/>
    <x v="42"/>
    <x v="12"/>
    <m/>
    <n v="1317.15"/>
    <m/>
    <m/>
    <n v="-1317.15"/>
    <m/>
    <m/>
    <m/>
    <m/>
    <m/>
    <m/>
    <m/>
    <m/>
    <n v="1317.15"/>
    <m/>
    <m/>
    <n v="-1317.15"/>
    <m/>
    <m/>
    <m/>
    <m/>
    <m/>
    <m/>
    <m/>
    <n v="0"/>
    <n v="0"/>
    <n v="0"/>
    <n v="1.0000110000110001"/>
    <n v="0"/>
    <n v="0"/>
  </r>
  <r>
    <x v="1"/>
    <x v="42"/>
    <x v="14"/>
    <m/>
    <n v="1035.3599999999999"/>
    <m/>
    <m/>
    <n v="-1035.3599999999999"/>
    <m/>
    <m/>
    <m/>
    <m/>
    <m/>
    <m/>
    <m/>
    <m/>
    <n v="1035.3599999999999"/>
    <m/>
    <m/>
    <n v="-1035.3599999999999"/>
    <m/>
    <m/>
    <m/>
    <m/>
    <m/>
    <m/>
    <m/>
    <n v="0"/>
    <n v="0"/>
    <n v="0"/>
    <n v="1.0000110000110001"/>
    <n v="0"/>
    <n v="0"/>
  </r>
  <r>
    <x v="1"/>
    <x v="7"/>
    <x v="15"/>
    <n v="701.75"/>
    <m/>
    <m/>
    <n v="451.65000000000009"/>
    <n v="789.52"/>
    <n v="0"/>
    <m/>
    <m/>
    <m/>
    <m/>
    <m/>
    <m/>
    <n v="701.75"/>
    <m/>
    <m/>
    <n v="451.65"/>
    <n v="789.52"/>
    <n v="640.54"/>
    <m/>
    <m/>
    <m/>
    <m/>
    <m/>
    <m/>
    <n v="1.94292"/>
    <n v="2.5834600000000001"/>
    <n v="0.64054000000000011"/>
    <n v="1.3296790397957714"/>
    <n v="1.94292"/>
    <n v="2.5834600000000001"/>
  </r>
  <r>
    <x v="1"/>
    <x v="7"/>
    <x v="10"/>
    <m/>
    <m/>
    <m/>
    <n v="567.02"/>
    <n v="1684.6999999999998"/>
    <n v="0"/>
    <m/>
    <m/>
    <m/>
    <m/>
    <m/>
    <m/>
    <m/>
    <m/>
    <m/>
    <n v="567.02"/>
    <n v="1684.6999999999998"/>
    <n v="783.98"/>
    <m/>
    <m/>
    <m/>
    <m/>
    <m/>
    <m/>
    <n v="2.2517199999999997"/>
    <n v="3.0356999999999998"/>
    <n v="0.78398000000000012"/>
    <n v="1.3481693993924646"/>
    <n v="2.2517199999999997"/>
    <n v="3.0356999999999998"/>
  </r>
  <r>
    <x v="1"/>
    <x v="7"/>
    <x v="18"/>
    <n v="10627.640000000001"/>
    <n v="13504.11"/>
    <n v="16400.11"/>
    <n v="10183.049999999999"/>
    <n v="12674.94"/>
    <n v="15299.603000000003"/>
    <n v="15299.603000000001"/>
    <n v="17769.601000000002"/>
    <n v="15299.603000000003"/>
    <n v="15299.603000000001"/>
    <n v="15299.603000000003"/>
    <n v="15299.603000000003"/>
    <n v="10627.640000000001"/>
    <n v="13504.110000000004"/>
    <n v="16400.11"/>
    <n v="10362.229999999998"/>
    <n v="12674.940000000002"/>
    <n v="14755.190000000002"/>
    <n v="0"/>
    <n v="0"/>
    <n v="0"/>
    <n v="0"/>
    <n v="0"/>
    <n v="0"/>
    <n v="78.689453000000015"/>
    <n v="78.324219999999997"/>
    <n v="-0.36523300000001768"/>
    <n v="0.99535855205398338"/>
    <n v="172.95706900000002"/>
    <n v="78.324219999999997"/>
  </r>
  <r>
    <x v="1"/>
    <x v="7"/>
    <x v="11"/>
    <n v="50535.54"/>
    <n v="8685.3700000000008"/>
    <n v="-43797.24"/>
    <n v="6252.78"/>
    <n v="4474.2700000000004"/>
    <n v="5119.1010000000006"/>
    <n v="5119.1010000000006"/>
    <n v="5819.1009999999997"/>
    <n v="5119.1010000000006"/>
    <n v="5119.1010000000006"/>
    <n v="5119.1010000000006"/>
    <n v="5119.1010000000006"/>
    <n v="50535.54"/>
    <n v="8685.3700000000008"/>
    <n v="-43797.240000000005"/>
    <n v="6252.78"/>
    <n v="4474.2700000000004"/>
    <n v="773.53"/>
    <n v="0"/>
    <n v="0"/>
    <n v="0"/>
    <n v="0"/>
    <n v="0"/>
    <n v="0"/>
    <n v="31.269821000000004"/>
    <n v="26.924249999999997"/>
    <n v="-4.3455710000000067"/>
    <n v="0.86102987286048083"/>
    <n v="62.684427000000021"/>
    <n v="26.924249999999997"/>
  </r>
  <r>
    <x v="1"/>
    <x v="7"/>
    <x v="9"/>
    <n v="3034.7400000000002"/>
    <n v="4630.33"/>
    <n v="-79.6099999999999"/>
    <n v="21084.33"/>
    <n v="8631.7099999999991"/>
    <n v="5609.4340000000002"/>
    <n v="5609.4340000000002"/>
    <n v="7009.4359999999997"/>
    <n v="5609.4340000000002"/>
    <n v="5609.4340000000011"/>
    <n v="5609.4340000000002"/>
    <n v="5609.4340000000002"/>
    <n v="3034.74"/>
    <n v="4703.08"/>
    <n v="-152.36000000000038"/>
    <n v="21084.329999999998"/>
    <n v="8645.51"/>
    <n v="7247.3300000000008"/>
    <n v="0"/>
    <n v="0"/>
    <n v="0"/>
    <n v="0"/>
    <n v="0"/>
    <n v="0"/>
    <n v="42.910934000000005"/>
    <n v="44.562629999999999"/>
    <n v="1.6516959999999941"/>
    <n v="1.0384912619240587"/>
    <n v="77.96754"/>
    <n v="44.562629999999999"/>
  </r>
  <r>
    <x v="1"/>
    <x v="7"/>
    <x v="16"/>
    <n v="0"/>
    <n v="15.97"/>
    <n v="0"/>
    <n v="118.37"/>
    <n v="2219.34"/>
    <n v="1917.1550000000002"/>
    <n v="1917.1550000000002"/>
    <n v="1917.155"/>
    <n v="1917.155"/>
    <n v="1917.155"/>
    <n v="1917.155"/>
    <n v="1917.155"/>
    <n v="0"/>
    <n v="15.97"/>
    <n v="0"/>
    <n v="118.36999999999999"/>
    <n v="2219.34"/>
    <n v="791.96"/>
    <n v="0"/>
    <n v="0"/>
    <n v="0"/>
    <n v="0"/>
    <n v="0"/>
    <n v="0"/>
    <n v="4.2708350000000008"/>
    <n v="3.1456400000000002"/>
    <n v="-1.1251950000000006"/>
    <n v="0.73653981013080572"/>
    <n v="15.773765000000003"/>
    <n v="3.1456400000000002"/>
  </r>
  <r>
    <x v="1"/>
    <x v="7"/>
    <x v="12"/>
    <m/>
    <n v="5380.9"/>
    <n v="2770.11"/>
    <n v="6751.46"/>
    <n v="2686.63"/>
    <n v="0"/>
    <m/>
    <m/>
    <m/>
    <m/>
    <m/>
    <m/>
    <m/>
    <n v="5380.9"/>
    <n v="2770.11"/>
    <n v="6751.46"/>
    <n v="2686.63"/>
    <n v="6725.9"/>
    <m/>
    <m/>
    <m/>
    <m/>
    <m/>
    <m/>
    <n v="17.589100000000002"/>
    <n v="24.315000000000001"/>
    <n v="6.7258999999999993"/>
    <n v="1.3823902303130915"/>
    <n v="17.589100000000002"/>
    <n v="24.315000000000001"/>
  </r>
  <r>
    <x v="1"/>
    <x v="7"/>
    <x v="19"/>
    <m/>
    <m/>
    <m/>
    <m/>
    <n v="73.17"/>
    <m/>
    <m/>
    <m/>
    <m/>
    <m/>
    <m/>
    <m/>
    <m/>
    <m/>
    <m/>
    <m/>
    <n v="73.17"/>
    <m/>
    <m/>
    <m/>
    <m/>
    <m/>
    <m/>
    <m/>
    <n v="7.3169999999999999E-2"/>
    <n v="7.3169999999999999E-2"/>
    <n v="0"/>
    <n v="1"/>
    <n v="7.3169999999999999E-2"/>
    <n v="7.3169999999999999E-2"/>
  </r>
  <r>
    <x v="1"/>
    <x v="7"/>
    <x v="13"/>
    <n v="24075.5"/>
    <n v="7633.55"/>
    <n v="-19528.5"/>
    <n v="5622.1100000000006"/>
    <n v="3470.76"/>
    <n v="2401.951"/>
    <n v="2401.951"/>
    <n v="2401.951"/>
    <n v="2401.951"/>
    <n v="2401.951"/>
    <n v="2401.951"/>
    <n v="2401.951"/>
    <n v="24075.5"/>
    <n v="7633.5499999999993"/>
    <n v="-19528.5"/>
    <n v="5622.1100000000006"/>
    <n v="3470.76"/>
    <n v="3477.57"/>
    <n v="16391"/>
    <n v="0"/>
    <n v="0"/>
    <n v="0"/>
    <n v="0"/>
    <n v="0"/>
    <n v="23.675370999999998"/>
    <n v="24.750989999999998"/>
    <n v="1.0756189999999997"/>
    <n v="1.0454319807702275"/>
    <n v="38.087077000000008"/>
    <n v="24.750989999999998"/>
  </r>
  <r>
    <x v="1"/>
    <x v="7"/>
    <x v="14"/>
    <n v="207.44"/>
    <n v="10.15"/>
    <n v="-60.66"/>
    <n v="2193.1"/>
    <n v="605.04"/>
    <n v="4529.5910000000003"/>
    <n v="4529.5910000000003"/>
    <n v="4879.5910000000003"/>
    <n v="4529.5910000000003"/>
    <n v="4529.5910000000003"/>
    <n v="4529.5910000000003"/>
    <n v="4529.5910000000003"/>
    <n v="207.43999999999997"/>
    <n v="10.15"/>
    <n v="-60.66"/>
    <n v="2193.1000000000004"/>
    <n v="605.04000000000008"/>
    <n v="763.74000000000012"/>
    <n v="0"/>
    <n v="0"/>
    <n v="0"/>
    <n v="0"/>
    <n v="0"/>
    <n v="0"/>
    <n v="7.484661"/>
    <n v="3.7188100000000004"/>
    <n v="-3.7658509999999996"/>
    <n v="0.49685750630522885"/>
    <n v="35.012207000000004"/>
    <n v="3.7188100000000004"/>
  </r>
  <r>
    <x v="1"/>
    <x v="43"/>
    <x v="11"/>
    <n v="815.15499999999997"/>
    <n v="912.28899999999999"/>
    <n v="953.73699999999997"/>
    <m/>
    <m/>
    <m/>
    <m/>
    <m/>
    <m/>
    <m/>
    <m/>
    <n v="1304.3050000000001"/>
    <n v="803.1"/>
    <n v="931.42000000000007"/>
    <n v="962.37"/>
    <m/>
    <m/>
    <m/>
    <m/>
    <m/>
    <m/>
    <m/>
    <m/>
    <n v="0"/>
    <n v="2.681181"/>
    <n v="2.6968899999999998"/>
    <n v="1.5708999999999751E-2"/>
    <n v="1.0058589852755184"/>
    <n v="3.9854859999999999"/>
    <n v="2.6968899999999998"/>
  </r>
  <r>
    <x v="1"/>
    <x v="43"/>
    <x v="9"/>
    <n v="1167.02"/>
    <n v="1976.277"/>
    <n v="2270.953"/>
    <n v="4780.2919999999986"/>
    <n v="4175.7380000000003"/>
    <n v="2951.6419999999998"/>
    <n v="2951.6419999999998"/>
    <n v="2951.6419999999998"/>
    <n v="2951.6420000000007"/>
    <n v="2951.6419999999998"/>
    <n v="2951.6420000000007"/>
    <n v="2951.6419999999998"/>
    <n v="1149.76"/>
    <n v="2017.7200000000003"/>
    <n v="2291.5100000000002"/>
    <n v="4807.51"/>
    <n v="4143.6599999999989"/>
    <n v="1475.37"/>
    <n v="0"/>
    <n v="0"/>
    <n v="0"/>
    <n v="0"/>
    <n v="0"/>
    <n v="0"/>
    <n v="17.321921999999997"/>
    <n v="15.885529999999999"/>
    <n v="-1.4363919999999979"/>
    <n v="0.91707663849311882"/>
    <n v="35.031773999999999"/>
    <n v="15.885529999999999"/>
  </r>
  <r>
    <x v="1"/>
    <x v="43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44"/>
    <x v="15"/>
    <n v="2.04"/>
    <m/>
    <m/>
    <m/>
    <m/>
    <m/>
    <m/>
    <m/>
    <m/>
    <m/>
    <m/>
    <m/>
    <n v="2.04"/>
    <m/>
    <m/>
    <m/>
    <m/>
    <m/>
    <m/>
    <m/>
    <m/>
    <m/>
    <m/>
    <m/>
    <n v="2.0400000000000001E-3"/>
    <n v="2.0400000000000001E-3"/>
    <n v="0"/>
    <n v="1"/>
    <n v="2.0400000000000001E-3"/>
    <n v="2.0400000000000001E-3"/>
  </r>
  <r>
    <x v="1"/>
    <x v="44"/>
    <x v="10"/>
    <n v="1009.3"/>
    <n v="52.94"/>
    <n v="58.21"/>
    <n v="6.15"/>
    <n v="396.67999999999995"/>
    <n v="0"/>
    <m/>
    <m/>
    <m/>
    <m/>
    <m/>
    <m/>
    <n v="1009.3"/>
    <n v="52.940000000000005"/>
    <n v="58.209999999999994"/>
    <n v="6.15"/>
    <n v="396.68"/>
    <n v="115.39000000000001"/>
    <m/>
    <m/>
    <m/>
    <m/>
    <m/>
    <m/>
    <n v="1.5232800000000002"/>
    <n v="1.6386700000000003"/>
    <n v="0.1153900000000001"/>
    <n v="1.0757510109763144"/>
    <n v="1.5232800000000002"/>
    <n v="1.6386700000000003"/>
  </r>
  <r>
    <x v="1"/>
    <x v="44"/>
    <x v="11"/>
    <n v="0"/>
    <n v="0"/>
    <n v="0"/>
    <n v="0"/>
    <n v="150.05000000000001"/>
    <n v="1626.316"/>
    <n v="1626.316"/>
    <n v="1626.316"/>
    <n v="1626.316"/>
    <n v="0"/>
    <n v="0"/>
    <n v="0"/>
    <n v="0"/>
    <n v="0"/>
    <n v="0"/>
    <n v="0"/>
    <n v="150.05000000000001"/>
    <n v="132.47"/>
    <n v="0"/>
    <n v="0"/>
    <n v="0"/>
    <n v="0"/>
    <n v="0"/>
    <n v="0"/>
    <n v="1.7763659999999999"/>
    <n v="0.28251999999999999"/>
    <n v="-1.493846"/>
    <n v="0.1590438006581977"/>
    <n v="6.6553139999999997"/>
    <n v="0.28251999999999999"/>
  </r>
  <r>
    <x v="1"/>
    <x v="44"/>
    <x v="9"/>
    <n v="1582.33"/>
    <n v="3188.4899999999993"/>
    <n v="5448.89"/>
    <n v="10632.730000000005"/>
    <n v="3106.47"/>
    <n v="1326.9739999999999"/>
    <n v="1326.9739999999999"/>
    <n v="1326.9739999999999"/>
    <n v="1326.9739999999999"/>
    <n v="0"/>
    <n v="0"/>
    <n v="0"/>
    <n v="1582.33"/>
    <n v="3188.49"/>
    <n v="5460.97"/>
    <n v="10665.24"/>
    <n v="3113.650000000001"/>
    <n v="2608.7699999999995"/>
    <n v="0"/>
    <n v="0"/>
    <n v="0"/>
    <n v="0"/>
    <n v="0"/>
    <n v="0"/>
    <n v="25.285884000000003"/>
    <n v="26.619450000000001"/>
    <n v="1.3335659999999976"/>
    <n v="1.0527395443244143"/>
    <n v="29.266805999999995"/>
    <n v="26.619450000000001"/>
  </r>
  <r>
    <x v="1"/>
    <x v="44"/>
    <x v="17"/>
    <m/>
    <m/>
    <m/>
    <m/>
    <m/>
    <n v="0"/>
    <m/>
    <m/>
    <m/>
    <m/>
    <m/>
    <m/>
    <m/>
    <m/>
    <m/>
    <m/>
    <m/>
    <n v="9.99"/>
    <m/>
    <m/>
    <m/>
    <m/>
    <m/>
    <m/>
    <n v="0"/>
    <n v="9.9900000000000006E-3"/>
    <n v="9.9900000000000006E-3"/>
    <n v="1.0000110000110001"/>
    <n v="0"/>
    <n v="9.9900000000000006E-3"/>
  </r>
  <r>
    <x v="1"/>
    <x v="44"/>
    <x v="16"/>
    <n v="13"/>
    <n v="2.54"/>
    <n v="0.12999999999999545"/>
    <n v="0"/>
    <n v="0"/>
    <n v="530.78899999999999"/>
    <n v="530.78899999999999"/>
    <n v="530.78899999999999"/>
    <n v="530.78899999999999"/>
    <m/>
    <m/>
    <m/>
    <n v="13"/>
    <n v="2.54"/>
    <n v="0.13"/>
    <n v="0"/>
    <n v="0"/>
    <n v="395.5"/>
    <n v="0"/>
    <n v="0"/>
    <n v="0"/>
    <m/>
    <m/>
    <m/>
    <n v="0.54645899999999992"/>
    <n v="0.41117000000000004"/>
    <n v="-0.13528899999999988"/>
    <n v="0.75242607405130135"/>
    <n v="2.1388259999999999"/>
    <n v="0.41117000000000004"/>
  </r>
  <r>
    <x v="1"/>
    <x v="44"/>
    <x v="14"/>
    <n v="412.14"/>
    <n v="418.17"/>
    <n v="908.37"/>
    <n v="548.88"/>
    <n v="7.2"/>
    <n v="796.18399999999997"/>
    <n v="796.18399999999997"/>
    <n v="796.18399999999997"/>
    <n v="796.18399999999997"/>
    <n v="0"/>
    <n v="0"/>
    <n v="0"/>
    <n v="412.14"/>
    <n v="418.17"/>
    <n v="908.37"/>
    <n v="548.88"/>
    <n v="7.1999999999999993"/>
    <n v="3.0700000000000003"/>
    <n v="0"/>
    <n v="0"/>
    <n v="0"/>
    <n v="0"/>
    <n v="0"/>
    <n v="0"/>
    <n v="3.0909439999999995"/>
    <n v="2.2978299999999998"/>
    <n v="-0.79311399999999965"/>
    <n v="0.7434071921070069"/>
    <n v="5.4794960000000001"/>
    <n v="2.2978299999999998"/>
  </r>
  <r>
    <x v="1"/>
    <x v="45"/>
    <x v="15"/>
    <m/>
    <m/>
    <m/>
    <n v="450.59300000000002"/>
    <n v="946.72299999999996"/>
    <n v="512.62099999999998"/>
    <n v="512.62099999999998"/>
    <n v="512.62099999999998"/>
    <n v="512.62099999999998"/>
    <n v="512.62099999999998"/>
    <n v="512.62099999999998"/>
    <n v="512.62099999999998"/>
    <m/>
    <m/>
    <m/>
    <n v="447.29"/>
    <n v="956.95999999999992"/>
    <n v="512.37"/>
    <n v="0"/>
    <n v="0"/>
    <n v="0"/>
    <n v="0"/>
    <n v="0"/>
    <n v="0"/>
    <n v="1.909937"/>
    <n v="1.91662"/>
    <n v="6.6829999999999945E-3"/>
    <n v="1.0034990682938756"/>
    <n v="4.9856630000000006"/>
    <n v="1.91662"/>
  </r>
  <r>
    <x v="1"/>
    <x v="45"/>
    <x v="11"/>
    <m/>
    <m/>
    <m/>
    <n v="0"/>
    <n v="0"/>
    <n v="1025.2429999999999"/>
    <n v="1025.2429999999999"/>
    <n v="1025.2429999999999"/>
    <n v="1025.2429999999999"/>
    <n v="1025.2429999999999"/>
    <n v="1025.2429999999999"/>
    <n v="1025.2429999999999"/>
    <m/>
    <m/>
    <m/>
    <n v="0"/>
    <n v="0"/>
    <n v="0"/>
    <n v="0"/>
    <n v="0"/>
    <n v="0"/>
    <n v="0"/>
    <n v="0"/>
    <n v="0"/>
    <n v="1.0252429999999999"/>
    <n v="0"/>
    <n v="-1.0252429999999999"/>
    <n v="0"/>
    <n v="7.1767010000000013"/>
    <n v="0"/>
  </r>
  <r>
    <x v="1"/>
    <x v="45"/>
    <x v="9"/>
    <m/>
    <m/>
    <m/>
    <n v="1559.951"/>
    <n v="1528.2239999999997"/>
    <n v="692.03899999999999"/>
    <n v="692.03899999999999"/>
    <n v="692.03899999999999"/>
    <n v="692.03899999999999"/>
    <n v="692.03899999999999"/>
    <n v="692.03899999999999"/>
    <n v="692.03899999999999"/>
    <m/>
    <m/>
    <m/>
    <n v="1572.9"/>
    <n v="1525.36"/>
    <n v="1459.86"/>
    <n v="0"/>
    <n v="0"/>
    <n v="0"/>
    <n v="0"/>
    <n v="0"/>
    <n v="0"/>
    <n v="3.780214"/>
    <n v="4.5581199999999997"/>
    <n v="0.77790599999999976"/>
    <n v="1.2057835879132768"/>
    <n v="7.9324479999999982"/>
    <n v="4.5581199999999997"/>
  </r>
  <r>
    <x v="1"/>
    <x v="45"/>
    <x v="16"/>
    <m/>
    <m/>
    <m/>
    <n v="0"/>
    <n v="0"/>
    <n v="512.62099999999998"/>
    <n v="512.62099999999998"/>
    <n v="512.62099999999998"/>
    <n v="512.62099999999998"/>
    <n v="512.62099999999998"/>
    <n v="512.62099999999998"/>
    <n v="512.62099999999998"/>
    <m/>
    <m/>
    <m/>
    <n v="0"/>
    <n v="0"/>
    <n v="0"/>
    <n v="0"/>
    <n v="0"/>
    <n v="0"/>
    <n v="0"/>
    <n v="0"/>
    <n v="0"/>
    <n v="0.51262099999999999"/>
    <n v="0"/>
    <n v="-0.51262099999999999"/>
    <n v="0"/>
    <n v="3.5883470000000002"/>
    <n v="0"/>
  </r>
  <r>
    <x v="1"/>
    <x v="45"/>
    <x v="14"/>
    <m/>
    <m/>
    <m/>
    <n v="3552.6390000000001"/>
    <n v="6305.4740000000002"/>
    <n v="512.62099999999998"/>
    <n v="512.62099999999998"/>
    <n v="512.62099999999998"/>
    <n v="512.62099999999998"/>
    <n v="512.62099999999998"/>
    <n v="512.62099999999998"/>
    <n v="512.62099999999998"/>
    <m/>
    <m/>
    <m/>
    <n v="3562.17"/>
    <n v="6383.0700000000006"/>
    <n v="1971.9100000000003"/>
    <n v="0"/>
    <n v="0"/>
    <n v="0"/>
    <n v="0"/>
    <n v="0"/>
    <n v="0"/>
    <n v="10.370734000000001"/>
    <n v="11.917150000000001"/>
    <n v="1.5464160000000007"/>
    <n v="1.1491134571574202"/>
    <n v="13.446459999999995"/>
    <n v="11.917150000000001"/>
  </r>
  <r>
    <x v="1"/>
    <x v="46"/>
    <x v="9"/>
    <m/>
    <m/>
    <m/>
    <n v="777.83999999999992"/>
    <n v="291.01000000000005"/>
    <m/>
    <m/>
    <m/>
    <m/>
    <m/>
    <m/>
    <m/>
    <m/>
    <m/>
    <m/>
    <n v="777.83999999999992"/>
    <n v="291.83000000000004"/>
    <m/>
    <m/>
    <m/>
    <m/>
    <m/>
    <m/>
    <m/>
    <n v="1.0688499999999999"/>
    <n v="1.0696700000000001"/>
    <n v="8.2000000000026496E-4"/>
    <n v="1.0007671796790947"/>
    <n v="1.0688499999999999"/>
    <n v="1.0696700000000001"/>
  </r>
  <r>
    <x v="1"/>
    <x v="47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47"/>
    <x v="9"/>
    <n v="0"/>
    <n v="0"/>
    <n v="0"/>
    <n v="122.04299999999999"/>
    <n v="42.975000000000001"/>
    <n v="0"/>
    <n v="0"/>
    <n v="0"/>
    <n v="0"/>
    <n v="0"/>
    <n v="0"/>
    <n v="0"/>
    <n v="0"/>
    <n v="0"/>
    <n v="0"/>
    <n v="121.11000000000001"/>
    <n v="43.199999999999996"/>
    <n v="0"/>
    <n v="0"/>
    <n v="0"/>
    <n v="0"/>
    <n v="0"/>
    <n v="0"/>
    <n v="0"/>
    <n v="0.165018"/>
    <n v="0.16431000000000001"/>
    <n v="-7.0799999999998642E-4"/>
    <n v="0.9957095589572047"/>
    <n v="0.165018"/>
    <n v="0.16431000000000001"/>
  </r>
  <r>
    <x v="1"/>
    <x v="47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47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48"/>
    <x v="9"/>
    <m/>
    <m/>
    <m/>
    <n v="84.13000000000001"/>
    <m/>
    <m/>
    <m/>
    <m/>
    <m/>
    <m/>
    <m/>
    <m/>
    <m/>
    <m/>
    <m/>
    <n v="85.25"/>
    <m/>
    <m/>
    <m/>
    <m/>
    <m/>
    <m/>
    <m/>
    <m/>
    <n v="8.413000000000001E-2"/>
    <n v="8.5250000000000006E-2"/>
    <n v="1.119999999999996E-3"/>
    <n v="1.0133127302983478"/>
    <n v="8.413000000000001E-2"/>
    <n v="8.5250000000000006E-2"/>
  </r>
  <r>
    <x v="1"/>
    <x v="49"/>
    <x v="15"/>
    <n v="1654.14"/>
    <n v="0"/>
    <n v="0"/>
    <n v="-461.46000000000009"/>
    <n v="0"/>
    <n v="1276.4449999999999"/>
    <n v="1276.4449999999999"/>
    <n v="1276.4449999999999"/>
    <n v="1276.4449999999999"/>
    <m/>
    <m/>
    <m/>
    <n v="1654.14"/>
    <n v="0"/>
    <n v="0"/>
    <n v="-117.02999999999997"/>
    <n v="-344.43"/>
    <n v="0"/>
    <n v="0"/>
    <n v="0"/>
    <n v="0"/>
    <m/>
    <m/>
    <m/>
    <n v="2.469125"/>
    <n v="1.19268"/>
    <n v="-1.2764450000000001"/>
    <n v="0.48303751328912065"/>
    <n v="6.2984599999999995"/>
    <n v="1.19268"/>
  </r>
  <r>
    <x v="1"/>
    <x v="49"/>
    <x v="10"/>
    <n v="2358.27"/>
    <n v="808.99"/>
    <n v="0"/>
    <n v="-2916.6400000000003"/>
    <n v="180.11"/>
    <n v="2552.7780000000002"/>
    <n v="2552.7780000000002"/>
    <n v="2552.7780000000002"/>
    <n v="2552.7780000000002"/>
    <m/>
    <m/>
    <m/>
    <n v="2358.27"/>
    <n v="808.99"/>
    <n v="0"/>
    <n v="-2916.64"/>
    <n v="180.11"/>
    <n v="0"/>
    <n v="0"/>
    <n v="0"/>
    <n v="0"/>
    <m/>
    <m/>
    <m/>
    <n v="2.983508"/>
    <n v="0.43073000000000033"/>
    <n v="-2.5527779999999995"/>
    <n v="0.14437031843051881"/>
    <n v="10.641842"/>
    <n v="0.43073000000000033"/>
  </r>
  <r>
    <x v="1"/>
    <x v="49"/>
    <x v="11"/>
    <n v="166753.01999999999"/>
    <n v="64641.53"/>
    <n v="127255.34"/>
    <n v="-136842.93"/>
    <n v="-121443.4"/>
    <n v="5743.7780000000002"/>
    <n v="5743.7780000000002"/>
    <n v="5743.7780000000002"/>
    <n v="5743.7780000000002"/>
    <m/>
    <m/>
    <m/>
    <n v="166753.02000000002"/>
    <n v="64641.53"/>
    <n v="127255.34"/>
    <n v="-136842.92999999996"/>
    <n v="-121443.40000000001"/>
    <n v="10654.779999999999"/>
    <n v="858.06"/>
    <n v="0"/>
    <n v="0"/>
    <m/>
    <m/>
    <m/>
    <n v="106.10733800000003"/>
    <n v="111.01834000000004"/>
    <n v="4.9110020000000105"/>
    <n v="1.0462833399891722"/>
    <n v="123.33867200000005"/>
    <n v="111.01834000000004"/>
  </r>
  <r>
    <x v="1"/>
    <x v="49"/>
    <x v="20"/>
    <m/>
    <m/>
    <m/>
    <m/>
    <m/>
    <n v="0"/>
    <m/>
    <m/>
    <m/>
    <m/>
    <m/>
    <m/>
    <m/>
    <m/>
    <m/>
    <m/>
    <m/>
    <n v="588.1"/>
    <m/>
    <m/>
    <m/>
    <m/>
    <m/>
    <m/>
    <n v="0"/>
    <n v="0.58810000000000007"/>
    <n v="0.58810000000000007"/>
    <n v="1.0000110000110001"/>
    <n v="0"/>
    <n v="0.58810000000000007"/>
  </r>
  <r>
    <x v="1"/>
    <x v="49"/>
    <x v="9"/>
    <n v="11274.51"/>
    <n v="10237.98"/>
    <n v="10369.32"/>
    <n v="-19141.670000000002"/>
    <n v="-15276.18"/>
    <n v="21772.224999999999"/>
    <n v="21772.224999999999"/>
    <n v="21772.224999999999"/>
    <n v="21772.224999999999"/>
    <m/>
    <m/>
    <m/>
    <n v="11274.51"/>
    <n v="10237.98"/>
    <n v="10734.8"/>
    <n v="-19507.150000000001"/>
    <n v="-15530.380000000001"/>
    <n v="183.46"/>
    <n v="789.59"/>
    <n v="0"/>
    <n v="0"/>
    <m/>
    <m/>
    <m/>
    <n v="19.236184999999995"/>
    <n v="-2.606780000000005"/>
    <n v="-21.842965"/>
    <n v="-0.13551439643567609"/>
    <n v="84.552859999999981"/>
    <n v="-2.606780000000005"/>
  </r>
  <r>
    <x v="1"/>
    <x v="49"/>
    <x v="17"/>
    <n v="0"/>
    <n v="0"/>
    <n v="0"/>
    <n v="0"/>
    <n v="0"/>
    <n v="1276.4449999999999"/>
    <n v="1276.4449999999999"/>
    <n v="1276.4449999999999"/>
    <n v="1276.4449999999999"/>
    <m/>
    <m/>
    <m/>
    <n v="0"/>
    <n v="0"/>
    <n v="0"/>
    <n v="0"/>
    <n v="0"/>
    <n v="0"/>
    <n v="0"/>
    <n v="0"/>
    <n v="0"/>
    <m/>
    <m/>
    <m/>
    <n v="1.2764449999999998"/>
    <n v="0"/>
    <n v="-1.2764449999999998"/>
    <n v="0"/>
    <n v="5.1057799999999993"/>
    <n v="0"/>
  </r>
  <r>
    <x v="1"/>
    <x v="49"/>
    <x v="16"/>
    <n v="330.83"/>
    <n v="11034"/>
    <n v="1338.19"/>
    <n v="-1706.85"/>
    <n v="0"/>
    <n v="3829.2219999999998"/>
    <n v="3829.2219999999998"/>
    <n v="3829.2219999999998"/>
    <n v="3829.2219999999998"/>
    <m/>
    <m/>
    <m/>
    <n v="330.83"/>
    <n v="11034"/>
    <n v="1338.19"/>
    <n v="-1706.8500000000001"/>
    <n v="0"/>
    <n v="8687.7400000000016"/>
    <n v="0"/>
    <n v="0"/>
    <n v="0"/>
    <m/>
    <m/>
    <m/>
    <n v="14.825391999999999"/>
    <n v="19.683910000000004"/>
    <n v="4.8585180000000054"/>
    <n v="1.3277159888925707"/>
    <n v="26.313058000000005"/>
    <n v="19.683910000000004"/>
  </r>
  <r>
    <x v="1"/>
    <x v="49"/>
    <x v="12"/>
    <n v="321.63000000000005"/>
    <n v="4656.43"/>
    <n v="2266.54"/>
    <n v="8153.9299999999994"/>
    <n v="1535.79"/>
    <n v="0"/>
    <m/>
    <m/>
    <m/>
    <m/>
    <m/>
    <m/>
    <n v="321.63"/>
    <n v="4656.4299999999994"/>
    <n v="2266.54"/>
    <n v="8153.93"/>
    <n v="1535.79"/>
    <n v="6659.33"/>
    <m/>
    <m/>
    <m/>
    <m/>
    <m/>
    <m/>
    <n v="16.93432"/>
    <n v="23.59365"/>
    <n v="6.6593300000000006"/>
    <n v="1.3932446062197952"/>
    <n v="16.93432"/>
    <n v="23.59365"/>
  </r>
  <r>
    <x v="1"/>
    <x v="49"/>
    <x v="13"/>
    <m/>
    <n v="5625.29"/>
    <n v="2965"/>
    <n v="-2572.4199999999996"/>
    <n v="1834.44"/>
    <n v="0"/>
    <n v="0"/>
    <m/>
    <m/>
    <m/>
    <m/>
    <m/>
    <m/>
    <n v="5625.29"/>
    <n v="2965"/>
    <n v="-2572.42"/>
    <n v="1834.4399999999998"/>
    <n v="2095.46"/>
    <n v="5576"/>
    <m/>
    <m/>
    <m/>
    <m/>
    <m/>
    <n v="7.852310000000001"/>
    <n v="9.9477700000000002"/>
    <n v="2.0954599999999992"/>
    <n v="1.2668590516675984"/>
    <n v="7.852310000000001"/>
    <n v="9.9477700000000002"/>
  </r>
  <r>
    <x v="1"/>
    <x v="49"/>
    <x v="14"/>
    <n v="411.03999999999996"/>
    <n v="506.65000000000003"/>
    <n v="2301.8199999999997"/>
    <n v="2730.8399999999997"/>
    <n v="2688.5299999999997"/>
    <n v="5743.5550000000003"/>
    <n v="5743.5550000000003"/>
    <n v="5743.5550000000003"/>
    <n v="5743.5550000000003"/>
    <m/>
    <m/>
    <m/>
    <n v="411.03999999999996"/>
    <n v="506.65"/>
    <n v="2301.8200000000002"/>
    <n v="2730.8399999999997"/>
    <n v="2688.5299999999997"/>
    <n v="1865.73"/>
    <n v="0"/>
    <n v="0"/>
    <n v="0"/>
    <m/>
    <m/>
    <m/>
    <n v="14.382434999999999"/>
    <n v="10.504610000000001"/>
    <n v="-3.8778249999999979"/>
    <n v="0.73037771420486186"/>
    <n v="31.613099999999999"/>
    <n v="10.504610000000001"/>
  </r>
  <r>
    <x v="1"/>
    <x v="50"/>
    <x v="11"/>
    <m/>
    <m/>
    <m/>
    <m/>
    <m/>
    <n v="0"/>
    <m/>
    <m/>
    <m/>
    <m/>
    <m/>
    <m/>
    <m/>
    <m/>
    <m/>
    <m/>
    <m/>
    <n v="2398.81"/>
    <m/>
    <m/>
    <m/>
    <m/>
    <m/>
    <m/>
    <n v="0"/>
    <n v="2.3988100000000001"/>
    <n v="2.3988100000000001"/>
    <n v="1.0000110000110001"/>
    <n v="0"/>
    <n v="2.3988100000000001"/>
  </r>
  <r>
    <x v="1"/>
    <x v="50"/>
    <x v="13"/>
    <m/>
    <m/>
    <m/>
    <m/>
    <m/>
    <n v="0"/>
    <m/>
    <m/>
    <m/>
    <m/>
    <m/>
    <m/>
    <m/>
    <m/>
    <m/>
    <m/>
    <m/>
    <n v="3.35"/>
    <m/>
    <m/>
    <m/>
    <m/>
    <m/>
    <m/>
    <n v="0"/>
    <n v="3.3500000000000001E-3"/>
    <n v="3.3500000000000001E-3"/>
    <n v="1.0000110000110001"/>
    <n v="0"/>
    <n v="3.3500000000000001E-3"/>
  </r>
  <r>
    <x v="1"/>
    <x v="51"/>
    <x v="9"/>
    <m/>
    <m/>
    <m/>
    <n v="52.31"/>
    <n v="101.98999999999998"/>
    <n v="0"/>
    <m/>
    <m/>
    <m/>
    <m/>
    <m/>
    <m/>
    <m/>
    <m/>
    <m/>
    <n v="52.31"/>
    <n v="102.27"/>
    <n v="72.75"/>
    <m/>
    <m/>
    <m/>
    <m/>
    <m/>
    <m/>
    <n v="0.15429999999999999"/>
    <n v="0.22732999999999998"/>
    <n v="7.3029999999999984E-2"/>
    <n v="1.4732987686325338"/>
    <n v="0.15429999999999999"/>
    <n v="0.22732999999999998"/>
  </r>
  <r>
    <x v="1"/>
    <x v="52"/>
    <x v="15"/>
    <n v="4.84"/>
    <n v="1493"/>
    <n v="2136.5300000000002"/>
    <n v="874.36"/>
    <n v="571.46"/>
    <n v="0"/>
    <m/>
    <m/>
    <m/>
    <m/>
    <m/>
    <m/>
    <n v="4.84"/>
    <n v="1493"/>
    <n v="2136.5300000000002"/>
    <n v="874.36"/>
    <n v="571.46"/>
    <n v="282.61"/>
    <m/>
    <m/>
    <m/>
    <m/>
    <m/>
    <m/>
    <n v="5.08019"/>
    <n v="5.3627999999999991"/>
    <n v="0.28260999999999914"/>
    <n v="1.0556298091213123"/>
    <n v="5.08019"/>
    <n v="5.3627999999999991"/>
  </r>
  <r>
    <x v="1"/>
    <x v="52"/>
    <x v="10"/>
    <m/>
    <n v="3265.8300000000004"/>
    <n v="1639.18"/>
    <m/>
    <m/>
    <n v="0"/>
    <m/>
    <m/>
    <m/>
    <m/>
    <m/>
    <m/>
    <m/>
    <n v="3265.8300000000004"/>
    <n v="1639.18"/>
    <m/>
    <m/>
    <n v="-1637.1200000000001"/>
    <m/>
    <m/>
    <m/>
    <m/>
    <m/>
    <m/>
    <n v="4.9050099999999999"/>
    <n v="3.2678900000000004"/>
    <n v="-1.6371199999999995"/>
    <n v="0.66623513509656462"/>
    <n v="4.9050099999999999"/>
    <n v="3.2678900000000004"/>
  </r>
  <r>
    <x v="1"/>
    <x v="52"/>
    <x v="11"/>
    <n v="139.29"/>
    <n v="0"/>
    <n v="0"/>
    <n v="0"/>
    <n v="0"/>
    <n v="2842"/>
    <n v="2842"/>
    <n v="2842"/>
    <n v="2842"/>
    <n v="2842"/>
    <n v="2842"/>
    <n v="2842"/>
    <n v="139.29"/>
    <n v="0"/>
    <n v="0"/>
    <n v="0"/>
    <n v="0"/>
    <n v="0"/>
    <n v="0"/>
    <n v="0"/>
    <n v="0"/>
    <n v="0"/>
    <n v="0"/>
    <n v="0"/>
    <n v="2.98129"/>
    <n v="0.13929"/>
    <n v="-2.8420000000000001"/>
    <n v="4.6721385708870994E-2"/>
    <n v="20.033290000000001"/>
    <n v="0.13929"/>
  </r>
  <r>
    <x v="1"/>
    <x v="52"/>
    <x v="9"/>
    <n v="5769.39"/>
    <n v="5764.8300000000008"/>
    <n v="10461.910000000002"/>
    <n v="17742.099999999999"/>
    <n v="13755.13"/>
    <n v="1755"/>
    <n v="1755"/>
    <n v="1755"/>
    <n v="1755"/>
    <n v="1755"/>
    <n v="1755"/>
    <n v="1755"/>
    <n v="5769.39"/>
    <n v="5764.83"/>
    <n v="10461.91"/>
    <n v="17742.099999999995"/>
    <n v="13758.849999999999"/>
    <n v="9547.94"/>
    <n v="0"/>
    <n v="0"/>
    <n v="0"/>
    <n v="0"/>
    <n v="0"/>
    <n v="0"/>
    <n v="55.248359999999998"/>
    <n v="63.045019999999994"/>
    <n v="7.7966599999999957"/>
    <n v="1.1411202070070496"/>
    <n v="65.778360000000006"/>
    <n v="63.045019999999994"/>
  </r>
  <r>
    <x v="1"/>
    <x v="52"/>
    <x v="17"/>
    <n v="10.28"/>
    <n v="897.68"/>
    <n v="1239.48"/>
    <n v="1271.74"/>
    <n v="514.79999999999995"/>
    <n v="487"/>
    <n v="487"/>
    <n v="487"/>
    <n v="487"/>
    <n v="487"/>
    <n v="487"/>
    <n v="487"/>
    <n v="10.28"/>
    <n v="897.68000000000006"/>
    <n v="1239.48"/>
    <n v="1271.74"/>
    <n v="514.79999999999995"/>
    <n v="587.9799999999999"/>
    <n v="0"/>
    <n v="0"/>
    <n v="0"/>
    <n v="0"/>
    <n v="0"/>
    <n v="0"/>
    <n v="4.4209800000000001"/>
    <n v="4.52196"/>
    <n v="0.10097999999999985"/>
    <n v="1.0228410895321851"/>
    <n v="7.3429800000000007"/>
    <n v="4.52196"/>
  </r>
  <r>
    <x v="1"/>
    <x v="52"/>
    <x v="16"/>
    <m/>
    <n v="1237.8800000000001"/>
    <n v="2267.6899999999996"/>
    <n v="2403.3200000000002"/>
    <n v="660.81000000000006"/>
    <n v="1618"/>
    <n v="1618"/>
    <n v="1618"/>
    <n v="1618"/>
    <n v="1618"/>
    <n v="1618"/>
    <n v="1618"/>
    <m/>
    <n v="1237.8800000000001"/>
    <n v="2267.69"/>
    <n v="2403.3199999999997"/>
    <n v="660.81000000000006"/>
    <n v="1346.78"/>
    <n v="0"/>
    <n v="0"/>
    <n v="0"/>
    <n v="0"/>
    <n v="0"/>
    <n v="0"/>
    <n v="8.1876999999999995"/>
    <n v="7.91648"/>
    <n v="-0.27121999999999957"/>
    <n v="0.96687470229734851"/>
    <n v="17.895700000000001"/>
    <n v="7.91648"/>
  </r>
  <r>
    <x v="1"/>
    <x v="52"/>
    <x v="12"/>
    <n v="0"/>
    <n v="547.75"/>
    <n v="581.37"/>
    <n v="454.78"/>
    <n v="214.71"/>
    <n v="245"/>
    <n v="245"/>
    <n v="245"/>
    <n v="245"/>
    <n v="245"/>
    <n v="245"/>
    <n v="245"/>
    <n v="0"/>
    <n v="547.75"/>
    <n v="581.37"/>
    <n v="454.78"/>
    <n v="214.71"/>
    <n v="245.22"/>
    <n v="0"/>
    <n v="0"/>
    <n v="0"/>
    <n v="0"/>
    <n v="0"/>
    <n v="0"/>
    <n v="2.0436099999999997"/>
    <n v="2.0438299999999998"/>
    <n v="2.20000000000109E-4"/>
    <n v="1.0001076526343089"/>
    <n v="3.5136099999999995"/>
    <n v="2.0438299999999998"/>
  </r>
  <r>
    <x v="1"/>
    <x v="52"/>
    <x v="13"/>
    <n v="0"/>
    <n v="3000.4"/>
    <n v="2398.7199999999998"/>
    <n v="2967.41"/>
    <n v="1827.63"/>
    <n v="1506"/>
    <n v="1506"/>
    <n v="1506"/>
    <n v="1506"/>
    <n v="1506"/>
    <n v="1506"/>
    <n v="1506"/>
    <n v="0"/>
    <n v="3000.4"/>
    <n v="2398.7199999999998"/>
    <n v="2967.41"/>
    <n v="1827.63"/>
    <n v="1830.82"/>
    <n v="8630"/>
    <n v="0"/>
    <n v="0"/>
    <n v="0"/>
    <n v="0"/>
    <n v="0"/>
    <n v="11.70016"/>
    <n v="12.024979999999999"/>
    <n v="0.324819999999999"/>
    <n v="1.0277620135109262"/>
    <n v="20.736159999999998"/>
    <n v="12.024979999999999"/>
  </r>
  <r>
    <x v="1"/>
    <x v="52"/>
    <x v="14"/>
    <n v="1250.5999999999999"/>
    <n v="1348.68"/>
    <n v="1595.38"/>
    <n v="1484.9099999999999"/>
    <n v="2332.8000000000002"/>
    <n v="0"/>
    <n v="0"/>
    <n v="0"/>
    <n v="0"/>
    <n v="0"/>
    <n v="0"/>
    <n v="0"/>
    <n v="1250.6000000000001"/>
    <n v="1348.68"/>
    <n v="1595.38"/>
    <n v="1484.9099999999999"/>
    <n v="2332.8000000000002"/>
    <n v="1897.0800000000002"/>
    <n v="0"/>
    <n v="0"/>
    <n v="0"/>
    <n v="0"/>
    <n v="0"/>
    <n v="0"/>
    <n v="8.0123700000000007"/>
    <n v="9.9094500000000014"/>
    <n v="1.8970800000000008"/>
    <n v="1.2367688960944141"/>
    <n v="8.0123700000000007"/>
    <n v="9.9094500000000014"/>
  </r>
  <r>
    <x v="1"/>
    <x v="53"/>
    <x v="11"/>
    <m/>
    <m/>
    <m/>
    <n v="0"/>
    <m/>
    <m/>
    <n v="0"/>
    <m/>
    <m/>
    <n v="0"/>
    <m/>
    <m/>
    <m/>
    <m/>
    <m/>
    <n v="0"/>
    <m/>
    <m/>
    <n v="0"/>
    <m/>
    <m/>
    <n v="0"/>
    <m/>
    <m/>
    <n v="0"/>
    <n v="0"/>
    <n v="0"/>
    <n v="1.0000110000110001"/>
    <n v="0"/>
    <n v="0"/>
  </r>
  <r>
    <x v="1"/>
    <x v="53"/>
    <x v="9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1"/>
    <x v="54"/>
    <x v="9"/>
    <m/>
    <m/>
    <m/>
    <n v="1531.8340000000001"/>
    <n v="-1129.3790000000001"/>
    <n v="2558.6289999999999"/>
    <n v="2558.6289999999999"/>
    <n v="2558.6289999999999"/>
    <n v="2558.6289999999999"/>
    <n v="2558.6289999999999"/>
    <n v="2558.6289999999999"/>
    <n v="2558.6289999999999"/>
    <m/>
    <m/>
    <m/>
    <n v="1549.98"/>
    <n v="-1169.7699999999998"/>
    <n v="373.56"/>
    <n v="0"/>
    <n v="0"/>
    <n v="0"/>
    <n v="0"/>
    <n v="0"/>
    <n v="0"/>
    <n v="2.961084"/>
    <n v="0.75377000000000016"/>
    <n v="-2.2073139999999998"/>
    <n v="0.25455880346521753"/>
    <n v="18.312857999999999"/>
    <n v="0.75377000000000016"/>
  </r>
  <r>
    <x v="1"/>
    <x v="9"/>
    <x v="15"/>
    <n v="0"/>
    <n v="0"/>
    <n v="0"/>
    <n v="906.28800000000001"/>
    <n v="436.10700000000003"/>
    <n v="371.988"/>
    <n v="371.988"/>
    <n v="371.988"/>
    <n v="371.988"/>
    <n v="371.988"/>
    <n v="371.988"/>
    <n v="371.988"/>
    <n v="0"/>
    <n v="0"/>
    <n v="0"/>
    <n v="897.72"/>
    <n v="430.82"/>
    <n v="464.02"/>
    <n v="0"/>
    <n v="0"/>
    <n v="0"/>
    <n v="0"/>
    <n v="0"/>
    <n v="0"/>
    <n v="1.714383"/>
    <n v="1.7925599999999999"/>
    <n v="7.8176999999999941E-2"/>
    <n v="1.0456006621624223"/>
    <n v="3.9463109999999992"/>
    <n v="1.7925599999999999"/>
  </r>
  <r>
    <x v="1"/>
    <x v="9"/>
    <x v="11"/>
    <n v="815.15499999999997"/>
    <n v="861.95399999999995"/>
    <n v="1055.7349999999999"/>
    <n v="966.83199999999999"/>
    <n v="981.072"/>
    <n v="0"/>
    <m/>
    <m/>
    <m/>
    <m/>
    <m/>
    <m/>
    <n v="803.1"/>
    <n v="880.03"/>
    <n v="1065.29"/>
    <n v="961.32"/>
    <n v="969.18000000000006"/>
    <n v="1372.55"/>
    <m/>
    <m/>
    <m/>
    <m/>
    <m/>
    <m/>
    <n v="4.6807479999999995"/>
    <n v="6.0514700000000001"/>
    <n v="1.3707220000000007"/>
    <n v="1.292842511496026"/>
    <n v="4.6807479999999995"/>
    <n v="6.0514700000000001"/>
  </r>
  <r>
    <x v="1"/>
    <x v="9"/>
    <x v="9"/>
    <n v="1756.5169999999998"/>
    <n v="1930.9290000000001"/>
    <n v="2465.1660000000002"/>
    <n v="6505.0499999999984"/>
    <n v="3195.9599999999996"/>
    <n v="4624.7759999999998"/>
    <n v="4298.7000000000007"/>
    <n v="4298.7000000000007"/>
    <n v="4624.7760000000007"/>
    <n v="4298.7000000000007"/>
    <n v="4624.7760000000007"/>
    <n v="4298.7000000000007"/>
    <n v="1730.54"/>
    <n v="1971.42"/>
    <n v="2487.4799999999996"/>
    <n v="6543.46"/>
    <n v="3180.8199999999997"/>
    <n v="2827.64"/>
    <n v="0"/>
    <n v="0"/>
    <n v="0"/>
    <n v="0"/>
    <n v="0"/>
    <n v="0"/>
    <n v="20.478397999999999"/>
    <n v="18.74136"/>
    <n v="-1.7370379999999983"/>
    <n v="0.91517705633028523"/>
    <n v="46.922750000000001"/>
    <n v="18.74136"/>
  </r>
  <r>
    <x v="1"/>
    <x v="9"/>
    <x v="16"/>
    <n v="0"/>
    <n v="391.93099999999998"/>
    <n v="472.47300000000001"/>
    <n v="1175.4649999999999"/>
    <n v="544.17600000000004"/>
    <n v="0"/>
    <n v="0"/>
    <n v="0"/>
    <n v="0"/>
    <n v="0"/>
    <n v="0"/>
    <n v="0"/>
    <n v="0"/>
    <n v="400.15"/>
    <n v="476.75"/>
    <n v="1181.92"/>
    <n v="537.57999999999993"/>
    <n v="633.33999999999992"/>
    <n v="0"/>
    <n v="0"/>
    <n v="0"/>
    <n v="0"/>
    <n v="0"/>
    <n v="0"/>
    <n v="2.5840450000000001"/>
    <n v="3.2297399999999996"/>
    <n v="0.64569499999999946"/>
    <n v="1.2498776143604309"/>
    <n v="2.5840450000000001"/>
    <n v="3.2297399999999996"/>
  </r>
  <r>
    <x v="1"/>
    <x v="9"/>
    <x v="19"/>
    <m/>
    <m/>
    <n v="14.179"/>
    <n v="6.15"/>
    <n v="20.295999999999999"/>
    <m/>
    <m/>
    <m/>
    <m/>
    <m/>
    <m/>
    <m/>
    <m/>
    <m/>
    <n v="14.23"/>
    <n v="6.03"/>
    <n v="20.13"/>
    <m/>
    <m/>
    <m/>
    <m/>
    <m/>
    <m/>
    <m/>
    <n v="4.0625000000000001E-2"/>
    <n v="4.0390000000000002E-2"/>
    <n v="-2.349999999999991E-4"/>
    <n v="0.99421538461538461"/>
    <n v="4.0625000000000001E-2"/>
    <n v="4.0390000000000002E-2"/>
  </r>
  <r>
    <x v="1"/>
    <x v="9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9"/>
    <x v="14"/>
    <n v="0"/>
    <n v="0"/>
    <n v="0"/>
    <n v="0"/>
    <n v="0"/>
    <n v="929.96999999999991"/>
    <n v="929.96999999999991"/>
    <n v="929.96999999999991"/>
    <n v="929.96999999999991"/>
    <n v="929.96999999999991"/>
    <n v="929.96999999999991"/>
    <n v="929.96999999999991"/>
    <n v="0"/>
    <n v="0"/>
    <n v="0"/>
    <n v="0"/>
    <n v="0"/>
    <n v="0"/>
    <n v="0"/>
    <n v="0"/>
    <n v="0"/>
    <n v="0"/>
    <n v="0"/>
    <n v="0"/>
    <n v="0.92996999999999996"/>
    <n v="0"/>
    <n v="-0.92996999999999996"/>
    <n v="0"/>
    <n v="6.5097899999999997"/>
    <n v="0"/>
  </r>
  <r>
    <x v="1"/>
    <x v="55"/>
    <x v="15"/>
    <m/>
    <m/>
    <n v="0"/>
    <n v="143.43899999999999"/>
    <n v="55.082000000000001"/>
    <n v="241.98700000000002"/>
    <n v="241.98700000000002"/>
    <n v="241.98700000000002"/>
    <n v="241.98700000000002"/>
    <n v="241.98700000000002"/>
    <n v="241.98700000000002"/>
    <n v="241.98700000000002"/>
    <m/>
    <m/>
    <n v="0"/>
    <n v="145.12"/>
    <n v="55.78"/>
    <n v="0"/>
    <n v="0"/>
    <n v="0"/>
    <n v="0"/>
    <n v="0"/>
    <n v="0"/>
    <n v="0"/>
    <n v="0.44050800000000001"/>
    <n v="0.2009"/>
    <n v="-0.23960800000000002"/>
    <n v="0.45606436205471862"/>
    <n v="1.8924300000000005"/>
    <n v="0.2009"/>
  </r>
  <r>
    <x v="1"/>
    <x v="55"/>
    <x v="10"/>
    <m/>
    <m/>
    <m/>
    <n v="390.03899999999999"/>
    <n v="1122.614"/>
    <n v="0"/>
    <m/>
    <m/>
    <m/>
    <m/>
    <m/>
    <m/>
    <m/>
    <m/>
    <m/>
    <n v="384.29999999999995"/>
    <n v="1155.69"/>
    <n v="414.47"/>
    <m/>
    <m/>
    <m/>
    <m/>
    <m/>
    <m/>
    <n v="1.512653"/>
    <n v="1.9544600000000001"/>
    <n v="0.44180700000000006"/>
    <n v="1.2920742562901075"/>
    <n v="1.512653"/>
    <n v="1.9544600000000001"/>
  </r>
  <r>
    <x v="1"/>
    <x v="55"/>
    <x v="11"/>
    <n v="0"/>
    <n v="0"/>
    <n v="0"/>
    <n v="473.67899999999997"/>
    <n v="1265.0540000000001"/>
    <n v="1186.2250000000001"/>
    <n v="1186.2249999999999"/>
    <n v="1186.2250000000001"/>
    <n v="1186.2250000000001"/>
    <n v="1186.2249999999999"/>
    <n v="1186.2249999999999"/>
    <n v="1186.2249999999999"/>
    <n v="0"/>
    <n v="0"/>
    <n v="0"/>
    <n v="466.71"/>
    <n v="1288.02"/>
    <n v="952.72"/>
    <n v="0"/>
    <n v="0"/>
    <n v="0"/>
    <n v="0"/>
    <n v="0"/>
    <n v="0"/>
    <n v="2.9249580000000006"/>
    <n v="2.7074499999999997"/>
    <n v="-0.21750800000000092"/>
    <n v="0.92563722282507954"/>
    <n v="10.042308000000002"/>
    <n v="2.7074499999999997"/>
  </r>
  <r>
    <x v="1"/>
    <x v="55"/>
    <x v="9"/>
    <m/>
    <m/>
    <n v="0"/>
    <n v="354.18100000000004"/>
    <n v="917.76299999999992"/>
    <n v="846.95400000000006"/>
    <n v="846.95400000000006"/>
    <n v="846.95400000000006"/>
    <n v="846.95400000000006"/>
    <n v="846.95400000000006"/>
    <n v="846.95400000000006"/>
    <n v="846.95400000000006"/>
    <m/>
    <m/>
    <n v="0"/>
    <n v="346.55"/>
    <n v="929.52"/>
    <n v="869.06000000000006"/>
    <n v="0"/>
    <n v="0"/>
    <n v="0"/>
    <n v="0"/>
    <n v="0"/>
    <n v="0"/>
    <n v="2.1188980000000002"/>
    <n v="2.14513"/>
    <n v="2.6231999999999811E-2"/>
    <n v="1.0123800201803013"/>
    <n v="7.2006219999999992"/>
    <n v="2.14513"/>
  </r>
  <r>
    <x v="1"/>
    <x v="55"/>
    <x v="16"/>
    <m/>
    <m/>
    <n v="0"/>
    <n v="602.72"/>
    <n v="389.88799999999998"/>
    <n v="241.98700000000002"/>
    <n v="241.98700000000002"/>
    <n v="241.98700000000002"/>
    <n v="241.98700000000002"/>
    <n v="241.98700000000002"/>
    <n v="241.98700000000002"/>
    <n v="241.98700000000002"/>
    <m/>
    <m/>
    <n v="0"/>
    <n v="601.67999999999995"/>
    <n v="394.83"/>
    <n v="430.17"/>
    <n v="0"/>
    <n v="0"/>
    <n v="0"/>
    <n v="0"/>
    <n v="0"/>
    <n v="0"/>
    <n v="1.2345950000000001"/>
    <n v="1.4266800000000002"/>
    <n v="0.19208500000000006"/>
    <n v="1.1555854348997039"/>
    <n v="2.6865170000000003"/>
    <n v="1.4266800000000002"/>
  </r>
  <r>
    <x v="1"/>
    <x v="55"/>
    <x v="14"/>
    <m/>
    <m/>
    <n v="0"/>
    <n v="671.87"/>
    <n v="557.91800000000001"/>
    <n v="241.98700000000002"/>
    <n v="241.98700000000002"/>
    <n v="241.98700000000002"/>
    <n v="241.98700000000002"/>
    <n v="241.98700000000002"/>
    <n v="241.98700000000002"/>
    <n v="241.98700000000002"/>
    <m/>
    <m/>
    <n v="0"/>
    <n v="680.83"/>
    <n v="564.99"/>
    <n v="594.23"/>
    <n v="0"/>
    <n v="0"/>
    <n v="0"/>
    <n v="0"/>
    <n v="0"/>
    <n v="0"/>
    <n v="1.4717750000000001"/>
    <n v="1.8400500000000002"/>
    <n v="0.36827500000000013"/>
    <n v="1.2502250683698257"/>
    <n v="2.9236970000000007"/>
    <n v="1.8400500000000002"/>
  </r>
  <r>
    <x v="1"/>
    <x v="56"/>
    <x v="10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1"/>
    <x v="56"/>
    <x v="11"/>
    <n v="0"/>
    <n v="0"/>
    <n v="0"/>
    <n v="0"/>
    <n v="0"/>
    <n v="213.12"/>
    <n v="213.12"/>
    <n v="213.12"/>
    <n v="213.12"/>
    <m/>
    <m/>
    <m/>
    <n v="0"/>
    <n v="0"/>
    <n v="0"/>
    <n v="0"/>
    <n v="0"/>
    <n v="0"/>
    <n v="0"/>
    <n v="0"/>
    <n v="0"/>
    <m/>
    <m/>
    <m/>
    <n v="0.21312"/>
    <n v="0"/>
    <n v="-0.21312"/>
    <n v="0"/>
    <n v="0.85248000000000002"/>
    <n v="0"/>
  </r>
  <r>
    <x v="1"/>
    <x v="56"/>
    <x v="9"/>
    <n v="386.56"/>
    <n v="423.59"/>
    <n v="815.32999999999993"/>
    <n v="4599.49"/>
    <n v="626.59999999999991"/>
    <n v="398.08"/>
    <n v="398.08"/>
    <n v="398.08"/>
    <n v="398.08"/>
    <m/>
    <m/>
    <m/>
    <n v="386.56"/>
    <n v="423.59"/>
    <n v="815.32999999999993"/>
    <n v="4599.49"/>
    <n v="628.37000000000012"/>
    <n v="447.12"/>
    <n v="0"/>
    <n v="0"/>
    <n v="0"/>
    <m/>
    <m/>
    <m/>
    <n v="7.2496499999999999"/>
    <n v="7.3004599999999993"/>
    <n v="5.0809999999999356E-2"/>
    <n v="1.0070086142089618"/>
    <n v="8.4438899999999997"/>
    <n v="7.3004599999999993"/>
  </r>
  <r>
    <x v="1"/>
    <x v="56"/>
    <x v="16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1"/>
    <x v="56"/>
    <x v="14"/>
    <n v="0"/>
    <n v="0"/>
    <n v="0"/>
    <n v="0"/>
    <n v="0"/>
    <n v="213.12"/>
    <n v="213.12"/>
    <n v="213.12"/>
    <n v="213.12"/>
    <m/>
    <m/>
    <m/>
    <n v="0"/>
    <n v="0"/>
    <n v="0"/>
    <n v="0"/>
    <n v="0"/>
    <n v="0"/>
    <n v="0"/>
    <n v="0"/>
    <n v="0"/>
    <m/>
    <m/>
    <m/>
    <n v="0.21312"/>
    <n v="0"/>
    <n v="-0.21312"/>
    <n v="0"/>
    <n v="0.85248000000000002"/>
    <n v="0"/>
  </r>
  <r>
    <x v="1"/>
    <x v="57"/>
    <x v="11"/>
    <n v="0"/>
    <m/>
    <m/>
    <n v="569.07399999999996"/>
    <n v="0"/>
    <n v="18.573"/>
    <m/>
    <m/>
    <m/>
    <m/>
    <m/>
    <m/>
    <n v="0"/>
    <m/>
    <m/>
    <n v="569.94000000000005"/>
    <n v="0"/>
    <n v="0"/>
    <m/>
    <m/>
    <m/>
    <m/>
    <m/>
    <m/>
    <n v="0.58764699999999992"/>
    <n v="0.56994"/>
    <n v="-1.7706999999999917E-2"/>
    <n v="0.96986796495174843"/>
    <n v="0.58764699999999992"/>
    <n v="0.56994"/>
  </r>
  <r>
    <x v="1"/>
    <x v="57"/>
    <x v="9"/>
    <n v="0"/>
    <m/>
    <m/>
    <n v="295.01799999999997"/>
    <n v="384.22899999999998"/>
    <n v="312.49599999999998"/>
    <m/>
    <m/>
    <m/>
    <m/>
    <m/>
    <m/>
    <n v="0"/>
    <m/>
    <m/>
    <n v="294.93"/>
    <n v="387.11"/>
    <n v="296.18"/>
    <m/>
    <m/>
    <m/>
    <m/>
    <m/>
    <m/>
    <n v="0.99174299999999993"/>
    <n v="0.97821999999999998"/>
    <n v="-1.3522999999999952E-2"/>
    <n v="0.98636441094114102"/>
    <n v="0.99174299999999993"/>
    <n v="0.97821999999999998"/>
  </r>
  <r>
    <x v="1"/>
    <x v="57"/>
    <x v="13"/>
    <m/>
    <m/>
    <m/>
    <n v="0"/>
    <n v="6.5730000000000004"/>
    <n v="0"/>
    <m/>
    <m/>
    <m/>
    <m/>
    <m/>
    <m/>
    <m/>
    <m/>
    <m/>
    <n v="0"/>
    <n v="6.68"/>
    <n v="0"/>
    <m/>
    <m/>
    <m/>
    <m/>
    <m/>
    <m/>
    <n v="6.5730000000000007E-3"/>
    <n v="6.6799999999999993E-3"/>
    <n v="1.0699999999999859E-4"/>
    <n v="1.016278715959227"/>
    <n v="6.5730000000000007E-3"/>
    <n v="6.6799999999999993E-3"/>
  </r>
  <r>
    <x v="1"/>
    <x v="57"/>
    <x v="14"/>
    <n v="0"/>
    <m/>
    <m/>
    <m/>
    <m/>
    <m/>
    <m/>
    <m/>
    <m/>
    <m/>
    <m/>
    <m/>
    <n v="0"/>
    <m/>
    <m/>
    <m/>
    <m/>
    <m/>
    <m/>
    <m/>
    <m/>
    <m/>
    <m/>
    <m/>
    <n v="0"/>
    <n v="0"/>
    <n v="0"/>
    <n v="1.0000110000110001"/>
    <n v="0"/>
    <n v="0"/>
  </r>
  <r>
    <x v="1"/>
    <x v="10"/>
    <x v="11"/>
    <n v="0"/>
    <n v="145.75399999999999"/>
    <n v="166.50299999999999"/>
    <n v="145.822"/>
    <n v="147.20400000000001"/>
    <n v="165.18900000000002"/>
    <n v="165.18900000000002"/>
    <n v="165.18900000000002"/>
    <n v="165.18900000000002"/>
    <n v="165.18900000000002"/>
    <n v="165.18900000000002"/>
    <n v="165.18900000000002"/>
    <n v="0"/>
    <n v="148.81"/>
    <n v="168.01"/>
    <n v="144.98999999999998"/>
    <n v="145.42000000000002"/>
    <n v="166.08"/>
    <n v="0"/>
    <n v="0"/>
    <n v="0"/>
    <n v="0"/>
    <n v="0"/>
    <n v="0"/>
    <n v="0.77047199999999993"/>
    <n v="0.77331000000000005"/>
    <n v="2.8380000000001182E-3"/>
    <n v="1.0036834563747938"/>
    <n v="1.7616060000000004"/>
    <n v="0.77331000000000005"/>
  </r>
  <r>
    <x v="1"/>
    <x v="10"/>
    <x v="9"/>
    <n v="0"/>
    <n v="1489.702"/>
    <n v="1613.2860000000001"/>
    <n v="3614.8359999999998"/>
    <n v="2365.6589999999997"/>
    <n v="2223.3049999999998"/>
    <n v="2223.3049999999998"/>
    <n v="2223.3049999999998"/>
    <n v="2223.3049999999998"/>
    <n v="2223.3049999999998"/>
    <n v="2223.3049999999998"/>
    <n v="2223.3049999999998"/>
    <n v="0"/>
    <n v="1520.94"/>
    <n v="1627.8899999999999"/>
    <n v="3635.25"/>
    <n v="2358.7800000000007"/>
    <n v="1945.29"/>
    <n v="0"/>
    <n v="0"/>
    <n v="0"/>
    <n v="0"/>
    <n v="0"/>
    <n v="0"/>
    <n v="11.306788000000001"/>
    <n v="11.088150000000001"/>
    <n v="-0.21863800000000033"/>
    <n v="0.98066312024245961"/>
    <n v="24.646618000000004"/>
    <n v="11.088150000000001"/>
  </r>
  <r>
    <x v="1"/>
    <x v="10"/>
    <x v="16"/>
    <m/>
    <n v="0"/>
    <n v="0"/>
    <n v="0"/>
    <n v="0"/>
    <n v="155.62299999999999"/>
    <n v="155.62299999999999"/>
    <n v="155.62299999999999"/>
    <n v="155.62299999999999"/>
    <n v="155.62299999999999"/>
    <n v="155.62299999999999"/>
    <n v="155.62299999999999"/>
    <m/>
    <n v="0"/>
    <n v="0"/>
    <n v="0"/>
    <n v="0"/>
    <n v="0"/>
    <n v="0"/>
    <n v="0"/>
    <n v="0"/>
    <n v="0"/>
    <n v="0"/>
    <n v="0"/>
    <n v="0.15562299999999998"/>
    <n v="0"/>
    <n v="-0.15562299999999998"/>
    <n v="0"/>
    <n v="1.089361"/>
    <n v="0"/>
  </r>
  <r>
    <x v="1"/>
    <x v="10"/>
    <x v="13"/>
    <n v="0"/>
    <n v="417.60300000000001"/>
    <n v="337.02100000000002"/>
    <n v="426.28100000000001"/>
    <n v="260.74599999999998"/>
    <n v="414.19200000000001"/>
    <n v="414.19200000000001"/>
    <n v="414.19200000000001"/>
    <n v="414.19200000000001"/>
    <n v="414.19200000000001"/>
    <n v="414.19200000000001"/>
    <n v="414.19200000000001"/>
    <n v="0"/>
    <n v="425.82"/>
    <n v="339.43"/>
    <n v="423.95"/>
    <n v="258.25"/>
    <n v="259.32"/>
    <n v="1222"/>
    <n v="0"/>
    <n v="0"/>
    <n v="0"/>
    <n v="0"/>
    <n v="0"/>
    <n v="1.8558429999999999"/>
    <n v="1.7067699999999999"/>
    <n v="-0.14907300000000001"/>
    <n v="0.91967370084646172"/>
    <n v="4.3409949999999995"/>
    <n v="1.7067699999999999"/>
  </r>
  <r>
    <x v="1"/>
    <x v="10"/>
    <x v="14"/>
    <n v="0"/>
    <n v="0"/>
    <n v="0"/>
    <n v="2942.5550000000003"/>
    <n v="1382.9949999999999"/>
    <n v="1863.3920000000003"/>
    <n v="1863.3920000000001"/>
    <n v="1863.3920000000003"/>
    <n v="1863.3920000000003"/>
    <n v="1863.3920000000003"/>
    <n v="1863.3920000000001"/>
    <n v="1863.3920000000003"/>
    <n v="0"/>
    <n v="0"/>
    <n v="0"/>
    <n v="2947.4000000000005"/>
    <n v="1366.2300000000002"/>
    <n v="1041.3200000000002"/>
    <n v="0"/>
    <n v="0"/>
    <n v="0"/>
    <n v="0"/>
    <n v="0"/>
    <n v="0"/>
    <n v="6.1889420000000008"/>
    <n v="5.3549500000000005"/>
    <n v="-0.83399200000000029"/>
    <n v="0.86524481890442662"/>
    <n v="17.369294"/>
    <n v="5.3549500000000005"/>
  </r>
  <r>
    <x v="1"/>
    <x v="11"/>
    <x v="15"/>
    <n v="0"/>
    <n v="0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0"/>
    <n v="0"/>
    <n v="0"/>
    <n v="0"/>
    <n v="0"/>
    <n v="0"/>
    <n v="0"/>
    <n v="0"/>
    <n v="0"/>
    <n v="0"/>
    <n v="0"/>
    <n v="0"/>
    <n v="0.56255200000000005"/>
    <n v="0"/>
    <n v="-0.56255200000000005"/>
    <n v="0"/>
    <n v="1.40638"/>
    <n v="0"/>
  </r>
  <r>
    <x v="1"/>
    <x v="11"/>
    <x v="11"/>
    <n v="0"/>
    <n v="0"/>
    <n v="281.27800000000002"/>
    <n v="281.27800000000002"/>
    <n v="281.27800000000002"/>
    <n v="281.27800000000002"/>
    <n v="281.27800000000002"/>
    <n v="281.27800000000002"/>
    <n v="281.27800000000002"/>
    <n v="281.27800000000002"/>
    <n v="281.27800000000002"/>
    <n v="281.27800000000002"/>
    <n v="0"/>
    <n v="0"/>
    <n v="0"/>
    <n v="0"/>
    <n v="0"/>
    <n v="0"/>
    <n v="0"/>
    <n v="0"/>
    <n v="0"/>
    <n v="0"/>
    <n v="0"/>
    <n v="0"/>
    <n v="1.1251120000000001"/>
    <n v="0"/>
    <n v="-1.1251120000000001"/>
    <n v="0"/>
    <n v="2.8127800000000005"/>
    <n v="0"/>
  </r>
  <r>
    <x v="1"/>
    <x v="11"/>
    <x v="9"/>
    <n v="0"/>
    <n v="252.773"/>
    <n v="737.27099999999996"/>
    <n v="827.13499999999999"/>
    <n v="985.76600000000008"/>
    <n v="737.27099999999996"/>
    <n v="737.27099999999996"/>
    <n v="737.27099999999996"/>
    <n v="737.27099999999996"/>
    <n v="737.27099999999996"/>
    <n v="737.27099999999996"/>
    <n v="737.27099999999996"/>
    <n v="0"/>
    <n v="253.9"/>
    <n v="0"/>
    <n v="92.860000000000014"/>
    <n v="263.16000000000003"/>
    <n v="4385.6000000000004"/>
    <n v="0"/>
    <n v="0"/>
    <n v="0"/>
    <n v="0"/>
    <n v="0"/>
    <n v="0"/>
    <n v="3.5402160000000005"/>
    <n v="4.9955200000000008"/>
    <n v="1.4553040000000004"/>
    <n v="1.4110777421490666"/>
    <n v="7.9638419999999988"/>
    <n v="4.9955200000000008"/>
  </r>
  <r>
    <x v="1"/>
    <x v="11"/>
    <x v="16"/>
    <n v="0"/>
    <n v="0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0"/>
    <n v="0"/>
    <n v="0"/>
    <n v="0"/>
    <n v="0"/>
    <n v="0"/>
    <n v="0"/>
    <n v="0"/>
    <n v="0"/>
    <n v="0"/>
    <n v="0"/>
    <n v="0"/>
    <n v="0.56255200000000005"/>
    <n v="0"/>
    <n v="-0.56255200000000005"/>
    <n v="0"/>
    <n v="1.40638"/>
    <n v="0"/>
  </r>
  <r>
    <x v="1"/>
    <x v="11"/>
    <x v="14"/>
    <n v="0"/>
    <n v="0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140.63800000000001"/>
    <n v="0"/>
    <n v="0"/>
    <n v="0"/>
    <n v="0"/>
    <n v="0"/>
    <n v="1056.29"/>
    <n v="0"/>
    <n v="0"/>
    <n v="0"/>
    <n v="0"/>
    <n v="0"/>
    <n v="0"/>
    <n v="0.56255200000000005"/>
    <n v="1.05629"/>
    <n v="0.4937379999999999"/>
    <n v="1.8776753082381714"/>
    <n v="1.40638"/>
    <n v="1.05629"/>
  </r>
  <r>
    <x v="1"/>
    <x v="13"/>
    <x v="15"/>
    <m/>
    <m/>
    <m/>
    <n v="785.51"/>
    <n v="376.98"/>
    <n v="86.346999999999994"/>
    <n v="172.69300000000001"/>
    <n v="86.346999999999994"/>
    <n v="86.346999999999994"/>
    <n v="86.346999999999994"/>
    <n v="86.346999999999994"/>
    <n v="172.69300000000001"/>
    <m/>
    <m/>
    <m/>
    <n v="785.5100000000001"/>
    <n v="376.98"/>
    <n v="406.02000000000004"/>
    <n v="0"/>
    <n v="0"/>
    <n v="0"/>
    <n v="0"/>
    <n v="0"/>
    <n v="0"/>
    <n v="1.248837"/>
    <n v="1.5685100000000003"/>
    <n v="0.31967300000000032"/>
    <n v="1.255976560591975"/>
    <n v="1.939611"/>
    <n v="1.5685100000000003"/>
  </r>
  <r>
    <x v="1"/>
    <x v="13"/>
    <x v="10"/>
    <m/>
    <m/>
    <m/>
    <n v="32.479999999999997"/>
    <n v="0"/>
    <n v="172.69300000000001"/>
    <n v="345.38700000000006"/>
    <n v="172.69300000000001"/>
    <n v="172.69300000000001"/>
    <n v="172.69300000000001"/>
    <n v="172.69300000000001"/>
    <n v="345.38700000000006"/>
    <m/>
    <m/>
    <m/>
    <n v="32.479999999999997"/>
    <n v="0"/>
    <n v="0"/>
    <n v="0"/>
    <n v="0"/>
    <n v="0"/>
    <n v="0"/>
    <n v="0"/>
    <n v="0"/>
    <n v="0.20517299999999999"/>
    <n v="3.2479999999999995E-2"/>
    <n v="-0.17269299999999999"/>
    <n v="0.15830543005171244"/>
    <n v="1.586719"/>
    <n v="3.2479999999999995E-2"/>
  </r>
  <r>
    <x v="1"/>
    <x v="13"/>
    <x v="11"/>
    <m/>
    <m/>
    <m/>
    <n v="1013.45"/>
    <n v="300.56"/>
    <n v="319.80200000000002"/>
    <n v="639.60699999999997"/>
    <n v="319.80200000000002"/>
    <n v="319.80200000000002"/>
    <n v="319.80200000000002"/>
    <n v="319.80200000000002"/>
    <n v="639.60699999999997"/>
    <m/>
    <m/>
    <m/>
    <n v="1013.45"/>
    <n v="300.56"/>
    <n v="820.17"/>
    <n v="0"/>
    <n v="0"/>
    <n v="0"/>
    <n v="0"/>
    <n v="0"/>
    <n v="0"/>
    <n v="1.6338119999999998"/>
    <n v="2.1341799999999997"/>
    <n v="0.50036799999999992"/>
    <n v="1.3062580027567432"/>
    <n v="4.192234"/>
    <n v="2.1341799999999997"/>
  </r>
  <r>
    <x v="1"/>
    <x v="13"/>
    <x v="9"/>
    <m/>
    <m/>
    <m/>
    <n v="1204.3000000000002"/>
    <n v="1980.02"/>
    <n v="448.74099999999993"/>
    <n v="897.48299999999983"/>
    <n v="448.74099999999993"/>
    <n v="448.74099999999993"/>
    <n v="448.74099999999993"/>
    <n v="448.74099999999993"/>
    <n v="897.48299999999983"/>
    <m/>
    <m/>
    <m/>
    <n v="1204.3"/>
    <n v="1982.32"/>
    <n v="767.83999999999992"/>
    <n v="0"/>
    <n v="0"/>
    <n v="0"/>
    <n v="0"/>
    <n v="0"/>
    <n v="0"/>
    <n v="3.6330610000000001"/>
    <n v="3.9544600000000001"/>
    <n v="0.32139899999999999"/>
    <n v="1.0884650711892809"/>
    <n v="7.2229910000000004"/>
    <n v="3.9544600000000001"/>
  </r>
  <r>
    <x v="1"/>
    <x v="13"/>
    <x v="16"/>
    <m/>
    <m/>
    <m/>
    <n v="0"/>
    <n v="0"/>
    <n v="68.117999999999995"/>
    <n v="136.23599999999999"/>
    <n v="68.117999999999995"/>
    <n v="68.117999999999995"/>
    <n v="68.117999999999995"/>
    <n v="68.117999999999995"/>
    <n v="136.23599999999999"/>
    <m/>
    <m/>
    <m/>
    <n v="0"/>
    <n v="0"/>
    <n v="0"/>
    <n v="0"/>
    <n v="0"/>
    <n v="0"/>
    <n v="0"/>
    <n v="0"/>
    <n v="0"/>
    <n v="6.8117999999999998E-2"/>
    <n v="0"/>
    <n v="-6.8117999999999998E-2"/>
    <n v="0"/>
    <n v="0.61306199999999988"/>
    <n v="0"/>
  </r>
  <r>
    <x v="1"/>
    <x v="13"/>
    <x v="19"/>
    <m/>
    <m/>
    <m/>
    <m/>
    <n v="65.989999999999995"/>
    <m/>
    <m/>
    <m/>
    <m/>
    <m/>
    <m/>
    <m/>
    <m/>
    <m/>
    <m/>
    <m/>
    <n v="65.990000000000009"/>
    <m/>
    <m/>
    <m/>
    <m/>
    <m/>
    <m/>
    <m/>
    <n v="6.5989999999999993E-2"/>
    <n v="6.5990000000000007E-2"/>
    <n v="0"/>
    <n v="1.0000000000000002"/>
    <n v="6.5989999999999993E-2"/>
    <n v="6.5990000000000007E-2"/>
  </r>
  <r>
    <x v="1"/>
    <x v="13"/>
    <x v="14"/>
    <m/>
    <m/>
    <m/>
    <n v="657.59"/>
    <n v="0"/>
    <n v="702.976"/>
    <n v="1405.9540000000002"/>
    <n v="702.976"/>
    <n v="702.976"/>
    <n v="702.976"/>
    <n v="702.976"/>
    <n v="1405.9540000000002"/>
    <m/>
    <m/>
    <m/>
    <n v="657.59"/>
    <n v="0"/>
    <n v="0"/>
    <n v="0"/>
    <n v="0"/>
    <n v="0"/>
    <n v="0"/>
    <n v="0"/>
    <n v="0"/>
    <n v="1.3605659999999999"/>
    <n v="0.65759000000000001"/>
    <n v="-0.70297599999999993"/>
    <n v="0.4833209120321984"/>
    <n v="6.9843780000000004"/>
    <n v="0.65759000000000001"/>
  </r>
  <r>
    <x v="1"/>
    <x v="14"/>
    <x v="15"/>
    <n v="0"/>
    <n v="0"/>
    <n v="0"/>
    <n v="339.86399999999998"/>
    <n v="163.54300000000001"/>
    <n v="139.495"/>
    <n v="139.495"/>
    <n v="139.495"/>
    <n v="139.495"/>
    <n v="139.495"/>
    <n v="139.495"/>
    <n v="139.495"/>
    <n v="0"/>
    <n v="0"/>
    <n v="0"/>
    <n v="336.65"/>
    <n v="161.56"/>
    <n v="174.01"/>
    <n v="0"/>
    <n v="0"/>
    <n v="0"/>
    <n v="0"/>
    <n v="0"/>
    <n v="0"/>
    <n v="0.64290200000000008"/>
    <n v="0.67222000000000004"/>
    <n v="2.9317999999999955E-2"/>
    <n v="1.0456025957299868"/>
    <n v="1.4798719999999999"/>
    <n v="0.67222000000000004"/>
  </r>
  <r>
    <x v="1"/>
    <x v="14"/>
    <x v="10"/>
    <m/>
    <n v="342.39100000000002"/>
    <n v="414.51599999999996"/>
    <n v="211.78100000000001"/>
    <n v="312.31299999999999"/>
    <m/>
    <m/>
    <m/>
    <m/>
    <m/>
    <m/>
    <m/>
    <m/>
    <n v="349.57000000000005"/>
    <n v="418.27"/>
    <n v="209.13"/>
    <n v="319.01"/>
    <m/>
    <m/>
    <m/>
    <m/>
    <m/>
    <m/>
    <m/>
    <n v="1.2810009999999998"/>
    <n v="1.2959799999999999"/>
    <n v="1.4979000000000076E-2"/>
    <n v="1.0116931993027329"/>
    <n v="1.2810009999999998"/>
    <n v="1.2959799999999999"/>
  </r>
  <r>
    <x v="1"/>
    <x v="14"/>
    <x v="11"/>
    <n v="586.077"/>
    <n v="619.72500000000002"/>
    <n v="1026.577"/>
    <n v="686.64599999999996"/>
    <n v="625.90899999999999"/>
    <n v="434.76800000000003"/>
    <n v="108.69199999999999"/>
    <n v="108.69199999999999"/>
    <n v="434.76800000000003"/>
    <n v="108.69199999999999"/>
    <n v="108.69199999999999"/>
    <n v="434.76800000000003"/>
    <n v="577.41"/>
    <n v="632.72"/>
    <n v="1035.8699999999999"/>
    <n v="682.73"/>
    <n v="618.32000000000005"/>
    <n v="850.67"/>
    <n v="0"/>
    <n v="0"/>
    <n v="0"/>
    <n v="0"/>
    <n v="0"/>
    <n v="0"/>
    <n v="3.9797019999999996"/>
    <n v="4.3977200000000005"/>
    <n v="0.41801800000000089"/>
    <n v="1.1050375128590033"/>
    <n v="5.2840059999999998"/>
    <n v="4.3977200000000005"/>
  </r>
  <r>
    <x v="1"/>
    <x v="14"/>
    <x v="9"/>
    <n v="366.65199999999999"/>
    <n v="401.108"/>
    <n v="446.80499999999995"/>
    <n v="2600.9019999999996"/>
    <n v="1612.5619999999999"/>
    <n v="3962.6240000000003"/>
    <n v="3962.6240000000003"/>
    <n v="3962.6240000000003"/>
    <n v="3962.6240000000003"/>
    <n v="3962.6240000000007"/>
    <n v="3962.6240000000003"/>
    <n v="3962.6240000000003"/>
    <n v="361.23"/>
    <n v="409.52"/>
    <n v="450.84999999999997"/>
    <n v="2589.4699999999998"/>
    <n v="1603.8799999999999"/>
    <n v="951.9899999999999"/>
    <n v="0"/>
    <n v="0"/>
    <n v="0"/>
    <n v="0"/>
    <n v="0"/>
    <n v="0"/>
    <n v="9.3906530000000004"/>
    <n v="6.3669399999999996"/>
    <n v="-3.0237130000000008"/>
    <n v="0.67800822796881099"/>
    <n v="33.166397000000003"/>
    <n v="6.3669399999999996"/>
  </r>
  <r>
    <x v="1"/>
    <x v="14"/>
    <x v="16"/>
    <n v="0"/>
    <n v="0"/>
    <n v="0"/>
    <n v="0"/>
    <n v="0"/>
    <n v="164.34200000000001"/>
    <n v="164.34200000000001"/>
    <n v="164.34200000000001"/>
    <n v="164.34200000000001"/>
    <n v="164.34200000000001"/>
    <n v="164.34200000000001"/>
    <n v="164.34200000000001"/>
    <n v="0"/>
    <n v="0"/>
    <n v="0"/>
    <n v="0"/>
    <n v="0"/>
    <n v="0"/>
    <n v="0"/>
    <n v="0"/>
    <n v="0"/>
    <n v="0"/>
    <n v="0"/>
    <n v="0"/>
    <n v="0.16434200000000002"/>
    <n v="0"/>
    <n v="-0.16434200000000002"/>
    <n v="0"/>
    <n v="1.1503939999999999"/>
    <n v="0"/>
  </r>
  <r>
    <x v="1"/>
    <x v="14"/>
    <x v="12"/>
    <n v="399.35500000000002"/>
    <m/>
    <m/>
    <n v="694.07400000000007"/>
    <n v="862.42700000000002"/>
    <n v="0"/>
    <m/>
    <m/>
    <m/>
    <m/>
    <m/>
    <m/>
    <n v="393.45"/>
    <m/>
    <m/>
    <n v="688.18999999999994"/>
    <n v="866.81999999999994"/>
    <n v="476.15000000000003"/>
    <m/>
    <m/>
    <m/>
    <m/>
    <m/>
    <m/>
    <n v="1.9558560000000003"/>
    <n v="2.4246099999999995"/>
    <n v="0.46875399999999923"/>
    <n v="1.2396669284446293"/>
    <n v="1.9558560000000003"/>
    <n v="2.4246099999999995"/>
  </r>
  <r>
    <x v="1"/>
    <x v="14"/>
    <x v="14"/>
    <n v="0"/>
    <n v="0"/>
    <n v="0"/>
    <n v="0"/>
    <n v="0"/>
    <n v="929.96900000000005"/>
    <n v="929.96900000000005"/>
    <n v="929.96900000000005"/>
    <n v="929.96900000000005"/>
    <n v="929.96900000000005"/>
    <n v="929.96900000000005"/>
    <n v="929.96900000000005"/>
    <n v="0"/>
    <n v="0"/>
    <n v="0"/>
    <n v="0"/>
    <n v="0"/>
    <n v="0"/>
    <n v="0"/>
    <n v="0"/>
    <n v="0"/>
    <n v="0"/>
    <n v="0"/>
    <n v="0"/>
    <n v="0.92996900000000005"/>
    <n v="0"/>
    <n v="-0.92996900000000005"/>
    <n v="0"/>
    <n v="6.5097830000000005"/>
    <n v="0"/>
  </r>
  <r>
    <x v="1"/>
    <x v="58"/>
    <x v="15"/>
    <m/>
    <n v="231.935"/>
    <m/>
    <n v="1352.0159999999998"/>
    <n v="589.33600000000001"/>
    <n v="0"/>
    <m/>
    <m/>
    <m/>
    <m/>
    <m/>
    <m/>
    <m/>
    <n v="237.1"/>
    <m/>
    <n v="1341.74"/>
    <n v="592.81999999999994"/>
    <n v="428.34000000000003"/>
    <m/>
    <m/>
    <m/>
    <m/>
    <m/>
    <m/>
    <n v="2.1732869999999997"/>
    <n v="2.6"/>
    <n v="0.42671300000000034"/>
    <n v="1.196344523295819"/>
    <n v="2.1732869999999997"/>
    <n v="2.6"/>
  </r>
  <r>
    <x v="1"/>
    <x v="58"/>
    <x v="10"/>
    <m/>
    <n v="341.95600000000002"/>
    <m/>
    <n v="214.506"/>
    <n v="306.57100000000003"/>
    <m/>
    <m/>
    <m/>
    <m/>
    <m/>
    <m/>
    <m/>
    <m/>
    <n v="349.57000000000005"/>
    <m/>
    <n v="209.13"/>
    <n v="319.01"/>
    <m/>
    <m/>
    <m/>
    <m/>
    <m/>
    <m/>
    <m/>
    <n v="0.86303300000000005"/>
    <n v="0.87770999999999999"/>
    <n v="1.467699999999994E-2"/>
    <n v="1.0170063021923843"/>
    <n v="0.86303300000000005"/>
    <n v="0.87770999999999999"/>
  </r>
  <r>
    <x v="1"/>
    <x v="58"/>
    <x v="11"/>
    <n v="0"/>
    <n v="1075.6590000000001"/>
    <n v="134.13900000000001"/>
    <n v="3066.9230000000002"/>
    <n v="1411.761"/>
    <n v="841.81"/>
    <n v="841.81"/>
    <n v="841.81"/>
    <n v="836.08299999999997"/>
    <n v="836.08299999999997"/>
    <n v="836.08299999999997"/>
    <n v="836.08299999999997"/>
    <n v="0"/>
    <n v="1099.6100000000001"/>
    <n v="133.39000000000001"/>
    <n v="3059.3599999999997"/>
    <n v="1412.12"/>
    <n v="1204.4299999999998"/>
    <n v="0"/>
    <n v="0"/>
    <n v="0"/>
    <n v="0"/>
    <n v="0"/>
    <n v="0"/>
    <n v="6.5302919999999993"/>
    <n v="6.9089099999999997"/>
    <n v="0.37861800000000034"/>
    <n v="1.0579787243816969"/>
    <n v="11.558244"/>
    <n v="6.9089099999999997"/>
  </r>
  <r>
    <x v="1"/>
    <x v="58"/>
    <x v="9"/>
    <n v="0"/>
    <n v="335.20499999999998"/>
    <m/>
    <n v="2404.3599999999997"/>
    <n v="2032.6930000000002"/>
    <n v="888.42"/>
    <n v="888.42"/>
    <n v="888.42"/>
    <n v="882.37399999999991"/>
    <n v="882.37399999999991"/>
    <n v="882.37399999999991"/>
    <n v="882.37399999999991"/>
    <n v="0"/>
    <n v="342.67"/>
    <m/>
    <n v="2394.3599999999997"/>
    <n v="2048.8900000000003"/>
    <n v="255.78"/>
    <n v="0"/>
    <n v="0"/>
    <n v="0"/>
    <n v="0"/>
    <n v="0"/>
    <n v="0"/>
    <n v="5.6606779999999999"/>
    <n v="5.0416999999999996"/>
    <n v="-0.61897800000000025"/>
    <n v="0.89065302778218436"/>
    <n v="10.967013999999999"/>
    <n v="5.0416999999999996"/>
  </r>
  <r>
    <x v="1"/>
    <x v="58"/>
    <x v="17"/>
    <n v="0"/>
    <n v="555.24599999999998"/>
    <m/>
    <n v="1388.0320000000002"/>
    <n v="567.66999999999996"/>
    <n v="0"/>
    <m/>
    <m/>
    <m/>
    <m/>
    <m/>
    <m/>
    <n v="0"/>
    <n v="567.6099999999999"/>
    <m/>
    <n v="1385.7900000000002"/>
    <n v="566.54999999999995"/>
    <n v="647.07000000000005"/>
    <m/>
    <m/>
    <m/>
    <m/>
    <m/>
    <m/>
    <n v="2.5109480000000004"/>
    <n v="3.1670199999999999"/>
    <n v="0.65607199999999954"/>
    <n v="1.2612845825560703"/>
    <n v="2.5109480000000004"/>
    <n v="3.1670199999999999"/>
  </r>
  <r>
    <x v="1"/>
    <x v="58"/>
    <x v="16"/>
    <n v="0"/>
    <n v="406.47899999999998"/>
    <n v="0"/>
    <n v="641.94499999999994"/>
    <n v="595.91499999999996"/>
    <n v="0"/>
    <n v="0"/>
    <n v="0"/>
    <n v="0"/>
    <n v="0"/>
    <n v="0"/>
    <n v="0"/>
    <n v="0"/>
    <n v="415.53000000000003"/>
    <n v="0"/>
    <n v="634.97"/>
    <n v="601.46"/>
    <n v="445.99"/>
    <n v="0"/>
    <n v="0"/>
    <n v="0"/>
    <n v="0"/>
    <n v="0"/>
    <n v="0"/>
    <n v="1.644339"/>
    <n v="2.09795"/>
    <n v="0.45361099999999999"/>
    <n v="1.2758622157596458"/>
    <n v="1.644339"/>
    <n v="2.09795"/>
  </r>
  <r>
    <x v="1"/>
    <x v="58"/>
    <x v="12"/>
    <n v="61.866999999999997"/>
    <n v="1155.296"/>
    <m/>
    <n v="2712.2809999999999"/>
    <n v="1213.635"/>
    <n v="0"/>
    <m/>
    <m/>
    <m/>
    <m/>
    <m/>
    <m/>
    <n v="62.19"/>
    <n v="1181.02"/>
    <m/>
    <n v="2656.9"/>
    <n v="1211.24"/>
    <n v="1324.36"/>
    <m/>
    <m/>
    <m/>
    <m/>
    <m/>
    <m/>
    <n v="5.1430789999999993"/>
    <n v="6.4357100000000003"/>
    <n v="1.292631000000001"/>
    <n v="1.2513340743939576"/>
    <n v="5.1430789999999993"/>
    <n v="6.4357100000000003"/>
  </r>
  <r>
    <x v="1"/>
    <x v="58"/>
    <x v="14"/>
    <n v="0"/>
    <n v="150.25399999999999"/>
    <m/>
    <n v="846.12"/>
    <n v="285.09100000000001"/>
    <n v="903.40200000000004"/>
    <n v="903.40200000000004"/>
    <n v="903.40200000000004"/>
    <n v="897.255"/>
    <n v="897.255"/>
    <n v="897.255"/>
    <n v="897.255"/>
    <n v="0"/>
    <n v="153.6"/>
    <m/>
    <n v="846.76"/>
    <n v="290.26"/>
    <n v="171.43"/>
    <n v="0"/>
    <n v="0"/>
    <n v="0"/>
    <n v="0"/>
    <n v="0"/>
    <n v="0"/>
    <n v="2.1848670000000001"/>
    <n v="1.4620499999999998"/>
    <n v="-0.72281700000000026"/>
    <n v="0.66917116694059631"/>
    <n v="7.5806910000000007"/>
    <n v="1.4620499999999998"/>
  </r>
  <r>
    <x v="1"/>
    <x v="15"/>
    <x v="11"/>
    <n v="5000"/>
    <n v="5000"/>
    <n v="5000"/>
    <n v="5000"/>
    <n v="5000"/>
    <n v="5000"/>
    <n v="5000"/>
    <n v="5000"/>
    <n v="5000"/>
    <n v="5000"/>
    <n v="5000"/>
    <n v="5000"/>
    <n v="0"/>
    <n v="0"/>
    <n v="0"/>
    <n v="0"/>
    <n v="0"/>
    <n v="0"/>
    <n v="0"/>
    <n v="0"/>
    <n v="0"/>
    <n v="0"/>
    <n v="0"/>
    <n v="0"/>
    <n v="30"/>
    <n v="0"/>
    <n v="-30"/>
    <n v="0"/>
    <n v="60"/>
    <n v="0"/>
  </r>
  <r>
    <x v="1"/>
    <x v="15"/>
    <x v="19"/>
    <n v="4166.6670000000004"/>
    <n v="4166.6670000000004"/>
    <n v="4166.6670000000004"/>
    <n v="4166.6670000000004"/>
    <n v="4166.6670000000004"/>
    <n v="4166.6670000000004"/>
    <n v="4166.6670000000004"/>
    <n v="4166.6670000000004"/>
    <n v="4166.6670000000004"/>
    <n v="4166.6670000000004"/>
    <n v="4166.6670000000004"/>
    <n v="4166.6670000000004"/>
    <n v="0"/>
    <n v="0"/>
    <n v="0"/>
    <n v="0"/>
    <n v="0"/>
    <n v="0"/>
    <n v="0"/>
    <n v="0"/>
    <n v="0"/>
    <n v="0"/>
    <n v="0"/>
    <n v="0"/>
    <n v="25.000002000000006"/>
    <n v="0"/>
    <n v="-25.000002000000006"/>
    <n v="0"/>
    <n v="50.000004000000011"/>
    <n v="0"/>
  </r>
  <r>
    <x v="1"/>
    <x v="15"/>
    <x v="14"/>
    <n v="1666.6659999999999"/>
    <n v="1666.6659999999999"/>
    <n v="1666.6659999999999"/>
    <n v="1666.6659999999999"/>
    <n v="1666.6659999999999"/>
    <n v="1666.6659999999999"/>
    <n v="1666.6659999999999"/>
    <n v="1666.6659999999999"/>
    <n v="1666.6659999999999"/>
    <n v="1666.6659999999999"/>
    <n v="1666.6659999999999"/>
    <n v="1666.6659999999999"/>
    <n v="0"/>
    <n v="0"/>
    <n v="0"/>
    <n v="0"/>
    <n v="0"/>
    <n v="0"/>
    <n v="0"/>
    <n v="0"/>
    <n v="0"/>
    <n v="0"/>
    <n v="0"/>
    <n v="0"/>
    <n v="9.9999959999999994"/>
    <n v="0"/>
    <n v="-9.9999959999999994"/>
    <n v="0"/>
    <n v="19.999991999999999"/>
    <n v="0"/>
  </r>
  <r>
    <x v="1"/>
    <x v="59"/>
    <x v="15"/>
    <n v="0"/>
    <n v="0"/>
    <n v="0"/>
    <n v="0"/>
    <n v="0"/>
    <n v="379.43700000000001"/>
    <n v="379.43700000000001"/>
    <n v="379.43700000000001"/>
    <n v="379.43700000000001"/>
    <n v="379.43700000000001"/>
    <n v="379.43700000000001"/>
    <n v="379.43700000000001"/>
    <n v="0"/>
    <n v="0"/>
    <n v="0"/>
    <n v="0"/>
    <n v="0"/>
    <n v="0"/>
    <n v="0"/>
    <n v="0"/>
    <n v="0"/>
    <n v="0"/>
    <n v="0"/>
    <n v="0"/>
    <n v="0.37943700000000002"/>
    <n v="0"/>
    <n v="-0.37943700000000002"/>
    <n v="0"/>
    <n v="2.6560589999999999"/>
    <n v="0"/>
  </r>
  <r>
    <x v="1"/>
    <x v="59"/>
    <x v="11"/>
    <n v="21.917000000000002"/>
    <n v="0"/>
    <n v="0"/>
    <n v="0"/>
    <n v="0"/>
    <n v="951.12"/>
    <n v="951.12"/>
    <n v="951.12"/>
    <n v="951.12"/>
    <n v="951.12"/>
    <n v="951.12"/>
    <n v="951.12"/>
    <n v="21.92"/>
    <n v="0"/>
    <n v="0"/>
    <n v="0"/>
    <n v="0"/>
    <n v="0"/>
    <n v="0"/>
    <n v="0"/>
    <n v="0"/>
    <n v="0"/>
    <n v="0"/>
    <n v="0"/>
    <n v="0.97303700000000004"/>
    <n v="2.1920000000000002E-2"/>
    <n v="-0.95111699999999999"/>
    <n v="2.2527406460391537E-2"/>
    <n v="6.6797569999999995"/>
    <n v="2.1920000000000002E-2"/>
  </r>
  <r>
    <x v="1"/>
    <x v="59"/>
    <x v="9"/>
    <n v="0"/>
    <n v="967.93399999999997"/>
    <n v="0"/>
    <n v="6750.2520000000013"/>
    <n v="3377.1170000000002"/>
    <n v="1524.069"/>
    <n v="1524.069"/>
    <n v="1524.069"/>
    <n v="1524.069"/>
    <n v="1524.069"/>
    <n v="1524.069"/>
    <n v="1524.069"/>
    <n v="0"/>
    <n v="967.95"/>
    <n v="0"/>
    <n v="6714.2499999999991"/>
    <n v="3383.139999999999"/>
    <n v="-219.27999999999994"/>
    <n v="0"/>
    <n v="0"/>
    <n v="0"/>
    <n v="0"/>
    <n v="0"/>
    <n v="0"/>
    <n v="12.619372000000002"/>
    <n v="10.846059999999998"/>
    <n v="-1.7733120000000042"/>
    <n v="0.85947700091573465"/>
    <n v="21.763786"/>
    <n v="10.846059999999998"/>
  </r>
  <r>
    <x v="1"/>
    <x v="59"/>
    <x v="16"/>
    <n v="0"/>
    <n v="0"/>
    <n v="0"/>
    <n v="0"/>
    <n v="0"/>
    <n v="379.43700000000001"/>
    <n v="379.43700000000001"/>
    <n v="379.43700000000001"/>
    <n v="379.43700000000001"/>
    <n v="379.43700000000001"/>
    <n v="379.43700000000001"/>
    <n v="379.43700000000001"/>
    <n v="0"/>
    <n v="0"/>
    <n v="0"/>
    <n v="0"/>
    <n v="0"/>
    <n v="0"/>
    <n v="0"/>
    <n v="0"/>
    <n v="0"/>
    <n v="0"/>
    <n v="0"/>
    <n v="0"/>
    <n v="0.37943700000000002"/>
    <n v="0"/>
    <n v="-0.37943700000000002"/>
    <n v="0"/>
    <n v="2.6560589999999999"/>
    <n v="0"/>
  </r>
  <r>
    <x v="1"/>
    <x v="59"/>
    <x v="12"/>
    <m/>
    <n v="295.779"/>
    <m/>
    <n v="315.64499999999998"/>
    <n v="1059.7750000000001"/>
    <n v="0"/>
    <m/>
    <m/>
    <m/>
    <m/>
    <m/>
    <m/>
    <m/>
    <n v="295.77999999999997"/>
    <m/>
    <n v="317.41999999999996"/>
    <n v="1050.54"/>
    <n v="363.62"/>
    <m/>
    <m/>
    <m/>
    <m/>
    <m/>
    <m/>
    <n v="1.6711990000000001"/>
    <n v="2.0273599999999998"/>
    <n v="0.35616099999999973"/>
    <n v="1.2131170494956014"/>
    <n v="1.6711990000000001"/>
    <n v="2.0273599999999998"/>
  </r>
  <r>
    <x v="1"/>
    <x v="59"/>
    <x v="13"/>
    <m/>
    <n v="1087.171"/>
    <n v="564.91800000000001"/>
    <n v="1115.8710000000001"/>
    <n v="568.17200000000003"/>
    <n v="0"/>
    <n v="0"/>
    <m/>
    <m/>
    <m/>
    <m/>
    <m/>
    <m/>
    <n v="1079.28"/>
    <n v="561.25"/>
    <n v="1121.5100000000002"/>
    <n v="570.87"/>
    <n v="654.99"/>
    <n v="3097"/>
    <m/>
    <m/>
    <m/>
    <m/>
    <m/>
    <n v="3.3361320000000001"/>
    <n v="3.9878999999999998"/>
    <n v="0.65176799999999968"/>
    <n v="1.1953663703954158"/>
    <n v="3.3361320000000001"/>
    <n v="3.9878999999999998"/>
  </r>
  <r>
    <x v="1"/>
    <x v="59"/>
    <x v="14"/>
    <n v="0"/>
    <n v="783.94200000000001"/>
    <n v="0"/>
    <n v="3967.855"/>
    <n v="2246.8139999999999"/>
    <n v="379.43700000000001"/>
    <n v="379.43700000000001"/>
    <n v="379.43700000000001"/>
    <n v="379.43700000000001"/>
    <n v="379.43700000000001"/>
    <n v="379.43700000000001"/>
    <n v="379.43700000000001"/>
    <n v="0"/>
    <n v="783.93999999999994"/>
    <n v="0"/>
    <n v="3956.42"/>
    <n v="2243.46"/>
    <n v="1570"/>
    <n v="0"/>
    <n v="0"/>
    <n v="0"/>
    <n v="0"/>
    <n v="0"/>
    <n v="0"/>
    <n v="7.3780480000000006"/>
    <n v="8.55382"/>
    <n v="1.1757719999999994"/>
    <n v="1.1593608499158583"/>
    <n v="9.6546699999999994"/>
    <n v="8.55382"/>
  </r>
  <r>
    <x v="1"/>
    <x v="16"/>
    <x v="9"/>
    <m/>
    <m/>
    <m/>
    <n v="155.24"/>
    <m/>
    <m/>
    <m/>
    <m/>
    <m/>
    <m/>
    <m/>
    <m/>
    <m/>
    <m/>
    <m/>
    <n v="154.38"/>
    <m/>
    <m/>
    <m/>
    <m/>
    <m/>
    <m/>
    <m/>
    <m/>
    <n v="0.15524000000000002"/>
    <n v="0.15437999999999999"/>
    <n v="-8.6000000000002741E-4"/>
    <n v="0.99446019067250691"/>
    <n v="0.15524000000000002"/>
    <n v="0.15437999999999999"/>
  </r>
  <r>
    <x v="1"/>
    <x v="60"/>
    <x v="11"/>
    <m/>
    <m/>
    <m/>
    <n v="377.01400000000001"/>
    <m/>
    <m/>
    <m/>
    <m/>
    <m/>
    <m/>
    <m/>
    <m/>
    <m/>
    <m/>
    <m/>
    <n v="369.3"/>
    <m/>
    <m/>
    <m/>
    <m/>
    <m/>
    <m/>
    <m/>
    <m/>
    <n v="0.37701400000000002"/>
    <n v="0.36930000000000002"/>
    <n v="-7.7139999999999986E-3"/>
    <n v="0.97953922135517513"/>
    <n v="0.37701400000000002"/>
    <n v="0.36930000000000002"/>
  </r>
  <r>
    <x v="1"/>
    <x v="60"/>
    <x v="9"/>
    <n v="0"/>
    <n v="0"/>
    <n v="0"/>
    <n v="0"/>
    <n v="0"/>
    <m/>
    <m/>
    <m/>
    <m/>
    <m/>
    <m/>
    <m/>
    <n v="0"/>
    <n v="0"/>
    <n v="0"/>
    <n v="0"/>
    <n v="0"/>
    <m/>
    <m/>
    <m/>
    <m/>
    <m/>
    <m/>
    <m/>
    <n v="0"/>
    <n v="0"/>
    <n v="0"/>
    <n v="1.0000110000110001"/>
    <n v="0"/>
    <n v="0"/>
  </r>
  <r>
    <x v="1"/>
    <x v="60"/>
    <x v="14"/>
    <n v="0"/>
    <n v="0"/>
    <n v="0"/>
    <m/>
    <m/>
    <m/>
    <m/>
    <m/>
    <m/>
    <m/>
    <m/>
    <m/>
    <n v="0"/>
    <n v="0"/>
    <n v="0"/>
    <m/>
    <m/>
    <m/>
    <m/>
    <m/>
    <m/>
    <m/>
    <m/>
    <m/>
    <n v="0"/>
    <n v="0"/>
    <n v="0"/>
    <n v="1.0000110000110001"/>
    <n v="0"/>
    <n v="0"/>
  </r>
  <r>
    <x v="1"/>
    <x v="61"/>
    <x v="15"/>
    <n v="0"/>
    <n v="0"/>
    <n v="0"/>
    <n v="0"/>
    <n v="0"/>
    <n v="180.71299999999999"/>
    <m/>
    <m/>
    <m/>
    <m/>
    <m/>
    <m/>
    <n v="0"/>
    <n v="0"/>
    <n v="0"/>
    <n v="0"/>
    <n v="0"/>
    <n v="0"/>
    <m/>
    <m/>
    <m/>
    <m/>
    <m/>
    <m/>
    <n v="0.18071299999999998"/>
    <n v="0"/>
    <n v="-0.18071299999999998"/>
    <n v="0"/>
    <n v="0.18071299999999998"/>
    <n v="0"/>
  </r>
  <r>
    <x v="1"/>
    <x v="61"/>
    <x v="11"/>
    <n v="0"/>
    <n v="0"/>
    <n v="0"/>
    <n v="0"/>
    <n v="0"/>
    <n v="361.4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61425"/>
    <n v="0"/>
    <n v="-0.361425"/>
    <n v="0"/>
    <n v="0.361425"/>
    <n v="0"/>
  </r>
  <r>
    <x v="1"/>
    <x v="61"/>
    <x v="9"/>
    <n v="0"/>
    <n v="0"/>
    <n v="0"/>
    <n v="402.53700000000003"/>
    <n v="2160.645"/>
    <n v="524.06600000000003"/>
    <n v="0"/>
    <n v="0"/>
    <n v="0"/>
    <n v="0"/>
    <n v="0"/>
    <n v="0"/>
    <n v="0"/>
    <n v="0"/>
    <n v="0"/>
    <n v="410.26"/>
    <n v="2194.42"/>
    <n v="117.78"/>
    <n v="0"/>
    <n v="0"/>
    <n v="0"/>
    <n v="0"/>
    <n v="0"/>
    <n v="0"/>
    <n v="3.0872479999999998"/>
    <n v="2.7224600000000003"/>
    <n v="-0.36478799999999945"/>
    <n v="0.88184039636595457"/>
    <n v="3.0872479999999998"/>
    <n v="2.7224600000000003"/>
  </r>
  <r>
    <x v="1"/>
    <x v="61"/>
    <x v="16"/>
    <n v="0"/>
    <n v="0"/>
    <n v="0"/>
    <n v="0"/>
    <n v="0"/>
    <n v="180.712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71299999999998"/>
    <n v="0"/>
    <n v="-0.18071299999999998"/>
    <n v="0"/>
    <n v="0.18071299999999998"/>
    <n v="0"/>
  </r>
  <r>
    <x v="1"/>
    <x v="61"/>
    <x v="14"/>
    <n v="0"/>
    <n v="0"/>
    <n v="0"/>
    <n v="0"/>
    <n v="0"/>
    <n v="180.712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8071299999999998"/>
    <n v="0"/>
    <n v="-0.18071299999999998"/>
    <n v="0"/>
    <n v="0.18071299999999998"/>
    <n v="0"/>
  </r>
  <r>
    <x v="1"/>
    <x v="62"/>
    <x v="15"/>
    <n v="0"/>
    <n v="0"/>
    <n v="0"/>
    <n v="0"/>
    <n v="0"/>
    <n v="379.21199999999999"/>
    <n v="379.21199999999999"/>
    <n v="379.21199999999999"/>
    <n v="379.21199999999999"/>
    <n v="379.21199999999999"/>
    <n v="379.21199999999999"/>
    <m/>
    <n v="0"/>
    <n v="0"/>
    <n v="0"/>
    <n v="0"/>
    <n v="0"/>
    <n v="0"/>
    <n v="0"/>
    <n v="0"/>
    <n v="0"/>
    <n v="0"/>
    <n v="0"/>
    <m/>
    <n v="0.37921199999999999"/>
    <n v="0"/>
    <n v="-0.37921199999999999"/>
    <n v="0"/>
    <n v="2.2752719999999997"/>
    <n v="0"/>
  </r>
  <r>
    <x v="1"/>
    <x v="62"/>
    <x v="10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1"/>
    <x v="62"/>
    <x v="11"/>
    <n v="0"/>
    <n v="0"/>
    <n v="0"/>
    <n v="0"/>
    <n v="0"/>
    <n v="758.42199999999991"/>
    <n v="758.42199999999991"/>
    <n v="758.42199999999991"/>
    <n v="758.42199999999991"/>
    <n v="758.42199999999991"/>
    <n v="758.42199999999991"/>
    <m/>
    <n v="0"/>
    <n v="0"/>
    <n v="0"/>
    <n v="0"/>
    <n v="0"/>
    <n v="0"/>
    <n v="0"/>
    <n v="0"/>
    <n v="0"/>
    <n v="0"/>
    <n v="0"/>
    <m/>
    <n v="0.75842199999999993"/>
    <n v="0"/>
    <n v="-0.75842199999999993"/>
    <n v="0"/>
    <n v="4.5505319999999996"/>
    <n v="0"/>
  </r>
  <r>
    <x v="1"/>
    <x v="62"/>
    <x v="9"/>
    <n v="0"/>
    <n v="0"/>
    <n v="0"/>
    <n v="943.03499999999997"/>
    <n v="816.46500000000015"/>
    <n v="3144.768"/>
    <n v="3144.768"/>
    <n v="3144.768"/>
    <n v="3144.768"/>
    <n v="3144.768"/>
    <n v="3144.768"/>
    <m/>
    <n v="0"/>
    <n v="0"/>
    <n v="0"/>
    <n v="954.34"/>
    <n v="824.06999999999994"/>
    <n v="677.33"/>
    <n v="0"/>
    <n v="0"/>
    <n v="0"/>
    <n v="0"/>
    <n v="0"/>
    <m/>
    <n v="4.9042680000000001"/>
    <n v="2.4557399999999996"/>
    <n v="-2.4485280000000005"/>
    <n v="0.50073527792526829"/>
    <n v="20.628108000000001"/>
    <n v="2.4557399999999996"/>
  </r>
  <r>
    <x v="1"/>
    <x v="62"/>
    <x v="16"/>
    <n v="0"/>
    <n v="0"/>
    <n v="0"/>
    <n v="0"/>
    <n v="0"/>
    <n v="379.21199999999999"/>
    <n v="379.21199999999999"/>
    <n v="379.21199999999999"/>
    <n v="379.21199999999999"/>
    <n v="379.21199999999999"/>
    <n v="379.21199999999999"/>
    <m/>
    <n v="0"/>
    <n v="0"/>
    <n v="0"/>
    <n v="0"/>
    <n v="0"/>
    <n v="0"/>
    <n v="0"/>
    <n v="0"/>
    <n v="0"/>
    <n v="0"/>
    <n v="0"/>
    <m/>
    <n v="0.37921199999999999"/>
    <n v="0"/>
    <n v="-0.37921199999999999"/>
    <n v="0"/>
    <n v="2.2752719999999997"/>
    <n v="0"/>
  </r>
  <r>
    <x v="1"/>
    <x v="62"/>
    <x v="14"/>
    <n v="0"/>
    <n v="0"/>
    <n v="0"/>
    <n v="0"/>
    <n v="0"/>
    <n v="379.21199999999999"/>
    <n v="379.21199999999999"/>
    <n v="379.21199999999999"/>
    <n v="379.21199999999999"/>
    <n v="379.21199999999999"/>
    <n v="379.21199999999999"/>
    <m/>
    <n v="0"/>
    <n v="0"/>
    <n v="0"/>
    <n v="0"/>
    <n v="0"/>
    <n v="0"/>
    <n v="0"/>
    <n v="0"/>
    <n v="0"/>
    <n v="0"/>
    <n v="0"/>
    <m/>
    <n v="0.37921199999999999"/>
    <n v="0"/>
    <n v="-0.37921199999999999"/>
    <n v="0"/>
    <n v="2.2752719999999997"/>
    <n v="0"/>
  </r>
  <r>
    <x v="1"/>
    <x v="18"/>
    <x v="10"/>
    <m/>
    <m/>
    <m/>
    <n v="371.01400000000001"/>
    <n v="756.38699999999994"/>
    <n v="0"/>
    <m/>
    <m/>
    <m/>
    <m/>
    <m/>
    <m/>
    <m/>
    <m/>
    <m/>
    <n v="365.46999999999997"/>
    <n v="761.28"/>
    <n v="418.65"/>
    <m/>
    <m/>
    <m/>
    <m/>
    <m/>
    <m/>
    <n v="1.1274009999999999"/>
    <n v="1.5454000000000001"/>
    <n v="0.41799900000000023"/>
    <n v="1.3707633752320605"/>
    <n v="1.1274009999999999"/>
    <n v="1.5454000000000001"/>
  </r>
  <r>
    <x v="1"/>
    <x v="18"/>
    <x v="11"/>
    <m/>
    <m/>
    <m/>
    <m/>
    <m/>
    <n v="0"/>
    <m/>
    <m/>
    <m/>
    <m/>
    <m/>
    <m/>
    <m/>
    <m/>
    <m/>
    <m/>
    <m/>
    <n v="16.809999999999999"/>
    <m/>
    <m/>
    <m/>
    <m/>
    <m/>
    <m/>
    <n v="0"/>
    <n v="1.6809999999999999E-2"/>
    <n v="1.6809999999999999E-2"/>
    <n v="1.0000110000110001"/>
    <n v="0"/>
    <n v="1.6809999999999999E-2"/>
  </r>
  <r>
    <x v="1"/>
    <x v="18"/>
    <x v="20"/>
    <m/>
    <m/>
    <m/>
    <m/>
    <m/>
    <n v="0"/>
    <m/>
    <m/>
    <m/>
    <m/>
    <m/>
    <m/>
    <m/>
    <m/>
    <m/>
    <m/>
    <m/>
    <n v="0.1"/>
    <m/>
    <m/>
    <m/>
    <m/>
    <m/>
    <m/>
    <n v="0"/>
    <n v="1E-4"/>
    <n v="1E-4"/>
    <n v="1.0000110000110001"/>
    <n v="0"/>
    <n v="1E-4"/>
  </r>
  <r>
    <x v="1"/>
    <x v="18"/>
    <x v="9"/>
    <m/>
    <n v="0"/>
    <n v="0"/>
    <n v="2392.7589999999996"/>
    <n v="871.70800000000008"/>
    <n v="420.50600000000003"/>
    <n v="420.50600000000003"/>
    <n v="420.50600000000003"/>
    <n v="420.50600000000003"/>
    <n v="420.50600000000003"/>
    <n v="420.50600000000003"/>
    <n v="420.50600000000003"/>
    <m/>
    <n v="0"/>
    <n v="0"/>
    <n v="2418.7300000000005"/>
    <n v="877.93999999999994"/>
    <n v="2592.7599999999998"/>
    <n v="0"/>
    <n v="0"/>
    <n v="0"/>
    <n v="0"/>
    <n v="0"/>
    <n v="0"/>
    <n v="3.6849729999999994"/>
    <n v="5.8894299999999999"/>
    <n v="2.2044570000000006"/>
    <n v="1.5982288065611339"/>
    <n v="6.2080090000000006"/>
    <n v="5.8894299999999999"/>
  </r>
  <r>
    <x v="1"/>
    <x v="18"/>
    <x v="16"/>
    <m/>
    <m/>
    <m/>
    <m/>
    <m/>
    <n v="0"/>
    <m/>
    <m/>
    <m/>
    <m/>
    <m/>
    <m/>
    <m/>
    <m/>
    <m/>
    <m/>
    <m/>
    <n v="305.52999999999997"/>
    <m/>
    <m/>
    <m/>
    <m/>
    <m/>
    <m/>
    <n v="0"/>
    <n v="0.30552999999999997"/>
    <n v="0.30552999999999997"/>
    <n v="1.0000110000110001"/>
    <n v="0"/>
    <n v="0.30552999999999997"/>
  </r>
  <r>
    <x v="1"/>
    <x v="18"/>
    <x v="14"/>
    <m/>
    <n v="0"/>
    <n v="0"/>
    <n v="0"/>
    <n v="0"/>
    <n v="142.32999999999998"/>
    <n v="142.32999999999998"/>
    <n v="142.32999999999998"/>
    <n v="142.32999999999998"/>
    <n v="142.32999999999998"/>
    <n v="142.32999999999998"/>
    <n v="142.32999999999998"/>
    <m/>
    <n v="0"/>
    <n v="0"/>
    <n v="0"/>
    <n v="0"/>
    <n v="0"/>
    <n v="0"/>
    <n v="0"/>
    <n v="0"/>
    <n v="0"/>
    <n v="0"/>
    <n v="0"/>
    <n v="0.14232999999999998"/>
    <n v="0"/>
    <n v="-0.14232999999999998"/>
    <n v="0"/>
    <n v="0.9963099999999997"/>
    <n v="0"/>
  </r>
  <r>
    <x v="1"/>
    <x v="63"/>
    <x v="15"/>
    <m/>
    <m/>
    <m/>
    <m/>
    <n v="0"/>
    <n v="317.27199999999999"/>
    <n v="317.27199999999999"/>
    <n v="317.27199999999999"/>
    <n v="317.27199999999999"/>
    <n v="317.27199999999999"/>
    <n v="317.27199999999999"/>
    <n v="317.27199999999999"/>
    <m/>
    <m/>
    <m/>
    <m/>
    <n v="0"/>
    <n v="0"/>
    <n v="0"/>
    <n v="0"/>
    <n v="0"/>
    <n v="0"/>
    <n v="0"/>
    <n v="0"/>
    <n v="0.317272"/>
    <n v="0"/>
    <n v="-0.317272"/>
    <n v="0"/>
    <n v="2.220904"/>
    <n v="0"/>
  </r>
  <r>
    <x v="1"/>
    <x v="63"/>
    <x v="10"/>
    <m/>
    <n v="11.282"/>
    <m/>
    <n v="5782.4629999999997"/>
    <n v="7304.4070000000002"/>
    <n v="0"/>
    <m/>
    <m/>
    <m/>
    <m/>
    <m/>
    <m/>
    <m/>
    <n v="11.27"/>
    <m/>
    <n v="5780.6100000000006"/>
    <n v="7346.72"/>
    <n v="3240.7799999999997"/>
    <m/>
    <m/>
    <m/>
    <m/>
    <m/>
    <m/>
    <n v="13.098152000000001"/>
    <n v="16.379380000000001"/>
    <n v="3.2812280000000005"/>
    <n v="1.2505107590750206"/>
    <n v="13.098152000000001"/>
    <n v="16.379380000000001"/>
  </r>
  <r>
    <x v="1"/>
    <x v="63"/>
    <x v="11"/>
    <m/>
    <n v="129.51599999999999"/>
    <m/>
    <n v="0"/>
    <n v="455.62299999999999"/>
    <n v="510.09000000000003"/>
    <n v="510.09000000000003"/>
    <n v="510.09000000000003"/>
    <n v="510.09000000000003"/>
    <n v="510.09000000000003"/>
    <n v="510.09000000000003"/>
    <n v="510.09000000000003"/>
    <m/>
    <n v="133.21"/>
    <m/>
    <n v="0"/>
    <n v="450.1"/>
    <n v="1396.74"/>
    <n v="0"/>
    <n v="0"/>
    <n v="0"/>
    <n v="0"/>
    <n v="0"/>
    <n v="0"/>
    <n v="1.095229"/>
    <n v="1.9800500000000001"/>
    <n v="0.88482100000000008"/>
    <n v="1.8078867524508573"/>
    <n v="4.1557690000000003"/>
    <n v="1.9800500000000001"/>
  </r>
  <r>
    <x v="1"/>
    <x v="63"/>
    <x v="9"/>
    <m/>
    <n v="5.2720000000000002"/>
    <m/>
    <n v="322.536"/>
    <n v="1068.5450000000001"/>
    <n v="836.29899999999998"/>
    <n v="836.29899999999998"/>
    <n v="836.29899999999998"/>
    <n v="836.29899999999998"/>
    <n v="836.29899999999998"/>
    <n v="836.29899999999998"/>
    <n v="836.29899999999998"/>
    <m/>
    <n v="5.45"/>
    <m/>
    <n v="321.45"/>
    <n v="1063.96"/>
    <n v="866.18000000000006"/>
    <n v="0"/>
    <n v="0"/>
    <n v="0"/>
    <n v="0"/>
    <n v="0"/>
    <n v="0"/>
    <n v="2.2326519999999999"/>
    <n v="2.2570399999999999"/>
    <n v="2.4388000000000076E-2"/>
    <n v="1.0109233324315656"/>
    <n v="7.2504460000000002"/>
    <n v="2.2570399999999999"/>
  </r>
  <r>
    <x v="1"/>
    <x v="63"/>
    <x v="17"/>
    <m/>
    <m/>
    <m/>
    <n v="0"/>
    <n v="0"/>
    <n v="118.761"/>
    <n v="118.761"/>
    <n v="118.761"/>
    <n v="118.761"/>
    <n v="118.761"/>
    <n v="118.761"/>
    <n v="118.761"/>
    <m/>
    <m/>
    <m/>
    <n v="0"/>
    <n v="0"/>
    <n v="0"/>
    <n v="0"/>
    <n v="0"/>
    <n v="0"/>
    <n v="0"/>
    <n v="0"/>
    <n v="0"/>
    <n v="0.11876099999999999"/>
    <n v="0"/>
    <n v="-0.11876099999999999"/>
    <n v="0"/>
    <n v="0.83132699999999993"/>
    <n v="0"/>
  </r>
  <r>
    <x v="1"/>
    <x v="63"/>
    <x v="16"/>
    <m/>
    <m/>
    <m/>
    <n v="0"/>
    <n v="0"/>
    <n v="118.761"/>
    <n v="118.761"/>
    <n v="118.761"/>
    <n v="118.761"/>
    <n v="118.761"/>
    <n v="118.761"/>
    <n v="118.761"/>
    <m/>
    <m/>
    <m/>
    <n v="0"/>
    <n v="0"/>
    <n v="0"/>
    <n v="0"/>
    <n v="0"/>
    <n v="0"/>
    <n v="0"/>
    <n v="0"/>
    <n v="0"/>
    <n v="0.11876099999999999"/>
    <n v="0"/>
    <n v="-0.11876099999999999"/>
    <n v="0"/>
    <n v="0.83132699999999993"/>
    <n v="0"/>
  </r>
  <r>
    <x v="1"/>
    <x v="63"/>
    <x v="12"/>
    <m/>
    <m/>
    <m/>
    <m/>
    <m/>
    <n v="0"/>
    <m/>
    <m/>
    <m/>
    <m/>
    <m/>
    <m/>
    <m/>
    <m/>
    <m/>
    <m/>
    <m/>
    <n v="428.56000000000006"/>
    <m/>
    <m/>
    <m/>
    <m/>
    <m/>
    <m/>
    <n v="0"/>
    <n v="0.42856000000000005"/>
    <n v="0.42856000000000005"/>
    <n v="1.0000110000110001"/>
    <n v="0"/>
    <n v="0.42856000000000005"/>
  </r>
  <r>
    <x v="1"/>
    <x v="63"/>
    <x v="14"/>
    <m/>
    <m/>
    <m/>
    <n v="480.16899999999998"/>
    <n v="616.94899999999996"/>
    <n v="475.04300000000001"/>
    <n v="475.04300000000001"/>
    <n v="475.04300000000001"/>
    <n v="475.04300000000001"/>
    <n v="475.04300000000001"/>
    <n v="475.04300000000001"/>
    <n v="475.04300000000001"/>
    <m/>
    <m/>
    <m/>
    <n v="477.43"/>
    <n v="620.34"/>
    <n v="2042.3600000000001"/>
    <n v="0"/>
    <n v="0"/>
    <n v="0"/>
    <n v="0"/>
    <n v="0"/>
    <n v="0"/>
    <n v="1.5721610000000001"/>
    <n v="3.1401300000000001"/>
    <n v="1.5679689999999999"/>
    <n v="1.9973336064181721"/>
    <n v="4.4224190000000005"/>
    <n v="3.1401300000000001"/>
  </r>
  <r>
    <x v="1"/>
    <x v="64"/>
    <x v="10"/>
    <m/>
    <m/>
    <m/>
    <n v="456.84"/>
    <n v="1932.67"/>
    <n v="0"/>
    <m/>
    <m/>
    <m/>
    <m/>
    <m/>
    <m/>
    <m/>
    <m/>
    <m/>
    <n v="456.84000000000003"/>
    <n v="1932.67"/>
    <n v="1635.5500000000002"/>
    <m/>
    <m/>
    <m/>
    <m/>
    <m/>
    <m/>
    <n v="2.38951"/>
    <n v="4.0250600000000007"/>
    <n v="1.6355500000000007"/>
    <n v="1.6844708747818593"/>
    <n v="2.38951"/>
    <n v="4.0250600000000007"/>
  </r>
  <r>
    <x v="1"/>
    <x v="64"/>
    <x v="11"/>
    <n v="0"/>
    <n v="0"/>
    <n v="0"/>
    <n v="0"/>
    <n v="10486.585999999999"/>
    <n v="9833.4360000000015"/>
    <n v="9833.4360000000015"/>
    <n v="9833.4360000000015"/>
    <n v="9833.4360000000015"/>
    <n v="9833.4360000000015"/>
    <n v="9833.4360000000015"/>
    <m/>
    <n v="0"/>
    <n v="0"/>
    <n v="0"/>
    <n v="0"/>
    <n v="653.15"/>
    <n v="652.73"/>
    <n v="0"/>
    <n v="0"/>
    <n v="0"/>
    <n v="0"/>
    <n v="0"/>
    <m/>
    <n v="20.320022000000002"/>
    <n v="1.3058800000000002"/>
    <n v="-19.014142"/>
    <n v="6.4265678452513492E-2"/>
    <n v="69.487202000000011"/>
    <n v="1.3058800000000002"/>
  </r>
  <r>
    <x v="1"/>
    <x v="64"/>
    <x v="20"/>
    <n v="26.3"/>
    <m/>
    <m/>
    <m/>
    <m/>
    <m/>
    <m/>
    <m/>
    <m/>
    <m/>
    <m/>
    <m/>
    <n v="26.3"/>
    <m/>
    <m/>
    <m/>
    <m/>
    <m/>
    <m/>
    <m/>
    <m/>
    <m/>
    <m/>
    <m/>
    <n v="2.63E-2"/>
    <n v="2.63E-2"/>
    <n v="0"/>
    <n v="1"/>
    <n v="2.63E-2"/>
    <n v="2.63E-2"/>
  </r>
  <r>
    <x v="1"/>
    <x v="64"/>
    <x v="9"/>
    <n v="0"/>
    <n v="0"/>
    <n v="0"/>
    <n v="7350.09"/>
    <n v="22327.33"/>
    <n v="11725"/>
    <n v="11725"/>
    <n v="11725"/>
    <n v="11725"/>
    <n v="11725"/>
    <n v="11725"/>
    <m/>
    <n v="0"/>
    <n v="0"/>
    <n v="0"/>
    <n v="7350.0899999999983"/>
    <n v="10622.67"/>
    <n v="7415.8599999999988"/>
    <n v="0"/>
    <n v="0"/>
    <n v="0"/>
    <n v="0"/>
    <n v="0"/>
    <m/>
    <n v="41.402419999999999"/>
    <n v="25.388619999999996"/>
    <n v="-16.013800000000003"/>
    <n v="0.6132158458370307"/>
    <n v="100.02741999999999"/>
    <n v="25.388619999999996"/>
  </r>
  <r>
    <x v="1"/>
    <x v="64"/>
    <x v="17"/>
    <n v="0"/>
    <n v="0"/>
    <m/>
    <m/>
    <n v="1523.5619999999999"/>
    <n v="1523.5619999999999"/>
    <n v="1523.5619999999999"/>
    <n v="1523.5619999999999"/>
    <n v="1523.5619999999999"/>
    <n v="1523.5619999999999"/>
    <n v="1523.5619999999999"/>
    <m/>
    <n v="0"/>
    <n v="0"/>
    <m/>
    <m/>
    <n v="0"/>
    <n v="0"/>
    <n v="0"/>
    <n v="0"/>
    <n v="0"/>
    <n v="0"/>
    <n v="0"/>
    <m/>
    <n v="3.0471239999999997"/>
    <n v="0"/>
    <n v="-3.0471239999999997"/>
    <n v="0"/>
    <n v="10.664933999999999"/>
    <n v="0"/>
  </r>
  <r>
    <x v="1"/>
    <x v="64"/>
    <x v="16"/>
    <n v="132.21"/>
    <n v="0"/>
    <m/>
    <n v="266.02999999999997"/>
    <n v="3455.9780000000001"/>
    <n v="2468.6880000000001"/>
    <n v="2468.6880000000001"/>
    <n v="2468.6880000000001"/>
    <n v="2468.6880000000001"/>
    <n v="2468.6880000000001"/>
    <n v="2468.6880000000001"/>
    <m/>
    <n v="132.21"/>
    <n v="0"/>
    <m/>
    <n v="266.02999999999997"/>
    <n v="987.29"/>
    <n v="1175.7"/>
    <n v="0"/>
    <n v="0"/>
    <n v="0"/>
    <n v="0"/>
    <n v="0"/>
    <m/>
    <n v="6.3229059999999997"/>
    <n v="2.5612300000000001"/>
    <n v="-3.7616759999999996"/>
    <n v="0.40507165534328682"/>
    <n v="18.666346000000001"/>
    <n v="2.5612300000000001"/>
  </r>
  <r>
    <x v="1"/>
    <x v="64"/>
    <x v="14"/>
    <n v="0"/>
    <n v="0"/>
    <m/>
    <n v="2265.21"/>
    <n v="19291.304"/>
    <n v="10546.154"/>
    <n v="10546.154"/>
    <n v="10546.154"/>
    <n v="10546.154"/>
    <n v="10546.154"/>
    <n v="10546.154"/>
    <m/>
    <n v="0"/>
    <n v="0"/>
    <m/>
    <n v="2265.21"/>
    <n v="8745.15"/>
    <n v="4354.24"/>
    <n v="0"/>
    <n v="0"/>
    <n v="0"/>
    <n v="0"/>
    <n v="0"/>
    <m/>
    <n v="32.102668000000001"/>
    <n v="15.364600000000001"/>
    <n v="-16.738067999999998"/>
    <n v="0.47860819543098415"/>
    <n v="84.833438000000001"/>
    <n v="15.364600000000001"/>
  </r>
  <r>
    <x v="1"/>
    <x v="19"/>
    <x v="11"/>
    <m/>
    <n v="207.48"/>
    <m/>
    <m/>
    <m/>
    <m/>
    <m/>
    <m/>
    <m/>
    <m/>
    <m/>
    <m/>
    <m/>
    <n v="211.82999999999998"/>
    <m/>
    <m/>
    <m/>
    <m/>
    <m/>
    <m/>
    <m/>
    <m/>
    <m/>
    <m/>
    <n v="0.20748"/>
    <n v="0.21182999999999999"/>
    <n v="4.3499999999999928E-3"/>
    <n v="1.0209658762290341"/>
    <n v="0.20748"/>
    <n v="0.21182999999999999"/>
  </r>
  <r>
    <x v="1"/>
    <x v="19"/>
    <x v="9"/>
    <n v="428.21800000000002"/>
    <n v="-122.785"/>
    <n v="973.48899999999992"/>
    <n v="1471.924"/>
    <n v="2274.5500000000002"/>
    <n v="414.27000000000004"/>
    <n v="414.27000000000004"/>
    <n v="414.27000000000004"/>
    <n v="414.27000000000004"/>
    <n v="414.27000000000004"/>
    <n v="414.27000000000004"/>
    <n v="414.27000000000004"/>
    <n v="0"/>
    <n v="-526.1400000000001"/>
    <n v="564.28"/>
    <n v="1062.47"/>
    <n v="1840.7000000000005"/>
    <n v="700.64"/>
    <n v="0"/>
    <n v="0"/>
    <n v="0"/>
    <n v="0"/>
    <n v="0"/>
    <n v="0"/>
    <n v="5.4396660000000008"/>
    <n v="3.6419500000000005"/>
    <n v="-1.7977160000000003"/>
    <n v="0.66951720932866099"/>
    <n v="7.9252860000000034"/>
    <n v="3.6419500000000005"/>
  </r>
  <r>
    <x v="1"/>
    <x v="19"/>
    <x v="13"/>
    <m/>
    <n v="1058.454"/>
    <n v="855.1389999999999"/>
    <n v="1129.8340000000001"/>
    <n v="355.36"/>
    <n v="0"/>
    <m/>
    <m/>
    <m/>
    <m/>
    <m/>
    <m/>
    <m/>
    <n v="1079.28"/>
    <n v="861.25"/>
    <n v="1121.97"/>
    <n v="357.13"/>
    <n v="8.77"/>
    <m/>
    <m/>
    <m/>
    <m/>
    <m/>
    <m/>
    <n v="3.398787"/>
    <n v="3.4283999999999999"/>
    <n v="2.9612999999999889E-2"/>
    <n v="1.0087128143069866"/>
    <n v="3.398787"/>
    <n v="3.4283999999999999"/>
  </r>
  <r>
    <x v="1"/>
    <x v="19"/>
    <x v="14"/>
    <n v="338.06600000000003"/>
    <n v="327.05399999999997"/>
    <n v="327.05399999999997"/>
    <n v="327.05399999999997"/>
    <n v="327.05399999999997"/>
    <n v="327.05399999999997"/>
    <n v="327.05399999999997"/>
    <n v="327.05399999999997"/>
    <n v="327.05399999999997"/>
    <n v="327.05399999999997"/>
    <n v="327.05399999999997"/>
    <n v="327.05399999999997"/>
    <n v="0"/>
    <n v="0"/>
    <n v="0"/>
    <n v="0"/>
    <n v="0"/>
    <n v="0"/>
    <n v="0"/>
    <n v="0"/>
    <n v="0"/>
    <n v="0"/>
    <n v="0"/>
    <n v="0"/>
    <n v="1.9733360000000002"/>
    <n v="0"/>
    <n v="-1.9733360000000002"/>
    <n v="0"/>
    <n v="3.9356600000000008"/>
    <n v="0"/>
  </r>
  <r>
    <x v="1"/>
    <x v="65"/>
    <x v="9"/>
    <m/>
    <m/>
    <n v="2673.3850000000002"/>
    <m/>
    <m/>
    <m/>
    <m/>
    <m/>
    <m/>
    <m/>
    <m/>
    <m/>
    <m/>
    <m/>
    <n v="2756.69"/>
    <m/>
    <m/>
    <m/>
    <m/>
    <m/>
    <m/>
    <m/>
    <m/>
    <m/>
    <n v="2.6733850000000001"/>
    <n v="2.7566899999999999"/>
    <n v="8.330499999999974E-2"/>
    <n v="1.0311608690854477"/>
    <n v="2.6733850000000001"/>
    <n v="2.7566899999999999"/>
  </r>
  <r>
    <x v="1"/>
    <x v="66"/>
    <x v="9"/>
    <m/>
    <m/>
    <n v="-270.34500000000003"/>
    <m/>
    <n v="40.877999999999993"/>
    <m/>
    <m/>
    <m/>
    <m/>
    <m/>
    <m/>
    <m/>
    <m/>
    <m/>
    <n v="-263.09000000000003"/>
    <m/>
    <n v="42.73"/>
    <m/>
    <m/>
    <m/>
    <m/>
    <m/>
    <m/>
    <m/>
    <n v="-0.22946700000000003"/>
    <n v="-0.22036000000000006"/>
    <n v="9.1069999999999762E-3"/>
    <n v="0.96031237607150499"/>
    <n v="-0.22946700000000003"/>
    <n v="-0.22036000000000006"/>
  </r>
  <r>
    <x v="1"/>
    <x v="67"/>
    <x v="11"/>
    <n v="586.077"/>
    <n v="619.72500000000002"/>
    <n v="704.59199999999998"/>
    <n v="620.01599999999996"/>
    <n v="625.90899999999999"/>
    <n v="0"/>
    <m/>
    <m/>
    <m/>
    <m/>
    <m/>
    <m/>
    <n v="577.41"/>
    <n v="632.72"/>
    <n v="710.97"/>
    <n v="616.48"/>
    <n v="618.32000000000005"/>
    <n v="811.17"/>
    <m/>
    <m/>
    <m/>
    <m/>
    <m/>
    <m/>
    <n v="3.1563190000000003"/>
    <n v="3.9670700000000001"/>
    <n v="0.81075099999999978"/>
    <n v="1.2568659885138351"/>
    <n v="3.1563190000000003"/>
    <n v="3.9670700000000001"/>
  </r>
  <r>
    <x v="1"/>
    <x v="67"/>
    <x v="9"/>
    <n v="263.81099999999998"/>
    <n v="277.32499999999999"/>
    <n v="318.38900000000001"/>
    <n v="3092.712"/>
    <n v="1849.5650000000003"/>
    <n v="3536.4400000000005"/>
    <n v="3536.4400000000005"/>
    <n v="3536.4400000000005"/>
    <n v="3536.44"/>
    <n v="3536.4400000000005"/>
    <n v="3536.4400000000005"/>
    <n v="3536.4400000000005"/>
    <n v="259.90999999999997"/>
    <n v="283.14"/>
    <n v="321.27"/>
    <n v="3093.41"/>
    <n v="1865.93"/>
    <n v="851.21"/>
    <n v="0"/>
    <n v="0"/>
    <n v="0"/>
    <n v="0"/>
    <n v="0"/>
    <n v="0"/>
    <n v="9.3382420000000028"/>
    <n v="6.6748700000000003"/>
    <n v="-2.6633720000000025"/>
    <n v="0.71478871504936348"/>
    <n v="30.556882000000005"/>
    <n v="6.6748700000000003"/>
  </r>
  <r>
    <x v="1"/>
    <x v="67"/>
    <x v="12"/>
    <m/>
    <n v="311.18400000000003"/>
    <n v="307.41800000000001"/>
    <n v="462.71100000000001"/>
    <n v="574.93100000000004"/>
    <n v="0"/>
    <m/>
    <m/>
    <m/>
    <m/>
    <m/>
    <m/>
    <m/>
    <n v="317.70999999999998"/>
    <n v="310.2"/>
    <n v="458.78999999999996"/>
    <n v="577.86"/>
    <n v="317.43"/>
    <m/>
    <m/>
    <m/>
    <m/>
    <m/>
    <m/>
    <n v="1.656244"/>
    <n v="1.9819899999999999"/>
    <n v="0.32574599999999987"/>
    <n v="1.1966775426809093"/>
    <n v="1.656244"/>
    <n v="1.9819899999999999"/>
  </r>
  <r>
    <x v="1"/>
    <x v="67"/>
    <x v="14"/>
    <n v="0"/>
    <n v="0"/>
    <n v="0"/>
    <n v="1091.9839999999999"/>
    <n v="308.58199999999999"/>
    <n v="759.14200000000005"/>
    <n v="759.14200000000005"/>
    <n v="759.14200000000005"/>
    <n v="759.14200000000005"/>
    <n v="759.14200000000005"/>
    <n v="759.14200000000005"/>
    <n v="759.14200000000005"/>
    <n v="0"/>
    <n v="0"/>
    <n v="0"/>
    <n v="1096.5700000000002"/>
    <n v="304.84000000000003"/>
    <n v="304.64000000000004"/>
    <n v="0"/>
    <n v="0"/>
    <n v="0"/>
    <n v="0"/>
    <n v="0"/>
    <n v="0"/>
    <n v="2.1597079999999997"/>
    <n v="1.7060500000000005"/>
    <n v="-0.45365799999999923"/>
    <n v="0.78994475179052015"/>
    <n v="6.7145599999999988"/>
    <n v="1.7060500000000005"/>
  </r>
  <r>
    <x v="1"/>
    <x v="20"/>
    <x v="15"/>
    <n v="0"/>
    <n v="0"/>
    <n v="0"/>
    <n v="2321.1120000000001"/>
    <n v="1583.3340000000001"/>
    <n v="535.10300000000007"/>
    <n v="535.10300000000007"/>
    <n v="535.10300000000007"/>
    <n v="535.10300000000007"/>
    <n v="535.10300000000007"/>
    <n v="535.10300000000007"/>
    <n v="535.10300000000007"/>
    <n v="0"/>
    <n v="0"/>
    <n v="0"/>
    <n v="2306.7599999999998"/>
    <n v="1578.99"/>
    <n v="1348.46"/>
    <n v="0"/>
    <n v="0"/>
    <n v="0"/>
    <n v="0"/>
    <n v="0"/>
    <n v="0"/>
    <n v="4.4395490000000004"/>
    <n v="5.23421"/>
    <n v="0.79466099999999962"/>
    <n v="1.1789958844918706"/>
    <n v="7.6501670000000006"/>
    <n v="5.23421"/>
  </r>
  <r>
    <x v="1"/>
    <x v="20"/>
    <x v="11"/>
    <n v="22.581"/>
    <n v="0"/>
    <n v="0"/>
    <n v="0"/>
    <n v="0"/>
    <n v="1070.2049999999999"/>
    <n v="1070.2049999999999"/>
    <n v="1070.2049999999999"/>
    <n v="1070.2049999999999"/>
    <n v="1070.2049999999999"/>
    <n v="1070.2049999999999"/>
    <n v="1070.2049999999999"/>
    <n v="22.58"/>
    <n v="0"/>
    <n v="0"/>
    <n v="0"/>
    <n v="0"/>
    <n v="16"/>
    <n v="0"/>
    <n v="0"/>
    <n v="0"/>
    <n v="0"/>
    <n v="0"/>
    <n v="0"/>
    <n v="1.0927859999999998"/>
    <n v="3.8579999999999996E-2"/>
    <n v="-1.0542059999999998"/>
    <n v="3.5304259022352048E-2"/>
    <n v="7.5140159999999998"/>
    <n v="3.8579999999999996E-2"/>
  </r>
  <r>
    <x v="1"/>
    <x v="20"/>
    <x v="9"/>
    <n v="0"/>
    <n v="1783.3309999999999"/>
    <n v="0"/>
    <n v="7419.3579999999993"/>
    <n v="3985.4879999999998"/>
    <n v="722.3889999999999"/>
    <n v="722.3889999999999"/>
    <n v="722.3889999999999"/>
    <n v="722.3889999999999"/>
    <n v="722.3889999999999"/>
    <n v="722.3889999999999"/>
    <n v="722.3889999999999"/>
    <n v="0"/>
    <n v="1783.3200000000002"/>
    <n v="0"/>
    <n v="7364.11"/>
    <n v="3990.07"/>
    <n v="1413.32"/>
    <n v="0"/>
    <n v="0"/>
    <n v="0"/>
    <n v="0"/>
    <n v="0"/>
    <n v="0"/>
    <n v="13.910565999999998"/>
    <n v="14.55082"/>
    <n v="0.64025400000000232"/>
    <n v="1.0460264521227967"/>
    <n v="18.244899999999994"/>
    <n v="14.55082"/>
  </r>
  <r>
    <x v="1"/>
    <x v="20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20"/>
    <x v="16"/>
    <n v="0"/>
    <n v="0"/>
    <n v="0"/>
    <n v="0"/>
    <n v="0"/>
    <n v="535.10300000000007"/>
    <n v="535.10300000000007"/>
    <n v="535.10300000000007"/>
    <n v="535.10300000000007"/>
    <n v="535.10300000000007"/>
    <n v="535.10300000000007"/>
    <n v="535.10300000000007"/>
    <n v="0"/>
    <n v="0"/>
    <n v="0"/>
    <n v="0"/>
    <n v="0"/>
    <n v="0"/>
    <n v="0"/>
    <n v="0"/>
    <n v="0"/>
    <n v="0"/>
    <n v="0"/>
    <n v="0"/>
    <n v="0.53510300000000011"/>
    <n v="0"/>
    <n v="-0.53510300000000011"/>
    <n v="0"/>
    <n v="3.7457210000000005"/>
    <n v="0"/>
  </r>
  <r>
    <x v="1"/>
    <x v="20"/>
    <x v="12"/>
    <m/>
    <n v="304.755"/>
    <m/>
    <n v="450.93299999999999"/>
    <n v="1513.953"/>
    <n v="0"/>
    <m/>
    <m/>
    <m/>
    <m/>
    <m/>
    <m/>
    <m/>
    <n v="304.76"/>
    <m/>
    <n v="453.46"/>
    <n v="1500.78"/>
    <n v="155.82999999999998"/>
    <m/>
    <m/>
    <m/>
    <m/>
    <m/>
    <m/>
    <n v="2.269641"/>
    <n v="2.4148299999999998"/>
    <n v="0.14518899999999979"/>
    <n v="1.0639700287402281"/>
    <n v="2.269641"/>
    <n v="2.4148299999999998"/>
  </r>
  <r>
    <x v="1"/>
    <x v="20"/>
    <x v="19"/>
    <m/>
    <n v="25.175000000000001"/>
    <n v="16.41"/>
    <m/>
    <m/>
    <m/>
    <m/>
    <m/>
    <m/>
    <m/>
    <m/>
    <m/>
    <m/>
    <n v="25.17"/>
    <n v="16.29"/>
    <m/>
    <m/>
    <m/>
    <m/>
    <m/>
    <m/>
    <m/>
    <m/>
    <m/>
    <n v="4.1585000000000004E-2"/>
    <n v="4.1460000000000004E-2"/>
    <n v="-1.2500000000000011E-4"/>
    <n v="0.99699410845256697"/>
    <n v="4.1585000000000004E-2"/>
    <n v="4.1460000000000004E-2"/>
  </r>
  <r>
    <x v="1"/>
    <x v="20"/>
    <x v="13"/>
    <m/>
    <n v="2174.3409999999999"/>
    <n v="1129.847"/>
    <n v="2130.5540000000001"/>
    <n v="1687.454"/>
    <n v="0"/>
    <n v="0"/>
    <m/>
    <m/>
    <m/>
    <m/>
    <m/>
    <m/>
    <n v="2158.56"/>
    <n v="1122.5"/>
    <n v="2141.62"/>
    <n v="1695.4399999999998"/>
    <n v="1964.98"/>
    <n v="9292"/>
    <m/>
    <m/>
    <m/>
    <m/>
    <m/>
    <n v="7.1221959999999997"/>
    <n v="9.0831"/>
    <n v="1.9609040000000002"/>
    <n v="1.2753229481468917"/>
    <n v="7.1221959999999997"/>
    <n v="9.0831"/>
  </r>
  <r>
    <x v="1"/>
    <x v="20"/>
    <x v="14"/>
    <n v="0"/>
    <n v="807.74300000000005"/>
    <n v="0"/>
    <n v="1591.0330000000004"/>
    <n v="1900.9860000000001"/>
    <n v="535.10300000000007"/>
    <n v="535.10300000000007"/>
    <n v="535.10300000000007"/>
    <n v="535.10300000000007"/>
    <n v="535.10300000000007"/>
    <n v="535.10300000000007"/>
    <n v="535.10300000000007"/>
    <n v="0"/>
    <n v="807.74"/>
    <n v="0"/>
    <n v="1591.6799999999998"/>
    <n v="1890.02"/>
    <n v="686.26"/>
    <n v="0"/>
    <n v="0"/>
    <n v="0"/>
    <n v="0"/>
    <n v="0"/>
    <n v="0"/>
    <n v="4.8348650000000006"/>
    <n v="4.9757000000000007"/>
    <n v="0.14083500000000004"/>
    <n v="1.0291290449681636"/>
    <n v="8.0454830000000008"/>
    <n v="4.9757000000000007"/>
  </r>
  <r>
    <x v="1"/>
    <x v="23"/>
    <x v="15"/>
    <m/>
    <m/>
    <m/>
    <n v="0"/>
    <n v="0"/>
    <n v="135.37700000000001"/>
    <n v="135.37700000000001"/>
    <n v="135.37700000000001"/>
    <n v="135.37700000000001"/>
    <n v="135.37700000000001"/>
    <n v="135.37700000000001"/>
    <n v="135.37700000000001"/>
    <m/>
    <m/>
    <m/>
    <n v="0"/>
    <n v="0"/>
    <n v="0"/>
    <n v="0"/>
    <n v="0"/>
    <n v="0"/>
    <n v="0"/>
    <n v="0"/>
    <n v="0"/>
    <n v="0.135377"/>
    <n v="0"/>
    <n v="-0.135377"/>
    <n v="0"/>
    <n v="0.9476389999999999"/>
    <n v="0"/>
  </r>
  <r>
    <x v="1"/>
    <x v="23"/>
    <x v="11"/>
    <m/>
    <m/>
    <m/>
    <n v="0"/>
    <n v="0"/>
    <n v="270.75400000000002"/>
    <n v="270.75400000000002"/>
    <n v="270.75400000000002"/>
    <n v="270.75400000000002"/>
    <n v="270.75400000000002"/>
    <n v="270.75400000000002"/>
    <n v="270.75400000000002"/>
    <m/>
    <m/>
    <m/>
    <n v="0"/>
    <n v="0"/>
    <n v="0"/>
    <n v="0"/>
    <n v="0"/>
    <n v="0"/>
    <n v="0"/>
    <n v="0"/>
    <n v="0"/>
    <n v="0.27075399999999999"/>
    <n v="0"/>
    <n v="-0.27075399999999999"/>
    <n v="0"/>
    <n v="1.8952779999999998"/>
    <n v="0"/>
  </r>
  <r>
    <x v="1"/>
    <x v="23"/>
    <x v="9"/>
    <m/>
    <m/>
    <m/>
    <n v="64.790999999999997"/>
    <n v="124.19800000000001"/>
    <n v="453.51400000000001"/>
    <n v="453.51400000000001"/>
    <n v="453.51400000000001"/>
    <n v="453.51400000000001"/>
    <n v="453.51400000000001"/>
    <n v="453.51400000000001"/>
    <n v="453.51400000000001"/>
    <m/>
    <m/>
    <m/>
    <n v="63.95"/>
    <n v="124.99000000000001"/>
    <n v="88.94"/>
    <n v="0"/>
    <n v="0"/>
    <n v="0"/>
    <n v="0"/>
    <n v="0"/>
    <n v="0"/>
    <n v="0.64250300000000005"/>
    <n v="0.27788000000000002"/>
    <n v="-0.36462300000000003"/>
    <n v="0.43249603503796868"/>
    <n v="3.3635870000000003"/>
    <n v="0.27788000000000002"/>
  </r>
  <r>
    <x v="1"/>
    <x v="23"/>
    <x v="16"/>
    <m/>
    <m/>
    <m/>
    <n v="0"/>
    <n v="0"/>
    <n v="135.37700000000001"/>
    <n v="135.37700000000001"/>
    <n v="135.37700000000001"/>
    <n v="135.37700000000001"/>
    <n v="135.37700000000001"/>
    <n v="135.37700000000001"/>
    <n v="135.37700000000001"/>
    <m/>
    <m/>
    <m/>
    <n v="0"/>
    <n v="0"/>
    <n v="0"/>
    <n v="0"/>
    <n v="0"/>
    <n v="0"/>
    <n v="0"/>
    <n v="0"/>
    <n v="0"/>
    <n v="0.135377"/>
    <n v="0"/>
    <n v="-0.135377"/>
    <n v="0"/>
    <n v="0.9476389999999999"/>
    <n v="0"/>
  </r>
  <r>
    <x v="1"/>
    <x v="23"/>
    <x v="14"/>
    <m/>
    <m/>
    <m/>
    <n v="0"/>
    <n v="0"/>
    <n v="135.37700000000001"/>
    <n v="135.37700000000001"/>
    <n v="135.37700000000001"/>
    <n v="135.37700000000001"/>
    <n v="135.37700000000001"/>
    <n v="135.37700000000001"/>
    <n v="135.37700000000001"/>
    <m/>
    <m/>
    <m/>
    <n v="0"/>
    <n v="0"/>
    <n v="0"/>
    <n v="0"/>
    <n v="0"/>
    <n v="0"/>
    <n v="0"/>
    <n v="0"/>
    <n v="0"/>
    <n v="0.135377"/>
    <n v="0"/>
    <n v="-0.135377"/>
    <n v="0"/>
    <n v="0.9476389999999999"/>
    <n v="0"/>
  </r>
  <r>
    <x v="1"/>
    <x v="68"/>
    <x v="15"/>
    <m/>
    <m/>
    <m/>
    <n v="0"/>
    <n v="0"/>
    <n v="52.024999999999999"/>
    <n v="52.024999999999999"/>
    <n v="52.024999999999999"/>
    <m/>
    <m/>
    <m/>
    <m/>
    <m/>
    <m/>
    <m/>
    <n v="0"/>
    <n v="0"/>
    <n v="0"/>
    <n v="0"/>
    <n v="0"/>
    <m/>
    <m/>
    <m/>
    <m/>
    <n v="5.2025000000000002E-2"/>
    <n v="0"/>
    <n v="-5.2025000000000002E-2"/>
    <n v="0"/>
    <n v="0.15607499999999999"/>
    <n v="0"/>
  </r>
  <r>
    <x v="1"/>
    <x v="68"/>
    <x v="11"/>
    <m/>
    <m/>
    <m/>
    <n v="0"/>
    <n v="0"/>
    <n v="104.051"/>
    <n v="104.051"/>
    <n v="104.051"/>
    <m/>
    <m/>
    <m/>
    <m/>
    <m/>
    <m/>
    <m/>
    <n v="0"/>
    <n v="0"/>
    <n v="0"/>
    <n v="0"/>
    <n v="0"/>
    <m/>
    <m/>
    <m/>
    <m/>
    <n v="0.104051"/>
    <n v="0"/>
    <n v="-0.104051"/>
    <n v="0"/>
    <n v="0.31215300000000001"/>
    <n v="0"/>
  </r>
  <r>
    <x v="1"/>
    <x v="68"/>
    <x v="9"/>
    <m/>
    <n v="316.14999999999998"/>
    <n v="506.702"/>
    <n v="182.70299999999997"/>
    <n v="98.053000000000011"/>
    <n v="70.234999999999999"/>
    <n v="70.234999999999999"/>
    <n v="70.234999999999999"/>
    <m/>
    <m/>
    <m/>
    <m/>
    <m/>
    <n v="317.56"/>
    <n v="509.88"/>
    <n v="185.39"/>
    <n v="98.879999999999967"/>
    <n v="70.36"/>
    <n v="0"/>
    <n v="0"/>
    <m/>
    <m/>
    <m/>
    <m/>
    <n v="1.1738429999999997"/>
    <n v="1.18207"/>
    <n v="8.2270000000002064E-3"/>
    <n v="1.0070086033651862"/>
    <n v="1.3143129999999996"/>
    <n v="1.18207"/>
  </r>
  <r>
    <x v="1"/>
    <x v="68"/>
    <x v="16"/>
    <m/>
    <m/>
    <m/>
    <n v="0"/>
    <n v="0"/>
    <n v="52.024999999999999"/>
    <n v="52.024999999999999"/>
    <n v="52.024999999999999"/>
    <m/>
    <m/>
    <m/>
    <m/>
    <m/>
    <m/>
    <m/>
    <n v="0"/>
    <n v="0"/>
    <n v="0"/>
    <n v="0"/>
    <n v="0"/>
    <m/>
    <m/>
    <m/>
    <m/>
    <n v="5.2025000000000002E-2"/>
    <n v="0"/>
    <n v="-5.2025000000000002E-2"/>
    <n v="0"/>
    <n v="0.15607499999999999"/>
    <n v="0"/>
  </r>
  <r>
    <x v="1"/>
    <x v="68"/>
    <x v="14"/>
    <m/>
    <m/>
    <m/>
    <n v="0"/>
    <n v="0"/>
    <n v="52.024999999999999"/>
    <n v="52.024999999999999"/>
    <n v="52.024999999999999"/>
    <m/>
    <m/>
    <m/>
    <m/>
    <m/>
    <m/>
    <m/>
    <n v="0"/>
    <n v="0"/>
    <n v="0"/>
    <n v="0"/>
    <n v="0"/>
    <m/>
    <m/>
    <m/>
    <m/>
    <n v="5.2025000000000002E-2"/>
    <n v="0"/>
    <n v="-5.2025000000000002E-2"/>
    <n v="0"/>
    <n v="0.15607499999999999"/>
    <n v="0"/>
  </r>
  <r>
    <x v="1"/>
    <x v="69"/>
    <x v="15"/>
    <n v="7.5190000000000001"/>
    <m/>
    <m/>
    <m/>
    <m/>
    <m/>
    <m/>
    <m/>
    <m/>
    <m/>
    <m/>
    <m/>
    <n v="7.51"/>
    <m/>
    <m/>
    <m/>
    <m/>
    <m/>
    <m/>
    <m/>
    <m/>
    <m/>
    <m/>
    <m/>
    <n v="7.5190000000000005E-3"/>
    <n v="7.5100000000000002E-3"/>
    <n v="-9.0000000000003272E-6"/>
    <n v="0.99880303231812739"/>
    <n v="7.5190000000000005E-3"/>
    <n v="7.5100000000000002E-3"/>
  </r>
  <r>
    <x v="1"/>
    <x v="69"/>
    <x v="10"/>
    <n v="98.721999999999994"/>
    <n v="38.131"/>
    <n v="11.154"/>
    <n v="10.746"/>
    <n v="79.777000000000001"/>
    <n v="0"/>
    <m/>
    <m/>
    <m/>
    <m/>
    <m/>
    <m/>
    <n v="98.73"/>
    <n v="38.130000000000003"/>
    <n v="11.06"/>
    <n v="10.77"/>
    <n v="80.13"/>
    <n v="46.52"/>
    <m/>
    <m/>
    <m/>
    <m/>
    <m/>
    <m/>
    <n v="0.23853000000000002"/>
    <n v="0.28534000000000004"/>
    <n v="4.6810000000000018E-2"/>
    <n v="1.1962436590785226"/>
    <n v="0.23853000000000002"/>
    <n v="0.28534000000000004"/>
  </r>
  <r>
    <x v="1"/>
    <x v="69"/>
    <x v="11"/>
    <n v="0"/>
    <n v="0"/>
    <n v="0"/>
    <n v="0"/>
    <n v="0"/>
    <n v="81.698000000000008"/>
    <n v="81.698000000000008"/>
    <n v="81.698000000000008"/>
    <n v="81.698000000000008"/>
    <n v="81.698000000000008"/>
    <n v="81.698000000000008"/>
    <n v="81.698000000000008"/>
    <n v="0"/>
    <n v="0"/>
    <n v="0"/>
    <n v="0"/>
    <n v="0"/>
    <n v="432.03000000000003"/>
    <n v="0"/>
    <n v="0"/>
    <n v="0"/>
    <n v="0"/>
    <n v="0"/>
    <n v="0"/>
    <n v="8.1698000000000007E-2"/>
    <n v="0.43203000000000003"/>
    <n v="0.35033200000000003"/>
    <n v="5.2881343484540624"/>
    <n v="0.57188600000000001"/>
    <n v="0.43203000000000003"/>
  </r>
  <r>
    <x v="1"/>
    <x v="69"/>
    <x v="9"/>
    <n v="133.483"/>
    <n v="250.83199999999999"/>
    <n v="668.55200000000002"/>
    <n v="743.6339999999999"/>
    <n v="612.27499999999986"/>
    <n v="284.26"/>
    <n v="284.26"/>
    <n v="284.26"/>
    <n v="284.26"/>
    <n v="284.26"/>
    <n v="284.26"/>
    <n v="284.26"/>
    <n v="133.43"/>
    <n v="249.86"/>
    <n v="666.04999999999984"/>
    <n v="866.3"/>
    <n v="614.91000000000008"/>
    <n v="576.12999999999988"/>
    <n v="0"/>
    <n v="0"/>
    <n v="0"/>
    <n v="0"/>
    <n v="0"/>
    <n v="0"/>
    <n v="2.6930360000000002"/>
    <n v="3.1066800000000003"/>
    <n v="0.41364400000000012"/>
    <n v="1.1535976496415199"/>
    <n v="4.3985960000000013"/>
    <n v="3.1066800000000003"/>
  </r>
  <r>
    <x v="1"/>
    <x v="69"/>
    <x v="17"/>
    <m/>
    <m/>
    <m/>
    <m/>
    <m/>
    <n v="0"/>
    <m/>
    <m/>
    <m/>
    <m/>
    <m/>
    <m/>
    <m/>
    <m/>
    <m/>
    <m/>
    <m/>
    <n v="21.23"/>
    <m/>
    <m/>
    <m/>
    <m/>
    <m/>
    <m/>
    <n v="0"/>
    <n v="2.1229999999999999E-2"/>
    <n v="2.1229999999999999E-2"/>
    <n v="1.0000110000110001"/>
    <n v="0"/>
    <n v="2.1229999999999999E-2"/>
  </r>
  <r>
    <x v="1"/>
    <x v="69"/>
    <x v="16"/>
    <n v="0"/>
    <n v="120.20400000000001"/>
    <n v="0.47399999999999998"/>
    <n v="277.721"/>
    <n v="0"/>
    <n v="59.516999999999996"/>
    <n v="59.516999999999996"/>
    <n v="59.516999999999996"/>
    <n v="59.516999999999996"/>
    <n v="59.516999999999996"/>
    <n v="59.516999999999996"/>
    <n v="59.516999999999996"/>
    <n v="0"/>
    <n v="120.17000000000002"/>
    <n v="0.47"/>
    <n v="276.78999999999996"/>
    <n v="0"/>
    <n v="0"/>
    <n v="0"/>
    <n v="0"/>
    <n v="0"/>
    <n v="0"/>
    <n v="0"/>
    <n v="0"/>
    <n v="0.45791599999999999"/>
    <n v="0.39742999999999995"/>
    <n v="-6.048600000000004E-2"/>
    <n v="0.86791027175289781"/>
    <n v="0.81501800000000024"/>
    <n v="0.39742999999999995"/>
  </r>
  <r>
    <x v="1"/>
    <x v="69"/>
    <x v="14"/>
    <n v="463.38400000000001"/>
    <n v="0"/>
    <n v="6.1029999999999998"/>
    <n v="14.469000000000001"/>
    <n v="26.289000000000001"/>
    <n v="565.27"/>
    <n v="565.27"/>
    <n v="565.27"/>
    <n v="565.27"/>
    <n v="565.27"/>
    <n v="565.27"/>
    <n v="565.27"/>
    <n v="463.38"/>
    <n v="0"/>
    <n v="6.0600000000000005"/>
    <n v="14.55"/>
    <n v="26.330000000000002"/>
    <n v="4.42"/>
    <n v="0"/>
    <n v="0"/>
    <n v="0"/>
    <n v="0"/>
    <n v="0"/>
    <n v="0"/>
    <n v="1.0755149999999998"/>
    <n v="0.51473999999999998"/>
    <n v="-0.5607749999999998"/>
    <n v="0.47859862484484184"/>
    <n v="4.4671349999999999"/>
    <n v="0.51473999999999998"/>
  </r>
  <r>
    <x v="1"/>
    <x v="24"/>
    <x v="18"/>
    <n v="116.46000000000001"/>
    <n v="0"/>
    <n v="0"/>
    <n v="5.53"/>
    <n v="-121.99000000000001"/>
    <n v="0"/>
    <n v="0"/>
    <n v="0"/>
    <n v="0"/>
    <n v="0"/>
    <n v="0"/>
    <n v="0"/>
    <n v="116.46000000000001"/>
    <n v="0"/>
    <n v="0"/>
    <n v="5.53"/>
    <n v="-121.99000000000001"/>
    <n v="0"/>
    <n v="0"/>
    <n v="0"/>
    <n v="0"/>
    <n v="0"/>
    <n v="0"/>
    <n v="0"/>
    <n v="0"/>
    <n v="0"/>
    <n v="0"/>
    <n v="1.0000110000110001"/>
    <n v="0"/>
    <n v="0"/>
  </r>
  <r>
    <x v="1"/>
    <x v="24"/>
    <x v="11"/>
    <n v="7.36"/>
    <n v="0"/>
    <n v="0"/>
    <n v="0"/>
    <n v="-7.36"/>
    <n v="0"/>
    <n v="0"/>
    <n v="0"/>
    <n v="0"/>
    <n v="0"/>
    <n v="0"/>
    <n v="0"/>
    <n v="7.36"/>
    <n v="0"/>
    <n v="0"/>
    <n v="0"/>
    <n v="-7.36"/>
    <n v="0"/>
    <n v="0"/>
    <n v="0"/>
    <n v="0"/>
    <n v="0"/>
    <n v="0"/>
    <n v="0"/>
    <n v="0"/>
    <n v="0"/>
    <n v="0"/>
    <n v="1.0000110000110001"/>
    <n v="0"/>
    <n v="0"/>
  </r>
  <r>
    <x v="1"/>
    <x v="24"/>
    <x v="9"/>
    <n v="0"/>
    <n v="1354.9"/>
    <n v="0"/>
    <n v="0"/>
    <n v="-1354.9"/>
    <n v="0"/>
    <n v="0"/>
    <n v="0"/>
    <n v="0"/>
    <n v="0"/>
    <n v="0"/>
    <n v="0"/>
    <n v="0"/>
    <n v="1354.9"/>
    <n v="0"/>
    <n v="0"/>
    <n v="-1354.9"/>
    <n v="0"/>
    <n v="0"/>
    <n v="0"/>
    <n v="0"/>
    <n v="0"/>
    <n v="0"/>
    <n v="0"/>
    <n v="0"/>
    <n v="0"/>
    <n v="0"/>
    <n v="1.0000110000110001"/>
    <n v="0"/>
    <n v="0"/>
  </r>
  <r>
    <x v="1"/>
    <x v="24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24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2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0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0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0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0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71"/>
    <x v="11"/>
    <n v="0"/>
    <n v="0"/>
    <n v="0"/>
    <n v="0"/>
    <n v="0"/>
    <n v="49.588999999999999"/>
    <n v="49.588999999999999"/>
    <n v="49.588999999999999"/>
    <n v="49.588999999999999"/>
    <n v="49.588999999999999"/>
    <n v="49.588999999999999"/>
    <n v="49.588999999999999"/>
    <n v="0"/>
    <n v="0"/>
    <n v="0"/>
    <n v="0"/>
    <n v="0"/>
    <n v="0"/>
    <n v="0"/>
    <n v="0"/>
    <n v="0"/>
    <n v="0"/>
    <n v="0"/>
    <n v="0"/>
    <n v="4.9589000000000001E-2"/>
    <n v="0"/>
    <n v="-4.9589000000000001E-2"/>
    <n v="0"/>
    <n v="0.34712300000000001"/>
    <n v="0"/>
  </r>
  <r>
    <x v="1"/>
    <x v="71"/>
    <x v="9"/>
    <n v="0"/>
    <n v="0"/>
    <n v="0"/>
    <n v="1119.3989999999999"/>
    <n v="-935.77499999999986"/>
    <n v="39.475999999999999"/>
    <n v="39.475999999999999"/>
    <n v="39.475999999999999"/>
    <n v="39.475999999999999"/>
    <n v="39.475999999999999"/>
    <n v="39.475999999999999"/>
    <n v="39.475999999999999"/>
    <n v="0"/>
    <n v="0"/>
    <n v="0"/>
    <n v="1135.72"/>
    <n v="-970.39"/>
    <n v="47.169999999999995"/>
    <n v="0"/>
    <n v="0"/>
    <n v="0"/>
    <n v="0"/>
    <n v="0"/>
    <n v="0"/>
    <n v="0.22310000000000002"/>
    <n v="0.21250000000000002"/>
    <n v="-1.0599999999999998E-2"/>
    <n v="0.95248767368892873"/>
    <n v="0.45995600000000003"/>
    <n v="0.21250000000000002"/>
  </r>
  <r>
    <x v="1"/>
    <x v="72"/>
    <x v="15"/>
    <n v="31.33"/>
    <n v="1230.48"/>
    <n v="1694.4199999999998"/>
    <n v="2354.4699999999998"/>
    <n v="1330.2099999999998"/>
    <n v="1193"/>
    <n v="1193"/>
    <n v="1193"/>
    <n v="1193"/>
    <n v="1193"/>
    <n v="1193"/>
    <n v="1193"/>
    <n v="31.33"/>
    <n v="1230.48"/>
    <n v="1694.4199999999998"/>
    <n v="2354.4699999999998"/>
    <n v="1330.2099999999998"/>
    <n v="1082.5999999999999"/>
    <n v="0"/>
    <n v="0"/>
    <n v="0"/>
    <n v="0"/>
    <n v="0"/>
    <n v="0"/>
    <n v="7.8339099999999986"/>
    <n v="7.7235099999999983"/>
    <n v="-0.11040000000000028"/>
    <n v="0.98590742043245327"/>
    <n v="14.991910000000001"/>
    <n v="7.7235099999999983"/>
  </r>
  <r>
    <x v="1"/>
    <x v="72"/>
    <x v="10"/>
    <n v="174.51000000000013"/>
    <n v="3570.7099999999991"/>
    <n v="4186.82"/>
    <n v="4557.8999999999996"/>
    <n v="2155.42"/>
    <n v="0"/>
    <m/>
    <m/>
    <m/>
    <m/>
    <m/>
    <m/>
    <n v="174.5100000000001"/>
    <n v="3570.71"/>
    <n v="4186.8200000000006"/>
    <n v="4557.9000000000005"/>
    <n v="2155.42"/>
    <n v="4834.41"/>
    <m/>
    <m/>
    <m/>
    <m/>
    <m/>
    <m/>
    <n v="14.645359999999998"/>
    <n v="19.479770000000006"/>
    <n v="4.8344100000000072"/>
    <n v="1.3300984065943076"/>
    <n v="14.645359999999998"/>
    <n v="19.479770000000006"/>
  </r>
  <r>
    <x v="1"/>
    <x v="72"/>
    <x v="11"/>
    <n v="1480.4"/>
    <n v="531.71"/>
    <n v="615.61"/>
    <n v="3189.09"/>
    <n v="2360.66"/>
    <n v="200"/>
    <n v="200"/>
    <n v="200"/>
    <n v="200"/>
    <n v="200"/>
    <n v="200"/>
    <n v="200"/>
    <n v="1480.3999999999999"/>
    <n v="531.70999999999992"/>
    <n v="615.61"/>
    <n v="3189.09"/>
    <n v="2360.66"/>
    <n v="2473.9300000000003"/>
    <n v="0"/>
    <n v="0"/>
    <n v="0"/>
    <n v="0"/>
    <n v="0"/>
    <n v="0"/>
    <n v="8.3774700000000006"/>
    <n v="10.651399999999999"/>
    <n v="2.2739299999999982"/>
    <n v="1.2714339770837733"/>
    <n v="9.5774700000000017"/>
    <n v="10.651399999999999"/>
  </r>
  <r>
    <x v="1"/>
    <x v="72"/>
    <x v="9"/>
    <n v="12253.490000000002"/>
    <n v="14398.649999999998"/>
    <n v="18283"/>
    <n v="45575.310000000027"/>
    <n v="23407.280000000006"/>
    <n v="18617.002"/>
    <n v="18617.002"/>
    <n v="18617.002"/>
    <n v="18617.002000000004"/>
    <n v="18617.002"/>
    <n v="18617.002"/>
    <n v="18617.002000000004"/>
    <n v="12253.490000000003"/>
    <n v="14398.650000000001"/>
    <n v="18344.890000000007"/>
    <n v="47134.670000000006"/>
    <n v="23426.87"/>
    <n v="22924.749999999993"/>
    <n v="0"/>
    <n v="0"/>
    <n v="0"/>
    <n v="0"/>
    <n v="0"/>
    <n v="0"/>
    <n v="132.53473200000005"/>
    <n v="138.48332000000002"/>
    <n v="5.9485879999999725"/>
    <n v="1.0448832386064655"/>
    <n v="244.2367440000001"/>
    <n v="138.48332000000002"/>
  </r>
  <r>
    <x v="1"/>
    <x v="72"/>
    <x v="17"/>
    <n v="0"/>
    <n v="975.28"/>
    <n v="1294.67"/>
    <n v="2429.4199999999996"/>
    <n v="977.91"/>
    <n v="1461"/>
    <n v="1461"/>
    <n v="1461"/>
    <n v="1461"/>
    <n v="1461"/>
    <n v="1461"/>
    <n v="1461"/>
    <n v="0"/>
    <n v="975.28"/>
    <n v="1294.67"/>
    <n v="2429.42"/>
    <n v="977.91"/>
    <n v="823.77"/>
    <n v="0"/>
    <n v="0"/>
    <n v="0"/>
    <n v="0"/>
    <n v="0"/>
    <n v="0"/>
    <n v="7.1382799999999991"/>
    <n v="6.5010499999999993"/>
    <n v="-0.63722999999999974"/>
    <n v="0.91073059616602325"/>
    <n v="15.904279999999998"/>
    <n v="6.5010499999999993"/>
  </r>
  <r>
    <x v="1"/>
    <x v="72"/>
    <x v="16"/>
    <n v="21.759999999999998"/>
    <n v="4146.6999999999989"/>
    <n v="5564.24"/>
    <n v="6661.63"/>
    <n v="2598.3000000000002"/>
    <n v="0"/>
    <n v="0"/>
    <n v="0"/>
    <n v="0"/>
    <n v="0"/>
    <n v="0"/>
    <n v="0"/>
    <n v="21.759999999999998"/>
    <n v="4146.7"/>
    <n v="5564.24"/>
    <n v="6661.63"/>
    <n v="2598.2999999999997"/>
    <n v="2516.69"/>
    <n v="0"/>
    <n v="0"/>
    <n v="0"/>
    <n v="0"/>
    <n v="0"/>
    <n v="0"/>
    <n v="18.992629999999998"/>
    <n v="21.509319999999999"/>
    <n v="2.5166900000000005"/>
    <n v="1.1325087678746968"/>
    <n v="18.992629999999998"/>
    <n v="21.509319999999999"/>
  </r>
  <r>
    <x v="1"/>
    <x v="72"/>
    <x v="12"/>
    <m/>
    <n v="820.35"/>
    <n v="829.97"/>
    <n v="113.69"/>
    <n v="53.68"/>
    <n v="0"/>
    <m/>
    <m/>
    <m/>
    <m/>
    <m/>
    <m/>
    <m/>
    <n v="820.35"/>
    <n v="829.97"/>
    <n v="113.69"/>
    <n v="53.68"/>
    <n v="61.300000000000004"/>
    <m/>
    <m/>
    <m/>
    <m/>
    <m/>
    <m/>
    <n v="1.8176900000000002"/>
    <n v="1.8789900000000002"/>
    <n v="6.129999999999991E-2"/>
    <n v="1.0337241223751024"/>
    <n v="1.8176900000000002"/>
    <n v="1.8789900000000002"/>
  </r>
  <r>
    <x v="1"/>
    <x v="72"/>
    <x v="19"/>
    <n v="50.44"/>
    <n v="7.6"/>
    <m/>
    <m/>
    <m/>
    <m/>
    <m/>
    <m/>
    <m/>
    <m/>
    <m/>
    <m/>
    <n v="50.44"/>
    <n v="7.6"/>
    <m/>
    <m/>
    <m/>
    <m/>
    <m/>
    <m/>
    <m/>
    <m/>
    <m/>
    <m/>
    <n v="5.8040000000000001E-2"/>
    <n v="5.8040000000000001E-2"/>
    <n v="0"/>
    <n v="1"/>
    <n v="5.8040000000000001E-2"/>
    <n v="5.8040000000000001E-2"/>
  </r>
  <r>
    <x v="1"/>
    <x v="72"/>
    <x v="14"/>
    <n v="2403.85"/>
    <n v="813.38"/>
    <n v="1866.25"/>
    <n v="3246.3500000000004"/>
    <n v="3122.4500000000003"/>
    <n v="5061.5"/>
    <n v="5061.5"/>
    <n v="5061.5"/>
    <n v="5061.5"/>
    <n v="5061.5"/>
    <n v="5061.5"/>
    <n v="5061.5"/>
    <n v="2403.85"/>
    <n v="813.38"/>
    <n v="1866.2499999999995"/>
    <n v="3246.35"/>
    <n v="3122.45"/>
    <n v="3606.9299999999994"/>
    <n v="0"/>
    <n v="0"/>
    <n v="0"/>
    <n v="0"/>
    <n v="0"/>
    <n v="0"/>
    <n v="16.513780000000001"/>
    <n v="15.059209999999998"/>
    <n v="-1.4545700000000021"/>
    <n v="0.91191780440335268"/>
    <n v="46.882779999999997"/>
    <n v="15.059209999999998"/>
  </r>
  <r>
    <x v="1"/>
    <x v="25"/>
    <x v="11"/>
    <m/>
    <n v="581.47"/>
    <n v="521.39"/>
    <m/>
    <m/>
    <m/>
    <m/>
    <m/>
    <m/>
    <m/>
    <m/>
    <m/>
    <m/>
    <n v="581.47"/>
    <n v="521.39"/>
    <m/>
    <m/>
    <m/>
    <m/>
    <m/>
    <m/>
    <m/>
    <m/>
    <m/>
    <n v="1.1028600000000002"/>
    <n v="1.1028600000000002"/>
    <n v="0"/>
    <n v="1"/>
    <n v="1.1028600000000002"/>
    <n v="1.1028600000000002"/>
  </r>
  <r>
    <x v="1"/>
    <x v="73"/>
    <x v="15"/>
    <m/>
    <m/>
    <m/>
    <n v="0"/>
    <n v="0"/>
    <n v="297.35399999999998"/>
    <m/>
    <m/>
    <m/>
    <m/>
    <m/>
    <m/>
    <m/>
    <m/>
    <m/>
    <n v="0"/>
    <n v="0"/>
    <n v="0"/>
    <m/>
    <m/>
    <m/>
    <m/>
    <m/>
    <m/>
    <n v="0.29735400000000001"/>
    <n v="0"/>
    <n v="-0.29735400000000001"/>
    <n v="0"/>
    <n v="0.29735400000000001"/>
    <n v="0"/>
  </r>
  <r>
    <x v="1"/>
    <x v="73"/>
    <x v="10"/>
    <m/>
    <m/>
    <m/>
    <n v="92.724000000000004"/>
    <n v="185.34200000000001"/>
    <n v="0"/>
    <m/>
    <m/>
    <m/>
    <m/>
    <m/>
    <m/>
    <m/>
    <m/>
    <m/>
    <n v="91.36"/>
    <n v="190.33"/>
    <n v="104.67"/>
    <m/>
    <m/>
    <m/>
    <m/>
    <m/>
    <m/>
    <n v="0.27806600000000004"/>
    <n v="0.38636000000000004"/>
    <n v="0.108294"/>
    <n v="1.3894543022160206"/>
    <n v="0.27806600000000004"/>
    <n v="0.38636000000000004"/>
  </r>
  <r>
    <x v="1"/>
    <x v="73"/>
    <x v="11"/>
    <n v="0"/>
    <n v="0"/>
    <n v="0"/>
    <n v="0"/>
    <n v="0"/>
    <n v="594.70799999999997"/>
    <m/>
    <m/>
    <m/>
    <m/>
    <m/>
    <m/>
    <n v="0"/>
    <n v="0"/>
    <n v="0"/>
    <n v="0"/>
    <n v="0"/>
    <n v="0"/>
    <m/>
    <m/>
    <m/>
    <m/>
    <m/>
    <m/>
    <n v="0.59470800000000001"/>
    <n v="0"/>
    <n v="-0.59470800000000001"/>
    <n v="0"/>
    <n v="0.59470800000000001"/>
    <n v="0"/>
  </r>
  <r>
    <x v="1"/>
    <x v="73"/>
    <x v="9"/>
    <n v="0"/>
    <n v="0"/>
    <n v="0"/>
    <n v="1264.8510000000001"/>
    <n v="1318.0140000000004"/>
    <n v="912.23200000000008"/>
    <m/>
    <m/>
    <m/>
    <m/>
    <m/>
    <m/>
    <n v="0"/>
    <n v="0"/>
    <n v="0"/>
    <n v="1254.27"/>
    <n v="1336.48"/>
    <n v="1119.9199999999998"/>
    <m/>
    <m/>
    <m/>
    <m/>
    <m/>
    <m/>
    <n v="3.4950970000000008"/>
    <n v="3.7106699999999999"/>
    <n v="0.21557299999999913"/>
    <n v="1.0616786887459773"/>
    <n v="3.4950970000000008"/>
    <n v="3.7106699999999999"/>
  </r>
  <r>
    <x v="1"/>
    <x v="73"/>
    <x v="16"/>
    <n v="0"/>
    <n v="0"/>
    <n v="0"/>
    <n v="0"/>
    <n v="0"/>
    <n v="297.35399999999998"/>
    <m/>
    <m/>
    <m/>
    <m/>
    <m/>
    <m/>
    <n v="0"/>
    <n v="0"/>
    <n v="0"/>
    <n v="0"/>
    <n v="0"/>
    <n v="0"/>
    <m/>
    <m/>
    <m/>
    <m/>
    <m/>
    <m/>
    <n v="0.29735400000000001"/>
    <n v="0"/>
    <n v="-0.29735400000000001"/>
    <n v="0"/>
    <n v="0.29735400000000001"/>
    <n v="0"/>
  </r>
  <r>
    <x v="1"/>
    <x v="73"/>
    <x v="14"/>
    <m/>
    <m/>
    <m/>
    <n v="1884.212"/>
    <n v="2970.05"/>
    <n v="297.35399999999998"/>
    <m/>
    <m/>
    <m/>
    <m/>
    <m/>
    <m/>
    <m/>
    <m/>
    <m/>
    <n v="1856.49"/>
    <n v="3061.98"/>
    <n v="1886.81"/>
    <m/>
    <m/>
    <m/>
    <m/>
    <m/>
    <m/>
    <n v="5.1516160000000006"/>
    <n v="6.8052800000000007"/>
    <n v="1.653664"/>
    <n v="1.3209990806768206"/>
    <n v="5.1516160000000006"/>
    <n v="6.8052800000000007"/>
  </r>
  <r>
    <x v="1"/>
    <x v="74"/>
    <x v="15"/>
    <m/>
    <n v="173.28"/>
    <n v="245.71"/>
    <n v="1013.63"/>
    <n v="299.37"/>
    <n v="0"/>
    <m/>
    <m/>
    <m/>
    <m/>
    <m/>
    <m/>
    <m/>
    <n v="173.28"/>
    <n v="245.71"/>
    <n v="1013.6299999999999"/>
    <n v="299.37"/>
    <n v="278.2"/>
    <m/>
    <m/>
    <m/>
    <m/>
    <m/>
    <m/>
    <n v="1.7319899999999997"/>
    <n v="2.0101899999999997"/>
    <n v="0.2782"/>
    <n v="1.1606244839750808"/>
    <n v="1.7319899999999997"/>
    <n v="2.0101899999999997"/>
  </r>
  <r>
    <x v="1"/>
    <x v="74"/>
    <x v="10"/>
    <m/>
    <n v="139.44"/>
    <m/>
    <n v="21.65"/>
    <n v="206.03"/>
    <n v="0"/>
    <m/>
    <m/>
    <m/>
    <m/>
    <m/>
    <m/>
    <m/>
    <n v="139.44"/>
    <m/>
    <n v="21.65"/>
    <n v="206.03"/>
    <n v="315.49"/>
    <m/>
    <m/>
    <m/>
    <m/>
    <m/>
    <m/>
    <n v="0.36712"/>
    <n v="0.68261000000000005"/>
    <n v="0.31549000000000005"/>
    <n v="1.8593647853562869"/>
    <n v="0.36712"/>
    <n v="0.68261000000000005"/>
  </r>
  <r>
    <x v="1"/>
    <x v="74"/>
    <x v="11"/>
    <n v="570.41"/>
    <n v="2725.15"/>
    <n v="1312.38"/>
    <n v="1751.73"/>
    <n v="1225.73"/>
    <n v="0"/>
    <n v="0"/>
    <n v="0"/>
    <n v="0"/>
    <n v="0"/>
    <m/>
    <m/>
    <n v="570.41000000000008"/>
    <n v="2725.15"/>
    <n v="1312.38"/>
    <n v="1751.73"/>
    <n v="1225.73"/>
    <n v="865.65"/>
    <n v="0"/>
    <n v="0"/>
    <n v="0"/>
    <n v="0"/>
    <m/>
    <m/>
    <n v="7.5853999999999999"/>
    <n v="8.4510499999999986"/>
    <n v="0.8656499999999987"/>
    <n v="1.1141205473673108"/>
    <n v="7.5853999999999999"/>
    <n v="8.4510499999999986"/>
  </r>
  <r>
    <x v="1"/>
    <x v="74"/>
    <x v="9"/>
    <n v="5965.7579999999998"/>
    <n v="10343.724"/>
    <n v="7426.05"/>
    <n v="20152.229999999992"/>
    <n v="8626.31"/>
    <n v="2191.08"/>
    <n v="2191.08"/>
    <n v="2191.08"/>
    <n v="2254.9749999999999"/>
    <n v="2191.08"/>
    <m/>
    <m/>
    <n v="2672.09"/>
    <n v="4125.3899999999994"/>
    <n v="5234.97"/>
    <n v="17961.150000000001"/>
    <n v="6447.4100000000008"/>
    <n v="5145.72"/>
    <n v="0"/>
    <n v="0"/>
    <n v="0"/>
    <n v="0"/>
    <m/>
    <m/>
    <n v="54.705151999999984"/>
    <n v="41.586730000000003"/>
    <n v="-13.118421999999981"/>
    <n v="0.76019768668223453"/>
    <n v="63.533366999999991"/>
    <n v="41.586730000000003"/>
  </r>
  <r>
    <x v="1"/>
    <x v="74"/>
    <x v="17"/>
    <n v="284.161"/>
    <n v="529.91399999999999"/>
    <n v="826.88599999999997"/>
    <n v="909.90600000000006"/>
    <n v="785.30600000000004"/>
    <n v="681.82600000000002"/>
    <n v="681.82600000000002"/>
    <n v="681.82600000000002"/>
    <n v="681.82600000000002"/>
    <n v="681.82600000000002"/>
    <m/>
    <m/>
    <n v="0"/>
    <n v="106.64"/>
    <n v="145.06"/>
    <n v="228.08"/>
    <n v="103.47999999999999"/>
    <n v="118.2"/>
    <n v="0"/>
    <n v="0"/>
    <n v="0"/>
    <n v="0"/>
    <m/>
    <m/>
    <n v="4.0179990000000005"/>
    <n v="0.70146000000000008"/>
    <n v="-3.3165390000000006"/>
    <n v="0.17457943618203986"/>
    <n v="6.7453030000000007"/>
    <n v="0.70146000000000008"/>
  </r>
  <r>
    <x v="1"/>
    <x v="74"/>
    <x v="16"/>
    <m/>
    <n v="775.52"/>
    <n v="1316.1"/>
    <n v="1564.8899999999999"/>
    <n v="768.24"/>
    <n v="0"/>
    <m/>
    <m/>
    <m/>
    <m/>
    <m/>
    <m/>
    <m/>
    <n v="775.52"/>
    <n v="1316.1"/>
    <n v="1564.8899999999999"/>
    <n v="768.24"/>
    <n v="892.75"/>
    <m/>
    <m/>
    <m/>
    <m/>
    <m/>
    <m/>
    <n v="4.4247500000000004"/>
    <n v="5.3174999999999999"/>
    <n v="0.89274999999999949"/>
    <n v="1.2017628114582743"/>
    <n v="4.4247500000000004"/>
    <n v="5.3174999999999999"/>
  </r>
  <r>
    <x v="1"/>
    <x v="74"/>
    <x v="14"/>
    <n v="1876.0929999999998"/>
    <n v="2329.654"/>
    <n v="4073.848"/>
    <n v="4377.4780000000001"/>
    <n v="3186.748"/>
    <n v="1581.838"/>
    <n v="1581.838"/>
    <n v="1581.838"/>
    <n v="1581.838"/>
    <n v="1581.838"/>
    <m/>
    <m/>
    <n v="1216.8399999999999"/>
    <n v="1347.66"/>
    <n v="2492.0100000000002"/>
    <n v="2795.6399999999994"/>
    <n v="1604.9099999999999"/>
    <n v="1720.21"/>
    <n v="0"/>
    <n v="0"/>
    <n v="0"/>
    <n v="0"/>
    <m/>
    <m/>
    <n v="17.425659"/>
    <n v="11.17727"/>
    <n v="-6.2483889999999995"/>
    <n v="0.6414259569752857"/>
    <n v="23.753010999999997"/>
    <n v="11.17727"/>
  </r>
  <r>
    <x v="1"/>
    <x v="26"/>
    <x v="13"/>
    <m/>
    <n v="-1922.61"/>
    <m/>
    <m/>
    <m/>
    <m/>
    <m/>
    <m/>
    <m/>
    <m/>
    <m/>
    <m/>
    <m/>
    <n v="-1922.61"/>
    <m/>
    <m/>
    <m/>
    <m/>
    <m/>
    <m/>
    <m/>
    <m/>
    <m/>
    <m/>
    <n v="-1.9226099999999999"/>
    <n v="-1.9226099999999999"/>
    <n v="0"/>
    <n v="1"/>
    <n v="-1.9226099999999999"/>
    <n v="-1.9226099999999999"/>
  </r>
  <r>
    <x v="1"/>
    <x v="26"/>
    <x v="14"/>
    <n v="411.44"/>
    <m/>
    <m/>
    <n v="-411.44"/>
    <m/>
    <m/>
    <m/>
    <m/>
    <m/>
    <m/>
    <m/>
    <m/>
    <n v="411.44"/>
    <m/>
    <m/>
    <n v="-411.44"/>
    <m/>
    <m/>
    <m/>
    <m/>
    <m/>
    <m/>
    <m/>
    <m/>
    <n v="0"/>
    <n v="0"/>
    <n v="0"/>
    <n v="1.0000110000110001"/>
    <n v="0"/>
    <n v="0"/>
  </r>
  <r>
    <x v="1"/>
    <x v="75"/>
    <x v="15"/>
    <n v="0"/>
    <n v="0"/>
    <n v="0"/>
    <n v="0"/>
    <n v="0"/>
    <n v="84.236000000000004"/>
    <n v="84.236000000000004"/>
    <n v="84.236000000000004"/>
    <n v="84.236000000000004"/>
    <n v="84.236000000000004"/>
    <n v="84.236000000000004"/>
    <n v="84.236000000000004"/>
    <n v="0"/>
    <n v="0"/>
    <n v="0"/>
    <n v="0"/>
    <n v="0"/>
    <n v="0"/>
    <n v="0"/>
    <n v="0"/>
    <n v="0"/>
    <n v="0"/>
    <n v="0"/>
    <n v="0"/>
    <n v="8.4236000000000005E-2"/>
    <n v="0"/>
    <n v="-8.4236000000000005E-2"/>
    <n v="0"/>
    <n v="0.58965200000000006"/>
    <n v="0"/>
  </r>
  <r>
    <x v="1"/>
    <x v="75"/>
    <x v="11"/>
    <n v="0"/>
    <n v="0"/>
    <n v="0"/>
    <n v="612.58299999999997"/>
    <n v="705.08"/>
    <n v="168.452"/>
    <n v="168.452"/>
    <n v="168.452"/>
    <n v="168.452"/>
    <n v="168.452"/>
    <n v="168.452"/>
    <n v="168.452"/>
    <n v="0"/>
    <n v="0"/>
    <n v="0"/>
    <n v="609.09"/>
    <n v="700.88"/>
    <n v="1388.3400000000001"/>
    <n v="0"/>
    <n v="0"/>
    <n v="0"/>
    <n v="0"/>
    <n v="0"/>
    <n v="0"/>
    <n v="1.4861150000000001"/>
    <n v="2.6983100000000002"/>
    <n v="1.2121950000000001"/>
    <n v="1.8156804823314481"/>
    <n v="2.4968270000000001"/>
    <n v="2.6983100000000002"/>
  </r>
  <r>
    <x v="1"/>
    <x v="75"/>
    <x v="20"/>
    <m/>
    <m/>
    <m/>
    <n v="1305.654"/>
    <n v="5367.0060000000003"/>
    <n v="0"/>
    <m/>
    <m/>
    <m/>
    <m/>
    <m/>
    <m/>
    <m/>
    <m/>
    <m/>
    <n v="1298.21"/>
    <n v="5395.34"/>
    <n v="1436.29"/>
    <m/>
    <m/>
    <m/>
    <m/>
    <m/>
    <m/>
    <n v="6.6726599999999996"/>
    <n v="8.1298399999999997"/>
    <n v="1.4571800000000001"/>
    <n v="1.2183806757724807"/>
    <n v="6.6726599999999996"/>
    <n v="8.1298399999999997"/>
  </r>
  <r>
    <x v="1"/>
    <x v="75"/>
    <x v="9"/>
    <n v="0"/>
    <n v="0"/>
    <n v="0"/>
    <n v="466.15999999999997"/>
    <n v="168.245"/>
    <n v="282.19299999999998"/>
    <n v="282.19299999999998"/>
    <n v="282.19299999999998"/>
    <n v="282.19299999999998"/>
    <n v="282.19299999999998"/>
    <n v="282.19299999999998"/>
    <n v="282.19299999999998"/>
    <n v="0"/>
    <n v="0"/>
    <n v="0"/>
    <n v="470.89"/>
    <n v="169.02000000000004"/>
    <n v="-2663.4599999999996"/>
    <n v="0"/>
    <n v="0"/>
    <n v="0"/>
    <n v="0"/>
    <n v="0"/>
    <n v="0"/>
    <n v="0.91659799999999991"/>
    <n v="-2.0235499999999993"/>
    <n v="-2.9401479999999993"/>
    <n v="-2.2076744657963463"/>
    <n v="2.6097560000000004"/>
    <n v="-2.0235499999999993"/>
  </r>
  <r>
    <x v="1"/>
    <x v="75"/>
    <x v="16"/>
    <n v="0"/>
    <n v="0"/>
    <n v="0"/>
    <n v="0"/>
    <n v="0"/>
    <n v="84.236000000000004"/>
    <n v="84.236000000000004"/>
    <n v="84.236000000000004"/>
    <n v="84.236000000000004"/>
    <n v="84.236000000000004"/>
    <n v="84.236000000000004"/>
    <n v="84.236000000000004"/>
    <n v="0"/>
    <n v="0"/>
    <n v="0"/>
    <n v="0"/>
    <n v="0"/>
    <n v="0"/>
    <n v="0"/>
    <n v="0"/>
    <n v="0"/>
    <n v="0"/>
    <n v="0"/>
    <n v="0"/>
    <n v="8.4236000000000005E-2"/>
    <n v="0"/>
    <n v="-8.4236000000000005E-2"/>
    <n v="0"/>
    <n v="0.58965200000000006"/>
    <n v="0"/>
  </r>
  <r>
    <x v="1"/>
    <x v="75"/>
    <x v="19"/>
    <m/>
    <m/>
    <n v="11.228999999999999"/>
    <m/>
    <m/>
    <m/>
    <m/>
    <m/>
    <m/>
    <m/>
    <m/>
    <m/>
    <m/>
    <m/>
    <n v="11.45"/>
    <m/>
    <m/>
    <m/>
    <m/>
    <m/>
    <m/>
    <m/>
    <m/>
    <m/>
    <n v="1.1228999999999999E-2"/>
    <n v="1.145E-2"/>
    <n v="2.2100000000000071E-4"/>
    <n v="1.0196811826520618"/>
    <n v="1.1228999999999999E-2"/>
    <n v="1.145E-2"/>
  </r>
  <r>
    <x v="1"/>
    <x v="75"/>
    <x v="14"/>
    <n v="0"/>
    <n v="0"/>
    <n v="0"/>
    <n v="1263.364"/>
    <n v="2416.6660000000002"/>
    <n v="84.236000000000004"/>
    <n v="84.236000000000004"/>
    <n v="84.236000000000004"/>
    <n v="84.236000000000004"/>
    <n v="84.236000000000004"/>
    <n v="84.236000000000004"/>
    <n v="84.236000000000004"/>
    <n v="0"/>
    <n v="0"/>
    <n v="0"/>
    <n v="1256.1599999999999"/>
    <n v="2422.7800000000002"/>
    <n v="0"/>
    <n v="0"/>
    <n v="0"/>
    <n v="0"/>
    <n v="0"/>
    <n v="0"/>
    <n v="0"/>
    <n v="3.7642660000000001"/>
    <n v="3.6789399999999999"/>
    <n v="-8.5326000000000235E-2"/>
    <n v="0.97733263270980308"/>
    <n v="4.2696819999999995"/>
    <n v="3.6789399999999999"/>
  </r>
  <r>
    <x v="1"/>
    <x v="27"/>
    <x v="15"/>
    <n v="0"/>
    <n v="0"/>
    <n v="0"/>
    <n v="0"/>
    <n v="0"/>
    <n v="43.953000000000003"/>
    <n v="43.953000000000003"/>
    <n v="43.953000000000003"/>
    <n v="43.953000000000003"/>
    <n v="43.953000000000003"/>
    <n v="43.953000000000003"/>
    <n v="43.953000000000003"/>
    <n v="0"/>
    <n v="0"/>
    <n v="0"/>
    <n v="0"/>
    <n v="0"/>
    <n v="0"/>
    <n v="0"/>
    <n v="0"/>
    <n v="0"/>
    <n v="0"/>
    <n v="0"/>
    <n v="0"/>
    <n v="4.3953000000000006E-2"/>
    <n v="0"/>
    <n v="-4.3953000000000006E-2"/>
    <n v="0"/>
    <n v="0.30767100000000003"/>
    <n v="0"/>
  </r>
  <r>
    <x v="1"/>
    <x v="27"/>
    <x v="11"/>
    <n v="0"/>
    <n v="0"/>
    <n v="0"/>
    <n v="0"/>
    <n v="812.30200000000002"/>
    <n v="87.908000000000001"/>
    <n v="87.908000000000001"/>
    <n v="87.908000000000001"/>
    <n v="87.908000000000001"/>
    <n v="87.908000000000001"/>
    <n v="87.908000000000001"/>
    <n v="87.908000000000001"/>
    <n v="0"/>
    <n v="0"/>
    <n v="0"/>
    <n v="0"/>
    <n v="819.98"/>
    <n v="909.14"/>
    <n v="0"/>
    <n v="0"/>
    <n v="0"/>
    <n v="0"/>
    <n v="0"/>
    <n v="0"/>
    <n v="0.90021000000000007"/>
    <n v="1.72912"/>
    <n v="0.82890999999999992"/>
    <n v="1.9207962586507592"/>
    <n v="1.4276579999999996"/>
    <n v="1.72912"/>
  </r>
  <r>
    <x v="1"/>
    <x v="27"/>
    <x v="9"/>
    <n v="0"/>
    <n v="286.40100000000001"/>
    <n v="324.58999999999997"/>
    <n v="996.68000000000006"/>
    <n v="1544.7240000000002"/>
    <n v="153.839"/>
    <n v="153.839"/>
    <n v="153.839"/>
    <n v="153.839"/>
    <n v="153.839"/>
    <n v="153.839"/>
    <n v="153.839"/>
    <n v="0"/>
    <n v="293.54000000000002"/>
    <n v="320.03999999999996"/>
    <n v="966.24"/>
    <n v="1585.8100000000002"/>
    <n v="1225.0100000000002"/>
    <n v="0"/>
    <n v="0"/>
    <n v="0"/>
    <n v="0"/>
    <n v="0"/>
    <n v="0"/>
    <n v="3.3062340000000003"/>
    <n v="4.3906400000000003"/>
    <n v="1.084406"/>
    <n v="1.3279882791115207"/>
    <n v="4.2292680000000002"/>
    <n v="4.3906400000000003"/>
  </r>
  <r>
    <x v="1"/>
    <x v="27"/>
    <x v="16"/>
    <n v="0"/>
    <n v="0"/>
    <n v="0"/>
    <n v="0"/>
    <n v="360.13600000000002"/>
    <n v="43.953000000000003"/>
    <n v="43.953000000000003"/>
    <n v="43.953000000000003"/>
    <n v="43.953000000000003"/>
    <n v="43.953000000000003"/>
    <n v="43.953000000000003"/>
    <n v="43.953000000000003"/>
    <n v="0"/>
    <n v="0"/>
    <n v="0"/>
    <n v="0"/>
    <n v="363.53999999999996"/>
    <n v="387.76"/>
    <n v="0"/>
    <n v="0"/>
    <n v="0"/>
    <n v="0"/>
    <n v="0"/>
    <n v="0"/>
    <n v="0.40408900000000003"/>
    <n v="0.75129999999999997"/>
    <n v="0.34721099999999994"/>
    <n v="1.8592438794423998"/>
    <n v="0.66780699999999993"/>
    <n v="0.75129999999999997"/>
  </r>
  <r>
    <x v="1"/>
    <x v="27"/>
    <x v="12"/>
    <m/>
    <m/>
    <m/>
    <m/>
    <n v="2423.7060000000001"/>
    <n v="0"/>
    <m/>
    <m/>
    <m/>
    <m/>
    <m/>
    <m/>
    <m/>
    <m/>
    <m/>
    <m/>
    <n v="2490.4299999999998"/>
    <n v="674.41"/>
    <m/>
    <m/>
    <m/>
    <m/>
    <m/>
    <m/>
    <n v="2.4237060000000001"/>
    <n v="3.1648399999999999"/>
    <n v="0.74113399999999974"/>
    <n v="1.3057854376727209"/>
    <n v="2.4237060000000001"/>
    <n v="3.1648399999999999"/>
  </r>
  <r>
    <x v="1"/>
    <x v="27"/>
    <x v="14"/>
    <n v="0"/>
    <n v="0"/>
    <n v="0"/>
    <n v="240.73099999999999"/>
    <n v="983.173"/>
    <n v="43.953000000000003"/>
    <n v="43.953000000000003"/>
    <n v="43.953000000000003"/>
    <n v="43.953000000000003"/>
    <n v="43.953000000000003"/>
    <n v="43.953000000000003"/>
    <n v="43.953000000000003"/>
    <n v="0"/>
    <n v="0"/>
    <n v="0"/>
    <n v="236.53"/>
    <n v="998.71"/>
    <n v="560.29999999999995"/>
    <n v="0"/>
    <n v="0"/>
    <n v="0"/>
    <n v="0"/>
    <n v="0"/>
    <n v="0"/>
    <n v="1.267857"/>
    <n v="1.7955399999999999"/>
    <n v="0.5276829999999999"/>
    <n v="1.416200722952194"/>
    <n v="1.5315749999999999"/>
    <n v="1.7955399999999999"/>
  </r>
  <r>
    <x v="1"/>
    <x v="76"/>
    <x v="9"/>
    <m/>
    <m/>
    <n v="0"/>
    <n v="0"/>
    <n v="0"/>
    <n v="125"/>
    <n v="41.667000000000002"/>
    <n v="41.667000000000002"/>
    <n v="41.667000000000002"/>
    <n v="41.667000000000002"/>
    <n v="41.667000000000002"/>
    <n v="41.667000000000002"/>
    <m/>
    <m/>
    <n v="0"/>
    <n v="0"/>
    <n v="0"/>
    <n v="0"/>
    <n v="0"/>
    <n v="0"/>
    <n v="0"/>
    <n v="0"/>
    <n v="0"/>
    <n v="0"/>
    <n v="0.125"/>
    <n v="0"/>
    <n v="-0.125"/>
    <n v="0"/>
    <n v="0.37500200000000006"/>
    <n v="0"/>
  </r>
  <r>
    <x v="1"/>
    <x v="77"/>
    <x v="10"/>
    <n v="818.38400000000001"/>
    <n v="-108.315"/>
    <m/>
    <m/>
    <m/>
    <n v="0"/>
    <m/>
    <m/>
    <m/>
    <m/>
    <m/>
    <m/>
    <n v="818.4"/>
    <n v="-108.29"/>
    <m/>
    <m/>
    <m/>
    <n v="2410.48"/>
    <m/>
    <m/>
    <m/>
    <m/>
    <m/>
    <m/>
    <n v="0.71006899999999995"/>
    <n v="3.12059"/>
    <n v="2.4105210000000001"/>
    <n v="4.3947700857240637"/>
    <n v="0.71006899999999995"/>
    <n v="3.12059"/>
  </r>
  <r>
    <x v="1"/>
    <x v="77"/>
    <x v="9"/>
    <n v="295.113"/>
    <n v="51.811999999999998"/>
    <n v="63.872"/>
    <n v="2794.3670000000002"/>
    <n v="860.52300000000002"/>
    <n v="300.38499999999999"/>
    <n v="1473.4739999999999"/>
    <n v="1473.4739999999999"/>
    <n v="1473.4739999999999"/>
    <n v="1473.4739999999999"/>
    <n v="1473.4739999999999"/>
    <n v="1473.4739999999999"/>
    <n v="295.12"/>
    <n v="51.65"/>
    <n v="63.449999999999996"/>
    <n v="2779.72"/>
    <n v="864.67"/>
    <n v="-1194.08"/>
    <n v="0"/>
    <n v="0"/>
    <n v="0"/>
    <n v="0"/>
    <n v="0"/>
    <n v="0"/>
    <n v="4.366072"/>
    <n v="2.8605299999999998"/>
    <n v="-1.5055420000000002"/>
    <n v="0.65517242958888444"/>
    <n v="13.206916000000001"/>
    <n v="2.8605299999999998"/>
  </r>
  <r>
    <x v="1"/>
    <x v="77"/>
    <x v="16"/>
    <n v="137.845"/>
    <n v="139.86000000000001"/>
    <n v="141.02600000000001"/>
    <n v="140.72499999999999"/>
    <n v="141.267"/>
    <n v="124.598"/>
    <n v="160.46700000000001"/>
    <n v="160.46700000000001"/>
    <n v="160.46700000000001"/>
    <n v="160.46700000000001"/>
    <n v="160.46700000000001"/>
    <n v="160.46700000000001"/>
    <n v="137.84"/>
    <n v="139.86000000000001"/>
    <n v="140.11000000000001"/>
    <n v="141.51"/>
    <n v="141.94"/>
    <n v="141.84"/>
    <n v="0"/>
    <n v="0"/>
    <n v="0"/>
    <n v="0"/>
    <n v="0"/>
    <n v="0"/>
    <n v="0.82532099999999986"/>
    <n v="0.84310000000000007"/>
    <n v="1.7779000000000211E-2"/>
    <n v="1.0215419212645749"/>
    <n v="1.7881230000000004"/>
    <n v="0.84310000000000007"/>
  </r>
  <r>
    <x v="1"/>
    <x v="78"/>
    <x v="9"/>
    <n v="0"/>
    <m/>
    <m/>
    <n v="963.07899999999995"/>
    <n v="349.35700000000008"/>
    <n v="1697.268"/>
    <n v="1697.268"/>
    <n v="1697.268"/>
    <n v="1697.268"/>
    <n v="1697.268"/>
    <n v="1697.268"/>
    <n v="1697.268"/>
    <n v="0"/>
    <m/>
    <m/>
    <n v="972.67"/>
    <n v="349.78000000000003"/>
    <n v="248.85999999999999"/>
    <n v="0"/>
    <n v="0"/>
    <n v="0"/>
    <n v="0"/>
    <n v="0"/>
    <n v="0"/>
    <n v="3.0097040000000002"/>
    <n v="1.57131"/>
    <n v="-1.4383940000000002"/>
    <n v="0.52208124121176036"/>
    <n v="13.193312000000001"/>
    <n v="1.57131"/>
  </r>
  <r>
    <x v="1"/>
    <x v="79"/>
    <x v="15"/>
    <m/>
    <m/>
    <m/>
    <n v="0"/>
    <n v="0"/>
    <n v="378.20799999999997"/>
    <m/>
    <m/>
    <m/>
    <m/>
    <m/>
    <m/>
    <m/>
    <m/>
    <m/>
    <n v="0"/>
    <n v="0"/>
    <n v="0"/>
    <m/>
    <m/>
    <m/>
    <m/>
    <m/>
    <m/>
    <n v="0.37820799999999999"/>
    <n v="0"/>
    <n v="-0.37820799999999999"/>
    <n v="0"/>
    <n v="0.37820799999999999"/>
    <n v="0"/>
  </r>
  <r>
    <x v="1"/>
    <x v="79"/>
    <x v="10"/>
    <m/>
    <m/>
    <m/>
    <n v="92.197000000000003"/>
    <n v="183.02600000000001"/>
    <n v="0"/>
    <m/>
    <m/>
    <m/>
    <m/>
    <m/>
    <m/>
    <m/>
    <m/>
    <m/>
    <n v="91.36"/>
    <n v="190.33"/>
    <n v="104.66"/>
    <m/>
    <m/>
    <m/>
    <m/>
    <m/>
    <m/>
    <n v="0.275223"/>
    <n v="0.38635000000000003"/>
    <n v="0.11112700000000003"/>
    <n v="1.4037707604378995"/>
    <n v="0.275223"/>
    <n v="0.38635000000000003"/>
  </r>
  <r>
    <x v="1"/>
    <x v="79"/>
    <x v="11"/>
    <m/>
    <m/>
    <m/>
    <n v="0"/>
    <n v="0"/>
    <n v="756.41599999999994"/>
    <m/>
    <m/>
    <m/>
    <m/>
    <m/>
    <m/>
    <m/>
    <m/>
    <m/>
    <n v="0"/>
    <n v="0"/>
    <n v="0"/>
    <m/>
    <m/>
    <m/>
    <m/>
    <m/>
    <m/>
    <n v="0.75641599999999998"/>
    <n v="0"/>
    <n v="-0.75641599999999998"/>
    <n v="0"/>
    <n v="0.75641599999999998"/>
    <n v="0"/>
  </r>
  <r>
    <x v="1"/>
    <x v="79"/>
    <x v="9"/>
    <n v="0"/>
    <n v="0"/>
    <n v="0"/>
    <n v="744.452"/>
    <n v="467.10700000000003"/>
    <n v="1349.1979999999999"/>
    <m/>
    <m/>
    <m/>
    <m/>
    <m/>
    <m/>
    <n v="0"/>
    <n v="0"/>
    <n v="0"/>
    <n v="748.26"/>
    <n v="491.4"/>
    <n v="2504.85"/>
    <m/>
    <m/>
    <m/>
    <m/>
    <m/>
    <m/>
    <n v="2.5607569999999997"/>
    <n v="3.7445099999999996"/>
    <n v="1.1837529999999998"/>
    <n v="1.4622668218811858"/>
    <n v="2.5607569999999997"/>
    <n v="3.7445099999999996"/>
  </r>
  <r>
    <x v="1"/>
    <x v="79"/>
    <x v="17"/>
    <m/>
    <m/>
    <m/>
    <n v="290.64300000000003"/>
    <m/>
    <n v="0"/>
    <m/>
    <m/>
    <m/>
    <m/>
    <m/>
    <m/>
    <m/>
    <m/>
    <m/>
    <n v="292.33999999999997"/>
    <m/>
    <n v="54.19"/>
    <m/>
    <m/>
    <m/>
    <m/>
    <m/>
    <m/>
    <n v="0.29064300000000004"/>
    <n v="0.34652999999999995"/>
    <n v="5.5886999999999909E-2"/>
    <n v="1.1922874454227348"/>
    <n v="0.29064300000000004"/>
    <n v="0.34652999999999995"/>
  </r>
  <r>
    <x v="1"/>
    <x v="79"/>
    <x v="16"/>
    <m/>
    <m/>
    <m/>
    <n v="205.62700000000001"/>
    <n v="263.05399999999997"/>
    <n v="378.20799999999997"/>
    <m/>
    <m/>
    <m/>
    <m/>
    <m/>
    <m/>
    <m/>
    <m/>
    <m/>
    <n v="203.76"/>
    <n v="266.58"/>
    <n v="293.35000000000002"/>
    <m/>
    <m/>
    <m/>
    <m/>
    <m/>
    <m/>
    <n v="0.84688899999999989"/>
    <n v="0.76369000000000009"/>
    <n v="-8.3198999999999801E-2"/>
    <n v="0.90175926242990545"/>
    <n v="0.84688899999999989"/>
    <n v="0.76369000000000009"/>
  </r>
  <r>
    <x v="1"/>
    <x v="79"/>
    <x v="14"/>
    <m/>
    <m/>
    <m/>
    <n v="0"/>
    <n v="0"/>
    <n v="378.20799999999997"/>
    <m/>
    <m/>
    <m/>
    <m/>
    <m/>
    <m/>
    <m/>
    <m/>
    <m/>
    <n v="0"/>
    <n v="0"/>
    <n v="0"/>
    <m/>
    <m/>
    <m/>
    <m/>
    <m/>
    <m/>
    <n v="0.37820799999999999"/>
    <n v="0"/>
    <n v="-0.37820799999999999"/>
    <n v="0"/>
    <n v="0.37820799999999999"/>
    <n v="0"/>
  </r>
  <r>
    <x v="1"/>
    <x v="29"/>
    <x v="15"/>
    <n v="0"/>
    <n v="0"/>
    <n v="0"/>
    <n v="478.745"/>
    <n v="98.331999999999994"/>
    <n v="47.578000000000003"/>
    <n v="47.578000000000003"/>
    <n v="47.578000000000003"/>
    <n v="47.578000000000003"/>
    <n v="47.578000000000003"/>
    <n v="47.578000000000003"/>
    <n v="47.578000000000003"/>
    <n v="0"/>
    <n v="0"/>
    <n v="0"/>
    <n v="479.28"/>
    <n v="97.14"/>
    <n v="110.93"/>
    <n v="0"/>
    <n v="0"/>
    <n v="0"/>
    <n v="0"/>
    <n v="0"/>
    <n v="0"/>
    <n v="0.62465499999999996"/>
    <n v="0.68734999999999991"/>
    <n v="6.2694999999999945E-2"/>
    <n v="1.100367402806349"/>
    <n v="0.91012299999999979"/>
    <n v="0.68734999999999991"/>
  </r>
  <r>
    <x v="1"/>
    <x v="29"/>
    <x v="10"/>
    <n v="0"/>
    <n v="461.53199999999998"/>
    <n v="0"/>
    <n v="255.68600000000001"/>
    <n v="0"/>
    <n v="1231.71"/>
    <n v="1231.71"/>
    <n v="1231.71"/>
    <n v="1231.71"/>
    <n v="1231.71"/>
    <n v="1231.71"/>
    <n v="1231.71"/>
    <n v="0"/>
    <n v="471.21000000000004"/>
    <n v="0"/>
    <n v="256.94000000000005"/>
    <n v="0"/>
    <n v="366.71"/>
    <n v="0"/>
    <n v="0"/>
    <n v="0"/>
    <n v="0"/>
    <n v="0"/>
    <n v="0"/>
    <n v="1.948928"/>
    <n v="1.0948600000000002"/>
    <n v="-0.85406799999999983"/>
    <n v="0.5617754991461974"/>
    <n v="9.339188"/>
    <n v="1.0948600000000002"/>
  </r>
  <r>
    <x v="1"/>
    <x v="29"/>
    <x v="11"/>
    <n v="0"/>
    <n v="1034.3209999999999"/>
    <n v="1230.154"/>
    <n v="7685.2150000000001"/>
    <n v="2026.375"/>
    <n v="3303.1479999999997"/>
    <n v="3303.1479999999997"/>
    <n v="3303.1479999999997"/>
    <n v="3303.1479999999997"/>
    <n v="3303.1479999999997"/>
    <n v="3303.1479999999997"/>
    <n v="3303.1479999999997"/>
    <n v="0"/>
    <n v="1056.01"/>
    <n v="1241.29"/>
    <n v="7689.04"/>
    <n v="2001.8100000000002"/>
    <n v="2451.66"/>
    <n v="0"/>
    <n v="0"/>
    <n v="0"/>
    <n v="0"/>
    <n v="0"/>
    <n v="0"/>
    <n v="15.279213"/>
    <n v="14.43981"/>
    <n v="-0.83940300000000079"/>
    <n v="0.94506241911805267"/>
    <n v="35.098101"/>
    <n v="14.43981"/>
  </r>
  <r>
    <x v="1"/>
    <x v="29"/>
    <x v="9"/>
    <n v="597.99300000000005"/>
    <n v="2121.4360000000001"/>
    <n v="3326.4030000000002"/>
    <n v="24468.414000000004"/>
    <n v="9444.4619999999995"/>
    <n v="5767.6809999999996"/>
    <n v="8031.7179999999998"/>
    <n v="5767.6809999999996"/>
    <n v="5767.6809999999996"/>
    <n v="8031.7179999999998"/>
    <n v="5767.6809999999996"/>
    <n v="5767.6809999999996"/>
    <n v="589.15"/>
    <n v="2165.92"/>
    <n v="3356.77"/>
    <n v="24696.719999999998"/>
    <n v="9446.92"/>
    <n v="6704.8899999999994"/>
    <n v="0"/>
    <n v="0"/>
    <n v="0"/>
    <n v="0"/>
    <n v="0"/>
    <n v="0"/>
    <n v="45.726389000000005"/>
    <n v="46.960369999999998"/>
    <n v="1.2339809999999929"/>
    <n v="1.0269861895283268"/>
    <n v="84.860548999999978"/>
    <n v="46.960369999999998"/>
  </r>
  <r>
    <x v="1"/>
    <x v="29"/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29"/>
    <x v="16"/>
    <n v="0"/>
    <n v="629.08600000000001"/>
    <n v="949.29700000000003"/>
    <n v="1428.8760000000002"/>
    <n v="597.00599999999997"/>
    <n v="0"/>
    <n v="0"/>
    <n v="0"/>
    <n v="0"/>
    <n v="0"/>
    <n v="0"/>
    <n v="0"/>
    <n v="0"/>
    <n v="642.28"/>
    <n v="957.89"/>
    <n v="1433.69"/>
    <n v="589.77"/>
    <n v="727.22"/>
    <n v="0"/>
    <n v="0"/>
    <n v="0"/>
    <n v="0"/>
    <n v="0"/>
    <n v="0"/>
    <n v="3.6042649999999998"/>
    <n v="4.3508500000000003"/>
    <n v="0.7465850000000005"/>
    <n v="1.2071393196671167"/>
    <n v="3.6042649999999998"/>
    <n v="4.3508500000000003"/>
  </r>
  <r>
    <x v="1"/>
    <x v="29"/>
    <x v="19"/>
    <m/>
    <m/>
    <m/>
    <n v="202.42"/>
    <n v="133.62100000000001"/>
    <m/>
    <m/>
    <m/>
    <m/>
    <m/>
    <m/>
    <m/>
    <m/>
    <m/>
    <m/>
    <n v="198.5"/>
    <n v="132"/>
    <m/>
    <m/>
    <m/>
    <m/>
    <m/>
    <m/>
    <m/>
    <n v="0.33604099999999998"/>
    <n v="0.33050000000000002"/>
    <n v="-5.5409999999999626E-3"/>
    <n v="0.98351094062926858"/>
    <n v="0.33604099999999998"/>
    <n v="0.33050000000000002"/>
  </r>
  <r>
    <x v="1"/>
    <x v="29"/>
    <x v="13"/>
    <n v="0"/>
    <n v="662.97500000000002"/>
    <n v="534.70399999999995"/>
    <n v="665.68600000000004"/>
    <n v="406.44099999999997"/>
    <n v="552.30799999999999"/>
    <n v="552.30799999999999"/>
    <n v="552.30799999999999"/>
    <n v="552.30799999999999"/>
    <n v="552.30799999999999"/>
    <n v="552.30799999999999"/>
    <n v="552.30799999999999"/>
    <n v="0"/>
    <n v="676.02"/>
    <n v="538.53"/>
    <n v="661.37"/>
    <n v="402.58000000000004"/>
    <n v="402.24"/>
    <n v="1895"/>
    <n v="0"/>
    <n v="0"/>
    <n v="0"/>
    <n v="0"/>
    <n v="0"/>
    <n v="2.822114"/>
    <n v="2.6807399999999997"/>
    <n v="-0.14137400000000033"/>
    <n v="0.94990492942524629"/>
    <n v="6.1359620000000001"/>
    <n v="2.6807399999999997"/>
  </r>
  <r>
    <x v="1"/>
    <x v="29"/>
    <x v="14"/>
    <n v="0"/>
    <n v="1146.6559999999999"/>
    <n v="1323.0130000000001"/>
    <n v="2395.5709999999999"/>
    <n v="0"/>
    <n v="821.96500000000003"/>
    <n v="821.96500000000003"/>
    <n v="821.96500000000003"/>
    <n v="821.96500000000003"/>
    <n v="821.96500000000003"/>
    <n v="821.96500000000003"/>
    <n v="821.96500000000003"/>
    <n v="0"/>
    <n v="1170.7"/>
    <n v="1334.9899999999998"/>
    <n v="2398.27"/>
    <n v="0"/>
    <n v="0"/>
    <n v="0"/>
    <n v="0"/>
    <n v="0"/>
    <n v="0"/>
    <n v="0"/>
    <n v="0"/>
    <n v="5.6872049999999996"/>
    <n v="4.9039599999999988"/>
    <n v="-0.78324500000000086"/>
    <n v="0.86227945009895002"/>
    <n v="10.618995"/>
    <n v="4.9039599999999988"/>
  </r>
  <r>
    <x v="1"/>
    <x v="80"/>
    <x v="9"/>
    <m/>
    <m/>
    <m/>
    <m/>
    <m/>
    <n v="0"/>
    <m/>
    <m/>
    <m/>
    <m/>
    <m/>
    <m/>
    <m/>
    <m/>
    <m/>
    <m/>
    <m/>
    <n v="3898.23"/>
    <m/>
    <m/>
    <m/>
    <m/>
    <m/>
    <m/>
    <n v="0"/>
    <n v="3.8982299999999999"/>
    <n v="3.8982299999999999"/>
    <n v="1.0000110000110001"/>
    <n v="0"/>
    <n v="3.8982299999999999"/>
  </r>
  <r>
    <x v="1"/>
    <x v="81"/>
    <x v="15"/>
    <n v="1.3660000000000001"/>
    <m/>
    <m/>
    <m/>
    <m/>
    <m/>
    <m/>
    <m/>
    <m/>
    <m/>
    <m/>
    <m/>
    <n v="1.36"/>
    <m/>
    <m/>
    <m/>
    <m/>
    <m/>
    <m/>
    <m/>
    <m/>
    <m/>
    <m/>
    <m/>
    <n v="1.366E-3"/>
    <n v="1.3600000000000001E-3"/>
    <n v="-5.999999999999929E-6"/>
    <n v="0.99560761346998539"/>
    <n v="1.366E-3"/>
    <n v="1.3600000000000001E-3"/>
  </r>
  <r>
    <x v="1"/>
    <x v="81"/>
    <x v="10"/>
    <n v="55.013000000000005"/>
    <n v="17.863"/>
    <n v="13.076000000000001"/>
    <m/>
    <m/>
    <m/>
    <m/>
    <m/>
    <m/>
    <m/>
    <m/>
    <m/>
    <n v="55.009999999999991"/>
    <n v="17.71"/>
    <n v="12.98"/>
    <m/>
    <m/>
    <m/>
    <m/>
    <m/>
    <m/>
    <m/>
    <m/>
    <m/>
    <n v="8.5952000000000001E-2"/>
    <n v="8.5699999999999998E-2"/>
    <n v="-2.5200000000000222E-4"/>
    <n v="0.99706813104988823"/>
    <n v="8.5952000000000001E-2"/>
    <n v="8.5699999999999998E-2"/>
  </r>
  <r>
    <x v="1"/>
    <x v="81"/>
    <x v="11"/>
    <n v="0"/>
    <n v="586.76400000000001"/>
    <n v="683.49900000000002"/>
    <m/>
    <n v="352.012"/>
    <m/>
    <m/>
    <m/>
    <m/>
    <m/>
    <m/>
    <m/>
    <n v="0"/>
    <n v="586.76"/>
    <n v="679.07"/>
    <m/>
    <n v="353.68"/>
    <m/>
    <m/>
    <m/>
    <m/>
    <m/>
    <m/>
    <m/>
    <n v="1.6222749999999999"/>
    <n v="1.61951"/>
    <n v="-2.7649999999999064E-3"/>
    <n v="0.99829560339646495"/>
    <n v="1.6222749999999999"/>
    <n v="1.61951"/>
  </r>
  <r>
    <x v="1"/>
    <x v="81"/>
    <x v="9"/>
    <n v="81.001999999999995"/>
    <n v="131.036"/>
    <n v="189.63300000000001"/>
    <n v="249.17100000000002"/>
    <n v="17.134"/>
    <m/>
    <m/>
    <m/>
    <m/>
    <m/>
    <m/>
    <m/>
    <n v="80.97"/>
    <n v="130.6"/>
    <n v="188.67000000000002"/>
    <n v="271.75999999999993"/>
    <n v="17.209999999999997"/>
    <m/>
    <m/>
    <m/>
    <m/>
    <m/>
    <m/>
    <m/>
    <n v="0.66797600000000013"/>
    <n v="0.68920999999999999"/>
    <n v="2.1233999999999864E-2"/>
    <n v="1.0317885672539131"/>
    <n v="0.66797600000000013"/>
    <n v="0.68920999999999999"/>
  </r>
  <r>
    <x v="1"/>
    <x v="81"/>
    <x v="16"/>
    <n v="0"/>
    <n v="1.6910000000000001"/>
    <n v="0.09"/>
    <m/>
    <m/>
    <m/>
    <m/>
    <m/>
    <m/>
    <m/>
    <m/>
    <m/>
    <n v="0"/>
    <n v="1.68"/>
    <n v="0.09"/>
    <m/>
    <m/>
    <m/>
    <m/>
    <m/>
    <m/>
    <m/>
    <m/>
    <m/>
    <n v="1.781E-3"/>
    <n v="1.7700000000000001E-3"/>
    <n v="-1.0999999999999942E-5"/>
    <n v="0.99382369455362163"/>
    <n v="1.781E-3"/>
    <n v="1.7700000000000001E-3"/>
  </r>
  <r>
    <x v="1"/>
    <x v="81"/>
    <x v="14"/>
    <n v="0"/>
    <n v="108.074"/>
    <n v="1.1019999999999999"/>
    <n v="2.226"/>
    <m/>
    <m/>
    <m/>
    <m/>
    <m/>
    <m/>
    <m/>
    <m/>
    <n v="0"/>
    <n v="106.52"/>
    <n v="1.0899999999999999"/>
    <n v="2.2400000000000002"/>
    <m/>
    <m/>
    <m/>
    <m/>
    <m/>
    <m/>
    <m/>
    <m/>
    <n v="0.111402"/>
    <n v="0.10984999999999999"/>
    <n v="-1.5520000000000117E-3"/>
    <n v="0.98606847273837084"/>
    <n v="0.111402"/>
    <n v="0.10984999999999999"/>
  </r>
  <r>
    <x v="1"/>
    <x v="82"/>
    <x v="15"/>
    <n v="3.5289999999999999"/>
    <m/>
    <m/>
    <m/>
    <m/>
    <m/>
    <m/>
    <m/>
    <m/>
    <m/>
    <m/>
    <m/>
    <n v="3.42"/>
    <m/>
    <m/>
    <m/>
    <m/>
    <m/>
    <m/>
    <m/>
    <m/>
    <m/>
    <m/>
    <m/>
    <n v="3.529E-3"/>
    <n v="3.4199999999999999E-3"/>
    <n v="-1.0900000000000016E-4"/>
    <n v="0.96911306319070556"/>
    <n v="3.529E-3"/>
    <n v="3.4199999999999999E-3"/>
  </r>
  <r>
    <x v="1"/>
    <x v="82"/>
    <x v="10"/>
    <n v="95.248000000000005"/>
    <n v="16.974"/>
    <m/>
    <m/>
    <n v="23.42"/>
    <n v="0"/>
    <m/>
    <m/>
    <m/>
    <m/>
    <m/>
    <m/>
    <n v="93.84"/>
    <n v="17.329999999999998"/>
    <m/>
    <m/>
    <n v="23.48"/>
    <n v="21.14"/>
    <m/>
    <m/>
    <m/>
    <m/>
    <m/>
    <m/>
    <n v="0.13564199999999998"/>
    <n v="0.15579000000000001"/>
    <n v="2.0148000000000027E-2"/>
    <n v="1.1485380634316806"/>
    <n v="0.13564199999999998"/>
    <n v="0.15579000000000001"/>
  </r>
  <r>
    <x v="1"/>
    <x v="82"/>
    <x v="11"/>
    <n v="0"/>
    <n v="123.95099999999999"/>
    <n v="156.87"/>
    <n v="843.38800000000003"/>
    <n v="337.50099999999998"/>
    <n v="257.81799999999998"/>
    <n v="257.81799999999998"/>
    <n v="257.81799999999998"/>
    <n v="257.81799999999998"/>
    <n v="257.81799999999998"/>
    <n v="257.81799999999998"/>
    <n v="257.81799999999998"/>
    <n v="0"/>
    <n v="126.55"/>
    <n v="158.29"/>
    <n v="844.44999999999993"/>
    <n v="333.40999999999997"/>
    <n v="395.32"/>
    <n v="0"/>
    <n v="0"/>
    <n v="0"/>
    <n v="0"/>
    <n v="0"/>
    <n v="0"/>
    <n v="1.7195279999999999"/>
    <n v="1.8580199999999998"/>
    <n v="0.13849199999999984"/>
    <n v="1.0805407065194634"/>
    <n v="3.2664360000000006"/>
    <n v="1.8580199999999998"/>
  </r>
  <r>
    <x v="1"/>
    <x v="82"/>
    <x v="9"/>
    <n v="55.643000000000001"/>
    <n v="308.58799999999997"/>
    <n v="522.86900000000003"/>
    <n v="266.71699999999998"/>
    <n v="354.50700000000001"/>
    <n v="430.42000000000007"/>
    <n v="430.42000000000007"/>
    <n v="430.42000000000007"/>
    <n v="430.42000000000007"/>
    <n v="430.42000000000007"/>
    <n v="430.42000000000007"/>
    <n v="430.42000000000007"/>
    <n v="53.959999999999994"/>
    <n v="315.83"/>
    <n v="531.63"/>
    <n v="320.43"/>
    <n v="355.0200000000001"/>
    <n v="343.7"/>
    <n v="0"/>
    <n v="0"/>
    <n v="0"/>
    <n v="0"/>
    <n v="0"/>
    <n v="0"/>
    <n v="1.9387440000000002"/>
    <n v="1.9205699999999999"/>
    <n v="-1.8174000000000357E-2"/>
    <n v="0.99062588975130272"/>
    <n v="4.5212640000000013"/>
    <n v="1.9205699999999999"/>
  </r>
  <r>
    <x v="1"/>
    <x v="82"/>
    <x v="16"/>
    <n v="0"/>
    <n v="4.0919999999999996"/>
    <n v="0.215"/>
    <n v="0"/>
    <n v="0"/>
    <n v="156.083"/>
    <n v="156.083"/>
    <n v="156.083"/>
    <n v="156.083"/>
    <n v="156.083"/>
    <n v="156.083"/>
    <n v="156.083"/>
    <n v="0"/>
    <n v="4.2300000000000004"/>
    <n v="0.22"/>
    <n v="0"/>
    <n v="0"/>
    <n v="0"/>
    <n v="0"/>
    <n v="0"/>
    <n v="0"/>
    <n v="0"/>
    <n v="0"/>
    <n v="0"/>
    <n v="0.16038999999999998"/>
    <n v="4.45E-3"/>
    <n v="-0.15593999999999997"/>
    <n v="2.7744871874805167E-2"/>
    <n v="1.0968879999999999"/>
    <n v="4.45E-3"/>
  </r>
  <r>
    <x v="1"/>
    <x v="82"/>
    <x v="14"/>
    <n v="386.62700000000001"/>
    <n v="0"/>
    <n v="2.7160000000000002"/>
    <n v="23.036000000000001"/>
    <n v="11.99"/>
    <n v="818.23299999999995"/>
    <n v="818.23299999999995"/>
    <n v="818.23299999999995"/>
    <n v="818.23299999999995"/>
    <n v="818.23299999999995"/>
    <n v="818.23299999999995"/>
    <n v="818.23299999999995"/>
    <n v="380.90999999999997"/>
    <n v="0"/>
    <n v="2.77"/>
    <n v="23.04"/>
    <n v="11.969999999999999"/>
    <n v="1.9000000000000001"/>
    <n v="0"/>
    <n v="0"/>
    <n v="0"/>
    <n v="0"/>
    <n v="0"/>
    <n v="0"/>
    <n v="1.2426019999999998"/>
    <n v="0.42058999999999991"/>
    <n v="-0.82201199999999985"/>
    <n v="0.33847523181195588"/>
    <n v="6.152000000000001"/>
    <n v="0.42058999999999991"/>
  </r>
  <r>
    <x v="1"/>
    <x v="83"/>
    <x v="15"/>
    <n v="0"/>
    <n v="0"/>
    <n v="0"/>
    <n v="0"/>
    <n v="0"/>
    <n v="184.54399999999998"/>
    <n v="184.54399999999998"/>
    <n v="184.54399999999998"/>
    <n v="184.54399999999998"/>
    <n v="184.54399999999998"/>
    <n v="184.54399999999998"/>
    <n v="184.54399999999998"/>
    <n v="0"/>
    <n v="0"/>
    <n v="0"/>
    <n v="0"/>
    <n v="0"/>
    <n v="0"/>
    <n v="0"/>
    <n v="0"/>
    <n v="0"/>
    <n v="0"/>
    <n v="0"/>
    <n v="0"/>
    <n v="0.18454399999999999"/>
    <n v="0"/>
    <n v="-0.18454399999999999"/>
    <n v="0"/>
    <n v="1.2918080000000001"/>
    <n v="0"/>
  </r>
  <r>
    <x v="1"/>
    <x v="83"/>
    <x v="11"/>
    <n v="0"/>
    <n v="0"/>
    <n v="0"/>
    <n v="0"/>
    <n v="0"/>
    <n v="369.08800000000002"/>
    <n v="369.08800000000002"/>
    <n v="369.08800000000002"/>
    <n v="369.08800000000002"/>
    <n v="369.08800000000002"/>
    <n v="369.08800000000002"/>
    <n v="369.08800000000002"/>
    <n v="0"/>
    <n v="0"/>
    <n v="0"/>
    <n v="0"/>
    <n v="0"/>
    <n v="0"/>
    <n v="0"/>
    <n v="0"/>
    <n v="0"/>
    <n v="0"/>
    <n v="0"/>
    <n v="0"/>
    <n v="0.36908800000000003"/>
    <n v="0"/>
    <n v="-0.36908800000000003"/>
    <n v="0"/>
    <n v="2.5836160000000006"/>
    <n v="0"/>
  </r>
  <r>
    <x v="1"/>
    <x v="83"/>
    <x v="9"/>
    <n v="0"/>
    <n v="0"/>
    <n v="0"/>
    <n v="1007.609"/>
    <n v="355.053"/>
    <n v="618.24400000000003"/>
    <n v="618.24400000000003"/>
    <n v="618.24400000000003"/>
    <n v="618.24400000000003"/>
    <n v="618.24400000000003"/>
    <n v="618.24400000000003"/>
    <n v="618.24400000000003"/>
    <n v="0"/>
    <n v="0"/>
    <n v="0"/>
    <n v="1017.9100000000001"/>
    <n v="356.31"/>
    <n v="253.67000000000002"/>
    <n v="0"/>
    <n v="0"/>
    <n v="0"/>
    <n v="0"/>
    <n v="0"/>
    <n v="0"/>
    <n v="1.9809060000000001"/>
    <n v="1.6278900000000001"/>
    <n v="-0.353016"/>
    <n v="0.82179063519419904"/>
    <n v="5.6903699999999997"/>
    <n v="1.6278900000000001"/>
  </r>
  <r>
    <x v="1"/>
    <x v="83"/>
    <x v="16"/>
    <n v="0"/>
    <n v="0"/>
    <n v="0"/>
    <n v="0"/>
    <n v="0"/>
    <n v="184.553"/>
    <n v="184.553"/>
    <n v="184.553"/>
    <n v="184.553"/>
    <n v="184.553"/>
    <n v="184.553"/>
    <n v="184.553"/>
    <n v="0"/>
    <n v="0"/>
    <n v="0"/>
    <n v="0"/>
    <n v="0"/>
    <n v="0"/>
    <n v="0"/>
    <n v="0"/>
    <n v="0"/>
    <n v="0"/>
    <n v="0"/>
    <n v="0"/>
    <n v="0.18455299999999999"/>
    <n v="0"/>
    <n v="-0.18455299999999999"/>
    <n v="0"/>
    <n v="1.291871"/>
    <n v="0"/>
  </r>
  <r>
    <x v="1"/>
    <x v="83"/>
    <x v="14"/>
    <n v="0"/>
    <n v="0"/>
    <n v="0"/>
    <n v="270.18"/>
    <n v="729.52499999999998"/>
    <n v="184.54399999999998"/>
    <n v="184.54399999999998"/>
    <n v="184.54399999999998"/>
    <n v="184.54399999999998"/>
    <n v="184.54399999999998"/>
    <n v="184.54399999999998"/>
    <n v="184.54399999999998"/>
    <n v="0"/>
    <n v="0"/>
    <n v="0"/>
    <n v="268.64"/>
    <n v="725.03"/>
    <n v="1085.2"/>
    <n v="0"/>
    <n v="0"/>
    <n v="0"/>
    <n v="0"/>
    <n v="0"/>
    <n v="0"/>
    <n v="1.1842489999999999"/>
    <n v="2.0788699999999998"/>
    <n v="0.89462099999999989"/>
    <n v="1.7554331901483555"/>
    <n v="2.2915129999999988"/>
    <n v="2.0788699999999998"/>
  </r>
  <r>
    <x v="1"/>
    <x v="84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84"/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84"/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8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85"/>
    <x v="9"/>
    <n v="642.59699999999998"/>
    <m/>
    <m/>
    <m/>
    <m/>
    <m/>
    <m/>
    <m/>
    <m/>
    <m/>
    <m/>
    <m/>
    <n v="654.08000000000004"/>
    <m/>
    <m/>
    <m/>
    <m/>
    <m/>
    <m/>
    <m/>
    <m/>
    <m/>
    <m/>
    <m/>
    <n v="0.64259699999999997"/>
    <n v="0.65407999999999999"/>
    <n v="1.1483000000000021E-2"/>
    <n v="1.0178696757065471"/>
    <n v="0.64259699999999997"/>
    <n v="0.65407999999999999"/>
  </r>
  <r>
    <x v="1"/>
    <x v="30"/>
    <x v="15"/>
    <m/>
    <n v="201.83"/>
    <n v="281.77999999999997"/>
    <n v="2271.5499999999997"/>
    <n v="1494.56"/>
    <n v="0"/>
    <m/>
    <m/>
    <m/>
    <m/>
    <m/>
    <m/>
    <m/>
    <n v="201.82999999999998"/>
    <n v="281.77999999999997"/>
    <n v="2271.5499999999997"/>
    <n v="1494.56"/>
    <n v="1101.3399999999999"/>
    <m/>
    <m/>
    <m/>
    <m/>
    <m/>
    <m/>
    <n v="4.2497199999999991"/>
    <n v="5.3510599999999995"/>
    <n v="1.1013400000000004"/>
    <n v="1.2591558973297066"/>
    <n v="4.2497199999999991"/>
    <n v="5.3510599999999995"/>
  </r>
  <r>
    <x v="1"/>
    <x v="30"/>
    <x v="10"/>
    <m/>
    <n v="183.44"/>
    <m/>
    <n v="446.91999999999996"/>
    <n v="1152.27"/>
    <n v="0"/>
    <m/>
    <m/>
    <m/>
    <m/>
    <m/>
    <m/>
    <m/>
    <n v="183.44"/>
    <m/>
    <n v="446.92"/>
    <n v="1152.27"/>
    <n v="467.87"/>
    <m/>
    <m/>
    <m/>
    <m/>
    <m/>
    <m/>
    <n v="1.7826299999999999"/>
    <n v="2.2505000000000002"/>
    <n v="0.46787000000000023"/>
    <n v="1.2624605218132761"/>
    <n v="1.7826299999999999"/>
    <n v="2.2505000000000002"/>
  </r>
  <r>
    <x v="1"/>
    <x v="30"/>
    <x v="11"/>
    <n v="0"/>
    <n v="3937.0899999999997"/>
    <n v="2515.14"/>
    <n v="8343.2999999999993"/>
    <n v="3032.08"/>
    <n v="3404"/>
    <n v="3404"/>
    <n v="3404"/>
    <n v="3404"/>
    <n v="3404"/>
    <n v="3404"/>
    <n v="3404"/>
    <n v="0"/>
    <n v="3937.09"/>
    <n v="2515.14"/>
    <n v="8343.2999999999993"/>
    <n v="3032.08"/>
    <n v="1239.33"/>
    <n v="0"/>
    <n v="0"/>
    <n v="0"/>
    <n v="0"/>
    <n v="0"/>
    <n v="0"/>
    <n v="21.23161"/>
    <n v="19.066940000000002"/>
    <n v="-2.1646699999999974"/>
    <n v="0.89804494336510521"/>
    <n v="41.655610000000003"/>
    <n v="19.066940000000002"/>
  </r>
  <r>
    <x v="1"/>
    <x v="30"/>
    <x v="9"/>
    <n v="657.14"/>
    <n v="2398.27"/>
    <n v="2660.2"/>
    <n v="22466.440000000002"/>
    <n v="10692.41"/>
    <n v="13443.328000000001"/>
    <n v="13443.328000000001"/>
    <n v="13443.328000000001"/>
    <n v="13443.328000000001"/>
    <n v="13443.328000000001"/>
    <n v="13443.328000000001"/>
    <n v="13443.328000000001"/>
    <n v="657.14"/>
    <n v="2398.27"/>
    <n v="2660.2"/>
    <n v="22466.44"/>
    <n v="10707.769999999997"/>
    <n v="5528.21"/>
    <n v="0"/>
    <n v="0"/>
    <n v="0"/>
    <n v="0"/>
    <n v="0"/>
    <n v="0"/>
    <n v="52.317788000000007"/>
    <n v="44.418029999999995"/>
    <n v="-7.8997580000000127"/>
    <n v="0.8490043577530455"/>
    <n v="132.97775600000006"/>
    <n v="44.418029999999995"/>
  </r>
  <r>
    <x v="1"/>
    <x v="30"/>
    <x v="16"/>
    <n v="0"/>
    <n v="1756.97"/>
    <n v="2841.68"/>
    <n v="3925.85"/>
    <n v="2587.54"/>
    <n v="1104.549"/>
    <n v="1104.549"/>
    <n v="1104.549"/>
    <n v="1104.549"/>
    <n v="1104.549"/>
    <n v="1104.549"/>
    <n v="1104.549"/>
    <n v="0"/>
    <n v="1756.97"/>
    <n v="2841.68"/>
    <n v="3925.85"/>
    <n v="2587.54"/>
    <n v="2427.86"/>
    <n v="0"/>
    <n v="0"/>
    <n v="0"/>
    <n v="0"/>
    <n v="0"/>
    <n v="0"/>
    <n v="12.216589000000001"/>
    <n v="13.539900000000001"/>
    <n v="1.3233110000000003"/>
    <n v="1.1083208250682739"/>
    <n v="18.843882999999995"/>
    <n v="13.539900000000001"/>
  </r>
  <r>
    <x v="1"/>
    <x v="30"/>
    <x v="12"/>
    <m/>
    <n v="109.85"/>
    <n v="126.36999999999999"/>
    <n v="227.38"/>
    <n v="107.33999999999999"/>
    <n v="0"/>
    <m/>
    <m/>
    <m/>
    <m/>
    <m/>
    <m/>
    <m/>
    <n v="109.85"/>
    <n v="126.36999999999999"/>
    <n v="227.38"/>
    <n v="107.33999999999999"/>
    <n v="122.6"/>
    <m/>
    <m/>
    <m/>
    <m/>
    <m/>
    <m/>
    <n v="0.57093999999999989"/>
    <n v="0.69353999999999993"/>
    <n v="0.12260000000000004"/>
    <n v="1.2147335972256281"/>
    <n v="0.57093999999999989"/>
    <n v="0.69353999999999993"/>
  </r>
  <r>
    <x v="1"/>
    <x v="30"/>
    <x v="19"/>
    <m/>
    <m/>
    <m/>
    <m/>
    <n v="66.010000000000005"/>
    <m/>
    <m/>
    <m/>
    <m/>
    <m/>
    <m/>
    <m/>
    <m/>
    <m/>
    <m/>
    <m/>
    <n v="66.010000000000005"/>
    <m/>
    <m/>
    <m/>
    <m/>
    <m/>
    <m/>
    <m/>
    <n v="6.6009999999999999E-2"/>
    <n v="6.6009999999999999E-2"/>
    <n v="0"/>
    <n v="1"/>
    <n v="6.6009999999999999E-2"/>
    <n v="6.6009999999999999E-2"/>
  </r>
  <r>
    <x v="1"/>
    <x v="30"/>
    <x v="13"/>
    <n v="0"/>
    <n v="2054.94"/>
    <n v="1649.31"/>
    <n v="2068.59"/>
    <n v="1255.8500000000001"/>
    <n v="4647.4380000000001"/>
    <n v="4647.4380000000001"/>
    <n v="4647.4380000000001"/>
    <n v="4647.4380000000001"/>
    <n v="4647.4380000000001"/>
    <n v="4647.4380000000001"/>
    <n v="4647.4380000000001"/>
    <n v="0"/>
    <n v="2054.94"/>
    <n v="1649.31"/>
    <n v="2068.59"/>
    <n v="1255.8500000000001"/>
    <n v="1259"/>
    <n v="5935"/>
    <n v="0"/>
    <n v="0"/>
    <n v="0"/>
    <n v="0"/>
    <n v="0"/>
    <n v="11.676128"/>
    <n v="8.2876900000000013"/>
    <n v="-3.388437999999999"/>
    <n v="0.7097978028332681"/>
    <n v="39.560756000000012"/>
    <n v="8.2876900000000013"/>
  </r>
  <r>
    <x v="1"/>
    <x v="30"/>
    <x v="14"/>
    <n v="0"/>
    <n v="102.4"/>
    <n v="939.76"/>
    <n v="5559.630000000001"/>
    <n v="2845.0099999999998"/>
    <n v="6310.27"/>
    <n v="6310.27"/>
    <n v="6310.27"/>
    <n v="6310.27"/>
    <n v="6310.27"/>
    <n v="6310.27"/>
    <n v="6310.27"/>
    <n v="0"/>
    <n v="102.39999999999999"/>
    <n v="939.76"/>
    <n v="5559.6299999999992"/>
    <n v="2845.01"/>
    <n v="2101.52"/>
    <n v="0"/>
    <n v="0"/>
    <n v="0"/>
    <n v="0"/>
    <n v="0"/>
    <n v="0"/>
    <n v="15.757070000000002"/>
    <n v="11.54832"/>
    <n v="-4.208750000000002"/>
    <n v="0.73289767704274966"/>
    <n v="53.618690000000015"/>
    <n v="11.54832"/>
  </r>
  <r>
    <x v="1"/>
    <x v="86"/>
    <x v="15"/>
    <m/>
    <m/>
    <m/>
    <n v="0"/>
    <n v="0"/>
    <n v="83.958999999999989"/>
    <m/>
    <m/>
    <m/>
    <m/>
    <m/>
    <m/>
    <m/>
    <m/>
    <m/>
    <n v="0"/>
    <n v="0"/>
    <n v="0"/>
    <m/>
    <m/>
    <m/>
    <m/>
    <m/>
    <m/>
    <n v="8.3958999999999992E-2"/>
    <n v="0"/>
    <n v="-8.3958999999999992E-2"/>
    <n v="0"/>
    <n v="8.3958999999999992E-2"/>
    <n v="0"/>
  </r>
  <r>
    <x v="1"/>
    <x v="86"/>
    <x v="11"/>
    <m/>
    <m/>
    <m/>
    <n v="0"/>
    <n v="0"/>
    <n v="167.91899999999998"/>
    <m/>
    <m/>
    <m/>
    <m/>
    <m/>
    <m/>
    <m/>
    <m/>
    <m/>
    <n v="0"/>
    <n v="0"/>
    <n v="0"/>
    <m/>
    <m/>
    <m/>
    <m/>
    <m/>
    <m/>
    <n v="0.16791899999999998"/>
    <n v="0"/>
    <n v="-0.16791899999999998"/>
    <n v="0"/>
    <n v="0.16791899999999998"/>
    <n v="0"/>
  </r>
  <r>
    <x v="1"/>
    <x v="86"/>
    <x v="9"/>
    <m/>
    <m/>
    <m/>
    <n v="86.268999999999991"/>
    <n v="42.413999999999994"/>
    <n v="281.26400000000001"/>
    <m/>
    <m/>
    <m/>
    <m/>
    <m/>
    <m/>
    <m/>
    <m/>
    <m/>
    <n v="87.36"/>
    <n v="45.339999999999996"/>
    <n v="32.270000000000003"/>
    <m/>
    <m/>
    <m/>
    <m/>
    <m/>
    <m/>
    <n v="0.40994700000000001"/>
    <n v="0.16497000000000001"/>
    <n v="-0.244977"/>
    <n v="0.40241787352999292"/>
    <n v="0.40994700000000001"/>
    <n v="0.16497000000000001"/>
  </r>
  <r>
    <x v="1"/>
    <x v="86"/>
    <x v="16"/>
    <m/>
    <m/>
    <m/>
    <n v="0"/>
    <n v="0"/>
    <n v="88.990999999999985"/>
    <m/>
    <m/>
    <m/>
    <m/>
    <m/>
    <m/>
    <m/>
    <m/>
    <m/>
    <n v="0"/>
    <n v="0"/>
    <n v="0"/>
    <m/>
    <m/>
    <m/>
    <m/>
    <m/>
    <m/>
    <n v="8.8990999999999987E-2"/>
    <n v="0"/>
    <n v="-8.8990999999999987E-2"/>
    <n v="0"/>
    <n v="8.8990999999999987E-2"/>
    <n v="0"/>
  </r>
  <r>
    <x v="1"/>
    <x v="86"/>
    <x v="14"/>
    <m/>
    <m/>
    <m/>
    <n v="0"/>
    <n v="0"/>
    <n v="83.958999999999989"/>
    <m/>
    <m/>
    <m/>
    <m/>
    <m/>
    <m/>
    <m/>
    <m/>
    <m/>
    <n v="0"/>
    <n v="0"/>
    <n v="0"/>
    <m/>
    <m/>
    <m/>
    <m/>
    <m/>
    <m/>
    <n v="8.3958999999999992E-2"/>
    <n v="0"/>
    <n v="-8.3958999999999992E-2"/>
    <n v="0"/>
    <n v="8.3958999999999992E-2"/>
    <n v="0"/>
  </r>
  <r>
    <x v="1"/>
    <x v="87"/>
    <x v="15"/>
    <m/>
    <m/>
    <m/>
    <n v="0"/>
    <n v="0"/>
    <n v="294.93599999999998"/>
    <m/>
    <m/>
    <m/>
    <m/>
    <m/>
    <m/>
    <m/>
    <m/>
    <m/>
    <n v="0"/>
    <n v="0"/>
    <n v="0"/>
    <m/>
    <m/>
    <m/>
    <m/>
    <m/>
    <m/>
    <n v="0.29493599999999998"/>
    <n v="0"/>
    <n v="-0.29493599999999998"/>
    <n v="0"/>
    <n v="0.29493599999999998"/>
    <n v="0"/>
  </r>
  <r>
    <x v="1"/>
    <x v="87"/>
    <x v="11"/>
    <m/>
    <m/>
    <m/>
    <n v="0"/>
    <n v="0"/>
    <n v="589.87300000000005"/>
    <m/>
    <m/>
    <m/>
    <m/>
    <m/>
    <m/>
    <m/>
    <m/>
    <m/>
    <n v="0"/>
    <n v="0"/>
    <n v="0"/>
    <m/>
    <m/>
    <m/>
    <m/>
    <m/>
    <m/>
    <n v="0.58987300000000009"/>
    <n v="0"/>
    <n v="-0.58987300000000009"/>
    <n v="0"/>
    <n v="0.58987300000000009"/>
    <n v="0"/>
  </r>
  <r>
    <x v="1"/>
    <x v="87"/>
    <x v="9"/>
    <m/>
    <m/>
    <m/>
    <n v="380.90299999999996"/>
    <n v="172.05199999999999"/>
    <n v="988.03700000000003"/>
    <m/>
    <m/>
    <m/>
    <m/>
    <m/>
    <m/>
    <m/>
    <m/>
    <m/>
    <n v="385.74"/>
    <n v="183.85000000000002"/>
    <n v="1634.04"/>
    <m/>
    <m/>
    <m/>
    <m/>
    <m/>
    <m/>
    <n v="1.5409919999999999"/>
    <n v="2.20363"/>
    <n v="0.66263800000000006"/>
    <n v="1.4300074237893514"/>
    <n v="1.5409919999999999"/>
    <n v="2.20363"/>
  </r>
  <r>
    <x v="1"/>
    <x v="87"/>
    <x v="16"/>
    <m/>
    <m/>
    <n v="0"/>
    <n v="0"/>
    <n v="0"/>
    <n v="312.31200000000001"/>
    <m/>
    <m/>
    <m/>
    <m/>
    <m/>
    <m/>
    <m/>
    <m/>
    <n v="0"/>
    <n v="0"/>
    <n v="0"/>
    <n v="0"/>
    <m/>
    <m/>
    <m/>
    <m/>
    <m/>
    <m/>
    <n v="0.31231200000000003"/>
    <n v="0"/>
    <n v="-0.31231200000000003"/>
    <n v="0"/>
    <n v="0.31231200000000003"/>
    <n v="0"/>
  </r>
  <r>
    <x v="1"/>
    <x v="87"/>
    <x v="14"/>
    <m/>
    <m/>
    <m/>
    <n v="0"/>
    <n v="0"/>
    <n v="294.93599999999998"/>
    <m/>
    <m/>
    <m/>
    <m/>
    <m/>
    <m/>
    <m/>
    <m/>
    <m/>
    <n v="0"/>
    <n v="0"/>
    <n v="0"/>
    <m/>
    <m/>
    <m/>
    <m/>
    <m/>
    <m/>
    <n v="0.29493599999999998"/>
    <n v="0"/>
    <n v="-0.29493599999999998"/>
    <n v="0"/>
    <n v="0.29493599999999998"/>
    <n v="0"/>
  </r>
  <r>
    <x v="1"/>
    <x v="88"/>
    <x v="11"/>
    <n v="0"/>
    <n v="357.875"/>
    <n v="355.303"/>
    <n v="311.19499999999999"/>
    <m/>
    <n v="0"/>
    <m/>
    <m/>
    <m/>
    <m/>
    <m/>
    <m/>
    <n v="0"/>
    <n v="365.38"/>
    <n v="358.52"/>
    <n v="309.42"/>
    <m/>
    <n v="-1033.32"/>
    <m/>
    <m/>
    <m/>
    <m/>
    <m/>
    <m/>
    <n v="1.024373"/>
    <n v="0"/>
    <n v="-1.024373"/>
    <n v="0"/>
    <n v="1.024373"/>
    <n v="0"/>
  </r>
  <r>
    <x v="1"/>
    <x v="88"/>
    <x v="9"/>
    <n v="8.7899999999999991"/>
    <n v="233.63"/>
    <n v="240.21499999999997"/>
    <n v="437.85700000000003"/>
    <n v="241.041"/>
    <n v="0"/>
    <m/>
    <m/>
    <m/>
    <m/>
    <m/>
    <m/>
    <n v="8.66"/>
    <n v="238.53"/>
    <n v="242.39000000000001"/>
    <n v="439.13"/>
    <n v="246.42000000000002"/>
    <n v="-1166.47"/>
    <m/>
    <m/>
    <m/>
    <m/>
    <m/>
    <m/>
    <n v="1.1615329999999999"/>
    <n v="8.6600000000000826E-3"/>
    <n v="-1.1528729999999998"/>
    <n v="7.4556641955072162E-3"/>
    <n v="1.1615329999999999"/>
    <n v="8.6600000000000826E-3"/>
  </r>
  <r>
    <x v="1"/>
    <x v="88"/>
    <x v="13"/>
    <n v="0"/>
    <n v="412.798"/>
    <n v="333.05100000000004"/>
    <n v="423.30800000000005"/>
    <m/>
    <n v="0"/>
    <m/>
    <m/>
    <m/>
    <m/>
    <m/>
    <m/>
    <n v="0"/>
    <n v="420.92"/>
    <n v="335.43"/>
    <n v="421.32"/>
    <m/>
    <n v="-1177.67"/>
    <m/>
    <m/>
    <m/>
    <m/>
    <m/>
    <m/>
    <n v="1.1691570000000002"/>
    <n v="0"/>
    <n v="-1.1691570000000002"/>
    <n v="0"/>
    <n v="1.1691570000000002"/>
    <n v="0"/>
  </r>
  <r>
    <x v="1"/>
    <x v="89"/>
    <x v="11"/>
    <m/>
    <m/>
    <n v="0"/>
    <n v="0"/>
    <n v="314.13799999999998"/>
    <n v="0"/>
    <m/>
    <m/>
    <m/>
    <m/>
    <m/>
    <m/>
    <m/>
    <m/>
    <n v="0"/>
    <n v="0"/>
    <n v="310.33"/>
    <n v="-310.33"/>
    <m/>
    <m/>
    <m/>
    <m/>
    <m/>
    <m/>
    <n v="0.31413799999999997"/>
    <n v="0"/>
    <n v="-0.31413799999999997"/>
    <n v="0"/>
    <n v="0.31413799999999997"/>
    <n v="0"/>
  </r>
  <r>
    <x v="1"/>
    <x v="89"/>
    <x v="9"/>
    <n v="0"/>
    <m/>
    <n v="0"/>
    <n v="163.691"/>
    <n v="108.81099999999999"/>
    <m/>
    <m/>
    <m/>
    <m/>
    <m/>
    <m/>
    <m/>
    <n v="0"/>
    <m/>
    <n v="0"/>
    <n v="163.13999999999999"/>
    <n v="107.88999999999999"/>
    <m/>
    <m/>
    <m/>
    <m/>
    <m/>
    <m/>
    <m/>
    <n v="0.27250200000000002"/>
    <n v="0.27102999999999999"/>
    <n v="-1.4720000000000288E-3"/>
    <n v="0.994598204783818"/>
    <n v="0.27250200000000002"/>
    <n v="0.27102999999999999"/>
  </r>
  <r>
    <x v="1"/>
    <x v="89"/>
    <x v="13"/>
    <m/>
    <n v="88.061000000000007"/>
    <m/>
    <m/>
    <m/>
    <m/>
    <m/>
    <m/>
    <m/>
    <m/>
    <m/>
    <m/>
    <m/>
    <n v="87.97"/>
    <m/>
    <m/>
    <m/>
    <m/>
    <m/>
    <m/>
    <m/>
    <m/>
    <m/>
    <m/>
    <n v="8.8061E-2"/>
    <n v="8.7969999999999993E-2"/>
    <n v="-9.1000000000007741E-5"/>
    <n v="0.99896662540738801"/>
    <n v="8.8061E-2"/>
    <n v="8.7969999999999993E-2"/>
  </r>
  <r>
    <x v="1"/>
    <x v="89"/>
    <x v="14"/>
    <m/>
    <m/>
    <n v="0"/>
    <n v="0"/>
    <m/>
    <m/>
    <m/>
    <m/>
    <m/>
    <m/>
    <m/>
    <m/>
    <m/>
    <m/>
    <n v="0"/>
    <n v="0"/>
    <m/>
    <m/>
    <m/>
    <m/>
    <m/>
    <m/>
    <m/>
    <m/>
    <n v="0"/>
    <n v="0"/>
    <n v="0"/>
    <n v="1.0000110000110001"/>
    <n v="0"/>
    <n v="0"/>
  </r>
  <r>
    <x v="1"/>
    <x v="90"/>
    <x v="15"/>
    <n v="6.83"/>
    <m/>
    <m/>
    <m/>
    <m/>
    <m/>
    <m/>
    <m/>
    <m/>
    <m/>
    <m/>
    <m/>
    <n v="6.83"/>
    <m/>
    <m/>
    <m/>
    <m/>
    <m/>
    <m/>
    <m/>
    <m/>
    <m/>
    <m/>
    <m/>
    <n v="6.8300000000000001E-3"/>
    <n v="6.8300000000000001E-3"/>
    <n v="0"/>
    <n v="1"/>
    <n v="6.8300000000000001E-3"/>
    <n v="6.8300000000000001E-3"/>
  </r>
  <r>
    <x v="1"/>
    <x v="90"/>
    <x v="10"/>
    <n v="641.72"/>
    <n v="34.659999999999997"/>
    <n v="63.94"/>
    <m/>
    <n v="266.37"/>
    <n v="0"/>
    <m/>
    <m/>
    <m/>
    <m/>
    <m/>
    <m/>
    <n v="641.72"/>
    <n v="34.659999999999997"/>
    <n v="63.94"/>
    <m/>
    <n v="266.37"/>
    <n v="42.28"/>
    <m/>
    <m/>
    <m/>
    <m/>
    <m/>
    <m/>
    <n v="1.0066899999999999"/>
    <n v="1.04897"/>
    <n v="4.2280000000000095E-2"/>
    <n v="1.0419990265126307"/>
    <n v="1.0066899999999999"/>
    <n v="1.04897"/>
  </r>
  <r>
    <x v="1"/>
    <x v="90"/>
    <x v="9"/>
    <n v="668.74"/>
    <n v="6203.0399999999991"/>
    <n v="5986.15"/>
    <n v="1326.1999999999998"/>
    <n v="2177.4299999999998"/>
    <n v="2441.4229999999998"/>
    <n v="2441.4229999999998"/>
    <n v="2441.4229999999998"/>
    <n v="2441.4229999999998"/>
    <n v="2441.4229999999998"/>
    <n v="2441.4229999999998"/>
    <n v="2441.4229999999998"/>
    <n v="668.74"/>
    <n v="6203.04"/>
    <n v="5988.2499999999991"/>
    <n v="1437.9600000000003"/>
    <n v="2180.4499999999998"/>
    <n v="2365.0600000000004"/>
    <n v="0"/>
    <n v="0"/>
    <n v="0"/>
    <n v="0"/>
    <n v="0"/>
    <n v="0"/>
    <n v="18.802982999999998"/>
    <n v="18.843499999999999"/>
    <n v="4.0517000000001246E-2"/>
    <n v="1.0021548176690902"/>
    <n v="33.451520999999993"/>
    <n v="18.843499999999999"/>
  </r>
  <r>
    <x v="1"/>
    <x v="90"/>
    <x v="17"/>
    <n v="0"/>
    <n v="274.81"/>
    <n v="339.16999999999996"/>
    <n v="232.39000000000001"/>
    <n v="89.9"/>
    <n v="117.77500000000001"/>
    <n v="117.77500000000001"/>
    <n v="117.77500000000001"/>
    <n v="117.77500000000001"/>
    <n v="117.77500000000001"/>
    <n v="117.77500000000001"/>
    <n v="117.77500000000001"/>
    <n v="0"/>
    <n v="274.81"/>
    <n v="339.16999999999996"/>
    <n v="232.39"/>
    <n v="89.9"/>
    <n v="161.38"/>
    <n v="0"/>
    <n v="0"/>
    <n v="0"/>
    <n v="0"/>
    <n v="0"/>
    <n v="0"/>
    <n v="1.0540450000000001"/>
    <n v="1.09765"/>
    <n v="4.3604999999999894E-2"/>
    <n v="1.0413692015046794"/>
    <n v="1.7606950000000006"/>
    <n v="1.09765"/>
  </r>
  <r>
    <x v="1"/>
    <x v="90"/>
    <x v="16"/>
    <m/>
    <n v="8.4600000000000009"/>
    <n v="0.43"/>
    <m/>
    <n v="210.95"/>
    <n v="0"/>
    <m/>
    <m/>
    <m/>
    <m/>
    <m/>
    <m/>
    <m/>
    <n v="8.4600000000000009"/>
    <n v="0.43"/>
    <m/>
    <n v="210.95000000000002"/>
    <n v="533.96"/>
    <m/>
    <m/>
    <m/>
    <m/>
    <m/>
    <m/>
    <n v="0.21983999999999998"/>
    <n v="0.75380000000000003"/>
    <n v="0.53395999999999999"/>
    <n v="3.4288573508005826"/>
    <n v="0.21983999999999998"/>
    <n v="0.75380000000000003"/>
  </r>
  <r>
    <x v="1"/>
    <x v="90"/>
    <x v="12"/>
    <m/>
    <n v="164.76"/>
    <n v="189.54"/>
    <n v="341.06"/>
    <n v="331.71"/>
    <n v="0"/>
    <m/>
    <m/>
    <m/>
    <m/>
    <m/>
    <m/>
    <m/>
    <n v="164.76"/>
    <n v="189.54000000000002"/>
    <n v="341.06"/>
    <n v="331.71"/>
    <n v="183.9"/>
    <m/>
    <m/>
    <m/>
    <m/>
    <m/>
    <m/>
    <n v="1.0270699999999999"/>
    <n v="1.2109700000000001"/>
    <n v="0.18390000000000017"/>
    <n v="1.1790530343598782"/>
    <n v="1.0270699999999999"/>
    <n v="1.2109700000000001"/>
  </r>
  <r>
    <x v="1"/>
    <x v="90"/>
    <x v="14"/>
    <n v="227.67"/>
    <m/>
    <n v="5.52"/>
    <n v="11.3"/>
    <n v="26.080000000000002"/>
    <n v="0"/>
    <m/>
    <m/>
    <m/>
    <m/>
    <m/>
    <m/>
    <n v="227.67"/>
    <m/>
    <n v="5.52"/>
    <n v="11.3"/>
    <n v="26.080000000000002"/>
    <n v="4.1999999999999993"/>
    <m/>
    <m/>
    <m/>
    <m/>
    <m/>
    <m/>
    <n v="0.27056999999999998"/>
    <n v="0.27476999999999996"/>
    <n v="4.1999999999999815E-3"/>
    <n v="1.0155227852311786"/>
    <n v="0.27056999999999998"/>
    <n v="0.27476999999999996"/>
  </r>
  <r>
    <x v="1"/>
    <x v="91"/>
    <x v="15"/>
    <m/>
    <m/>
    <m/>
    <n v="178.14999999999998"/>
    <n v="178.14999999999998"/>
    <n v="178.14999999999998"/>
    <n v="178.14999999999998"/>
    <n v="178.14999999999998"/>
    <n v="178.14999999999998"/>
    <n v="178.14999999999998"/>
    <n v="178.14999999999998"/>
    <n v="178.14999999999998"/>
    <m/>
    <m/>
    <m/>
    <n v="0"/>
    <n v="0"/>
    <n v="0"/>
    <n v="0"/>
    <n v="0"/>
    <n v="0"/>
    <n v="0"/>
    <n v="0"/>
    <n v="0"/>
    <n v="0.53444999999999998"/>
    <n v="0"/>
    <n v="-0.53444999999999998"/>
    <n v="0"/>
    <n v="1.6033499999999998"/>
    <n v="0"/>
  </r>
  <r>
    <x v="1"/>
    <x v="91"/>
    <x v="11"/>
    <m/>
    <m/>
    <m/>
    <n v="356.3"/>
    <n v="356.3"/>
    <n v="356.3"/>
    <n v="356.3"/>
    <n v="356.3"/>
    <n v="356.3"/>
    <n v="356.3"/>
    <n v="356.3"/>
    <n v="356.3"/>
    <m/>
    <m/>
    <m/>
    <n v="0"/>
    <n v="0"/>
    <n v="0"/>
    <n v="0"/>
    <n v="0"/>
    <n v="0"/>
    <n v="0"/>
    <n v="0"/>
    <n v="0"/>
    <n v="1.0689000000000002"/>
    <n v="0"/>
    <n v="-1.0689000000000002"/>
    <n v="0"/>
    <n v="3.2067000000000005"/>
    <n v="0"/>
  </r>
  <r>
    <x v="1"/>
    <x v="91"/>
    <x v="9"/>
    <m/>
    <m/>
    <m/>
    <n v="806.04199999999992"/>
    <n v="1306.93"/>
    <n v="122.73099999999999"/>
    <n v="122.73099999999999"/>
    <n v="122.73099999999999"/>
    <n v="122.73099999999999"/>
    <n v="122.73099999999999"/>
    <n v="122.73099999999999"/>
    <n v="122.73099999999999"/>
    <m/>
    <m/>
    <m/>
    <n v="687.24"/>
    <n v="1270.29"/>
    <n v="0"/>
    <n v="0"/>
    <n v="0"/>
    <n v="0"/>
    <n v="0"/>
    <n v="0"/>
    <n v="0"/>
    <n v="2.2357029999999996"/>
    <n v="1.95753"/>
    <n v="-0.27817299999999956"/>
    <n v="0.87557694380693696"/>
    <n v="2.9720889999999982"/>
    <n v="1.95753"/>
  </r>
  <r>
    <x v="1"/>
    <x v="91"/>
    <x v="16"/>
    <m/>
    <m/>
    <m/>
    <n v="178.14999999999998"/>
    <n v="178.14999999999998"/>
    <n v="178.14999999999998"/>
    <n v="178.14999999999998"/>
    <n v="178.14999999999998"/>
    <n v="178.14999999999998"/>
    <n v="178.14999999999998"/>
    <n v="178.14999999999998"/>
    <n v="178.14999999999998"/>
    <m/>
    <m/>
    <m/>
    <n v="0"/>
    <n v="0"/>
    <n v="0"/>
    <n v="0"/>
    <n v="0"/>
    <n v="0"/>
    <n v="0"/>
    <n v="0"/>
    <n v="0"/>
    <n v="0.53444999999999998"/>
    <n v="0"/>
    <n v="-0.53444999999999998"/>
    <n v="0"/>
    <n v="1.6033499999999998"/>
    <n v="0"/>
  </r>
  <r>
    <x v="1"/>
    <x v="91"/>
    <x v="14"/>
    <m/>
    <m/>
    <m/>
    <n v="178.14999999999998"/>
    <n v="178.14999999999998"/>
    <n v="178.14999999999998"/>
    <n v="178.14999999999998"/>
    <n v="178.14999999999998"/>
    <n v="178.14999999999998"/>
    <n v="178.14999999999998"/>
    <n v="178.14999999999998"/>
    <n v="178.14999999999998"/>
    <m/>
    <m/>
    <m/>
    <n v="0"/>
    <n v="0"/>
    <n v="0"/>
    <n v="0"/>
    <n v="0"/>
    <n v="0"/>
    <n v="0"/>
    <n v="0"/>
    <n v="0"/>
    <n v="0.53444999999999998"/>
    <n v="0"/>
    <n v="-0.53444999999999998"/>
    <n v="0"/>
    <n v="1.6033499999999998"/>
    <n v="0"/>
  </r>
  <r>
    <x v="1"/>
    <x v="92"/>
    <x v="15"/>
    <m/>
    <m/>
    <n v="0"/>
    <n v="0"/>
    <n v="0"/>
    <m/>
    <m/>
    <m/>
    <m/>
    <m/>
    <m/>
    <m/>
    <m/>
    <m/>
    <n v="0"/>
    <n v="0"/>
    <n v="0"/>
    <m/>
    <m/>
    <m/>
    <m/>
    <m/>
    <m/>
    <m/>
    <n v="0"/>
    <n v="0"/>
    <n v="0"/>
    <n v="1.0000110000110001"/>
    <n v="0"/>
    <n v="0"/>
  </r>
  <r>
    <x v="1"/>
    <x v="92"/>
    <x v="10"/>
    <n v="12.09"/>
    <n v="20.03"/>
    <n v="46.89"/>
    <n v="9.9700000000000006"/>
    <n v="7.55"/>
    <n v="0"/>
    <m/>
    <m/>
    <m/>
    <m/>
    <m/>
    <m/>
    <n v="12.09"/>
    <n v="20.03"/>
    <n v="144.79000000000002"/>
    <n v="9.9700000000000006"/>
    <n v="7.5500000000000007"/>
    <n v="34.07"/>
    <m/>
    <m/>
    <m/>
    <m/>
    <m/>
    <m/>
    <n v="9.6530000000000005E-2"/>
    <n v="0.22850000000000004"/>
    <n v="0.13197000000000003"/>
    <n v="2.367139749300736"/>
    <n v="9.6530000000000005E-2"/>
    <n v="0.22850000000000004"/>
  </r>
  <r>
    <x v="1"/>
    <x v="92"/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1"/>
    <x v="92"/>
    <x v="9"/>
    <n v="279.24"/>
    <n v="0"/>
    <n v="5.03"/>
    <n v="33.69"/>
    <n v="0"/>
    <n v="0"/>
    <n v="0"/>
    <n v="0"/>
    <n v="0"/>
    <n v="0"/>
    <n v="0"/>
    <n v="0"/>
    <n v="279.24"/>
    <n v="0"/>
    <n v="5.03"/>
    <n v="33.69"/>
    <n v="0"/>
    <n v="3.14"/>
    <n v="0"/>
    <n v="0"/>
    <n v="0"/>
    <n v="0"/>
    <n v="0"/>
    <n v="0"/>
    <n v="0.31795999999999996"/>
    <n v="0.32109999999999994"/>
    <n v="3.1399999999999761E-3"/>
    <n v="1.0098754560322052"/>
    <n v="0.31795999999999996"/>
    <n v="0.32109999999999994"/>
  </r>
  <r>
    <x v="1"/>
    <x v="92"/>
    <x v="17"/>
    <m/>
    <m/>
    <n v="0"/>
    <n v="0"/>
    <n v="0"/>
    <m/>
    <m/>
    <m/>
    <m/>
    <m/>
    <m/>
    <m/>
    <m/>
    <m/>
    <n v="0"/>
    <n v="0"/>
    <n v="0"/>
    <m/>
    <m/>
    <m/>
    <m/>
    <m/>
    <m/>
    <m/>
    <n v="0"/>
    <n v="0"/>
    <n v="0"/>
    <n v="1.0000110000110001"/>
    <n v="0"/>
    <n v="0"/>
  </r>
  <r>
    <x v="1"/>
    <x v="92"/>
    <x v="16"/>
    <m/>
    <n v="3297.7799999999997"/>
    <n v="2277.79"/>
    <n v="1039.17"/>
    <n v="0"/>
    <n v="10"/>
    <n v="10"/>
    <n v="10"/>
    <n v="10"/>
    <n v="10"/>
    <n v="10"/>
    <n v="10"/>
    <m/>
    <n v="3297.7799999999997"/>
    <n v="2277.79"/>
    <n v="1039.17"/>
    <n v="0"/>
    <n v="568.54999999999995"/>
    <n v="0"/>
    <n v="0"/>
    <n v="0"/>
    <n v="0"/>
    <n v="0"/>
    <n v="0"/>
    <n v="6.6247400000000001"/>
    <n v="7.1832900000000004"/>
    <n v="0.55855000000000032"/>
    <n v="1.084312742839719"/>
    <n v="6.6847399999999997"/>
    <n v="7.1832900000000004"/>
  </r>
  <r>
    <x v="1"/>
    <x v="92"/>
    <x v="1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1"/>
    <x v="93"/>
    <x v="15"/>
    <n v="0"/>
    <m/>
    <m/>
    <n v="229.142"/>
    <n v="107.93300000000001"/>
    <n v="119.40299999999999"/>
    <n v="119.40299999999999"/>
    <n v="119.40299999999999"/>
    <n v="119.40299999999999"/>
    <n v="119.40299999999999"/>
    <n v="119.40299999999999"/>
    <n v="119.40299999999999"/>
    <n v="0"/>
    <m/>
    <m/>
    <n v="224.44000000000003"/>
    <n v="107.72"/>
    <n v="116.02"/>
    <n v="0"/>
    <n v="0"/>
    <n v="0"/>
    <n v="0"/>
    <n v="0"/>
    <n v="0"/>
    <n v="0.45647799999999994"/>
    <n v="0.44818000000000002"/>
    <n v="-8.2979999999999166E-3"/>
    <n v="0.98182168691590854"/>
    <n v="1.1728959999999999"/>
    <n v="0.44818000000000002"/>
  </r>
  <r>
    <x v="1"/>
    <x v="93"/>
    <x v="10"/>
    <m/>
    <m/>
    <m/>
    <n v="771.74"/>
    <n v="101.119"/>
    <n v="126.646"/>
    <n v="126.646"/>
    <n v="126.646"/>
    <n v="126.646"/>
    <n v="126.646"/>
    <n v="126.646"/>
    <n v="126.646"/>
    <m/>
    <m/>
    <m/>
    <n v="760.21"/>
    <n v="100.92"/>
    <n v="103.41000000000001"/>
    <n v="0"/>
    <n v="0"/>
    <n v="0"/>
    <n v="0"/>
    <n v="0"/>
    <n v="0"/>
    <n v="0.99950499999999998"/>
    <n v="0.96453999999999995"/>
    <n v="-3.4965000000000024E-2"/>
    <n v="0.96501768375345798"/>
    <n v="1.7593809999999999"/>
    <n v="0.96453999999999995"/>
  </r>
  <r>
    <x v="1"/>
    <x v="93"/>
    <x v="11"/>
    <n v="0"/>
    <n v="1269.9350000000002"/>
    <n v="1294.5839999999998"/>
    <n v="2138.3629999999998"/>
    <n v="1497.6220000000001"/>
    <n v="921.91200000000003"/>
    <n v="921.91200000000003"/>
    <n v="921.91200000000003"/>
    <n v="921.91200000000003"/>
    <n v="921.91200000000003"/>
    <n v="921.91200000000003"/>
    <n v="921.91200000000003"/>
    <n v="0"/>
    <n v="1300.1499999999999"/>
    <n v="1287.3499999999999"/>
    <n v="2122.9"/>
    <n v="1527.2300000000002"/>
    <n v="647.79"/>
    <n v="0"/>
    <n v="0"/>
    <n v="0"/>
    <n v="0"/>
    <n v="0"/>
    <n v="0"/>
    <n v="7.1224160000000003"/>
    <n v="6.8854199999999999"/>
    <n v="-0.23699600000000043"/>
    <n v="0.96672533589725729"/>
    <n v="12.653888"/>
    <n v="6.8854199999999999"/>
  </r>
  <r>
    <x v="1"/>
    <x v="93"/>
    <x v="9"/>
    <n v="1023.5359999999999"/>
    <n v="1271.46"/>
    <n v="1192.1110000000001"/>
    <n v="10164.751000000002"/>
    <n v="7361.8890000000001"/>
    <n v="2493.1780000000003"/>
    <n v="2493.1780000000003"/>
    <n v="2493.1780000000003"/>
    <n v="2493.1780000000008"/>
    <n v="2493.1780000000003"/>
    <n v="2493.1780000000003"/>
    <n v="2734.2470000000003"/>
    <n v="1028.8900000000001"/>
    <n v="1303.8300000000002"/>
    <n v="1184.0700000000002"/>
    <n v="10208.48"/>
    <n v="7396.2800000000007"/>
    <n v="5953.0000000000009"/>
    <n v="0"/>
    <n v="0"/>
    <n v="0"/>
    <n v="0"/>
    <n v="0"/>
    <n v="0"/>
    <n v="23.506925000000003"/>
    <n v="27.074550000000002"/>
    <n v="3.5676249999999996"/>
    <n v="1.1517691063378133"/>
    <n v="38.707062000000008"/>
    <n v="27.074550000000002"/>
  </r>
  <r>
    <x v="1"/>
    <x v="93"/>
    <x v="16"/>
    <m/>
    <n v="1146.1790000000001"/>
    <n v="1208.664"/>
    <n v="2332.13"/>
    <n v="238.72200000000001"/>
    <n v="1185.5720000000001"/>
    <n v="1185.5720000000001"/>
    <n v="1185.5720000000001"/>
    <n v="1185.5720000000001"/>
    <n v="1185.5720000000001"/>
    <n v="1185.5720000000001"/>
    <n v="1185.5720000000001"/>
    <m/>
    <n v="1171.7"/>
    <n v="1201.9100000000001"/>
    <n v="2339.88"/>
    <n v="238.25"/>
    <n v="269.11"/>
    <n v="0"/>
    <n v="0"/>
    <n v="0"/>
    <n v="0"/>
    <n v="0"/>
    <n v="0"/>
    <n v="6.1112669999999998"/>
    <n v="5.2208499999999995"/>
    <n v="-0.89041700000000024"/>
    <n v="0.8542991166970777"/>
    <n v="13.224699000000001"/>
    <n v="5.2208499999999995"/>
  </r>
  <r>
    <x v="1"/>
    <x v="93"/>
    <x v="12"/>
    <m/>
    <n v="115.527"/>
    <n v="144.68899999999999"/>
    <n v="117.36499999999999"/>
    <n v="117.732"/>
    <n v="163.54399999999998"/>
    <n v="163.54399999999998"/>
    <n v="163.54399999999998"/>
    <n v="163.54399999999998"/>
    <n v="163.54399999999998"/>
    <n v="163.54399999999998"/>
    <n v="163.54399999999998"/>
    <m/>
    <n v="118.1"/>
    <n v="143.88"/>
    <n v="115.61"/>
    <n v="117.5"/>
    <n v="214.28"/>
    <n v="0"/>
    <n v="0"/>
    <n v="0"/>
    <n v="0"/>
    <n v="0"/>
    <n v="0"/>
    <n v="0.65885700000000003"/>
    <n v="0.70937000000000006"/>
    <n v="5.051300000000003E-2"/>
    <n v="1.0766676228680883"/>
    <n v="1.6401209999999997"/>
    <n v="0.70937000000000006"/>
  </r>
  <r>
    <x v="1"/>
    <x v="93"/>
    <x v="13"/>
    <n v="0"/>
    <n v="1265.8920000000001"/>
    <n v="1049.48"/>
    <n v="1314.95"/>
    <n v="787.39100000000008"/>
    <n v="1383.3110000000001"/>
    <n v="1383.3110000000001"/>
    <n v="1383.3110000000001"/>
    <n v="1383.3110000000001"/>
    <n v="1383.3110000000001"/>
    <n v="1383.3110000000001"/>
    <n v="1383.3110000000001"/>
    <n v="0"/>
    <n v="1309.98"/>
    <n v="1045.21"/>
    <n v="1295.21"/>
    <n v="788.23"/>
    <n v="788.65000000000009"/>
    <n v="3717"/>
    <n v="0"/>
    <n v="0"/>
    <n v="0"/>
    <n v="0"/>
    <n v="0"/>
    <n v="5.8010239999999991"/>
    <n v="5.2272800000000004"/>
    <n v="-0.5737439999999987"/>
    <n v="0.90109608234684102"/>
    <n v="14.100889999999998"/>
    <n v="5.2272800000000004"/>
  </r>
  <r>
    <x v="1"/>
    <x v="93"/>
    <x v="14"/>
    <n v="672.27300000000002"/>
    <n v="1888.5010000000002"/>
    <n v="2082.1259999999997"/>
    <n v="5161.8739999999998"/>
    <n v="1641.4490000000001"/>
    <n v="1820.5029999999999"/>
    <n v="1820.5029999999999"/>
    <n v="1820.5030000000002"/>
    <n v="1820.5030000000002"/>
    <n v="1820.5030000000002"/>
    <n v="1820.5030000000002"/>
    <n v="1820.5030000000002"/>
    <n v="675.79"/>
    <n v="1930.55"/>
    <n v="2070.4900000000002"/>
    <n v="5128.7699999999995"/>
    <n v="1638.2099999999998"/>
    <n v="1831.8999999999999"/>
    <n v="0"/>
    <n v="0"/>
    <n v="0"/>
    <n v="0"/>
    <n v="0"/>
    <n v="0"/>
    <n v="13.266726"/>
    <n v="13.275709999999997"/>
    <n v="8.9839999999963283E-3"/>
    <n v="1.000677182901041"/>
    <n v="24.189744000000001"/>
    <n v="13.275709999999997"/>
  </r>
  <r>
    <x v="1"/>
    <x v="94"/>
    <x v="11"/>
    <m/>
    <m/>
    <m/>
    <n v="0"/>
    <n v="0"/>
    <n v="750"/>
    <m/>
    <m/>
    <m/>
    <m/>
    <m/>
    <m/>
    <m/>
    <m/>
    <m/>
    <n v="0"/>
    <n v="0"/>
    <n v="0"/>
    <m/>
    <m/>
    <m/>
    <m/>
    <m/>
    <m/>
    <n v="0.75"/>
    <n v="0"/>
    <n v="-0.75"/>
    <n v="0"/>
    <n v="0.75"/>
    <n v="0"/>
  </r>
  <r>
    <x v="1"/>
    <x v="94"/>
    <x v="9"/>
    <m/>
    <m/>
    <n v="0"/>
    <n v="3932.77"/>
    <n v="2772.9"/>
    <n v="6395.7629999999999"/>
    <m/>
    <m/>
    <m/>
    <m/>
    <m/>
    <m/>
    <m/>
    <m/>
    <n v="0"/>
    <n v="3932.7699999999995"/>
    <n v="2772.9"/>
    <n v="2865.04"/>
    <m/>
    <m/>
    <m/>
    <m/>
    <m/>
    <m/>
    <n v="13.101433"/>
    <n v="9.5707099999999983"/>
    <n v="-3.5307230000000018"/>
    <n v="0.73050863978009106"/>
    <n v="13.101433"/>
    <n v="9.5707099999999983"/>
  </r>
  <r>
    <x v="2"/>
    <x v="33"/>
    <x v="21"/>
    <n v="866.66"/>
    <n v="949.67999999999938"/>
    <n v="39692.370000000003"/>
    <n v="925.32"/>
    <n v="5159.9799999999996"/>
    <n v="5297.402"/>
    <n v="0"/>
    <m/>
    <m/>
    <m/>
    <m/>
    <m/>
    <n v="866.66"/>
    <n v="949.67999999999938"/>
    <n v="39692.370000000003"/>
    <n v="925.32"/>
    <n v="5159.9799999999996"/>
    <n v="63372.459999999992"/>
    <n v="-3.19"/>
    <m/>
    <m/>
    <m/>
    <m/>
    <m/>
    <n v="52.891411999999995"/>
    <n v="110.96646999999999"/>
    <n v="58.075057999999991"/>
    <n v="2.0980054380094826"/>
    <n v="52.891411999999995"/>
    <n v="110.96646999999999"/>
  </r>
  <r>
    <x v="2"/>
    <x v="34"/>
    <x v="21"/>
    <n v="10113.969999999998"/>
    <n v="86.5"/>
    <n v="79.170000000000258"/>
    <n v="2765.04"/>
    <n v="2810.61"/>
    <n v="4089.3270000000002"/>
    <n v="4089.3270000000002"/>
    <n v="4089.3270000000002"/>
    <n v="4089.3270000000002"/>
    <n v="4089.3270000000002"/>
    <n v="4089.3270000000002"/>
    <n v="4089.3270000000002"/>
    <n v="10113.969999999999"/>
    <n v="86.5"/>
    <n v="79.169999999999987"/>
    <n v="2765.0400000000004"/>
    <n v="2810.6099999999997"/>
    <n v="2630.05"/>
    <n v="0"/>
    <n v="0"/>
    <n v="0"/>
    <n v="0"/>
    <n v="0"/>
    <n v="0"/>
    <n v="19.944616999999997"/>
    <n v="18.485340000000001"/>
    <n v="-1.4592769999999966"/>
    <n v="0.92683354110033811"/>
    <n v="44.480578999999999"/>
    <n v="18.485340000000001"/>
  </r>
  <r>
    <x v="2"/>
    <x v="36"/>
    <x v="21"/>
    <n v="0"/>
    <n v="0"/>
    <n v="0"/>
    <n v="0"/>
    <n v="0"/>
    <n v="1356.4160000000002"/>
    <n v="678.20900000000006"/>
    <n v="1356.4160000000002"/>
    <m/>
    <m/>
    <m/>
    <m/>
    <n v="0"/>
    <n v="0"/>
    <n v="0"/>
    <n v="0"/>
    <n v="0"/>
    <n v="23634.82"/>
    <n v="0"/>
    <n v="0"/>
    <m/>
    <m/>
    <m/>
    <m/>
    <n v="1.3564160000000001"/>
    <n v="23.634820000000001"/>
    <n v="22.278404000000002"/>
    <n v="17.42446270170803"/>
    <n v="3.391041"/>
    <n v="23.634820000000001"/>
  </r>
  <r>
    <x v="2"/>
    <x v="7"/>
    <x v="22"/>
    <n v="7855.18"/>
    <n v="11163.539999999999"/>
    <n v="18728.96"/>
    <n v="16707.73"/>
    <n v="13666.100000000002"/>
    <n v="34528.481"/>
    <n v="51195.147000000004"/>
    <n v="38476.39"/>
    <n v="36528.481"/>
    <n v="73933.938999999998"/>
    <n v="34528.481"/>
    <n v="67861.811000000002"/>
    <n v="7855.18"/>
    <n v="11229.45"/>
    <n v="18728.96"/>
    <n v="16761.440000000002"/>
    <n v="13726.420000000002"/>
    <n v="64857.440000000002"/>
    <n v="0"/>
    <n v="0"/>
    <n v="0"/>
    <n v="0"/>
    <n v="0"/>
    <n v="0"/>
    <n v="102.64999100000001"/>
    <n v="133.15889000000001"/>
    <n v="30.508899"/>
    <n v="1.297212875547159"/>
    <n v="405.17424"/>
    <n v="133.15889000000001"/>
  </r>
  <r>
    <x v="2"/>
    <x v="46"/>
    <x v="21"/>
    <n v="-2877.63"/>
    <n v="168.67"/>
    <n v="1033.82"/>
    <n v="6467.68"/>
    <n v="703.97"/>
    <n v="0"/>
    <n v="0"/>
    <n v="0"/>
    <n v="0"/>
    <n v="0"/>
    <n v="0"/>
    <n v="0"/>
    <n v="-2877.6300000000019"/>
    <n v="168.67"/>
    <n v="1033.82"/>
    <n v="6467.68"/>
    <n v="703.97"/>
    <n v="271.08"/>
    <n v="0"/>
    <n v="0"/>
    <n v="0"/>
    <n v="0"/>
    <n v="0"/>
    <n v="0"/>
    <n v="5.4965099999999998"/>
    <n v="5.7675899999999984"/>
    <n v="0.27107999999999866"/>
    <n v="1.049318567600168"/>
    <n v="5.4965099999999998"/>
    <n v="5.7675899999999984"/>
  </r>
  <r>
    <x v="2"/>
    <x v="51"/>
    <x v="21"/>
    <m/>
    <m/>
    <n v="0"/>
    <m/>
    <m/>
    <n v="0"/>
    <m/>
    <m/>
    <m/>
    <m/>
    <m/>
    <m/>
    <m/>
    <m/>
    <n v="0"/>
    <m/>
    <m/>
    <n v="10715.31"/>
    <m/>
    <m/>
    <m/>
    <m/>
    <m/>
    <m/>
    <n v="0"/>
    <n v="10.715309999999999"/>
    <n v="10.715309999999999"/>
    <n v="1.0000110000110001"/>
    <n v="0"/>
    <n v="10.715309999999999"/>
  </r>
  <r>
    <x v="2"/>
    <x v="95"/>
    <x v="23"/>
    <n v="308.12"/>
    <m/>
    <m/>
    <m/>
    <m/>
    <m/>
    <m/>
    <m/>
    <m/>
    <m/>
    <m/>
    <m/>
    <n v="308.12"/>
    <m/>
    <m/>
    <m/>
    <m/>
    <m/>
    <m/>
    <m/>
    <m/>
    <m/>
    <m/>
    <m/>
    <n v="0.30812"/>
    <n v="0.30812"/>
    <n v="0"/>
    <n v="1"/>
    <n v="0.30812"/>
    <n v="0.30812"/>
  </r>
  <r>
    <x v="2"/>
    <x v="96"/>
    <x v="24"/>
    <m/>
    <m/>
    <n v="-34974.351000000002"/>
    <m/>
    <m/>
    <m/>
    <m/>
    <m/>
    <m/>
    <m/>
    <m/>
    <m/>
    <m/>
    <m/>
    <n v="-34749.879999999997"/>
    <m/>
    <m/>
    <m/>
    <m/>
    <m/>
    <m/>
    <m/>
    <m/>
    <m/>
    <n v="-34.974351000000006"/>
    <n v="-34.749879999999997"/>
    <n v="0.2244710000000083"/>
    <n v="0.99358183944571243"/>
    <n v="-34.974351000000006"/>
    <n v="-34.749879999999997"/>
  </r>
  <r>
    <x v="2"/>
    <x v="58"/>
    <x v="25"/>
    <n v="3945.6210000000001"/>
    <n v="3139.0209999999997"/>
    <n v="31243.805"/>
    <n v="3524.4970000000003"/>
    <n v="4479.3770000000004"/>
    <n v="160033.67899999997"/>
    <n v="20603.374"/>
    <n v="155463.17599999995"/>
    <n v="21731.730000000003"/>
    <n v="158944.774"/>
    <n v="23220.115000000002"/>
    <n v="148760.23300000001"/>
    <n v="3976.6700000000005"/>
    <n v="3221.4100000000003"/>
    <n v="31074.83"/>
    <n v="3492.920000000001"/>
    <n v="4464.74"/>
    <n v="1745.98"/>
    <n v="0"/>
    <n v="0"/>
    <n v="0"/>
    <n v="0"/>
    <n v="0"/>
    <n v="0"/>
    <n v="206.36599999999996"/>
    <n v="47.976550000000003"/>
    <n v="-158.38944999999995"/>
    <n v="0.23248282178265806"/>
    <n v="735.08940199999984"/>
    <n v="47.976550000000003"/>
  </r>
  <r>
    <x v="2"/>
    <x v="15"/>
    <x v="23"/>
    <n v="2500"/>
    <n v="2500"/>
    <n v="2500"/>
    <n v="2500"/>
    <n v="2500"/>
    <n v="2500"/>
    <n v="2500"/>
    <n v="2500"/>
    <n v="2500"/>
    <n v="2500"/>
    <n v="2500"/>
    <n v="2500"/>
    <n v="0"/>
    <n v="0"/>
    <n v="0"/>
    <n v="0"/>
    <n v="0"/>
    <n v="0"/>
    <n v="0"/>
    <n v="0"/>
    <n v="0"/>
    <n v="0"/>
    <n v="0"/>
    <n v="0"/>
    <n v="15"/>
    <n v="0"/>
    <n v="-15"/>
    <n v="0"/>
    <n v="30"/>
    <n v="0"/>
  </r>
  <r>
    <x v="2"/>
    <x v="15"/>
    <x v="25"/>
    <n v="2250"/>
    <n v="2250"/>
    <n v="2250"/>
    <n v="2250"/>
    <n v="2250"/>
    <n v="2250"/>
    <n v="2250"/>
    <n v="2250"/>
    <n v="2250"/>
    <n v="2250"/>
    <n v="2250"/>
    <n v="2250"/>
    <n v="0"/>
    <n v="0"/>
    <n v="0"/>
    <n v="0"/>
    <n v="0"/>
    <n v="0"/>
    <n v="0"/>
    <n v="0"/>
    <n v="0"/>
    <n v="0"/>
    <n v="0"/>
    <n v="0"/>
    <n v="13.5"/>
    <n v="0"/>
    <n v="-13.5"/>
    <n v="0"/>
    <n v="27"/>
    <n v="0"/>
  </r>
  <r>
    <x v="2"/>
    <x v="97"/>
    <x v="21"/>
    <n v="7181.5839999999998"/>
    <n v="-7864.9250000000002"/>
    <n v="750.12400000000002"/>
    <m/>
    <m/>
    <m/>
    <m/>
    <m/>
    <m/>
    <m/>
    <m/>
    <m/>
    <n v="7176.88"/>
    <n v="-7955.51"/>
    <n v="782.23"/>
    <m/>
    <m/>
    <m/>
    <m/>
    <m/>
    <m/>
    <m/>
    <m/>
    <m/>
    <n v="6.6782999999999676E-2"/>
    <n v="3.5999999999999093E-3"/>
    <n v="-6.3182999999999767E-2"/>
    <n v="5.3905934144916019E-2"/>
    <n v="6.6782999999999676E-2"/>
    <n v="3.5999999999999093E-3"/>
  </r>
  <r>
    <x v="2"/>
    <x v="64"/>
    <x v="21"/>
    <n v="76955.98000000001"/>
    <n v="9915.7400000000016"/>
    <n v="56368.61"/>
    <n v="112902.03"/>
    <n v="462306.44799999997"/>
    <n v="435920.88799999998"/>
    <n v="437188.88799999998"/>
    <n v="438220.88799999998"/>
    <n v="438220.88799999998"/>
    <n v="328078.06699999998"/>
    <n v="384687.88799999998"/>
    <m/>
    <n v="76955.98"/>
    <n v="9915.7400000000016"/>
    <n v="56368.609999999986"/>
    <n v="112902.03"/>
    <n v="25385.560000000005"/>
    <n v="57654.140000000014"/>
    <n v="1993.2"/>
    <n v="0"/>
    <n v="0"/>
    <n v="0"/>
    <n v="0"/>
    <m/>
    <n v="1154.369696"/>
    <n v="339.18205999999998"/>
    <n v="-815.187636"/>
    <n v="0.293824466438523"/>
    <n v="3180.7663149999994"/>
    <n v="339.18205999999998"/>
  </r>
  <r>
    <x v="2"/>
    <x v="24"/>
    <x v="22"/>
    <n v="182.39"/>
    <n v="428.47999999999996"/>
    <n v="664.37"/>
    <n v="371.24"/>
    <n v="-1110.8599999999999"/>
    <n v="0"/>
    <n v="0"/>
    <n v="0"/>
    <n v="0"/>
    <n v="0"/>
    <n v="0"/>
    <n v="0"/>
    <n v="182.39"/>
    <n v="428.47999999999996"/>
    <n v="664.37"/>
    <n v="371.24"/>
    <n v="-1110.8600000000001"/>
    <n v="-19.079999999999998"/>
    <n v="0"/>
    <n v="0"/>
    <n v="0"/>
    <n v="0"/>
    <n v="0"/>
    <n v="0"/>
    <n v="0.53561999999999987"/>
    <n v="0.51653999999999967"/>
    <n v="-1.9080000000000208E-2"/>
    <n v="0.96437773048056419"/>
    <n v="0.53561999999999987"/>
    <n v="0.51653999999999967"/>
  </r>
  <r>
    <x v="2"/>
    <x v="74"/>
    <x v="21"/>
    <n v="109309.92"/>
    <n v="392794.84900000005"/>
    <n v="367754.52800000005"/>
    <n v="449800.17299999995"/>
    <n v="398372.77300000004"/>
    <n v="288365.37300000002"/>
    <n v="261773.02299999999"/>
    <n v="276729.12300000002"/>
    <n v="265285.82299999997"/>
    <n v="268199.87300000002"/>
    <m/>
    <m/>
    <n v="14203.989999999998"/>
    <n v="220825.25999999995"/>
    <n v="185700.18999999997"/>
    <n v="161434.79999999996"/>
    <n v="136827.52000000002"/>
    <n v="78427.420000000013"/>
    <n v="11046.51"/>
    <n v="0"/>
    <n v="0"/>
    <n v="0"/>
    <m/>
    <m/>
    <n v="2006.397616"/>
    <n v="797.41917999999998"/>
    <n v="-1208.9784359999999"/>
    <n v="0.39743826131021481"/>
    <n v="3078.3854580000002"/>
    <n v="797.41917999999998"/>
  </r>
  <r>
    <x v="2"/>
    <x v="74"/>
    <x v="25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n v="0"/>
    <n v="0"/>
    <m/>
    <m/>
    <n v="0"/>
    <n v="0"/>
    <n v="0"/>
    <n v="1.0000110000110001"/>
    <n v="0"/>
    <n v="0"/>
  </r>
  <r>
    <x v="2"/>
    <x v="74"/>
    <x v="26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n v="0"/>
    <n v="0"/>
    <m/>
    <m/>
    <n v="0"/>
    <n v="0"/>
    <n v="0"/>
    <n v="1.0000110000110001"/>
    <n v="0"/>
    <n v="0"/>
  </r>
  <r>
    <x v="2"/>
    <x v="74"/>
    <x v="27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n v="0"/>
    <n v="0"/>
    <m/>
    <m/>
    <n v="0"/>
    <n v="0"/>
    <n v="0"/>
    <n v="1.0000110000110001"/>
    <n v="0"/>
    <n v="0"/>
  </r>
  <r>
    <x v="2"/>
    <x v="90"/>
    <x v="22"/>
    <n v="20829.650000000001"/>
    <n v="23579.479999999996"/>
    <n v="35265.119999999995"/>
    <n v="24690.97"/>
    <n v="23585.780000000002"/>
    <n v="62731.120999999999"/>
    <n v="69731.120999999999"/>
    <n v="39731.120999999999"/>
    <n v="38851.120999999999"/>
    <n v="32231.120999999999"/>
    <n v="32231.120999999999"/>
    <n v="25013.355"/>
    <n v="20829.650000000001"/>
    <n v="23579.480000000003"/>
    <n v="35265.119999999995"/>
    <n v="24690.970000000005"/>
    <n v="23585.780000000006"/>
    <n v="41456.53"/>
    <n v="0"/>
    <n v="0"/>
    <n v="0"/>
    <n v="0"/>
    <n v="0"/>
    <n v="0"/>
    <n v="190.682121"/>
    <n v="169.40753000000001"/>
    <n v="-21.274590999999987"/>
    <n v="0.88842902056874018"/>
    <n v="428.47108099999991"/>
    <n v="169.40753000000001"/>
  </r>
  <r>
    <x v="2"/>
    <x v="98"/>
    <x v="21"/>
    <n v="14371.314"/>
    <n v="-13696.876"/>
    <n v="-750.12400000000002"/>
    <m/>
    <m/>
    <m/>
    <m/>
    <m/>
    <m/>
    <m/>
    <m/>
    <m/>
    <n v="14358.650000000001"/>
    <n v="-13854.63"/>
    <n v="-782.23"/>
    <m/>
    <m/>
    <m/>
    <m/>
    <m/>
    <m/>
    <m/>
    <m/>
    <m/>
    <n v="-7.568599999999992E-2"/>
    <n v="-0.27820999999999774"/>
    <n v="-0.20252399999999782"/>
    <n v="3.6758449382976774"/>
    <n v="-7.568599999999992E-2"/>
    <n v="-0.27820999999999774"/>
  </r>
  <r>
    <x v="2"/>
    <x v="94"/>
    <x v="23"/>
    <m/>
    <m/>
    <m/>
    <n v="39632.149999999994"/>
    <n v="8378.82"/>
    <n v="36789.993999999999"/>
    <m/>
    <m/>
    <m/>
    <m/>
    <m/>
    <m/>
    <m/>
    <m/>
    <m/>
    <n v="39632.150000000009"/>
    <n v="8378.8200000000015"/>
    <n v="9232.1500000000015"/>
    <m/>
    <m/>
    <m/>
    <m/>
    <m/>
    <m/>
    <n v="84.800963999999993"/>
    <n v="57.243120000000012"/>
    <n v="-27.557843999999982"/>
    <n v="0.67502911877275373"/>
    <n v="84.800963999999993"/>
    <n v="57.243120000000012"/>
  </r>
  <r>
    <x v="3"/>
    <x v="44"/>
    <x v="28"/>
    <n v="0"/>
    <n v="0"/>
    <n v="0"/>
    <n v="684.36"/>
    <n v="5196.57"/>
    <n v="31678.894000000004"/>
    <n v="31678.894000000004"/>
    <n v="31678.894000000004"/>
    <n v="31782.894000000004"/>
    <m/>
    <m/>
    <m/>
    <n v="0"/>
    <n v="0"/>
    <n v="0"/>
    <n v="684.36"/>
    <n v="5196.57"/>
    <n v="4760.05"/>
    <n v="0"/>
    <n v="0"/>
    <n v="0"/>
    <m/>
    <m/>
    <m/>
    <n v="37.559823999999999"/>
    <n v="10.640979999999999"/>
    <n v="-26.918844"/>
    <n v="0.28330750431631413"/>
    <n v="132.70050600000002"/>
    <n v="10.640979999999999"/>
  </r>
  <r>
    <x v="3"/>
    <x v="44"/>
    <x v="29"/>
    <n v="10791.550000000001"/>
    <n v="17596.89"/>
    <n v="429401.63000000006"/>
    <n v="276425.63"/>
    <n v="47985.64"/>
    <n v="124506.917"/>
    <n v="124506.917"/>
    <n v="124506.91699999999"/>
    <n v="124506.91699999999"/>
    <n v="0"/>
    <n v="0"/>
    <n v="0"/>
    <n v="10791.55"/>
    <n v="17618.439999999995"/>
    <n v="429401.63000000018"/>
    <n v="276425.63"/>
    <n v="47985.639999999992"/>
    <n v="40203.200000000012"/>
    <n v="0"/>
    <n v="0"/>
    <n v="0"/>
    <n v="0"/>
    <n v="0"/>
    <n v="0"/>
    <n v="906.70825700000012"/>
    <n v="822.42609000000027"/>
    <n v="-84.282166999999845"/>
    <n v="0.90704599153109966"/>
    <n v="1280.229008"/>
    <n v="822.42609000000027"/>
  </r>
  <r>
    <x v="3"/>
    <x v="52"/>
    <x v="30"/>
    <n v="111634.09"/>
    <n v="7996.0800000000017"/>
    <n v="19427.309999999998"/>
    <n v="132146.93"/>
    <n v="30170.619999999995"/>
    <n v="10295"/>
    <n v="10295"/>
    <n v="10295"/>
    <n v="10295"/>
    <n v="10295"/>
    <n v="10295.000000000002"/>
    <n v="10295"/>
    <n v="111634.09000000001"/>
    <n v="7996.0799999999981"/>
    <n v="19427.310000000001"/>
    <n v="132146.93000000002"/>
    <n v="30170.620000000003"/>
    <n v="9375.68"/>
    <n v="0"/>
    <n v="0"/>
    <n v="0"/>
    <n v="0"/>
    <n v="0"/>
    <n v="0"/>
    <n v="311.67003"/>
    <n v="310.75071000000003"/>
    <n v="-0.91931999999997061"/>
    <n v="0.99705034199149667"/>
    <n v="373.44002999999998"/>
    <n v="310.75071000000003"/>
  </r>
  <r>
    <x v="3"/>
    <x v="55"/>
    <x v="30"/>
    <n v="1044.6479999999999"/>
    <n v="692.01299999999992"/>
    <n v="2483.8330000000001"/>
    <n v="3811.8990000000003"/>
    <n v="41019.810999999994"/>
    <n v="8468.5400000000009"/>
    <n v="8468.5400000000009"/>
    <n v="8468.5400000000009"/>
    <n v="8468.5400000000009"/>
    <n v="8468.5400000000009"/>
    <n v="8468.5399999999991"/>
    <n v="8468.5399999999991"/>
    <n v="1065.98"/>
    <n v="690.56999999999994"/>
    <n v="2541.8799999999997"/>
    <n v="3746.2900000000004"/>
    <n v="42246.06"/>
    <n v="3853.02"/>
    <n v="0"/>
    <n v="0"/>
    <n v="0"/>
    <n v="0"/>
    <n v="0"/>
    <n v="0"/>
    <n v="57.520744000000001"/>
    <n v="54.143799999999999"/>
    <n v="-3.3769440000000017"/>
    <n v="0.94129171903617936"/>
    <n v="108.33198399999999"/>
    <n v="54.143799999999999"/>
  </r>
  <r>
    <x v="3"/>
    <x v="56"/>
    <x v="30"/>
    <n v="5338.0299999999988"/>
    <n v="76531.799999999988"/>
    <n v="55713.14"/>
    <n v="-6317.0499999999993"/>
    <n v="30890.21"/>
    <n v="52960.398000000001"/>
    <n v="14677.691999999999"/>
    <n v="14677.691999999999"/>
    <n v="14677.691999999999"/>
    <m/>
    <m/>
    <m/>
    <n v="5338.03"/>
    <n v="76555.149999999994"/>
    <n v="55713.14"/>
    <n v="-6317.0499999999975"/>
    <n v="30890.209999999995"/>
    <n v="46429.41"/>
    <n v="449.41"/>
    <n v="0"/>
    <n v="0"/>
    <m/>
    <m/>
    <m/>
    <n v="215.11652799999999"/>
    <n v="208.60889"/>
    <n v="-6.5076379999999858"/>
    <n v="0.96974831241233128"/>
    <n v="259.14960400000001"/>
    <n v="208.60889"/>
  </r>
  <r>
    <x v="3"/>
    <x v="99"/>
    <x v="30"/>
    <m/>
    <n v="1347.7660000000001"/>
    <n v="26199.86"/>
    <n v="0"/>
    <n v="58059.58"/>
    <n v="10048.280000000001"/>
    <n v="10083.751"/>
    <n v="10048.280000000001"/>
    <n v="10048.280999999999"/>
    <n v="10048.280999999999"/>
    <n v="10048.280999999999"/>
    <n v="10048.280999999999"/>
    <m/>
    <n v="1346.3"/>
    <n v="26928.3"/>
    <n v="0"/>
    <n v="59748.4"/>
    <n v="0"/>
    <n v="0"/>
    <n v="0"/>
    <n v="0"/>
    <n v="0"/>
    <n v="0"/>
    <n v="0"/>
    <n v="95.65548600000001"/>
    <n v="88.022999999999996"/>
    <n v="-7.6324860000000143"/>
    <n v="0.92020859106815878"/>
    <n v="155.98064099999996"/>
    <n v="88.022999999999996"/>
  </r>
  <r>
    <x v="3"/>
    <x v="63"/>
    <x v="30"/>
    <n v="1201.345"/>
    <n v="3866.3089999999997"/>
    <n v="4404.1809999999996"/>
    <n v="5184.1420000000007"/>
    <n v="5679.0499999999993"/>
    <n v="17559.863999999998"/>
    <n v="16096.863999999998"/>
    <n v="12925.015999999996"/>
    <n v="13383.478999999999"/>
    <n v="12726.108999999997"/>
    <n v="13769.552999999996"/>
    <n v="14030.413999999997"/>
    <n v="1182.8899999999999"/>
    <n v="3950.3500000000004"/>
    <n v="4457.7599999999993"/>
    <n v="5149.58"/>
    <n v="5678.57"/>
    <n v="7472.9"/>
    <n v="0"/>
    <n v="0"/>
    <n v="0"/>
    <n v="0"/>
    <n v="0"/>
    <n v="0"/>
    <n v="37.894890999999994"/>
    <n v="27.892050000000005"/>
    <n v="-10.002840999999989"/>
    <n v="0.73603721409305567"/>
    <n v="120.82632599999997"/>
    <n v="27.892050000000005"/>
  </r>
  <r>
    <x v="3"/>
    <x v="68"/>
    <x v="30"/>
    <n v="9656.07"/>
    <n v="48.295999999999999"/>
    <n v="26.175999999999998"/>
    <n v="0"/>
    <n v="16580.027000000002"/>
    <n v="7952.7719999999999"/>
    <n v="10185.606"/>
    <n v="10185.606"/>
    <m/>
    <m/>
    <m/>
    <m/>
    <n v="9651.16"/>
    <n v="47.96"/>
    <n v="26.34"/>
    <n v="0"/>
    <n v="17039.41"/>
    <n v="83.83"/>
    <n v="0"/>
    <n v="0"/>
    <m/>
    <m/>
    <m/>
    <m/>
    <n v="34.263340999999997"/>
    <n v="26.848700000000001"/>
    <n v="-7.414640999999996"/>
    <n v="0.78359842374974475"/>
    <n v="54.634552999999997"/>
    <n v="26.848700000000001"/>
  </r>
  <r>
    <x v="3"/>
    <x v="100"/>
    <x v="30"/>
    <n v="149.51"/>
    <n v="-1449.3440000000001"/>
    <m/>
    <m/>
    <m/>
    <m/>
    <m/>
    <m/>
    <m/>
    <m/>
    <m/>
    <m/>
    <n v="112.57000000000016"/>
    <n v="-1545.67"/>
    <m/>
    <m/>
    <m/>
    <m/>
    <m/>
    <m/>
    <m/>
    <m/>
    <m/>
    <m/>
    <n v="-1.2998340000000002"/>
    <n v="-1.4330999999999998"/>
    <n v="-0.13326599999999966"/>
    <n v="1.1025253993971535"/>
    <n v="-1.2998340000000002"/>
    <n v="-1.4330999999999998"/>
  </r>
  <r>
    <x v="3"/>
    <x v="72"/>
    <x v="30"/>
    <n v="103097.75"/>
    <n v="10615.770000000004"/>
    <n v="14804.089999999998"/>
    <n v="135064.91"/>
    <n v="187311.39"/>
    <n v="109053.83"/>
    <n v="109053.83000000002"/>
    <n v="109053.83"/>
    <n v="158311.82999999999"/>
    <n v="159053.82999999996"/>
    <n v="176788.83"/>
    <n v="109053.83"/>
    <n v="103097.74999999999"/>
    <n v="10615.770000000059"/>
    <n v="14804.090000000029"/>
    <n v="135064.91000000006"/>
    <n v="187311.39000000004"/>
    <n v="8666.8599999999878"/>
    <n v="0"/>
    <n v="0"/>
    <n v="0"/>
    <n v="0"/>
    <n v="0"/>
    <n v="0"/>
    <n v="559.94773999999995"/>
    <n v="459.56077000000016"/>
    <n v="-100.38696999999979"/>
    <n v="0.82072082298251658"/>
    <n v="1381.2637200000001"/>
    <n v="459.56077000000016"/>
  </r>
  <r>
    <x v="3"/>
    <x v="77"/>
    <x v="30"/>
    <n v="10948.574000000001"/>
    <n v="4768.2910000000002"/>
    <n v="0"/>
    <n v="1073.396"/>
    <n v="1077.5340000000001"/>
    <n v="0"/>
    <n v="0"/>
    <n v="0"/>
    <n v="0"/>
    <n v="0"/>
    <n v="0"/>
    <n v="0"/>
    <n v="10943.62"/>
    <n v="4753.18"/>
    <n v="0"/>
    <n v="1079.42"/>
    <n v="1082.6299999999999"/>
    <n v="2036.4499999999998"/>
    <n v="0"/>
    <n v="0"/>
    <n v="0"/>
    <n v="0"/>
    <n v="0"/>
    <n v="0"/>
    <n v="17.867795000000001"/>
    <n v="19.895300000000002"/>
    <n v="2.0275050000000014"/>
    <n v="1.11347259132982"/>
    <n v="17.867795000000001"/>
    <n v="19.895300000000002"/>
  </r>
  <r>
    <x v="3"/>
    <x v="82"/>
    <x v="30"/>
    <n v="4938.1909999999998"/>
    <n v="8108.5540000000001"/>
    <n v="12100.385999999997"/>
    <n v="6925.5629999999992"/>
    <n v="8256.0329999999994"/>
    <n v="8802.25"/>
    <n v="8802.25"/>
    <n v="8802.2499999999982"/>
    <n v="8802.25"/>
    <n v="8802.2499999999982"/>
    <n v="8802.2499999999982"/>
    <n v="8802.2499999999982"/>
    <n v="4850.2700000000004"/>
    <n v="8309.869999999999"/>
    <n v="12241.170000000004"/>
    <n v="6880.1399999999994"/>
    <n v="8210.0500000000011"/>
    <n v="13599.839999999998"/>
    <n v="0"/>
    <n v="0"/>
    <n v="0"/>
    <n v="0"/>
    <n v="0"/>
    <n v="0"/>
    <n v="49.130976999999994"/>
    <n v="54.091340000000002"/>
    <n v="4.9603630000000081"/>
    <n v="1.1009620264624498"/>
    <n v="101.94447699999998"/>
    <n v="54.091340000000002"/>
  </r>
  <r>
    <x v="3"/>
    <x v="92"/>
    <x v="30"/>
    <n v="54161.509999999995"/>
    <n v="14573.82"/>
    <n v="71841.47000000003"/>
    <n v="86226.550000000032"/>
    <n v="59762.14"/>
    <n v="89542.5"/>
    <n v="54115.5"/>
    <n v="54114"/>
    <n v="54114"/>
    <n v="54114"/>
    <n v="54114"/>
    <n v="54114"/>
    <n v="54161.510000000009"/>
    <n v="14573.820000000011"/>
    <n v="71841.47"/>
    <n v="86249.000000000058"/>
    <n v="59762.140000000007"/>
    <n v="74012.03"/>
    <n v="0"/>
    <n v="0"/>
    <n v="0"/>
    <n v="0"/>
    <n v="0"/>
    <n v="0"/>
    <n v="376.10799000000003"/>
    <n v="360.5999700000001"/>
    <n v="-15.508019999999931"/>
    <n v="0.958767108350982"/>
    <n v="700.79349000000002"/>
    <n v="360.5999700000001"/>
  </r>
  <r>
    <x v="3"/>
    <x v="101"/>
    <x v="30"/>
    <n v="0"/>
    <n v="0"/>
    <n v="0"/>
    <n v="1605695.61"/>
    <n v="0"/>
    <n v="1491983.7069999999"/>
    <n v="0"/>
    <n v="0"/>
    <n v="1491983.7069999999"/>
    <n v="0"/>
    <n v="0"/>
    <n v="1478955.7069999999"/>
    <n v="0"/>
    <n v="0"/>
    <n v="0"/>
    <n v="1605695.61"/>
    <n v="0"/>
    <n v="572741.81999999995"/>
    <n v="0"/>
    <n v="0"/>
    <n v="0"/>
    <n v="0"/>
    <n v="0"/>
    <n v="0"/>
    <n v="3097.6793169999996"/>
    <n v="2178.4374299999999"/>
    <n v="-919.24188699999968"/>
    <n v="0.70324820843938907"/>
    <n v="6068.6187310000005"/>
    <n v="2178.4374299999999"/>
  </r>
  <r>
    <x v="4"/>
    <x v="32"/>
    <x v="31"/>
    <m/>
    <m/>
    <m/>
    <n v="71414.804999999993"/>
    <n v="44609.921999999999"/>
    <n v="44265.896999999997"/>
    <n v="44265.896999999997"/>
    <n v="44265.896999999997"/>
    <n v="44265.896999999997"/>
    <n v="44265.897000000004"/>
    <n v="44265.897000000004"/>
    <n v="44265.896999999997"/>
    <m/>
    <m/>
    <m/>
    <n v="72844.440000000017"/>
    <n v="44488.5"/>
    <n v="7139.5499999999956"/>
    <n v="681"/>
    <n v="0"/>
    <n v="0"/>
    <n v="0"/>
    <n v="0"/>
    <n v="0"/>
    <n v="160.29062399999998"/>
    <n v="124.47249000000002"/>
    <n v="-35.818133999999958"/>
    <n v="0.77654255061107025"/>
    <n v="425.88600599999995"/>
    <n v="124.47249000000002"/>
  </r>
  <r>
    <x v="4"/>
    <x v="35"/>
    <x v="32"/>
    <n v="83.542000000000002"/>
    <n v="84.763000000000005"/>
    <n v="544.44200000000001"/>
    <n v="7541.7800000000007"/>
    <n v="1660.3120000000001"/>
    <m/>
    <m/>
    <m/>
    <m/>
    <m/>
    <m/>
    <m/>
    <n v="0"/>
    <n v="0"/>
    <n v="459.67999999999995"/>
    <n v="3876.5599999999995"/>
    <n v="1642.5200000000002"/>
    <m/>
    <m/>
    <m/>
    <m/>
    <m/>
    <m/>
    <m/>
    <n v="9.9148390000000006"/>
    <n v="5.9787600000000003"/>
    <n v="-3.9360790000000003"/>
    <n v="0.60301130457085583"/>
    <n v="9.9148390000000006"/>
    <n v="5.9787600000000003"/>
  </r>
  <r>
    <x v="4"/>
    <x v="38"/>
    <x v="31"/>
    <n v="6209.75"/>
    <n v="3670.5279999999998"/>
    <n v="6615.0840000000007"/>
    <n v="44641.317000000003"/>
    <n v="20136.372000000003"/>
    <n v="18407.532999999999"/>
    <n v="18407.532999999996"/>
    <n v="18407.532999999996"/>
    <n v="18407.532999999996"/>
    <n v="18407.532999999996"/>
    <n v="18407.532999999996"/>
    <n v="18407.532999999996"/>
    <n v="6209.75"/>
    <n v="3738.900000000001"/>
    <n v="6613.77"/>
    <n v="44863.48000000001"/>
    <n v="20162.610000000004"/>
    <n v="8727.6000000000022"/>
    <n v="1324"/>
    <n v="0"/>
    <n v="0"/>
    <n v="0"/>
    <n v="0"/>
    <n v="0"/>
    <n v="99.680583999999996"/>
    <n v="90.316110000000009"/>
    <n v="-9.3644739999999871"/>
    <n v="0.90605518523045581"/>
    <n v="210.12578199999999"/>
    <n v="90.316110000000009"/>
  </r>
  <r>
    <x v="4"/>
    <x v="102"/>
    <x v="31"/>
    <m/>
    <m/>
    <n v="0"/>
    <n v="403.30500000000001"/>
    <n v="6206.9159999999993"/>
    <n v="4750.6329999999998"/>
    <n v="4750.6329999999998"/>
    <n v="4750.6329999999998"/>
    <n v="4750.6329999999998"/>
    <n v="4750.6329999999998"/>
    <n v="4750.6329999999998"/>
    <n v="4750.6329999999998"/>
    <m/>
    <m/>
    <n v="0"/>
    <n v="400.34999999999997"/>
    <n v="6247.6799999999994"/>
    <n v="13505.090000000002"/>
    <n v="453"/>
    <n v="0"/>
    <n v="0"/>
    <n v="0"/>
    <n v="0"/>
    <n v="0"/>
    <n v="11.360854"/>
    <n v="20.153120000000001"/>
    <n v="8.7922660000000015"/>
    <n v="1.7739088980458688"/>
    <n v="39.864652"/>
    <n v="20.153120000000001"/>
  </r>
  <r>
    <x v="4"/>
    <x v="60"/>
    <x v="33"/>
    <m/>
    <m/>
    <n v="942.30700000000002"/>
    <m/>
    <m/>
    <m/>
    <m/>
    <m/>
    <m/>
    <m/>
    <m/>
    <m/>
    <m/>
    <m/>
    <n v="936.19"/>
    <m/>
    <m/>
    <m/>
    <m/>
    <m/>
    <m/>
    <m/>
    <m/>
    <m/>
    <n v="0.94230700000000001"/>
    <n v="0.93619000000000008"/>
    <n v="-6.1169999999999281E-3"/>
    <n v="0.99350848502664213"/>
    <n v="0.94230700000000001"/>
    <n v="0.93619000000000008"/>
  </r>
  <r>
    <x v="4"/>
    <x v="60"/>
    <x v="32"/>
    <n v="383.459"/>
    <n v="1555.423"/>
    <n v="4858.485999999999"/>
    <n v="6355.0380000000005"/>
    <n v="-972.90999999999985"/>
    <m/>
    <m/>
    <m/>
    <m/>
    <m/>
    <m/>
    <m/>
    <n v="383.46"/>
    <n v="1555.41"/>
    <n v="4838.74"/>
    <n v="6298.74"/>
    <n v="-961.04000000000019"/>
    <m/>
    <m/>
    <m/>
    <m/>
    <m/>
    <m/>
    <m/>
    <n v="12.179495999999999"/>
    <n v="12.115309999999997"/>
    <n v="-6.4186000000001187E-2"/>
    <n v="0.99472999539554008"/>
    <n v="12.179495999999999"/>
    <n v="12.115309999999997"/>
  </r>
  <r>
    <x v="4"/>
    <x v="67"/>
    <x v="31"/>
    <n v="57408.741000000016"/>
    <n v="407.6140000000056"/>
    <n v="70415.628000000012"/>
    <n v="1744.2539999999788"/>
    <n v="47011.361000000004"/>
    <n v="37403.968000000015"/>
    <n v="24360.919000000016"/>
    <n v="27023.005000000016"/>
    <n v="24360.919000000013"/>
    <n v="24360.919000000013"/>
    <n v="29152.935000000012"/>
    <n v="24360.919000000009"/>
    <n v="56567.999999999993"/>
    <n v="416.46999999999628"/>
    <n v="71053.039999999979"/>
    <n v="1734.9799999999868"/>
    <n v="47117.709999999992"/>
    <n v="44895.39999999998"/>
    <n v="57"/>
    <n v="0"/>
    <n v="0"/>
    <n v="0"/>
    <n v="0"/>
    <n v="0"/>
    <n v="214.39156600000001"/>
    <n v="221.78559999999993"/>
    <n v="7.3940339999999196"/>
    <n v="1.0344884555766523"/>
    <n v="368.01118200000002"/>
    <n v="221.78559999999993"/>
  </r>
  <r>
    <x v="4"/>
    <x v="70"/>
    <x v="31"/>
    <n v="2101.1689999999999"/>
    <n v="1132.094000000001"/>
    <n v="0"/>
    <n v="-97.852000000000004"/>
    <n v="0"/>
    <n v="0"/>
    <n v="0"/>
    <n v="0"/>
    <n v="0"/>
    <n v="0"/>
    <n v="0"/>
    <n v="0"/>
    <n v="2072.52"/>
    <n v="1098.71"/>
    <n v="0"/>
    <n v="-100.25"/>
    <n v="0"/>
    <n v="0"/>
    <n v="0"/>
    <n v="0"/>
    <n v="0"/>
    <n v="0"/>
    <n v="0"/>
    <n v="0"/>
    <n v="3.1354110000000008"/>
    <n v="3.07098"/>
    <n v="-6.4431000000000793E-2"/>
    <n v="0.97945054093386774"/>
    <n v="3.1354110000000008"/>
    <n v="3.07098"/>
  </r>
  <r>
    <x v="4"/>
    <x v="91"/>
    <x v="33"/>
    <m/>
    <m/>
    <m/>
    <n v="11574.745000000001"/>
    <m/>
    <m/>
    <m/>
    <m/>
    <m/>
    <m/>
    <m/>
    <m/>
    <m/>
    <m/>
    <m/>
    <n v="11651.449999999999"/>
    <m/>
    <m/>
    <m/>
    <m/>
    <m/>
    <m/>
    <m/>
    <m/>
    <n v="11.574745"/>
    <n v="11.651449999999999"/>
    <n v="7.6704999999998691E-2"/>
    <n v="1.0066269278502462"/>
    <n v="11.574745"/>
    <n v="11.651449999999999"/>
  </r>
  <r>
    <x v="4"/>
    <x v="91"/>
    <x v="32"/>
    <m/>
    <m/>
    <m/>
    <n v="3367.5149999999999"/>
    <n v="1721.943"/>
    <m/>
    <m/>
    <m/>
    <m/>
    <m/>
    <m/>
    <m/>
    <m/>
    <m/>
    <m/>
    <n v="3336.95"/>
    <n v="1855.28"/>
    <m/>
    <m/>
    <m/>
    <m/>
    <m/>
    <m/>
    <m/>
    <n v="5.0894579999999996"/>
    <n v="5.1922299999999995"/>
    <n v="0.10277199999999986"/>
    <n v="1.0201931129012165"/>
    <n v="5.0894579999999996"/>
    <n v="5.1922299999999995"/>
  </r>
  <r>
    <x v="5"/>
    <x v="39"/>
    <x v="34"/>
    <m/>
    <m/>
    <n v="336.26799999999997"/>
    <n v="320.65600000000001"/>
    <n v="175.089"/>
    <n v="554.19900000000007"/>
    <n v="1924.893"/>
    <n v="1924.893"/>
    <n v="554.19899999999996"/>
    <n v="1924.893"/>
    <n v="1924.893"/>
    <n v="554.19899999999996"/>
    <m/>
    <m/>
    <n v="335.14"/>
    <n v="314.67"/>
    <n v="175.92000000000002"/>
    <n v="597.64"/>
    <n v="0"/>
    <n v="0"/>
    <n v="0"/>
    <n v="0"/>
    <n v="0"/>
    <n v="0"/>
    <n v="1.386212"/>
    <n v="1.4233699999999998"/>
    <n v="3.7157999999999802E-2"/>
    <n v="1.026805423701425"/>
    <n v="10.194182000000001"/>
    <n v="1.4233699999999998"/>
  </r>
  <r>
    <x v="5"/>
    <x v="7"/>
    <x v="35"/>
    <n v="1531.98"/>
    <n v="2067.5500000000002"/>
    <n v="2275.65"/>
    <n v="2495.9199999999996"/>
    <n v="6837.23"/>
    <n v="6140.0830000000005"/>
    <n v="6140.0830000000005"/>
    <n v="7015.0829999999996"/>
    <n v="6140.0830000000005"/>
    <n v="6140.0830000000005"/>
    <n v="6140.0830000000005"/>
    <n v="6140.0829999999996"/>
    <n v="1531.98"/>
    <n v="2067.5499999999997"/>
    <n v="2275.65"/>
    <n v="2495.92"/>
    <n v="6837.23"/>
    <n v="4994.3999999999996"/>
    <n v="0"/>
    <n v="0"/>
    <n v="0"/>
    <n v="0"/>
    <n v="0"/>
    <n v="0"/>
    <n v="21.348413000000001"/>
    <n v="20.202729999999999"/>
    <n v="-1.1456830000000018"/>
    <n v="0.94633404365935769"/>
    <n v="59.06391099999999"/>
    <n v="20.202729999999999"/>
  </r>
  <r>
    <x v="5"/>
    <x v="43"/>
    <x v="35"/>
    <n v="-3797.5700000000124"/>
    <n v="26265.154999999999"/>
    <n v="1074.7700000000077"/>
    <n v="129110.20800000001"/>
    <n v="5634.0659999999953"/>
    <n v="90752.036999999997"/>
    <n v="45084.934000000001"/>
    <n v="45318.159000000007"/>
    <n v="42878.476999999992"/>
    <n v="41226.447"/>
    <n v="63712.292000000001"/>
    <n v="52670.436000000009"/>
    <n v="-3699.7099999999909"/>
    <n v="27140.719999999994"/>
    <n v="1085.9100000000042"/>
    <n v="127526.94"/>
    <n v="5640.9299999999967"/>
    <n v="7776.0099999999957"/>
    <n v="0"/>
    <n v="0"/>
    <n v="0"/>
    <n v="0"/>
    <n v="0"/>
    <n v="0"/>
    <n v="249.03866599999998"/>
    <n v="165.47080000000003"/>
    <n v="-83.567865999999952"/>
    <n v="0.6644381880844159"/>
    <n v="539.92941099999996"/>
    <n v="165.47080000000003"/>
  </r>
  <r>
    <x v="5"/>
    <x v="45"/>
    <x v="35"/>
    <m/>
    <m/>
    <n v="99.876999999999995"/>
    <n v="6930.0259999999998"/>
    <n v="80476.503000000012"/>
    <n v="31600.264999999996"/>
    <n v="31600.264999999999"/>
    <n v="31600.264999999999"/>
    <n v="31600.264999999999"/>
    <n v="31600.264999999999"/>
    <n v="31600.264999999996"/>
    <n v="31600.264999999999"/>
    <m/>
    <m/>
    <n v="101.13"/>
    <n v="6973.49"/>
    <n v="79531.429999999993"/>
    <n v="13190.530000000006"/>
    <n v="0"/>
    <n v="0"/>
    <n v="0"/>
    <n v="0"/>
    <n v="0"/>
    <n v="0"/>
    <n v="119.10667100000002"/>
    <n v="99.796579999999992"/>
    <n v="-19.310091000000028"/>
    <n v="0.83787565517635842"/>
    <n v="308.70826100000005"/>
    <n v="99.796579999999992"/>
  </r>
  <r>
    <x v="5"/>
    <x v="47"/>
    <x v="35"/>
    <n v="865.33799999999997"/>
    <n v="-877.99099999999999"/>
    <n v="0"/>
    <n v="0"/>
    <n v="11295.225999999999"/>
    <n v="2932.069"/>
    <n v="2932.069"/>
    <n v="2932.069"/>
    <n v="2932.069"/>
    <n v="2932.069"/>
    <n v="2932.069"/>
    <n v="2932.069"/>
    <n v="865.34"/>
    <n v="-864.9"/>
    <n v="0"/>
    <n v="0"/>
    <n v="11310.3"/>
    <n v="0"/>
    <n v="0"/>
    <n v="0"/>
    <n v="0"/>
    <n v="0"/>
    <n v="0"/>
    <n v="0"/>
    <n v="14.214641999999998"/>
    <n v="11.310739999999999"/>
    <n v="-2.9039019999999987"/>
    <n v="0.79571050751753025"/>
    <n v="31.807055999999996"/>
    <n v="11.310739999999999"/>
  </r>
  <r>
    <x v="5"/>
    <x v="57"/>
    <x v="36"/>
    <n v="0"/>
    <m/>
    <m/>
    <n v="773.56600000000003"/>
    <n v="11320.175999999999"/>
    <n v="9854.0660000000025"/>
    <m/>
    <m/>
    <m/>
    <m/>
    <m/>
    <m/>
    <n v="0"/>
    <m/>
    <m/>
    <n v="762.01"/>
    <n v="11343.030000000002"/>
    <n v="62096.54"/>
    <m/>
    <m/>
    <m/>
    <m/>
    <m/>
    <m/>
    <n v="21.947808000000006"/>
    <n v="74.201580000000007"/>
    <n v="52.253771999999998"/>
    <n v="3.3808196244472337"/>
    <n v="21.947808000000006"/>
    <n v="74.201580000000007"/>
  </r>
  <r>
    <x v="5"/>
    <x v="59"/>
    <x v="35"/>
    <n v="25890.054000000004"/>
    <n v="-15561.596000000001"/>
    <n v="2978.6979999999999"/>
    <n v="93326.723999999973"/>
    <n v="73304.005999999979"/>
    <n v="40621.507000000005"/>
    <n v="40621.507000000005"/>
    <n v="40621.507000000005"/>
    <n v="40621.507000000005"/>
    <n v="40621.507000000005"/>
    <n v="40621.507000000005"/>
    <n v="40621.507000000005"/>
    <n v="25890.05"/>
    <n v="-15235.919999999998"/>
    <n v="2978.86"/>
    <n v="93688.950000000026"/>
    <n v="73630.300000000017"/>
    <n v="7543.1099999999933"/>
    <n v="11032.87"/>
    <n v="0"/>
    <n v="0"/>
    <n v="0"/>
    <n v="0"/>
    <n v="0"/>
    <n v="220.55939299999994"/>
    <n v="188.49535000000003"/>
    <n v="-32.064042999999913"/>
    <n v="0.85462399690227697"/>
    <n v="464.28843499999988"/>
    <n v="188.49535000000003"/>
  </r>
  <r>
    <x v="5"/>
    <x v="61"/>
    <x v="37"/>
    <n v="29175.424999999999"/>
    <n v="5391.5889999999999"/>
    <n v="3659.3919999999985"/>
    <n v="15298.188000000002"/>
    <n v="5988.0909999999985"/>
    <n v="14621.733"/>
    <n v="0"/>
    <n v="0"/>
    <n v="0"/>
    <n v="0"/>
    <n v="0"/>
    <n v="0"/>
    <n v="29736.309999999998"/>
    <n v="5419.88"/>
    <n v="3689.6900000000023"/>
    <n v="14909.33"/>
    <n v="6076.8099999999986"/>
    <n v="19202.489999999998"/>
    <n v="0"/>
    <n v="0"/>
    <n v="0"/>
    <n v="0"/>
    <n v="0"/>
    <n v="0"/>
    <n v="74.134418000000011"/>
    <n v="79.034509999999997"/>
    <n v="4.9000919999999866"/>
    <n v="1.0660973962188518"/>
    <n v="74.134418000000011"/>
    <n v="79.034509999999997"/>
  </r>
  <r>
    <x v="5"/>
    <x v="62"/>
    <x v="36"/>
    <n v="1612.9280000000001"/>
    <n v="2464.7570000000001"/>
    <n v="2427.3879999999999"/>
    <n v="37145.898000000001"/>
    <n v="7729.2829999999976"/>
    <n v="28963.57"/>
    <n v="31603.297000000002"/>
    <n v="33861.678"/>
    <n v="37505.089"/>
    <n v="37362.668999999994"/>
    <n v="37564.241999999998"/>
    <m/>
    <n v="1645.5099999999998"/>
    <n v="2491.69"/>
    <n v="2454.5100000000002"/>
    <n v="36971.22"/>
    <n v="7857.8000000000011"/>
    <n v="78227.62999999999"/>
    <n v="0"/>
    <n v="0"/>
    <n v="0"/>
    <n v="0"/>
    <n v="0"/>
    <m/>
    <n v="80.343823999999998"/>
    <n v="129.64836"/>
    <n v="49.304535999999999"/>
    <n v="1.6136692722019306"/>
    <n v="258.24079899999998"/>
    <n v="129.64836"/>
  </r>
  <r>
    <x v="5"/>
    <x v="66"/>
    <x v="35"/>
    <n v="4243.8900000000003"/>
    <n v="-4204.5349999999999"/>
    <n v="-242.30099999999999"/>
    <n v="9433.9760000000006"/>
    <n v="9589.4180000000015"/>
    <n v="4154.3329999999996"/>
    <n v="4154.3329999999996"/>
    <n v="4154.3329999999996"/>
    <n v="4154.3329999999996"/>
    <n v="4154.3329999999996"/>
    <n v="4154.3329999999996"/>
    <n v="4154.3329999999996"/>
    <n v="4256.37"/>
    <n v="-4117"/>
    <n v="-246.06000000000023"/>
    <n v="9444.2000000000007"/>
    <n v="9987.7999999999993"/>
    <n v="0"/>
    <n v="0"/>
    <n v="0"/>
    <n v="0"/>
    <n v="0"/>
    <n v="0"/>
    <n v="0"/>
    <n v="22.974781000000004"/>
    <n v="19.325309999999998"/>
    <n v="-3.6494710000000055"/>
    <n v="0.84115317573647364"/>
    <n v="47.900778999999993"/>
    <n v="19.325309999999998"/>
  </r>
  <r>
    <x v="5"/>
    <x v="103"/>
    <x v="37"/>
    <m/>
    <m/>
    <n v="-9.4999999996630891E-2"/>
    <m/>
    <m/>
    <m/>
    <m/>
    <m/>
    <m/>
    <m/>
    <m/>
    <m/>
    <m/>
    <m/>
    <n v="-9.000000000730779E-2"/>
    <m/>
    <m/>
    <m/>
    <m/>
    <m/>
    <m/>
    <m/>
    <m/>
    <m/>
    <n v="-9.4999999996630888E-5"/>
    <n v="-9.0000000007307786E-5"/>
    <n v="4.9999999893231018E-6"/>
    <n v="0.94736842116315345"/>
    <n v="-9.4999999996630888E-5"/>
    <n v="-9.0000000007307786E-5"/>
  </r>
  <r>
    <x v="5"/>
    <x v="24"/>
    <x v="35"/>
    <n v="-2459.02"/>
    <n v="615.39"/>
    <n v="0"/>
    <n v="0"/>
    <n v="1917.8700000000003"/>
    <n v="0"/>
    <n v="0"/>
    <n v="0"/>
    <n v="0"/>
    <n v="0"/>
    <n v="0"/>
    <n v="0"/>
    <n v="-2459.02"/>
    <n v="615.39"/>
    <n v="0"/>
    <n v="0"/>
    <n v="1917.8700000000003"/>
    <n v="0"/>
    <n v="0"/>
    <n v="0"/>
    <n v="0"/>
    <n v="0"/>
    <n v="0"/>
    <n v="0"/>
    <n v="7.4240000000000236E-2"/>
    <n v="7.4240000000000236E-2"/>
    <n v="0"/>
    <n v="1"/>
    <n v="7.4240000000000236E-2"/>
    <n v="7.4240000000000236E-2"/>
  </r>
  <r>
    <x v="5"/>
    <x v="73"/>
    <x v="35"/>
    <n v="1996.9120000000003"/>
    <n v="3437.315000000001"/>
    <n v="5048.5190000000002"/>
    <n v="3517.1329999999998"/>
    <n v="15796.520999999999"/>
    <n v="12748.554"/>
    <m/>
    <m/>
    <m/>
    <m/>
    <m/>
    <m/>
    <n v="2037.2300000000002"/>
    <n v="3454.9299999999989"/>
    <n v="5130.96"/>
    <n v="3462.8300000000004"/>
    <n v="16039.03"/>
    <n v="7768.51"/>
    <m/>
    <m/>
    <m/>
    <m/>
    <m/>
    <m/>
    <n v="42.544953999999997"/>
    <n v="37.89349"/>
    <n v="-4.6514639999999972"/>
    <n v="0.89066943167925394"/>
    <n v="42.544953999999997"/>
    <n v="37.89349"/>
  </r>
  <r>
    <x v="5"/>
    <x v="78"/>
    <x v="35"/>
    <n v="70933.031000000003"/>
    <n v="21.822999999999873"/>
    <n v="41.058000000000902"/>
    <n v="14378.822000000002"/>
    <n v="1913.9569999999981"/>
    <n v="17263.381999999998"/>
    <n v="18152.124999999996"/>
    <n v="16340.862000000003"/>
    <n v="15073.969000000003"/>
    <n v="20780.716000000015"/>
    <n v="14654.361000000001"/>
    <n v="13990.392"/>
    <n v="68741.8"/>
    <n v="22.559999999991703"/>
    <n v="41.739999999997963"/>
    <n v="14296.000000000004"/>
    <n v="1899.6300000000083"/>
    <n v="16703.549999999996"/>
    <n v="0"/>
    <n v="0"/>
    <n v="0"/>
    <n v="0"/>
    <n v="0"/>
    <n v="0"/>
    <n v="104.55207300000001"/>
    <n v="101.70528"/>
    <n v="-2.8467930000000052"/>
    <n v="0.9727715298385331"/>
    <n v="203.54449800000003"/>
    <n v="101.70528"/>
  </r>
  <r>
    <x v="5"/>
    <x v="104"/>
    <x v="35"/>
    <m/>
    <m/>
    <m/>
    <n v="0"/>
    <n v="0"/>
    <n v="5075.4619999999995"/>
    <n v="5075.4619999999995"/>
    <n v="5075.4619999999995"/>
    <n v="5075.4619999999995"/>
    <n v="5075.4619999999995"/>
    <n v="5075.4619999999995"/>
    <n v="5075.4619999999995"/>
    <m/>
    <m/>
    <m/>
    <n v="0"/>
    <n v="0"/>
    <n v="0"/>
    <n v="0"/>
    <n v="0"/>
    <n v="0"/>
    <n v="0"/>
    <n v="0"/>
    <n v="0"/>
    <n v="5.0754619999999999"/>
    <n v="0"/>
    <n v="-5.0754619999999999"/>
    <n v="0"/>
    <n v="35.528233999999998"/>
    <n v="0"/>
  </r>
  <r>
    <x v="5"/>
    <x v="84"/>
    <x v="35"/>
    <n v="6819.9470000000001"/>
    <n v="-3413.87"/>
    <n v="0"/>
    <n v="-3348.2700000000004"/>
    <n v="580.32799999999997"/>
    <n v="0"/>
    <n v="0"/>
    <n v="0"/>
    <n v="0"/>
    <n v="0"/>
    <n v="0"/>
    <n v="0"/>
    <n v="6736.45"/>
    <n v="-3322.34"/>
    <n v="0"/>
    <n v="-3411.53"/>
    <n v="583.55000000000007"/>
    <n v="0"/>
    <n v="0"/>
    <n v="0"/>
    <n v="0"/>
    <n v="0"/>
    <n v="0"/>
    <n v="0"/>
    <n v="0.63813499999999979"/>
    <n v="0.5861299999999996"/>
    <n v="-5.200500000000019E-2"/>
    <n v="0.91850470511725546"/>
    <n v="0.63813499999999979"/>
    <n v="0.5861299999999996"/>
  </r>
  <r>
    <x v="5"/>
    <x v="86"/>
    <x v="38"/>
    <n v="0"/>
    <n v="0"/>
    <n v="2453.7269999999999"/>
    <n v="4211.6930000000002"/>
    <n v="348.37899999999996"/>
    <n v="4348.7679999999991"/>
    <n v="0"/>
    <m/>
    <m/>
    <m/>
    <m/>
    <m/>
    <n v="0"/>
    <n v="0"/>
    <n v="2425.6799999999998"/>
    <n v="4242.33"/>
    <n v="353.36999999999995"/>
    <n v="534.29999999999905"/>
    <n v="238.23"/>
    <m/>
    <m/>
    <m/>
    <m/>
    <m/>
    <n v="11.362566999999999"/>
    <n v="7.5556799999999997"/>
    <n v="-3.8068869999999988"/>
    <n v="0.66496241562315983"/>
    <n v="11.362566999999999"/>
    <n v="7.5556799999999997"/>
  </r>
  <r>
    <x v="5"/>
    <x v="87"/>
    <x v="38"/>
    <n v="1081.4570000000001"/>
    <n v="3682.498"/>
    <n v="13794.330000000002"/>
    <n v="19136.293000000001"/>
    <n v="2495.6530000000002"/>
    <n v="15802.603999999998"/>
    <n v="0"/>
    <m/>
    <m/>
    <m/>
    <m/>
    <m/>
    <n v="1091.95"/>
    <n v="3753.04"/>
    <n v="13656.68"/>
    <n v="19282.000000000004"/>
    <n v="2549.4099999999994"/>
    <n v="2753.2700000000018"/>
    <n v="1085.23"/>
    <m/>
    <m/>
    <m/>
    <m/>
    <m/>
    <n v="55.992835000000007"/>
    <n v="43.086349999999996"/>
    <n v="-12.906485000000011"/>
    <n v="0.76949756160765914"/>
    <n v="55.992835000000007"/>
    <n v="43.086349999999996"/>
  </r>
  <r>
    <x v="5"/>
    <x v="88"/>
    <x v="36"/>
    <n v="13773.968000000004"/>
    <n v="4404.3419999999987"/>
    <n v="3943.9870000000001"/>
    <n v="23190.710999999996"/>
    <n v="386.22800000000001"/>
    <n v="0"/>
    <m/>
    <m/>
    <m/>
    <m/>
    <m/>
    <m/>
    <n v="13426.629999999992"/>
    <n v="4502.01"/>
    <n v="3992.2799999999997"/>
    <n v="22991.829999999998"/>
    <n v="385.57000000000005"/>
    <n v="-22224.77"/>
    <m/>
    <m/>
    <m/>
    <m/>
    <m/>
    <m/>
    <n v="45.699236000000006"/>
    <n v="23.073549999999983"/>
    <n v="-22.625686000000023"/>
    <n v="0.50490012568262588"/>
    <n v="45.699236000000006"/>
    <n v="23.073549999999983"/>
  </r>
  <r>
    <x v="5"/>
    <x v="88"/>
    <x v="39"/>
    <n v="4215.1239999999998"/>
    <n v="4144.5029999999997"/>
    <n v="3940.9319999999998"/>
    <n v="4317.5479999999998"/>
    <m/>
    <n v="0"/>
    <m/>
    <m/>
    <m/>
    <m/>
    <m/>
    <m/>
    <n v="4152.7900000000009"/>
    <n v="4231.41"/>
    <n v="3977.13"/>
    <n v="4292.93"/>
    <m/>
    <n v="-12501.47"/>
    <m/>
    <m/>
    <m/>
    <m/>
    <m/>
    <m/>
    <n v="16.618106999999998"/>
    <n v="4.1527900000000031"/>
    <n v="-12.465316999999995"/>
    <n v="0.24989549050322057"/>
    <n v="16.618106999999998"/>
    <n v="4.1527900000000031"/>
  </r>
  <r>
    <x v="6"/>
    <x v="41"/>
    <x v="40"/>
    <n v="140577.72100000005"/>
    <n v="94060.825999999972"/>
    <n v="190511.98500000007"/>
    <n v="158423.66400000005"/>
    <n v="228074.43299999996"/>
    <n v="61980.572999999997"/>
    <n v="89863.987000000008"/>
    <n v="89863.987000000008"/>
    <n v="89863.986999999994"/>
    <n v="89863.987000000008"/>
    <n v="89863.986999999979"/>
    <n v="89863.986999999994"/>
    <n v="102200.31999999999"/>
    <n v="57106.25"/>
    <n v="151338.07000000007"/>
    <n v="94046.64"/>
    <n v="161603.93999999997"/>
    <n v="114442.77000000002"/>
    <n v="5924.21"/>
    <n v="0"/>
    <n v="0"/>
    <n v="0"/>
    <n v="0"/>
    <n v="0"/>
    <n v="873.62920200000019"/>
    <n v="680.73799000000008"/>
    <n v="-192.89121200000011"/>
    <n v="0.77920700045463898"/>
    <n v="1412.813124"/>
    <n v="680.73799000000008"/>
  </r>
  <r>
    <x v="6"/>
    <x v="41"/>
    <x v="41"/>
    <n v="0"/>
    <n v="0"/>
    <n v="0"/>
    <n v="875.94500000000005"/>
    <n v="863.30100000000004"/>
    <n v="0"/>
    <n v="0"/>
    <n v="0"/>
    <n v="0"/>
    <n v="0"/>
    <n v="0"/>
    <n v="0"/>
    <n v="0"/>
    <n v="0"/>
    <n v="0"/>
    <n v="850.24"/>
    <n v="840.46"/>
    <n v="65.81"/>
    <n v="0"/>
    <n v="0"/>
    <n v="0"/>
    <n v="0"/>
    <n v="0"/>
    <n v="0"/>
    <n v="1.7392460000000001"/>
    <n v="1.75651"/>
    <n v="1.7263999999999946E-2"/>
    <n v="1.0099261404079698"/>
    <n v="1.7392460000000001"/>
    <n v="1.75651"/>
  </r>
  <r>
    <x v="6"/>
    <x v="41"/>
    <x v="42"/>
    <n v="-405.262"/>
    <m/>
    <m/>
    <m/>
    <m/>
    <m/>
    <m/>
    <m/>
    <m/>
    <m/>
    <m/>
    <m/>
    <n v="-387.54"/>
    <m/>
    <m/>
    <m/>
    <m/>
    <m/>
    <m/>
    <m/>
    <m/>
    <m/>
    <m/>
    <m/>
    <n v="-0.40526200000000001"/>
    <n v="-0.38754"/>
    <n v="1.7722000000000016E-2"/>
    <n v="0.95627026466828857"/>
    <n v="-0.40526200000000001"/>
    <n v="-0.38754"/>
  </r>
  <r>
    <x v="6"/>
    <x v="41"/>
    <x v="43"/>
    <n v="33202.271000000001"/>
    <n v="33202.270999999957"/>
    <n v="33202.272000000004"/>
    <n v="706688.05400000012"/>
    <n v="33202.271000000001"/>
    <n v="33202.271000000001"/>
    <n v="611132.19899999991"/>
    <n v="33202.271000000001"/>
    <n v="33202.271000000001"/>
    <n v="558405.255"/>
    <n v="33202.271000000001"/>
    <n v="573061.68199999991"/>
    <n v="0"/>
    <n v="5.0000000024994051E-2"/>
    <n v="-1.0000000000047748E-2"/>
    <n v="0"/>
    <n v="0"/>
    <n v="907929.05999999982"/>
    <n v="0"/>
    <n v="0"/>
    <n v="0"/>
    <n v="0"/>
    <n v="0"/>
    <n v="0"/>
    <n v="872.69940999999994"/>
    <n v="907.92909999999983"/>
    <n v="35.229689999999891"/>
    <n v="1.0403686419359444"/>
    <n v="2714.9053589999999"/>
    <n v="907.92909999999983"/>
  </r>
  <r>
    <x v="6"/>
    <x v="41"/>
    <x v="44"/>
    <m/>
    <m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6"/>
    <x v="41"/>
    <x v="45"/>
    <m/>
    <m/>
    <m/>
    <n v="62592.341999999997"/>
    <m/>
    <n v="0"/>
    <n v="50087.85"/>
    <m/>
    <m/>
    <m/>
    <m/>
    <m/>
    <m/>
    <m/>
    <m/>
    <n v="0"/>
    <m/>
    <n v="91478.83"/>
    <n v="0"/>
    <m/>
    <m/>
    <m/>
    <m/>
    <m/>
    <n v="62.592341999999995"/>
    <n v="91.478830000000002"/>
    <n v="28.886488000000007"/>
    <n v="1.4615019517882877"/>
    <n v="112.68019199999999"/>
    <n v="91.478830000000002"/>
  </r>
  <r>
    <x v="6"/>
    <x v="41"/>
    <x v="46"/>
    <m/>
    <m/>
    <m/>
    <m/>
    <n v="0"/>
    <n v="0"/>
    <m/>
    <m/>
    <m/>
    <m/>
    <m/>
    <m/>
    <m/>
    <m/>
    <m/>
    <m/>
    <n v="0"/>
    <n v="81741.789999999994"/>
    <m/>
    <m/>
    <m/>
    <m/>
    <m/>
    <m/>
    <n v="0"/>
    <n v="81.741789999999995"/>
    <n v="81.741789999999995"/>
    <n v="1.0000110000110001"/>
    <n v="0"/>
    <n v="81.741789999999995"/>
  </r>
  <r>
    <x v="6"/>
    <x v="41"/>
    <x v="47"/>
    <n v="0"/>
    <n v="0"/>
    <n v="0"/>
    <n v="54235.468999999997"/>
    <n v="0"/>
    <n v="0"/>
    <n v="21182.812999999998"/>
    <n v="0"/>
    <n v="0"/>
    <n v="25956.75"/>
    <n v="0"/>
    <n v="128763.156"/>
    <n v="0"/>
    <n v="0"/>
    <n v="0"/>
    <n v="0"/>
    <n v="0"/>
    <n v="-5532.14"/>
    <n v="0"/>
    <n v="0"/>
    <n v="0"/>
    <n v="0"/>
    <n v="0"/>
    <n v="0"/>
    <n v="54.235468999999995"/>
    <n v="-5.5321400000000001"/>
    <n v="-59.767608999999993"/>
    <n v="-0.10200225243742246"/>
    <n v="230.13818799999999"/>
    <n v="-5.5321400000000001"/>
  </r>
  <r>
    <x v="6"/>
    <x v="41"/>
    <x v="48"/>
    <n v="1118.7"/>
    <m/>
    <m/>
    <m/>
    <m/>
    <n v="0"/>
    <m/>
    <m/>
    <m/>
    <m/>
    <m/>
    <m/>
    <n v="1118.7"/>
    <m/>
    <m/>
    <m/>
    <m/>
    <n v="172.62"/>
    <m/>
    <m/>
    <m/>
    <m/>
    <m/>
    <m/>
    <n v="1.1187"/>
    <n v="1.2913200000000002"/>
    <n v="0.17262000000000022"/>
    <n v="1.1543041029766696"/>
    <n v="1.1187"/>
    <n v="1.2913200000000002"/>
  </r>
  <r>
    <x v="6"/>
    <x v="41"/>
    <x v="49"/>
    <n v="13028.225999999999"/>
    <n v="13028.226000000002"/>
    <n v="13028.225999999999"/>
    <n v="758258.16599999997"/>
    <n v="13028.226000000001"/>
    <n v="13028.225999999999"/>
    <n v="634588.65100000007"/>
    <n v="13028.225999999999"/>
    <n v="13028.226000000001"/>
    <n v="598115.50900000008"/>
    <n v="13028.226000000002"/>
    <n v="596603.478"/>
    <n v="0"/>
    <n v="0"/>
    <n v="0"/>
    <n v="0"/>
    <n v="0"/>
    <n v="1087668.3600000001"/>
    <n v="0"/>
    <n v="0"/>
    <n v="0"/>
    <n v="0"/>
    <n v="0"/>
    <n v="0"/>
    <n v="823.39929599999994"/>
    <n v="1087.6683600000001"/>
    <n v="264.26906400000018"/>
    <n v="1.320948858328876"/>
    <n v="2691.791612"/>
    <n v="1087.6683600000001"/>
  </r>
  <r>
    <x v="6"/>
    <x v="41"/>
    <x v="50"/>
    <n v="0"/>
    <n v="0"/>
    <n v="0"/>
    <n v="79195.593999999997"/>
    <n v="0"/>
    <n v="0"/>
    <n v="122621.942"/>
    <n v="0"/>
    <n v="0"/>
    <n v="101561.269"/>
    <n v="0"/>
    <n v="101310.019"/>
    <n v="0"/>
    <n v="0"/>
    <n v="0"/>
    <n v="0"/>
    <n v="0"/>
    <n v="211188.41"/>
    <n v="0"/>
    <n v="0"/>
    <n v="0"/>
    <n v="0"/>
    <n v="0"/>
    <n v="0"/>
    <n v="79.195594"/>
    <n v="211.18841"/>
    <n v="131.992816"/>
    <n v="2.6666686785631031"/>
    <n v="404.68882400000001"/>
    <n v="211.18841"/>
  </r>
  <r>
    <x v="6"/>
    <x v="105"/>
    <x v="47"/>
    <m/>
    <n v="1657.84"/>
    <m/>
    <n v="0"/>
    <m/>
    <n v="409.24"/>
    <m/>
    <m/>
    <n v="409.24"/>
    <m/>
    <m/>
    <n v="409.24"/>
    <m/>
    <n v="1657.84"/>
    <m/>
    <n v="0"/>
    <m/>
    <n v="0"/>
    <m/>
    <m/>
    <n v="0"/>
    <m/>
    <m/>
    <n v="0"/>
    <n v="2.0670799999999998"/>
    <n v="1.65784"/>
    <n v="-0.40923999999999983"/>
    <n v="0.8020202411130678"/>
    <n v="2.8855599999999995"/>
    <n v="1.65784"/>
  </r>
  <r>
    <x v="7"/>
    <x v="31"/>
    <x v="51"/>
    <n v="0"/>
    <n v="0"/>
    <n v="205.351"/>
    <n v="16.495000000000001"/>
    <n v="41168.827000000005"/>
    <n v="13974.606000000002"/>
    <n v="35153.910000000003"/>
    <n v="13974.606000000002"/>
    <n v="13974.606000000002"/>
    <n v="13974.606000000002"/>
    <n v="13974.606000000002"/>
    <n v="39656.370000000003"/>
    <n v="0"/>
    <n v="0"/>
    <n v="207.21"/>
    <n v="16.47"/>
    <n v="41060.94"/>
    <n v="11836.960000000003"/>
    <n v="0"/>
    <n v="0"/>
    <n v="0"/>
    <n v="0"/>
    <n v="0"/>
    <n v="0"/>
    <n v="55.365279000000001"/>
    <n v="53.121580000000002"/>
    <n v="-2.2436989999999994"/>
    <n v="0.95947461946321988"/>
    <n v="186.073983"/>
    <n v="53.121580000000002"/>
  </r>
  <r>
    <x v="7"/>
    <x v="1"/>
    <x v="52"/>
    <m/>
    <m/>
    <m/>
    <m/>
    <m/>
    <n v="0"/>
    <m/>
    <m/>
    <m/>
    <m/>
    <m/>
    <m/>
    <m/>
    <m/>
    <m/>
    <m/>
    <m/>
    <n v="7889.6"/>
    <m/>
    <m/>
    <m/>
    <m/>
    <m/>
    <m/>
    <n v="0"/>
    <n v="7.8896000000000006"/>
    <n v="7.8896000000000006"/>
    <n v="1.0000110000110001"/>
    <n v="0"/>
    <n v="7.8896000000000006"/>
  </r>
  <r>
    <x v="7"/>
    <x v="1"/>
    <x v="51"/>
    <m/>
    <m/>
    <m/>
    <m/>
    <n v="4802.6399999999994"/>
    <m/>
    <m/>
    <m/>
    <m/>
    <m/>
    <m/>
    <m/>
    <m/>
    <m/>
    <m/>
    <m/>
    <n v="4802.6399999999994"/>
    <m/>
    <m/>
    <m/>
    <m/>
    <m/>
    <m/>
    <m/>
    <n v="4.8026399999999994"/>
    <n v="4.8026399999999994"/>
    <n v="0"/>
    <n v="1"/>
    <n v="4.8026399999999994"/>
    <n v="4.8026399999999994"/>
  </r>
  <r>
    <x v="7"/>
    <x v="7"/>
    <x v="52"/>
    <n v="0"/>
    <n v="0"/>
    <n v="0"/>
    <n v="255.96"/>
    <n v="630.76"/>
    <n v="1416.6660000000002"/>
    <n v="1416.6660000000002"/>
    <n v="1499.999"/>
    <n v="1416.6660000000002"/>
    <n v="1416.6660000000002"/>
    <n v="1416.6660000000002"/>
    <n v="1416.6660000000002"/>
    <n v="0"/>
    <n v="0"/>
    <n v="0"/>
    <n v="255.96"/>
    <n v="630.76"/>
    <n v="0"/>
    <n v="0"/>
    <n v="0"/>
    <n v="0"/>
    <n v="0"/>
    <n v="0"/>
    <n v="0"/>
    <n v="2.3033860000000006"/>
    <n v="0.88672000000000006"/>
    <n v="-1.4166660000000006"/>
    <n v="0.38496370126413887"/>
    <n v="10.886715000000001"/>
    <n v="0.88672000000000006"/>
  </r>
  <r>
    <x v="7"/>
    <x v="52"/>
    <x v="53"/>
    <n v="6657.1099999999969"/>
    <n v="136997.63"/>
    <n v="87911.99"/>
    <n v="5121.0699999999943"/>
    <n v="156116.84"/>
    <n v="5042.5"/>
    <n v="5042.5"/>
    <n v="5042.5"/>
    <n v="5042.5"/>
    <n v="5042.5"/>
    <n v="5042.5"/>
    <n v="5042.5"/>
    <n v="6657.1100000000006"/>
    <n v="136997.63"/>
    <n v="87911.990000000034"/>
    <n v="5121.0700000000006"/>
    <n v="156116.84"/>
    <n v="9420.43"/>
    <n v="0"/>
    <n v="0"/>
    <n v="0"/>
    <n v="0"/>
    <n v="0"/>
    <n v="0"/>
    <n v="397.84714000000002"/>
    <n v="402.22507000000002"/>
    <n v="4.3779299999999921"/>
    <n v="1.0110040504501301"/>
    <n v="428.10214000000002"/>
    <n v="402.22507000000002"/>
  </r>
  <r>
    <x v="7"/>
    <x v="53"/>
    <x v="52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7"/>
    <x v="54"/>
    <x v="52"/>
    <m/>
    <n v="509.88800000000003"/>
    <n v="22256.657999999999"/>
    <n v="10177.259"/>
    <n v="-32305.672999999992"/>
    <n v="16657.032999999999"/>
    <n v="16657.032999999999"/>
    <n v="16657.032999999999"/>
    <n v="19804.550999999999"/>
    <n v="27419.517"/>
    <n v="19804.550999999999"/>
    <n v="16657.032999999999"/>
    <m/>
    <n v="515.74"/>
    <n v="22178.149999999994"/>
    <n v="10021.840000000002"/>
    <n v="-32182.62"/>
    <n v="1446.1"/>
    <n v="0"/>
    <n v="0"/>
    <n v="0"/>
    <n v="0"/>
    <n v="0"/>
    <n v="0"/>
    <n v="17.295165000000008"/>
    <n v="1.9792099999999968"/>
    <n v="-15.315955000000011"/>
    <n v="0.11443718519019598"/>
    <n v="134.294883"/>
    <n v="1.9792099999999968"/>
  </r>
  <r>
    <x v="7"/>
    <x v="15"/>
    <x v="52"/>
    <n v="5025.0829999999996"/>
    <n v="5025.0829999999996"/>
    <n v="5025.0829999999996"/>
    <n v="5025.0829999999996"/>
    <n v="5025.0829999999996"/>
    <n v="5025.0829999999996"/>
    <n v="5025.0829999999996"/>
    <n v="5025.0829999999996"/>
    <n v="5025.0829999999996"/>
    <n v="5025.0829999999996"/>
    <n v="5025.0829999999996"/>
    <n v="5025.0829999999996"/>
    <n v="0"/>
    <n v="0"/>
    <n v="0"/>
    <n v="0"/>
    <n v="0"/>
    <n v="0"/>
    <n v="0"/>
    <n v="0"/>
    <n v="0"/>
    <n v="0"/>
    <n v="0"/>
    <n v="0"/>
    <n v="30.150497999999995"/>
    <n v="0"/>
    <n v="-30.150497999999995"/>
    <n v="0"/>
    <n v="60.300995999999991"/>
    <n v="0"/>
  </r>
  <r>
    <x v="7"/>
    <x v="15"/>
    <x v="51"/>
    <n v="16331.869999999999"/>
    <n v="16937.14"/>
    <n v="15001.25"/>
    <n v="15001.25"/>
    <n v="11734.74"/>
    <n v="15001.25"/>
    <n v="8506.25"/>
    <n v="8506.25"/>
    <n v="8506.25"/>
    <n v="8506.25"/>
    <n v="8506.25"/>
    <n v="8506.25"/>
    <n v="1330.6200000000001"/>
    <n v="1935.8899999999999"/>
    <n v="0"/>
    <n v="0"/>
    <n v="-3266.5099999999998"/>
    <n v="0"/>
    <n v="0"/>
    <n v="0"/>
    <n v="0"/>
    <n v="0"/>
    <n v="0"/>
    <n v="0"/>
    <n v="90.007499999999993"/>
    <n v="4.5474735088646413E-16"/>
    <n v="-90.007499999999993"/>
    <n v="5.0523273159066099E-18"/>
    <n v="141.04499999999999"/>
    <n v="4.5474735088646413E-16"/>
  </r>
  <r>
    <x v="7"/>
    <x v="69"/>
    <x v="52"/>
    <n v="3365.3399999999997"/>
    <n v="13206.280999999999"/>
    <n v="21975.558000000005"/>
    <n v="8719.4790000000012"/>
    <n v="17431.623000000003"/>
    <n v="7114.1509999999998"/>
    <n v="5317.8080000000009"/>
    <n v="5317.8080000000009"/>
    <n v="5514.2970000000005"/>
    <n v="4806.4210000000003"/>
    <n v="3567.027"/>
    <n v="3370.538"/>
    <n v="3365.28"/>
    <n v="13193.47"/>
    <n v="21827.269999999993"/>
    <n v="8761.7099999999973"/>
    <n v="17471.509999999998"/>
    <n v="-3405.7599999999998"/>
    <n v="0"/>
    <n v="0"/>
    <n v="0"/>
    <n v="0"/>
    <n v="0"/>
    <n v="0"/>
    <n v="71.812432000000001"/>
    <n v="61.21347999999999"/>
    <n v="-10.598952000000011"/>
    <n v="0.85240783935572584"/>
    <n v="99.70633100000002"/>
    <n v="61.21347999999999"/>
  </r>
  <r>
    <x v="7"/>
    <x v="24"/>
    <x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7"/>
    <x v="71"/>
    <x v="51"/>
    <n v="23436.929"/>
    <n v="165.84599999999949"/>
    <n v="507.72200000000004"/>
    <n v="5520.0909999999994"/>
    <n v="8047.4319999999989"/>
    <n v="27771.098000000005"/>
    <n v="32519.343999999997"/>
    <n v="10722.264999999998"/>
    <n v="10813.645"/>
    <n v="10722.264999999999"/>
    <n v="10722.264999999999"/>
    <n v="68897.528999999995"/>
    <n v="23911.99"/>
    <n v="171.54000000000011"/>
    <n v="501.67000000000007"/>
    <n v="5446.8499999999985"/>
    <n v="8159.2399999999989"/>
    <n v="38301.560000000012"/>
    <n v="0"/>
    <n v="0"/>
    <n v="0"/>
    <n v="0"/>
    <n v="0"/>
    <n v="0"/>
    <n v="65.449117999999999"/>
    <n v="76.492850000000004"/>
    <n v="11.043732000000006"/>
    <n v="1.1687376749675986"/>
    <n v="209.846431"/>
    <n v="76.492850000000004"/>
  </r>
  <r>
    <x v="7"/>
    <x v="106"/>
    <x v="52"/>
    <m/>
    <m/>
    <m/>
    <n v="0"/>
    <n v="0"/>
    <m/>
    <m/>
    <m/>
    <m/>
    <m/>
    <m/>
    <m/>
    <m/>
    <m/>
    <m/>
    <n v="0"/>
    <n v="0"/>
    <m/>
    <m/>
    <m/>
    <m/>
    <m/>
    <m/>
    <m/>
    <n v="0"/>
    <n v="0"/>
    <n v="0"/>
    <n v="1.0000110000110001"/>
    <n v="0"/>
    <n v="0"/>
  </r>
  <r>
    <x v="7"/>
    <x v="72"/>
    <x v="53"/>
    <n v="7561.5900000000038"/>
    <n v="-12364.119999999994"/>
    <n v="196305.82000000004"/>
    <n v="60318.259999999987"/>
    <n v="10084.1"/>
    <n v="80681"/>
    <n v="80681"/>
    <n v="80681"/>
    <n v="80681"/>
    <n v="80681"/>
    <n v="80681"/>
    <n v="80681"/>
    <n v="7561.59"/>
    <n v="-12364.119999999999"/>
    <n v="196305.82"/>
    <n v="60318.259999999995"/>
    <n v="10084.100000000004"/>
    <n v="81911.770000000019"/>
    <n v="0"/>
    <n v="0"/>
    <n v="0"/>
    <n v="0"/>
    <n v="0"/>
    <n v="0"/>
    <n v="342.58665000000002"/>
    <n v="343.81742000000003"/>
    <n v="1.2307700000000068"/>
    <n v="1.0035925801545391"/>
    <n v="826.67264999999998"/>
    <n v="343.81742000000003"/>
  </r>
  <r>
    <x v="7"/>
    <x v="107"/>
    <x v="51"/>
    <m/>
    <m/>
    <n v="559.72"/>
    <m/>
    <m/>
    <m/>
    <m/>
    <m/>
    <m/>
    <m/>
    <m/>
    <m/>
    <m/>
    <m/>
    <n v="559.72"/>
    <m/>
    <m/>
    <m/>
    <m/>
    <m/>
    <m/>
    <m/>
    <m/>
    <m/>
    <n v="0.55972"/>
    <n v="0.55972"/>
    <n v="0"/>
    <n v="1"/>
    <n v="0.55972"/>
    <n v="0.55972"/>
  </r>
  <r>
    <x v="7"/>
    <x v="77"/>
    <x v="53"/>
    <n v="12.03"/>
    <n v="35635.363000000005"/>
    <n v="1484.577"/>
    <n v="562.78399999999999"/>
    <n v="435.65499999999997"/>
    <n v="10713.347999999998"/>
    <n v="4214.2910000000002"/>
    <n v="4214.2910000000002"/>
    <n v="4214.2910000000002"/>
    <n v="4214.2910000000002"/>
    <n v="4214.2910000000002"/>
    <n v="4214.2910000000002"/>
    <n v="12.02"/>
    <n v="34787.82"/>
    <n v="1474.94"/>
    <n v="565.65"/>
    <n v="437.77"/>
    <n v="17375.8"/>
    <n v="0"/>
    <n v="0"/>
    <n v="0"/>
    <n v="0"/>
    <n v="0"/>
    <n v="0"/>
    <n v="48.843756999999997"/>
    <n v="54.654000000000003"/>
    <n v="5.8102430000000069"/>
    <n v="1.1189556937645073"/>
    <n v="74.129502999999985"/>
    <n v="54.654000000000003"/>
  </r>
  <r>
    <x v="7"/>
    <x v="80"/>
    <x v="51"/>
    <m/>
    <m/>
    <m/>
    <m/>
    <n v="774.19"/>
    <m/>
    <m/>
    <m/>
    <m/>
    <m/>
    <m/>
    <m/>
    <m/>
    <m/>
    <m/>
    <m/>
    <n v="774.19"/>
    <m/>
    <m/>
    <m/>
    <m/>
    <m/>
    <m/>
    <m/>
    <n v="0.77419000000000004"/>
    <n v="0.77419000000000004"/>
    <n v="0"/>
    <n v="1"/>
    <n v="0.77419000000000004"/>
    <n v="0.77419000000000004"/>
  </r>
  <r>
    <x v="7"/>
    <x v="81"/>
    <x v="53"/>
    <n v="3501.5160000000001"/>
    <n v="4336.1219999999994"/>
    <n v="3894.692"/>
    <n v="10573.312000000002"/>
    <n v="4979.51"/>
    <m/>
    <m/>
    <m/>
    <m/>
    <m/>
    <m/>
    <m/>
    <n v="3501.2799999999997"/>
    <n v="4329.84"/>
    <n v="3869.04"/>
    <n v="10434.459999999999"/>
    <n v="4997.68"/>
    <m/>
    <m/>
    <m/>
    <m/>
    <m/>
    <m/>
    <m/>
    <n v="27.285152000000004"/>
    <n v="27.132300000000001"/>
    <n v="-0.15285200000000287"/>
    <n v="0.99439797879813885"/>
    <n v="27.285152000000004"/>
    <n v="27.132300000000001"/>
  </r>
  <r>
    <x v="7"/>
    <x v="83"/>
    <x v="54"/>
    <n v="1237.7170000000001"/>
    <n v="35113.851999999999"/>
    <n v="1396.4089999999999"/>
    <n v="39902.920999999995"/>
    <n v="1930.5280000000002"/>
    <n v="18191.547999999999"/>
    <n v="15011.754000000001"/>
    <n v="12982.258"/>
    <n v="15554.333000000001"/>
    <n v="11717.338000000002"/>
    <n v="14066.043"/>
    <n v="11475.655999999999"/>
    <n v="1218.6500000000001"/>
    <n v="36087.75"/>
    <n v="1409.0500000000006"/>
    <n v="39763.08"/>
    <n v="1917.3400000000013"/>
    <n v="1392.9900000000021"/>
    <n v="37226.519999999997"/>
    <n v="0"/>
    <n v="0"/>
    <n v="0"/>
    <n v="0"/>
    <n v="0"/>
    <n v="97.772974999999988"/>
    <n v="81.78886"/>
    <n v="-15.984114999999989"/>
    <n v="0.83651806646979909"/>
    <n v="178.58035699999999"/>
    <n v="81.78886"/>
  </r>
  <r>
    <x v="7"/>
    <x v="92"/>
    <x v="53"/>
    <n v="0"/>
    <n v="11.280000000000001"/>
    <n v="0"/>
    <n v="1087.1799999999998"/>
    <n v="1039.8500000000001"/>
    <n v="15428.250999999998"/>
    <n v="15428.250999999998"/>
    <n v="15428.250999999998"/>
    <n v="15428.250999999998"/>
    <n v="15428.250999999998"/>
    <n v="15428.250999999998"/>
    <n v="15428.250999999998"/>
    <n v="0"/>
    <n v="11.280000000000001"/>
    <n v="0"/>
    <n v="1087.18"/>
    <n v="1039.8500000000001"/>
    <n v="1159.47"/>
    <n v="0"/>
    <n v="0"/>
    <n v="0"/>
    <n v="0"/>
    <n v="0"/>
    <n v="0"/>
    <n v="17.566560999999997"/>
    <n v="3.2977800000000008"/>
    <n v="-14.268780999999995"/>
    <n v="0.18773054099775144"/>
    <n v="110.136067"/>
    <n v="3.2977800000000008"/>
  </r>
  <r>
    <x v="7"/>
    <x v="93"/>
    <x v="51"/>
    <n v="206122.92199999985"/>
    <n v="466811.75699999993"/>
    <n v="258729.29500000007"/>
    <n v="379156.32899999985"/>
    <n v="204923.70900000021"/>
    <n v="268840.46800000017"/>
    <n v="268840.46800000017"/>
    <n v="215962.99899999992"/>
    <n v="215962.99900000001"/>
    <n v="215962.99900000004"/>
    <n v="215962.99900000004"/>
    <n v="228875.01800000001"/>
    <n v="209143.62"/>
    <n v="483719.53000000009"/>
    <n v="258212.7399999999"/>
    <n v="374190.04000000021"/>
    <n v="204641.57000000012"/>
    <n v="411393.24999999983"/>
    <n v="0"/>
    <n v="0"/>
    <n v="0"/>
    <n v="0"/>
    <n v="0"/>
    <n v="0"/>
    <n v="1784.58448"/>
    <n v="1941.3007500000001"/>
    <n v="156.71627000000012"/>
    <n v="1.0878166720356104"/>
    <n v="3146.1519619999999"/>
    <n v="1941.3007500000001"/>
  </r>
  <r>
    <x v="8"/>
    <x v="32"/>
    <x v="55"/>
    <m/>
    <m/>
    <m/>
    <n v="460.18400000000003"/>
    <n v="418.95699999999999"/>
    <n v="24559.218000000001"/>
    <n v="24559.218000000001"/>
    <n v="24559.217999999997"/>
    <n v="24559.217999999997"/>
    <n v="24559.217999999997"/>
    <n v="24559.217999999997"/>
    <n v="24559.217999999993"/>
    <m/>
    <m/>
    <m/>
    <n v="445.75"/>
    <n v="413.97999999999996"/>
    <n v="88187.769999999975"/>
    <n v="0"/>
    <n v="0"/>
    <n v="0"/>
    <n v="0"/>
    <n v="0"/>
    <n v="0"/>
    <n v="25.438359000000002"/>
    <n v="89.047499999999971"/>
    <n v="63.609140999999966"/>
    <n v="3.500520611412079"/>
    <n v="172.793667"/>
    <n v="89.047499999999971"/>
  </r>
  <r>
    <x v="8"/>
    <x v="108"/>
    <x v="56"/>
    <n v="0"/>
    <n v="0"/>
    <n v="47542.697999999997"/>
    <m/>
    <m/>
    <m/>
    <m/>
    <m/>
    <m/>
    <m/>
    <m/>
    <m/>
    <n v="0"/>
    <n v="0"/>
    <n v="47549.440000000002"/>
    <m/>
    <m/>
    <m/>
    <m/>
    <m/>
    <m/>
    <m/>
    <m/>
    <m/>
    <n v="47.542697999999994"/>
    <n v="47.549440000000004"/>
    <n v="6.7420000000097957E-3"/>
    <n v="1.0001418093689174"/>
    <n v="47.542697999999994"/>
    <n v="47.549440000000004"/>
  </r>
  <r>
    <x v="8"/>
    <x v="1"/>
    <x v="56"/>
    <m/>
    <m/>
    <m/>
    <m/>
    <m/>
    <n v="0"/>
    <m/>
    <m/>
    <m/>
    <m/>
    <m/>
    <m/>
    <m/>
    <m/>
    <m/>
    <m/>
    <m/>
    <n v="580.27"/>
    <m/>
    <m/>
    <m/>
    <m/>
    <m/>
    <m/>
    <n v="0"/>
    <n v="0.58026999999999995"/>
    <n v="0.58026999999999995"/>
    <n v="1.0000110000110001"/>
    <n v="0"/>
    <n v="0.58026999999999995"/>
  </r>
  <r>
    <x v="8"/>
    <x v="1"/>
    <x v="55"/>
    <m/>
    <m/>
    <m/>
    <m/>
    <n v="6959.3499999999995"/>
    <n v="0"/>
    <m/>
    <m/>
    <m/>
    <m/>
    <m/>
    <m/>
    <m/>
    <m/>
    <m/>
    <m/>
    <n v="6959.35"/>
    <n v="12265.57"/>
    <m/>
    <m/>
    <m/>
    <m/>
    <m/>
    <m/>
    <n v="6.9593499999999997"/>
    <n v="19.224919999999997"/>
    <n v="12.265569999999997"/>
    <n v="2.7624591377068257"/>
    <n v="6.9593499999999997"/>
    <n v="19.224919999999997"/>
  </r>
  <r>
    <x v="8"/>
    <x v="37"/>
    <x v="56"/>
    <n v="65548.173999999999"/>
    <n v="1503.0729999999849"/>
    <n v="171218.26500000004"/>
    <n v="178249.39300000007"/>
    <n v="12185.548000000046"/>
    <n v="90653.274999999994"/>
    <m/>
    <m/>
    <m/>
    <m/>
    <m/>
    <m/>
    <n v="63977.509999999987"/>
    <n v="1543.0999999999767"/>
    <n v="174578.84999999998"/>
    <n v="178260.62999999998"/>
    <n v="12215.610000000015"/>
    <n v="56348.23"/>
    <m/>
    <m/>
    <m/>
    <m/>
    <m/>
    <m/>
    <n v="519.35772800000018"/>
    <n v="486.92392999999993"/>
    <n v="-32.433798000000252"/>
    <n v="0.93755017736060287"/>
    <n v="519.35772800000018"/>
    <n v="486.92392999999993"/>
  </r>
  <r>
    <x v="8"/>
    <x v="40"/>
    <x v="57"/>
    <n v="10.851000000000001"/>
    <n v="387.96699999999998"/>
    <n v="140.29400000000001"/>
    <n v="9715.5190000000002"/>
    <n v="1785.4860000000001"/>
    <n v="1880.8790000000001"/>
    <n v="1880.8790000000001"/>
    <n v="1880.8790000000001"/>
    <n v="1880.8790000000001"/>
    <n v="1880.8790000000001"/>
    <n v="1880.8790000000001"/>
    <n v="1880.8790000000001"/>
    <n v="10.9"/>
    <n v="395.52"/>
    <n v="139.77000000000001"/>
    <n v="9751.92"/>
    <n v="1809.73"/>
    <n v="-250.13000000000008"/>
    <n v="0"/>
    <n v="0"/>
    <n v="0"/>
    <n v="0"/>
    <n v="0"/>
    <n v="0"/>
    <n v="13.920996000000001"/>
    <n v="11.857710000000001"/>
    <n v="-2.0632859999999997"/>
    <n v="0.85178603599914837"/>
    <n v="25.206270000000004"/>
    <n v="11.857710000000001"/>
  </r>
  <r>
    <x v="8"/>
    <x v="109"/>
    <x v="55"/>
    <n v="11.88"/>
    <n v="9.1999999999999993"/>
    <n v="7.83"/>
    <n v="0"/>
    <n v="72.399999999999991"/>
    <n v="3505.6389999999997"/>
    <n v="3505.6389999999997"/>
    <n v="1749.9290000000001"/>
    <m/>
    <m/>
    <m/>
    <m/>
    <n v="11.88"/>
    <n v="9.1999999999999993"/>
    <n v="7.83"/>
    <n v="0"/>
    <n v="72.400000000000006"/>
    <n v="0"/>
    <n v="0"/>
    <n v="0"/>
    <m/>
    <m/>
    <m/>
    <m/>
    <n v="3.6069489999999997"/>
    <n v="0.10131"/>
    <n v="-3.5056389999999999"/>
    <n v="2.8087450085931352E-2"/>
    <n v="8.8625170000000004"/>
    <n v="0.10131"/>
  </r>
  <r>
    <x v="8"/>
    <x v="109"/>
    <x v="58"/>
    <n v="49.540000000000006"/>
    <m/>
    <m/>
    <m/>
    <m/>
    <m/>
    <m/>
    <m/>
    <m/>
    <m/>
    <m/>
    <m/>
    <n v="49.54"/>
    <m/>
    <m/>
    <m/>
    <m/>
    <m/>
    <m/>
    <m/>
    <m/>
    <m/>
    <m/>
    <m/>
    <n v="4.9540000000000008E-2"/>
    <n v="4.9540000000000001E-2"/>
    <n v="0"/>
    <n v="0.99999999999999989"/>
    <n v="4.9540000000000008E-2"/>
    <n v="4.9540000000000001E-2"/>
  </r>
  <r>
    <x v="8"/>
    <x v="110"/>
    <x v="56"/>
    <n v="0"/>
    <m/>
    <n v="22651.826999999997"/>
    <n v="-63.133000000000003"/>
    <m/>
    <m/>
    <m/>
    <m/>
    <m/>
    <m/>
    <m/>
    <m/>
    <n v="0"/>
    <m/>
    <n v="23984.86"/>
    <n v="-65.539999999999992"/>
    <m/>
    <m/>
    <m/>
    <m/>
    <m/>
    <m/>
    <m/>
    <m/>
    <n v="22.588693999999997"/>
    <n v="23.919319999999999"/>
    <n v="1.3306260000000023"/>
    <n v="1.0589067256389415"/>
    <n v="22.588693999999997"/>
    <n v="23.919319999999999"/>
  </r>
  <r>
    <x v="8"/>
    <x v="48"/>
    <x v="59"/>
    <n v="12091.820000000002"/>
    <n v="8769.2499999999982"/>
    <n v="349.80899999999895"/>
    <n v="1522.309"/>
    <n v="599.36400000000049"/>
    <n v="10359.532999999999"/>
    <m/>
    <m/>
    <m/>
    <m/>
    <m/>
    <m/>
    <n v="12206.119999999999"/>
    <n v="8939.9599999999991"/>
    <n v="345.81"/>
    <n v="1538.4500000000003"/>
    <n v="641.72999999999956"/>
    <n v="0"/>
    <m/>
    <m/>
    <m/>
    <m/>
    <m/>
    <m/>
    <n v="33.692084999999999"/>
    <n v="23.672069999999998"/>
    <n v="-10.020015000000001"/>
    <n v="0.70260032883094048"/>
    <n v="33.692084999999999"/>
    <n v="23.672069999999998"/>
  </r>
  <r>
    <x v="8"/>
    <x v="49"/>
    <x v="60"/>
    <m/>
    <m/>
    <m/>
    <n v="65.539999999999992"/>
    <n v="2562.48"/>
    <n v="0"/>
    <m/>
    <m/>
    <m/>
    <m/>
    <m/>
    <m/>
    <m/>
    <m/>
    <m/>
    <n v="65.539999999999992"/>
    <n v="2562.48"/>
    <n v="-2398.81"/>
    <m/>
    <m/>
    <m/>
    <m/>
    <m/>
    <m/>
    <n v="2.6280199999999998"/>
    <n v="0.22921000000000002"/>
    <n v="-2.3988099999999997"/>
    <n v="8.7217753289548797E-2"/>
    <n v="2.6280199999999998"/>
    <n v="0.22921000000000002"/>
  </r>
  <r>
    <x v="8"/>
    <x v="50"/>
    <x v="56"/>
    <m/>
    <m/>
    <m/>
    <m/>
    <n v="103.25999999999999"/>
    <n v="0"/>
    <m/>
    <m/>
    <m/>
    <m/>
    <m/>
    <m/>
    <m/>
    <m/>
    <m/>
    <m/>
    <n v="103.25999999999999"/>
    <n v="43629.989999999991"/>
    <m/>
    <m/>
    <m/>
    <m/>
    <m/>
    <m/>
    <n v="0.10325999999999999"/>
    <n v="43.733249999999991"/>
    <n v="43.629989999999992"/>
    <n v="423.52556653108655"/>
    <n v="0.10325999999999999"/>
    <n v="43.733249999999991"/>
  </r>
  <r>
    <x v="8"/>
    <x v="52"/>
    <x v="55"/>
    <n v="5424.07"/>
    <n v="21944.58"/>
    <n v="19597.27"/>
    <n v="6234.47"/>
    <n v="27362.36"/>
    <n v="3393.5"/>
    <n v="3394.5"/>
    <n v="3395.5"/>
    <n v="3396.5"/>
    <n v="18625.5"/>
    <n v="3398.5"/>
    <n v="3399.5"/>
    <n v="5424.0700000000015"/>
    <n v="21944.580000000005"/>
    <n v="19597.269999999997"/>
    <n v="6234.4699999999993"/>
    <n v="27362.36"/>
    <n v="6033.5099999999993"/>
    <n v="0"/>
    <n v="0"/>
    <n v="0"/>
    <n v="0"/>
    <n v="0"/>
    <n v="0"/>
    <n v="83.956249999999997"/>
    <n v="86.596260000000001"/>
    <n v="2.6400100000000037"/>
    <n v="1.0314450681158343"/>
    <n v="119.56625"/>
    <n v="86.596260000000001"/>
  </r>
  <r>
    <x v="8"/>
    <x v="15"/>
    <x v="55"/>
    <n v="3275.7400000000002"/>
    <n v="5080.12"/>
    <n v="3130.75"/>
    <n v="2347"/>
    <n v="-2098.6099999999997"/>
    <n v="2347"/>
    <n v="2347"/>
    <n v="2347"/>
    <n v="2347"/>
    <n v="2347"/>
    <n v="2347"/>
    <n v="2350"/>
    <n v="928.74"/>
    <n v="2733.12"/>
    <n v="783.75"/>
    <n v="0"/>
    <n v="-4445.6099999999997"/>
    <n v="0"/>
    <n v="0"/>
    <n v="0"/>
    <n v="0"/>
    <n v="0"/>
    <n v="0"/>
    <n v="0"/>
    <n v="14.082000000000001"/>
    <n v="0"/>
    <n v="-14.082000000000001"/>
    <n v="0"/>
    <n v="28.167000000000002"/>
    <n v="0"/>
  </r>
  <r>
    <x v="8"/>
    <x v="65"/>
    <x v="56"/>
    <n v="437.839"/>
    <n v="0"/>
    <n v="1069.7939999999999"/>
    <m/>
    <m/>
    <m/>
    <m/>
    <m/>
    <m/>
    <m/>
    <m/>
    <m/>
    <n v="436.6"/>
    <n v="0"/>
    <n v="1110.4899999999998"/>
    <m/>
    <m/>
    <m/>
    <m/>
    <m/>
    <m/>
    <m/>
    <m/>
    <m/>
    <n v="1.5076329999999998"/>
    <n v="1.5470899999999996"/>
    <n v="3.9456999999999853E-2"/>
    <n v="1.0261714886845803"/>
    <n v="1.5076329999999998"/>
    <n v="1.5470899999999996"/>
  </r>
  <r>
    <x v="8"/>
    <x v="111"/>
    <x v="57"/>
    <m/>
    <m/>
    <n v="-48.728999999999999"/>
    <m/>
    <m/>
    <m/>
    <m/>
    <m/>
    <m/>
    <m/>
    <m/>
    <m/>
    <m/>
    <m/>
    <n v="71.91"/>
    <m/>
    <m/>
    <m/>
    <m/>
    <m/>
    <m/>
    <m/>
    <m/>
    <m/>
    <n v="-4.8729000000000001E-2"/>
    <n v="7.1910000000000002E-2"/>
    <n v="0.120639"/>
    <n v="-1.4757126146647788"/>
    <n v="-4.8729000000000001E-2"/>
    <n v="7.1910000000000002E-2"/>
  </r>
  <r>
    <x v="8"/>
    <x v="70"/>
    <x v="55"/>
    <n v="-188.38499999999999"/>
    <n v="135.77099999999999"/>
    <n v="0"/>
    <n v="0"/>
    <n v="0"/>
    <n v="0"/>
    <n v="0"/>
    <n v="0"/>
    <n v="0"/>
    <n v="0"/>
    <n v="0"/>
    <n v="0"/>
    <n v="-182.6"/>
    <n v="216.58"/>
    <n v="0"/>
    <n v="0"/>
    <n v="0"/>
    <n v="0"/>
    <n v="0"/>
    <n v="0"/>
    <n v="0"/>
    <n v="0"/>
    <n v="0"/>
    <n v="0"/>
    <n v="-5.2614000000000001E-2"/>
    <n v="3.3980000000000017E-2"/>
    <n v="8.6594000000000018E-2"/>
    <n v="-0.64583570912684873"/>
    <n v="-5.2614000000000001E-2"/>
    <n v="3.3980000000000017E-2"/>
  </r>
  <r>
    <x v="8"/>
    <x v="72"/>
    <x v="55"/>
    <n v="15917.770000000002"/>
    <n v="265642.05000000005"/>
    <n v="18729.619999999988"/>
    <n v="246894.31"/>
    <n v="145953.11000000002"/>
    <n v="62522.002"/>
    <n v="68147.002000000008"/>
    <n v="62522.002"/>
    <n v="62522.002"/>
    <n v="68147.002000000008"/>
    <n v="62522.002"/>
    <n v="62522.002"/>
    <n v="15917.770000000002"/>
    <n v="265642.0500000001"/>
    <n v="18729.620000000003"/>
    <n v="246894.31"/>
    <n v="146005.81999999995"/>
    <n v="173156.93999999994"/>
    <n v="0"/>
    <n v="0"/>
    <n v="0"/>
    <n v="0"/>
    <n v="0"/>
    <n v="0"/>
    <n v="755.658862"/>
    <n v="866.34650999999997"/>
    <n v="110.68764799999997"/>
    <n v="1.1464783297942716"/>
    <n v="1142.040874"/>
    <n v="866.34650999999997"/>
  </r>
  <r>
    <x v="8"/>
    <x v="75"/>
    <x v="60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8"/>
    <x v="75"/>
    <x v="55"/>
    <n v="4672.3689999999997"/>
    <n v="-1181.952"/>
    <n v="19503.228000000003"/>
    <n v="1871.2379999999994"/>
    <n v="18889.756999999998"/>
    <n v="12202.069000000001"/>
    <n v="5217.0229999999992"/>
    <n v="5354.4849999999988"/>
    <n v="7272.579999999999"/>
    <n v="6224.0209999999997"/>
    <n v="5073.1639999999998"/>
    <n v="5073.1639999999998"/>
    <n v="4584.72"/>
    <n v="-1181.2900000000002"/>
    <n v="19867.890000000003"/>
    <n v="1845.9999999999989"/>
    <n v="18923.690000000002"/>
    <n v="1175.1700000000014"/>
    <n v="0"/>
    <n v="0"/>
    <n v="0"/>
    <n v="0"/>
    <n v="0"/>
    <n v="0"/>
    <n v="55.956709000000004"/>
    <n v="45.216180000000008"/>
    <n v="-10.740528999999995"/>
    <n v="0.80805645664401038"/>
    <n v="90.171146000000007"/>
    <n v="45.216180000000008"/>
  </r>
  <r>
    <x v="8"/>
    <x v="77"/>
    <x v="55"/>
    <n v="563.91"/>
    <n v="572.15499999999997"/>
    <n v="760.29500000000007"/>
    <n v="640.08000000000004"/>
    <n v="577.91100000000006"/>
    <n v="44093.161"/>
    <n v="31785.089"/>
    <n v="31785.089"/>
    <n v="31785.089"/>
    <n v="31785.089"/>
    <n v="31785.089"/>
    <n v="31785.089"/>
    <n v="563.91"/>
    <n v="572.16"/>
    <n v="755.20999999999992"/>
    <n v="643.59999999999991"/>
    <n v="580.65"/>
    <n v="534812.2899999998"/>
    <n v="0"/>
    <n v="0"/>
    <n v="0"/>
    <n v="0"/>
    <n v="0"/>
    <n v="0"/>
    <n v="47.207512000000001"/>
    <n v="537.92781999999988"/>
    <n v="490.72030799999987"/>
    <n v="11.394962310235707"/>
    <n v="237.91804600000003"/>
    <n v="537.92781999999988"/>
  </r>
  <r>
    <x v="8"/>
    <x v="79"/>
    <x v="59"/>
    <n v="21143.756000000001"/>
    <n v="10724.469000000001"/>
    <n v="7770.45"/>
    <n v="18903.404000000002"/>
    <n v="7165.6389999999992"/>
    <n v="24140.097000000002"/>
    <m/>
    <m/>
    <m/>
    <m/>
    <m/>
    <m/>
    <n v="21345.439999999995"/>
    <n v="10899.11"/>
    <n v="7758.5899999999965"/>
    <n v="19018.170000000002"/>
    <n v="7388.9699999999948"/>
    <n v="15887.609999999999"/>
    <m/>
    <m/>
    <m/>
    <m/>
    <m/>
    <m/>
    <n v="89.847814999999997"/>
    <n v="82.297889999999995"/>
    <n v="-7.5499250000000018"/>
    <n v="0.91596985413613008"/>
    <n v="89.847814999999997"/>
    <n v="82.297889999999995"/>
  </r>
  <r>
    <x v="8"/>
    <x v="89"/>
    <x v="56"/>
    <n v="100429.58600000002"/>
    <n v="4660.8649999999934"/>
    <n v="4463.3589999999995"/>
    <n v="7926.9449999999988"/>
    <n v="29293.170999999991"/>
    <n v="0"/>
    <m/>
    <m/>
    <m/>
    <m/>
    <m/>
    <m/>
    <n v="97391.64"/>
    <n v="4769.920000000001"/>
    <n v="4504.579999999999"/>
    <n v="7863.3499999999976"/>
    <n v="28966.140000000003"/>
    <n v="5481.8099999999995"/>
    <m/>
    <m/>
    <m/>
    <m/>
    <m/>
    <m/>
    <n v="146.77392600000002"/>
    <n v="148.97744"/>
    <n v="2.2035139999999842"/>
    <n v="1.01501297989399"/>
    <n v="146.77392600000002"/>
    <n v="148.97744"/>
  </r>
  <r>
    <x v="8"/>
    <x v="92"/>
    <x v="55"/>
    <n v="5769.2499999999982"/>
    <n v="18081.419999999998"/>
    <n v="11407.939999999999"/>
    <n v="1311.41"/>
    <n v="21406.23"/>
    <n v="11339.251"/>
    <n v="11339.251"/>
    <n v="11339.251"/>
    <n v="11339.251"/>
    <n v="11339.251"/>
    <n v="11339.251"/>
    <n v="11339.251"/>
    <n v="5769.25"/>
    <n v="18081.419999999998"/>
    <n v="11407.940000000002"/>
    <n v="1311.41"/>
    <n v="21406.230000000003"/>
    <n v="17613.559999999998"/>
    <n v="0"/>
    <n v="0"/>
    <n v="0"/>
    <n v="0"/>
    <n v="0"/>
    <n v="0"/>
    <n v="69.315500999999998"/>
    <n v="75.58981"/>
    <n v="6.2743090000000024"/>
    <n v="1.0905181223461113"/>
    <n v="137.35100700000001"/>
    <n v="75.58981"/>
  </r>
  <r>
    <x v="8"/>
    <x v="112"/>
    <x v="57"/>
    <m/>
    <m/>
    <n v="664"/>
    <m/>
    <m/>
    <m/>
    <m/>
    <m/>
    <m/>
    <m/>
    <m/>
    <m/>
    <m/>
    <m/>
    <n v="638.44000000000005"/>
    <m/>
    <m/>
    <m/>
    <m/>
    <m/>
    <m/>
    <m/>
    <m/>
    <m/>
    <n v="0.66400000000000003"/>
    <n v="0.63844000000000001"/>
    <n v="-2.5560000000000027E-2"/>
    <n v="0.96150602409638553"/>
    <n v="0.66400000000000003"/>
    <n v="0.63844000000000001"/>
  </r>
  <r>
    <x v="9"/>
    <x v="31"/>
    <x v="61"/>
    <m/>
    <m/>
    <m/>
    <n v="0"/>
    <n v="0"/>
    <n v="5609.5990000000002"/>
    <n v="5609.5990000000002"/>
    <n v="5609.5990000000002"/>
    <n v="5609.5990000000002"/>
    <n v="5609.5990000000002"/>
    <n v="5609.5990000000002"/>
    <n v="5609.5990000000002"/>
    <m/>
    <m/>
    <m/>
    <n v="0"/>
    <n v="0"/>
    <n v="1.74"/>
    <n v="0"/>
    <n v="0"/>
    <n v="0"/>
    <n v="0"/>
    <n v="0"/>
    <n v="0"/>
    <n v="5.6095990000000002"/>
    <n v="1.74E-3"/>
    <n v="-5.6078590000000004"/>
    <n v="3.1018259950488437E-4"/>
    <n v="39.267193000000006"/>
    <n v="1.74E-3"/>
  </r>
  <r>
    <x v="9"/>
    <x v="31"/>
    <x v="62"/>
    <m/>
    <m/>
    <m/>
    <n v="903.11699999999996"/>
    <n v="747.60800000000006"/>
    <n v="0"/>
    <m/>
    <m/>
    <m/>
    <m/>
    <m/>
    <m/>
    <m/>
    <m/>
    <m/>
    <n v="896.43999999999994"/>
    <n v="738.78"/>
    <n v="1351.62"/>
    <m/>
    <m/>
    <m/>
    <m/>
    <m/>
    <m/>
    <n v="1.650725"/>
    <n v="2.9868399999999995"/>
    <n v="1.3361149999999995"/>
    <n v="1.809411016371594"/>
    <n v="1.650725"/>
    <n v="2.9868399999999995"/>
  </r>
  <r>
    <x v="9"/>
    <x v="31"/>
    <x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9"/>
    <x v="32"/>
    <x v="61"/>
    <m/>
    <m/>
    <m/>
    <m/>
    <m/>
    <n v="0"/>
    <m/>
    <m/>
    <m/>
    <m/>
    <m/>
    <m/>
    <m/>
    <m/>
    <m/>
    <m/>
    <m/>
    <n v="1.92"/>
    <m/>
    <m/>
    <m/>
    <m/>
    <m/>
    <m/>
    <n v="0"/>
    <n v="1.9199999999999998E-3"/>
    <n v="1.9199999999999998E-3"/>
    <n v="1.0000110000110001"/>
    <n v="0"/>
    <n v="1.9199999999999998E-3"/>
  </r>
  <r>
    <x v="9"/>
    <x v="32"/>
    <x v="62"/>
    <m/>
    <n v="4458.7359999999999"/>
    <n v="2390.5330000000004"/>
    <n v="5272.5519999999997"/>
    <n v="506.59300000000002"/>
    <n v="1759.4940000000001"/>
    <n v="1759.4940000000001"/>
    <n v="1759.4940000000001"/>
    <n v="1759.4940000000001"/>
    <n v="1759.4940000000001"/>
    <n v="1759.4940000000001"/>
    <n v="1759.4940000000001"/>
    <m/>
    <n v="4481.1400000000003"/>
    <n v="2420.54"/>
    <n v="5263.23"/>
    <n v="509.59"/>
    <n v="-12671.15"/>
    <n v="0"/>
    <n v="0"/>
    <n v="0"/>
    <n v="0"/>
    <n v="0"/>
    <n v="0"/>
    <n v="14.387908000000001"/>
    <n v="3.350000000000364E-3"/>
    <n v="-14.384558"/>
    <n v="2.3283440511298541E-4"/>
    <n v="24.944871999999997"/>
    <n v="3.350000000000364E-3"/>
  </r>
  <r>
    <x v="9"/>
    <x v="1"/>
    <x v="61"/>
    <m/>
    <m/>
    <m/>
    <m/>
    <n v="222.23000000000002"/>
    <m/>
    <m/>
    <m/>
    <m/>
    <m/>
    <m/>
    <m/>
    <m/>
    <m/>
    <m/>
    <m/>
    <n v="222.23"/>
    <m/>
    <m/>
    <m/>
    <m/>
    <m/>
    <m/>
    <m/>
    <n v="0.22223000000000001"/>
    <n v="0.22222999999999998"/>
    <n v="0"/>
    <n v="0.99999999999999989"/>
    <n v="0.22223000000000001"/>
    <n v="0.22222999999999998"/>
  </r>
  <r>
    <x v="9"/>
    <x v="33"/>
    <x v="61"/>
    <m/>
    <m/>
    <m/>
    <m/>
    <m/>
    <n v="0"/>
    <m/>
    <m/>
    <m/>
    <m/>
    <m/>
    <m/>
    <m/>
    <m/>
    <m/>
    <m/>
    <m/>
    <n v="0.21"/>
    <m/>
    <m/>
    <m/>
    <m/>
    <m/>
    <m/>
    <n v="0"/>
    <n v="2.0999999999999998E-4"/>
    <n v="2.0999999999999998E-4"/>
    <n v="1.0000110000110001"/>
    <n v="0"/>
    <n v="2.0999999999999998E-4"/>
  </r>
  <r>
    <x v="9"/>
    <x v="34"/>
    <x v="61"/>
    <m/>
    <m/>
    <m/>
    <m/>
    <m/>
    <n v="0"/>
    <m/>
    <m/>
    <m/>
    <m/>
    <m/>
    <m/>
    <m/>
    <m/>
    <m/>
    <m/>
    <m/>
    <n v="0.15"/>
    <m/>
    <m/>
    <m/>
    <m/>
    <m/>
    <m/>
    <n v="0"/>
    <n v="1.4999999999999999E-4"/>
    <n v="1.4999999999999999E-4"/>
    <n v="1.0000110000110001"/>
    <n v="0"/>
    <n v="1.4999999999999999E-4"/>
  </r>
  <r>
    <x v="9"/>
    <x v="2"/>
    <x v="61"/>
    <m/>
    <m/>
    <m/>
    <m/>
    <m/>
    <n v="0"/>
    <m/>
    <m/>
    <m/>
    <m/>
    <m/>
    <m/>
    <m/>
    <m/>
    <m/>
    <m/>
    <m/>
    <n v="0.6"/>
    <m/>
    <m/>
    <m/>
    <m/>
    <m/>
    <m/>
    <n v="0"/>
    <n v="5.9999999999999995E-4"/>
    <n v="5.9999999999999995E-4"/>
    <n v="1.0000110000110001"/>
    <n v="0"/>
    <n v="5.9999999999999995E-4"/>
  </r>
  <r>
    <x v="9"/>
    <x v="35"/>
    <x v="61"/>
    <m/>
    <m/>
    <m/>
    <n v="93.325999999999993"/>
    <m/>
    <m/>
    <m/>
    <m/>
    <m/>
    <m/>
    <m/>
    <m/>
    <m/>
    <m/>
    <m/>
    <n v="92.75"/>
    <m/>
    <m/>
    <m/>
    <m/>
    <m/>
    <m/>
    <m/>
    <m/>
    <n v="9.3325999999999992E-2"/>
    <n v="9.2749999999999999E-2"/>
    <n v="-5.7599999999999318E-4"/>
    <n v="0.9938280864925102"/>
    <n v="9.3325999999999992E-2"/>
    <n v="9.2749999999999999E-2"/>
  </r>
  <r>
    <x v="9"/>
    <x v="3"/>
    <x v="61"/>
    <m/>
    <m/>
    <m/>
    <m/>
    <m/>
    <n v="0"/>
    <m/>
    <m/>
    <m/>
    <m/>
    <m/>
    <m/>
    <m/>
    <m/>
    <m/>
    <m/>
    <m/>
    <n v="4.3600000000000003"/>
    <m/>
    <m/>
    <m/>
    <m/>
    <m/>
    <m/>
    <n v="0"/>
    <n v="4.3600000000000002E-3"/>
    <n v="4.3600000000000002E-3"/>
    <n v="1.0000110000110001"/>
    <n v="0"/>
    <n v="4.3600000000000002E-3"/>
  </r>
  <r>
    <x v="9"/>
    <x v="36"/>
    <x v="61"/>
    <m/>
    <m/>
    <m/>
    <m/>
    <m/>
    <n v="0"/>
    <m/>
    <m/>
    <m/>
    <m/>
    <m/>
    <m/>
    <m/>
    <m/>
    <m/>
    <m/>
    <m/>
    <n v="0.36"/>
    <m/>
    <m/>
    <m/>
    <m/>
    <m/>
    <m/>
    <n v="0"/>
    <n v="3.5999999999999997E-4"/>
    <n v="3.5999999999999997E-4"/>
    <n v="1.0000110000110001"/>
    <n v="0"/>
    <n v="3.5999999999999997E-4"/>
  </r>
  <r>
    <x v="9"/>
    <x v="37"/>
    <x v="61"/>
    <m/>
    <m/>
    <m/>
    <m/>
    <m/>
    <n v="0"/>
    <m/>
    <m/>
    <m/>
    <m/>
    <m/>
    <m/>
    <m/>
    <m/>
    <m/>
    <m/>
    <m/>
    <n v="1.23"/>
    <m/>
    <m/>
    <m/>
    <m/>
    <m/>
    <m/>
    <n v="0"/>
    <n v="1.23E-3"/>
    <n v="1.23E-3"/>
    <n v="1.0000110000110001"/>
    <n v="0"/>
    <n v="1.23E-3"/>
  </r>
  <r>
    <x v="9"/>
    <x v="37"/>
    <x v="62"/>
    <m/>
    <m/>
    <n v="0"/>
    <n v="0"/>
    <m/>
    <m/>
    <m/>
    <m/>
    <m/>
    <m/>
    <m/>
    <m/>
    <m/>
    <m/>
    <n v="0"/>
    <n v="0"/>
    <m/>
    <m/>
    <m/>
    <m/>
    <m/>
    <m/>
    <m/>
    <m/>
    <n v="0"/>
    <n v="0"/>
    <n v="0"/>
    <n v="1.0000110000110001"/>
    <n v="0"/>
    <n v="0"/>
  </r>
  <r>
    <x v="9"/>
    <x v="38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9"/>
    <x v="38"/>
    <x v="61"/>
    <m/>
    <m/>
    <m/>
    <m/>
    <m/>
    <n v="0"/>
    <m/>
    <m/>
    <m/>
    <m/>
    <m/>
    <m/>
    <m/>
    <m/>
    <m/>
    <m/>
    <m/>
    <n v="0.55000000000000004"/>
    <m/>
    <m/>
    <m/>
    <m/>
    <m/>
    <m/>
    <n v="0"/>
    <n v="5.5000000000000003E-4"/>
    <n v="5.5000000000000003E-4"/>
    <n v="1.0000110000110001"/>
    <n v="0"/>
    <n v="5.5000000000000003E-4"/>
  </r>
  <r>
    <x v="9"/>
    <x v="4"/>
    <x v="62"/>
    <n v="-201.078"/>
    <n v="268.34199999999998"/>
    <m/>
    <m/>
    <m/>
    <m/>
    <m/>
    <m/>
    <m/>
    <m/>
    <m/>
    <m/>
    <n v="-202.13"/>
    <n v="279.02"/>
    <m/>
    <m/>
    <m/>
    <m/>
    <m/>
    <m/>
    <m/>
    <m/>
    <m/>
    <m/>
    <n v="6.7263999999999977E-2"/>
    <n v="7.6889999999999986E-2"/>
    <n v="9.6260000000000095E-3"/>
    <n v="1.1431077545195054"/>
    <n v="6.7263999999999977E-2"/>
    <n v="7.6889999999999986E-2"/>
  </r>
  <r>
    <x v="9"/>
    <x v="39"/>
    <x v="61"/>
    <m/>
    <m/>
    <m/>
    <m/>
    <m/>
    <n v="0"/>
    <m/>
    <m/>
    <m/>
    <m/>
    <m/>
    <m/>
    <m/>
    <m/>
    <m/>
    <m/>
    <m/>
    <n v="0.02"/>
    <m/>
    <m/>
    <m/>
    <m/>
    <m/>
    <m/>
    <n v="0"/>
    <n v="2.0000000000000002E-5"/>
    <n v="2.0000000000000002E-5"/>
    <n v="1.0000110000110001"/>
    <n v="0"/>
    <n v="2.0000000000000002E-5"/>
  </r>
  <r>
    <x v="9"/>
    <x v="39"/>
    <x v="62"/>
    <m/>
    <m/>
    <m/>
    <n v="441.58699999999999"/>
    <n v="437.142"/>
    <n v="0"/>
    <m/>
    <m/>
    <m/>
    <m/>
    <m/>
    <m/>
    <m/>
    <m/>
    <m/>
    <n v="434.99"/>
    <n v="436.28000000000003"/>
    <n v="726.67"/>
    <m/>
    <m/>
    <m/>
    <m/>
    <m/>
    <m/>
    <n v="0.87872900000000009"/>
    <n v="1.5979400000000001"/>
    <n v="0.71921100000000004"/>
    <n v="1.8184673545541343"/>
    <n v="0.87872900000000009"/>
    <n v="1.5979400000000001"/>
  </r>
  <r>
    <x v="9"/>
    <x v="40"/>
    <x v="61"/>
    <m/>
    <m/>
    <m/>
    <m/>
    <m/>
    <n v="0"/>
    <m/>
    <m/>
    <m/>
    <m/>
    <m/>
    <m/>
    <m/>
    <m/>
    <m/>
    <m/>
    <m/>
    <n v="0.56000000000000005"/>
    <m/>
    <m/>
    <m/>
    <m/>
    <m/>
    <m/>
    <n v="0"/>
    <n v="5.6000000000000006E-4"/>
    <n v="5.6000000000000006E-4"/>
    <n v="1.0000110000110001"/>
    <n v="0"/>
    <n v="5.6000000000000006E-4"/>
  </r>
  <r>
    <x v="9"/>
    <x v="5"/>
    <x v="64"/>
    <m/>
    <m/>
    <m/>
    <m/>
    <m/>
    <n v="0"/>
    <m/>
    <m/>
    <m/>
    <m/>
    <m/>
    <m/>
    <m/>
    <m/>
    <m/>
    <m/>
    <m/>
    <n v="0"/>
    <m/>
    <m/>
    <m/>
    <m/>
    <m/>
    <m/>
    <n v="0"/>
    <n v="0"/>
    <n v="0"/>
    <n v="1.0000110000110001"/>
    <n v="0"/>
    <n v="0"/>
  </r>
  <r>
    <x v="9"/>
    <x v="5"/>
    <x v="61"/>
    <m/>
    <m/>
    <m/>
    <m/>
    <m/>
    <n v="0"/>
    <m/>
    <m/>
    <m/>
    <m/>
    <m/>
    <m/>
    <m/>
    <m/>
    <m/>
    <m/>
    <m/>
    <n v="1.45"/>
    <m/>
    <m/>
    <m/>
    <m/>
    <m/>
    <m/>
    <n v="0"/>
    <n v="1.4499999999999999E-3"/>
    <n v="1.4499999999999999E-3"/>
    <n v="1.0000110000110001"/>
    <n v="0"/>
    <n v="1.4499999999999999E-3"/>
  </r>
  <r>
    <x v="9"/>
    <x v="5"/>
    <x v="62"/>
    <m/>
    <m/>
    <m/>
    <m/>
    <m/>
    <n v="0"/>
    <m/>
    <m/>
    <m/>
    <m/>
    <m/>
    <m/>
    <m/>
    <m/>
    <m/>
    <m/>
    <m/>
    <n v="9.1038288019262836E-15"/>
    <m/>
    <m/>
    <m/>
    <m/>
    <m/>
    <m/>
    <n v="0"/>
    <n v="9.103828801926284E-18"/>
    <n v="9.103828801926284E-18"/>
    <n v="1.0000110000110001"/>
    <n v="0"/>
    <n v="9.103828801926284E-18"/>
  </r>
  <r>
    <x v="9"/>
    <x v="6"/>
    <x v="64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9"/>
    <x v="6"/>
    <x v="61"/>
    <m/>
    <m/>
    <m/>
    <m/>
    <m/>
    <n v="0"/>
    <m/>
    <m/>
    <m/>
    <m/>
    <m/>
    <m/>
    <m/>
    <m/>
    <m/>
    <m/>
    <m/>
    <n v="0.69"/>
    <m/>
    <m/>
    <m/>
    <m/>
    <m/>
    <m/>
    <n v="0"/>
    <n v="6.8999999999999997E-4"/>
    <n v="6.8999999999999997E-4"/>
    <n v="1.0000110000110001"/>
    <n v="0"/>
    <n v="6.8999999999999997E-4"/>
  </r>
  <r>
    <x v="9"/>
    <x v="6"/>
    <x v="62"/>
    <m/>
    <n v="1844.6279999999999"/>
    <n v="2216.7730000000001"/>
    <m/>
    <n v="152.49199999999999"/>
    <m/>
    <m/>
    <m/>
    <m/>
    <m/>
    <m/>
    <m/>
    <m/>
    <n v="1883.31"/>
    <n v="2236.8399999999997"/>
    <m/>
    <n v="153.27000000000001"/>
    <m/>
    <m/>
    <m/>
    <m/>
    <m/>
    <m/>
    <m/>
    <n v="4.2138929999999997"/>
    <n v="4.2734199999999998"/>
    <n v="5.9527000000000108E-2"/>
    <n v="1.0141263672333398"/>
    <n v="4.2138929999999997"/>
    <n v="4.2734199999999998"/>
  </r>
  <r>
    <x v="9"/>
    <x v="41"/>
    <x v="61"/>
    <m/>
    <m/>
    <m/>
    <n v="328.69400000000002"/>
    <n v="433.00200000000001"/>
    <n v="0"/>
    <m/>
    <m/>
    <m/>
    <m/>
    <m/>
    <m/>
    <m/>
    <m/>
    <m/>
    <n v="318.71999999999997"/>
    <n v="414.07"/>
    <n v="17.920000000000002"/>
    <m/>
    <m/>
    <m/>
    <m/>
    <m/>
    <m/>
    <n v="0.76169600000000004"/>
    <n v="0.75070999999999988"/>
    <n v="-1.0986000000000162E-2"/>
    <n v="0.98557692307692291"/>
    <n v="0.76169600000000004"/>
    <n v="0.75070999999999988"/>
  </r>
  <r>
    <x v="9"/>
    <x v="41"/>
    <x v="62"/>
    <n v="3311.8880000000004"/>
    <n v="3356.1280000000002"/>
    <n v="2629.1320000000005"/>
    <n v="11687.894000000002"/>
    <n v="1847.1709999999998"/>
    <n v="0"/>
    <n v="0"/>
    <n v="0"/>
    <n v="0"/>
    <n v="0"/>
    <n v="0"/>
    <n v="0"/>
    <n v="3131.25"/>
    <n v="3245.46"/>
    <n v="2539.64"/>
    <n v="11344.93"/>
    <n v="1807.8700000000001"/>
    <n v="817.74"/>
    <n v="0"/>
    <n v="0"/>
    <n v="0"/>
    <n v="0"/>
    <n v="0"/>
    <n v="0"/>
    <n v="22.832212999999999"/>
    <n v="22.886890000000001"/>
    <n v="5.4677000000001641E-2"/>
    <n v="1.0023947306378056"/>
    <n v="22.832212999999999"/>
    <n v="22.886890000000001"/>
  </r>
  <r>
    <x v="9"/>
    <x v="42"/>
    <x v="62"/>
    <n v="0"/>
    <n v="5789.56"/>
    <n v="582"/>
    <m/>
    <n v="-6953.56"/>
    <m/>
    <m/>
    <m/>
    <m/>
    <m/>
    <m/>
    <m/>
    <n v="0"/>
    <n v="5789.56"/>
    <n v="582"/>
    <m/>
    <n v="-6953.5599999999995"/>
    <m/>
    <m/>
    <m/>
    <m/>
    <m/>
    <m/>
    <m/>
    <n v="-0.58199999999999996"/>
    <n v="-0.58199999999999907"/>
    <n v="8.8817841970012523E-16"/>
    <n v="0.99999999999999845"/>
    <n v="-0.58199999999999996"/>
    <n v="-0.58199999999999907"/>
  </r>
  <r>
    <x v="9"/>
    <x v="7"/>
    <x v="64"/>
    <m/>
    <m/>
    <m/>
    <n v="295.89"/>
    <m/>
    <m/>
    <m/>
    <m/>
    <m/>
    <m/>
    <m/>
    <m/>
    <m/>
    <m/>
    <m/>
    <n v="295.89"/>
    <m/>
    <m/>
    <m/>
    <m/>
    <m/>
    <m/>
    <m/>
    <m/>
    <n v="0.29588999999999999"/>
    <n v="0.29588999999999999"/>
    <n v="0"/>
    <n v="1"/>
    <n v="0.29588999999999999"/>
    <n v="0.29588999999999999"/>
  </r>
  <r>
    <x v="9"/>
    <x v="7"/>
    <x v="61"/>
    <m/>
    <n v="483.41999999999996"/>
    <n v="427.71000000000004"/>
    <n v="91.45999999999998"/>
    <n v="975.93999999999994"/>
    <n v="0"/>
    <m/>
    <m/>
    <m/>
    <m/>
    <m/>
    <m/>
    <m/>
    <n v="483.41999999999996"/>
    <n v="427.71000000000004"/>
    <n v="91.599999999999923"/>
    <n v="975.94"/>
    <n v="40.75"/>
    <m/>
    <m/>
    <m/>
    <m/>
    <m/>
    <m/>
    <n v="1.9785299999999997"/>
    <n v="2.0194200000000002"/>
    <n v="4.0890000000000537E-2"/>
    <n v="1.0206668587284502"/>
    <n v="1.9785299999999997"/>
    <n v="2.0194200000000002"/>
  </r>
  <r>
    <x v="9"/>
    <x v="7"/>
    <x v="62"/>
    <m/>
    <n v="4251.2199999999993"/>
    <n v="2086.1999999999998"/>
    <n v="4197.08"/>
    <n v="2309.3800000000006"/>
    <n v="0"/>
    <m/>
    <m/>
    <m/>
    <m/>
    <m/>
    <m/>
    <m/>
    <n v="4251.2199999999993"/>
    <n v="2086.1999999999998"/>
    <n v="4197.08"/>
    <n v="2309.38"/>
    <n v="4054.87"/>
    <m/>
    <m/>
    <m/>
    <m/>
    <m/>
    <m/>
    <n v="12.84388"/>
    <n v="16.89875"/>
    <n v="4.0548699999999993"/>
    <n v="1.315704444451365"/>
    <n v="12.84388"/>
    <n v="16.89875"/>
  </r>
  <r>
    <x v="9"/>
    <x v="43"/>
    <x v="64"/>
    <m/>
    <m/>
    <m/>
    <n v="0"/>
    <n v="0"/>
    <n v="260.86"/>
    <n v="260.86"/>
    <n v="260.86"/>
    <n v="260.86"/>
    <n v="260.86"/>
    <n v="260.86"/>
    <n v="260.86"/>
    <m/>
    <m/>
    <m/>
    <n v="0"/>
    <n v="0"/>
    <n v="0"/>
    <n v="0"/>
    <n v="0"/>
    <n v="0"/>
    <n v="0"/>
    <n v="0"/>
    <n v="0"/>
    <n v="0.26086000000000004"/>
    <n v="0"/>
    <n v="-0.26086000000000004"/>
    <n v="0"/>
    <n v="1.8260200000000004"/>
    <n v="0"/>
  </r>
  <r>
    <x v="9"/>
    <x v="43"/>
    <x v="61"/>
    <m/>
    <m/>
    <m/>
    <m/>
    <m/>
    <n v="0"/>
    <m/>
    <m/>
    <m/>
    <m/>
    <m/>
    <m/>
    <m/>
    <m/>
    <m/>
    <m/>
    <m/>
    <n v="1.77"/>
    <m/>
    <m/>
    <m/>
    <m/>
    <m/>
    <m/>
    <n v="0"/>
    <n v="1.7700000000000001E-3"/>
    <n v="1.7700000000000001E-3"/>
    <n v="1.0000110000110001"/>
    <n v="0"/>
    <n v="1.7700000000000001E-3"/>
  </r>
  <r>
    <x v="9"/>
    <x v="44"/>
    <x v="61"/>
    <m/>
    <m/>
    <n v="5.26"/>
    <m/>
    <n v="639.91999999999996"/>
    <n v="0"/>
    <m/>
    <m/>
    <m/>
    <m/>
    <m/>
    <m/>
    <m/>
    <m/>
    <n v="5.26"/>
    <m/>
    <n v="639.91999999999996"/>
    <n v="3.68"/>
    <m/>
    <m/>
    <m/>
    <m/>
    <m/>
    <m/>
    <n v="0.64517999999999998"/>
    <n v="0.64885999999999988"/>
    <n v="3.6799999999999056E-3"/>
    <n v="1.0057038345887968"/>
    <n v="0.64517999999999998"/>
    <n v="0.64885999999999988"/>
  </r>
  <r>
    <x v="9"/>
    <x v="44"/>
    <x v="62"/>
    <m/>
    <n v="34.010000000000005"/>
    <n v="1.7300000000000004"/>
    <m/>
    <n v="1.43"/>
    <n v="0"/>
    <m/>
    <m/>
    <m/>
    <m/>
    <m/>
    <m/>
    <m/>
    <n v="34.010000000000005"/>
    <n v="1.7300000000000004"/>
    <m/>
    <n v="1.43"/>
    <n v="23.52"/>
    <m/>
    <m/>
    <m/>
    <m/>
    <m/>
    <m/>
    <n v="3.7170000000000009E-2"/>
    <n v="6.0690000000000015E-2"/>
    <n v="2.3520000000000006E-2"/>
    <n v="1.6327683615819208"/>
    <n v="3.7170000000000009E-2"/>
    <n v="6.0690000000000015E-2"/>
  </r>
  <r>
    <x v="9"/>
    <x v="45"/>
    <x v="61"/>
    <m/>
    <m/>
    <m/>
    <m/>
    <m/>
    <n v="0"/>
    <m/>
    <m/>
    <m/>
    <m/>
    <m/>
    <m/>
    <m/>
    <m/>
    <m/>
    <m/>
    <m/>
    <n v="1.1000000000000001"/>
    <m/>
    <m/>
    <m/>
    <m/>
    <m/>
    <m/>
    <n v="0"/>
    <n v="1.1000000000000001E-3"/>
    <n v="1.1000000000000001E-3"/>
    <n v="1.0000110000110001"/>
    <n v="0"/>
    <n v="1.1000000000000001E-3"/>
  </r>
  <r>
    <x v="9"/>
    <x v="45"/>
    <x v="62"/>
    <m/>
    <n v="1317.3430000000001"/>
    <n v="656.83400000000006"/>
    <n v="1510.954"/>
    <n v="178.346"/>
    <n v="1025.2429999999999"/>
    <n v="1025.2429999999999"/>
    <n v="1025.2429999999999"/>
    <n v="1025.2429999999999"/>
    <n v="1025.2429999999999"/>
    <n v="1025.2429999999999"/>
    <n v="1025.2429999999999"/>
    <m/>
    <n v="1322.56"/>
    <n v="665.1"/>
    <n v="1518.5700000000002"/>
    <n v="179.4"/>
    <n v="-3682.2799999999997"/>
    <n v="0"/>
    <n v="0"/>
    <n v="0"/>
    <n v="0"/>
    <n v="0"/>
    <n v="0"/>
    <n v="4.68872"/>
    <n v="3.350000000000364E-3"/>
    <n v="-4.6853699999999998"/>
    <n v="7.1448071115365471E-4"/>
    <n v="10.840178000000002"/>
    <n v="3.350000000000364E-3"/>
  </r>
  <r>
    <x v="9"/>
    <x v="47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9"/>
    <x v="48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49"/>
    <x v="61"/>
    <m/>
    <n v="102565.81999999999"/>
    <n v="78583.39"/>
    <n v="-158244.90000000002"/>
    <n v="7174.8699999999972"/>
    <n v="0"/>
    <m/>
    <m/>
    <m/>
    <m/>
    <m/>
    <m/>
    <m/>
    <n v="102565.82"/>
    <n v="78827.949999999968"/>
    <n v="-158424.49"/>
    <n v="7364.0999999999976"/>
    <n v="-1611.8500000000001"/>
    <m/>
    <m/>
    <m/>
    <m/>
    <m/>
    <m/>
    <n v="30.079179999999965"/>
    <n v="28.721529999999969"/>
    <n v="-1.357649999999996"/>
    <n v="0.95486412860988901"/>
    <n v="30.079179999999965"/>
    <n v="28.721529999999969"/>
  </r>
  <r>
    <x v="9"/>
    <x v="49"/>
    <x v="62"/>
    <n v="231.53"/>
    <n v="8854.83"/>
    <n v="5756.85"/>
    <n v="-3838.9599999999996"/>
    <n v="4016.15"/>
    <n v="5555.5560000000005"/>
    <n v="5555.5560000000005"/>
    <n v="5555.5560000000005"/>
    <n v="5555.5560000000005"/>
    <m/>
    <m/>
    <m/>
    <n v="231.53"/>
    <n v="8854.83"/>
    <n v="5756.85"/>
    <n v="-3838.9600000000005"/>
    <n v="4016.1500000000005"/>
    <n v="6442.48"/>
    <n v="0"/>
    <n v="0"/>
    <n v="0"/>
    <m/>
    <m/>
    <m/>
    <n v="20.575956000000001"/>
    <n v="21.462880000000002"/>
    <n v="0.88692400000000049"/>
    <n v="1.04310487444666"/>
    <n v="37.242624000000006"/>
    <n v="21.462880000000002"/>
  </r>
  <r>
    <x v="9"/>
    <x v="51"/>
    <x v="61"/>
    <m/>
    <m/>
    <m/>
    <m/>
    <m/>
    <n v="0"/>
    <m/>
    <m/>
    <m/>
    <m/>
    <m/>
    <m/>
    <m/>
    <m/>
    <m/>
    <m/>
    <m/>
    <n v="0.14000000000000001"/>
    <m/>
    <m/>
    <m/>
    <m/>
    <m/>
    <m/>
    <n v="0"/>
    <n v="1.4000000000000001E-4"/>
    <n v="1.4000000000000001E-4"/>
    <n v="1.0000110000110001"/>
    <n v="0"/>
    <n v="1.4000000000000001E-4"/>
  </r>
  <r>
    <x v="9"/>
    <x v="52"/>
    <x v="61"/>
    <n v="0"/>
    <n v="0"/>
    <n v="0"/>
    <n v="10.68"/>
    <n v="0"/>
    <n v="0"/>
    <n v="0"/>
    <n v="0"/>
    <n v="0"/>
    <n v="0"/>
    <n v="0"/>
    <n v="0"/>
    <n v="0"/>
    <n v="0"/>
    <n v="0"/>
    <n v="10.68"/>
    <n v="0"/>
    <n v="1.91"/>
    <n v="0"/>
    <n v="0"/>
    <n v="0"/>
    <n v="0"/>
    <n v="0"/>
    <n v="0"/>
    <n v="1.068E-2"/>
    <n v="1.259E-2"/>
    <n v="1.9100000000000002E-3"/>
    <n v="1.1788389513108615"/>
    <n v="1.068E-2"/>
    <n v="1.259E-2"/>
  </r>
  <r>
    <x v="9"/>
    <x v="52"/>
    <x v="62"/>
    <n v="906.89"/>
    <n v="5202.9599999999991"/>
    <n v="5569.579999999999"/>
    <n v="4192.67"/>
    <n v="2468.5900000000006"/>
    <n v="0"/>
    <m/>
    <m/>
    <m/>
    <m/>
    <m/>
    <m/>
    <n v="906.89"/>
    <n v="5202.9599999999991"/>
    <n v="5569.579999999999"/>
    <n v="4192.67"/>
    <n v="2468.59"/>
    <n v="4342.3100000000004"/>
    <m/>
    <m/>
    <m/>
    <m/>
    <m/>
    <m/>
    <n v="18.340689999999999"/>
    <n v="22.683"/>
    <n v="4.3423100000000012"/>
    <n v="1.2367582680913314"/>
    <n v="18.340689999999999"/>
    <n v="22.683"/>
  </r>
  <r>
    <x v="9"/>
    <x v="54"/>
    <x v="61"/>
    <m/>
    <m/>
    <m/>
    <m/>
    <m/>
    <n v="0"/>
    <m/>
    <m/>
    <m/>
    <m/>
    <m/>
    <m/>
    <m/>
    <m/>
    <m/>
    <m/>
    <m/>
    <n v="0.77"/>
    <m/>
    <m/>
    <m/>
    <m/>
    <m/>
    <m/>
    <n v="0"/>
    <n v="7.7000000000000007E-4"/>
    <n v="7.7000000000000007E-4"/>
    <n v="1.0000110000110001"/>
    <n v="0"/>
    <n v="7.7000000000000007E-4"/>
  </r>
  <r>
    <x v="9"/>
    <x v="54"/>
    <x v="62"/>
    <m/>
    <m/>
    <m/>
    <m/>
    <n v="88.274000000000001"/>
    <m/>
    <m/>
    <m/>
    <m/>
    <m/>
    <m/>
    <m/>
    <m/>
    <m/>
    <m/>
    <m/>
    <n v="88.1"/>
    <m/>
    <m/>
    <m/>
    <m/>
    <m/>
    <m/>
    <m/>
    <n v="8.8274000000000005E-2"/>
    <n v="8.8099999999999998E-2"/>
    <n v="-1.7400000000000748E-4"/>
    <n v="0.99802886467136409"/>
    <n v="8.8274000000000005E-2"/>
    <n v="8.8099999999999998E-2"/>
  </r>
  <r>
    <x v="9"/>
    <x v="9"/>
    <x v="61"/>
    <m/>
    <m/>
    <m/>
    <n v="5.4349999999999996"/>
    <m/>
    <n v="0"/>
    <m/>
    <m/>
    <m/>
    <m/>
    <m/>
    <m/>
    <m/>
    <m/>
    <m/>
    <n v="5.33"/>
    <m/>
    <n v="2.5499999999999998"/>
    <m/>
    <m/>
    <m/>
    <m/>
    <m/>
    <m/>
    <n v="5.4349999999999997E-3"/>
    <n v="7.8799999999999999E-3"/>
    <n v="2.4450000000000001E-3"/>
    <n v="1.4498620055197793"/>
    <n v="5.4349999999999997E-3"/>
    <n v="7.8799999999999999E-3"/>
  </r>
  <r>
    <x v="9"/>
    <x v="9"/>
    <x v="62"/>
    <n v="0"/>
    <n v="2045.9449999999999"/>
    <n v="1033.742"/>
    <n v="2123.2020000000002"/>
    <n v="1121.423"/>
    <n v="0"/>
    <n v="0"/>
    <n v="0"/>
    <n v="0"/>
    <n v="0"/>
    <n v="0"/>
    <n v="0"/>
    <n v="0"/>
    <n v="2086.1999999999998"/>
    <n v="1043.0999999999999"/>
    <n v="2098.52"/>
    <n v="1108.18"/>
    <n v="2027.44"/>
    <n v="0"/>
    <n v="0"/>
    <n v="0"/>
    <n v="0"/>
    <n v="0"/>
    <n v="0"/>
    <n v="6.3243119999999999"/>
    <n v="8.3634400000000007"/>
    <n v="2.0391280000000007"/>
    <n v="1.3224268505412131"/>
    <n v="6.3243119999999999"/>
    <n v="8.3634400000000007"/>
  </r>
  <r>
    <x v="9"/>
    <x v="9"/>
    <x v="63"/>
    <n v="0"/>
    <n v="0"/>
    <n v="0"/>
    <n v="0"/>
    <n v="0"/>
    <n v="371.988"/>
    <n v="371.988"/>
    <n v="371.988"/>
    <n v="371.988"/>
    <n v="371.988"/>
    <n v="371.988"/>
    <n v="371.988"/>
    <n v="0"/>
    <n v="0"/>
    <n v="0"/>
    <n v="0"/>
    <n v="0"/>
    <n v="0"/>
    <n v="0"/>
    <n v="0"/>
    <n v="0"/>
    <n v="0"/>
    <n v="0"/>
    <n v="0"/>
    <n v="0.37198799999999999"/>
    <n v="0"/>
    <n v="-0.37198799999999999"/>
    <n v="0"/>
    <n v="2.6039159999999999"/>
    <n v="0"/>
  </r>
  <r>
    <x v="9"/>
    <x v="55"/>
    <x v="61"/>
    <m/>
    <m/>
    <n v="10.256"/>
    <m/>
    <m/>
    <n v="0"/>
    <m/>
    <m/>
    <m/>
    <m/>
    <m/>
    <m/>
    <m/>
    <m/>
    <n v="10.32"/>
    <m/>
    <m/>
    <n v="0.85"/>
    <m/>
    <m/>
    <m/>
    <m/>
    <m/>
    <m/>
    <n v="1.0255999999999999E-2"/>
    <n v="1.1169999999999999E-2"/>
    <n v="9.1399999999999988E-4"/>
    <n v="1.0891185647425896"/>
    <n v="1.0255999999999999E-2"/>
    <n v="1.1169999999999999E-2"/>
  </r>
  <r>
    <x v="9"/>
    <x v="56"/>
    <x v="61"/>
    <m/>
    <m/>
    <m/>
    <m/>
    <m/>
    <n v="0"/>
    <m/>
    <m/>
    <m/>
    <m/>
    <m/>
    <m/>
    <m/>
    <m/>
    <m/>
    <m/>
    <m/>
    <n v="0.91"/>
    <m/>
    <m/>
    <m/>
    <m/>
    <m/>
    <m/>
    <n v="0"/>
    <n v="9.1E-4"/>
    <n v="9.1E-4"/>
    <n v="1.0000110000110001"/>
    <n v="0"/>
    <n v="9.1E-4"/>
  </r>
  <r>
    <x v="9"/>
    <x v="56"/>
    <x v="62"/>
    <n v="0"/>
    <n v="0"/>
    <n v="0"/>
    <n v="0"/>
    <n v="0"/>
    <n v="142.07999999999998"/>
    <n v="142.07999999999998"/>
    <n v="142.07999999999998"/>
    <n v="142.07999999999998"/>
    <m/>
    <m/>
    <m/>
    <n v="0"/>
    <n v="0"/>
    <n v="0"/>
    <n v="0"/>
    <n v="0"/>
    <n v="0"/>
    <n v="0"/>
    <n v="0"/>
    <n v="0"/>
    <m/>
    <m/>
    <m/>
    <n v="0.14207999999999998"/>
    <n v="0"/>
    <n v="-0.14207999999999998"/>
    <n v="0"/>
    <n v="0.56831999999999994"/>
    <n v="0"/>
  </r>
  <r>
    <x v="9"/>
    <x v="57"/>
    <x v="64"/>
    <n v="0"/>
    <m/>
    <m/>
    <m/>
    <m/>
    <m/>
    <m/>
    <m/>
    <m/>
    <m/>
    <m/>
    <m/>
    <n v="0"/>
    <m/>
    <m/>
    <m/>
    <m/>
    <m/>
    <m/>
    <m/>
    <m/>
    <m/>
    <m/>
    <m/>
    <n v="0"/>
    <n v="0"/>
    <n v="0"/>
    <n v="1.0000110000110001"/>
    <n v="0"/>
    <n v="0"/>
  </r>
  <r>
    <x v="9"/>
    <x v="57"/>
    <x v="61"/>
    <m/>
    <m/>
    <m/>
    <m/>
    <m/>
    <n v="0"/>
    <m/>
    <m/>
    <m/>
    <m/>
    <m/>
    <m/>
    <m/>
    <m/>
    <m/>
    <m/>
    <m/>
    <n v="0.59"/>
    <m/>
    <m/>
    <m/>
    <m/>
    <m/>
    <m/>
    <n v="0"/>
    <n v="5.8999999999999992E-4"/>
    <n v="5.8999999999999992E-4"/>
    <n v="1.0000110000110001"/>
    <n v="0"/>
    <n v="5.8999999999999992E-4"/>
  </r>
  <r>
    <x v="9"/>
    <x v="10"/>
    <x v="61"/>
    <m/>
    <m/>
    <m/>
    <m/>
    <m/>
    <n v="0"/>
    <m/>
    <m/>
    <m/>
    <m/>
    <m/>
    <m/>
    <m/>
    <m/>
    <m/>
    <m/>
    <m/>
    <n v="2.35"/>
    <m/>
    <m/>
    <m/>
    <m/>
    <m/>
    <m/>
    <n v="0"/>
    <n v="2.3500000000000001E-3"/>
    <n v="2.3500000000000001E-3"/>
    <n v="1.0000110000110001"/>
    <n v="0"/>
    <n v="2.3500000000000001E-3"/>
  </r>
  <r>
    <x v="9"/>
    <x v="10"/>
    <x v="62"/>
    <m/>
    <m/>
    <m/>
    <m/>
    <n v="294.43900000000002"/>
    <n v="0"/>
    <m/>
    <m/>
    <m/>
    <m/>
    <m/>
    <m/>
    <m/>
    <m/>
    <m/>
    <m/>
    <n v="290.87"/>
    <n v="290.68"/>
    <m/>
    <m/>
    <m/>
    <m/>
    <m/>
    <m/>
    <n v="0.29443900000000001"/>
    <n v="0.5815499999999999"/>
    <n v="0.28711099999999989"/>
    <n v="1.9751119926368446"/>
    <n v="0.29443900000000001"/>
    <n v="0.5815499999999999"/>
  </r>
  <r>
    <x v="9"/>
    <x v="11"/>
    <x v="64"/>
    <n v="0"/>
    <n v="0"/>
    <m/>
    <m/>
    <m/>
    <m/>
    <m/>
    <m/>
    <m/>
    <m/>
    <m/>
    <m/>
    <n v="0"/>
    <n v="0"/>
    <m/>
    <m/>
    <m/>
    <m/>
    <m/>
    <m/>
    <m/>
    <m/>
    <m/>
    <m/>
    <n v="0"/>
    <n v="0"/>
    <n v="0"/>
    <n v="1.0000110000110001"/>
    <n v="0"/>
    <n v="0"/>
  </r>
  <r>
    <x v="9"/>
    <x v="13"/>
    <x v="61"/>
    <m/>
    <m/>
    <m/>
    <m/>
    <m/>
    <n v="0"/>
    <m/>
    <m/>
    <m/>
    <m/>
    <m/>
    <m/>
    <m/>
    <m/>
    <m/>
    <m/>
    <m/>
    <n v="1.1599999999999999"/>
    <m/>
    <m/>
    <m/>
    <m/>
    <m/>
    <m/>
    <n v="0"/>
    <n v="1.16E-3"/>
    <n v="1.16E-3"/>
    <n v="1.0000110000110001"/>
    <n v="0"/>
    <n v="1.16E-3"/>
  </r>
  <r>
    <x v="9"/>
    <x v="58"/>
    <x v="64"/>
    <n v="0"/>
    <m/>
    <m/>
    <m/>
    <m/>
    <m/>
    <m/>
    <m/>
    <m/>
    <m/>
    <m/>
    <m/>
    <n v="0"/>
    <m/>
    <m/>
    <m/>
    <m/>
    <m/>
    <m/>
    <m/>
    <m/>
    <m/>
    <m/>
    <m/>
    <n v="0"/>
    <n v="0"/>
    <n v="0"/>
    <n v="1.0000110000110001"/>
    <n v="0"/>
    <n v="0"/>
  </r>
  <r>
    <x v="9"/>
    <x v="58"/>
    <x v="62"/>
    <n v="1227.6289999999999"/>
    <m/>
    <m/>
    <n v="3255.2069999999999"/>
    <m/>
    <m/>
    <m/>
    <m/>
    <m/>
    <m/>
    <m/>
    <m/>
    <n v="1252.51"/>
    <m/>
    <m/>
    <n v="3212.95"/>
    <m/>
    <m/>
    <m/>
    <m/>
    <m/>
    <m/>
    <m/>
    <m/>
    <n v="4.4828359999999989"/>
    <n v="4.4654600000000002"/>
    <n v="-1.7375999999998726E-2"/>
    <n v="0.99612388229237059"/>
    <n v="4.4828359999999989"/>
    <n v="4.4654600000000002"/>
  </r>
  <r>
    <x v="9"/>
    <x v="15"/>
    <x v="61"/>
    <n v="1194.347"/>
    <n v="1195.8869999999999"/>
    <n v="1249.077"/>
    <n v="1166.6669999999999"/>
    <n v="944.4369999999999"/>
    <n v="1166.6669999999999"/>
    <n v="1166.6669999999999"/>
    <n v="1166.6669999999999"/>
    <n v="1166.6669999999999"/>
    <n v="1166.6669999999999"/>
    <n v="1166.6669999999999"/>
    <n v="1166.6669999999999"/>
    <n v="27.68"/>
    <n v="29.22"/>
    <n v="82.41"/>
    <n v="0"/>
    <n v="-222.23000000000002"/>
    <n v="0"/>
    <n v="0"/>
    <n v="0"/>
    <n v="0"/>
    <n v="0"/>
    <n v="0"/>
    <n v="0"/>
    <n v="6.9170819999999988"/>
    <n v="-8.2920000000000021E-2"/>
    <n v="-7.0000019999999985"/>
    <n v="-1.198771389438495E-2"/>
    <n v="13.917083999999996"/>
    <n v="-8.2920000000000021E-2"/>
  </r>
  <r>
    <x v="9"/>
    <x v="15"/>
    <x v="62"/>
    <n v="1075"/>
    <n v="1075"/>
    <n v="1075"/>
    <n v="1075"/>
    <n v="1075"/>
    <n v="1075"/>
    <n v="1075"/>
    <n v="1075"/>
    <n v="1075"/>
    <n v="1075"/>
    <n v="1075"/>
    <n v="1075"/>
    <n v="0"/>
    <n v="0"/>
    <n v="0"/>
    <n v="0"/>
    <n v="0"/>
    <n v="0"/>
    <n v="0"/>
    <n v="0"/>
    <n v="0"/>
    <n v="0"/>
    <n v="0"/>
    <n v="0"/>
    <n v="6.45"/>
    <n v="0"/>
    <n v="-6.45"/>
    <n v="0"/>
    <n v="12.9"/>
    <n v="0"/>
  </r>
  <r>
    <x v="9"/>
    <x v="59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7.8800000000000008"/>
    <n v="0"/>
    <n v="0"/>
    <n v="0"/>
    <n v="0"/>
    <n v="0"/>
    <n v="0"/>
    <n v="0"/>
    <n v="7.8800000000000016E-3"/>
    <n v="7.8800000000000016E-3"/>
    <n v="1.0000110000110001"/>
    <n v="0"/>
    <n v="7.8800000000000016E-3"/>
  </r>
  <r>
    <x v="9"/>
    <x v="59"/>
    <x v="61"/>
    <m/>
    <m/>
    <m/>
    <m/>
    <m/>
    <n v="0"/>
    <m/>
    <m/>
    <m/>
    <m/>
    <m/>
    <m/>
    <m/>
    <m/>
    <m/>
    <m/>
    <m/>
    <n v="1.19"/>
    <m/>
    <m/>
    <m/>
    <m/>
    <m/>
    <m/>
    <n v="0"/>
    <n v="1.1899999999999999E-3"/>
    <n v="1.1899999999999999E-3"/>
    <n v="1.0000110000110001"/>
    <n v="0"/>
    <n v="1.1899999999999999E-3"/>
  </r>
  <r>
    <x v="9"/>
    <x v="59"/>
    <x v="62"/>
    <m/>
    <m/>
    <n v="531.928"/>
    <n v="1.2789999999999999"/>
    <m/>
    <m/>
    <m/>
    <m/>
    <m/>
    <m/>
    <m/>
    <m/>
    <m/>
    <m/>
    <n v="508.89"/>
    <n v="1.29"/>
    <m/>
    <m/>
    <m/>
    <m/>
    <m/>
    <m/>
    <m/>
    <m/>
    <n v="0.53320699999999999"/>
    <n v="0.51017999999999997"/>
    <n v="-2.302700000000002E-2"/>
    <n v="0.95681414535067988"/>
    <n v="0.53320699999999999"/>
    <n v="0.51017999999999997"/>
  </r>
  <r>
    <x v="9"/>
    <x v="61"/>
    <x v="61"/>
    <m/>
    <m/>
    <m/>
    <m/>
    <m/>
    <n v="0"/>
    <m/>
    <m/>
    <m/>
    <m/>
    <m/>
    <m/>
    <m/>
    <m/>
    <m/>
    <m/>
    <m/>
    <n v="0.23"/>
    <m/>
    <m/>
    <m/>
    <m/>
    <m/>
    <m/>
    <n v="0"/>
    <n v="2.3000000000000001E-4"/>
    <n v="2.3000000000000001E-4"/>
    <n v="1.0000110000110001"/>
    <n v="0"/>
    <n v="2.3000000000000001E-4"/>
  </r>
  <r>
    <x v="9"/>
    <x v="62"/>
    <x v="61"/>
    <m/>
    <m/>
    <m/>
    <m/>
    <m/>
    <n v="0"/>
    <m/>
    <m/>
    <m/>
    <m/>
    <m/>
    <m/>
    <m/>
    <m/>
    <m/>
    <m/>
    <m/>
    <n v="0.86"/>
    <m/>
    <m/>
    <m/>
    <m/>
    <m/>
    <m/>
    <n v="0"/>
    <n v="8.5999999999999998E-4"/>
    <n v="8.5999999999999998E-4"/>
    <n v="1.0000110000110001"/>
    <n v="0"/>
    <n v="8.5999999999999998E-4"/>
  </r>
  <r>
    <x v="9"/>
    <x v="18"/>
    <x v="61"/>
    <m/>
    <m/>
    <m/>
    <m/>
    <m/>
    <n v="0"/>
    <m/>
    <m/>
    <m/>
    <m/>
    <m/>
    <m/>
    <m/>
    <m/>
    <m/>
    <m/>
    <m/>
    <n v="1.27"/>
    <m/>
    <m/>
    <m/>
    <m/>
    <m/>
    <m/>
    <n v="0"/>
    <n v="1.2700000000000001E-3"/>
    <n v="1.2700000000000001E-3"/>
    <n v="1.0000110000110001"/>
    <n v="0"/>
    <n v="1.2700000000000001E-3"/>
  </r>
  <r>
    <x v="9"/>
    <x v="18"/>
    <x v="62"/>
    <m/>
    <n v="0"/>
    <n v="0"/>
    <n v="0"/>
    <n v="0"/>
    <n v="534.71100000000001"/>
    <n v="534.71100000000001"/>
    <n v="534.71100000000001"/>
    <n v="534.71100000000001"/>
    <n v="534.71100000000001"/>
    <n v="534.71100000000001"/>
    <n v="534.71100000000001"/>
    <m/>
    <n v="0"/>
    <n v="0"/>
    <n v="0"/>
    <n v="0"/>
    <n v="0"/>
    <n v="0"/>
    <n v="0"/>
    <n v="0"/>
    <n v="0"/>
    <n v="0"/>
    <n v="0"/>
    <n v="0.53471100000000005"/>
    <n v="0"/>
    <n v="-0.53471100000000005"/>
    <n v="0"/>
    <n v="3.7429770000000007"/>
    <n v="0"/>
  </r>
  <r>
    <x v="9"/>
    <x v="63"/>
    <x v="64"/>
    <m/>
    <m/>
    <m/>
    <m/>
    <m/>
    <n v="0"/>
    <m/>
    <m/>
    <m/>
    <m/>
    <m/>
    <m/>
    <m/>
    <m/>
    <m/>
    <m/>
    <m/>
    <n v="122"/>
    <m/>
    <m/>
    <m/>
    <m/>
    <m/>
    <m/>
    <n v="0"/>
    <n v="0.122"/>
    <n v="0.122"/>
    <n v="1.0000110000110001"/>
    <n v="0"/>
    <n v="0.122"/>
  </r>
  <r>
    <x v="9"/>
    <x v="63"/>
    <x v="61"/>
    <m/>
    <m/>
    <m/>
    <m/>
    <m/>
    <n v="0"/>
    <m/>
    <m/>
    <m/>
    <m/>
    <m/>
    <m/>
    <m/>
    <m/>
    <m/>
    <m/>
    <m/>
    <n v="0.91"/>
    <m/>
    <m/>
    <m/>
    <m/>
    <m/>
    <m/>
    <n v="0"/>
    <n v="9.1E-4"/>
    <n v="9.1E-4"/>
    <n v="1.0000110000110001"/>
    <n v="0"/>
    <n v="9.1E-4"/>
  </r>
  <r>
    <x v="9"/>
    <x v="63"/>
    <x v="62"/>
    <m/>
    <m/>
    <m/>
    <m/>
    <m/>
    <n v="0"/>
    <m/>
    <m/>
    <m/>
    <m/>
    <m/>
    <m/>
    <m/>
    <m/>
    <m/>
    <m/>
    <m/>
    <n v="238.58"/>
    <m/>
    <m/>
    <m/>
    <m/>
    <m/>
    <m/>
    <n v="0"/>
    <n v="0.23858000000000001"/>
    <n v="0.23858000000000001"/>
    <n v="1.0000110000110001"/>
    <n v="0"/>
    <n v="0.23858000000000001"/>
  </r>
  <r>
    <x v="9"/>
    <x v="64"/>
    <x v="61"/>
    <m/>
    <m/>
    <m/>
    <m/>
    <m/>
    <n v="0"/>
    <m/>
    <m/>
    <m/>
    <m/>
    <m/>
    <m/>
    <m/>
    <m/>
    <m/>
    <m/>
    <m/>
    <n v="10.37"/>
    <m/>
    <m/>
    <m/>
    <m/>
    <m/>
    <m/>
    <n v="0"/>
    <n v="1.0369999999999999E-2"/>
    <n v="1.0369999999999999E-2"/>
    <n v="1.0000110000110001"/>
    <n v="0"/>
    <n v="1.0369999999999999E-2"/>
  </r>
  <r>
    <x v="9"/>
    <x v="19"/>
    <x v="61"/>
    <m/>
    <m/>
    <m/>
    <m/>
    <m/>
    <n v="0"/>
    <m/>
    <m/>
    <m/>
    <m/>
    <m/>
    <m/>
    <m/>
    <m/>
    <m/>
    <m/>
    <m/>
    <n v="0.31"/>
    <m/>
    <m/>
    <m/>
    <m/>
    <m/>
    <m/>
    <n v="0"/>
    <n v="3.1E-4"/>
    <n v="3.1E-4"/>
    <n v="1.0000110000110001"/>
    <n v="0"/>
    <n v="3.1E-4"/>
  </r>
  <r>
    <x v="9"/>
    <x v="67"/>
    <x v="61"/>
    <m/>
    <m/>
    <m/>
    <m/>
    <m/>
    <n v="0"/>
    <m/>
    <m/>
    <m/>
    <m/>
    <m/>
    <m/>
    <m/>
    <m/>
    <m/>
    <m/>
    <m/>
    <n v="1.05"/>
    <m/>
    <m/>
    <m/>
    <m/>
    <m/>
    <m/>
    <n v="0"/>
    <n v="1.0500000000000002E-3"/>
    <n v="1.0500000000000002E-3"/>
    <n v="1.0000110000110001"/>
    <n v="0"/>
    <n v="1.0500000000000002E-3"/>
  </r>
  <r>
    <x v="9"/>
    <x v="67"/>
    <x v="62"/>
    <n v="0"/>
    <n v="0"/>
    <n v="0"/>
    <n v="0"/>
    <n v="0"/>
    <n v="31.491"/>
    <n v="31.491"/>
    <n v="31.491"/>
    <n v="31.491"/>
    <n v="31.491"/>
    <n v="31.491"/>
    <n v="31.491"/>
    <n v="0"/>
    <n v="0"/>
    <n v="0"/>
    <n v="0"/>
    <n v="0"/>
    <n v="0"/>
    <n v="0"/>
    <n v="0"/>
    <n v="0"/>
    <n v="0"/>
    <n v="0"/>
    <n v="0"/>
    <n v="3.1490999999999998E-2"/>
    <n v="0"/>
    <n v="-3.1490999999999998E-2"/>
    <n v="0"/>
    <n v="0.22043699999999997"/>
    <n v="0"/>
  </r>
  <r>
    <x v="9"/>
    <x v="20"/>
    <x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  <r>
    <x v="9"/>
    <x v="20"/>
    <x v="61"/>
    <m/>
    <m/>
    <m/>
    <m/>
    <n v="177.86799999999999"/>
    <n v="0"/>
    <m/>
    <m/>
    <m/>
    <m/>
    <m/>
    <m/>
    <m/>
    <m/>
    <m/>
    <m/>
    <n v="178.73"/>
    <n v="37.35"/>
    <m/>
    <m/>
    <m/>
    <m/>
    <m/>
    <m/>
    <n v="0.177868"/>
    <n v="0.21607999999999999"/>
    <n v="3.8211999999999996E-2"/>
    <n v="1.2148334720129534"/>
    <n v="0.177868"/>
    <n v="0.21607999999999999"/>
  </r>
  <r>
    <x v="9"/>
    <x v="20"/>
    <x v="62"/>
    <n v="0"/>
    <n v="11.265000000000001"/>
    <n v="0"/>
    <n v="0"/>
    <n v="0"/>
    <n v="1070.2049999999999"/>
    <n v="1070.2049999999999"/>
    <n v="1070.2049999999999"/>
    <n v="1070.2049999999999"/>
    <n v="1070.2049999999999"/>
    <n v="1070.2049999999999"/>
    <n v="1070.2049999999999"/>
    <n v="0"/>
    <n v="11.27"/>
    <n v="0"/>
    <n v="0"/>
    <n v="0"/>
    <n v="0"/>
    <n v="0"/>
    <n v="0"/>
    <n v="0"/>
    <n v="0"/>
    <n v="0"/>
    <n v="0"/>
    <n v="1.0814699999999999"/>
    <n v="1.1269999999999999E-2"/>
    <n v="-1.0702"/>
    <n v="1.0421001044874105E-2"/>
    <n v="7.5026999999999999"/>
    <n v="1.1269999999999999E-2"/>
  </r>
  <r>
    <x v="9"/>
    <x v="113"/>
    <x v="62"/>
    <m/>
    <m/>
    <m/>
    <m/>
    <m/>
    <n v="0"/>
    <m/>
    <m/>
    <m/>
    <m/>
    <m/>
    <m/>
    <m/>
    <m/>
    <m/>
    <m/>
    <m/>
    <n v="2165.89"/>
    <m/>
    <m/>
    <m/>
    <m/>
    <m/>
    <m/>
    <n v="0"/>
    <n v="2.1658900000000001"/>
    <n v="2.1658900000000001"/>
    <n v="1.0000110000110001"/>
    <n v="0"/>
    <n v="2.1658900000000001"/>
  </r>
  <r>
    <x v="9"/>
    <x v="22"/>
    <x v="64"/>
    <m/>
    <n v="150.49"/>
    <n v="1065.2560000000001"/>
    <m/>
    <m/>
    <m/>
    <m/>
    <m/>
    <m/>
    <m/>
    <m/>
    <m/>
    <m/>
    <n v="150.01"/>
    <n v="1057.58"/>
    <m/>
    <m/>
    <m/>
    <m/>
    <m/>
    <m/>
    <m/>
    <m/>
    <m/>
    <n v="1.215746"/>
    <n v="1.2075899999999999"/>
    <n v="-8.1560000000000521E-3"/>
    <n v="0.99329136184696465"/>
    <n v="1.215746"/>
    <n v="1.2075899999999999"/>
  </r>
  <r>
    <x v="9"/>
    <x v="23"/>
    <x v="61"/>
    <m/>
    <m/>
    <m/>
    <m/>
    <m/>
    <n v="0"/>
    <m/>
    <m/>
    <m/>
    <m/>
    <m/>
    <m/>
    <m/>
    <m/>
    <m/>
    <m/>
    <m/>
    <n v="0.17"/>
    <m/>
    <m/>
    <m/>
    <m/>
    <m/>
    <m/>
    <n v="0"/>
    <n v="1.7000000000000001E-4"/>
    <n v="1.7000000000000001E-4"/>
    <n v="1.0000110000110001"/>
    <n v="0"/>
    <n v="1.7000000000000001E-4"/>
  </r>
  <r>
    <x v="9"/>
    <x v="68"/>
    <x v="61"/>
    <m/>
    <m/>
    <m/>
    <m/>
    <m/>
    <n v="0"/>
    <m/>
    <m/>
    <m/>
    <m/>
    <m/>
    <m/>
    <m/>
    <m/>
    <m/>
    <m/>
    <m/>
    <n v="0.13"/>
    <m/>
    <m/>
    <m/>
    <m/>
    <m/>
    <m/>
    <n v="0"/>
    <n v="1.3000000000000002E-4"/>
    <n v="1.3000000000000002E-4"/>
    <n v="1.0000110000110001"/>
    <n v="0"/>
    <n v="1.3000000000000002E-4"/>
  </r>
  <r>
    <x v="9"/>
    <x v="68"/>
    <x v="62"/>
    <m/>
    <m/>
    <m/>
    <n v="0"/>
    <n v="0"/>
    <n v="104.051"/>
    <n v="104.051"/>
    <n v="104.051"/>
    <m/>
    <m/>
    <m/>
    <m/>
    <m/>
    <m/>
    <m/>
    <n v="0"/>
    <n v="0"/>
    <n v="0"/>
    <n v="0"/>
    <n v="0"/>
    <m/>
    <m/>
    <m/>
    <m/>
    <n v="0.104051"/>
    <n v="0"/>
    <n v="-0.104051"/>
    <n v="0"/>
    <n v="0.31215300000000001"/>
    <n v="0"/>
  </r>
  <r>
    <x v="9"/>
    <x v="69"/>
    <x v="61"/>
    <m/>
    <m/>
    <n v="2.3330000000000002"/>
    <m/>
    <n v="305.137"/>
    <n v="0"/>
    <m/>
    <m/>
    <m/>
    <m/>
    <m/>
    <m/>
    <m/>
    <m/>
    <n v="2.31"/>
    <m/>
    <n v="301.14"/>
    <n v="0.36"/>
    <m/>
    <m/>
    <m/>
    <m/>
    <m/>
    <m/>
    <n v="0.30747000000000002"/>
    <n v="0.30381000000000002"/>
    <n v="-3.6599999999999966E-3"/>
    <n v="0.98809639964874618"/>
    <n v="0.30747000000000002"/>
    <n v="0.30381000000000002"/>
  </r>
  <r>
    <x v="9"/>
    <x v="69"/>
    <x v="62"/>
    <m/>
    <n v="5.5940000000000003"/>
    <n v="6.359"/>
    <m/>
    <n v="5.2140000000000004"/>
    <n v="0"/>
    <m/>
    <m/>
    <m/>
    <m/>
    <m/>
    <m/>
    <m/>
    <n v="5.58"/>
    <n v="6.3100000000000005"/>
    <m/>
    <n v="5.24"/>
    <n v="21.380000000000003"/>
    <m/>
    <m/>
    <m/>
    <m/>
    <m/>
    <m/>
    <n v="1.7167000000000002E-2"/>
    <n v="3.8510000000000003E-2"/>
    <n v="2.1343000000000001E-2"/>
    <n v="2.2432574124774276"/>
    <n v="1.7167000000000002E-2"/>
    <n v="3.8510000000000003E-2"/>
  </r>
  <r>
    <x v="9"/>
    <x v="71"/>
    <x v="64"/>
    <m/>
    <m/>
    <n v="0"/>
    <n v="0"/>
    <n v="0"/>
    <n v="34.979999999999997"/>
    <n v="34.979999999999997"/>
    <n v="34.979999999999997"/>
    <n v="34.979999999999997"/>
    <n v="34.979999999999997"/>
    <n v="34.979999999999997"/>
    <n v="34.979999999999997"/>
    <m/>
    <m/>
    <n v="0"/>
    <n v="0"/>
    <n v="0"/>
    <n v="0"/>
    <n v="0"/>
    <n v="0"/>
    <n v="0"/>
    <n v="0"/>
    <n v="0"/>
    <n v="0"/>
    <n v="3.4979999999999997E-2"/>
    <n v="0"/>
    <n v="-3.4979999999999997E-2"/>
    <n v="0"/>
    <n v="0.24485999999999997"/>
    <n v="0"/>
  </r>
  <r>
    <x v="9"/>
    <x v="71"/>
    <x v="61"/>
    <m/>
    <m/>
    <m/>
    <m/>
    <m/>
    <n v="0"/>
    <m/>
    <m/>
    <m/>
    <m/>
    <m/>
    <m/>
    <m/>
    <m/>
    <m/>
    <m/>
    <m/>
    <n v="0.57999999999999996"/>
    <m/>
    <m/>
    <m/>
    <m/>
    <m/>
    <m/>
    <n v="0"/>
    <n v="5.8E-4"/>
    <n v="5.8E-4"/>
    <n v="1.0000110000110001"/>
    <n v="0"/>
    <n v="5.8E-4"/>
  </r>
  <r>
    <x v="9"/>
    <x v="72"/>
    <x v="64"/>
    <n v="198.06"/>
    <m/>
    <n v="401.48"/>
    <n v="51.7"/>
    <n v="183.57"/>
    <n v="0"/>
    <m/>
    <m/>
    <m/>
    <m/>
    <m/>
    <m/>
    <n v="198.06000000000003"/>
    <m/>
    <n v="401.48"/>
    <n v="51.7"/>
    <n v="183.57"/>
    <n v="482.42"/>
    <m/>
    <m/>
    <m/>
    <m/>
    <m/>
    <m/>
    <n v="0.83480999999999994"/>
    <n v="1.3172300000000003"/>
    <n v="0.4824200000000004"/>
    <n v="1.5778799966459438"/>
    <n v="0.83480999999999994"/>
    <n v="1.3172300000000003"/>
  </r>
  <r>
    <x v="9"/>
    <x v="72"/>
    <x v="61"/>
    <m/>
    <m/>
    <n v="19.89"/>
    <m/>
    <n v="1524.52"/>
    <n v="0"/>
    <m/>
    <m/>
    <m/>
    <m/>
    <m/>
    <m/>
    <m/>
    <m/>
    <n v="19.89"/>
    <m/>
    <n v="1524.52"/>
    <n v="9.99"/>
    <m/>
    <m/>
    <m/>
    <m/>
    <m/>
    <m/>
    <n v="1.5444100000000001"/>
    <n v="1.5544"/>
    <n v="9.9899999999999434E-3"/>
    <n v="1.0064684895850196"/>
    <n v="1.5444100000000001"/>
    <n v="1.5544"/>
  </r>
  <r>
    <x v="9"/>
    <x v="72"/>
    <x v="62"/>
    <n v="906.88"/>
    <n v="1819.4399999999998"/>
    <n v="1482.35"/>
    <n v="166.64000000000001"/>
    <n v="125.44"/>
    <n v="0"/>
    <m/>
    <m/>
    <m/>
    <m/>
    <m/>
    <m/>
    <n v="906.88"/>
    <n v="1819.4399999999998"/>
    <n v="1482.35"/>
    <n v="166.64000000000001"/>
    <n v="125.44"/>
    <n v="-321.82"/>
    <m/>
    <m/>
    <m/>
    <m/>
    <m/>
    <m/>
    <n v="4.50075"/>
    <n v="4.1789300000000003"/>
    <n v="-0.32181999999999977"/>
    <n v="0.92849636171749161"/>
    <n v="4.50075"/>
    <n v="4.1789300000000003"/>
  </r>
  <r>
    <x v="9"/>
    <x v="72"/>
    <x v="63"/>
    <m/>
    <m/>
    <n v="0"/>
    <n v="0"/>
    <n v="0"/>
    <n v="250"/>
    <n v="250"/>
    <n v="250"/>
    <n v="250"/>
    <n v="250"/>
    <n v="250"/>
    <n v="250"/>
    <m/>
    <m/>
    <n v="0"/>
    <n v="0"/>
    <n v="0"/>
    <n v="0"/>
    <n v="0"/>
    <n v="0"/>
    <n v="0"/>
    <n v="0"/>
    <n v="0"/>
    <n v="0"/>
    <n v="0.25"/>
    <n v="0"/>
    <n v="-0.25"/>
    <n v="0"/>
    <n v="1.75"/>
    <n v="0"/>
  </r>
  <r>
    <x v="9"/>
    <x v="73"/>
    <x v="61"/>
    <m/>
    <m/>
    <m/>
    <m/>
    <m/>
    <n v="0"/>
    <m/>
    <m/>
    <m/>
    <m/>
    <m/>
    <m/>
    <m/>
    <m/>
    <m/>
    <m/>
    <m/>
    <n v="0.17"/>
    <m/>
    <m/>
    <m/>
    <m/>
    <m/>
    <m/>
    <n v="0"/>
    <n v="1.7000000000000001E-4"/>
    <n v="1.7000000000000001E-4"/>
    <n v="1.0000110000110001"/>
    <n v="0"/>
    <n v="1.7000000000000001E-4"/>
  </r>
  <r>
    <x v="9"/>
    <x v="74"/>
    <x v="61"/>
    <m/>
    <m/>
    <m/>
    <m/>
    <m/>
    <n v="0"/>
    <m/>
    <m/>
    <m/>
    <m/>
    <m/>
    <m/>
    <m/>
    <m/>
    <m/>
    <m/>
    <m/>
    <n v="6.2"/>
    <m/>
    <m/>
    <m/>
    <m/>
    <m/>
    <m/>
    <n v="0"/>
    <n v="6.1999999999999998E-3"/>
    <n v="6.1999999999999998E-3"/>
    <n v="1.0000110000110001"/>
    <n v="0"/>
    <n v="6.1999999999999998E-3"/>
  </r>
  <r>
    <x v="9"/>
    <x v="74"/>
    <x v="62"/>
    <n v="186.72399999999999"/>
    <n v="1891.0430000000001"/>
    <n v="2075.7509999999997"/>
    <n v="2139.8609999999999"/>
    <n v="2092.701"/>
    <n v="775.13099999999997"/>
    <n v="775.13099999999997"/>
    <n v="775.13099999999997"/>
    <n v="775.13099999999997"/>
    <n v="775.13099999999997"/>
    <m/>
    <m/>
    <n v="0"/>
    <n v="1593.38"/>
    <n v="1300.6199999999999"/>
    <n v="1364.73"/>
    <n v="1317.57"/>
    <n v="1348.2"/>
    <n v="0"/>
    <n v="0"/>
    <n v="0"/>
    <n v="0"/>
    <m/>
    <m/>
    <n v="9.1612109999999998"/>
    <n v="6.9244999999999992"/>
    <n v="-2.2367110000000006"/>
    <n v="0.75584985434785856"/>
    <n v="12.261734999999996"/>
    <n v="6.9244999999999992"/>
  </r>
  <r>
    <x v="9"/>
    <x v="27"/>
    <x v="61"/>
    <m/>
    <m/>
    <m/>
    <m/>
    <m/>
    <n v="0"/>
    <m/>
    <m/>
    <m/>
    <m/>
    <m/>
    <m/>
    <m/>
    <m/>
    <m/>
    <m/>
    <m/>
    <n v="0.28999999999999998"/>
    <m/>
    <m/>
    <m/>
    <m/>
    <m/>
    <m/>
    <n v="0"/>
    <n v="2.9E-4"/>
    <n v="2.9E-4"/>
    <n v="1.0000110000110001"/>
    <n v="0"/>
    <n v="2.9E-4"/>
  </r>
  <r>
    <x v="9"/>
    <x v="27"/>
    <x v="62"/>
    <n v="0"/>
    <n v="0"/>
    <n v="0"/>
    <n v="0"/>
    <n v="0"/>
    <n v="575.25400000000002"/>
    <n v="575.25400000000002"/>
    <n v="575.25400000000002"/>
    <n v="575.25400000000002"/>
    <n v="575.25400000000002"/>
    <n v="575.25400000000002"/>
    <n v="575.25400000000002"/>
    <n v="0"/>
    <n v="0"/>
    <n v="0"/>
    <n v="0"/>
    <n v="0"/>
    <n v="0"/>
    <n v="0"/>
    <n v="0"/>
    <n v="0"/>
    <n v="0"/>
    <n v="0"/>
    <n v="0"/>
    <n v="0.57525400000000004"/>
    <n v="0"/>
    <n v="-0.57525400000000004"/>
    <n v="0"/>
    <n v="4.0267780000000002"/>
    <n v="0"/>
  </r>
  <r>
    <x v="9"/>
    <x v="77"/>
    <x v="61"/>
    <m/>
    <m/>
    <m/>
    <m/>
    <m/>
    <n v="0"/>
    <m/>
    <m/>
    <m/>
    <m/>
    <m/>
    <m/>
    <m/>
    <m/>
    <m/>
    <m/>
    <m/>
    <n v="1.23"/>
    <m/>
    <m/>
    <m/>
    <m/>
    <m/>
    <m/>
    <n v="0"/>
    <n v="1.23E-3"/>
    <n v="1.23E-3"/>
    <n v="1.0000110000110001"/>
    <n v="0"/>
    <n v="1.23E-3"/>
  </r>
  <r>
    <x v="9"/>
    <x v="77"/>
    <x v="62"/>
    <m/>
    <m/>
    <m/>
    <m/>
    <m/>
    <n v="0"/>
    <m/>
    <m/>
    <m/>
    <m/>
    <m/>
    <m/>
    <m/>
    <m/>
    <m/>
    <m/>
    <m/>
    <n v="462.84"/>
    <m/>
    <m/>
    <m/>
    <m/>
    <m/>
    <m/>
    <n v="0"/>
    <n v="0.46283999999999997"/>
    <n v="0.46283999999999997"/>
    <n v="1.0000110000110001"/>
    <n v="0"/>
    <n v="0.46283999999999997"/>
  </r>
  <r>
    <x v="9"/>
    <x v="78"/>
    <x v="64"/>
    <n v="0"/>
    <m/>
    <m/>
    <n v="0"/>
    <n v="115.01900000000001"/>
    <m/>
    <n v="0"/>
    <m/>
    <m/>
    <n v="0"/>
    <m/>
    <m/>
    <n v="0"/>
    <m/>
    <m/>
    <n v="0"/>
    <n v="114.08"/>
    <m/>
    <n v="0"/>
    <m/>
    <m/>
    <n v="0"/>
    <m/>
    <m/>
    <n v="0.11501900000000001"/>
    <n v="0.11408"/>
    <n v="-9.3900000000000927E-4"/>
    <n v="0.99183613142176497"/>
    <n v="0.11501900000000001"/>
    <n v="0.11408"/>
  </r>
  <r>
    <x v="9"/>
    <x v="78"/>
    <x v="61"/>
    <m/>
    <m/>
    <m/>
    <m/>
    <m/>
    <n v="0"/>
    <m/>
    <m/>
    <m/>
    <m/>
    <m/>
    <m/>
    <m/>
    <m/>
    <m/>
    <m/>
    <m/>
    <n v="0.53"/>
    <m/>
    <m/>
    <m/>
    <m/>
    <m/>
    <m/>
    <n v="0"/>
    <n v="5.2999999999999998E-4"/>
    <n v="5.2999999999999998E-4"/>
    <n v="1.0000110000110001"/>
    <n v="0"/>
    <n v="5.2999999999999998E-4"/>
  </r>
  <r>
    <x v="9"/>
    <x v="79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79"/>
    <x v="61"/>
    <m/>
    <m/>
    <m/>
    <m/>
    <m/>
    <n v="0"/>
    <m/>
    <m/>
    <m/>
    <m/>
    <m/>
    <m/>
    <m/>
    <m/>
    <m/>
    <m/>
    <m/>
    <n v="0.4"/>
    <m/>
    <m/>
    <m/>
    <m/>
    <m/>
    <m/>
    <n v="0"/>
    <n v="4.0000000000000002E-4"/>
    <n v="4.0000000000000002E-4"/>
    <n v="1.0000110000110001"/>
    <n v="0"/>
    <n v="4.0000000000000002E-4"/>
  </r>
  <r>
    <x v="9"/>
    <x v="79"/>
    <x v="62"/>
    <m/>
    <n v="22.425999999999998"/>
    <m/>
    <m/>
    <m/>
    <m/>
    <m/>
    <m/>
    <m/>
    <m/>
    <m/>
    <m/>
    <m/>
    <n v="22.52"/>
    <m/>
    <m/>
    <m/>
    <m/>
    <m/>
    <m/>
    <m/>
    <m/>
    <m/>
    <m/>
    <n v="2.2425999999999998E-2"/>
    <n v="2.2519999999999998E-2"/>
    <n v="9.4000000000000333E-5"/>
    <n v="1.0041915633639527"/>
    <n v="2.2425999999999998E-2"/>
    <n v="2.2519999999999998E-2"/>
  </r>
  <r>
    <x v="9"/>
    <x v="29"/>
    <x v="61"/>
    <m/>
    <m/>
    <m/>
    <m/>
    <m/>
    <n v="0"/>
    <m/>
    <m/>
    <m/>
    <m/>
    <m/>
    <m/>
    <m/>
    <m/>
    <m/>
    <m/>
    <m/>
    <n v="12.23"/>
    <m/>
    <m/>
    <m/>
    <m/>
    <m/>
    <m/>
    <n v="0"/>
    <n v="1.2230000000000001E-2"/>
    <n v="1.2230000000000001E-2"/>
    <n v="1.0000110000110001"/>
    <n v="0"/>
    <n v="1.2230000000000001E-2"/>
  </r>
  <r>
    <x v="9"/>
    <x v="29"/>
    <x v="62"/>
    <n v="0"/>
    <n v="807.78099999999995"/>
    <n v="1252.502"/>
    <n v="538.79200000000003"/>
    <n v="731.83799999999997"/>
    <n v="1275.838"/>
    <n v="1275.838"/>
    <n v="1275.838"/>
    <n v="1275.838"/>
    <n v="1275.838"/>
    <n v="1275.838"/>
    <n v="1275.838"/>
    <n v="0"/>
    <n v="824.72"/>
    <n v="1263.8400000000001"/>
    <n v="535.72"/>
    <n v="729.76"/>
    <n v="613.68000000000006"/>
    <n v="0"/>
    <n v="0"/>
    <n v="0"/>
    <n v="0"/>
    <n v="0"/>
    <n v="0"/>
    <n v="4.6067509999999992"/>
    <n v="3.9677200000000012"/>
    <n v="-0.63903099999999791"/>
    <n v="0.86128379849486159"/>
    <n v="12.261778999999999"/>
    <n v="3.9677200000000012"/>
  </r>
  <r>
    <x v="9"/>
    <x v="29"/>
    <x v="63"/>
    <m/>
    <n v="0"/>
    <n v="0"/>
    <n v="0"/>
    <n v="0"/>
    <n v="641.51"/>
    <n v="641.51"/>
    <n v="641.51"/>
    <n v="641.51"/>
    <n v="641.51"/>
    <n v="641.51"/>
    <n v="641.51"/>
    <m/>
    <n v="0"/>
    <n v="0"/>
    <n v="0"/>
    <n v="0"/>
    <n v="0"/>
    <n v="0"/>
    <n v="0"/>
    <n v="0"/>
    <n v="0"/>
    <n v="0"/>
    <n v="0"/>
    <n v="0.64151000000000002"/>
    <n v="0"/>
    <n v="-0.64151000000000002"/>
    <n v="0"/>
    <n v="4.4905700000000008"/>
    <n v="0"/>
  </r>
  <r>
    <x v="9"/>
    <x v="81"/>
    <x v="64"/>
    <n v="164.34799999999998"/>
    <n v="220.59700000000001"/>
    <m/>
    <m/>
    <m/>
    <m/>
    <m/>
    <m/>
    <m/>
    <m/>
    <m/>
    <m/>
    <n v="164.36"/>
    <n v="219.38"/>
    <m/>
    <m/>
    <m/>
    <m/>
    <m/>
    <m/>
    <m/>
    <m/>
    <m/>
    <m/>
    <n v="0.38494499999999998"/>
    <n v="0.38374000000000003"/>
    <n v="-1.2049999999999561E-3"/>
    <n v="0.99686968268194165"/>
    <n v="0.38494499999999998"/>
    <n v="0.38374000000000003"/>
  </r>
  <r>
    <x v="9"/>
    <x v="81"/>
    <x v="61"/>
    <m/>
    <m/>
    <n v="0.218"/>
    <m/>
    <n v="266.995"/>
    <m/>
    <m/>
    <m/>
    <m/>
    <m/>
    <m/>
    <m/>
    <m/>
    <m/>
    <n v="0.22"/>
    <m/>
    <n v="263.5"/>
    <m/>
    <m/>
    <m/>
    <m/>
    <m/>
    <m/>
    <m/>
    <n v="0.26721300000000003"/>
    <n v="0.26372000000000001"/>
    <n v="-3.4930000000000239E-3"/>
    <n v="0.98692803119608696"/>
    <n v="0.26721300000000003"/>
    <n v="0.26372000000000001"/>
  </r>
  <r>
    <x v="9"/>
    <x v="81"/>
    <x v="62"/>
    <m/>
    <n v="1.0169999999999999"/>
    <n v="1.1539999999999999"/>
    <m/>
    <m/>
    <m/>
    <m/>
    <m/>
    <m/>
    <m/>
    <m/>
    <m/>
    <m/>
    <n v="1.01"/>
    <n v="1.1499999999999999"/>
    <m/>
    <m/>
    <m/>
    <m/>
    <m/>
    <m/>
    <m/>
    <m/>
    <m/>
    <n v="2.1709999999999998E-3"/>
    <n v="2.16E-3"/>
    <n v="-1.0999999999999725E-5"/>
    <n v="0.99493321050207295"/>
    <n v="2.1709999999999998E-3"/>
    <n v="2.16E-3"/>
  </r>
  <r>
    <x v="9"/>
    <x v="82"/>
    <x v="61"/>
    <m/>
    <m/>
    <n v="0.50900000000000001"/>
    <m/>
    <m/>
    <n v="0"/>
    <m/>
    <m/>
    <m/>
    <m/>
    <m/>
    <m/>
    <m/>
    <m/>
    <n v="0.53"/>
    <m/>
    <m/>
    <n v="0.39"/>
    <m/>
    <m/>
    <m/>
    <m/>
    <m/>
    <m/>
    <n v="5.0900000000000001E-4"/>
    <n v="9.2000000000000003E-4"/>
    <n v="4.1100000000000002E-4"/>
    <n v="1.8074656188605107"/>
    <n v="5.0900000000000001E-4"/>
    <n v="9.2000000000000003E-4"/>
  </r>
  <r>
    <x v="9"/>
    <x v="82"/>
    <x v="62"/>
    <m/>
    <n v="2.448"/>
    <n v="2.835"/>
    <m/>
    <n v="2.4"/>
    <n v="0"/>
    <m/>
    <m/>
    <m/>
    <m/>
    <m/>
    <m/>
    <m/>
    <n v="2.5299999999999998"/>
    <n v="2.8600000000000003"/>
    <m/>
    <n v="2.38"/>
    <n v="8.56"/>
    <m/>
    <m/>
    <m/>
    <m/>
    <m/>
    <m/>
    <n v="7.6829999999999997E-3"/>
    <n v="1.6330000000000001E-2"/>
    <n v="8.6470000000000019E-3"/>
    <n v="2.125471820903293"/>
    <n v="7.6829999999999997E-3"/>
    <n v="1.6330000000000001E-2"/>
  </r>
  <r>
    <x v="9"/>
    <x v="83"/>
    <x v="61"/>
    <m/>
    <m/>
    <m/>
    <m/>
    <m/>
    <n v="0"/>
    <m/>
    <m/>
    <m/>
    <m/>
    <m/>
    <m/>
    <m/>
    <m/>
    <m/>
    <m/>
    <m/>
    <n v="0.53"/>
    <m/>
    <m/>
    <m/>
    <m/>
    <m/>
    <m/>
    <n v="0"/>
    <n v="5.2999999999999998E-4"/>
    <n v="5.2999999999999998E-4"/>
    <n v="1.0000110000110001"/>
    <n v="0"/>
    <n v="5.2999999999999998E-4"/>
  </r>
  <r>
    <x v="9"/>
    <x v="30"/>
    <x v="61"/>
    <m/>
    <m/>
    <n v="2.29"/>
    <m/>
    <m/>
    <n v="0"/>
    <m/>
    <m/>
    <m/>
    <m/>
    <m/>
    <m/>
    <m/>
    <m/>
    <n v="2.29"/>
    <m/>
    <m/>
    <n v="7.85"/>
    <m/>
    <m/>
    <m/>
    <m/>
    <m/>
    <m/>
    <n v="2.2899999999999999E-3"/>
    <n v="1.014E-2"/>
    <n v="7.8499999999999993E-3"/>
    <n v="4.427947598253275"/>
    <n v="2.2899999999999999E-3"/>
    <n v="1.014E-2"/>
  </r>
  <r>
    <x v="9"/>
    <x v="30"/>
    <x v="62"/>
    <n v="0"/>
    <n v="2484.96"/>
    <n v="3791.55"/>
    <n v="2410.69"/>
    <n v="3283.81"/>
    <n v="3474"/>
    <n v="3474"/>
    <n v="3474"/>
    <n v="3474"/>
    <n v="3474"/>
    <n v="3474"/>
    <n v="3474"/>
    <n v="0"/>
    <n v="2484.9600000000005"/>
    <n v="3816.0399999999995"/>
    <n v="2410.69"/>
    <n v="3283.81"/>
    <n v="2761.48"/>
    <n v="0"/>
    <n v="0"/>
    <n v="0"/>
    <n v="0"/>
    <n v="0"/>
    <n v="0"/>
    <n v="15.44501"/>
    <n v="14.75698"/>
    <n v="-0.68802999999999948"/>
    <n v="0.95545292622018374"/>
    <n v="36.289010000000005"/>
    <n v="14.75698"/>
  </r>
  <r>
    <x v="9"/>
    <x v="86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86"/>
    <x v="61"/>
    <m/>
    <m/>
    <m/>
    <m/>
    <m/>
    <n v="0"/>
    <m/>
    <m/>
    <m/>
    <m/>
    <m/>
    <m/>
    <m/>
    <m/>
    <m/>
    <m/>
    <m/>
    <n v="0.05"/>
    <m/>
    <m/>
    <m/>
    <m/>
    <m/>
    <m/>
    <n v="0"/>
    <n v="5.0000000000000002E-5"/>
    <n v="5.0000000000000002E-5"/>
    <n v="1.0000110000110001"/>
    <n v="0"/>
    <n v="5.0000000000000002E-5"/>
  </r>
  <r>
    <x v="9"/>
    <x v="87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87"/>
    <x v="61"/>
    <m/>
    <m/>
    <m/>
    <m/>
    <m/>
    <n v="0"/>
    <m/>
    <m/>
    <m/>
    <m/>
    <m/>
    <m/>
    <m/>
    <m/>
    <m/>
    <m/>
    <m/>
    <n v="4.32"/>
    <m/>
    <m/>
    <m/>
    <m/>
    <m/>
    <m/>
    <n v="0"/>
    <n v="4.3200000000000001E-3"/>
    <n v="4.3200000000000001E-3"/>
    <n v="1.0000110000110001"/>
    <n v="0"/>
    <n v="4.3200000000000001E-3"/>
  </r>
  <r>
    <x v="9"/>
    <x v="88"/>
    <x v="64"/>
    <n v="0"/>
    <m/>
    <m/>
    <m/>
    <m/>
    <m/>
    <m/>
    <m/>
    <m/>
    <m/>
    <m/>
    <m/>
    <n v="0"/>
    <m/>
    <m/>
    <m/>
    <m/>
    <m/>
    <m/>
    <m/>
    <m/>
    <m/>
    <m/>
    <m/>
    <n v="0"/>
    <n v="0"/>
    <n v="0"/>
    <n v="1.0000110000110001"/>
    <n v="0"/>
    <n v="0"/>
  </r>
  <r>
    <x v="9"/>
    <x v="89"/>
    <x v="61"/>
    <m/>
    <m/>
    <m/>
    <n v="0.30599999999999999"/>
    <m/>
    <m/>
    <m/>
    <m/>
    <m/>
    <m/>
    <m/>
    <m/>
    <m/>
    <m/>
    <m/>
    <n v="0.3"/>
    <m/>
    <m/>
    <m/>
    <m/>
    <m/>
    <m/>
    <m/>
    <m/>
    <n v="3.0600000000000001E-4"/>
    <n v="2.9999999999999997E-4"/>
    <n v="-6.0000000000000374E-6"/>
    <n v="0.98039215686274495"/>
    <n v="3.0600000000000001E-4"/>
    <n v="2.9999999999999997E-4"/>
  </r>
  <r>
    <x v="9"/>
    <x v="89"/>
    <x v="62"/>
    <m/>
    <n v="113.663"/>
    <n v="57.43"/>
    <n v="117.279"/>
    <n v="62.041000000000004"/>
    <n v="0"/>
    <m/>
    <m/>
    <m/>
    <m/>
    <m/>
    <m/>
    <m/>
    <n v="115.9"/>
    <n v="57.95"/>
    <n v="116.07"/>
    <n v="61.309999999999995"/>
    <n v="41.99"/>
    <m/>
    <m/>
    <m/>
    <m/>
    <m/>
    <m/>
    <n v="0.35041299999999997"/>
    <n v="0.39322000000000001"/>
    <n v="4.2807000000000039E-2"/>
    <n v="1.1221615636406186"/>
    <n v="0.35041299999999997"/>
    <n v="0.39322000000000001"/>
  </r>
  <r>
    <x v="9"/>
    <x v="90"/>
    <x v="61"/>
    <m/>
    <m/>
    <n v="3.36"/>
    <m/>
    <n v="621.1"/>
    <n v="0"/>
    <m/>
    <m/>
    <m/>
    <m/>
    <m/>
    <m/>
    <m/>
    <m/>
    <n v="3.36"/>
    <m/>
    <n v="621.1"/>
    <n v="1.55"/>
    <m/>
    <m/>
    <m/>
    <m/>
    <m/>
    <m/>
    <n v="0.62446000000000002"/>
    <n v="0.62600999999999996"/>
    <n v="1.5499999999999403E-3"/>
    <n v="1.0024821445729108"/>
    <n v="0.62446000000000002"/>
    <n v="0.62600999999999996"/>
  </r>
  <r>
    <x v="9"/>
    <x v="90"/>
    <x v="62"/>
    <m/>
    <n v="371.23"/>
    <n v="509.96000000000004"/>
    <n v="267.85000000000002"/>
    <n v="369.64"/>
    <n v="0"/>
    <m/>
    <m/>
    <m/>
    <m/>
    <m/>
    <m/>
    <m/>
    <n v="371.23"/>
    <n v="509.96000000000004"/>
    <n v="267.84999999999997"/>
    <n v="369.64000000000004"/>
    <n v="328.21000000000004"/>
    <m/>
    <m/>
    <m/>
    <m/>
    <m/>
    <m/>
    <n v="1.5186799999999998"/>
    <n v="1.8468900000000001"/>
    <n v="0.32821000000000033"/>
    <n v="1.2161153106645246"/>
    <n v="1.5186799999999998"/>
    <n v="1.8468900000000001"/>
  </r>
  <r>
    <x v="9"/>
    <x v="92"/>
    <x v="64"/>
    <n v="0"/>
    <n v="0"/>
    <n v="0"/>
    <n v="0"/>
    <n v="0"/>
    <n v="0"/>
    <m/>
    <m/>
    <m/>
    <m/>
    <m/>
    <m/>
    <n v="0"/>
    <n v="0"/>
    <n v="0"/>
    <n v="0"/>
    <n v="0"/>
    <n v="0"/>
    <m/>
    <m/>
    <m/>
    <m/>
    <m/>
    <m/>
    <n v="0"/>
    <n v="0"/>
    <n v="0"/>
    <n v="1.0000110000110001"/>
    <n v="0"/>
    <n v="0"/>
  </r>
  <r>
    <x v="9"/>
    <x v="92"/>
    <x v="62"/>
    <m/>
    <m/>
    <m/>
    <m/>
    <n v="706.89"/>
    <m/>
    <m/>
    <m/>
    <m/>
    <m/>
    <m/>
    <m/>
    <m/>
    <m/>
    <m/>
    <m/>
    <n v="706.89"/>
    <m/>
    <m/>
    <m/>
    <m/>
    <m/>
    <m/>
    <m/>
    <n v="0.70689000000000002"/>
    <n v="0.70689000000000002"/>
    <n v="0"/>
    <n v="1"/>
    <n v="0.70689000000000002"/>
    <n v="0.70689000000000002"/>
  </r>
  <r>
    <x v="9"/>
    <x v="93"/>
    <x v="64"/>
    <n v="0"/>
    <m/>
    <m/>
    <n v="0"/>
    <m/>
    <m/>
    <n v="0"/>
    <m/>
    <m/>
    <n v="0"/>
    <m/>
    <m/>
    <n v="0"/>
    <m/>
    <m/>
    <n v="0"/>
    <m/>
    <m/>
    <n v="0"/>
    <m/>
    <m/>
    <n v="0"/>
    <m/>
    <m/>
    <n v="0"/>
    <n v="0"/>
    <n v="0"/>
    <n v="1.0000110000110001"/>
    <n v="0"/>
    <n v="0"/>
  </r>
  <r>
    <x v="9"/>
    <x v="93"/>
    <x v="61"/>
    <m/>
    <m/>
    <m/>
    <n v="0.95899999999999996"/>
    <m/>
    <n v="0"/>
    <m/>
    <m/>
    <m/>
    <m/>
    <m/>
    <m/>
    <m/>
    <m/>
    <m/>
    <n v="0.94"/>
    <m/>
    <n v="7.78"/>
    <m/>
    <m/>
    <m/>
    <m/>
    <m/>
    <m/>
    <n v="9.59E-4"/>
    <n v="8.7200000000000003E-3"/>
    <n v="7.7610000000000005E-3"/>
    <n v="9.0928050052137639"/>
    <n v="9.59E-4"/>
    <n v="8.7200000000000003E-3"/>
  </r>
  <r>
    <x v="9"/>
    <x v="93"/>
    <x v="62"/>
    <n v="0"/>
    <n v="397.07"/>
    <n v="183.23400000000001"/>
    <n v="372.88799999999998"/>
    <n v="193.87599999999998"/>
    <n v="316.44100000000003"/>
    <n v="316.44100000000003"/>
    <n v="316.44100000000003"/>
    <n v="316.44100000000003"/>
    <n v="316.44100000000003"/>
    <n v="316.44100000000003"/>
    <n v="316.44100000000003"/>
    <n v="0"/>
    <n v="409.45000000000005"/>
    <n v="182.21"/>
    <n v="366.51"/>
    <n v="193.57"/>
    <n v="353.98"/>
    <n v="0"/>
    <n v="0"/>
    <n v="0"/>
    <n v="0"/>
    <n v="0"/>
    <n v="0"/>
    <n v="1.4635089999999999"/>
    <n v="1.5057199999999999"/>
    <n v="4.2210999999999999E-2"/>
    <n v="1.0288423234841739"/>
    <n v="3.3621549999999996"/>
    <n v="1.5057199999999999"/>
  </r>
  <r>
    <x v="9"/>
    <x v="93"/>
    <x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000011000011000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 " missingCaption=" 0" updatedVersion="5" minRefreshableVersion="3" itemPrintTitles="1" createdVersion="4" indent="0" outline="1" outlineData="1" multipleFieldFilters="0" rowHeaderCaption="By theme and project_x000a_(click on (+) for project detail)">
  <location ref="Q19:U37" firstHeaderRow="1" firstDataRow="2" firstDataCol="1" rowPageCount="1" colPageCount="1"/>
  <pivotFields count="35">
    <pivotField axis="axisRow" showAll="0">
      <items count="32">
        <item m="1" x="30"/>
        <item m="1" x="25"/>
        <item m="1" x="16"/>
        <item m="1" x="18"/>
        <item m="1" x="29"/>
        <item m="1" x="27"/>
        <item m="1" x="11"/>
        <item m="1" x="17"/>
        <item m="1" x="20"/>
        <item m="1" x="15"/>
        <item m="1" x="19"/>
        <item sd="0" m="1" x="23"/>
        <item sd="0" m="1" x="28"/>
        <item sd="0" m="1" x="13"/>
        <item sd="0" m="1" x="14"/>
        <item m="1" x="24"/>
        <item sd="0" m="1" x="22"/>
        <item sd="0" m="1" x="21"/>
        <item sd="0" m="1" x="12"/>
        <item sd="0" m="1" x="10"/>
        <item sd="0" m="1" x="26"/>
        <item x="0"/>
        <item x="2"/>
        <item x="3"/>
        <item x="4"/>
        <item x="5"/>
        <item x="6"/>
        <item x="7"/>
        <item x="8"/>
        <item x="9"/>
        <item x="1"/>
        <item t="default"/>
      </items>
    </pivotField>
    <pivotField axis="axisPage" showAll="0">
      <items count="232">
        <item m="1" x="223"/>
        <item m="1" x="209"/>
        <item m="1" x="222"/>
        <item m="1" x="164"/>
        <item m="1" x="202"/>
        <item m="1" x="127"/>
        <item m="1" x="129"/>
        <item m="1" x="130"/>
        <item m="1" x="169"/>
        <item m="1" x="128"/>
        <item m="1" x="191"/>
        <item m="1" x="123"/>
        <item m="1" x="214"/>
        <item m="1" x="146"/>
        <item m="1" x="221"/>
        <item m="1" x="160"/>
        <item m="1" x="218"/>
        <item m="1" x="134"/>
        <item m="1" x="120"/>
        <item m="1" x="203"/>
        <item m="1" x="229"/>
        <item m="1" x="212"/>
        <item m="1" x="118"/>
        <item m="1" x="172"/>
        <item m="1" x="159"/>
        <item m="1" x="195"/>
        <item m="1" x="171"/>
        <item m="1" x="207"/>
        <item m="1" x="156"/>
        <item m="1" x="217"/>
        <item m="1" x="206"/>
        <item m="1" x="227"/>
        <item m="1" x="137"/>
        <item m="1" x="161"/>
        <item m="1" x="185"/>
        <item m="1" x="136"/>
        <item m="1" x="126"/>
        <item m="1" x="210"/>
        <item m="1" x="177"/>
        <item m="1" x="192"/>
        <item m="1" x="155"/>
        <item m="1" x="167"/>
        <item m="1" x="194"/>
        <item m="1" x="179"/>
        <item m="1" x="125"/>
        <item m="1" x="117"/>
        <item m="1" x="225"/>
        <item m="1" x="230"/>
        <item m="1" x="204"/>
        <item m="1" x="152"/>
        <item m="1" x="153"/>
        <item m="1" x="175"/>
        <item m="1" x="116"/>
        <item m="1" x="187"/>
        <item m="1" x="147"/>
        <item m="1" x="168"/>
        <item m="1" x="142"/>
        <item m="1" x="154"/>
        <item m="1" x="199"/>
        <item m="1" x="224"/>
        <item m="1" x="219"/>
        <item m="1" x="213"/>
        <item m="1" x="140"/>
        <item m="1" x="114"/>
        <item m="1" x="208"/>
        <item m="1" x="193"/>
        <item m="1" x="173"/>
        <item m="1" x="197"/>
        <item m="1" x="124"/>
        <item m="1" x="122"/>
        <item m="1" x="148"/>
        <item m="1" x="205"/>
        <item m="1" x="166"/>
        <item m="1" x="150"/>
        <item m="1" x="188"/>
        <item m="1" x="145"/>
        <item m="1" x="201"/>
        <item m="1" x="186"/>
        <item m="1" x="215"/>
        <item m="1" x="184"/>
        <item m="1" x="138"/>
        <item m="1" x="220"/>
        <item m="1" x="228"/>
        <item m="1" x="180"/>
        <item m="1" x="216"/>
        <item m="1" x="158"/>
        <item m="1" x="211"/>
        <item m="1" x="181"/>
        <item m="1" x="143"/>
        <item m="1" x="183"/>
        <item m="1" x="200"/>
        <item m="1" x="149"/>
        <item m="1" x="178"/>
        <item m="1" x="189"/>
        <item m="1" x="170"/>
        <item m="1" x="163"/>
        <item m="1" x="198"/>
        <item m="1" x="144"/>
        <item m="1" x="165"/>
        <item m="1" x="141"/>
        <item m="1" x="176"/>
        <item m="1" x="190"/>
        <item m="1" x="162"/>
        <item m="1" x="135"/>
        <item m="1" x="115"/>
        <item m="1" x="196"/>
        <item m="1" x="132"/>
        <item m="1" x="133"/>
        <item m="1" x="151"/>
        <item m="1" x="226"/>
        <item m="1" x="131"/>
        <item m="1" x="139"/>
        <item m="1" x="174"/>
        <item m="1" x="119"/>
        <item m="1" x="157"/>
        <item m="1" x="121"/>
        <item m="1" x="18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t="default"/>
      </items>
    </pivotField>
    <pivotField axis="axisRow" showAll="0">
      <items count="133">
        <item m="1" x="100"/>
        <item m="1" x="67"/>
        <item m="1" x="91"/>
        <item m="1" x="82"/>
        <item m="1" x="97"/>
        <item m="1" x="83"/>
        <item m="1" x="127"/>
        <item m="1" x="114"/>
        <item m="1" x="85"/>
        <item m="1" x="129"/>
        <item m="1" x="92"/>
        <item m="1" x="131"/>
        <item m="1" x="105"/>
        <item m="1" x="95"/>
        <item m="1" x="116"/>
        <item m="1" x="104"/>
        <item m="1" x="128"/>
        <item m="1" x="119"/>
        <item m="1" x="80"/>
        <item m="1" x="98"/>
        <item m="1" x="65"/>
        <item m="1" x="66"/>
        <item m="1" x="70"/>
        <item m="1" x="78"/>
        <item m="1" x="84"/>
        <item m="1" x="86"/>
        <item m="1" x="72"/>
        <item m="1" x="118"/>
        <item m="1" x="88"/>
        <item m="1" x="109"/>
        <item m="1" x="96"/>
        <item m="1" x="108"/>
        <item m="1" x="125"/>
        <item m="1" x="117"/>
        <item m="1" x="110"/>
        <item m="1" x="76"/>
        <item m="1" x="73"/>
        <item m="1" x="130"/>
        <item m="1" x="103"/>
        <item m="1" x="77"/>
        <item m="1" x="75"/>
        <item m="1" x="124"/>
        <item m="1" x="115"/>
        <item m="1" x="87"/>
        <item m="1" x="93"/>
        <item m="1" x="74"/>
        <item m="1" x="79"/>
        <item m="1" x="101"/>
        <item m="1" x="89"/>
        <item m="1" x="120"/>
        <item m="1" x="111"/>
        <item m="1" x="71"/>
        <item m="1" x="113"/>
        <item m="1" x="122"/>
        <item m="1" x="81"/>
        <item m="1" x="99"/>
        <item m="1" x="106"/>
        <item m="1" x="94"/>
        <item m="1" x="68"/>
        <item m="1" x="123"/>
        <item m="1" x="90"/>
        <item m="1" x="121"/>
        <item m="1" x="69"/>
        <item m="1" x="126"/>
        <item m="1" x="112"/>
        <item m="1" x="107"/>
        <item m="1" x="1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numFmtId="9" showAll="0"/>
    <pivotField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17">
    <i>
      <x v="22"/>
    </i>
    <i r="1">
      <x v="88"/>
    </i>
    <i r="1">
      <x v="92"/>
    </i>
    <i r="1">
      <x v="93"/>
    </i>
    <i r="1">
      <x v="94"/>
    </i>
    <i>
      <x v="29"/>
    </i>
    <i r="1">
      <x v="128"/>
    </i>
    <i r="1">
      <x v="129"/>
    </i>
    <i>
      <x v="30"/>
    </i>
    <i r="1">
      <x v="76"/>
    </i>
    <i r="1">
      <x v="77"/>
    </i>
    <i r="1">
      <x v="78"/>
    </i>
    <i r="1">
      <x v="81"/>
    </i>
    <i r="1">
      <x v="82"/>
    </i>
    <i r="1">
      <x v="83"/>
    </i>
    <i r="1">
      <x v="8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item="191" hier="-1"/>
  </pageFields>
  <dataFields count="4">
    <dataField name=" Actual" fld="28" baseField="0" baseItem="0" numFmtId="170"/>
    <dataField name=" Plan" fld="27" baseField="0" baseItem="0" numFmtId="170"/>
    <dataField name="Month Burn" fld="33" baseField="0" baseItem="11" numFmtId="9"/>
    <dataField name="FY _x000a_Burn" fld="34" baseField="0" baseItem="11" numFmtId="9"/>
  </dataFields>
  <formats count="261">
    <format dxfId="329">
      <pivotArea outline="0" collapsedLevelsAreSubtotals="1" fieldPosition="0"/>
    </format>
    <format dxfId="328">
      <pivotArea dataOnly="0" labelOnly="1" outline="0" fieldPosition="0">
        <references count="1">
          <reference field="1" count="0"/>
        </references>
      </pivotArea>
    </format>
    <format dxfId="327">
      <pivotArea collapsedLevelsAreSubtotals="1" fieldPosition="0">
        <references count="1">
          <reference field="0" count="1">
            <x v="1"/>
          </reference>
        </references>
      </pivotArea>
    </format>
    <format dxfId="326">
      <pivotArea collapsedLevelsAreSubtotals="1" fieldPosition="0">
        <references count="2">
          <reference field="0" count="1" selected="0">
            <x v="1"/>
          </reference>
          <reference field="2" count="2">
            <x v="36"/>
            <x v="37"/>
          </reference>
        </references>
      </pivotArea>
    </format>
    <format dxfId="325">
      <pivotArea collapsedLevelsAreSubtotals="1" fieldPosition="0">
        <references count="1">
          <reference field="0" count="1">
            <x v="2"/>
          </reference>
        </references>
      </pivotArea>
    </format>
    <format dxfId="324">
      <pivotArea collapsedLevelsAreSubtotals="1" fieldPosition="0">
        <references count="2">
          <reference field="0" count="1" selected="0">
            <x v="2"/>
          </reference>
          <reference field="2" count="1">
            <x v="58"/>
          </reference>
        </references>
      </pivotArea>
    </format>
    <format dxfId="323">
      <pivotArea collapsedLevelsAreSubtotals="1" fieldPosition="0">
        <references count="1">
          <reference field="0" count="1">
            <x v="8"/>
          </reference>
        </references>
      </pivotArea>
    </format>
    <format dxfId="322">
      <pivotArea collapsedLevelsAreSubtotals="1" fieldPosition="0">
        <references count="2">
          <reference field="0" count="1" selected="0">
            <x v="8"/>
          </reference>
          <reference field="2" count="2">
            <x v="56"/>
            <x v="57"/>
          </reference>
        </references>
      </pivotArea>
    </format>
    <format dxfId="321">
      <pivotArea collapsedLevelsAreSubtotals="1" fieldPosition="0">
        <references count="1">
          <reference field="0" count="1">
            <x v="10"/>
          </reference>
        </references>
      </pivotArea>
    </format>
    <format dxfId="320">
      <pivotArea collapsedLevelsAreSubtotals="1" fieldPosition="0">
        <references count="2">
          <reference field="0" count="1" selected="0">
            <x v="10"/>
          </reference>
          <reference field="2" count="5">
            <x v="36"/>
            <x v="37"/>
            <x v="56"/>
            <x v="57"/>
            <x v="58"/>
          </reference>
        </references>
      </pivotArea>
    </format>
    <format dxfId="319">
      <pivotArea dataOnly="0" labelOnly="1" fieldPosition="0">
        <references count="1">
          <reference field="0" count="4">
            <x v="1"/>
            <x v="2"/>
            <x v="8"/>
            <x v="10"/>
          </reference>
        </references>
      </pivotArea>
    </format>
    <format dxfId="318">
      <pivotArea outline="0" collapsedLevelsAreSubtotals="1" fieldPosition="0"/>
    </format>
    <format dxfId="317">
      <pivotArea dataOnly="0" labelOnly="1" outline="0" fieldPosition="0">
        <references count="1">
          <reference field="1" count="1">
            <x v="108"/>
          </reference>
        </references>
      </pivotArea>
    </format>
    <format dxfId="3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5">
      <pivotArea type="all" dataOnly="0" outline="0" fieldPosition="0"/>
    </format>
    <format dxfId="3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3">
      <pivotArea dataOnly="0" labelOnly="1" fieldPosition="0">
        <references count="1">
          <reference field="0" count="6">
            <x v="0"/>
            <x v="2"/>
            <x v="3"/>
            <x v="5"/>
            <x v="7"/>
            <x v="8"/>
          </reference>
        </references>
      </pivotArea>
    </format>
    <format dxfId="312">
      <pivotArea dataOnly="0" labelOnly="1" outline="0" fieldPosition="0">
        <references count="1">
          <reference field="1" count="1">
            <x v="108"/>
          </reference>
        </references>
      </pivotArea>
    </format>
    <format dxfId="311">
      <pivotArea dataOnly="0" labelOnly="1" fieldPosition="0">
        <references count="1">
          <reference field="2" count="0"/>
        </references>
      </pivotArea>
    </format>
    <format dxfId="310">
      <pivotArea outline="0" collapsedLevelsAreSubtotals="1" fieldPosition="0"/>
    </format>
    <format dxfId="309">
      <pivotArea dataOnly="0" labelOnly="1" fieldPosition="0">
        <references count="1">
          <reference field="0" count="3">
            <x v="2"/>
            <x v="6"/>
            <x v="8"/>
          </reference>
        </references>
      </pivotArea>
    </format>
    <format dxfId="308">
      <pivotArea dataOnly="0" labelOnly="1" fieldPosition="0">
        <references count="2">
          <reference field="0" count="1" selected="0">
            <x v="2"/>
          </reference>
          <reference field="2" count="20">
            <x v="0"/>
            <x v="1"/>
            <x v="2"/>
            <x v="3"/>
            <x v="4"/>
            <x v="5"/>
            <x v="6"/>
            <x v="7"/>
            <x v="8"/>
            <x v="45"/>
            <x v="48"/>
            <x v="49"/>
            <x v="51"/>
            <x v="52"/>
            <x v="53"/>
            <x v="54"/>
            <x v="55"/>
            <x v="56"/>
            <x v="57"/>
            <x v="58"/>
          </reference>
        </references>
      </pivotArea>
    </format>
    <format dxfId="307">
      <pivotArea outline="0" collapsedLevelsAreSubtotals="1" fieldPosition="0"/>
    </format>
    <format dxfId="306">
      <pivotArea type="all" dataOnly="0" outline="0" fieldPosition="0"/>
    </format>
    <format dxfId="305">
      <pivotArea type="all" dataOnly="0" outline="0" fieldPosition="0"/>
    </format>
    <format dxfId="304">
      <pivotArea field="0" type="button" dataOnly="0" labelOnly="1" outline="0" axis="axisRow" fieldPosition="0"/>
    </format>
    <format dxfId="3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1">
      <pivotArea dataOnly="0" labelOnly="1" outline="0" fieldPosition="0">
        <references count="1">
          <reference field="1" count="1">
            <x v="73"/>
          </reference>
        </references>
      </pivotArea>
    </format>
    <format dxfId="300">
      <pivotArea dataOnly="0" labelOnly="1" fieldPosition="0">
        <references count="1">
          <reference field="0" count="6">
            <x v="11"/>
            <x v="12"/>
            <x v="15"/>
            <x v="17"/>
            <x v="19"/>
            <x v="20"/>
          </reference>
        </references>
      </pivotArea>
    </format>
    <format dxfId="299">
      <pivotArea dataOnly="0" labelOnly="1" fieldPosition="0">
        <references count="2">
          <reference field="0" count="1" selected="0">
            <x v="11"/>
          </reference>
          <reference field="2" count="22">
            <x v="9"/>
            <x v="10"/>
            <x v="11"/>
            <x v="20"/>
            <x v="22"/>
            <x v="23"/>
            <x v="25"/>
            <x v="43"/>
            <x v="48"/>
            <x v="49"/>
            <x v="50"/>
            <x v="51"/>
            <x v="52"/>
            <x v="54"/>
            <x v="55"/>
            <x v="56"/>
            <x v="57"/>
            <x v="58"/>
            <x v="59"/>
            <x v="61"/>
            <x v="62"/>
            <x v="63"/>
          </reference>
        </references>
      </pivotArea>
    </format>
    <format dxfId="298">
      <pivotArea field="1" type="button" dataOnly="0" labelOnly="1" outline="0" axis="axisPage" fieldPosition="0"/>
    </format>
    <format dxfId="297">
      <pivotArea dataOnly="0" labelOnly="1" outline="0" fieldPosition="0">
        <references count="1">
          <reference field="1" count="1">
            <x v="13"/>
          </reference>
        </references>
      </pivotArea>
    </format>
    <format dxfId="296">
      <pivotArea outline="0" collapsedLevelsAreSubtotals="1" fieldPosition="0"/>
    </format>
    <format dxfId="295">
      <pivotArea dataOnly="0" labelOnly="1" fieldPosition="0">
        <references count="1">
          <reference field="0" count="3">
            <x v="14"/>
            <x v="19"/>
            <x v="20"/>
          </reference>
        </references>
      </pivotArea>
    </format>
    <format dxfId="294">
      <pivotArea dataOnly="0" labelOnly="1" fieldPosition="0">
        <references count="2">
          <reference field="0" count="1" selected="0">
            <x v="14"/>
          </reference>
          <reference field="2" count="7">
            <x v="28"/>
            <x v="49"/>
            <x v="51"/>
            <x v="52"/>
            <x v="56"/>
            <x v="57"/>
            <x v="62"/>
          </reference>
        </references>
      </pivotArea>
    </format>
    <format dxfId="2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2">
      <pivotArea type="all" dataOnly="0" outline="0" fieldPosition="0"/>
    </format>
    <format dxfId="291">
      <pivotArea type="all" dataOnly="0" outline="0" fieldPosition="0"/>
    </format>
    <format dxfId="290">
      <pivotArea outline="0" fieldPosition="0">
        <references count="1">
          <reference field="4294967294" count="1">
            <x v="0"/>
          </reference>
        </references>
      </pivotArea>
    </format>
    <format dxfId="289">
      <pivotArea outline="0" fieldPosition="0">
        <references count="1">
          <reference field="4294967294" count="1">
            <x v="1"/>
          </reference>
        </references>
      </pivotArea>
    </format>
    <format dxfId="288">
      <pivotArea outline="0" fieldPosition="0">
        <references count="1">
          <reference field="4294967294" count="1">
            <x v="0"/>
          </reference>
        </references>
      </pivotArea>
    </format>
    <format dxfId="287">
      <pivotArea outline="0" fieldPosition="0">
        <references count="1">
          <reference field="4294967294" count="1">
            <x v="1"/>
          </reference>
        </references>
      </pivotArea>
    </format>
    <format dxfId="286">
      <pivotArea outline="0" fieldPosition="0">
        <references count="1">
          <reference field="4294967294" count="1">
            <x v="0"/>
          </reference>
        </references>
      </pivotArea>
    </format>
    <format dxfId="285">
      <pivotArea outline="0" fieldPosition="0">
        <references count="1">
          <reference field="4294967294" count="1">
            <x v="1"/>
          </reference>
        </references>
      </pivotArea>
    </format>
    <format dxfId="284">
      <pivotArea outline="0" fieldPosition="0">
        <references count="1">
          <reference field="4294967294" count="1">
            <x v="0"/>
          </reference>
        </references>
      </pivotArea>
    </format>
    <format dxfId="283">
      <pivotArea outline="0" fieldPosition="0">
        <references count="1">
          <reference field="4294967294" count="1">
            <x v="1"/>
          </reference>
        </references>
      </pivotArea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fieldPosition="0">
        <references count="1">
          <reference field="4294967294" count="1">
            <x v="1"/>
          </reference>
        </references>
      </pivotArea>
    </format>
    <format dxfId="280">
      <pivotArea outline="0" fieldPosition="0">
        <references count="1">
          <reference field="4294967294" count="1">
            <x v="0"/>
          </reference>
        </references>
      </pivotArea>
    </format>
    <format dxfId="279">
      <pivotArea outline="0" fieldPosition="0">
        <references count="1">
          <reference field="4294967294" count="1">
            <x v="1"/>
          </reference>
        </references>
      </pivotArea>
    </format>
    <format dxfId="278">
      <pivotArea outline="0" collapsedLevelsAreSubtotals="1" fieldPosition="0"/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fieldPosition="0">
        <references count="1">
          <reference field="4294967294" count="1">
            <x v="1"/>
          </reference>
        </references>
      </pivotArea>
    </format>
    <format dxfId="275">
      <pivotArea outline="0" fieldPosition="0">
        <references count="1">
          <reference field="4294967294" count="1">
            <x v="0"/>
          </reference>
        </references>
      </pivotArea>
    </format>
    <format dxfId="274">
      <pivotArea outline="0" fieldPosition="0">
        <references count="1">
          <reference field="4294967294" count="1">
            <x v="1"/>
          </reference>
        </references>
      </pivotArea>
    </format>
    <format dxfId="273">
      <pivotArea outline="0" fieldPosition="0">
        <references count="1">
          <reference field="4294967294" count="1">
            <x v="0"/>
          </reference>
        </references>
      </pivotArea>
    </format>
    <format dxfId="272">
      <pivotArea outline="0" fieldPosition="0">
        <references count="1">
          <reference field="4294967294" count="1">
            <x v="1"/>
          </reference>
        </references>
      </pivotArea>
    </format>
    <format dxfId="271">
      <pivotArea outline="0" fieldPosition="0">
        <references count="1">
          <reference field="4294967294" count="1">
            <x v="0"/>
          </reference>
        </references>
      </pivotArea>
    </format>
    <format dxfId="270">
      <pivotArea outline="0" fieldPosition="0">
        <references count="1">
          <reference field="4294967294" count="1">
            <x v="1"/>
          </reference>
        </references>
      </pivotArea>
    </format>
    <format dxfId="269">
      <pivotArea outline="0" fieldPosition="0">
        <references count="1">
          <reference field="4294967294" count="1">
            <x v="0"/>
          </reference>
        </references>
      </pivotArea>
    </format>
    <format dxfId="268">
      <pivotArea outline="0" fieldPosition="0">
        <references count="1">
          <reference field="4294967294" count="1">
            <x v="1"/>
          </reference>
        </references>
      </pivotArea>
    </format>
    <format dxfId="267">
      <pivotArea outline="0" fieldPosition="0">
        <references count="1">
          <reference field="4294967294" count="1">
            <x v="0"/>
          </reference>
        </references>
      </pivotArea>
    </format>
    <format dxfId="266">
      <pivotArea outline="0" fieldPosition="0">
        <references count="1">
          <reference field="4294967294" count="1">
            <x v="1"/>
          </reference>
        </references>
      </pivotArea>
    </format>
    <format dxfId="265">
      <pivotArea outline="0" fieldPosition="0">
        <references count="1">
          <reference field="4294967294" count="1">
            <x v="0"/>
          </reference>
        </references>
      </pivotArea>
    </format>
    <format dxfId="264">
      <pivotArea outline="0" fieldPosition="0">
        <references count="1">
          <reference field="4294967294" count="1">
            <x v="1"/>
          </reference>
        </references>
      </pivotArea>
    </format>
    <format dxfId="263">
      <pivotArea outline="0" fieldPosition="0">
        <references count="1">
          <reference field="4294967294" count="1">
            <x v="0"/>
          </reference>
        </references>
      </pivotArea>
    </format>
    <format dxfId="262">
      <pivotArea outline="0" fieldPosition="0">
        <references count="1">
          <reference field="4294967294" count="1">
            <x v="1"/>
          </reference>
        </references>
      </pivotArea>
    </format>
    <format dxfId="261">
      <pivotArea outline="0" fieldPosition="0">
        <references count="1">
          <reference field="4294967294" count="1">
            <x v="0"/>
          </reference>
        </references>
      </pivotArea>
    </format>
    <format dxfId="260">
      <pivotArea outline="0" fieldPosition="0">
        <references count="1">
          <reference field="4294967294" count="1">
            <x v="1"/>
          </reference>
        </references>
      </pivotArea>
    </format>
    <format dxfId="259">
      <pivotArea outline="0" fieldPosition="0">
        <references count="1">
          <reference field="4294967294" count="1">
            <x v="0"/>
          </reference>
        </references>
      </pivotArea>
    </format>
    <format dxfId="258">
      <pivotArea outline="0" fieldPosition="0">
        <references count="1">
          <reference field="4294967294" count="1">
            <x v="1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fieldPosition="0">
        <references count="1">
          <reference field="4294967294" count="1">
            <x v="1"/>
          </reference>
        </references>
      </pivotArea>
    </format>
    <format dxfId="255">
      <pivotArea outline="0" fieldPosition="0">
        <references count="1">
          <reference field="4294967294" count="1">
            <x v="0"/>
          </reference>
        </references>
      </pivotArea>
    </format>
    <format dxfId="254">
      <pivotArea outline="0" fieldPosition="0">
        <references count="1">
          <reference field="4294967294" count="1">
            <x v="1"/>
          </reference>
        </references>
      </pivotArea>
    </format>
    <format dxfId="253">
      <pivotArea outline="0" fieldPosition="0">
        <references count="1">
          <reference field="4294967294" count="1">
            <x v="0"/>
          </reference>
        </references>
      </pivotArea>
    </format>
    <format dxfId="252">
      <pivotArea outline="0" fieldPosition="0">
        <references count="1">
          <reference field="4294967294" count="1">
            <x v="1"/>
          </reference>
        </references>
      </pivotArea>
    </format>
    <format dxfId="251">
      <pivotArea outline="0" fieldPosition="0">
        <references count="1">
          <reference field="4294967294" count="1">
            <x v="0"/>
          </reference>
        </references>
      </pivotArea>
    </format>
    <format dxfId="250">
      <pivotArea outline="0" fieldPosition="0">
        <references count="1">
          <reference field="4294967294" count="1">
            <x v="1"/>
          </reference>
        </references>
      </pivotArea>
    </format>
    <format dxfId="249">
      <pivotArea outline="0" fieldPosition="0">
        <references count="1">
          <reference field="4294967294" count="1">
            <x v="0"/>
          </reference>
        </references>
      </pivotArea>
    </format>
    <format dxfId="248">
      <pivotArea outline="0" fieldPosition="0">
        <references count="1">
          <reference field="4294967294" count="1">
            <x v="1"/>
          </reference>
        </references>
      </pivotArea>
    </format>
    <format dxfId="247">
      <pivotArea outline="0" fieldPosition="0">
        <references count="1">
          <reference field="4294967294" count="1">
            <x v="0"/>
          </reference>
        </references>
      </pivotArea>
    </format>
    <format dxfId="246">
      <pivotArea outline="0" fieldPosition="0">
        <references count="1">
          <reference field="4294967294" count="1">
            <x v="1"/>
          </reference>
        </references>
      </pivotArea>
    </format>
    <format dxfId="245">
      <pivotArea outline="0" fieldPosition="0">
        <references count="1">
          <reference field="4294967294" count="1">
            <x v="0"/>
          </reference>
        </references>
      </pivotArea>
    </format>
    <format dxfId="244">
      <pivotArea outline="0" fieldPosition="0">
        <references count="1">
          <reference field="4294967294" count="1">
            <x v="1"/>
          </reference>
        </references>
      </pivotArea>
    </format>
    <format dxfId="243">
      <pivotArea outline="0" fieldPosition="0">
        <references count="1">
          <reference field="4294967294" count="1">
            <x v="0"/>
          </reference>
        </references>
      </pivotArea>
    </format>
    <format dxfId="242">
      <pivotArea outline="0" fieldPosition="0">
        <references count="1">
          <reference field="4294967294" count="1">
            <x v="1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fieldPosition="0">
        <references count="1">
          <reference field="4294967294" count="1">
            <x v="1"/>
          </reference>
        </references>
      </pivotArea>
    </format>
    <format dxfId="239">
      <pivotArea outline="0" collapsedLevelsAreSubtotals="1" fieldPosition="0"/>
    </format>
    <format dxfId="238">
      <pivotArea dataOnly="0" labelOnly="1" fieldPosition="0">
        <references count="1">
          <reference field="0" count="5">
            <x v="13"/>
            <x v="17"/>
            <x v="18"/>
            <x v="19"/>
            <x v="20"/>
          </reference>
        </references>
      </pivotArea>
    </format>
    <format dxfId="237">
      <pivotArea dataOnly="0" labelOnly="1" grandRow="1" outline="0" fieldPosition="0"/>
    </format>
    <format dxfId="236">
      <pivotArea dataOnly="0" labelOnly="1" fieldPosition="0">
        <references count="2">
          <reference field="0" count="1" selected="0">
            <x v="13"/>
          </reference>
          <reference field="2" count="14">
            <x v="12"/>
            <x v="13"/>
            <x v="14"/>
            <x v="48"/>
            <x v="49"/>
            <x v="51"/>
            <x v="52"/>
            <x v="53"/>
            <x v="54"/>
            <x v="55"/>
            <x v="56"/>
            <x v="57"/>
            <x v="58"/>
            <x v="62"/>
          </reference>
        </references>
      </pivotArea>
    </format>
    <format dxfId="235">
      <pivotArea outline="0" fieldPosition="0">
        <references count="1">
          <reference field="4294967294" count="1">
            <x v="0"/>
          </reference>
        </references>
      </pivotArea>
    </format>
    <format dxfId="234">
      <pivotArea outline="0" fieldPosition="0">
        <references count="1">
          <reference field="4294967294" count="1">
            <x v="1"/>
          </reference>
        </references>
      </pivotArea>
    </format>
    <format dxfId="233">
      <pivotArea outline="0" fieldPosition="0">
        <references count="1">
          <reference field="4294967294" count="1">
            <x v="0"/>
          </reference>
        </references>
      </pivotArea>
    </format>
    <format dxfId="232">
      <pivotArea outline="0" fieldPosition="0">
        <references count="1">
          <reference field="4294967294" count="1">
            <x v="1"/>
          </reference>
        </references>
      </pivotArea>
    </format>
    <format dxfId="231">
      <pivotArea outline="0" fieldPosition="0">
        <references count="1">
          <reference field="4294967294" count="1">
            <x v="0"/>
          </reference>
        </references>
      </pivotArea>
    </format>
    <format dxfId="230">
      <pivotArea outline="0" fieldPosition="0">
        <references count="1">
          <reference field="4294967294" count="1">
            <x v="1"/>
          </reference>
        </references>
      </pivotArea>
    </format>
    <format dxfId="229">
      <pivotArea outline="0" fieldPosition="0">
        <references count="1">
          <reference field="4294967294" count="1">
            <x v="0"/>
          </reference>
        </references>
      </pivotArea>
    </format>
    <format dxfId="228">
      <pivotArea outline="0" fieldPosition="0">
        <references count="1">
          <reference field="4294967294" count="1">
            <x v="1"/>
          </reference>
        </references>
      </pivotArea>
    </format>
    <format dxfId="227">
      <pivotArea outline="0" fieldPosition="0">
        <references count="1">
          <reference field="4294967294" count="1">
            <x v="0"/>
          </reference>
        </references>
      </pivotArea>
    </format>
    <format dxfId="226">
      <pivotArea outline="0" fieldPosition="0">
        <references count="1">
          <reference field="4294967294" count="1">
            <x v="1"/>
          </reference>
        </references>
      </pivotArea>
    </format>
    <format dxfId="225">
      <pivotArea outline="0" fieldPosition="0">
        <references count="1">
          <reference field="4294967294" count="1">
            <x v="0"/>
          </reference>
        </references>
      </pivotArea>
    </format>
    <format dxfId="224">
      <pivotArea outline="0" fieldPosition="0">
        <references count="1">
          <reference field="4294967294" count="1">
            <x v="1"/>
          </reference>
        </references>
      </pivotArea>
    </format>
    <format dxfId="223">
      <pivotArea outline="0" fieldPosition="0">
        <references count="1">
          <reference field="4294967294" count="1">
            <x v="0"/>
          </reference>
        </references>
      </pivotArea>
    </format>
    <format dxfId="222">
      <pivotArea outline="0" fieldPosition="0">
        <references count="1">
          <reference field="4294967294" count="1">
            <x v="1"/>
          </reference>
        </references>
      </pivotArea>
    </format>
    <format dxfId="221">
      <pivotArea outline="0" fieldPosition="0">
        <references count="1">
          <reference field="4294967294" count="1">
            <x v="0"/>
          </reference>
        </references>
      </pivotArea>
    </format>
    <format dxfId="220">
      <pivotArea outline="0" fieldPosition="0">
        <references count="1">
          <reference field="4294967294" count="1">
            <x v="1"/>
          </reference>
        </references>
      </pivotArea>
    </format>
    <format dxfId="219">
      <pivotArea outline="0" fieldPosition="0">
        <references count="1">
          <reference field="4294967294" count="1">
            <x v="0"/>
          </reference>
        </references>
      </pivotArea>
    </format>
    <format dxfId="218">
      <pivotArea outline="0" fieldPosition="0">
        <references count="1">
          <reference field="4294967294" count="1">
            <x v="1"/>
          </reference>
        </references>
      </pivotArea>
    </format>
    <format dxfId="217">
      <pivotArea outline="0" fieldPosition="0">
        <references count="1">
          <reference field="4294967294" count="1">
            <x v="0"/>
          </reference>
        </references>
      </pivotArea>
    </format>
    <format dxfId="216">
      <pivotArea outline="0" fieldPosition="0">
        <references count="1">
          <reference field="4294967294" count="1">
            <x v="1"/>
          </reference>
        </references>
      </pivotArea>
    </format>
    <format dxfId="215">
      <pivotArea outline="0" fieldPosition="0">
        <references count="1">
          <reference field="4294967294" count="1">
            <x v="0"/>
          </reference>
        </references>
      </pivotArea>
    </format>
    <format dxfId="214">
      <pivotArea outline="0" fieldPosition="0">
        <references count="1">
          <reference field="4294967294" count="1">
            <x v="1"/>
          </reference>
        </references>
      </pivotArea>
    </format>
    <format dxfId="213">
      <pivotArea outline="0" fieldPosition="0">
        <references count="1">
          <reference field="4294967294" count="1">
            <x v="0"/>
          </reference>
        </references>
      </pivotArea>
    </format>
    <format dxfId="212">
      <pivotArea outline="0" fieldPosition="0">
        <references count="1">
          <reference field="4294967294" count="1">
            <x v="1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fieldPosition="0">
        <references count="1">
          <reference field="4294967294" count="1">
            <x v="1"/>
          </reference>
        </references>
      </pivotArea>
    </format>
    <format dxfId="209">
      <pivotArea outline="0" fieldPosition="0">
        <references count="1">
          <reference field="4294967294" count="1">
            <x v="0"/>
          </reference>
        </references>
      </pivotArea>
    </format>
    <format dxfId="208">
      <pivotArea outline="0" fieldPosition="0">
        <references count="1">
          <reference field="4294967294" count="1">
            <x v="1"/>
          </reference>
        </references>
      </pivotArea>
    </format>
    <format dxfId="207">
      <pivotArea dataOnly="0" labelOnly="1" fieldPosition="0">
        <references count="2">
          <reference field="0" count="1" selected="0">
            <x v="11"/>
          </reference>
          <reference field="2" count="1">
            <x v="11"/>
          </reference>
        </references>
      </pivotArea>
    </format>
    <format dxfId="206">
      <pivotArea outline="0" fieldPosition="0">
        <references count="1">
          <reference field="4294967294" count="1">
            <x v="2"/>
          </reference>
        </references>
      </pivotArea>
    </format>
    <format dxfId="205">
      <pivotArea outline="0" fieldPosition="0">
        <references count="1">
          <reference field="4294967294" count="1">
            <x v="3"/>
          </reference>
        </references>
      </pivotArea>
    </format>
    <format dxfId="20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0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2">
      <pivotArea outline="0" collapsedLevelsAreSubtotals="1" fieldPosition="0">
        <references count="1">
          <reference field="4294967294" count="2" selected="0">
            <x v="2"/>
            <x v="3"/>
          </reference>
        </references>
      </pivotArea>
    </format>
    <format dxfId="201">
      <pivotArea field="0" type="button" dataOnly="0" labelOnly="1" outline="0" axis="axisRow" fieldPosition="0"/>
    </format>
    <format dxfId="20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99">
      <pivotArea outline="0" collapsedLevelsAreSubtotals="1" fieldPosition="0"/>
    </format>
    <format dxfId="19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9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fieldPosition="0">
        <references count="1">
          <reference field="4294967294" count="1">
            <x v="1"/>
          </reference>
        </references>
      </pivotArea>
    </format>
    <format dxfId="193">
      <pivotArea outline="0" fieldPosition="0">
        <references count="1">
          <reference field="4294967294" count="1">
            <x v="2"/>
          </reference>
        </references>
      </pivotArea>
    </format>
    <format dxfId="192">
      <pivotArea outline="0" fieldPosition="0">
        <references count="1">
          <reference field="4294967294" count="1">
            <x v="3"/>
          </reference>
        </references>
      </pivotArea>
    </format>
    <format dxfId="191">
      <pivotArea outline="0" fieldPosition="0">
        <references count="1">
          <reference field="4294967294" count="1">
            <x v="0"/>
          </reference>
        </references>
      </pivotArea>
    </format>
    <format dxfId="190">
      <pivotArea outline="0" fieldPosition="0">
        <references count="1">
          <reference field="4294967294" count="1">
            <x v="1"/>
          </reference>
        </references>
      </pivotArea>
    </format>
    <format dxfId="189">
      <pivotArea outline="0" fieldPosition="0">
        <references count="1">
          <reference field="4294967294" count="1">
            <x v="2"/>
          </reference>
        </references>
      </pivotArea>
    </format>
    <format dxfId="188">
      <pivotArea outline="0" fieldPosition="0">
        <references count="1">
          <reference field="4294967294" count="1">
            <x v="3"/>
          </reference>
        </references>
      </pivotArea>
    </format>
    <format dxfId="187">
      <pivotArea outline="0" fieldPosition="0">
        <references count="1">
          <reference field="4294967294" count="1">
            <x v="2"/>
          </reference>
        </references>
      </pivotArea>
    </format>
    <format dxfId="186">
      <pivotArea outline="0" fieldPosition="0">
        <references count="1">
          <reference field="4294967294" count="1">
            <x v="3"/>
          </reference>
        </references>
      </pivotArea>
    </format>
    <format dxfId="185">
      <pivotArea outline="0" fieldPosition="0">
        <references count="1">
          <reference field="4294967294" count="1">
            <x v="0"/>
          </reference>
        </references>
      </pivotArea>
    </format>
    <format dxfId="184">
      <pivotArea outline="0" fieldPosition="0">
        <references count="1">
          <reference field="4294967294" count="1">
            <x v="1"/>
          </reference>
        </references>
      </pivotArea>
    </format>
    <format dxfId="183">
      <pivotArea outline="0" fieldPosition="0">
        <references count="1">
          <reference field="4294967294" count="1">
            <x v="2"/>
          </reference>
        </references>
      </pivotArea>
    </format>
    <format dxfId="182">
      <pivotArea outline="0" fieldPosition="0">
        <references count="1">
          <reference field="4294967294" count="1">
            <x v="3"/>
          </reference>
        </references>
      </pivotArea>
    </format>
    <format dxfId="181">
      <pivotArea outline="0" fieldPosition="0">
        <references count="1">
          <reference field="4294967294" count="1">
            <x v="0"/>
          </reference>
        </references>
      </pivotArea>
    </format>
    <format dxfId="180">
      <pivotArea outline="0" fieldPosition="0">
        <references count="1">
          <reference field="4294967294" count="1">
            <x v="1"/>
          </reference>
        </references>
      </pivotArea>
    </format>
    <format dxfId="179">
      <pivotArea outline="0" fieldPosition="0">
        <references count="1">
          <reference field="4294967294" count="1">
            <x v="2"/>
          </reference>
        </references>
      </pivotArea>
    </format>
    <format dxfId="178">
      <pivotArea outline="0" fieldPosition="0">
        <references count="1">
          <reference field="4294967294" count="1">
            <x v="3"/>
          </reference>
        </references>
      </pivotArea>
    </format>
    <format dxfId="177">
      <pivotArea outline="0" fieldPosition="0">
        <references count="1">
          <reference field="4294967294" count="1">
            <x v="0"/>
          </reference>
        </references>
      </pivotArea>
    </format>
    <format dxfId="176">
      <pivotArea outline="0" fieldPosition="0">
        <references count="1">
          <reference field="4294967294" count="1">
            <x v="1"/>
          </reference>
        </references>
      </pivotArea>
    </format>
    <format dxfId="175">
      <pivotArea outline="0" fieldPosition="0">
        <references count="1">
          <reference field="4294967294" count="1">
            <x v="2"/>
          </reference>
        </references>
      </pivotArea>
    </format>
    <format dxfId="174">
      <pivotArea outline="0" fieldPosition="0">
        <references count="1">
          <reference field="4294967294" count="1">
            <x v="3"/>
          </reference>
        </references>
      </pivotArea>
    </format>
    <format dxfId="173">
      <pivotArea outline="0" fieldPosition="0">
        <references count="1">
          <reference field="4294967294" count="1">
            <x v="0"/>
          </reference>
        </references>
      </pivotArea>
    </format>
    <format dxfId="172">
      <pivotArea outline="0" fieldPosition="0">
        <references count="1">
          <reference field="4294967294" count="1">
            <x v="1"/>
          </reference>
        </references>
      </pivotArea>
    </format>
    <format dxfId="171">
      <pivotArea outline="0" fieldPosition="0">
        <references count="1">
          <reference field="4294967294" count="1">
            <x v="2"/>
          </reference>
        </references>
      </pivotArea>
    </format>
    <format dxfId="170">
      <pivotArea outline="0" fieldPosition="0">
        <references count="1">
          <reference field="4294967294" count="1">
            <x v="3"/>
          </reference>
        </references>
      </pivotArea>
    </format>
    <format dxfId="169">
      <pivotArea outline="0" fieldPosition="0">
        <references count="1">
          <reference field="4294967294" count="1">
            <x v="0"/>
          </reference>
        </references>
      </pivotArea>
    </format>
    <format dxfId="168">
      <pivotArea outline="0" fieldPosition="0">
        <references count="1">
          <reference field="4294967294" count="1">
            <x v="1"/>
          </reference>
        </references>
      </pivotArea>
    </format>
    <format dxfId="167">
      <pivotArea outline="0" fieldPosition="0">
        <references count="1">
          <reference field="4294967294" count="1">
            <x v="2"/>
          </reference>
        </references>
      </pivotArea>
    </format>
    <format dxfId="166">
      <pivotArea outline="0" fieldPosition="0">
        <references count="1">
          <reference field="4294967294" count="1">
            <x v="3"/>
          </reference>
        </references>
      </pivotArea>
    </format>
    <format dxfId="165">
      <pivotArea outline="0" fieldPosition="0">
        <references count="1">
          <reference field="4294967294" count="1">
            <x v="0"/>
          </reference>
        </references>
      </pivotArea>
    </format>
    <format dxfId="164">
      <pivotArea outline="0" fieldPosition="0">
        <references count="1">
          <reference field="4294967294" count="1">
            <x v="1"/>
          </reference>
        </references>
      </pivotArea>
    </format>
    <format dxfId="163">
      <pivotArea outline="0" fieldPosition="0">
        <references count="1">
          <reference field="4294967294" count="1">
            <x v="2"/>
          </reference>
        </references>
      </pivotArea>
    </format>
    <format dxfId="162">
      <pivotArea outline="0" fieldPosition="0">
        <references count="1">
          <reference field="4294967294" count="1">
            <x v="3"/>
          </reference>
        </references>
      </pivotArea>
    </format>
    <format dxfId="161">
      <pivotArea outline="0" fieldPosition="0">
        <references count="1">
          <reference field="4294967294" count="1">
            <x v="0"/>
          </reference>
        </references>
      </pivotArea>
    </format>
    <format dxfId="160">
      <pivotArea outline="0" fieldPosition="0">
        <references count="1">
          <reference field="4294967294" count="1">
            <x v="1"/>
          </reference>
        </references>
      </pivotArea>
    </format>
    <format dxfId="159">
      <pivotArea outline="0" fieldPosition="0">
        <references count="1">
          <reference field="4294967294" count="1">
            <x v="2"/>
          </reference>
        </references>
      </pivotArea>
    </format>
    <format dxfId="158">
      <pivotArea outline="0" fieldPosition="0">
        <references count="1">
          <reference field="4294967294" count="1">
            <x v="3"/>
          </reference>
        </references>
      </pivotArea>
    </format>
    <format dxfId="157">
      <pivotArea outline="0" fieldPosition="0">
        <references count="1">
          <reference field="4294967294" count="1">
            <x v="0"/>
          </reference>
        </references>
      </pivotArea>
    </format>
    <format dxfId="156">
      <pivotArea outline="0" fieldPosition="0">
        <references count="1">
          <reference field="4294967294" count="1">
            <x v="1"/>
          </reference>
        </references>
      </pivotArea>
    </format>
    <format dxfId="155">
      <pivotArea outline="0" fieldPosition="0">
        <references count="1">
          <reference field="4294967294" count="1">
            <x v="2"/>
          </reference>
        </references>
      </pivotArea>
    </format>
    <format dxfId="154">
      <pivotArea outline="0" fieldPosition="0">
        <references count="1">
          <reference field="4294967294" count="1">
            <x v="3"/>
          </reference>
        </references>
      </pivotArea>
    </format>
    <format dxfId="153">
      <pivotArea outline="0" fieldPosition="0">
        <references count="1">
          <reference field="4294967294" count="1">
            <x v="0"/>
          </reference>
        </references>
      </pivotArea>
    </format>
    <format dxfId="152">
      <pivotArea outline="0" fieldPosition="0">
        <references count="1">
          <reference field="4294967294" count="1">
            <x v="1"/>
          </reference>
        </references>
      </pivotArea>
    </format>
    <format dxfId="151">
      <pivotArea outline="0" fieldPosition="0">
        <references count="1">
          <reference field="4294967294" count="1">
            <x v="2"/>
          </reference>
        </references>
      </pivotArea>
    </format>
    <format dxfId="150">
      <pivotArea outline="0" fieldPosition="0">
        <references count="1">
          <reference field="4294967294" count="1">
            <x v="3"/>
          </reference>
        </references>
      </pivotArea>
    </format>
    <format dxfId="149">
      <pivotArea outline="0" fieldPosition="0">
        <references count="1">
          <reference field="4294967294" count="1">
            <x v="0"/>
          </reference>
        </references>
      </pivotArea>
    </format>
    <format dxfId="148">
      <pivotArea outline="0" fieldPosition="0">
        <references count="1">
          <reference field="4294967294" count="1">
            <x v="1"/>
          </reference>
        </references>
      </pivotArea>
    </format>
    <format dxfId="147">
      <pivotArea outline="0" fieldPosition="0">
        <references count="1">
          <reference field="4294967294" count="1">
            <x v="2"/>
          </reference>
        </references>
      </pivotArea>
    </format>
    <format dxfId="146">
      <pivotArea outline="0" fieldPosition="0">
        <references count="1">
          <reference field="4294967294" count="1">
            <x v="3"/>
          </reference>
        </references>
      </pivotArea>
    </format>
    <format dxfId="145">
      <pivotArea outline="0" fieldPosition="0">
        <references count="1">
          <reference field="4294967294" count="1">
            <x v="0"/>
          </reference>
        </references>
      </pivotArea>
    </format>
    <format dxfId="144">
      <pivotArea outline="0" fieldPosition="0">
        <references count="1">
          <reference field="4294967294" count="1">
            <x v="1"/>
          </reference>
        </references>
      </pivotArea>
    </format>
    <format dxfId="143">
      <pivotArea outline="0" fieldPosition="0">
        <references count="1">
          <reference field="4294967294" count="1">
            <x v="2"/>
          </reference>
        </references>
      </pivotArea>
    </format>
    <format dxfId="142">
      <pivotArea outline="0" fieldPosition="0">
        <references count="1">
          <reference field="4294967294" count="1">
            <x v="3"/>
          </reference>
        </references>
      </pivotArea>
    </format>
    <format dxfId="141">
      <pivotArea outline="0" fieldPosition="0">
        <references count="1">
          <reference field="4294967294" count="1">
            <x v="0"/>
          </reference>
        </references>
      </pivotArea>
    </format>
    <format dxfId="140">
      <pivotArea outline="0" fieldPosition="0">
        <references count="1">
          <reference field="4294967294" count="1">
            <x v="1"/>
          </reference>
        </references>
      </pivotArea>
    </format>
    <format dxfId="139">
      <pivotArea outline="0" fieldPosition="0">
        <references count="1">
          <reference field="4294967294" count="1">
            <x v="2"/>
          </reference>
        </references>
      </pivotArea>
    </format>
    <format dxfId="138">
      <pivotArea outline="0" fieldPosition="0">
        <references count="1">
          <reference field="4294967294" count="1">
            <x v="3"/>
          </reference>
        </references>
      </pivotArea>
    </format>
    <format dxfId="137">
      <pivotArea outline="0" fieldPosition="0">
        <references count="1">
          <reference field="4294967294" count="1">
            <x v="0"/>
          </reference>
        </references>
      </pivotArea>
    </format>
    <format dxfId="136">
      <pivotArea outline="0" fieldPosition="0">
        <references count="1">
          <reference field="4294967294" count="1">
            <x v="1"/>
          </reference>
        </references>
      </pivotArea>
    </format>
    <format dxfId="135">
      <pivotArea outline="0" fieldPosition="0">
        <references count="1">
          <reference field="4294967294" count="1">
            <x v="2"/>
          </reference>
        </references>
      </pivotArea>
    </format>
    <format dxfId="134">
      <pivotArea outline="0" fieldPosition="0">
        <references count="1">
          <reference field="4294967294" count="1">
            <x v="3"/>
          </reference>
        </references>
      </pivotArea>
    </format>
    <format dxfId="133">
      <pivotArea outline="0" fieldPosition="0">
        <references count="1">
          <reference field="4294967294" count="1">
            <x v="0"/>
          </reference>
        </references>
      </pivotArea>
    </format>
    <format dxfId="132">
      <pivotArea outline="0" fieldPosition="0">
        <references count="1">
          <reference field="4294967294" count="1">
            <x v="1"/>
          </reference>
        </references>
      </pivotArea>
    </format>
    <format dxfId="131">
      <pivotArea outline="0" fieldPosition="0">
        <references count="1">
          <reference field="4294967294" count="1">
            <x v="2"/>
          </reference>
        </references>
      </pivotArea>
    </format>
    <format dxfId="130">
      <pivotArea outline="0" fieldPosition="0">
        <references count="1">
          <reference field="4294967294" count="1">
            <x v="3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outline="0" fieldPosition="0">
        <references count="1">
          <reference field="4294967294" count="1">
            <x v="2"/>
          </reference>
        </references>
      </pivotArea>
    </format>
    <format dxfId="127">
      <pivotArea outline="0" fieldPosition="0">
        <references count="1">
          <reference field="4294967294" count="1">
            <x v="3"/>
          </reference>
        </references>
      </pivotArea>
    </format>
    <format dxfId="126">
      <pivotArea outline="0" fieldPosition="0">
        <references count="1">
          <reference field="4294967294" count="1">
            <x v="1"/>
          </reference>
        </references>
      </pivotArea>
    </format>
    <format dxfId="125">
      <pivotArea outline="0" fieldPosition="0">
        <references count="1">
          <reference field="4294967294" count="1">
            <x v="2"/>
          </reference>
        </references>
      </pivotArea>
    </format>
    <format dxfId="124">
      <pivotArea outline="0" fieldPosition="0">
        <references count="1">
          <reference field="4294967294" count="1">
            <x v="3"/>
          </reference>
        </references>
      </pivotArea>
    </format>
    <format dxfId="123">
      <pivotArea outline="0" fieldPosition="0">
        <references count="1">
          <reference field="4294967294" count="1">
            <x v="2"/>
          </reference>
        </references>
      </pivotArea>
    </format>
    <format dxfId="122">
      <pivotArea outline="0" fieldPosition="0">
        <references count="1">
          <reference field="4294967294" count="1">
            <x v="3"/>
          </reference>
        </references>
      </pivotArea>
    </format>
    <format dxfId="121">
      <pivotArea outline="0" collapsedLevelsAreSubtotals="1" fieldPosition="0">
        <references count="1">
          <reference field="4294967294" count="2" selected="0">
            <x v="2"/>
            <x v="3"/>
          </reference>
        </references>
      </pivotArea>
    </format>
    <format dxfId="120">
      <pivotArea outline="0" fieldPosition="0">
        <references count="1">
          <reference field="4294967294" count="1">
            <x v="2"/>
          </reference>
        </references>
      </pivotArea>
    </format>
    <format dxfId="119">
      <pivotArea outline="0" fieldPosition="0">
        <references count="1">
          <reference field="4294967294" count="1">
            <x v="3"/>
          </reference>
        </references>
      </pivotArea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outline="0" fieldPosition="0">
        <references count="1">
          <reference field="4294967294" count="1">
            <x v="3"/>
          </reference>
        </references>
      </pivotArea>
    </format>
    <format dxfId="116">
      <pivotArea outline="0" fieldPosition="0">
        <references count="1">
          <reference field="4294967294" count="1">
            <x v="2"/>
          </reference>
        </references>
      </pivotArea>
    </format>
    <format dxfId="115">
      <pivotArea outline="0" fieldPosition="0">
        <references count="1">
          <reference field="4294967294" count="1">
            <x v="3"/>
          </reference>
        </references>
      </pivotArea>
    </format>
    <format dxfId="114">
      <pivotArea outline="0" fieldPosition="0">
        <references count="1">
          <reference field="4294967294" count="1">
            <x v="0"/>
          </reference>
        </references>
      </pivotArea>
    </format>
    <format dxfId="113">
      <pivotArea outline="0" fieldPosition="0">
        <references count="1">
          <reference field="4294967294" count="1">
            <x v="1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fieldPosition="0">
        <references count="1">
          <reference field="4294967294" count="1">
            <x v="1"/>
          </reference>
        </references>
      </pivotArea>
    </format>
    <format dxfId="110">
      <pivotArea outline="0" fieldPosition="0">
        <references count="1">
          <reference field="4294967294" count="1">
            <x v="0"/>
          </reference>
        </references>
      </pivotArea>
    </format>
    <format dxfId="109">
      <pivotArea outline="0" fieldPosition="0">
        <references count="1">
          <reference field="4294967294" count="1">
            <x v="1"/>
          </reference>
        </references>
      </pivotArea>
    </format>
    <format dxfId="108">
      <pivotArea outline="0" fieldPosition="0">
        <references count="1">
          <reference field="4294967294" count="1">
            <x v="0"/>
          </reference>
        </references>
      </pivotArea>
    </format>
    <format dxfId="107">
      <pivotArea outline="0" fieldPosition="0">
        <references count="1">
          <reference field="4294967294" count="1">
            <x v="1"/>
          </reference>
        </references>
      </pivotArea>
    </format>
    <format dxfId="106">
      <pivotArea field="0" type="button" dataOnly="0" labelOnly="1" outline="0" axis="axisRow" fieldPosition="0"/>
    </format>
    <format dxfId="105">
      <pivotArea type="all" dataOnly="0" outline="0" fieldPosition="0"/>
    </format>
    <format dxfId="104">
      <pivotArea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1"/>
          </reference>
        </references>
      </pivotArea>
    </format>
    <format dxfId="102">
      <pivotArea outline="0" fieldPosition="0">
        <references count="1">
          <reference field="4294967294" count="1">
            <x v="0"/>
          </reference>
        </references>
      </pivotArea>
    </format>
    <format dxfId="101">
      <pivotArea outline="0" fieldPosition="0">
        <references count="1">
          <reference field="4294967294" count="1">
            <x v="1"/>
          </reference>
        </references>
      </pivotArea>
    </format>
    <format dxfId="100">
      <pivotArea outline="0" fieldPosition="0">
        <references count="1">
          <reference field="4294967294" count="1">
            <x v="0"/>
          </reference>
        </references>
      </pivotArea>
    </format>
    <format dxfId="99">
      <pivotArea outline="0" fieldPosition="0">
        <references count="1">
          <reference field="4294967294" count="1">
            <x v="1"/>
          </reference>
        </references>
      </pivotArea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1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fieldPosition="0">
        <references count="1">
          <reference field="4294967294" count="1">
            <x v="1"/>
          </reference>
        </references>
      </pivotArea>
    </format>
    <format dxfId="94">
      <pivotArea outline="0" fieldPosition="0">
        <references count="1">
          <reference field="4294967294" count="1">
            <x v="0"/>
          </reference>
        </references>
      </pivotArea>
    </format>
    <format dxfId="93">
      <pivotArea outline="0" fieldPosition="0">
        <references count="1">
          <reference field="4294967294" count="1">
            <x v="1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fieldPosition="0">
        <references count="1">
          <reference field="4294967294" count="1">
            <x v="1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1"/>
          </reference>
        </references>
      </pivotArea>
    </format>
    <format dxfId="86">
      <pivotArea outline="0" fieldPosition="0">
        <references count="1">
          <reference field="4294967294" count="1">
            <x v="0"/>
          </reference>
        </references>
      </pivotArea>
    </format>
    <format dxfId="85">
      <pivotArea outline="0" fieldPosition="0">
        <references count="1">
          <reference field="4294967294" count="1">
            <x v="1"/>
          </reference>
        </references>
      </pivotArea>
    </format>
    <format dxfId="84">
      <pivotArea outline="0" fieldPosition="0">
        <references count="1">
          <reference field="4294967294" count="1">
            <x v="0"/>
          </reference>
        </references>
      </pivotArea>
    </format>
    <format dxfId="83">
      <pivotArea outline="0" fieldPosition="0">
        <references count="1">
          <reference field="4294967294" count="1">
            <x v="1"/>
          </reference>
        </references>
      </pivotArea>
    </format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outline="0" fieldPosition="0">
        <references count="1">
          <reference field="4294967294" count="1">
            <x v="1"/>
          </reference>
        </references>
      </pivotArea>
    </format>
    <format dxfId="80">
      <pivotArea outline="0" fieldPosition="0">
        <references count="1">
          <reference field="4294967294" count="1">
            <x v="0"/>
          </reference>
        </references>
      </pivotArea>
    </format>
    <format dxfId="79">
      <pivotArea outline="0" fieldPosition="0">
        <references count="1">
          <reference field="4294967294" count="1">
            <x v="1"/>
          </reference>
        </references>
      </pivotArea>
    </format>
    <format dxfId="78">
      <pivotArea outline="0" fieldPosition="0">
        <references count="1">
          <reference field="4294967294" count="1">
            <x v="0"/>
          </reference>
        </references>
      </pivotArea>
    </format>
    <format dxfId="77">
      <pivotArea outline="0" fieldPosition="0">
        <references count="1">
          <reference field="4294967294" count="1">
            <x v="1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fieldPosition="0">
        <references count="1">
          <reference field="4294967294" count="1">
            <x v="1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1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1"/>
          </reference>
        </references>
      </pivotArea>
    </format>
    <format dxfId="70">
      <pivotArea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Table Style 1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shboard.accdb" connectionId="4" autoFormatId="16" applyNumberFormats="0" applyBorderFormats="0" applyFontFormats="0" applyPatternFormats="0" applyAlignmentFormats="0" applyWidthHeightFormats="0">
  <queryTableRefresh nextId="6">
    <queryTableFields count="5">
      <queryTableField id="1" name="Theme(T)" tableColumnId="1"/>
      <queryTableField id="2" name="SumOfSec_USD_MM" tableColumnId="2"/>
      <queryTableField id="3" name="SumOfLik_USD_MM" tableColumnId="3"/>
      <queryTableField id="4" name="Asp_USD" tableColumnId="4"/>
      <queryTableField id="5" name="SumOfTotalFunding_USD" tableColumnId="5"/>
    </queryTableFields>
  </queryTableRefresh>
</queryTable>
</file>

<file path=xl/queryTables/queryTable2.xml><?xml version="1.0" encoding="utf-8"?>
<queryTable xmlns="http://schemas.openxmlformats.org/spreadsheetml/2006/main" name="Dashboard.accdb" connectionId="1" autoFormatId="16" applyNumberFormats="0" applyBorderFormats="0" applyFontFormats="0" applyPatternFormats="0" applyAlignmentFormats="0" applyWidthHeightFormats="0">
  <queryTableRefresh nextId="30" unboundColumnsRight="3">
    <queryTableFields count="29">
      <queryTableField id="1" name="Order" tableColumnId="1"/>
      <queryTableField id="2" name="Theme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27" dataBound="0" tableColumnId="27"/>
      <queryTableField id="28" dataBound="0" tableColumnId="28"/>
      <queryTableField id="29" dataBound="0" tableColumnId="29"/>
    </queryTableFields>
  </queryTableRefresh>
</queryTable>
</file>

<file path=xl/queryTables/queryTable3.xml><?xml version="1.0" encoding="utf-8"?>
<queryTable xmlns="http://schemas.openxmlformats.org/spreadsheetml/2006/main" name="Dashboard.accdb_1" connectionId="2" autoFormatId="16" applyNumberFormats="0" applyBorderFormats="0" applyFontFormats="0" applyPatternFormats="0" applyAlignmentFormats="0" applyWidthHeightFormats="0">
  <queryTableRefresh nextId="30" unboundColumnsRight="4">
    <queryTableFields count="29">
      <queryTableField id="1" name="CoA Category" tableColumnId="1"/>
      <queryTableField id="2" name="SumOfPlan01" tableColumnId="2"/>
      <queryTableField id="3" name="SumOfPlan02" tableColumnId="3"/>
      <queryTableField id="4" name="SumOfPlan03" tableColumnId="4"/>
      <queryTableField id="5" name="SumOfPlan04" tableColumnId="5"/>
      <queryTableField id="6" name="SumOfPlan05" tableColumnId="6"/>
      <queryTableField id="7" name="SumOfPlan06" tableColumnId="7"/>
      <queryTableField id="8" name="SumOfPlan07" tableColumnId="8"/>
      <queryTableField id="9" name="SumOfPlan08" tableColumnId="9"/>
      <queryTableField id="10" name="SumOfPlan09" tableColumnId="10"/>
      <queryTableField id="11" name="SumOfPlan10" tableColumnId="11"/>
      <queryTableField id="12" name="SumOfPlan11" tableColumnId="12"/>
      <queryTableField id="13" name="SumOfPlan12" tableColumnId="13"/>
      <queryTableField id="14" name="SumOfAct01" tableColumnId="14"/>
      <queryTableField id="15" name="SumOfAct02" tableColumnId="15"/>
      <queryTableField id="16" name="SumOfAct03" tableColumnId="16"/>
      <queryTableField id="17" name="SumOfAct04" tableColumnId="17"/>
      <queryTableField id="18" name="SumOfAct05" tableColumnId="18"/>
      <queryTableField id="19" name="SumOfAct06" tableColumnId="19"/>
      <queryTableField id="20" name="SumOfAct07" tableColumnId="20"/>
      <queryTableField id="21" name="SumOfAct08" tableColumnId="21"/>
      <queryTableField id="22" name="SumOfAct09" tableColumnId="22"/>
      <queryTableField id="23" name="SumOfAct10" tableColumnId="23"/>
      <queryTableField id="24" name="SumOfAct11" tableColumnId="24"/>
      <queryTableField id="25" name="SumOfAct12" tableColumnId="25"/>
      <queryTableField id="29" dataBound="0" tableColumnId="26"/>
      <queryTableField id="28" dataBound="0" tableColumnId="27"/>
      <queryTableField id="27" dataBound="0" tableColumnId="28"/>
      <queryTableField id="26" dataBound="0" tableColumnId="29"/>
    </queryTableFields>
  </queryTableRefresh>
</queryTable>
</file>

<file path=xl/queryTables/queryTable4.xml><?xml version="1.0" encoding="utf-8"?>
<queryTable xmlns="http://schemas.openxmlformats.org/spreadsheetml/2006/main" name="Dashboard.accdb_2" connectionId="3" autoFormatId="16" applyNumberFormats="0" applyBorderFormats="0" applyFontFormats="0" applyPatternFormats="0" applyAlignmentFormats="0" applyWidthHeightFormats="0">
  <queryTableRefresh nextId="31" unboundColumnsRight="4">
    <queryTableFields count="30">
      <queryTableField id="1" name="Theme" tableColumnId="1"/>
      <queryTableField id="2" name="CoA Category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30" dataBound="0" tableColumnId="27"/>
      <queryTableField id="29" dataBound="0" tableColumnId="28"/>
      <queryTableField id="28" dataBound="0" tableColumnId="29"/>
      <queryTableField id="27" dataBound="0" tableColumnId="30"/>
    </queryTableFields>
  </queryTableRefresh>
</queryTable>
</file>

<file path=xl/queryTables/queryTable5.xml><?xml version="1.0" encoding="utf-8"?>
<queryTable xmlns="http://schemas.openxmlformats.org/spreadsheetml/2006/main" name="Dashboard.accdb" growShrinkType="overwriteClear" connectionId="5" autoFormatId="16" applyNumberFormats="0" applyBorderFormats="0" applyFontFormats="0" applyPatternFormats="0" applyAlignmentFormats="0" applyWidthHeightFormats="0">
  <queryTableRefresh nextId="6">
    <queryTableFields count="5">
      <queryTableField id="1" name="Theme(T)" tableColumnId="1"/>
      <queryTableField id="2" name="SOFFull" tableColumnId="2"/>
      <queryTableField id="3" name="SumOfSec_USD_MM" tableColumnId="3"/>
      <queryTableField id="4" name="SumOfLik_USD_MM" tableColumnId="4"/>
      <queryTableField id="5" name="SumOfTotalFunding_USD" tableColumnId="5"/>
    </queryTableFields>
  </queryTableRefresh>
</queryTable>
</file>

<file path=xl/queryTables/queryTable6.xml><?xml version="1.0" encoding="utf-8"?>
<queryTable xmlns="http://schemas.openxmlformats.org/spreadsheetml/2006/main" name="Dashboard.accdb_1" connectionId="8" autoFormatId="16" applyNumberFormats="0" applyBorderFormats="0" applyFontFormats="0" applyPatternFormats="0" applyAlignmentFormats="0" applyWidthHeightFormats="0">
  <queryTableRefresh nextId="12">
    <queryTableFields count="10">
      <queryTableField id="1" name="Theme(T)" tableColumnId="1"/>
      <queryTableField id="2" name="SOFFull" tableColumnId="2"/>
      <queryTableField id="3" name="Start date" tableColumnId="3"/>
      <queryTableField id="4" name="End Date" tableColumnId="4"/>
      <queryTableField id="5" name="final posting date" tableColumnId="5"/>
      <queryTableField id="6" name="Committed FS" tableColumnId="6"/>
      <queryTableField id="7" name="TotalSpend" tableColumnId="7"/>
      <queryTableField id="8" name="Remaining" tableColumnId="8"/>
      <queryTableField id="10" name="Flag" tableColumnId="10"/>
      <queryTableField id="11" name="Spent" tableColumnId="9"/>
    </queryTableFields>
  </queryTableRefresh>
</queryTable>
</file>

<file path=xl/queryTables/queryTable7.xml><?xml version="1.0" encoding="utf-8"?>
<queryTable xmlns="http://schemas.openxmlformats.org/spreadsheetml/2006/main" name="Dashboard.accdb" connectionId="7" autoFormatId="16" applyNumberFormats="0" applyBorderFormats="0" applyFontFormats="0" applyPatternFormats="0" applyAlignmentFormats="0" applyWidthHeightFormats="0">
  <queryTableRefresh nextId="31" unboundColumnsRight="4">
    <queryTableFields count="30">
      <queryTableField id="1" name="Theme(T)" tableColumnId="1"/>
      <queryTableField id="2" name="SOFFull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</queryTableFields>
  </queryTableRefresh>
</queryTable>
</file>

<file path=xl/queryTables/queryTable8.xml><?xml version="1.0" encoding="utf-8"?>
<queryTable xmlns="http://schemas.openxmlformats.org/spreadsheetml/2006/main" name="Dashboard.accdb" connectionId="6" autoFormatId="16" applyNumberFormats="0" applyBorderFormats="0" applyFontFormats="0" applyPatternFormats="0" applyAlignmentFormats="0" applyWidthHeightFormats="0">
  <queryTableRefresh nextId="31" unboundColumnsRight="4">
    <queryTableFields count="30">
      <queryTableField id="1" name="Theme(T)" tableColumnId="1"/>
      <queryTableField id="2" name="PROJECTFull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30" dataBound="0" tableColumnId="27"/>
      <queryTableField id="29" dataBound="0" tableColumnId="28"/>
      <queryTableField id="28" dataBound="0" tableColumnId="29"/>
      <queryTableField id="27" dataBound="0" tableColumnId="30"/>
    </queryTableFields>
  </queryTableRefresh>
</queryTable>
</file>

<file path=xl/queryTables/queryTable9.xml><?xml version="1.0" encoding="utf-8"?>
<queryTable xmlns="http://schemas.openxmlformats.org/spreadsheetml/2006/main" name="Dashboard.accdb" connectionId="10" autoFormatId="16" applyNumberFormats="0" applyBorderFormats="0" applyFontFormats="0" applyPatternFormats="0" applyAlignmentFormats="0" applyWidthHeightFormats="0">
  <queryTableRefresh nextId="34" unboundColumnsRight="7">
    <queryTableFields count="33">
      <queryTableField id="1" name="Theme(T)" tableColumnId="1"/>
      <queryTableField id="2" name="SOFFull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0.xml><?xml version="1.0" encoding="utf-8"?>
<queryTable xmlns="http://schemas.openxmlformats.org/spreadsheetml/2006/main" name="Dashboard.accdb" connectionId="12" autoFormatId="16" applyNumberFormats="0" applyBorderFormats="0" applyFontFormats="0" applyPatternFormats="0" applyAlignmentFormats="0" applyWidthHeightFormats="0">
  <queryTableRefresh nextId="35" unboundColumnsRight="6">
    <queryTableFields count="33">
      <queryTableField id="1" name="Theme(T)" tableColumnId="1"/>
      <queryTableField id="2" name="SOFFull" tableColumnId="2"/>
      <queryTableField id="3" name="PROJECTFull" tableColumnId="3"/>
      <queryTableField id="4" name="Plan01" tableColumnId="4"/>
      <queryTableField id="5" name="Plan02" tableColumnId="5"/>
      <queryTableField id="6" name="Plan03" tableColumnId="6"/>
      <queryTableField id="7" name="Plan04" tableColumnId="7"/>
      <queryTableField id="8" name="Plan05" tableColumnId="8"/>
      <queryTableField id="9" name="Plan06" tableColumnId="9"/>
      <queryTableField id="10" name="Plan07" tableColumnId="10"/>
      <queryTableField id="11" name="Plan08" tableColumnId="11"/>
      <queryTableField id="12" name="Plan09" tableColumnId="12"/>
      <queryTableField id="13" name="Plan10" tableColumnId="13"/>
      <queryTableField id="14" name="Plan11" tableColumnId="14"/>
      <queryTableField id="15" name="Plan12" tableColumnId="15"/>
      <queryTableField id="16" name="Act01" tableColumnId="16"/>
      <queryTableField id="17" name="Act02" tableColumnId="17"/>
      <queryTableField id="18" name="Act03" tableColumnId="18"/>
      <queryTableField id="19" name="Act04" tableColumnId="19"/>
      <queryTableField id="20" name="Act05" tableColumnId="20"/>
      <queryTableField id="21" name="Act06" tableColumnId="21"/>
      <queryTableField id="22" name="Act07" tableColumnId="22"/>
      <queryTableField id="23" name="Act08" tableColumnId="23"/>
      <queryTableField id="24" name="Act09" tableColumnId="24"/>
      <queryTableField id="25" name="Act10" tableColumnId="25"/>
      <queryTableField id="26" name="Act11" tableColumnId="26"/>
      <queryTableField id="27" name="Act12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1.xml><?xml version="1.0" encoding="utf-8"?>
<queryTable xmlns="http://schemas.openxmlformats.org/spreadsheetml/2006/main" name="Dashboard.accdb" connectionId="11" autoFormatId="16" applyNumberFormats="0" applyBorderFormats="0" applyFontFormats="0" applyPatternFormats="0" applyAlignmentFormats="0" applyWidthHeightFormats="0">
  <queryTableRefresh nextId="34" unboundColumnsRight="6">
    <queryTableFields count="33">
      <queryTableField id="1" name="Theme(T)" tableColumnId="1"/>
      <queryTableField id="2" name="SOFFull" tableColumnId="2"/>
      <queryTableField id="3" name="Account Category" tableColumnId="3"/>
      <queryTableField id="4" name="Plan01" tableColumnId="4"/>
      <queryTableField id="5" name="Plan02" tableColumnId="5"/>
      <queryTableField id="6" name="Plan03" tableColumnId="6"/>
      <queryTableField id="7" name="Plan04" tableColumnId="7"/>
      <queryTableField id="8" name="Plan05" tableColumnId="8"/>
      <queryTableField id="9" name="Plan06" tableColumnId="9"/>
      <queryTableField id="10" name="Plan07" tableColumnId="10"/>
      <queryTableField id="11" name="Plan08" tableColumnId="11"/>
      <queryTableField id="12" name="Plan09" tableColumnId="12"/>
      <queryTableField id="13" name="Plan10" tableColumnId="13"/>
      <queryTableField id="14" name="Plan11" tableColumnId="14"/>
      <queryTableField id="15" name="Plan12" tableColumnId="15"/>
      <queryTableField id="16" name="Act01" tableColumnId="16"/>
      <queryTableField id="17" name="Act02" tableColumnId="17"/>
      <queryTableField id="18" name="Act03" tableColumnId="18"/>
      <queryTableField id="19" name="Act04" tableColumnId="19"/>
      <queryTableField id="20" name="Act05" tableColumnId="20"/>
      <queryTableField id="21" name="Act06" tableColumnId="21"/>
      <queryTableField id="22" name="Act07" tableColumnId="22"/>
      <queryTableField id="23" name="Act08" tableColumnId="23"/>
      <queryTableField id="24" name="Act09" tableColumnId="24"/>
      <queryTableField id="25" name="Act10" tableColumnId="25"/>
      <queryTableField id="26" name="Act11" tableColumnId="26"/>
      <queryTableField id="27" name="Act12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2.xml><?xml version="1.0" encoding="utf-8"?>
<queryTable xmlns="http://schemas.openxmlformats.org/spreadsheetml/2006/main" name="Dashboard.accdb_1" connectionId="9" autoFormatId="16" applyNumberFormats="0" applyBorderFormats="0" applyFontFormats="0" applyPatternFormats="0" applyAlignmentFormats="0" applyWidthHeightFormats="0">
  <queryTableRefresh nextId="12">
    <queryTableFields count="11">
      <queryTableField id="1" name="SOFFull" tableColumnId="1"/>
      <queryTableField id="2" name="SC-Member" tableColumnId="2"/>
      <queryTableField id="3" name="Currency" tableColumnId="3"/>
      <queryTableField id="4" name="Start date" tableColumnId="4"/>
      <queryTableField id="5" name="End Date" tableColumnId="5"/>
      <queryTableField id="6" name="final posting date" tableColumnId="6"/>
      <queryTableField id="7" name="Flag" tableColumnId="7"/>
      <queryTableField id="8" name="Committed FS" tableColumnId="8"/>
      <queryTableField id="9" name="TotalSpend" tableColumnId="9"/>
      <queryTableField id="10" name="Remaining" tableColumnId="10"/>
      <queryTableField id="11" name="Spent" tableColumnId="11"/>
    </queryTableFields>
  </queryTableRefresh>
</queryTable>
</file>

<file path=xl/queryTables/queryTable13.xml><?xml version="1.0" encoding="utf-8"?>
<queryTable xmlns="http://schemas.openxmlformats.org/spreadsheetml/2006/main" name="Dashboard.accdb" connectionId="15" autoFormatId="16" applyNumberFormats="0" applyBorderFormats="0" applyFontFormats="0" applyPatternFormats="0" applyAlignmentFormats="0" applyWidthHeightFormats="0">
  <queryTableRefresh nextId="35" unboundColumnsRight="6">
    <queryTableFields count="34">
      <queryTableField id="1" name="Theme(T)" tableColumnId="1"/>
      <queryTableField id="2" name="Subtheme(T)" tableColumnId="2"/>
      <queryTableField id="3" name="ProjectFull" tableColumnId="3"/>
      <queryTableField id="4" name="Plan01" tableColumnId="4"/>
      <queryTableField id="5" name="Plan02" tableColumnId="5"/>
      <queryTableField id="6" name="Plan03" tableColumnId="6"/>
      <queryTableField id="7" name="Plan04" tableColumnId="7"/>
      <queryTableField id="8" name="Plan05" tableColumnId="8"/>
      <queryTableField id="9" name="Plan06" tableColumnId="9"/>
      <queryTableField id="10" name="Plan07" tableColumnId="10"/>
      <queryTableField id="11" name="Plan08" tableColumnId="11"/>
      <queryTableField id="12" name="Plan09" tableColumnId="12"/>
      <queryTableField id="13" name="Plan10" tableColumnId="13"/>
      <queryTableField id="14" name="Plan11" tableColumnId="14"/>
      <queryTableField id="15" name="Plan12" tableColumnId="15"/>
      <queryTableField id="16" name="Act01" tableColumnId="16"/>
      <queryTableField id="17" name="Act02" tableColumnId="17"/>
      <queryTableField id="18" name="Act03" tableColumnId="18"/>
      <queryTableField id="19" name="Act04" tableColumnId="19"/>
      <queryTableField id="20" name="Act05" tableColumnId="20"/>
      <queryTableField id="21" name="Act06" tableColumnId="21"/>
      <queryTableField id="22" name="Act07" tableColumnId="22"/>
      <queryTableField id="23" name="Act08" tableColumnId="23"/>
      <queryTableField id="24" name="Act09" tableColumnId="24"/>
      <queryTableField id="25" name="Act10" tableColumnId="25"/>
      <queryTableField id="26" name="Act11" tableColumnId="26"/>
      <queryTableField id="27" name="Act12" tableColumnId="27"/>
      <queryTableField id="34" name="Order" tableColumnId="34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4.xml><?xml version="1.0" encoding="utf-8"?>
<queryTable xmlns="http://schemas.openxmlformats.org/spreadsheetml/2006/main" name="Dashboard.accdb" connectionId="14" autoFormatId="16" applyNumberFormats="0" applyBorderFormats="0" applyFontFormats="0" applyPatternFormats="0" applyAlignmentFormats="0" applyWidthHeightFormats="0">
  <queryTableRefresh nextId="35" unboundColumnsRight="7">
    <queryTableFields count="34">
      <queryTableField id="1" name="Theme(T)" tableColumnId="1"/>
      <queryTableField id="2" name="Subtheme(T)" tableColumnId="2"/>
      <queryTableField id="3" name="ProjectFull" tableColumnId="3"/>
      <queryTableField id="4" name="SumOfPlan01" tableColumnId="4"/>
      <queryTableField id="5" name="SumOfPlan02" tableColumnId="5"/>
      <queryTableField id="6" name="SumOfPlan03" tableColumnId="6"/>
      <queryTableField id="7" name="SumOfPlan04" tableColumnId="7"/>
      <queryTableField id="8" name="SumOfPlan05" tableColumnId="8"/>
      <queryTableField id="9" name="SumOfPlan06" tableColumnId="9"/>
      <queryTableField id="10" name="SumOfPlan07" tableColumnId="10"/>
      <queryTableField id="11" name="SumOfPlan08" tableColumnId="11"/>
      <queryTableField id="12" name="SumOfPlan09" tableColumnId="12"/>
      <queryTableField id="13" name="SumOfPlan10" tableColumnId="13"/>
      <queryTableField id="14" name="SumOfPlan11" tableColumnId="14"/>
      <queryTableField id="15" name="SumOfPlan12" tableColumnId="15"/>
      <queryTableField id="16" name="SumOfAct01" tableColumnId="16"/>
      <queryTableField id="17" name="SumOfAct02" tableColumnId="17"/>
      <queryTableField id="18" name="SumOfAct03" tableColumnId="18"/>
      <queryTableField id="19" name="SumOfAct04" tableColumnId="19"/>
      <queryTableField id="20" name="SumOfAct05" tableColumnId="20"/>
      <queryTableField id="21" name="SumOfAct06" tableColumnId="21"/>
      <queryTableField id="22" name="SumOfAct07" tableColumnId="22"/>
      <queryTableField id="23" name="SumOfAct08" tableColumnId="23"/>
      <queryTableField id="24" name="SumOfAct09" tableColumnId="24"/>
      <queryTableField id="25" name="SumOfAct10" tableColumnId="25"/>
      <queryTableField id="26" name="SumOfAct11" tableColumnId="26"/>
      <queryTableField id="27" name="SumOfAct12" tableColumnId="27"/>
      <queryTableField id="34" dataBound="0" tableColumnId="28"/>
      <queryTableField id="33" dataBound="0" tableColumnId="29"/>
      <queryTableField id="32" dataBound="0" tableColumnId="30"/>
      <queryTableField id="31" dataBound="0" tableColumnId="31"/>
      <queryTableField id="30" dataBound="0" tableColumnId="32"/>
      <queryTableField id="29" dataBound="0" tableColumnId="33"/>
      <queryTableField id="28" dataBound="0" tableColumnId="34"/>
    </queryTableFields>
  </queryTableRefresh>
</queryTable>
</file>

<file path=xl/queryTables/queryTable15.xml><?xml version="1.0" encoding="utf-8"?>
<queryTable xmlns="http://schemas.openxmlformats.org/spreadsheetml/2006/main" name="Dashboard.accdb_1" connectionId="13" autoFormatId="16" applyNumberFormats="0" applyBorderFormats="0" applyFontFormats="0" applyPatternFormats="0" applyAlignmentFormats="0" applyWidthHeightFormats="0">
  <queryTableRefresh nextId="34" unboundColumnsRight="4">
    <queryTableFields count="33">
      <queryTableField id="1" name="Lookup" tableColumnId="1"/>
      <queryTableField id="2" name="Theme(T)" tableColumnId="2"/>
      <queryTableField id="3" name="Subtheme(T)" tableColumnId="3"/>
      <queryTableField id="4" name="ProjectFull" tableColumnId="4"/>
      <queryTableField id="5" name="CoA Category" tableColumnId="5"/>
      <queryTableField id="6" name="Plan01" tableColumnId="6"/>
      <queryTableField id="7" name="Plan02" tableColumnId="7"/>
      <queryTableField id="8" name="Plan03" tableColumnId="8"/>
      <queryTableField id="9" name="Plan04" tableColumnId="9"/>
      <queryTableField id="10" name="Plan05" tableColumnId="10"/>
      <queryTableField id="11" name="Plan06" tableColumnId="11"/>
      <queryTableField id="12" name="Plan07" tableColumnId="12"/>
      <queryTableField id="13" name="Plan08" tableColumnId="13"/>
      <queryTableField id="14" name="Plan09" tableColumnId="14"/>
      <queryTableField id="15" name="Plan10" tableColumnId="15"/>
      <queryTableField id="16" name="Plan11" tableColumnId="16"/>
      <queryTableField id="17" name="Plan12" tableColumnId="17"/>
      <queryTableField id="18" name="Act01" tableColumnId="18"/>
      <queryTableField id="19" name="Act02" tableColumnId="19"/>
      <queryTableField id="20" name="Act03" tableColumnId="20"/>
      <queryTableField id="21" name="Act04" tableColumnId="21"/>
      <queryTableField id="22" name="Act05" tableColumnId="22"/>
      <queryTableField id="23" name="Act06" tableColumnId="23"/>
      <queryTableField id="24" name="Act07" tableColumnId="24"/>
      <queryTableField id="25" name="Act08" tableColumnId="25"/>
      <queryTableField id="26" name="Act09" tableColumnId="26"/>
      <queryTableField id="27" name="Act10" tableColumnId="27"/>
      <queryTableField id="28" name="Act11" tableColumnId="28"/>
      <queryTableField id="29" name="Act12" tableColumnId="29"/>
      <queryTableField id="33" dataBound="0" tableColumnId="30"/>
      <queryTableField id="32" dataBound="0" tableColumnId="31"/>
      <queryTableField id="31" dataBound="0" tableColumnId="32"/>
      <queryTableField id="30" dataBound="0" tableColumnId="33"/>
    </queryTableFields>
  </queryTableRefresh>
</queryTable>
</file>

<file path=xl/queryTables/queryTable16.xml><?xml version="1.0" encoding="utf-8"?>
<queryTable xmlns="http://schemas.openxmlformats.org/spreadsheetml/2006/main" name="Dashboard.accdb" connectionId="16" autoFormatId="16" applyNumberFormats="0" applyBorderFormats="0" applyFontFormats="0" applyPatternFormats="0" applyAlignmentFormats="0" applyWidthHeightFormats="0">
  <queryTableRefresh nextId="37" unboundColumnsRight="7">
    <queryTableFields count="36">
      <queryTableField id="1" name="ProjectFull" tableColumnId="1"/>
      <queryTableField id="2" name="SOFFull" tableColumnId="2"/>
      <queryTableField id="3" name="Plan01" tableColumnId="3"/>
      <queryTableField id="4" name="Plan02" tableColumnId="4"/>
      <queryTableField id="5" name="Plan03" tableColumnId="5"/>
      <queryTableField id="6" name="Plan04" tableColumnId="6"/>
      <queryTableField id="7" name="Plan05" tableColumnId="7"/>
      <queryTableField id="8" name="Plan06" tableColumnId="8"/>
      <queryTableField id="9" name="Plan07" tableColumnId="9"/>
      <queryTableField id="10" name="Plan08" tableColumnId="10"/>
      <queryTableField id="11" name="Plan09" tableColumnId="11"/>
      <queryTableField id="12" name="Plan10" tableColumnId="12"/>
      <queryTableField id="13" name="Plan11" tableColumnId="13"/>
      <queryTableField id="14" name="Plan12" tableColumnId="14"/>
      <queryTableField id="15" name="Act01" tableColumnId="15"/>
      <queryTableField id="16" name="Act02" tableColumnId="16"/>
      <queryTableField id="17" name="Act03" tableColumnId="17"/>
      <queryTableField id="18" name="Act04" tableColumnId="18"/>
      <queryTableField id="19" name="Act05" tableColumnId="19"/>
      <queryTableField id="20" name="Act06" tableColumnId="20"/>
      <queryTableField id="21" name="Act07" tableColumnId="21"/>
      <queryTableField id="22" name="Act08" tableColumnId="22"/>
      <queryTableField id="23" name="Act09" tableColumnId="23"/>
      <queryTableField id="24" name="Act10" tableColumnId="24"/>
      <queryTableField id="25" name="Act11" tableColumnId="25"/>
      <queryTableField id="26" name="Act12" tableColumnId="26"/>
      <queryTableField id="27" name="Start date" tableColumnId="27"/>
      <queryTableField id="28" name="End Date" tableColumnId="28"/>
      <queryTableField id="29" name="final posting date" tableColumnId="29"/>
      <queryTableField id="36" dataBound="0" tableColumnId="30"/>
      <queryTableField id="35" dataBound="0" tableColumnId="31"/>
      <queryTableField id="34" dataBound="0" tableColumnId="32"/>
      <queryTableField id="33" dataBound="0" tableColumnId="33"/>
      <queryTableField id="32" dataBound="0" tableColumnId="34"/>
      <queryTableField id="31" dataBound="0" tableColumnId="35"/>
      <queryTableField id="30" dataBound="0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4" name="Table_Dashboard.accdb5" displayName="Table_Dashboard.accdb5" ref="J15:N25" tableType="queryTable" totalsRowShown="0">
  <autoFilter ref="J15:N25"/>
  <tableColumns count="5">
    <tableColumn id="1" uniqueName="1" name="Theme(T)" queryTableFieldId="1"/>
    <tableColumn id="2" uniqueName="2" name="SumOfSec_USD_MM" queryTableFieldId="2"/>
    <tableColumn id="3" uniqueName="3" name="SumOfLik_USD_MM" queryTableFieldId="3"/>
    <tableColumn id="4" uniqueName="4" name="Asp_USD" queryTableFieldId="4"/>
    <tableColumn id="5" uniqueName="5" name="SumOfTotalFunding_USD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DB_Theme" displayName="DB_Theme" ref="B15:AD26" tableType="queryTable" totalsRowCount="1">
  <autoFilter ref="B15:AD25"/>
  <tableColumns count="29">
    <tableColumn id="1" uniqueName="1" name="Order" totalsRowLabel="Total" queryTableFieldId="1"/>
    <tableColumn id="2" uniqueName="2" name="Theme" totalsRowLabel="Show All" queryTableFieldId="2" totalsRowDxfId="370"/>
    <tableColumn id="3" uniqueName="3" name="Plan01" totalsRowFunction="sum" queryTableFieldId="3"/>
    <tableColumn id="4" uniqueName="4" name="Plan02" totalsRowFunction="sum" queryTableFieldId="4"/>
    <tableColumn id="5" uniqueName="5" name="Plan03" totalsRowFunction="sum" queryTableFieldId="5"/>
    <tableColumn id="6" uniqueName="6" name="Plan04" totalsRowFunction="sum" queryTableFieldId="6"/>
    <tableColumn id="7" uniqueName="7" name="Plan05" totalsRowFunction="sum" queryTableFieldId="7"/>
    <tableColumn id="8" uniqueName="8" name="Plan06" totalsRowFunction="sum" queryTableFieldId="8"/>
    <tableColumn id="9" uniqueName="9" name="Plan07" totalsRowFunction="sum" queryTableFieldId="9"/>
    <tableColumn id="10" uniqueName="10" name="Plan08" totalsRowFunction="sum" queryTableFieldId="10"/>
    <tableColumn id="11" uniqueName="11" name="Plan09" totalsRowFunction="sum" queryTableFieldId="11"/>
    <tableColumn id="12" uniqueName="12" name="Plan10" totalsRowFunction="sum" queryTableFieldId="12"/>
    <tableColumn id="13" uniqueName="13" name="Plan11" totalsRowFunction="sum" queryTableFieldId="13"/>
    <tableColumn id="14" uniqueName="14" name="Plan12" totalsRowFunction="sum" queryTableFieldId="14"/>
    <tableColumn id="15" uniqueName="15" name="Act01" totalsRowFunction="sum" queryTableFieldId="15"/>
    <tableColumn id="16" uniqueName="16" name="Act02" totalsRowFunction="sum" queryTableFieldId="16"/>
    <tableColumn id="17" uniqueName="17" name="Act03" totalsRowFunction="sum" queryTableFieldId="17"/>
    <tableColumn id="18" uniqueName="18" name="Act04" totalsRowFunction="sum" queryTableFieldId="18"/>
    <tableColumn id="19" uniqueName="19" name="Act05" totalsRowFunction="sum" queryTableFieldId="19"/>
    <tableColumn id="20" uniqueName="20" name="Act06" totalsRowFunction="sum" queryTableFieldId="20"/>
    <tableColumn id="21" uniqueName="21" name="Act07" totalsRowFunction="sum" queryTableFieldId="21"/>
    <tableColumn id="22" uniqueName="22" name="Act08" totalsRowFunction="sum" queryTableFieldId="22"/>
    <tableColumn id="23" uniqueName="23" name="Act09" totalsRowFunction="sum" queryTableFieldId="23"/>
    <tableColumn id="24" uniqueName="24" name="Act10" totalsRowFunction="sum" queryTableFieldId="24"/>
    <tableColumn id="25" uniqueName="25" name="Act11" totalsRowFunction="sum" queryTableFieldId="25"/>
    <tableColumn id="26" uniqueName="26" name="Act12" totalsRowFunction="sum" queryTableFieldId="26"/>
    <tableColumn id="27" uniqueName="27" name="Plan" totalsRowFunction="sum" queryTableFieldId="27" dataDxfId="369" totalsRowDxfId="368">
      <calculatedColumnFormula>SUMPRODUCT(DB_Theme[[#This Row],[Plan01]:[Plan12]],$D$14:$O$14)/valUnits2</calculatedColumnFormula>
    </tableColumn>
    <tableColumn id="28" uniqueName="28" name="Actual" totalsRowFunction="sum" queryTableFieldId="28" dataDxfId="367" totalsRowDxfId="366">
      <calculatedColumnFormula>SUMPRODUCT(DB_Theme[[#This Row],[Act01]:[Act12]],$P$14:$AA$14)/valUnits2</calculatedColumnFormula>
    </tableColumn>
    <tableColumn id="29" uniqueName="29" name="Utilization" queryTableFieldId="29" dataDxfId="365" dataCellStyle="Percent">
      <calculatedColumnFormula>DB_Theme[[#This Row],[Actual]]/DB_Theme[[#This Row],[Plan]]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B_AllAcct" displayName="DB_AllAcct" ref="D32:AF40" tableType="queryTable" totalsRowShown="0">
  <autoFilter ref="D32:AF40"/>
  <tableColumns count="29">
    <tableColumn id="1" uniqueName="1" name="CoA Category" queryTableFieldId="1"/>
    <tableColumn id="2" uniqueName="2" name="SumOfPlan01" queryTableFieldId="2"/>
    <tableColumn id="3" uniqueName="3" name="SumOfPlan02" queryTableFieldId="3"/>
    <tableColumn id="4" uniqueName="4" name="SumOfPlan03" queryTableFieldId="4"/>
    <tableColumn id="5" uniqueName="5" name="SumOfPlan04" queryTableFieldId="5"/>
    <tableColumn id="6" uniqueName="6" name="SumOfPlan05" queryTableFieldId="6"/>
    <tableColumn id="7" uniqueName="7" name="SumOfPlan06" queryTableFieldId="7"/>
    <tableColumn id="8" uniqueName="8" name="SumOfPlan07" queryTableFieldId="8"/>
    <tableColumn id="9" uniqueName="9" name="SumOfPlan08" queryTableFieldId="9"/>
    <tableColumn id="10" uniqueName="10" name="SumOfPlan09" queryTableFieldId="10"/>
    <tableColumn id="11" uniqueName="11" name="SumOfPlan10" queryTableFieldId="11"/>
    <tableColumn id="12" uniqueName="12" name="SumOfPlan11" queryTableFieldId="12"/>
    <tableColumn id="13" uniqueName="13" name="SumOfPlan12" queryTableFieldId="13"/>
    <tableColumn id="14" uniqueName="14" name="SumOfAct01" queryTableFieldId="14"/>
    <tableColumn id="15" uniqueName="15" name="SumOfAct02" queryTableFieldId="15"/>
    <tableColumn id="16" uniqueName="16" name="SumOfAct03" queryTableFieldId="16"/>
    <tableColumn id="17" uniqueName="17" name="SumOfAct04" queryTableFieldId="17"/>
    <tableColumn id="18" uniqueName="18" name="SumOfAct05" queryTableFieldId="18"/>
    <tableColumn id="19" uniqueName="19" name="SumOfAct06" queryTableFieldId="19"/>
    <tableColumn id="20" uniqueName="20" name="SumOfAct07" queryTableFieldId="20"/>
    <tableColumn id="21" uniqueName="21" name="SumOfAct08" queryTableFieldId="21"/>
    <tableColumn id="22" uniqueName="22" name="SumOfAct09" queryTableFieldId="22"/>
    <tableColumn id="23" uniqueName="23" name="SumOfAct10" queryTableFieldId="23"/>
    <tableColumn id="24" uniqueName="24" name="SumOfAct11" queryTableFieldId="24"/>
    <tableColumn id="25" uniqueName="25" name="SumOfAct12" queryTableFieldId="25"/>
    <tableColumn id="26" uniqueName="26" name="Plan" queryTableFieldId="29" dataDxfId="364">
      <calculatedColumnFormula>SUMPRODUCT(DB_AllAcct[[#This Row],[SumOfPlan01]:[SumOfPlan12]],$E$31:$P$31)/valUnits2</calculatedColumnFormula>
    </tableColumn>
    <tableColumn id="27" uniqueName="27" name="Actual" queryTableFieldId="28" dataDxfId="363">
      <calculatedColumnFormula>SUMPRODUCT(DB_AllAcct[[#This Row],[SumOfAct01]:[SumOfAct12]],$Q$31:$AB$31)/valUnits2</calculatedColumnFormula>
    </tableColumn>
    <tableColumn id="28" uniqueName="28" name="Burn" queryTableFieldId="27" dataDxfId="362">
      <calculatedColumnFormula>IF(DB_AllAcct[[#This Row],[Plan]]&lt;&gt;0,DB_AllAcct[[#This Row],[Actual]]/DB_AllAcct[[#This Row],[Plan]],"N/A")</calculatedColumnFormula>
    </tableColumn>
    <tableColumn id="29" uniqueName="29" name="Variance" queryTableFieldId="26" dataDxfId="361">
      <calculatedColumnFormula>DB_AllAcct[[#This Row],[Actual]]-DB_AllAcct[[#This Row],[Plan]]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DB_ThemeAcct" displayName="DB_ThemeAcct" ref="C41:AF121" tableType="queryTable" totalsRowShown="0">
  <autoFilter ref="C41:AF121"/>
  <tableColumns count="30">
    <tableColumn id="1" uniqueName="1" name="Theme" queryTableFieldId="1"/>
    <tableColumn id="2" uniqueName="2" name="CoA Category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Plan" queryTableFieldId="30" dataDxfId="360">
      <calculatedColumnFormula>SUMPRODUCT(DB_ThemeAcct[[#This Row],[Plan01]:[Plan12]],$E$31:$P$31)/valUnits2</calculatedColumnFormula>
    </tableColumn>
    <tableColumn id="28" uniqueName="28" name="Actual" queryTableFieldId="29" dataDxfId="359">
      <calculatedColumnFormula>SUMPRODUCT(DB_ThemeAcct[[#This Row],[Act01]:[Act12]],$Q$31:$AB$31)/valUnits2</calculatedColumnFormula>
    </tableColumn>
    <tableColumn id="29" uniqueName="29" name="Burn" queryTableFieldId="28" dataDxfId="358">
      <calculatedColumnFormula>IF(DB_ThemeAcct[[#This Row],[Plan]]&lt;&gt;0,DB_ThemeAcct[[#This Row],[Actual]]/DB_ThemeAcct[[#This Row],[Plan]],"N/A")</calculatedColumnFormula>
    </tableColumn>
    <tableColumn id="30" uniqueName="30" name="Variance" queryTableFieldId="27" dataDxfId="357">
      <calculatedColumnFormula>DB_ThemeAcct[[#This Row],[Actual]]-DB_ThemeAcct[[#This Row],[Plan]]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DB_SOF_SecLike" displayName="DB_SOF_SecLike" ref="B5:F410" tableType="queryTable" totalsRowShown="0">
  <autoFilter ref="B5:F410">
    <filterColumn colId="0">
      <filters>
        <filter val="Show All"/>
      </filters>
    </filterColumn>
  </autoFilter>
  <sortState ref="B6:F145">
    <sortCondition descending="1" ref="E5:E410"/>
  </sortState>
  <tableColumns count="5">
    <tableColumn id="1" uniqueName="1" name="Theme(T)" queryTableFieldId="1"/>
    <tableColumn id="2" uniqueName="2" name="SOFFull" queryTableFieldId="2"/>
    <tableColumn id="3" uniqueName="3" name="SumOfSec_USD_MM" queryTableFieldId="3"/>
    <tableColumn id="4" uniqueName="4" name="SumOfLik_USD_MM" queryTableFieldId="4"/>
    <tableColumn id="5" uniqueName="5" name="SumOfTotalFunding_USD" queryTableField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DB_SOF_3mon" displayName="DB_SOF_3mon" ref="B15:K77" tableType="queryTable" totalsRowShown="0" headerRowDxfId="356" dataDxfId="355">
  <autoFilter ref="B15:K77">
    <filterColumn colId="0">
      <filters>
        <filter val="Show All"/>
      </filters>
    </filterColumn>
  </autoFilter>
  <sortState ref="B16:K76">
    <sortCondition ref="E15:E77"/>
  </sortState>
  <tableColumns count="10">
    <tableColumn id="1" uniqueName="1" name="Theme(T)" queryTableFieldId="1" dataDxfId="354"/>
    <tableColumn id="2" uniqueName="2" name="SOFFull" queryTableFieldId="2" dataDxfId="353"/>
    <tableColumn id="3" uniqueName="3" name="Start date" queryTableFieldId="3" dataDxfId="352"/>
    <tableColumn id="4" uniqueName="4" name="End Date" queryTableFieldId="4" dataDxfId="351"/>
    <tableColumn id="5" uniqueName="5" name="final posting date" queryTableFieldId="5" dataDxfId="350"/>
    <tableColumn id="6" uniqueName="6" name="Committed FS" queryTableFieldId="6" dataDxfId="349"/>
    <tableColumn id="7" uniqueName="7" name="TotalSpend" queryTableFieldId="7" dataDxfId="348"/>
    <tableColumn id="8" uniqueName="8" name="Remaining" queryTableFieldId="8" dataDxfId="347"/>
    <tableColumn id="10" uniqueName="10" name="Flag" queryTableFieldId="10" dataDxfId="346"/>
    <tableColumn id="9" uniqueName="9" name="Spent" queryTableFieldId="11" dataDxfId="3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DB_HighSOF" displayName="DB_HighSOF" ref="B5:AE410" tableType="queryTable" totalsRowShown="0">
  <autoFilter ref="B5:AE410">
    <filterColumn colId="0">
      <filters>
        <filter val="Show All"/>
      </filters>
    </filterColumn>
  </autoFilter>
  <sortState ref="B7:AE409">
    <sortCondition descending="1" ref="AD5:AD410"/>
  </sortState>
  <tableColumns count="30">
    <tableColumn id="1" uniqueName="1" name="Theme(T)" queryTableFieldId="1"/>
    <tableColumn id="2" uniqueName="2" name="SOFFull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Plan" queryTableFieldId="27" dataDxfId="344">
      <calculatedColumnFormula>SUMPRODUCT(DB_HighSOF[[#This Row],[Plan01]:[Plan12]],$D$4:$O$4)/valUnits2</calculatedColumnFormula>
    </tableColumn>
    <tableColumn id="28" uniqueName="28" name="Actual" queryTableFieldId="28" dataDxfId="343">
      <calculatedColumnFormula>SUMPRODUCT(DB_HighSOF[[#This Row],[Act01]:[Act12]],$P$4:$AA$4)/valUnits2</calculatedColumnFormula>
    </tableColumn>
    <tableColumn id="29" uniqueName="29" name="Variance" queryTableFieldId="29" dataDxfId="342">
      <calculatedColumnFormula>DB_HighSOF[[#This Row],[Actual]]-DB_HighSOF[[#This Row],[Plan]]</calculatedColumnFormula>
    </tableColumn>
    <tableColumn id="30" uniqueName="30" name="Burn" queryTableFieldId="30" dataDxfId="341">
      <calculatedColumnFormula>IF(DB_HighSOF[[#This Row],[Plan]]&lt;&gt;0,DB_HighSOF[[#This Row],[Actual]]/DB_HighSOF[[#This Row],[Plan]],1.000011000011)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DB_HighProject" displayName="DB_HighProject" ref="B5:AE135" tableType="queryTable" totalsRowShown="0">
  <autoFilter ref="B5:AE135">
    <filterColumn colId="0">
      <filters>
        <filter val="Show All"/>
      </filters>
    </filterColumn>
  </autoFilter>
  <sortState ref="B6:AE134">
    <sortCondition descending="1" ref="AD5:AD135"/>
  </sortState>
  <tableColumns count="30">
    <tableColumn id="1" uniqueName="1" name="Theme(T)" queryTableFieldId="1"/>
    <tableColumn id="2" uniqueName="2" name="PROJECTFull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Plan" queryTableFieldId="30" dataDxfId="340">
      <calculatedColumnFormula>SUMPRODUCT(DB_HighProject[[#This Row],[Plan01]:[Plan12]],$D$4:$O$4)/valUnits2</calculatedColumnFormula>
    </tableColumn>
    <tableColumn id="28" uniqueName="28" name="Actual" queryTableFieldId="29" dataDxfId="339">
      <calculatedColumnFormula>SUMPRODUCT(DB_HighProject[[#This Row],[Act01]:[Act12]],$P$4:$AA$4)/valUnits2</calculatedColumnFormula>
    </tableColumn>
    <tableColumn id="29" uniqueName="29" name="Variance" queryTableFieldId="28" dataDxfId="338">
      <calculatedColumnFormula>DB_HighProject[[#This Row],[Actual]]-DB_HighProject[[#This Row],[Plan]]</calculatedColumnFormula>
    </tableColumn>
    <tableColumn id="30" uniqueName="30" name="Burn" queryTableFieldId="27" dataDxfId="337">
      <calculatedColumnFormula>IF(DB_HighProject[[#This Row],[Plan]]&lt;&gt;0,DB_HighProject[[#This Row],[Actual]]/DB_HighProject[[#This Row],[Plan]],1.000011000011)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DB_SOFList" displayName="DB_SOFList" ref="B15:AH420" tableType="queryTable" totalsRowShown="0">
  <autoFilter ref="B15:AH420">
    <filterColumn colId="0">
      <filters>
        <filter val="Show All"/>
      </filters>
    </filterColumn>
  </autoFilter>
  <sortState ref="B16:AH418">
    <sortCondition ref="C15:C420"/>
  </sortState>
  <tableColumns count="33">
    <tableColumn id="1" uniqueName="1" name="Theme(T)" queryTableFieldId="1"/>
    <tableColumn id="2" uniqueName="2" name="SOFFull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Plan" queryTableFieldId="27" dataDxfId="68">
      <calculatedColumnFormula>SUMPRODUCT(DB_SOFList[[#This Row],[Plan01]:[Plan12]],$D$14:$O$14)/valUnits2</calculatedColumnFormula>
    </tableColumn>
    <tableColumn id="28" uniqueName="28" name="Actual" queryTableFieldId="28" dataDxfId="67">
      <calculatedColumnFormula>SUMPRODUCT(DB_SOFList[[#This Row],[Act01]:[Act12]],$P$14:$AA$14)/valUnits2</calculatedColumnFormula>
    </tableColumn>
    <tableColumn id="29" uniqueName="29" name="Variance" queryTableFieldId="29" dataDxfId="66">
      <calculatedColumnFormula>DB_SOFList[[#This Row],[Actual]]-DB_SOFList[[#This Row],[Plan]]</calculatedColumnFormula>
    </tableColumn>
    <tableColumn id="30" uniqueName="30" name="Burn" queryTableFieldId="30" dataDxfId="65">
      <calculatedColumnFormula>IF(DB_SOFList[[#This Row],[Plan]]&lt;&gt;0,DB_SOFList[[#This Row],[Actual]]/DB_SOFList[[#This Row],[Plan]],1.000011000011)</calculatedColumnFormula>
    </tableColumn>
    <tableColumn id="31" uniqueName="31" name="FYPlan" queryTableFieldId="31" dataDxfId="64">
      <calculatedColumnFormula>SUM(DB_SOFList[[#This Row],[Plan01]:[Plan12]])/valUnits2</calculatedColumnFormula>
    </tableColumn>
    <tableColumn id="32" uniqueName="32" name="FYActuals" queryTableFieldId="32" dataDxfId="63">
      <calculatedColumnFormula>SUMPRODUCT(DB_SOFList[[#This Row],[Act01]:[Act12]],$P$13:$AA$13)/valUnits2</calculatedColumnFormula>
    </tableColumn>
    <tableColumn id="33" uniqueName="33" name="FYBurn" queryTableFieldId="33" dataDxfId="62">
      <calculatedColumnFormula>IF(DB_SOFList[[#This Row],[FYPlan]]&lt;&gt;0,DB_SOFList[[#This Row],[FYActuals]]/DB_SOFList[[#This Row],[FYPlan]],1.000011000011)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DB_SOFProject" displayName="DB_SOFProject" ref="B5:AH723" tableType="queryTable" totalsRowShown="0">
  <autoFilter ref="B5:AH723"/>
  <tableColumns count="33">
    <tableColumn id="1" uniqueName="1" name="Theme(T)" queryTableFieldId="1"/>
    <tableColumn id="2" uniqueName="2" name="SOFFull" queryTableFieldId="2"/>
    <tableColumn id="3" uniqueName="3" name="PROJECTFull" queryTableFieldId="3"/>
    <tableColumn id="4" uniqueName="4" name="Plan01" queryTableFieldId="4"/>
    <tableColumn id="5" uniqueName="5" name="Plan02" queryTableFieldId="5"/>
    <tableColumn id="6" uniqueName="6" name="Plan03" queryTableFieldId="6"/>
    <tableColumn id="7" uniqueName="7" name="Plan04" queryTableFieldId="7"/>
    <tableColumn id="8" uniqueName="8" name="Plan05" queryTableFieldId="8"/>
    <tableColumn id="9" uniqueName="9" name="Plan06" queryTableFieldId="9"/>
    <tableColumn id="10" uniqueName="10" name="Plan07" queryTableFieldId="10"/>
    <tableColumn id="11" uniqueName="11" name="Plan08" queryTableFieldId="11"/>
    <tableColumn id="12" uniqueName="12" name="Plan09" queryTableFieldId="12"/>
    <tableColumn id="13" uniqueName="13" name="Plan10" queryTableFieldId="13"/>
    <tableColumn id="14" uniqueName="14" name="Plan11" queryTableFieldId="14"/>
    <tableColumn id="15" uniqueName="15" name="Plan12" queryTableFieldId="15"/>
    <tableColumn id="16" uniqueName="16" name="Act01" queryTableFieldId="16"/>
    <tableColumn id="17" uniqueName="17" name="Act02" queryTableFieldId="17"/>
    <tableColumn id="18" uniqueName="18" name="Act03" queryTableFieldId="18"/>
    <tableColumn id="19" uniqueName="19" name="Act04" queryTableFieldId="19"/>
    <tableColumn id="20" uniqueName="20" name="Act05" queryTableFieldId="20"/>
    <tableColumn id="21" uniqueName="21" name="Act06" queryTableFieldId="21"/>
    <tableColumn id="22" uniqueName="22" name="Act07" queryTableFieldId="22"/>
    <tableColumn id="23" uniqueName="23" name="Act08" queryTableFieldId="23"/>
    <tableColumn id="24" uniqueName="24" name="Act09" queryTableFieldId="24"/>
    <tableColumn id="25" uniqueName="25" name="Act10" queryTableFieldId="25"/>
    <tableColumn id="26" uniqueName="26" name="Act11" queryTableFieldId="26"/>
    <tableColumn id="27" uniqueName="27" name="Act12" queryTableFieldId="27"/>
    <tableColumn id="28" uniqueName="28" name="Plan" queryTableFieldId="28" dataDxfId="61">
      <calculatedColumnFormula>SUMPRODUCT(DB_SOFProject[[#This Row],[Plan01]:[Plan12]],$E$4:$P$4)/valUnits2</calculatedColumnFormula>
    </tableColumn>
    <tableColumn id="29" uniqueName="29" name="Actual" queryTableFieldId="29" dataDxfId="60">
      <calculatedColumnFormula>SUMPRODUCT(DB_SOFProject[[#This Row],[Act01]:[Act12]],$Q$4:$AB$4)/valUnits2</calculatedColumnFormula>
    </tableColumn>
    <tableColumn id="30" uniqueName="30" name="Variance" queryTableFieldId="30" dataDxfId="59">
      <calculatedColumnFormula>DB_SOFProject[[#This Row],[Actual]]-DB_SOFProject[[#This Row],[Plan]]</calculatedColumnFormula>
    </tableColumn>
    <tableColumn id="31" uniqueName="31" name="Burn" queryTableFieldId="31" dataDxfId="58" dataCellStyle="Percent">
      <calculatedColumnFormula>IF(DB_SOFProject[[#This Row],[Plan]]&lt;&gt;0,DB_SOFProject[[#This Row],[Actual]]/DB_SOFProject[[#This Row],[Plan]],1.000011000011)</calculatedColumnFormula>
    </tableColumn>
    <tableColumn id="32" uniqueName="32" name="FYPlan" queryTableFieldId="32" dataDxfId="57">
      <calculatedColumnFormula>SUM(DB_SOFProject[[#This Row],[Plan01]:[Plan12]])/valUnits2</calculatedColumnFormula>
    </tableColumn>
    <tableColumn id="33" uniqueName="33" name="FYActuals" queryTableFieldId="33" dataDxfId="56">
      <calculatedColumnFormula>SUMPRODUCT(DB_SOFProject[[#This Row],[Act01]:[Act12]],$Q$3:$AB$3)/valUnits2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4" name="DB_ThemeSOFAcct" displayName="DB_ThemeSOFAcct" ref="B15:AH1204" tableType="queryTable" totalsRowShown="0">
  <autoFilter ref="B15:AH1204"/>
  <tableColumns count="33">
    <tableColumn id="1" uniqueName="1" name="Theme(T)" queryTableFieldId="1"/>
    <tableColumn id="2" uniqueName="2" name="SOFFull" queryTableFieldId="2"/>
    <tableColumn id="3" uniqueName="3" name="Account Category" queryTableFieldId="3"/>
    <tableColumn id="4" uniqueName="4" name="Plan01" queryTableFieldId="4"/>
    <tableColumn id="5" uniqueName="5" name="Plan02" queryTableFieldId="5"/>
    <tableColumn id="6" uniqueName="6" name="Plan03" queryTableFieldId="6"/>
    <tableColumn id="7" uniqueName="7" name="Plan04" queryTableFieldId="7"/>
    <tableColumn id="8" uniqueName="8" name="Plan05" queryTableFieldId="8"/>
    <tableColumn id="9" uniqueName="9" name="Plan06" queryTableFieldId="9"/>
    <tableColumn id="10" uniqueName="10" name="Plan07" queryTableFieldId="10"/>
    <tableColumn id="11" uniqueName="11" name="Plan08" queryTableFieldId="11"/>
    <tableColumn id="12" uniqueName="12" name="Plan09" queryTableFieldId="12"/>
    <tableColumn id="13" uniqueName="13" name="Plan10" queryTableFieldId="13"/>
    <tableColumn id="14" uniqueName="14" name="Plan11" queryTableFieldId="14"/>
    <tableColumn id="15" uniqueName="15" name="Plan12" queryTableFieldId="15"/>
    <tableColumn id="16" uniqueName="16" name="Act01" queryTableFieldId="16"/>
    <tableColumn id="17" uniqueName="17" name="Act02" queryTableFieldId="17"/>
    <tableColumn id="18" uniqueName="18" name="Act03" queryTableFieldId="18"/>
    <tableColumn id="19" uniqueName="19" name="Act04" queryTableFieldId="19"/>
    <tableColumn id="20" uniqueName="20" name="Act05" queryTableFieldId="20"/>
    <tableColumn id="21" uniqueName="21" name="Act06" queryTableFieldId="21"/>
    <tableColumn id="22" uniqueName="22" name="Act07" queryTableFieldId="22"/>
    <tableColumn id="23" uniqueName="23" name="Act08" queryTableFieldId="23"/>
    <tableColumn id="24" uniqueName="24" name="Act09" queryTableFieldId="24"/>
    <tableColumn id="25" uniqueName="25" name="Act10" queryTableFieldId="25"/>
    <tableColumn id="26" uniqueName="26" name="Act11" queryTableFieldId="26"/>
    <tableColumn id="27" uniqueName="27" name="Act12" queryTableFieldId="27"/>
    <tableColumn id="28" uniqueName="28" name="Plan" queryTableFieldId="28" dataDxfId="55">
      <calculatedColumnFormula>SUMPRODUCT(DB_ThemeSOFAcct[[#This Row],[Plan01]:[Plan12]],$E$14:$P$14)/valUnits2</calculatedColumnFormula>
    </tableColumn>
    <tableColumn id="29" uniqueName="29" name="Actuals" queryTableFieldId="29" dataDxfId="54">
      <calculatedColumnFormula>SUMPRODUCT(DB_ThemeSOFAcct[[#This Row],[Act01]:[Act12]],$Q$14:$AB$14)/valUnits2</calculatedColumnFormula>
    </tableColumn>
    <tableColumn id="30" uniqueName="30" name="Variance" queryTableFieldId="30" dataDxfId="53">
      <calculatedColumnFormula>DB_ThemeSOFAcct[[#This Row],[Actuals]]-DB_ThemeSOFAcct[[#This Row],[Plan]]</calculatedColumnFormula>
    </tableColumn>
    <tableColumn id="31" uniqueName="31" name="Burn" queryTableFieldId="31" dataDxfId="52">
      <calculatedColumnFormula>IF(DB_ThemeSOFAcct[[#This Row],[Plan]]&lt;&gt;0,DB_ThemeSOFAcct[[#This Row],[Actuals]]/DB_ThemeSOFAcct[[#This Row],[Plan]],1.000011000011)</calculatedColumnFormula>
    </tableColumn>
    <tableColumn id="32" uniqueName="32" name="FYPlan" queryTableFieldId="32" dataDxfId="51">
      <calculatedColumnFormula>SUM(DB_ThemeSOFAcct[[#This Row],[Plan01]:[Plan12]])/valUnits2</calculatedColumnFormula>
    </tableColumn>
    <tableColumn id="33" uniqueName="33" name="FYActuals" queryTableFieldId="33" dataDxfId="50">
      <calculatedColumnFormula>SUMPRODUCT(DB_ThemeSOFAcct[[#This Row],[Act01]:[Act12]],$Q$3:$AB$3)/valUnits2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DB_SOFFS" displayName="DB_SOFFS" ref="B5:L116" tableType="queryTable" totalsRowShown="0">
  <autoFilter ref="B5:L116"/>
  <tableColumns count="11">
    <tableColumn id="1" uniqueName="1" name="SOFFull" queryTableFieldId="1"/>
    <tableColumn id="2" uniqueName="2" name="SC-Member" queryTableFieldId="2"/>
    <tableColumn id="3" uniqueName="3" name="Currency" queryTableFieldId="3"/>
    <tableColumn id="4" uniqueName="4" name="Start date" queryTableFieldId="4" dataDxfId="49"/>
    <tableColumn id="5" uniqueName="5" name="End Date" queryTableFieldId="5" dataDxfId="48"/>
    <tableColumn id="6" uniqueName="6" name="final posting date" queryTableFieldId="6" dataDxfId="47"/>
    <tableColumn id="7" uniqueName="7" name="Flag" queryTableFieldId="7"/>
    <tableColumn id="8" uniqueName="8" name="Committed FS" queryTableFieldId="8" dataDxfId="46" dataCellStyle="Comma"/>
    <tableColumn id="9" uniqueName="9" name="TotalSpend" queryTableFieldId="9" dataDxfId="45" dataCellStyle="Comma"/>
    <tableColumn id="10" uniqueName="10" name="Remaining" queryTableFieldId="10" dataDxfId="44" dataCellStyle="Comma"/>
    <tableColumn id="11" uniqueName="11" name="Spent" queryTableFieldId="11" dataDxfId="43" dataCellStyle="Perce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" name="DB_STProjectList" displayName="DB_STProjectList" ref="B5:AI70" tableType="queryTable" totalsRowShown="0">
  <autoFilter ref="B5:AI70"/>
  <sortState ref="B6:AI70">
    <sortCondition ref="AC5:AC70"/>
    <sortCondition ref="C5:C70"/>
    <sortCondition ref="D5:D70"/>
  </sortState>
  <tableColumns count="34">
    <tableColumn id="1" uniqueName="1" name="Theme(T)" queryTableFieldId="1"/>
    <tableColumn id="2" uniqueName="2" name="Subtheme(T)" queryTableFieldId="2"/>
    <tableColumn id="3" uniqueName="3" name="ProjectFull" queryTableFieldId="3"/>
    <tableColumn id="4" uniqueName="4" name="Plan01" queryTableFieldId="4"/>
    <tableColumn id="5" uniqueName="5" name="Plan02" queryTableFieldId="5"/>
    <tableColumn id="6" uniqueName="6" name="Plan03" queryTableFieldId="6"/>
    <tableColumn id="7" uniqueName="7" name="Plan04" queryTableFieldId="7"/>
    <tableColumn id="8" uniqueName="8" name="Plan05" queryTableFieldId="8"/>
    <tableColumn id="9" uniqueName="9" name="Plan06" queryTableFieldId="9"/>
    <tableColumn id="10" uniqueName="10" name="Plan07" queryTableFieldId="10"/>
    <tableColumn id="11" uniqueName="11" name="Plan08" queryTableFieldId="11"/>
    <tableColumn id="12" uniqueName="12" name="Plan09" queryTableFieldId="12"/>
    <tableColumn id="13" uniqueName="13" name="Plan10" queryTableFieldId="13"/>
    <tableColumn id="14" uniqueName="14" name="Plan11" queryTableFieldId="14"/>
    <tableColumn id="15" uniqueName="15" name="Plan12" queryTableFieldId="15"/>
    <tableColumn id="16" uniqueName="16" name="Act01" queryTableFieldId="16"/>
    <tableColumn id="17" uniqueName="17" name="Act02" queryTableFieldId="17"/>
    <tableColumn id="18" uniqueName="18" name="Act03" queryTableFieldId="18"/>
    <tableColumn id="19" uniqueName="19" name="Act04" queryTableFieldId="19"/>
    <tableColumn id="20" uniqueName="20" name="Act05" queryTableFieldId="20"/>
    <tableColumn id="21" uniqueName="21" name="Act06" queryTableFieldId="21"/>
    <tableColumn id="22" uniqueName="22" name="Act07" queryTableFieldId="22"/>
    <tableColumn id="23" uniqueName="23" name="Act08" queryTableFieldId="23"/>
    <tableColumn id="24" uniqueName="24" name="Act09" queryTableFieldId="24"/>
    <tableColumn id="25" uniqueName="25" name="Act10" queryTableFieldId="25"/>
    <tableColumn id="26" uniqueName="26" name="Act11" queryTableFieldId="26"/>
    <tableColumn id="27" uniqueName="27" name="Act12" queryTableFieldId="27"/>
    <tableColumn id="34" uniqueName="34" name="Order" queryTableFieldId="34"/>
    <tableColumn id="28" uniqueName="28" name="Plan" queryTableFieldId="28" dataDxfId="30">
      <calculatedColumnFormula>SUMPRODUCT(DB_STProjectList[[#This Row],[Plan01]:[Plan12]],$E$4:$P$4)/valUnits2</calculatedColumnFormula>
    </tableColumn>
    <tableColumn id="29" uniqueName="29" name="Actual" queryTableFieldId="29" dataDxfId="29">
      <calculatedColumnFormula>SUMPRODUCT(DB_STProjectList[[#This Row],[Act01]:[Act12]],$Q$4:$AB$4)/valUnits2</calculatedColumnFormula>
    </tableColumn>
    <tableColumn id="30" uniqueName="30" name="Variance" queryTableFieldId="30" dataDxfId="28">
      <calculatedColumnFormula>DB_STProjectList[[#This Row],[Actual]]-DB_STProjectList[[#This Row],[Plan]]</calculatedColumnFormula>
    </tableColumn>
    <tableColumn id="31" uniqueName="31" name="Burn" queryTableFieldId="31" dataDxfId="27">
      <calculatedColumnFormula>IF(DB_STProjectList[[#This Row],[Plan]]&lt;&gt;0,DB_STProjectList[[#This Row],[Actual]]/DB_STProjectList[[#This Row],[Plan]],1.000011000011)</calculatedColumnFormula>
    </tableColumn>
    <tableColumn id="32" uniqueName="32" name="NewTheme" queryTableFieldId="32" dataDxfId="26">
      <calculatedColumnFormula>IF(B6=B5,"","x")</calculatedColumnFormula>
    </tableColumn>
    <tableColumn id="33" uniqueName="33" name="NewST" queryTableFieldId="33" dataDxfId="25">
      <calculatedColumnFormula>IF(C6=C5,"","x")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DB_STProjectMonth" displayName="DB_STProjectMonth" ref="B15:AI119" tableType="queryTable" totalsRowShown="0">
  <autoFilter ref="B15:AI119"/>
  <tableColumns count="34">
    <tableColumn id="1" uniqueName="1" name="Theme(T)" queryTableFieldId="1"/>
    <tableColumn id="2" uniqueName="2" name="Subtheme(T)" queryTableFieldId="2"/>
    <tableColumn id="3" uniqueName="3" name="ProjectFull" queryTableFieldId="3"/>
    <tableColumn id="4" uniqueName="4" name="SumOfPlan01" queryTableFieldId="4"/>
    <tableColumn id="5" uniqueName="5" name="SumOfPlan02" queryTableFieldId="5"/>
    <tableColumn id="6" uniqueName="6" name="SumOfPlan03" queryTableFieldId="6"/>
    <tableColumn id="7" uniqueName="7" name="SumOfPlan04" queryTableFieldId="7"/>
    <tableColumn id="8" uniqueName="8" name="SumOfPlan05" queryTableFieldId="8"/>
    <tableColumn id="9" uniqueName="9" name="SumOfPlan06" queryTableFieldId="9"/>
    <tableColumn id="10" uniqueName="10" name="SumOfPlan07" queryTableFieldId="10"/>
    <tableColumn id="11" uniqueName="11" name="SumOfPlan08" queryTableFieldId="11"/>
    <tableColumn id="12" uniqueName="12" name="SumOfPlan09" queryTableFieldId="12"/>
    <tableColumn id="13" uniqueName="13" name="SumOfPlan10" queryTableFieldId="13"/>
    <tableColumn id="14" uniqueName="14" name="SumOfPlan11" queryTableFieldId="14"/>
    <tableColumn id="15" uniqueName="15" name="SumOfPlan12" queryTableFieldId="15"/>
    <tableColumn id="16" uniqueName="16" name="SumOfAct01" queryTableFieldId="16"/>
    <tableColumn id="17" uniqueName="17" name="SumOfAct02" queryTableFieldId="17"/>
    <tableColumn id="18" uniqueName="18" name="SumOfAct03" queryTableFieldId="18"/>
    <tableColumn id="19" uniqueName="19" name="SumOfAct04" queryTableFieldId="19"/>
    <tableColumn id="20" uniqueName="20" name="SumOfAct05" queryTableFieldId="20"/>
    <tableColumn id="21" uniqueName="21" name="SumOfAct06" queryTableFieldId="21"/>
    <tableColumn id="22" uniqueName="22" name="SumOfAct07" queryTableFieldId="22"/>
    <tableColumn id="23" uniqueName="23" name="SumOfAct08" queryTableFieldId="23"/>
    <tableColumn id="24" uniqueName="24" name="SumOfAct09" queryTableFieldId="24"/>
    <tableColumn id="25" uniqueName="25" name="SumOfAct10" queryTableFieldId="25"/>
    <tableColumn id="26" uniqueName="26" name="SumOfAct11" queryTableFieldId="26"/>
    <tableColumn id="27" uniqueName="27" name="SumOfAct12" queryTableFieldId="27"/>
    <tableColumn id="28" uniqueName="28" name="Plan" queryTableFieldId="34" dataDxfId="24">
      <calculatedColumnFormula>SUMPRODUCT(DB_STProjectMonth[[#This Row],[SumOfPlan01]:[SumOfPlan12]],$E$14:$P$14)/valUnits2</calculatedColumnFormula>
    </tableColumn>
    <tableColumn id="29" uniqueName="29" name="Actual" queryTableFieldId="33" dataDxfId="23">
      <calculatedColumnFormula>SUMPRODUCT(DB_STProjectMonth[[#This Row],[SumOfAct01]:[SumOfAct12]],$Q$14:$AB$14)/valUnits2</calculatedColumnFormula>
    </tableColumn>
    <tableColumn id="30" uniqueName="30" name="Variance" queryTableFieldId="32" dataDxfId="22">
      <calculatedColumnFormula>DB_STProjectMonth[[#This Row],[Actual]]-DB_STProjectMonth[[#This Row],[Plan]]</calculatedColumnFormula>
    </tableColumn>
    <tableColumn id="31" uniqueName="31" name="Burn" queryTableFieldId="31" dataDxfId="21">
      <calculatedColumnFormula>IF(DB_STProjectMonth[[#This Row],[Plan]]&lt;&gt;0,DB_STProjectMonth[[#This Row],[Actual]]/DB_STProjectMonth[[#This Row],[Plan]],1.000011000011)</calculatedColumnFormula>
    </tableColumn>
    <tableColumn id="32" uniqueName="32" name="FY Plan" queryTableFieldId="30" dataDxfId="20">
      <calculatedColumnFormula>SUM(DB_STProjectMonth[[#This Row],[SumOfPlan01]:[SumOfPlan12]])/valUnits2</calculatedColumnFormula>
    </tableColumn>
    <tableColumn id="33" uniqueName="33" name="FY Actuals" queryTableFieldId="29" dataDxfId="19">
      <calculatedColumnFormula>SUMPRODUCT(DB_STProjectMonth[[#This Row],[SumOfAct01]:[SumOfAct12]],$Q$13:$AB$13)/valUnits2</calculatedColumnFormula>
    </tableColumn>
    <tableColumn id="34" uniqueName="34" name="FY Burn" queryTableFieldId="28" dataDxfId="18">
      <calculatedColumnFormula>IF(DB_STProjectMonth[[#This Row],[FY Plan]]&lt;&gt;0,DB_STProjectMonth[[#This Row],[FY Actuals]]/DB_STProjectMonth[[#This Row],[FY Plan]],0)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DB_STProjectAcct" displayName="DB_STProjectAcct" ref="A15:AG847" tableType="queryTable" totalsRowShown="0">
  <autoFilter ref="A15:AG847">
    <filterColumn colId="2">
      <filters>
        <filter val="Basic Education"/>
      </filters>
    </filterColumn>
  </autoFilter>
  <tableColumns count="33">
    <tableColumn id="1" uniqueName="1" name="Lookup" queryTableFieldId="1"/>
    <tableColumn id="2" uniqueName="2" name="Theme(T)" queryTableFieldId="2"/>
    <tableColumn id="3" uniqueName="3" name="Subtheme(T)" queryTableFieldId="3"/>
    <tableColumn id="4" uniqueName="4" name="ProjectFull" queryTableFieldId="4"/>
    <tableColumn id="5" uniqueName="5" name="CoA Category" queryTableFieldId="5"/>
    <tableColumn id="6" uniqueName="6" name="Plan01" queryTableFieldId="6"/>
    <tableColumn id="7" uniqueName="7" name="Plan02" queryTableFieldId="7"/>
    <tableColumn id="8" uniqueName="8" name="Plan03" queryTableFieldId="8"/>
    <tableColumn id="9" uniqueName="9" name="Plan04" queryTableFieldId="9"/>
    <tableColumn id="10" uniqueName="10" name="Plan05" queryTableFieldId="10"/>
    <tableColumn id="11" uniqueName="11" name="Plan06" queryTableFieldId="11"/>
    <tableColumn id="12" uniqueName="12" name="Plan07" queryTableFieldId="12"/>
    <tableColumn id="13" uniqueName="13" name="Plan08" queryTableFieldId="13"/>
    <tableColumn id="14" uniqueName="14" name="Plan09" queryTableFieldId="14"/>
    <tableColumn id="15" uniqueName="15" name="Plan10" queryTableFieldId="15"/>
    <tableColumn id="16" uniqueName="16" name="Plan11" queryTableFieldId="16"/>
    <tableColumn id="17" uniqueName="17" name="Plan12" queryTableFieldId="17"/>
    <tableColumn id="18" uniqueName="18" name="Act01" queryTableFieldId="18"/>
    <tableColumn id="19" uniqueName="19" name="Act02" queryTableFieldId="19"/>
    <tableColumn id="20" uniqueName="20" name="Act03" queryTableFieldId="20"/>
    <tableColumn id="21" uniqueName="21" name="Act04" queryTableFieldId="21"/>
    <tableColumn id="22" uniqueName="22" name="Act05" queryTableFieldId="22"/>
    <tableColumn id="23" uniqueName="23" name="Act06" queryTableFieldId="23"/>
    <tableColumn id="24" uniqueName="24" name="Act07" queryTableFieldId="24"/>
    <tableColumn id="25" uniqueName="25" name="Act08" queryTableFieldId="25"/>
    <tableColumn id="26" uniqueName="26" name="Act09" queryTableFieldId="26"/>
    <tableColumn id="27" uniqueName="27" name="Act10" queryTableFieldId="27"/>
    <tableColumn id="28" uniqueName="28" name="Act11" queryTableFieldId="28"/>
    <tableColumn id="29" uniqueName="29" name="Act12" queryTableFieldId="29" dataDxfId="14"/>
    <tableColumn id="30" uniqueName="30" name="Plan" queryTableFieldId="33" dataDxfId="13">
      <calculatedColumnFormula>SUMPRODUCT(DB_STProjectAcct[[#This Row],[Plan01]:[Plan12]],$F$14:$Q$14)/valUnits2</calculatedColumnFormula>
    </tableColumn>
    <tableColumn id="31" uniqueName="31" name="Actual" queryTableFieldId="32" dataDxfId="12">
      <calculatedColumnFormula>SUMPRODUCT(DB_STProjectAcct[[#This Row],[Act01]:[Act12]],$R$14:$AC$14)/valUnits2</calculatedColumnFormula>
    </tableColumn>
    <tableColumn id="32" uniqueName="32" name="Variance" queryTableFieldId="31" dataDxfId="11">
      <calculatedColumnFormula>DB_STProjectAcct[[#This Row],[Actual]]-DB_STProjectAcct[[#This Row],[Plan]]</calculatedColumnFormula>
    </tableColumn>
    <tableColumn id="33" uniqueName="33" name="Burn" queryTableFieldId="30" dataDxfId="10">
      <calculatedColumnFormula>IF(DB_STProjectAcct[[#This Row],[Plan]]&lt;&gt;0,DB_STProjectAcct[[#This Row],[Actual]]/DB_STProjectAcct[[#This Row],[Plan]],1.000011000011)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DB_STProjectsSOF" displayName="DB_STProjectsSOF" ref="B5:AK1416" tableType="queryTable" totalsRowShown="0">
  <autoFilter ref="B5:AK1416">
    <filterColumn colId="0">
      <filters>
        <filter val="0500019 - BGD Integrated service delivery (MNH-FP-nutrition)"/>
      </filters>
    </filterColumn>
  </autoFilter>
  <tableColumns count="36">
    <tableColumn id="1" uniqueName="1" name="ProjectFull" queryTableFieldId="1"/>
    <tableColumn id="2" uniqueName="2" name="SOFFull" queryTableFieldId="2"/>
    <tableColumn id="3" uniqueName="3" name="Plan01" queryTableFieldId="3"/>
    <tableColumn id="4" uniqueName="4" name="Plan02" queryTableFieldId="4"/>
    <tableColumn id="5" uniqueName="5" name="Plan03" queryTableFieldId="5"/>
    <tableColumn id="6" uniqueName="6" name="Plan04" queryTableFieldId="6"/>
    <tableColumn id="7" uniqueName="7" name="Plan05" queryTableFieldId="7"/>
    <tableColumn id="8" uniqueName="8" name="Plan06" queryTableFieldId="8"/>
    <tableColumn id="9" uniqueName="9" name="Plan07" queryTableFieldId="9"/>
    <tableColumn id="10" uniqueName="10" name="Plan08" queryTableFieldId="10"/>
    <tableColumn id="11" uniqueName="11" name="Plan09" queryTableFieldId="11"/>
    <tableColumn id="12" uniqueName="12" name="Plan10" queryTableFieldId="12"/>
    <tableColumn id="13" uniqueName="13" name="Plan11" queryTableFieldId="13"/>
    <tableColumn id="14" uniqueName="14" name="Plan12" queryTableFieldId="14"/>
    <tableColumn id="15" uniqueName="15" name="Act01" queryTableFieldId="15"/>
    <tableColumn id="16" uniqueName="16" name="Act02" queryTableFieldId="16"/>
    <tableColumn id="17" uniqueName="17" name="Act03" queryTableFieldId="17"/>
    <tableColumn id="18" uniqueName="18" name="Act04" queryTableFieldId="18"/>
    <tableColumn id="19" uniqueName="19" name="Act05" queryTableFieldId="19"/>
    <tableColumn id="20" uniqueName="20" name="Act06" queryTableFieldId="20"/>
    <tableColumn id="21" uniqueName="21" name="Act07" queryTableFieldId="21"/>
    <tableColumn id="22" uniqueName="22" name="Act08" queryTableFieldId="22"/>
    <tableColumn id="23" uniqueName="23" name="Act09" queryTableFieldId="23"/>
    <tableColumn id="24" uniqueName="24" name="Act10" queryTableFieldId="24"/>
    <tableColumn id="25" uniqueName="25" name="Act11" queryTableFieldId="25"/>
    <tableColumn id="26" uniqueName="26" name="Act12" queryTableFieldId="26"/>
    <tableColumn id="27" uniqueName="27" name="Start date" queryTableFieldId="27" dataDxfId="9"/>
    <tableColumn id="28" uniqueName="28" name="End Date" queryTableFieldId="28" dataDxfId="8"/>
    <tableColumn id="29" uniqueName="29" name="final posting date" queryTableFieldId="29" dataDxfId="7"/>
    <tableColumn id="30" uniqueName="30" name="Plan" queryTableFieldId="36" dataDxfId="6">
      <calculatedColumnFormula>SUMPRODUCT(DB_STProjectsSOF[[#This Row],[Plan01]:[Plan12]],$D$4:$O$4)/valUnits2</calculatedColumnFormula>
    </tableColumn>
    <tableColumn id="31" uniqueName="31" name="Actual" queryTableFieldId="35" dataDxfId="5">
      <calculatedColumnFormula>SUMPRODUCT(DB_STProjectsSOF[[#This Row],[Act01]:[Act12]],$P$4:$AA$4)/valUnits2</calculatedColumnFormula>
    </tableColumn>
    <tableColumn id="32" uniqueName="32" name="Variance" queryTableFieldId="34" dataDxfId="4">
      <calculatedColumnFormula>DB_STProjectsSOF[[#This Row],[Actual]]-DB_STProjectsSOF[[#This Row],[Plan]]</calculatedColumnFormula>
    </tableColumn>
    <tableColumn id="33" uniqueName="33" name="Burn" queryTableFieldId="33" dataDxfId="3">
      <calculatedColumnFormula>IF(DB_STProjectsSOF[[#This Row],[Plan]]&lt;&gt;0,DB_STProjectsSOF[[#This Row],[Actual]]/DB_STProjectsSOF[[#This Row],[Plan]],1.000011000011)</calculatedColumnFormula>
    </tableColumn>
    <tableColumn id="34" uniqueName="34" name="FY Plan" queryTableFieldId="32" dataDxfId="2">
      <calculatedColumnFormula>SUM(DB_STProjectsSOF[[#This Row],[Plan01]:[Plan12]])/valUnits2</calculatedColumnFormula>
    </tableColumn>
    <tableColumn id="35" uniqueName="35" name="FY Actuals" queryTableFieldId="31" dataDxfId="1">
      <calculatedColumnFormula>SUMPRODUCT(DB_STProjectsSOF[[#This Row],[Act01]:[Act12]],$P$3:$AA$3)/valUnits2</calculatedColumnFormula>
    </tableColumn>
    <tableColumn id="36" uniqueName="36" name="FY Burn" queryTableFieldId="30" dataDxfId="0">
      <calculatedColumnFormula>IF(DB_STProjectsSOF[[#This Row],[FY Plan]]&lt;&gt;0,DB_STProjectsSOF[[#This Row],[FY Actuals]]/DB_STProjectsSOF[[#This Row],[FY Plan]],1.000011000011)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image" Target="../media/image2.emf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5.x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Relationship Id="rId22" Type="http://schemas.openxmlformats.org/officeDocument/2006/relationships/ctrlProp" Target="../ctrlProps/ctrlProp3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3" Type="http://schemas.openxmlformats.org/officeDocument/2006/relationships/control" Target="../activeX/activeX3.xml"/><Relationship Id="rId21" Type="http://schemas.openxmlformats.org/officeDocument/2006/relationships/ctrlProp" Target="../ctrlProps/ctrlProp53.x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17" Type="http://schemas.openxmlformats.org/officeDocument/2006/relationships/ctrlProp" Target="../ctrlProps/ctrlProp49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48.xml"/><Relationship Id="rId20" Type="http://schemas.openxmlformats.org/officeDocument/2006/relationships/ctrlProp" Target="../ctrlProps/ctrlProp5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19" Type="http://schemas.openxmlformats.org/officeDocument/2006/relationships/ctrlProp" Target="../ctrlProps/ctrlProp51.xml"/><Relationship Id="rId4" Type="http://schemas.openxmlformats.org/officeDocument/2006/relationships/image" Target="../media/image5.emf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Relationship Id="rId22" Type="http://schemas.openxmlformats.org/officeDocument/2006/relationships/ctrlProp" Target="../ctrlProps/ctrlProp5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N32"/>
  <sheetViews>
    <sheetView showGridLines="0" zoomScale="90" zoomScaleNormal="90" workbookViewId="0">
      <selection activeCell="H17" sqref="H17"/>
    </sheetView>
  </sheetViews>
  <sheetFormatPr defaultRowHeight="12.75" x14ac:dyDescent="0.2"/>
  <cols>
    <col min="7" max="7" width="3.5703125" customWidth="1"/>
    <col min="8" max="8" width="74" customWidth="1"/>
  </cols>
  <sheetData>
    <row r="1" spans="2:14" x14ac:dyDescent="0.2">
      <c r="E1" s="572" t="s">
        <v>217</v>
      </c>
      <c r="F1" s="572"/>
      <c r="G1" s="572"/>
      <c r="H1" s="572"/>
      <c r="I1" s="572"/>
      <c r="J1" s="572"/>
      <c r="K1" s="572"/>
      <c r="L1" s="572"/>
      <c r="M1" s="572"/>
      <c r="N1" s="572"/>
    </row>
    <row r="2" spans="2:14" ht="21" customHeight="1" x14ac:dyDescent="0.2">
      <c r="E2" s="572"/>
      <c r="F2" s="572"/>
      <c r="G2" s="572"/>
      <c r="H2" s="572"/>
      <c r="I2" s="572"/>
      <c r="J2" s="572"/>
      <c r="K2" s="572"/>
      <c r="L2" s="572"/>
      <c r="M2" s="572"/>
      <c r="N2" s="572"/>
    </row>
    <row r="5" spans="2:14" ht="15.75" x14ac:dyDescent="0.25">
      <c r="B5" s="272" t="s">
        <v>226</v>
      </c>
    </row>
    <row r="6" spans="2:14" ht="14.25" x14ac:dyDescent="0.2">
      <c r="B6" s="270"/>
      <c r="C6" s="270" t="s">
        <v>218</v>
      </c>
      <c r="D6" s="270"/>
      <c r="E6" s="270"/>
      <c r="F6" s="270"/>
      <c r="G6" s="270"/>
      <c r="H6" s="270"/>
      <c r="I6" s="270"/>
      <c r="J6" s="270"/>
      <c r="K6" s="270"/>
      <c r="L6" s="270"/>
      <c r="M6" s="270"/>
    </row>
    <row r="7" spans="2:14" ht="14.25" x14ac:dyDescent="0.2">
      <c r="B7" s="270"/>
      <c r="C7" s="270" t="s">
        <v>219</v>
      </c>
      <c r="D7" s="270"/>
      <c r="E7" s="270"/>
      <c r="F7" s="270"/>
      <c r="G7" s="270"/>
      <c r="H7" s="270"/>
      <c r="I7" s="270"/>
      <c r="J7" s="270"/>
      <c r="K7" s="270"/>
      <c r="L7" s="270"/>
      <c r="M7" s="270"/>
    </row>
    <row r="8" spans="2:14" ht="14.25" x14ac:dyDescent="0.2">
      <c r="B8" s="270"/>
      <c r="C8" s="270"/>
      <c r="D8" s="270" t="s">
        <v>222</v>
      </c>
      <c r="E8" s="270"/>
      <c r="F8" s="270"/>
      <c r="G8" s="270"/>
      <c r="H8" s="270"/>
      <c r="I8" s="270"/>
      <c r="J8" s="270"/>
      <c r="K8" s="270"/>
      <c r="L8" s="270"/>
      <c r="M8" s="270"/>
    </row>
    <row r="9" spans="2:14" ht="14.25" x14ac:dyDescent="0.2">
      <c r="B9" s="270"/>
      <c r="C9" s="270"/>
      <c r="D9" s="571" t="s">
        <v>223</v>
      </c>
      <c r="E9" s="571"/>
      <c r="F9" s="571"/>
      <c r="G9" s="571"/>
      <c r="H9" s="571"/>
      <c r="I9" s="571"/>
      <c r="J9" s="571"/>
      <c r="K9" s="571"/>
      <c r="L9" s="571"/>
      <c r="M9" s="571"/>
    </row>
    <row r="10" spans="2:14" ht="14.25" x14ac:dyDescent="0.2">
      <c r="B10" s="270"/>
      <c r="C10" s="270"/>
      <c r="D10" s="571"/>
      <c r="E10" s="571"/>
      <c r="F10" s="571"/>
      <c r="G10" s="571"/>
      <c r="H10" s="571"/>
      <c r="I10" s="571"/>
      <c r="J10" s="571"/>
      <c r="K10" s="571"/>
      <c r="L10" s="571"/>
      <c r="M10" s="571"/>
    </row>
    <row r="11" spans="2:14" ht="14.25" x14ac:dyDescent="0.2">
      <c r="B11" s="270"/>
      <c r="C11" s="270"/>
      <c r="D11" s="270"/>
      <c r="E11" s="270" t="s">
        <v>220</v>
      </c>
      <c r="F11" s="270"/>
      <c r="G11" s="270"/>
      <c r="H11" s="270"/>
      <c r="I11" s="270"/>
      <c r="J11" s="270"/>
      <c r="K11" s="270"/>
      <c r="L11" s="270"/>
      <c r="M11" s="270"/>
    </row>
    <row r="12" spans="2:14" ht="14.25" x14ac:dyDescent="0.2">
      <c r="B12" s="270"/>
      <c r="C12" s="270"/>
      <c r="D12" s="270"/>
      <c r="E12" s="270" t="s">
        <v>221</v>
      </c>
      <c r="F12" s="270"/>
      <c r="G12" s="270"/>
      <c r="H12" s="270"/>
      <c r="I12" s="270"/>
      <c r="J12" s="270"/>
      <c r="K12" s="270"/>
      <c r="L12" s="270"/>
      <c r="M12" s="270"/>
    </row>
    <row r="13" spans="2:14" ht="15" x14ac:dyDescent="0.25">
      <c r="B13" s="270"/>
      <c r="C13" s="533" t="s">
        <v>230</v>
      </c>
      <c r="D13" s="533"/>
      <c r="E13" s="533"/>
      <c r="F13" s="533"/>
      <c r="G13" s="533"/>
      <c r="H13" s="533"/>
      <c r="I13" s="270"/>
      <c r="J13" s="270"/>
      <c r="K13" s="270"/>
      <c r="L13" s="270"/>
      <c r="M13" s="270"/>
    </row>
    <row r="14" spans="2:14" ht="15" x14ac:dyDescent="0.25">
      <c r="B14" s="270"/>
      <c r="C14" s="533"/>
      <c r="D14" s="533" t="s">
        <v>224</v>
      </c>
      <c r="E14" s="533"/>
      <c r="F14" s="533"/>
      <c r="G14" s="533"/>
      <c r="H14" s="533"/>
      <c r="I14" s="270"/>
      <c r="J14" s="270"/>
      <c r="K14" s="270"/>
      <c r="L14" s="270"/>
      <c r="M14" s="270"/>
    </row>
    <row r="15" spans="2:14" ht="14.25" x14ac:dyDescent="0.2"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</row>
    <row r="16" spans="2:14" ht="15" x14ac:dyDescent="0.25">
      <c r="B16" s="271" t="s">
        <v>228</v>
      </c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14.25" x14ac:dyDescent="0.2">
      <c r="B17" s="270"/>
      <c r="C17" s="270" t="s">
        <v>241</v>
      </c>
      <c r="D17" s="270"/>
      <c r="E17" s="270"/>
      <c r="F17" s="270"/>
      <c r="G17" s="270"/>
      <c r="H17" s="270"/>
      <c r="I17" s="270"/>
      <c r="J17" s="270"/>
      <c r="K17" s="270"/>
      <c r="L17" s="270"/>
      <c r="M17" s="270"/>
    </row>
    <row r="18" spans="1:13" ht="14.25" x14ac:dyDescent="0.2"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</row>
    <row r="19" spans="1:13" ht="14.25" x14ac:dyDescent="0.2">
      <c r="B19" s="270" t="s">
        <v>227</v>
      </c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</row>
    <row r="20" spans="1:13" ht="14.25" x14ac:dyDescent="0.2">
      <c r="B20" s="270" t="s">
        <v>225</v>
      </c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</row>
    <row r="21" spans="1:13" ht="14.25" x14ac:dyDescent="0.2">
      <c r="B21" s="270" t="s">
        <v>282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</row>
    <row r="22" spans="1:13" ht="14.25" x14ac:dyDescent="0.2">
      <c r="B22" s="270" t="s">
        <v>334</v>
      </c>
      <c r="C22" s="270"/>
      <c r="D22" s="270"/>
      <c r="E22" s="270"/>
      <c r="F22" s="270"/>
      <c r="G22" s="270"/>
      <c r="H22" s="270"/>
      <c r="I22" s="270"/>
      <c r="J22" s="270"/>
      <c r="K22" s="270"/>
      <c r="L22" s="270"/>
      <c r="M22" s="270"/>
    </row>
    <row r="24" spans="1:13" x14ac:dyDescent="0.2">
      <c r="A24" s="412" t="s">
        <v>290</v>
      </c>
      <c r="B24" s="412"/>
      <c r="C24" s="412"/>
    </row>
    <row r="25" spans="1:13" s="409" customFormat="1" ht="37.5" customHeight="1" x14ac:dyDescent="0.2">
      <c r="B25" s="409" t="s">
        <v>291</v>
      </c>
      <c r="H25" s="410" t="s">
        <v>283</v>
      </c>
    </row>
    <row r="26" spans="1:13" s="409" customFormat="1" ht="33.75" customHeight="1" x14ac:dyDescent="0.2">
      <c r="B26" s="409" t="s">
        <v>292</v>
      </c>
      <c r="H26" s="410" t="s">
        <v>284</v>
      </c>
    </row>
    <row r="27" spans="1:13" s="409" customFormat="1" ht="27" customHeight="1" x14ac:dyDescent="0.2">
      <c r="B27" s="409" t="s">
        <v>293</v>
      </c>
      <c r="H27" s="410" t="s">
        <v>285</v>
      </c>
    </row>
    <row r="28" spans="1:13" s="409" customFormat="1" ht="46.5" customHeight="1" x14ac:dyDescent="0.2">
      <c r="B28" s="409" t="s">
        <v>294</v>
      </c>
      <c r="H28" s="410" t="s">
        <v>286</v>
      </c>
    </row>
    <row r="29" spans="1:13" s="409" customFormat="1" ht="37.5" customHeight="1" x14ac:dyDescent="0.2">
      <c r="B29" s="409" t="s">
        <v>295</v>
      </c>
      <c r="H29" s="410" t="s">
        <v>287</v>
      </c>
    </row>
    <row r="30" spans="1:13" s="409" customFormat="1" ht="33" customHeight="1" x14ac:dyDescent="0.2">
      <c r="B30" s="573" t="s">
        <v>296</v>
      </c>
      <c r="C30" s="573"/>
      <c r="D30" s="573"/>
      <c r="E30" s="573"/>
      <c r="F30" s="573"/>
      <c r="G30" s="573"/>
      <c r="H30" s="410" t="s">
        <v>288</v>
      </c>
    </row>
    <row r="31" spans="1:13" s="409" customFormat="1" ht="33" customHeight="1" x14ac:dyDescent="0.2">
      <c r="B31" s="409" t="s">
        <v>297</v>
      </c>
      <c r="H31" s="411" t="s">
        <v>289</v>
      </c>
    </row>
    <row r="32" spans="1:13" ht="30" customHeight="1" x14ac:dyDescent="0.2">
      <c r="B32" s="409" t="s">
        <v>298</v>
      </c>
      <c r="H32" s="410" t="s">
        <v>299</v>
      </c>
    </row>
  </sheetData>
  <mergeCells count="3">
    <mergeCell ref="D9:M10"/>
    <mergeCell ref="E1:N2"/>
    <mergeCell ref="B30:G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V48"/>
  <sheetViews>
    <sheetView topLeftCell="C1" workbookViewId="0">
      <selection activeCell="K27" sqref="K27"/>
    </sheetView>
  </sheetViews>
  <sheetFormatPr defaultRowHeight="12.75" x14ac:dyDescent="0.2"/>
  <cols>
    <col min="1" max="1" width="1.5703125" customWidth="1"/>
    <col min="2" max="2" width="1.140625" customWidth="1"/>
    <col min="5" max="5" width="11.42578125" customWidth="1"/>
    <col min="12" max="12" width="1" customWidth="1"/>
    <col min="13" max="13" width="5.28515625" customWidth="1"/>
  </cols>
  <sheetData>
    <row r="1" spans="3:22" x14ac:dyDescent="0.2">
      <c r="C1" t="s">
        <v>73</v>
      </c>
    </row>
    <row r="2" spans="3:22" x14ac:dyDescent="0.2">
      <c r="D2" t="s">
        <v>74</v>
      </c>
      <c r="F2" s="283">
        <v>41470</v>
      </c>
    </row>
    <row r="3" spans="3:22" ht="12.75" customHeight="1" x14ac:dyDescent="0.2">
      <c r="D3" t="s">
        <v>75</v>
      </c>
      <c r="F3" s="284" t="s">
        <v>233</v>
      </c>
    </row>
    <row r="4" spans="3:22" ht="12.75" customHeight="1" x14ac:dyDescent="0.2">
      <c r="D4" t="s">
        <v>300</v>
      </c>
      <c r="F4" s="415">
        <f>MONTH(userLastUpdate)</f>
        <v>7</v>
      </c>
    </row>
    <row r="5" spans="3:22" x14ac:dyDescent="0.2">
      <c r="D5" t="s">
        <v>71</v>
      </c>
      <c r="F5" s="286">
        <v>0.2</v>
      </c>
    </row>
    <row r="6" spans="3:22" x14ac:dyDescent="0.2">
      <c r="D6" t="s">
        <v>72</v>
      </c>
      <c r="F6" s="286">
        <v>0.5</v>
      </c>
      <c r="I6" s="123"/>
      <c r="J6" s="123"/>
      <c r="K6" s="123"/>
      <c r="L6" s="123"/>
      <c r="M6" s="123"/>
      <c r="N6" s="123"/>
      <c r="O6" s="123"/>
    </row>
    <row r="7" spans="3:22" ht="13.5" thickBot="1" x14ac:dyDescent="0.25">
      <c r="I7" s="123"/>
      <c r="J7" s="123"/>
      <c r="K7" s="123"/>
      <c r="L7" s="123"/>
      <c r="M7" s="123"/>
      <c r="N7" s="123"/>
      <c r="O7" s="123"/>
    </row>
    <row r="8" spans="3:22" ht="13.5" thickTop="1" x14ac:dyDescent="0.2">
      <c r="C8" t="s">
        <v>340</v>
      </c>
      <c r="E8" s="574" t="s">
        <v>301</v>
      </c>
      <c r="F8" s="574"/>
      <c r="G8" s="30" t="s">
        <v>302</v>
      </c>
      <c r="I8" s="536" t="s">
        <v>338</v>
      </c>
      <c r="J8" s="537"/>
      <c r="K8" s="538"/>
      <c r="L8" s="535"/>
      <c r="M8" s="542" t="s">
        <v>339</v>
      </c>
      <c r="N8" s="543"/>
      <c r="O8" s="543"/>
      <c r="P8" s="544"/>
    </row>
    <row r="9" spans="3:22" x14ac:dyDescent="0.2">
      <c r="C9" s="164">
        <v>41275</v>
      </c>
      <c r="D9" t="s">
        <v>14</v>
      </c>
      <c r="E9" s="550" t="b">
        <v>1</v>
      </c>
      <c r="F9" s="552">
        <f>IF(E9,1,0)</f>
        <v>1</v>
      </c>
      <c r="G9" s="564">
        <f t="shared" ref="G9:G20" si="0">IF(MONTH(C9)&lt;LastClosedMon,1,0)</f>
        <v>1</v>
      </c>
      <c r="I9" s="539" t="s">
        <v>11</v>
      </c>
      <c r="J9" s="11" t="s">
        <v>1</v>
      </c>
      <c r="K9" s="540">
        <v>0</v>
      </c>
      <c r="L9" s="535"/>
      <c r="M9" s="545">
        <v>1</v>
      </c>
      <c r="N9" s="11" t="s">
        <v>12</v>
      </c>
      <c r="O9" s="11">
        <v>1</v>
      </c>
      <c r="P9" s="546" t="s">
        <v>165</v>
      </c>
      <c r="R9" s="1"/>
      <c r="U9" t="s">
        <v>80</v>
      </c>
      <c r="V9">
        <v>0</v>
      </c>
    </row>
    <row r="10" spans="3:22" x14ac:dyDescent="0.2">
      <c r="C10" s="164">
        <v>41306</v>
      </c>
      <c r="D10" t="s">
        <v>15</v>
      </c>
      <c r="E10" s="550" t="b">
        <v>1</v>
      </c>
      <c r="F10" s="552">
        <f t="shared" ref="F10:F20" si="1">IF(E10,1,0)</f>
        <v>1</v>
      </c>
      <c r="G10" s="564">
        <f t="shared" si="0"/>
        <v>1</v>
      </c>
      <c r="I10" s="297" t="s">
        <v>342</v>
      </c>
      <c r="J10" s="297" t="s">
        <v>342</v>
      </c>
      <c r="K10" s="540">
        <v>0</v>
      </c>
      <c r="L10" s="535"/>
      <c r="M10" s="545">
        <v>2</v>
      </c>
      <c r="N10" s="11" t="s">
        <v>13</v>
      </c>
      <c r="O10" s="11">
        <v>1000</v>
      </c>
      <c r="P10" s="546" t="s">
        <v>166</v>
      </c>
      <c r="U10" s="9" t="s">
        <v>231</v>
      </c>
      <c r="V10">
        <v>1</v>
      </c>
    </row>
    <row r="11" spans="3:22" ht="13.5" thickBot="1" x14ac:dyDescent="0.25">
      <c r="C11" s="164">
        <v>41334</v>
      </c>
      <c r="D11" t="s">
        <v>16</v>
      </c>
      <c r="E11" s="550" t="b">
        <v>1</v>
      </c>
      <c r="F11" s="552">
        <f t="shared" si="1"/>
        <v>1</v>
      </c>
      <c r="G11" s="564">
        <f t="shared" si="0"/>
        <v>1</v>
      </c>
      <c r="I11" s="566" t="s">
        <v>343</v>
      </c>
      <c r="J11" s="566" t="s">
        <v>343</v>
      </c>
      <c r="K11" s="540">
        <v>1</v>
      </c>
      <c r="L11" s="535"/>
      <c r="M11" s="547">
        <v>3</v>
      </c>
      <c r="N11" s="548" t="s">
        <v>41</v>
      </c>
      <c r="O11" s="548">
        <v>1000000</v>
      </c>
      <c r="P11" s="549" t="s">
        <v>167</v>
      </c>
      <c r="U11" s="9" t="s">
        <v>233</v>
      </c>
      <c r="V11">
        <v>2</v>
      </c>
    </row>
    <row r="12" spans="3:22" x14ac:dyDescent="0.2">
      <c r="C12" s="164">
        <v>41365</v>
      </c>
      <c r="D12" t="s">
        <v>17</v>
      </c>
      <c r="E12" s="550" t="b">
        <v>1</v>
      </c>
      <c r="F12" s="552">
        <f t="shared" si="1"/>
        <v>1</v>
      </c>
      <c r="G12" s="564">
        <f t="shared" si="0"/>
        <v>1</v>
      </c>
      <c r="I12" s="567" t="s">
        <v>344</v>
      </c>
      <c r="J12" s="567" t="s">
        <v>344</v>
      </c>
      <c r="K12" s="540">
        <v>2</v>
      </c>
      <c r="L12" s="535"/>
      <c r="M12" s="123"/>
      <c r="N12" s="123"/>
      <c r="O12" s="123"/>
      <c r="U12" s="9" t="s">
        <v>232</v>
      </c>
      <c r="V12">
        <v>3</v>
      </c>
    </row>
    <row r="13" spans="3:22" x14ac:dyDescent="0.2">
      <c r="C13" s="164">
        <v>41395</v>
      </c>
      <c r="D13" t="s">
        <v>18</v>
      </c>
      <c r="E13" s="550" t="b">
        <v>1</v>
      </c>
      <c r="F13" s="552">
        <f t="shared" si="1"/>
        <v>1</v>
      </c>
      <c r="G13" s="564">
        <f t="shared" si="0"/>
        <v>1</v>
      </c>
      <c r="I13" s="566" t="s">
        <v>345</v>
      </c>
      <c r="J13" s="566" t="s">
        <v>345</v>
      </c>
      <c r="K13" s="540">
        <v>3</v>
      </c>
      <c r="L13" s="535"/>
      <c r="M13" s="123"/>
      <c r="N13" s="123"/>
      <c r="O13" s="123"/>
      <c r="U13" s="9" t="s">
        <v>234</v>
      </c>
      <c r="V13">
        <v>4</v>
      </c>
    </row>
    <row r="14" spans="3:22" x14ac:dyDescent="0.2">
      <c r="C14" s="164">
        <v>41426</v>
      </c>
      <c r="D14" t="s">
        <v>19</v>
      </c>
      <c r="E14" s="550" t="b">
        <v>1</v>
      </c>
      <c r="F14" s="552">
        <f t="shared" si="1"/>
        <v>1</v>
      </c>
      <c r="G14" s="564">
        <f t="shared" si="0"/>
        <v>1</v>
      </c>
      <c r="I14" s="567" t="s">
        <v>346</v>
      </c>
      <c r="J14" s="567" t="s">
        <v>346</v>
      </c>
      <c r="K14" s="540">
        <v>4</v>
      </c>
      <c r="L14" s="535"/>
      <c r="M14" s="123"/>
      <c r="N14" s="123"/>
      <c r="O14" s="123"/>
      <c r="U14" s="9" t="s">
        <v>81</v>
      </c>
      <c r="V14">
        <v>5</v>
      </c>
    </row>
    <row r="15" spans="3:22" x14ac:dyDescent="0.2">
      <c r="C15" s="164">
        <v>41456</v>
      </c>
      <c r="D15" t="s">
        <v>20</v>
      </c>
      <c r="E15" s="550" t="b">
        <v>0</v>
      </c>
      <c r="F15" s="552">
        <f t="shared" si="1"/>
        <v>0</v>
      </c>
      <c r="G15" s="564">
        <f t="shared" si="0"/>
        <v>0</v>
      </c>
      <c r="I15" s="566" t="s">
        <v>347</v>
      </c>
      <c r="J15" s="566" t="s">
        <v>347</v>
      </c>
      <c r="K15" s="540">
        <v>5</v>
      </c>
      <c r="L15" s="535"/>
      <c r="M15" s="123"/>
      <c r="N15" s="123"/>
      <c r="O15" s="123"/>
      <c r="T15" t="s">
        <v>90</v>
      </c>
      <c r="V15">
        <f>VLOOKUP(userForecast,U9:V14,2,FALSE)</f>
        <v>2</v>
      </c>
    </row>
    <row r="16" spans="3:22" x14ac:dyDescent="0.2">
      <c r="C16" s="164">
        <v>41487</v>
      </c>
      <c r="D16" t="s">
        <v>21</v>
      </c>
      <c r="E16" s="550" t="b">
        <v>0</v>
      </c>
      <c r="F16" s="552">
        <f t="shared" si="1"/>
        <v>0</v>
      </c>
      <c r="G16" s="564">
        <f t="shared" si="0"/>
        <v>0</v>
      </c>
      <c r="I16" s="567" t="s">
        <v>348</v>
      </c>
      <c r="J16" s="567" t="s">
        <v>348</v>
      </c>
      <c r="K16" s="540">
        <v>6</v>
      </c>
      <c r="L16" s="535"/>
      <c r="M16" s="123"/>
      <c r="N16" s="123"/>
      <c r="O16" s="123"/>
    </row>
    <row r="17" spans="3:15" x14ac:dyDescent="0.2">
      <c r="C17" s="164">
        <v>41518</v>
      </c>
      <c r="D17" t="s">
        <v>22</v>
      </c>
      <c r="E17" s="550" t="b">
        <v>0</v>
      </c>
      <c r="F17" s="552">
        <f t="shared" si="1"/>
        <v>0</v>
      </c>
      <c r="G17" s="564">
        <f t="shared" si="0"/>
        <v>0</v>
      </c>
      <c r="I17" s="566" t="s">
        <v>349</v>
      </c>
      <c r="J17" s="566" t="s">
        <v>349</v>
      </c>
      <c r="K17" s="540">
        <v>7</v>
      </c>
      <c r="L17" s="535"/>
      <c r="M17" s="123"/>
      <c r="N17" s="123"/>
      <c r="O17" s="123"/>
    </row>
    <row r="18" spans="3:15" ht="13.5" thickBot="1" x14ac:dyDescent="0.25">
      <c r="C18" s="164">
        <v>41548</v>
      </c>
      <c r="D18" t="s">
        <v>23</v>
      </c>
      <c r="E18" s="550" t="b">
        <v>0</v>
      </c>
      <c r="F18" s="552">
        <f t="shared" si="1"/>
        <v>0</v>
      </c>
      <c r="G18" s="564">
        <f t="shared" si="0"/>
        <v>0</v>
      </c>
      <c r="I18" s="567" t="s">
        <v>350</v>
      </c>
      <c r="J18" s="567" t="s">
        <v>350</v>
      </c>
      <c r="K18" s="540">
        <v>8</v>
      </c>
      <c r="L18" s="535"/>
      <c r="M18" s="123"/>
      <c r="N18" s="123"/>
      <c r="O18" s="123"/>
    </row>
    <row r="19" spans="3:15" ht="13.5" thickBot="1" x14ac:dyDescent="0.25">
      <c r="C19" s="164">
        <v>41579</v>
      </c>
      <c r="D19" t="s">
        <v>24</v>
      </c>
      <c r="E19" s="550" t="b">
        <v>0</v>
      </c>
      <c r="F19" s="552">
        <f t="shared" si="1"/>
        <v>0</v>
      </c>
      <c r="G19" s="564">
        <f t="shared" si="0"/>
        <v>0</v>
      </c>
      <c r="I19" s="566" t="s">
        <v>351</v>
      </c>
      <c r="J19" s="566" t="s">
        <v>351</v>
      </c>
      <c r="K19" s="541">
        <v>9</v>
      </c>
      <c r="L19" s="535"/>
      <c r="M19" s="123"/>
      <c r="N19" s="556" t="s">
        <v>341</v>
      </c>
      <c r="O19" s="557"/>
    </row>
    <row r="20" spans="3:15" ht="13.5" thickTop="1" x14ac:dyDescent="0.2">
      <c r="C20" s="164">
        <v>41609</v>
      </c>
      <c r="D20" t="s">
        <v>25</v>
      </c>
      <c r="E20" s="550" t="b">
        <v>0</v>
      </c>
      <c r="F20" s="552">
        <f t="shared" si="1"/>
        <v>0</v>
      </c>
      <c r="G20" s="564">
        <f t="shared" si="0"/>
        <v>0</v>
      </c>
      <c r="I20" s="123"/>
      <c r="J20" s="123"/>
      <c r="K20" s="123"/>
      <c r="L20" s="123"/>
      <c r="M20" s="123"/>
      <c r="N20" s="558">
        <v>1</v>
      </c>
      <c r="O20" s="559" t="s">
        <v>30</v>
      </c>
    </row>
    <row r="21" spans="3:15" x14ac:dyDescent="0.2">
      <c r="I21" s="123"/>
      <c r="J21" s="123"/>
      <c r="K21" s="123"/>
      <c r="L21" s="123"/>
      <c r="M21" s="123"/>
      <c r="N21" s="558">
        <v>2</v>
      </c>
      <c r="O21" s="560" t="s">
        <v>31</v>
      </c>
    </row>
    <row r="22" spans="3:15" x14ac:dyDescent="0.2">
      <c r="C22" t="s">
        <v>335</v>
      </c>
      <c r="E22" t="s">
        <v>336</v>
      </c>
      <c r="G22" t="s">
        <v>337</v>
      </c>
      <c r="I22" s="123"/>
      <c r="J22" s="123"/>
      <c r="K22" s="123"/>
      <c r="L22" s="123"/>
      <c r="M22" s="123"/>
      <c r="N22" s="558"/>
      <c r="O22" s="561"/>
    </row>
    <row r="23" spans="3:15" x14ac:dyDescent="0.2">
      <c r="C23" t="s">
        <v>306</v>
      </c>
      <c r="E23" s="550" t="s">
        <v>11</v>
      </c>
      <c r="F23" t="s">
        <v>76</v>
      </c>
      <c r="G23" s="554" t="str">
        <f>VLOOKUP(valTheme,I9:J19,2,FALSE)</f>
        <v>Show All</v>
      </c>
      <c r="H23" s="554">
        <f>VLOOKUP(valTheme,I9:K19,3,FALSE)</f>
        <v>0</v>
      </c>
      <c r="N23" s="558"/>
      <c r="O23" s="561"/>
    </row>
    <row r="24" spans="3:15" x14ac:dyDescent="0.2">
      <c r="N24" s="558">
        <v>1</v>
      </c>
      <c r="O24" s="560" t="s">
        <v>44</v>
      </c>
    </row>
    <row r="25" spans="3:15" x14ac:dyDescent="0.2">
      <c r="C25" t="s">
        <v>311</v>
      </c>
      <c r="E25" s="550" t="s">
        <v>911</v>
      </c>
      <c r="F25" t="s">
        <v>76</v>
      </c>
      <c r="G25" s="553" t="str">
        <f>LEFT(valSOF,8)</f>
        <v>76952288</v>
      </c>
      <c r="H25" s="10"/>
      <c r="N25" s="558">
        <v>2</v>
      </c>
      <c r="O25" s="559" t="s">
        <v>30</v>
      </c>
    </row>
    <row r="26" spans="3:15" x14ac:dyDescent="0.2">
      <c r="C26" t="s">
        <v>312</v>
      </c>
      <c r="E26" s="551" t="s">
        <v>146</v>
      </c>
      <c r="F26" t="s">
        <v>76</v>
      </c>
      <c r="G26" s="10"/>
      <c r="H26" s="10"/>
      <c r="N26" s="558">
        <v>3</v>
      </c>
      <c r="O26" s="560" t="s">
        <v>31</v>
      </c>
    </row>
    <row r="27" spans="3:15" x14ac:dyDescent="0.2">
      <c r="N27" s="558"/>
      <c r="O27" s="561"/>
    </row>
    <row r="28" spans="3:15" x14ac:dyDescent="0.2">
      <c r="C28" t="s">
        <v>307</v>
      </c>
      <c r="E28" s="550">
        <v>2</v>
      </c>
      <c r="F28" t="s">
        <v>76</v>
      </c>
      <c r="G28" s="554">
        <f>VLOOKUP(valUnits,M9:O11,3,FALSE)</f>
        <v>1000</v>
      </c>
      <c r="H28" s="554" t="str">
        <f>VLOOKUP(valUnits,M9:P11,4,FALSE)</f>
        <v>$Thousands</v>
      </c>
      <c r="N28" s="558"/>
      <c r="O28" s="561"/>
    </row>
    <row r="29" spans="3:15" x14ac:dyDescent="0.2">
      <c r="N29" s="558"/>
      <c r="O29" s="561"/>
    </row>
    <row r="30" spans="3:15" x14ac:dyDescent="0.2">
      <c r="C30" t="s">
        <v>309</v>
      </c>
      <c r="E30" s="550" t="b">
        <v>0</v>
      </c>
      <c r="F30" t="s">
        <v>76</v>
      </c>
      <c r="G30" s="553">
        <f>IF(valCumm,1,0)</f>
        <v>0</v>
      </c>
      <c r="H30" s="10"/>
      <c r="N30" s="558"/>
      <c r="O30" s="561"/>
    </row>
    <row r="31" spans="3:15" x14ac:dyDescent="0.2">
      <c r="C31" t="s">
        <v>308</v>
      </c>
      <c r="E31" s="550">
        <v>2</v>
      </c>
      <c r="F31" t="s">
        <v>76</v>
      </c>
      <c r="G31" s="554" t="str">
        <f>VLOOKUP(E31,N20:O21,2,FALSE)</f>
        <v>Variance</v>
      </c>
      <c r="H31" s="554"/>
      <c r="N31" s="558">
        <v>1</v>
      </c>
      <c r="O31" s="560" t="s">
        <v>243</v>
      </c>
    </row>
    <row r="32" spans="3:15" x14ac:dyDescent="0.2">
      <c r="C32" t="s">
        <v>310</v>
      </c>
      <c r="E32" s="550">
        <v>1</v>
      </c>
      <c r="G32" s="555" t="str">
        <f>VLOOKUP(valSOFSort,N24:O26,2,FALSE)</f>
        <v>SOFFull</v>
      </c>
      <c r="H32" s="10"/>
      <c r="N32" s="558">
        <v>2</v>
      </c>
      <c r="O32" s="559" t="s">
        <v>30</v>
      </c>
    </row>
    <row r="33" spans="3:15" ht="13.5" thickBot="1" x14ac:dyDescent="0.25">
      <c r="C33" t="s">
        <v>313</v>
      </c>
      <c r="E33" s="551">
        <v>1</v>
      </c>
      <c r="G33" s="555" t="str">
        <f>VLOOKUP(valProjectSort,N31:O33,2,FALSE)</f>
        <v>ProjectFull</v>
      </c>
      <c r="H33" s="10"/>
      <c r="N33" s="562">
        <v>3</v>
      </c>
      <c r="O33" s="563" t="s">
        <v>31</v>
      </c>
    </row>
    <row r="34" spans="3:15" x14ac:dyDescent="0.2">
      <c r="C34" s="123"/>
      <c r="D34" s="123"/>
      <c r="E34" s="534"/>
      <c r="F34" s="123"/>
      <c r="G34" s="565"/>
      <c r="H34" s="565"/>
    </row>
    <row r="35" spans="3:15" x14ac:dyDescent="0.2">
      <c r="C35" s="123"/>
      <c r="D35" s="123"/>
      <c r="E35" s="123"/>
      <c r="F35" s="123"/>
      <c r="G35" s="565"/>
      <c r="H35" s="565"/>
    </row>
    <row r="36" spans="3:15" x14ac:dyDescent="0.2">
      <c r="C36" t="s">
        <v>314</v>
      </c>
      <c r="E36" s="285">
        <v>10</v>
      </c>
      <c r="G36" s="10"/>
      <c r="H36" s="10"/>
    </row>
    <row r="37" spans="3:15" x14ac:dyDescent="0.2">
      <c r="C37" t="s">
        <v>315</v>
      </c>
      <c r="E37" s="285">
        <v>8</v>
      </c>
      <c r="G37" s="10"/>
      <c r="H37" s="10"/>
    </row>
    <row r="38" spans="3:15" x14ac:dyDescent="0.2">
      <c r="E38" s="285"/>
      <c r="G38" s="10"/>
      <c r="H38" s="10"/>
    </row>
    <row r="39" spans="3:15" x14ac:dyDescent="0.2">
      <c r="G39" s="10"/>
      <c r="H39" s="10"/>
    </row>
    <row r="40" spans="3:15" x14ac:dyDescent="0.2">
      <c r="C40" t="s">
        <v>316</v>
      </c>
      <c r="E40" s="550" t="b">
        <v>0</v>
      </c>
      <c r="G40" s="10"/>
      <c r="H40" s="10"/>
    </row>
    <row r="41" spans="3:15" x14ac:dyDescent="0.2">
      <c r="C41" t="s">
        <v>317</v>
      </c>
      <c r="E41" t="str">
        <f>IF(selSOFShow, "Hide All SOFs", "Show All SOFs")</f>
        <v>Show All SOFs</v>
      </c>
      <c r="F41" t="s">
        <v>76</v>
      </c>
    </row>
    <row r="42" spans="3:15" x14ac:dyDescent="0.2">
      <c r="C42" t="s">
        <v>318</v>
      </c>
      <c r="E42" s="550" t="b">
        <v>1</v>
      </c>
    </row>
    <row r="43" spans="3:15" x14ac:dyDescent="0.2">
      <c r="C43" t="s">
        <v>319</v>
      </c>
      <c r="E43" t="str">
        <f>IF(selProjectShow, "Hide All Projects", "Show All Projects")</f>
        <v>Hide All Projects</v>
      </c>
      <c r="F43" t="s">
        <v>76</v>
      </c>
    </row>
    <row r="45" spans="3:15" x14ac:dyDescent="0.2">
      <c r="C45" t="s">
        <v>320</v>
      </c>
      <c r="E45" s="550" t="b">
        <v>0</v>
      </c>
    </row>
    <row r="46" spans="3:15" x14ac:dyDescent="0.2">
      <c r="C46" t="s">
        <v>321</v>
      </c>
      <c r="E46" s="550" t="b">
        <v>0</v>
      </c>
    </row>
    <row r="47" spans="3:15" x14ac:dyDescent="0.2">
      <c r="C47" t="s">
        <v>322</v>
      </c>
      <c r="E47" s="550" t="b">
        <v>0</v>
      </c>
    </row>
    <row r="48" spans="3:15" x14ac:dyDescent="0.2">
      <c r="C48" t="s">
        <v>323</v>
      </c>
      <c r="E48" s="550" t="b">
        <v>0</v>
      </c>
    </row>
  </sheetData>
  <mergeCells count="1">
    <mergeCell ref="E8:F8"/>
  </mergeCells>
  <dataValidations disablePrompts="1" count="1">
    <dataValidation type="list" allowBlank="1" showInputMessage="1" showErrorMessage="1" sqref="F3">
      <formula1>$U$9:$U$14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TableLineNum">
                <anchor moveWithCells="1" sizeWithCells="1">
                  <from>
                    <xdr:col>7</xdr:col>
                    <xdr:colOff>466725</xdr:colOff>
                    <xdr:row>3</xdr:row>
                    <xdr:rowOff>152400</xdr:rowOff>
                  </from>
                  <to>
                    <xdr:col>10</xdr:col>
                    <xdr:colOff>552450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UnprotectAll">
                <anchor moveWithCells="1" sizeWithCells="1">
                  <from>
                    <xdr:col>7</xdr:col>
                    <xdr:colOff>504825</xdr:colOff>
                    <xdr:row>1</xdr:row>
                    <xdr:rowOff>47625</xdr:rowOff>
                  </from>
                  <to>
                    <xdr:col>9</xdr:col>
                    <xdr:colOff>85725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ProtectAll">
                <anchor moveWithCells="1" sizeWithCells="1">
                  <from>
                    <xdr:col>9</xdr:col>
                    <xdr:colOff>314325</xdr:colOff>
                    <xdr:row>1</xdr:row>
                    <xdr:rowOff>57150</xdr:rowOff>
                  </from>
                  <to>
                    <xdr:col>10</xdr:col>
                    <xdr:colOff>552450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A1:AN54"/>
  <sheetViews>
    <sheetView showGridLines="0" showZeros="0" tabSelected="1" zoomScale="90" zoomScaleNormal="90" zoomScaleSheetLayoutView="80" workbookViewId="0">
      <selection activeCell="AP20" sqref="AP20"/>
    </sheetView>
  </sheetViews>
  <sheetFormatPr defaultRowHeight="12" x14ac:dyDescent="0.2"/>
  <cols>
    <col min="1" max="1" width="3.42578125" style="2" customWidth="1"/>
    <col min="2" max="2" width="10.85546875" style="2" customWidth="1"/>
    <col min="3" max="3" width="5" style="2" customWidth="1"/>
    <col min="4" max="4" width="5.85546875" style="2" customWidth="1"/>
    <col min="5" max="5" width="6.5703125" style="2" customWidth="1"/>
    <col min="6" max="6" width="6.7109375" style="3" customWidth="1"/>
    <col min="7" max="7" width="0.7109375" style="4" customWidth="1"/>
    <col min="8" max="8" width="2.28515625" style="4" customWidth="1"/>
    <col min="9" max="9" width="13.42578125" style="4" customWidth="1"/>
    <col min="10" max="10" width="10.140625" style="4" customWidth="1"/>
    <col min="11" max="11" width="8.85546875" style="4" customWidth="1"/>
    <col min="12" max="12" width="9" style="4" customWidth="1"/>
    <col min="13" max="13" width="1.28515625" style="141" customWidth="1"/>
    <col min="14" max="14" width="1.7109375" style="4" customWidth="1"/>
    <col min="15" max="15" width="9.28515625" style="2" customWidth="1"/>
    <col min="16" max="16" width="9" style="2" customWidth="1"/>
    <col min="17" max="17" width="8.85546875" style="2" customWidth="1"/>
    <col min="18" max="18" width="0.7109375" style="2" customWidth="1"/>
    <col min="19" max="19" width="2" style="7" customWidth="1"/>
    <col min="20" max="20" width="5.85546875" style="2" customWidth="1"/>
    <col min="21" max="21" width="0.5703125" style="2" customWidth="1"/>
    <col min="22" max="22" width="7.7109375" style="2" customWidth="1"/>
    <col min="23" max="23" width="6.42578125" style="2" customWidth="1"/>
    <col min="24" max="24" width="0.7109375" style="4" customWidth="1"/>
    <col min="25" max="25" width="7.85546875" style="2" customWidth="1"/>
    <col min="26" max="26" width="2.140625" style="2" customWidth="1"/>
    <col min="27" max="27" width="3.28515625" style="2" customWidth="1"/>
    <col min="28" max="28" width="9.140625" style="1" hidden="1" customWidth="1"/>
    <col min="29" max="29" width="6.28515625" style="1" hidden="1" customWidth="1"/>
    <col min="30" max="32" width="9.140625" style="1" hidden="1" customWidth="1"/>
    <col min="33" max="33" width="2.7109375" style="1" hidden="1" customWidth="1"/>
    <col min="34" max="35" width="8.28515625" style="1" hidden="1" customWidth="1"/>
    <col min="36" max="36" width="15.85546875" style="1" hidden="1" customWidth="1"/>
    <col min="37" max="40" width="9.140625" style="1" hidden="1" customWidth="1"/>
    <col min="41" max="43" width="9.140625" style="2" customWidth="1"/>
    <col min="44" max="16384" width="9.140625" style="2"/>
  </cols>
  <sheetData>
    <row r="1" spans="1:40" ht="2.25" customHeight="1" x14ac:dyDescent="0.2">
      <c r="A1" s="48"/>
      <c r="B1" s="49"/>
      <c r="C1" s="49"/>
      <c r="D1" s="49"/>
      <c r="E1" s="49"/>
      <c r="F1" s="50"/>
      <c r="G1" s="51"/>
      <c r="H1" s="51"/>
      <c r="I1" s="51"/>
      <c r="J1" s="51"/>
      <c r="K1" s="51"/>
      <c r="L1" s="51"/>
      <c r="M1" s="133"/>
      <c r="N1" s="51"/>
      <c r="O1" s="49"/>
      <c r="P1" s="49"/>
      <c r="Q1" s="49"/>
      <c r="R1" s="49"/>
      <c r="S1" s="52"/>
      <c r="T1" s="49"/>
      <c r="U1" s="49"/>
      <c r="V1" s="49"/>
      <c r="W1" s="49"/>
      <c r="X1" s="51"/>
      <c r="Y1" s="49"/>
      <c r="Z1" s="53"/>
    </row>
    <row r="2" spans="1:40" ht="21.75" customHeight="1" thickBot="1" x14ac:dyDescent="0.3">
      <c r="A2" s="59"/>
      <c r="B2" s="60"/>
      <c r="C2" s="60"/>
      <c r="D2" s="60"/>
      <c r="E2" s="111"/>
      <c r="F2" s="61"/>
      <c r="G2" s="62"/>
      <c r="H2" s="63"/>
      <c r="I2" s="63"/>
      <c r="J2" s="156" t="s">
        <v>77</v>
      </c>
      <c r="K2" s="63"/>
      <c r="L2" s="63"/>
      <c r="M2" s="134"/>
      <c r="N2" s="63"/>
      <c r="O2" s="64"/>
      <c r="P2" s="65"/>
      <c r="Q2" s="60"/>
      <c r="R2" s="60"/>
      <c r="S2" s="66"/>
      <c r="T2" s="67" t="s">
        <v>26</v>
      </c>
      <c r="U2" s="68"/>
      <c r="V2" s="581">
        <f>Selections!F2</f>
        <v>41470</v>
      </c>
      <c r="W2" s="581"/>
      <c r="X2" s="581"/>
      <c r="Y2" s="581"/>
      <c r="Z2" s="69"/>
      <c r="AB2" s="1" t="s">
        <v>0</v>
      </c>
    </row>
    <row r="3" spans="1:40" s="4" customFormat="1" ht="2.25" customHeight="1" x14ac:dyDescent="0.2">
      <c r="A3" s="70"/>
      <c r="B3" s="51"/>
      <c r="C3" s="51"/>
      <c r="D3" s="51"/>
      <c r="E3" s="51"/>
      <c r="F3" s="103"/>
      <c r="G3" s="107"/>
      <c r="H3" s="108"/>
      <c r="I3" s="108"/>
      <c r="J3" s="108"/>
      <c r="K3" s="108"/>
      <c r="L3" s="108"/>
      <c r="M3" s="135"/>
      <c r="S3" s="38"/>
      <c r="Y3" s="90"/>
      <c r="Z3" s="82"/>
      <c r="AB3" s="1"/>
      <c r="AC3" s="1"/>
      <c r="AD3" s="1"/>
      <c r="AE3" s="1"/>
      <c r="AF3" s="1"/>
      <c r="AG3" s="1"/>
      <c r="AH3" s="1"/>
      <c r="AI3" s="1"/>
      <c r="AJ3" s="1"/>
      <c r="AK3" s="1"/>
      <c r="AL3" s="1" t="s">
        <v>12</v>
      </c>
      <c r="AM3" s="1"/>
      <c r="AN3" s="1"/>
    </row>
    <row r="4" spans="1:40" s="4" customFormat="1" ht="12" customHeight="1" x14ac:dyDescent="0.2">
      <c r="A4" s="71" t="s">
        <v>240</v>
      </c>
      <c r="B4" s="11"/>
      <c r="C4" s="11"/>
      <c r="D4" s="11"/>
      <c r="E4" s="11"/>
      <c r="F4" s="18"/>
      <c r="G4" s="109"/>
      <c r="H4" s="579" t="s">
        <v>87</v>
      </c>
      <c r="I4" s="579"/>
      <c r="J4" s="122" t="s">
        <v>82</v>
      </c>
      <c r="K4" s="122" t="s">
        <v>162</v>
      </c>
      <c r="L4" s="122" t="s">
        <v>39</v>
      </c>
      <c r="M4" s="136"/>
      <c r="N4" s="39" t="s">
        <v>89</v>
      </c>
      <c r="Y4" s="91" t="s">
        <v>40</v>
      </c>
      <c r="Z4" s="113"/>
      <c r="AB4" s="1"/>
      <c r="AC4" s="1"/>
      <c r="AD4" s="1"/>
      <c r="AE4" s="1"/>
      <c r="AF4" s="1"/>
      <c r="AG4" s="1"/>
      <c r="AH4" s="1"/>
      <c r="AI4" s="1"/>
      <c r="AJ4" s="1" t="s">
        <v>11</v>
      </c>
      <c r="AK4" s="1"/>
      <c r="AL4" s="1" t="s">
        <v>13</v>
      </c>
      <c r="AM4" s="1" t="s">
        <v>163</v>
      </c>
      <c r="AN4" s="1" t="s">
        <v>30</v>
      </c>
    </row>
    <row r="5" spans="1:40" ht="12.95" customHeight="1" x14ac:dyDescent="0.2">
      <c r="A5" s="54"/>
      <c r="B5" s="13"/>
      <c r="C5" s="13"/>
      <c r="D5" s="13"/>
      <c r="E5" s="13"/>
      <c r="F5" s="55"/>
      <c r="G5" s="109"/>
      <c r="H5" s="579"/>
      <c r="I5" s="579"/>
      <c r="J5" s="425">
        <f>VLOOKUP(userForecast,Funding!$B$2:$E$7,3,FALSE)</f>
        <v>45507.96223999995</v>
      </c>
      <c r="K5" s="425">
        <f>VLOOKUP(userForecast,Funding!$B$2:$E$7,4,FALSE)</f>
        <v>15796.832521000009</v>
      </c>
      <c r="L5" s="425">
        <f>K5+J5</f>
        <v>61304.794760999961</v>
      </c>
      <c r="M5" s="136">
        <v>3</v>
      </c>
      <c r="N5" s="40" t="s">
        <v>94</v>
      </c>
      <c r="O5" s="11"/>
      <c r="P5" s="11"/>
      <c r="Q5" s="11"/>
      <c r="R5" s="112">
        <v>31</v>
      </c>
      <c r="S5" s="575" t="s">
        <v>30</v>
      </c>
      <c r="T5" s="575"/>
      <c r="U5" s="11">
        <v>30</v>
      </c>
      <c r="V5" s="575" t="s">
        <v>31</v>
      </c>
      <c r="W5" s="575"/>
      <c r="Y5" s="92" t="str">
        <f>Selections!$F$3</f>
        <v>1st   (Apr)</v>
      </c>
      <c r="Z5" s="113"/>
      <c r="AD5" s="1" t="s">
        <v>35</v>
      </c>
      <c r="AE5" s="1" t="s">
        <v>30</v>
      </c>
      <c r="AF5" s="1" t="s">
        <v>31</v>
      </c>
      <c r="AH5" s="1" t="s">
        <v>69</v>
      </c>
      <c r="AI5" s="1">
        <f>SUBTOTAL(5,DB_HighSOF[Variance])</f>
        <v>-1231.5402070000002</v>
      </c>
      <c r="AJ5" s="297" t="s">
        <v>342</v>
      </c>
      <c r="AL5" s="1" t="s">
        <v>41</v>
      </c>
      <c r="AM5" s="1" t="s">
        <v>164</v>
      </c>
      <c r="AN5" s="1" t="s">
        <v>31</v>
      </c>
    </row>
    <row r="6" spans="1:40" ht="12.95" customHeight="1" x14ac:dyDescent="0.2">
      <c r="A6" s="54"/>
      <c r="B6" s="13"/>
      <c r="C6" s="13"/>
      <c r="D6" s="13"/>
      <c r="E6" s="13"/>
      <c r="F6" s="55" t="s">
        <v>39</v>
      </c>
      <c r="G6" s="45"/>
      <c r="H6" s="11"/>
      <c r="I6" s="11"/>
      <c r="J6" s="11"/>
      <c r="K6" s="11"/>
      <c r="L6" s="11"/>
      <c r="M6" s="137">
        <v>1</v>
      </c>
      <c r="N6" s="11"/>
      <c r="O6" s="43" t="str">
        <f>IF(ISERROR(AE6),"None",IF(AF6&lt;0,"",VLOOKUP($M6,Table_HighSOF,$M$5,FALSE)))</f>
        <v>81107313 - SOF 55</v>
      </c>
      <c r="P6" s="74"/>
      <c r="Q6" s="74"/>
      <c r="R6" s="84" t="s">
        <v>76</v>
      </c>
      <c r="S6" s="266">
        <f>IF(ISERROR(AE6),"", IF(AF6&lt;0,"", IF(AD6=0,"ß", ABS(AE6-1))))</f>
        <v>4.1724477490609555</v>
      </c>
      <c r="T6" s="44">
        <f>IF(ISERROR(AE6),"",IF(AF6&lt;0,"",AE6))</f>
        <v>5.1724477490609555</v>
      </c>
      <c r="U6" s="84"/>
      <c r="V6" s="426"/>
      <c r="W6" s="427">
        <f>IF(ISERROR(AF6),0,IF(AF6&gt;0,AF6,0))</f>
        <v>499.94488399999977</v>
      </c>
      <c r="Y6" s="93"/>
      <c r="Z6" s="113"/>
      <c r="AD6" s="1">
        <f>VLOOKUP($M6,Table_HighSOF,$U$5-2,FALSE)</f>
        <v>119.820526</v>
      </c>
      <c r="AE6" s="1">
        <f>VLOOKUP($M6,Table_HighSOF,$R$5,FALSE)</f>
        <v>5.1724477490609555</v>
      </c>
      <c r="AF6" s="1">
        <f>VLOOKUP($M6,Table_HighSOF,$U$5,FALSE)</f>
        <v>499.94488399999977</v>
      </c>
      <c r="AH6" s="1" t="s">
        <v>70</v>
      </c>
      <c r="AI6" s="1">
        <f>SUBTOTAL(4,DB_HighSOF[Variance])</f>
        <v>499.94488399999977</v>
      </c>
      <c r="AJ6" s="566" t="s">
        <v>343</v>
      </c>
    </row>
    <row r="7" spans="1:40" ht="12.95" customHeight="1" x14ac:dyDescent="0.2">
      <c r="A7" s="117"/>
      <c r="B7" s="114" t="s">
        <v>342</v>
      </c>
      <c r="C7" s="115"/>
      <c r="D7" s="115"/>
      <c r="E7" s="115"/>
      <c r="F7" s="419">
        <f ca="1">Funding!O3</f>
        <v>15055.26720899998</v>
      </c>
      <c r="G7" s="45"/>
      <c r="H7" s="11"/>
      <c r="I7" s="11"/>
      <c r="J7" s="11"/>
      <c r="K7" s="11"/>
      <c r="L7" s="11"/>
      <c r="M7" s="137">
        <v>2</v>
      </c>
      <c r="N7" s="11"/>
      <c r="O7" s="43" t="str">
        <f>IF(ISERROR(AE7),"",IF(AF7&lt;0,"",VLOOKUP($M7,Table_HighSOF,$M$5,FALSE)))</f>
        <v>96913151 - SOF 38</v>
      </c>
      <c r="P7" s="85"/>
      <c r="Q7" s="85"/>
      <c r="R7" s="73" t="s">
        <v>76</v>
      </c>
      <c r="S7" s="266">
        <f t="shared" ref="S7:S10" si="0">IF(ISERROR(AE7),"", IF(AF7&lt;0,"", IF(AD7=0,"ß", ABS(AE7-1))))</f>
        <v>8.603651868828166E-2</v>
      </c>
      <c r="T7" s="44">
        <f t="shared" ref="T7:T10" si="1">IF(ISERROR(AE7),"",IF(AF7&lt;=0,"",AE7))</f>
        <v>1.0860365186882817</v>
      </c>
      <c r="U7" s="84"/>
      <c r="V7" s="426"/>
      <c r="W7" s="427">
        <f>IF(ISERROR(AF7),0,IF(AF7&gt;0,AF7,0))</f>
        <v>158.64894400000003</v>
      </c>
      <c r="Y7" s="91" t="s">
        <v>304</v>
      </c>
      <c r="Z7" s="113"/>
      <c r="AD7" s="1">
        <f>VLOOKUP($M7,Table_HighSOF,$U$5-2,FALSE)</f>
        <v>1843.9721460000003</v>
      </c>
      <c r="AE7" s="1">
        <f>VLOOKUP($M7,Table_HighSOF,$R$5,FALSE)</f>
        <v>1.0860365186882817</v>
      </c>
      <c r="AF7" s="1">
        <f>VLOOKUP($M7,Table_HighSOF,$U$5,FALSE)</f>
        <v>158.64894400000003</v>
      </c>
      <c r="AJ7" s="567" t="s">
        <v>344</v>
      </c>
    </row>
    <row r="8" spans="1:40" ht="12.95" customHeight="1" x14ac:dyDescent="0.2">
      <c r="A8" s="54"/>
      <c r="B8" s="72" t="s">
        <v>343</v>
      </c>
      <c r="C8" s="13"/>
      <c r="D8" s="13"/>
      <c r="E8" s="13"/>
      <c r="F8" s="420">
        <f ca="1">Funding!O4</f>
        <v>9348.1527139999944</v>
      </c>
      <c r="G8" s="45"/>
      <c r="H8" s="11"/>
      <c r="I8" s="11"/>
      <c r="J8" s="11"/>
      <c r="K8" s="11"/>
      <c r="L8" s="11"/>
      <c r="M8" s="137">
        <v>3</v>
      </c>
      <c r="N8" s="11"/>
      <c r="O8" s="43" t="str">
        <f>IF(ISERROR(AE8),"",IF(AF8&lt;0,"",VLOOKUP($M8,Table_HighSOF,$M$5,FALSE)))</f>
        <v>23386574 - SOF 7</v>
      </c>
      <c r="P8" s="85"/>
      <c r="Q8" s="85"/>
      <c r="R8" s="73" t="s">
        <v>76</v>
      </c>
      <c r="S8" s="266">
        <f t="shared" si="0"/>
        <v>0.13056042459575479</v>
      </c>
      <c r="T8" s="44">
        <f t="shared" si="1"/>
        <v>1.1305604245957548</v>
      </c>
      <c r="U8" s="84"/>
      <c r="V8" s="426"/>
      <c r="W8" s="427">
        <f>IF(ISERROR(AF8),0,IF(AF8&gt;0,AF8,0))</f>
        <v>109.90003800000022</v>
      </c>
      <c r="Y8" s="94"/>
      <c r="Z8" s="113"/>
      <c r="AD8" s="1">
        <f>VLOOKUP($M8,Table_HighSOF,$U$5-2,FALSE)</f>
        <v>841.75613199999998</v>
      </c>
      <c r="AE8" s="1">
        <f>VLOOKUP($M8,Table_HighSOF,$R$5,FALSE)</f>
        <v>1.1305604245957548</v>
      </c>
      <c r="AF8" s="1">
        <f>VLOOKUP($M8,Table_HighSOF,$U$5,FALSE)</f>
        <v>109.90003800000022</v>
      </c>
      <c r="AH8" s="1" t="s">
        <v>71</v>
      </c>
      <c r="AI8" s="1">
        <f>threshYellow</f>
        <v>0.2</v>
      </c>
      <c r="AJ8" s="566" t="s">
        <v>345</v>
      </c>
    </row>
    <row r="9" spans="1:40" ht="12.95" customHeight="1" x14ac:dyDescent="0.2">
      <c r="A9" s="117"/>
      <c r="B9" s="114" t="s">
        <v>344</v>
      </c>
      <c r="C9" s="115"/>
      <c r="D9" s="115"/>
      <c r="E9" s="115"/>
      <c r="F9" s="419">
        <f ca="1">Funding!O5</f>
        <v>11546.932385999966</v>
      </c>
      <c r="G9" s="45"/>
      <c r="H9" s="11"/>
      <c r="I9" s="11"/>
      <c r="J9" s="11"/>
      <c r="K9" s="11"/>
      <c r="L9" s="11"/>
      <c r="M9" s="137">
        <v>4</v>
      </c>
      <c r="N9" s="11"/>
      <c r="O9" s="43" t="str">
        <f>IF(ISERROR(AE9),"",IF(AF9&lt;0,"",VLOOKUP($M9,Table_HighSOF,$M$5,FALSE)))</f>
        <v>21254302 - SOF 34</v>
      </c>
      <c r="P9" s="85"/>
      <c r="Q9" s="85"/>
      <c r="R9" s="73" t="s">
        <v>76</v>
      </c>
      <c r="S9" s="266">
        <f t="shared" si="0"/>
        <v>2.5019857052508643E-2</v>
      </c>
      <c r="T9" s="44">
        <f t="shared" si="1"/>
        <v>1.0250198570525086</v>
      </c>
      <c r="U9" s="84"/>
      <c r="V9" s="426"/>
      <c r="W9" s="427">
        <f>IF(ISERROR(AF9),0,IF(AF9&gt;0,AF9,0))</f>
        <v>79.077633999999762</v>
      </c>
      <c r="Y9" s="91" t="s">
        <v>28</v>
      </c>
      <c r="Z9" s="113"/>
      <c r="AD9" s="1">
        <f>VLOOKUP($M9,Table_HighSOF,$U$5-2,FALSE)</f>
        <v>3160.5949560000004</v>
      </c>
      <c r="AE9" s="1">
        <f>VLOOKUP($M9,Table_HighSOF,$R$5,FALSE)</f>
        <v>1.0250198570525086</v>
      </c>
      <c r="AF9" s="1">
        <f>VLOOKUP($M9,Table_HighSOF,$U$5,FALSE)</f>
        <v>79.077633999999762</v>
      </c>
      <c r="AH9" s="1" t="s">
        <v>72</v>
      </c>
      <c r="AI9" s="1">
        <f>threshRed</f>
        <v>0.5</v>
      </c>
      <c r="AJ9" s="567" t="s">
        <v>346</v>
      </c>
    </row>
    <row r="10" spans="1:40" ht="12.95" customHeight="1" x14ac:dyDescent="0.2">
      <c r="A10" s="54"/>
      <c r="B10" s="72" t="s">
        <v>345</v>
      </c>
      <c r="C10" s="13"/>
      <c r="D10" s="13"/>
      <c r="E10" s="13"/>
      <c r="F10" s="420">
        <f ca="1">Funding!O6</f>
        <v>1223.9393649999975</v>
      </c>
      <c r="G10" s="45"/>
      <c r="H10" s="11"/>
      <c r="I10" s="11"/>
      <c r="J10" s="11"/>
      <c r="K10" s="11"/>
      <c r="L10" s="11"/>
      <c r="M10" s="137">
        <v>5</v>
      </c>
      <c r="N10" s="11"/>
      <c r="O10" s="43" t="str">
        <f>IF(ISERROR(AE10),"",IF(AF10&lt;0,"",VLOOKUP($M10,Table_HighSOF,$M$5,FALSE)))</f>
        <v>13514762 - SOF 63</v>
      </c>
      <c r="P10" s="85"/>
      <c r="Q10" s="85"/>
      <c r="R10" s="73" t="s">
        <v>76</v>
      </c>
      <c r="S10" s="266">
        <f t="shared" si="0"/>
        <v>1.0744929367288201</v>
      </c>
      <c r="T10" s="44">
        <f t="shared" si="1"/>
        <v>2.0744929367288201</v>
      </c>
      <c r="U10" s="84"/>
      <c r="V10" s="426"/>
      <c r="W10" s="427">
        <f>IF(ISERROR(AF10),0,IF(AF10&gt;0,AF10,0))</f>
        <v>57.766495999999989</v>
      </c>
      <c r="Y10" s="95"/>
      <c r="Z10" s="113"/>
      <c r="AD10" s="1">
        <f>VLOOKUP($M10,Table_HighSOF,$U$5-2,FALSE)</f>
        <v>53.761634000000001</v>
      </c>
      <c r="AE10" s="1">
        <f>VLOOKUP($M10,Table_HighSOF,$R$5,FALSE)</f>
        <v>2.0744929367288201</v>
      </c>
      <c r="AF10" s="1">
        <f>VLOOKUP($M10,Table_HighSOF,$U$5,FALSE)</f>
        <v>57.766495999999989</v>
      </c>
      <c r="AJ10" s="566" t="s">
        <v>347</v>
      </c>
    </row>
    <row r="11" spans="1:40" ht="12.95" customHeight="1" thickBot="1" x14ac:dyDescent="0.25">
      <c r="A11" s="117"/>
      <c r="B11" s="114" t="s">
        <v>346</v>
      </c>
      <c r="C11" s="115"/>
      <c r="D11" s="115"/>
      <c r="E11" s="115"/>
      <c r="F11" s="419">
        <f ca="1">Funding!O7</f>
        <v>2702.9825049999931</v>
      </c>
      <c r="G11" s="45"/>
      <c r="H11" s="11"/>
      <c r="I11" s="11"/>
      <c r="J11" s="11"/>
      <c r="K11" s="11"/>
      <c r="L11" s="11"/>
      <c r="M11" s="137"/>
      <c r="N11" s="40" t="s">
        <v>93</v>
      </c>
      <c r="O11" s="11"/>
      <c r="P11" s="11"/>
      <c r="Q11" s="11"/>
      <c r="R11" s="13"/>
      <c r="S11" s="14"/>
      <c r="T11" s="13"/>
      <c r="U11" s="13"/>
      <c r="V11" s="428"/>
      <c r="W11" s="428"/>
      <c r="Y11" s="97"/>
      <c r="Z11" s="113"/>
      <c r="AJ11" s="567" t="s">
        <v>348</v>
      </c>
    </row>
    <row r="12" spans="1:40" ht="12.95" customHeight="1" thickTop="1" thickBot="1" x14ac:dyDescent="0.25">
      <c r="A12" s="54"/>
      <c r="B12" s="72" t="s">
        <v>347</v>
      </c>
      <c r="C12" s="13"/>
      <c r="D12" s="13"/>
      <c r="E12" s="13"/>
      <c r="F12" s="420">
        <f ca="1">Funding!O8</f>
        <v>7052.9031140000106</v>
      </c>
      <c r="G12" s="45"/>
      <c r="H12" s="11"/>
      <c r="I12" s="11"/>
      <c r="J12" s="11"/>
      <c r="K12" s="11"/>
      <c r="L12" s="11"/>
      <c r="M12" s="137">
        <v>4</v>
      </c>
      <c r="N12" s="11"/>
      <c r="O12" s="43" t="str">
        <f>IF(ISERROR(AD12),"", IF(AF12&gt;0,"", VLOOKUP(HighSOF!$A$800-M12,Table_HighSOF,$M$5,FALSE)))</f>
        <v>42910073 - SOF 13</v>
      </c>
      <c r="P12" s="85"/>
      <c r="Q12" s="85"/>
      <c r="R12" s="73" t="s">
        <v>76</v>
      </c>
      <c r="S12" s="267">
        <f>IF(ISERROR(AE12),"", IF(AF12&gt;0, "", IF(AD12=0,"ß", ABS(AE12-1))))</f>
        <v>0.65889342208571966</v>
      </c>
      <c r="T12" s="44">
        <f>IF(ISERROR(AE12),"",IF(AF12&gt;0,"",AE12))</f>
        <v>0.3411065779142804</v>
      </c>
      <c r="U12" s="84"/>
      <c r="V12" s="422">
        <f>IF(ISERROR(AF12),0,IF(AF12&lt;0,AF12,0))</f>
        <v>-156.52629899999999</v>
      </c>
      <c r="W12" s="426"/>
      <c r="Y12" s="98" t="s">
        <v>32</v>
      </c>
      <c r="Z12" s="113"/>
      <c r="AD12" s="1">
        <f>VLOOKUP(HighSOF!$A$800-$M12,Table_HighSOF,$U$5-2,FALSE)</f>
        <v>237.559359</v>
      </c>
      <c r="AE12" s="1">
        <f>VLOOKUP(HighSOF!$A$800-$M12,Table_HighSOF,$R$5,FALSE)</f>
        <v>0.3411065779142804</v>
      </c>
      <c r="AF12" s="1">
        <f>VLOOKUP(HighSOF!$A$800-$M12,Table_HighSOF,$U$5,FALSE)</f>
        <v>-156.52629899999999</v>
      </c>
      <c r="AJ12" s="566" t="s">
        <v>349</v>
      </c>
    </row>
    <row r="13" spans="1:40" ht="12.95" customHeight="1" thickTop="1" thickBot="1" x14ac:dyDescent="0.25">
      <c r="A13" s="117"/>
      <c r="B13" s="114" t="s">
        <v>348</v>
      </c>
      <c r="C13" s="115"/>
      <c r="D13" s="115"/>
      <c r="E13" s="115"/>
      <c r="F13" s="419">
        <f ca="1">Funding!O9</f>
        <v>6471.9108090000063</v>
      </c>
      <c r="G13" s="45"/>
      <c r="H13" s="11"/>
      <c r="I13" s="11"/>
      <c r="J13" s="11"/>
      <c r="K13" s="11"/>
      <c r="L13" s="11"/>
      <c r="M13" s="137">
        <v>3</v>
      </c>
      <c r="N13" s="11"/>
      <c r="O13" s="43" t="str">
        <f>IF(ISERROR(AD13),"", IF(AF13&gt;0,"", VLOOKUP(HighSOF!$A$800-M13,Table_HighSOF,$M$5,FALSE)))</f>
        <v>44334113 - SOF 59</v>
      </c>
      <c r="P13" s="85"/>
      <c r="Q13" s="85"/>
      <c r="R13" s="73" t="s">
        <v>76</v>
      </c>
      <c r="S13" s="267">
        <f t="shared" ref="S13:S16" si="2">IF(ISERROR(AE13),"", IF(AF13&gt;0, "", IF(AD13=0,"ß", ABS(AE13-1))))</f>
        <v>1.0004692862240814</v>
      </c>
      <c r="T13" s="44">
        <f>IF(ISERROR(AE13),"",IF(AF13&gt;0,"",AE13))</f>
        <v>-4.6928622408129152E-4</v>
      </c>
      <c r="U13" s="84"/>
      <c r="V13" s="422">
        <f>IF(ISERROR(AF13),0,IF(AF13&lt;0,AF13,0))</f>
        <v>-331.189998</v>
      </c>
      <c r="W13" s="426"/>
      <c r="Y13" s="98" t="s">
        <v>29</v>
      </c>
      <c r="Z13" s="113"/>
      <c r="AD13" s="1">
        <f>VLOOKUP(HighSOF!$A$800-$M13,Table_HighSOF,$U$5-2,FALSE)</f>
        <v>331.034648</v>
      </c>
      <c r="AE13" s="1">
        <f>VLOOKUP(HighSOF!$A$800-$M13,Table_HighSOF,$R$5,FALSE)</f>
        <v>-4.6928622408129152E-4</v>
      </c>
      <c r="AF13" s="1">
        <f>VLOOKUP(HighSOF!$A$800-$M13,Table_HighSOF,$U$5,FALSE)</f>
        <v>-331.189998</v>
      </c>
      <c r="AJ13" s="567" t="s">
        <v>350</v>
      </c>
    </row>
    <row r="14" spans="1:40" ht="12.95" customHeight="1" thickTop="1" thickBot="1" x14ac:dyDescent="0.25">
      <c r="A14" s="54"/>
      <c r="B14" s="72" t="s">
        <v>349</v>
      </c>
      <c r="C14" s="13"/>
      <c r="D14" s="13"/>
      <c r="E14" s="13"/>
      <c r="F14" s="420">
        <f ca="1">Funding!O10</f>
        <v>3162.6073819999938</v>
      </c>
      <c r="G14" s="45"/>
      <c r="H14" s="11"/>
      <c r="I14" s="11"/>
      <c r="J14" s="11"/>
      <c r="K14" s="11"/>
      <c r="L14" s="11"/>
      <c r="M14" s="137">
        <v>2</v>
      </c>
      <c r="N14" s="11"/>
      <c r="O14" s="43" t="str">
        <f>IF(ISERROR(AD14),"", IF(AF14&gt;0,"", VLOOKUP(HighSOF!$A$800-M14,Table_HighSOF,$M$5,FALSE)))</f>
        <v>54109154 - SOF 12</v>
      </c>
      <c r="P14" s="85"/>
      <c r="Q14" s="85"/>
      <c r="R14" s="73" t="s">
        <v>76</v>
      </c>
      <c r="S14" s="267">
        <f t="shared" si="2"/>
        <v>0.69216660491465998</v>
      </c>
      <c r="T14" s="44">
        <f>IF(ISERROR(AE14),"",IF(AF14&gt;0,"",AE14))</f>
        <v>0.30783339508534002</v>
      </c>
      <c r="U14" s="84"/>
      <c r="V14" s="422">
        <f>IF(ISERROR(AF14),0,IF(AF14&lt;0,AF14,0))</f>
        <v>-872.11652600000025</v>
      </c>
      <c r="W14" s="426"/>
      <c r="Y14" s="96"/>
      <c r="Z14" s="113"/>
      <c r="AA14" s="54"/>
      <c r="AD14" s="1">
        <f>VLOOKUP(HighSOF!$A$800-$M14,Table_HighSOF,$U$5-2,FALSE)</f>
        <v>1259.9806460000002</v>
      </c>
      <c r="AE14" s="1">
        <f>VLOOKUP(HighSOF!$A$800-$M14,Table_HighSOF,$R$5,FALSE)</f>
        <v>0.30783339508534002</v>
      </c>
      <c r="AF14" s="1">
        <f>VLOOKUP(HighSOF!$A$800-$M14,Table_HighSOF,$U$5,FALSE)</f>
        <v>-872.11652600000025</v>
      </c>
      <c r="AJ14" s="566" t="s">
        <v>351</v>
      </c>
    </row>
    <row r="15" spans="1:40" ht="12.95" customHeight="1" thickTop="1" thickBot="1" x14ac:dyDescent="0.25">
      <c r="A15" s="117"/>
      <c r="B15" s="114" t="s">
        <v>350</v>
      </c>
      <c r="C15" s="115"/>
      <c r="D15" s="115"/>
      <c r="E15" s="115"/>
      <c r="F15" s="419">
        <f ca="1">Funding!O11</f>
        <v>268.94040400000023</v>
      </c>
      <c r="G15" s="45"/>
      <c r="H15" s="13" t="s">
        <v>40</v>
      </c>
      <c r="I15" s="11"/>
      <c r="J15" s="11"/>
      <c r="K15" s="11"/>
      <c r="L15" s="11"/>
      <c r="M15" s="137">
        <v>1</v>
      </c>
      <c r="N15" s="11"/>
      <c r="O15" s="43" t="str">
        <f>IF(ISERROR(AD15),"", IF(AF15&gt;0,"", VLOOKUP(HighSOF!$A$800-M15,Table_HighSOF,$M$5,FALSE)))</f>
        <v>96171218 - SOF 93</v>
      </c>
      <c r="P15" s="85"/>
      <c r="Q15" s="85"/>
      <c r="R15" s="73" t="s">
        <v>76</v>
      </c>
      <c r="S15" s="267">
        <f t="shared" si="2"/>
        <v>0.29675179156061093</v>
      </c>
      <c r="T15" s="44">
        <f>IF(ISERROR(AE15),"",IF(AF15&gt;0,"",AE15))</f>
        <v>0.70324820843938907</v>
      </c>
      <c r="U15" s="84"/>
      <c r="V15" s="422">
        <f>IF(ISERROR(AF15),0,IF(AF15&lt;0,AF15,0))</f>
        <v>-919.24188699999968</v>
      </c>
      <c r="W15" s="426"/>
      <c r="Y15" s="96"/>
      <c r="Z15" s="113"/>
      <c r="AA15" s="54"/>
      <c r="AD15" s="1">
        <f>VLOOKUP(HighSOF!$A$800-$M15,Table_HighSOF,$U$5-2,FALSE)</f>
        <v>3097.6793169999996</v>
      </c>
      <c r="AE15" s="1">
        <f>VLOOKUP(HighSOF!$A$800-$M15,Table_HighSOF,$R$5,FALSE)</f>
        <v>0.70324820843938907</v>
      </c>
      <c r="AF15" s="1">
        <f>VLOOKUP(HighSOF!$A$800-$M15,Table_HighSOF,$U$5,FALSE)</f>
        <v>-919.24188699999968</v>
      </c>
      <c r="AJ15" s="1" t="s">
        <v>155</v>
      </c>
      <c r="AK15" s="1">
        <f>1+AI8</f>
        <v>1.2</v>
      </c>
      <c r="AL15" s="1">
        <f>1-AI8</f>
        <v>0.8</v>
      </c>
    </row>
    <row r="16" spans="1:40" ht="12.95" customHeight="1" thickTop="1" thickBot="1" x14ac:dyDescent="0.25">
      <c r="A16" s="54"/>
      <c r="B16" s="72" t="s">
        <v>351</v>
      </c>
      <c r="C16" s="13"/>
      <c r="D16" s="13"/>
      <c r="E16" s="13"/>
      <c r="F16" s="420">
        <f ca="1">Funding!O12</f>
        <v>4471.158873000013</v>
      </c>
      <c r="G16" s="45"/>
      <c r="H16" s="11"/>
      <c r="I16" s="11"/>
      <c r="J16" s="11"/>
      <c r="K16" s="11"/>
      <c r="L16" s="11"/>
      <c r="M16" s="137">
        <v>0</v>
      </c>
      <c r="N16" s="11"/>
      <c r="O16" s="43" t="str">
        <f>IF(ISERROR(AD16),"None", IF(AF16&gt;0,"", VLOOKUP(HighSOF!$A$800-M16,Table_HighSOF,$M$5,FALSE)))</f>
        <v>76952288 - SOF 11</v>
      </c>
      <c r="P16" s="85"/>
      <c r="Q16" s="85"/>
      <c r="R16" s="73" t="s">
        <v>76</v>
      </c>
      <c r="S16" s="267">
        <f t="shared" si="2"/>
        <v>0.58482777337121927</v>
      </c>
      <c r="T16" s="44">
        <f>IF(ISERROR(AE16),"",IF(AF16&gt;0,"",AE16))</f>
        <v>0.41517222662878073</v>
      </c>
      <c r="U16" s="84"/>
      <c r="V16" s="422">
        <f>IF(ISERROR(AF16),0,IF(AF16&lt;0,AF16,0))</f>
        <v>-1231.5402070000002</v>
      </c>
      <c r="W16" s="426"/>
      <c r="Y16" s="96"/>
      <c r="Z16" s="113"/>
      <c r="AA16" s="54"/>
      <c r="AD16" s="1">
        <f>VLOOKUP(HighSOF!$A$800-$M16,Table_HighSOF,$U$5-2,FALSE)</f>
        <v>2105.8168970000002</v>
      </c>
      <c r="AE16" s="1">
        <f>VLOOKUP(HighSOF!$A$800-$M16,Table_HighSOF,$R$5,FALSE)</f>
        <v>0.41517222662878073</v>
      </c>
      <c r="AF16" s="1">
        <f>VLOOKUP(HighSOF!$A$800-$M16,Table_HighSOF,$U$5,FALSE)</f>
        <v>-1231.5402070000002</v>
      </c>
      <c r="AK16" s="1">
        <f>1+AI9</f>
        <v>1.5</v>
      </c>
      <c r="AL16" s="1">
        <f>1-AI9</f>
        <v>0.5</v>
      </c>
    </row>
    <row r="17" spans="1:40" s="4" customFormat="1" ht="3.75" customHeight="1" thickTop="1" x14ac:dyDescent="0.2">
      <c r="A17" s="148"/>
      <c r="B17" s="149"/>
      <c r="C17" s="149"/>
      <c r="D17" s="149"/>
      <c r="E17" s="149"/>
      <c r="F17" s="150"/>
      <c r="G17" s="45"/>
      <c r="H17" s="11"/>
      <c r="I17" s="11"/>
      <c r="J17" s="11"/>
      <c r="K17" s="11"/>
      <c r="L17" s="11"/>
      <c r="M17" s="137"/>
      <c r="N17" s="152"/>
      <c r="O17" s="149"/>
      <c r="P17" s="149"/>
      <c r="Q17" s="149"/>
      <c r="R17" s="149"/>
      <c r="S17" s="153"/>
      <c r="T17" s="149"/>
      <c r="U17" s="149"/>
      <c r="V17" s="149"/>
      <c r="W17" s="149"/>
      <c r="X17" s="154"/>
      <c r="Y17" s="96"/>
      <c r="Z17" s="113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ht="12" customHeight="1" thickBot="1" x14ac:dyDescent="0.25">
      <c r="A18" s="71" t="s">
        <v>148</v>
      </c>
      <c r="B18" s="13"/>
      <c r="C18" s="13"/>
      <c r="D18" s="78" t="s">
        <v>34</v>
      </c>
      <c r="E18" s="575" t="s">
        <v>31</v>
      </c>
      <c r="F18" s="575"/>
      <c r="G18" s="45"/>
      <c r="H18" s="46" t="s">
        <v>113</v>
      </c>
      <c r="I18" s="13"/>
      <c r="J18" s="13"/>
      <c r="K18" s="13"/>
      <c r="L18" s="55" t="s">
        <v>38</v>
      </c>
      <c r="M18" s="137"/>
      <c r="N18" s="118" t="s">
        <v>305</v>
      </c>
      <c r="O18" s="73"/>
      <c r="P18" s="73"/>
      <c r="Q18" s="73"/>
      <c r="R18" s="576" t="s">
        <v>149</v>
      </c>
      <c r="S18" s="576"/>
      <c r="T18" s="576"/>
      <c r="U18" s="576" t="s">
        <v>150</v>
      </c>
      <c r="V18" s="576"/>
      <c r="W18" s="104" t="s">
        <v>98</v>
      </c>
      <c r="X18" s="83"/>
      <c r="Y18" s="96"/>
      <c r="Z18" s="113"/>
      <c r="AB18" s="402">
        <f ca="1">MAX(MAX(AB19:AB26),ABS(MIN(AB19:AB26)))</f>
        <v>1446.3925090000012</v>
      </c>
    </row>
    <row r="19" spans="1:40" ht="12" customHeight="1" thickTop="1" thickBot="1" x14ac:dyDescent="0.25">
      <c r="A19" s="268">
        <f ca="1">IF(AC19="N/A","ß",IF((AC19-1)&lt;&gt;0,ABS(AC19-1),0))</f>
        <v>0.1250980312202904</v>
      </c>
      <c r="B19" s="41" t="s">
        <v>140</v>
      </c>
      <c r="C19" s="74"/>
      <c r="D19" s="421">
        <f ca="1">IF(valTheme2="Show All", OFFSET(Expense!AD42,-numAccounts-1,0),OFFSET(Expense!AD42,numAccounts*valThemeOrder,0))</f>
        <v>4274.12583</v>
      </c>
      <c r="E19" s="422">
        <f ca="1">IF(AB19&lt;0,AB19,0)</f>
        <v>-611.13672799999949</v>
      </c>
      <c r="F19" s="423">
        <f ca="1">IF(AB19&gt;0,AB19,0)</f>
        <v>0</v>
      </c>
      <c r="G19" s="45"/>
      <c r="H19" s="47">
        <v>1</v>
      </c>
      <c r="I19" s="12" t="str">
        <f>IF(ISERROR(VLOOKUP($H19,Table_HighLikely,3,FALSE)),"",IF(L19&gt;0,VLOOKUP($H19,Table_HighLikely,3,FALSE),""))</f>
        <v>21254302 - SOF 34</v>
      </c>
      <c r="J19" s="12"/>
      <c r="K19" s="12"/>
      <c r="L19" s="424">
        <f>IF(ISERROR(VLOOKUP($H19,Table_HighLikely,5,FALSE)),"",VLOOKUP($H19,Table_HighLikely,5,FALSE)/valUnits2)</f>
        <v>7445.0626239999992</v>
      </c>
      <c r="M19" s="137">
        <v>0</v>
      </c>
      <c r="N19" s="11"/>
      <c r="O19" s="110" t="str">
        <f>IF(AND(ISERROR(VLOOKUP($M19+Slider_SOF3mon,Table_SOF3mon,3,FALSE)), ($M19+Slider_SOF3mon=1)),"None",VLOOKUP($M19+Slider_SOF3mon,Table_SOF3mon,3,FALSE))</f>
        <v>72393833 - SOF 66</v>
      </c>
      <c r="P19" s="73"/>
      <c r="Q19" s="73"/>
      <c r="R19" s="580">
        <f t="shared" ref="R19:R26" si="3">VLOOKUP($M19+Slider_SOF3mon,Table_SOF3mon,5,FALSE)</f>
        <v>41424</v>
      </c>
      <c r="S19" s="580"/>
      <c r="T19" s="580"/>
      <c r="U19" s="580">
        <f t="shared" ref="U19:U26" si="4">VLOOKUP($M19+Slider_SOF3mon,Table_SOF3mon,6,FALSE)</f>
        <v>41487</v>
      </c>
      <c r="V19" s="580"/>
      <c r="W19" s="88" t="str">
        <f t="shared" ref="W19:W26" si="5">IF(VLOOKUP($M19+Slider_SOF3mon,Table_SOF3mon,10,FALSE)="X","Unavail",VLOOKUP($M19+Slider_SOF3mon,Table_SOF3mon,11,FALSE))</f>
        <v>Unavail</v>
      </c>
      <c r="X19" s="89"/>
      <c r="Y19" s="96"/>
      <c r="Z19" s="113"/>
      <c r="AB19" s="403">
        <f ca="1">IF(valTheme2="Show All", OFFSET(Expense!AF42,-numAccounts-1,0),OFFSET(Expense!AF42,numAccounts*valThemeOrder,0))</f>
        <v>-611.13672799999949</v>
      </c>
      <c r="AC19" s="404">
        <f ca="1">IF(valTheme2="Show All", OFFSET(Expense!AE42,-numAccounts-1,0),OFFSET(Expense!AE42,numAccounts*valThemeOrder,0))</f>
        <v>0.8749019687797096</v>
      </c>
    </row>
    <row r="20" spans="1:40" ht="12" customHeight="1" thickTop="1" thickBot="1" x14ac:dyDescent="0.25">
      <c r="A20" s="268">
        <f t="shared" ref="A20:A26" ca="1" si="6">IF(AC20="N/A","ß",IF((AC20-1)&lt;&gt;0,ABS(AC20-1),0))</f>
        <v>0.28150491768656549</v>
      </c>
      <c r="B20" s="42" t="s">
        <v>141</v>
      </c>
      <c r="C20" s="74"/>
      <c r="D20" s="421">
        <f ca="1">IF(valTheme2="Show All", OFFSET(Expense!AD43,-numAccounts-1,0),OFFSET(Expense!AD43,numAccounts*valThemeOrder,0))</f>
        <v>720.77766000000008</v>
      </c>
      <c r="E20" s="422">
        <f t="shared" ref="E20:E26" ca="1" si="7">IF(AB20&lt;0,AB20,0)</f>
        <v>-282.399227</v>
      </c>
      <c r="F20" s="423">
        <f t="shared" ref="F20:F26" ca="1" si="8">IF(AB20&gt;0,AB20,0)</f>
        <v>0</v>
      </c>
      <c r="G20" s="45"/>
      <c r="H20" s="47">
        <v>2</v>
      </c>
      <c r="I20" s="12" t="str">
        <f>IF(ISERROR(VLOOKUP($H20,Table_HighLikely,3,FALSE)),"",IF(L20&gt;0,VLOOKUP($H20,Table_HighLikely,3,FALSE),""))</f>
        <v>54109154 - SOF 12</v>
      </c>
      <c r="J20" s="12"/>
      <c r="K20" s="12"/>
      <c r="L20" s="424">
        <f>IF(ISERROR(VLOOKUP($H20,Table_HighLikely,5,FALSE)),"",VLOOKUP($H20,Table_HighLikely,5,FALSE)/valUnits2)</f>
        <v>3151.916275</v>
      </c>
      <c r="M20" s="137">
        <v>1</v>
      </c>
      <c r="N20" s="11"/>
      <c r="O20" s="110" t="str">
        <f t="shared" ref="O20:O26" si="9">IF(ISERROR(VLOOKUP($M20+Slider_SOF3mon,Table_SOF3mon,3,FALSE)),"",VLOOKUP($M20+Slider_SOF3mon,Table_SOF3mon,3,FALSE))</f>
        <v>18072790 - SOF 41</v>
      </c>
      <c r="P20" s="73"/>
      <c r="Q20" s="73"/>
      <c r="R20" s="580">
        <f t="shared" si="3"/>
        <v>41455</v>
      </c>
      <c r="S20" s="580"/>
      <c r="T20" s="580"/>
      <c r="U20" s="580">
        <f t="shared" si="4"/>
        <v>41532</v>
      </c>
      <c r="V20" s="580"/>
      <c r="W20" s="88">
        <f t="shared" si="5"/>
        <v>0.97235724152674419</v>
      </c>
      <c r="X20" s="83"/>
      <c r="Y20" s="96"/>
      <c r="Z20" s="113"/>
      <c r="AB20" s="403">
        <f ca="1">IF(valTheme2="Show All", OFFSET(Expense!AF43,-numAccounts-1,0),OFFSET(Expense!AF43,numAccounts*valThemeOrder,0))</f>
        <v>-282.399227</v>
      </c>
      <c r="AC20" s="404">
        <f ca="1">IF(valTheme2="Show All", OFFSET(Expense!AE43,-numAccounts-1,0),OFFSET(Expense!AE43,numAccounts*valThemeOrder,0))</f>
        <v>0.71849508231343451</v>
      </c>
    </row>
    <row r="21" spans="1:40" ht="12" customHeight="1" thickTop="1" thickBot="1" x14ac:dyDescent="0.25">
      <c r="A21" s="268">
        <f t="shared" ca="1" si="6"/>
        <v>0.49184430722844086</v>
      </c>
      <c r="B21" s="41" t="s">
        <v>238</v>
      </c>
      <c r="C21" s="75"/>
      <c r="D21" s="421">
        <f ca="1">IF(valTheme2="Show All", OFFSET(Expense!AD44,-numAccounts-1,0),OFFSET(Expense!AD44,numAccounts*valThemeOrder,0))</f>
        <v>210.06603000000004</v>
      </c>
      <c r="E21" s="422">
        <f t="shared" ca="1" si="7"/>
        <v>0</v>
      </c>
      <c r="F21" s="423">
        <f t="shared" ca="1" si="8"/>
        <v>69.256410000000017</v>
      </c>
      <c r="G21" s="45"/>
      <c r="H21" s="47">
        <v>3</v>
      </c>
      <c r="I21" s="12" t="str">
        <f>IF(ISERROR(VLOOKUP($H21,Table_HighLikely,3,FALSE)),"",IF(L21&gt;0,VLOOKUP($H21,Table_HighLikely,3,FALSE),""))</f>
        <v>76952288 - SOF 11</v>
      </c>
      <c r="J21" s="12"/>
      <c r="K21" s="12"/>
      <c r="L21" s="424">
        <f>IF(ISERROR(VLOOKUP($H21,Table_HighLikely,5,FALSE)),"",VLOOKUP($H21,Table_HighLikely,5,FALSE)/valUnits2)</f>
        <v>2413.8885240000041</v>
      </c>
      <c r="M21" s="137">
        <v>2</v>
      </c>
      <c r="N21" s="11"/>
      <c r="O21" s="110" t="str">
        <f t="shared" si="9"/>
        <v>89651430 - SOF 36</v>
      </c>
      <c r="P21" s="73"/>
      <c r="Q21" s="73"/>
      <c r="R21" s="580">
        <f t="shared" si="3"/>
        <v>41455</v>
      </c>
      <c r="S21" s="580"/>
      <c r="T21" s="580"/>
      <c r="U21" s="580">
        <f t="shared" si="4"/>
        <v>41547</v>
      </c>
      <c r="V21" s="580"/>
      <c r="W21" s="88">
        <f t="shared" si="5"/>
        <v>0.3358905243432308</v>
      </c>
      <c r="X21" s="83"/>
      <c r="Y21" s="96"/>
      <c r="Z21" s="113"/>
      <c r="AB21" s="403">
        <f ca="1">IF(valTheme2="Show All", OFFSET(Expense!AF44,-numAccounts-1,0),OFFSET(Expense!AF44,numAccounts*valThemeOrder,0))</f>
        <v>69.256410000000017</v>
      </c>
      <c r="AC21" s="404">
        <f ca="1">IF(valTheme2="Show All", OFFSET(Expense!AE44,-numAccounts-1,0),OFFSET(Expense!AE44,numAccounts*valThemeOrder,0))</f>
        <v>1.4918443072284409</v>
      </c>
    </row>
    <row r="22" spans="1:40" ht="12" customHeight="1" thickTop="1" thickBot="1" x14ac:dyDescent="0.25">
      <c r="A22" s="268">
        <f t="shared" ca="1" si="6"/>
        <v>0.30211567609247736</v>
      </c>
      <c r="B22" s="42" t="s">
        <v>236</v>
      </c>
      <c r="C22" s="76"/>
      <c r="D22" s="421">
        <f ca="1">IF(valTheme2="Show All", OFFSET(Expense!AD45,-numAccounts-1,0),OFFSET(Expense!AD45,numAccounts*valThemeOrder,0))</f>
        <v>3341.1528699999999</v>
      </c>
      <c r="E22" s="422">
        <f t="shared" ca="1" si="7"/>
        <v>-1446.3925090000012</v>
      </c>
      <c r="F22" s="423">
        <f t="shared" ca="1" si="8"/>
        <v>0</v>
      </c>
      <c r="G22" s="106"/>
      <c r="H22" s="100"/>
      <c r="I22" s="101"/>
      <c r="J22" s="101"/>
      <c r="K22" s="101"/>
      <c r="L22" s="102"/>
      <c r="M22" s="138">
        <v>3</v>
      </c>
      <c r="N22" s="11"/>
      <c r="O22" s="110" t="str">
        <f t="shared" si="9"/>
        <v>90450317 - SOF 35</v>
      </c>
      <c r="P22" s="73"/>
      <c r="Q22" s="73"/>
      <c r="R22" s="580">
        <f t="shared" si="3"/>
        <v>41455</v>
      </c>
      <c r="S22" s="580"/>
      <c r="T22" s="580"/>
      <c r="U22" s="580">
        <f t="shared" si="4"/>
        <v>41547</v>
      </c>
      <c r="V22" s="580"/>
      <c r="W22" s="88">
        <f t="shared" si="5"/>
        <v>0.54598693530770326</v>
      </c>
      <c r="X22" s="83"/>
      <c r="Y22" s="96"/>
      <c r="Z22" s="113"/>
      <c r="AB22" s="403">
        <f ca="1">IF(valTheme2="Show All", OFFSET(Expense!AF45,-numAccounts-1,0),OFFSET(Expense!AF45,numAccounts*valThemeOrder,0))</f>
        <v>-1446.3925090000012</v>
      </c>
      <c r="AC22" s="404">
        <f ca="1">IF(valTheme2="Show All", OFFSET(Expense!AE45,-numAccounts-1,0),OFFSET(Expense!AE45,numAccounts*valThemeOrder,0))</f>
        <v>0.69788432390752264</v>
      </c>
    </row>
    <row r="23" spans="1:40" ht="12" customHeight="1" thickTop="1" thickBot="1" x14ac:dyDescent="0.25">
      <c r="A23" s="268">
        <f t="shared" ca="1" si="6"/>
        <v>6.6354624462266809E-2</v>
      </c>
      <c r="B23" s="41" t="s">
        <v>142</v>
      </c>
      <c r="C23" s="74"/>
      <c r="D23" s="421">
        <f ca="1">IF(valTheme2="Show All", OFFSET(Expense!AD46,-numAccounts-1,0),OFFSET(Expense!AD46,numAccounts*valThemeOrder,0))</f>
        <v>14434.133329999999</v>
      </c>
      <c r="E23" s="422">
        <f t="shared" ca="1" si="7"/>
        <v>-1025.8407759999991</v>
      </c>
      <c r="F23" s="423">
        <f t="shared" ca="1" si="8"/>
        <v>0</v>
      </c>
      <c r="G23" s="109"/>
      <c r="H23" s="578" t="s">
        <v>33</v>
      </c>
      <c r="I23" s="578"/>
      <c r="J23" s="122" t="s">
        <v>161</v>
      </c>
      <c r="K23" s="122" t="s">
        <v>160</v>
      </c>
      <c r="L23" s="122" t="s">
        <v>30</v>
      </c>
      <c r="M23" s="136">
        <v>4</v>
      </c>
      <c r="N23" s="11"/>
      <c r="O23" s="110" t="str">
        <f t="shared" si="9"/>
        <v>49364757 - SOF 33</v>
      </c>
      <c r="P23" s="73"/>
      <c r="Q23" s="73"/>
      <c r="R23" s="580">
        <f t="shared" si="3"/>
        <v>41455</v>
      </c>
      <c r="S23" s="580"/>
      <c r="T23" s="580"/>
      <c r="U23" s="580">
        <f t="shared" si="4"/>
        <v>41486</v>
      </c>
      <c r="V23" s="580"/>
      <c r="W23" s="88">
        <f t="shared" si="5"/>
        <v>0.84961487077758946</v>
      </c>
      <c r="X23" s="83"/>
      <c r="Y23" s="96"/>
      <c r="Z23" s="113"/>
      <c r="AB23" s="403">
        <f ca="1">IF(valTheme2="Show All", OFFSET(Expense!AF46,-numAccounts-1,0),OFFSET(Expense!AF46,numAccounts*valThemeOrder,0))</f>
        <v>-1025.8407759999991</v>
      </c>
      <c r="AC23" s="404">
        <f ca="1">IF(valTheme2="Show All", OFFSET(Expense!AE46,-numAccounts-1,0),OFFSET(Expense!AE46,numAccounts*valThemeOrder,0))</f>
        <v>0.93364537553773319</v>
      </c>
    </row>
    <row r="24" spans="1:40" ht="12.95" customHeight="1" thickTop="1" thickBot="1" x14ac:dyDescent="0.25">
      <c r="A24" s="268">
        <f t="shared" ca="1" si="6"/>
        <v>3.5251548910391062E-3</v>
      </c>
      <c r="B24" s="42" t="s">
        <v>239</v>
      </c>
      <c r="C24" s="74"/>
      <c r="D24" s="421">
        <f ca="1">IF(valTheme2="Show All", OFFSET(Expense!AD47,-numAccounts-1,0),OFFSET(Expense!AD47,numAccounts*valThemeOrder,0))</f>
        <v>290.84525000000002</v>
      </c>
      <c r="E24" s="422">
        <f t="shared" ca="1" si="7"/>
        <v>0</v>
      </c>
      <c r="F24" s="423">
        <f t="shared" ca="1" si="8"/>
        <v>1.0216730000000211</v>
      </c>
      <c r="G24" s="109"/>
      <c r="H24" s="579"/>
      <c r="I24" s="579"/>
      <c r="J24" s="425">
        <f>VLOOKUP(valTheme2,DB_Theme[[#All],[Theme]:[Actual]],27,FALSE)</f>
        <v>23729.110049999996</v>
      </c>
      <c r="K24" s="425">
        <f>VLOOKUP(valTheme2,DB_Theme[[#All],[Theme]:[Actual]],26,FALSE)</f>
        <v>27121.327048000003</v>
      </c>
      <c r="L24" s="121">
        <f>J24/K24</f>
        <v>0.8749243725428193</v>
      </c>
      <c r="M24" s="136">
        <v>5</v>
      </c>
      <c r="N24" s="11"/>
      <c r="O24" s="110" t="str">
        <f t="shared" si="9"/>
        <v>81960144 - SOF 80</v>
      </c>
      <c r="P24" s="73"/>
      <c r="Q24" s="73"/>
      <c r="R24" s="580">
        <f t="shared" si="3"/>
        <v>41455</v>
      </c>
      <c r="S24" s="580"/>
      <c r="T24" s="580"/>
      <c r="U24" s="580">
        <f t="shared" si="4"/>
        <v>41547</v>
      </c>
      <c r="V24" s="580"/>
      <c r="W24" s="88">
        <f t="shared" si="5"/>
        <v>0.91245311415757746</v>
      </c>
      <c r="X24" s="83"/>
      <c r="Y24" s="96"/>
      <c r="Z24" s="113"/>
      <c r="AB24" s="403">
        <f ca="1">IF(valTheme2="Show All", OFFSET(Expense!AF47,-numAccounts-1,0),OFFSET(Expense!AF47,numAccounts*valThemeOrder,0))</f>
        <v>1.0216730000000211</v>
      </c>
      <c r="AC24" s="404">
        <f ca="1">IF(valTheme2="Show All", OFFSET(Expense!AE47,-numAccounts-1,0),OFFSET(Expense!AE47,numAccounts*valThemeOrder,0))</f>
        <v>1.0035251548910391</v>
      </c>
    </row>
    <row r="25" spans="1:40" ht="12" customHeight="1" thickTop="1" thickBot="1" x14ac:dyDescent="0.25">
      <c r="A25" s="268">
        <f t="shared" ca="1" si="6"/>
        <v>0.15163300904328869</v>
      </c>
      <c r="B25" s="41" t="s">
        <v>143</v>
      </c>
      <c r="C25" s="74"/>
      <c r="D25" s="421">
        <f ca="1">IF(valTheme2="Show All", OFFSET(Expense!AD48,-numAccounts-1,0),OFFSET(Expense!AD48,numAccounts*valThemeOrder,0))</f>
        <v>470.27160999999984</v>
      </c>
      <c r="E25" s="422">
        <f t="shared" ca="1" si="7"/>
        <v>-84.054071000000192</v>
      </c>
      <c r="F25" s="423">
        <f t="shared" ca="1" si="8"/>
        <v>0</v>
      </c>
      <c r="G25" s="45"/>
      <c r="M25" s="137">
        <v>6</v>
      </c>
      <c r="N25" s="11"/>
      <c r="O25" s="110" t="str">
        <f t="shared" si="9"/>
        <v>76902868 - SOF 18</v>
      </c>
      <c r="P25" s="73"/>
      <c r="Q25" s="73"/>
      <c r="R25" s="580">
        <f t="shared" si="3"/>
        <v>41455</v>
      </c>
      <c r="S25" s="580"/>
      <c r="T25" s="580"/>
      <c r="U25" s="580">
        <f t="shared" si="4"/>
        <v>41517</v>
      </c>
      <c r="V25" s="580"/>
      <c r="W25" s="88">
        <f t="shared" si="5"/>
        <v>0.7427912729155518</v>
      </c>
      <c r="X25" s="83"/>
      <c r="Y25" s="96"/>
      <c r="Z25" s="113"/>
      <c r="AB25" s="403">
        <f ca="1">IF(valTheme2="Show All", OFFSET(Expense!AF48,-numAccounts-1,0),OFFSET(Expense!AF48,numAccounts*valThemeOrder,0))</f>
        <v>-84.054071000000192</v>
      </c>
      <c r="AC25" s="404">
        <f ca="1">IF(valTheme2="Show All", OFFSET(Expense!AE48,-numAccounts-1,0),OFFSET(Expense!AE48,numAccounts*valThemeOrder,0))</f>
        <v>0.84836699095671131</v>
      </c>
    </row>
    <row r="26" spans="1:40" ht="12" customHeight="1" thickTop="1" thickBot="1" x14ac:dyDescent="0.25">
      <c r="A26" s="268">
        <f t="shared" ca="1" si="6"/>
        <v>30.964153064216593</v>
      </c>
      <c r="B26" s="42" t="s">
        <v>144</v>
      </c>
      <c r="C26" s="74"/>
      <c r="D26" s="421">
        <f ca="1">IF(valTheme2="Show All", OFFSET(Expense!AD49,-numAccounts-1,0),OFFSET(Expense!AD49,numAccounts*valThemeOrder,0))</f>
        <v>-12.262529999999998</v>
      </c>
      <c r="E26" s="422">
        <f t="shared" ca="1" si="7"/>
        <v>-12.671769999999999</v>
      </c>
      <c r="F26" s="423">
        <f t="shared" ca="1" si="8"/>
        <v>0</v>
      </c>
      <c r="G26" s="45"/>
      <c r="H26" s="11"/>
      <c r="I26" s="11"/>
      <c r="J26" s="11"/>
      <c r="K26" s="11"/>
      <c r="L26" s="11"/>
      <c r="M26" s="137">
        <v>7</v>
      </c>
      <c r="N26" s="11"/>
      <c r="O26" s="110" t="str">
        <f t="shared" si="9"/>
        <v>28651574 - SOF 81</v>
      </c>
      <c r="P26" s="73"/>
      <c r="Q26" s="73"/>
      <c r="R26" s="580">
        <f t="shared" si="3"/>
        <v>41455</v>
      </c>
      <c r="S26" s="580"/>
      <c r="T26" s="580"/>
      <c r="U26" s="580">
        <f t="shared" si="4"/>
        <v>41547</v>
      </c>
      <c r="V26" s="580"/>
      <c r="W26" s="88">
        <f t="shared" si="5"/>
        <v>0.73429662819676567</v>
      </c>
      <c r="X26" s="83"/>
      <c r="Y26" s="96"/>
      <c r="Z26" s="113"/>
      <c r="AB26" s="403">
        <f ca="1">IF(valTheme2="Show All", OFFSET(Expense!AF49,-numAccounts-1,0),OFFSET(Expense!AF49,numAccounts*valThemeOrder,0))</f>
        <v>-12.671769999999999</v>
      </c>
      <c r="AC26" s="404">
        <f ca="1">IF(valTheme2="Show All", OFFSET(Expense!AE49,-numAccounts-1,0),OFFSET(Expense!AE49,numAccounts*valThemeOrder,0))</f>
        <v>-29.964153064216593</v>
      </c>
    </row>
    <row r="27" spans="1:40" s="4" customFormat="1" ht="3" customHeight="1" thickTop="1" x14ac:dyDescent="0.2">
      <c r="A27" s="148"/>
      <c r="B27" s="151"/>
      <c r="C27" s="149"/>
      <c r="D27" s="149"/>
      <c r="E27" s="149"/>
      <c r="F27" s="150"/>
      <c r="G27" s="45"/>
      <c r="H27" s="11"/>
      <c r="I27" s="11"/>
      <c r="J27" s="11"/>
      <c r="K27" s="11"/>
      <c r="L27" s="11"/>
      <c r="M27" s="137"/>
      <c r="N27" s="152"/>
      <c r="O27" s="149"/>
      <c r="P27" s="149"/>
      <c r="Q27" s="149"/>
      <c r="R27" s="149"/>
      <c r="S27" s="153"/>
      <c r="T27" s="149"/>
      <c r="U27" s="149"/>
      <c r="V27" s="149"/>
      <c r="W27" s="149"/>
      <c r="X27" s="154"/>
      <c r="Y27" s="96"/>
      <c r="Z27" s="113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ht="12.95" customHeight="1" x14ac:dyDescent="0.2">
      <c r="A28" s="71" t="s">
        <v>91</v>
      </c>
      <c r="B28" s="78"/>
      <c r="C28" s="11"/>
      <c r="D28" s="11"/>
      <c r="E28" s="11"/>
      <c r="F28" s="55"/>
      <c r="G28" s="45"/>
      <c r="H28" s="11"/>
      <c r="I28" s="11"/>
      <c r="J28" s="11"/>
      <c r="K28" s="11"/>
      <c r="L28" s="11"/>
      <c r="M28" s="137"/>
      <c r="N28" s="40" t="s">
        <v>88</v>
      </c>
      <c r="O28" s="11"/>
      <c r="P28" s="11"/>
      <c r="Q28" s="11"/>
      <c r="R28" s="11"/>
      <c r="S28" s="11"/>
      <c r="T28" s="11"/>
      <c r="U28" s="11"/>
      <c r="V28" s="11"/>
      <c r="W28" s="11"/>
      <c r="X28" s="83"/>
      <c r="Y28" s="96"/>
      <c r="Z28" s="113"/>
    </row>
    <row r="29" spans="1:40" ht="12.95" customHeight="1" x14ac:dyDescent="0.2">
      <c r="A29" s="77"/>
      <c r="B29" s="78"/>
      <c r="C29" s="11"/>
      <c r="D29" s="11"/>
      <c r="E29" s="11"/>
      <c r="F29" s="55"/>
      <c r="G29" s="45"/>
      <c r="H29" s="11"/>
      <c r="I29" s="11"/>
      <c r="J29" s="11"/>
      <c r="K29" s="11"/>
      <c r="L29" s="11"/>
      <c r="M29" s="137">
        <v>3</v>
      </c>
      <c r="N29" s="118" t="s">
        <v>95</v>
      </c>
      <c r="O29" s="85"/>
      <c r="P29" s="85"/>
      <c r="Q29" s="85"/>
      <c r="R29" s="85">
        <v>31</v>
      </c>
      <c r="S29" s="577" t="s">
        <v>30</v>
      </c>
      <c r="T29" s="577"/>
      <c r="U29" s="85">
        <v>30</v>
      </c>
      <c r="V29" s="577" t="s">
        <v>31</v>
      </c>
      <c r="W29" s="577"/>
      <c r="X29" s="83"/>
      <c r="Y29" s="96"/>
      <c r="Z29" s="113"/>
      <c r="AD29" s="1" t="s">
        <v>35</v>
      </c>
      <c r="AE29" s="1" t="s">
        <v>30</v>
      </c>
      <c r="AF29" s="1" t="s">
        <v>31</v>
      </c>
      <c r="AH29" s="1" t="s">
        <v>69</v>
      </c>
      <c r="AI29" s="1">
        <f>SUBTOTAL(5,DB_HighProject[Variance])</f>
        <v>-1934.551204000001</v>
      </c>
    </row>
    <row r="30" spans="1:40" ht="12.95" customHeight="1" x14ac:dyDescent="0.2">
      <c r="A30" s="77"/>
      <c r="B30" s="78"/>
      <c r="C30" s="11"/>
      <c r="D30" s="11"/>
      <c r="E30" s="11"/>
      <c r="F30" s="104" t="s">
        <v>92</v>
      </c>
      <c r="G30" s="45"/>
      <c r="H30" s="11"/>
      <c r="I30" s="11"/>
      <c r="J30" s="11"/>
      <c r="K30" s="11"/>
      <c r="L30" s="11"/>
      <c r="M30" s="137">
        <v>1</v>
      </c>
      <c r="N30" s="85"/>
      <c r="O30" s="43" t="str">
        <f>IF(ISERROR(AE30),"None",IF(AF30&lt;0,"",VLOOKUP($M30,Table_HighProject,$M$5,FALSE)))</f>
        <v>1006951 - Project 33</v>
      </c>
      <c r="P30" s="74"/>
      <c r="Q30" s="74"/>
      <c r="R30" s="84" t="s">
        <v>76</v>
      </c>
      <c r="S30" s="266">
        <f>IF(ISERROR(AE30),"", IF(AF30&lt;0,"", IF(AD30=0,"ß", ABS(AE30-1))))</f>
        <v>0.61946852743420044</v>
      </c>
      <c r="T30" s="44">
        <f>IF(ISERROR(AE30),"",IF(AF30&lt;0,"",AE30))</f>
        <v>1.6194685274342004</v>
      </c>
      <c r="U30" s="84"/>
      <c r="V30" s="426"/>
      <c r="W30" s="427">
        <f>IF(ISERROR(AF30),0,IF(AF30&gt;0,AF30,0))</f>
        <v>657.95541199999957</v>
      </c>
      <c r="X30" s="83"/>
      <c r="Y30" s="96"/>
      <c r="Z30" s="113"/>
      <c r="AD30" s="1">
        <f>VLOOKUP($M30,Table_HighProject,$U$5-2,FALSE)</f>
        <v>1062.128878</v>
      </c>
      <c r="AE30" s="1">
        <f>VLOOKUP($M30,Table_HighProject,$R$5,FALSE)</f>
        <v>1.6194685274342004</v>
      </c>
      <c r="AF30" s="1">
        <f>VLOOKUP($M30,Table_HighProject,$U$5,FALSE)</f>
        <v>657.95541199999957</v>
      </c>
      <c r="AH30" s="1" t="s">
        <v>70</v>
      </c>
      <c r="AI30" s="1">
        <f>SUBTOTAL(4,DB_HighProject[Variance])</f>
        <v>657.95541199999957</v>
      </c>
    </row>
    <row r="31" spans="1:40" ht="12.95" customHeight="1" x14ac:dyDescent="0.2">
      <c r="A31" s="117"/>
      <c r="B31" s="114" t="s">
        <v>342</v>
      </c>
      <c r="C31" s="115"/>
      <c r="D31" s="115"/>
      <c r="E31" s="115"/>
      <c r="F31" s="116">
        <f>Expense!AD16</f>
        <v>0.9134673503211671</v>
      </c>
      <c r="G31" s="45"/>
      <c r="H31" s="11"/>
      <c r="I31" s="11"/>
      <c r="J31" s="11"/>
      <c r="K31" s="11"/>
      <c r="L31" s="11"/>
      <c r="M31" s="137">
        <v>2</v>
      </c>
      <c r="N31" s="85"/>
      <c r="O31" s="43" t="str">
        <f>IF(ISERROR(AE31),"",IF(AF31&lt;0,"",VLOOKUP($M31,Table_HighProject,$M$5,FALSE)))</f>
        <v>1009741 - Project 30</v>
      </c>
      <c r="P31" s="85"/>
      <c r="Q31" s="85"/>
      <c r="R31" s="73" t="s">
        <v>76</v>
      </c>
      <c r="S31" s="266">
        <f t="shared" ref="S31:S34" si="10">IF(ISERROR(AE31),"", IF(AF31&lt;0,"", IF(AD31=0,"ß", ABS(AE31-1))))</f>
        <v>0.32094885832887621</v>
      </c>
      <c r="T31" s="44">
        <f t="shared" ref="T31:T34" si="11">IF(ISERROR(AE31),"",IF(AF31&lt;0,"",AE31))</f>
        <v>1.3209488583288762</v>
      </c>
      <c r="U31" s="73"/>
      <c r="V31" s="426"/>
      <c r="W31" s="427">
        <f>IF(ISERROR(AF31),0,IF(AF31&gt;0,AF31,0))</f>
        <v>264.2690640000003</v>
      </c>
      <c r="X31" s="83"/>
      <c r="Y31" s="96"/>
      <c r="Z31" s="113"/>
      <c r="AD31" s="1">
        <f>VLOOKUP($M31,Table_HighProject,$U$5-2,FALSE)</f>
        <v>823.39929599999982</v>
      </c>
      <c r="AE31" s="1">
        <f>VLOOKUP($M31,Table_HighProject,$R$5,FALSE)</f>
        <v>1.3209488583288762</v>
      </c>
      <c r="AF31" s="1">
        <f>VLOOKUP($M31,Table_HighProject,$U$5,FALSE)</f>
        <v>264.2690640000003</v>
      </c>
    </row>
    <row r="32" spans="1:40" ht="12.95" customHeight="1" x14ac:dyDescent="0.2">
      <c r="A32" s="77"/>
      <c r="B32" s="72" t="s">
        <v>343</v>
      </c>
      <c r="C32" s="11"/>
      <c r="D32" s="11"/>
      <c r="E32" s="11"/>
      <c r="F32" s="105">
        <f>Expense!AD17</f>
        <v>0.43980574144867346</v>
      </c>
      <c r="G32" s="45"/>
      <c r="H32" s="11"/>
      <c r="I32" s="11"/>
      <c r="J32" s="11"/>
      <c r="K32" s="11"/>
      <c r="L32" s="11"/>
      <c r="M32" s="137">
        <v>3</v>
      </c>
      <c r="N32" s="85"/>
      <c r="O32" s="43" t="str">
        <f>IF(ISERROR(AE32),"",IF(AF32&lt;0,"",VLOOKUP($M32,Table_HighProject,$M$5,FALSE)))</f>
        <v>1009863 - Project 59</v>
      </c>
      <c r="P32" s="85"/>
      <c r="Q32" s="85"/>
      <c r="R32" s="73" t="s">
        <v>76</v>
      </c>
      <c r="S32" s="266">
        <f>IF(ISERROR(AE32),"", IF(AF32&lt;0,"", IF(AD32=0,"ß", ABS(AE32-1))))</f>
        <v>1.6666686785631031</v>
      </c>
      <c r="T32" s="44">
        <f t="shared" si="11"/>
        <v>2.6666686785631031</v>
      </c>
      <c r="U32" s="73"/>
      <c r="V32" s="426"/>
      <c r="W32" s="427">
        <f>IF(ISERROR(AF32),0,IF(AF32&gt;0,AF32,0))</f>
        <v>131.992816</v>
      </c>
      <c r="X32" s="83"/>
      <c r="Y32" s="96"/>
      <c r="Z32" s="113"/>
      <c r="AD32" s="1">
        <f>VLOOKUP($M32,Table_HighProject,$U$5-2,FALSE)</f>
        <v>79.195594</v>
      </c>
      <c r="AE32" s="1">
        <f>VLOOKUP($M32,Table_HighProject,$R$5,FALSE)</f>
        <v>2.6666686785631031</v>
      </c>
      <c r="AF32" s="1">
        <f>VLOOKUP($M32,Table_HighProject,$U$5,FALSE)</f>
        <v>131.992816</v>
      </c>
    </row>
    <row r="33" spans="1:40" ht="12.95" customHeight="1" x14ac:dyDescent="0.2">
      <c r="A33" s="117"/>
      <c r="B33" s="114" t="s">
        <v>344</v>
      </c>
      <c r="C33" s="115"/>
      <c r="D33" s="115"/>
      <c r="E33" s="115"/>
      <c r="F33" s="116">
        <f>Expense!AD18</f>
        <v>0.7972096217292991</v>
      </c>
      <c r="G33" s="45"/>
      <c r="H33" s="11"/>
      <c r="I33" s="11"/>
      <c r="J33" s="11"/>
      <c r="K33" s="11"/>
      <c r="L33" s="11"/>
      <c r="M33" s="137">
        <v>4</v>
      </c>
      <c r="N33" s="85"/>
      <c r="O33" s="43" t="str">
        <f>IF(ISERROR(AE33),"",IF(AF33&lt;0,"",VLOOKUP($M33,Table_HighProject,$M$5,FALSE)))</f>
        <v>1004552 - Project 60</v>
      </c>
      <c r="P33" s="85"/>
      <c r="Q33" s="85"/>
      <c r="R33" s="73" t="s">
        <v>76</v>
      </c>
      <c r="S33" s="266" t="str">
        <f t="shared" si="10"/>
        <v>ß</v>
      </c>
      <c r="T33" s="44">
        <f>IF(ISERROR(AE33),"",IF(AF33&lt;0,"",AE33))</f>
        <v>1.0000110000110001</v>
      </c>
      <c r="U33" s="73"/>
      <c r="V33" s="426"/>
      <c r="W33" s="427">
        <f>IF(ISERROR(AF33),0,IF(AF33&gt;0,AF33,0))</f>
        <v>81.741789999999995</v>
      </c>
      <c r="X33" s="83"/>
      <c r="Y33" s="96"/>
      <c r="Z33" s="113"/>
      <c r="AD33" s="1">
        <f>VLOOKUP($M33,Table_HighProject,$U$5-2,FALSE)</f>
        <v>0</v>
      </c>
      <c r="AE33" s="1">
        <f>VLOOKUP($M33,Table_HighProject,$R$5,FALSE)</f>
        <v>1.0000110000110001</v>
      </c>
      <c r="AF33" s="1">
        <f>VLOOKUP($M33,Table_HighProject,$U$5,FALSE)</f>
        <v>81.741789999999995</v>
      </c>
    </row>
    <row r="34" spans="1:40" ht="12.95" customHeight="1" x14ac:dyDescent="0.2">
      <c r="A34" s="54"/>
      <c r="B34" s="72" t="s">
        <v>345</v>
      </c>
      <c r="C34" s="11"/>
      <c r="D34" s="11"/>
      <c r="E34" s="11"/>
      <c r="F34" s="105">
        <f>Expense!AD19</f>
        <v>0.9377787739941309</v>
      </c>
      <c r="G34" s="45"/>
      <c r="H34" s="11"/>
      <c r="I34" s="11"/>
      <c r="J34" s="11"/>
      <c r="K34" s="11"/>
      <c r="L34" s="11"/>
      <c r="M34" s="137">
        <v>5</v>
      </c>
      <c r="N34" s="85"/>
      <c r="O34" s="43" t="str">
        <f>IF(ISERROR(AE34),"",IF(AF34&lt;0,"",VLOOKUP($M34,Table_HighProject,$M$5,FALSE)))</f>
        <v>1004006 - Project 13</v>
      </c>
      <c r="P34" s="85"/>
      <c r="Q34" s="85"/>
      <c r="R34" s="73" t="s">
        <v>76</v>
      </c>
      <c r="S34" s="266">
        <f t="shared" si="10"/>
        <v>0.53336143686919923</v>
      </c>
      <c r="T34" s="44">
        <f t="shared" si="11"/>
        <v>1.5333614368691992</v>
      </c>
      <c r="U34" s="73"/>
      <c r="V34" s="426"/>
      <c r="W34" s="427">
        <f>IF(ISERROR(AF34),0,IF(AF34&gt;0,AF34,0))</f>
        <v>78.932622000000009</v>
      </c>
      <c r="X34" s="83"/>
      <c r="Y34" s="96"/>
      <c r="Z34" s="113"/>
      <c r="AD34" s="1">
        <f>VLOOKUP($M34,Table_HighProject,$U$5-2,FALSE)</f>
        <v>147.99086800000001</v>
      </c>
      <c r="AE34" s="1">
        <f>VLOOKUP($M34,Table_HighProject,$R$5,FALSE)</f>
        <v>1.5333614368691992</v>
      </c>
      <c r="AF34" s="1">
        <f>VLOOKUP($M34,Table_HighProject,$U$5,FALSE)</f>
        <v>78.932622000000009</v>
      </c>
    </row>
    <row r="35" spans="1:40" ht="12.95" customHeight="1" thickBot="1" x14ac:dyDescent="0.25">
      <c r="A35" s="117"/>
      <c r="B35" s="114" t="s">
        <v>346</v>
      </c>
      <c r="C35" s="115"/>
      <c r="D35" s="115"/>
      <c r="E35" s="115"/>
      <c r="F35" s="116">
        <f>Expense!AD20</f>
        <v>0.90919603530383886</v>
      </c>
      <c r="G35" s="45"/>
      <c r="H35" s="11"/>
      <c r="I35" s="11"/>
      <c r="J35" s="11"/>
      <c r="K35" s="11"/>
      <c r="L35" s="11"/>
      <c r="M35" s="137"/>
      <c r="N35" s="40" t="s">
        <v>96</v>
      </c>
      <c r="O35" s="11"/>
      <c r="P35" s="11"/>
      <c r="Q35" s="11"/>
      <c r="R35" s="13"/>
      <c r="S35" s="14"/>
      <c r="T35" s="13"/>
      <c r="U35" s="13"/>
      <c r="V35" s="428"/>
      <c r="W35" s="428"/>
      <c r="X35" s="83"/>
      <c r="Y35" s="97"/>
      <c r="Z35" s="113"/>
    </row>
    <row r="36" spans="1:40" ht="12.95" customHeight="1" thickTop="1" thickBot="1" x14ac:dyDescent="0.25">
      <c r="A36" s="77"/>
      <c r="B36" s="72" t="s">
        <v>347</v>
      </c>
      <c r="C36" s="11"/>
      <c r="D36" s="11"/>
      <c r="E36" s="11"/>
      <c r="F36" s="105">
        <f>Expense!AD21</f>
        <v>1.1044155553590251</v>
      </c>
      <c r="G36" s="45"/>
      <c r="H36" s="11"/>
      <c r="I36" s="11"/>
      <c r="J36" s="11"/>
      <c r="K36" s="11"/>
      <c r="L36" s="11"/>
      <c r="M36" s="137">
        <v>4</v>
      </c>
      <c r="N36" s="11"/>
      <c r="O36" s="43" t="str">
        <f>IF(ISERROR(AD36),"", IF(AF36&gt;0,"", VLOOKUP(HighProject!$A$800-M36,Table_HighProject,$M$5,FALSE)))</f>
        <v>1007755 - Project 11</v>
      </c>
      <c r="P36" s="85"/>
      <c r="Q36" s="85"/>
      <c r="R36" s="73" t="s">
        <v>76</v>
      </c>
      <c r="S36" s="267">
        <f>IF(ISERROR(AE36),"", IF(AF36&gt;0, "", IF(AD36=0,"ß", ABS(AE36-1))))</f>
        <v>0.11245539369503899</v>
      </c>
      <c r="T36" s="44">
        <f>IF(ISERROR(AE36),"",IF(AF36&gt;0,"",AE36))</f>
        <v>0.88754460630496101</v>
      </c>
      <c r="U36" s="84"/>
      <c r="V36" s="422">
        <f>IF(ISERROR(AF36),0,IF(AF36&lt;0,AF36,0))</f>
        <v>-163.64021699999967</v>
      </c>
      <c r="W36" s="426"/>
      <c r="X36" s="83"/>
      <c r="Y36" s="97"/>
      <c r="Z36" s="113"/>
      <c r="AD36" s="1">
        <f>VLOOKUP(HighProject!$A$800-$M36,Table_HighProject,$U$5-2,FALSE)</f>
        <v>1455.1566769999997</v>
      </c>
      <c r="AE36" s="1">
        <f>VLOOKUP(HighProject!$A$800-$M36,Table_HighProject,$R$5,FALSE)</f>
        <v>0.88754460630496101</v>
      </c>
      <c r="AF36" s="1">
        <f>VLOOKUP(HighProject!$A$800-$M36,Table_HighProject,$U$5,FALSE)</f>
        <v>-163.64021699999967</v>
      </c>
    </row>
    <row r="37" spans="1:40" ht="12.95" customHeight="1" thickTop="1" thickBot="1" x14ac:dyDescent="0.25">
      <c r="A37" s="117"/>
      <c r="B37" s="114" t="s">
        <v>348</v>
      </c>
      <c r="C37" s="115"/>
      <c r="D37" s="115"/>
      <c r="E37" s="115"/>
      <c r="F37" s="116">
        <f>Expense!AD22</f>
        <v>1.0022682526782321</v>
      </c>
      <c r="G37" s="45"/>
      <c r="H37" s="11"/>
      <c r="I37" s="11"/>
      <c r="J37" s="11"/>
      <c r="K37" s="11"/>
      <c r="L37" s="11"/>
      <c r="M37" s="137">
        <v>3</v>
      </c>
      <c r="N37" s="11"/>
      <c r="O37" s="43" t="str">
        <f>IF(ISERROR(AD37),"", IF(AF37&gt;0,"", VLOOKUP(HighProject!$A$800-M37,Table_HighProject,$M$5,FALSE)))</f>
        <v>1003604 - Project 6</v>
      </c>
      <c r="P37" s="85"/>
      <c r="Q37" s="85"/>
      <c r="R37" s="73" t="s">
        <v>76</v>
      </c>
      <c r="S37" s="267">
        <f t="shared" ref="S37:S40" si="12">IF(ISERROR(AE37),"", IF(AF37&gt;0, "", IF(AD37=0,"ß", ABS(AE37-1))))</f>
        <v>0.78179186413542789</v>
      </c>
      <c r="T37" s="44">
        <f>IF(ISERROR(AE37),"",IF(AF37&gt;0,"",AE37))</f>
        <v>0.21820813586457208</v>
      </c>
      <c r="U37" s="84"/>
      <c r="V37" s="422">
        <f>IF(ISERROR(AF37),0,IF(AF37&lt;0,AF37,0))</f>
        <v>-171.88944999999995</v>
      </c>
      <c r="W37" s="426"/>
      <c r="X37" s="83"/>
      <c r="Y37" s="97"/>
      <c r="Z37" s="113"/>
      <c r="AD37" s="1">
        <f>VLOOKUP(HighProject!$A$800-$M37,Table_HighProject,$U$5-2,FALSE)</f>
        <v>219.86599999999996</v>
      </c>
      <c r="AE37" s="1">
        <f>VLOOKUP(HighProject!$A$800-$M37,Table_HighProject,$R$5,FALSE)</f>
        <v>0.21820813586457208</v>
      </c>
      <c r="AF37" s="1">
        <f>VLOOKUP(HighProject!$A$800-$M37,Table_HighProject,$U$5,FALSE)</f>
        <v>-171.88944999999995</v>
      </c>
    </row>
    <row r="38" spans="1:40" ht="12.95" customHeight="1" thickTop="1" thickBot="1" x14ac:dyDescent="0.25">
      <c r="A38" s="77"/>
      <c r="B38" s="72" t="s">
        <v>349</v>
      </c>
      <c r="C38" s="11"/>
      <c r="D38" s="11"/>
      <c r="E38" s="11"/>
      <c r="F38" s="105">
        <f>Expense!AD23</f>
        <v>1.3356295553987834</v>
      </c>
      <c r="G38" s="45"/>
      <c r="H38" s="11"/>
      <c r="I38" s="11"/>
      <c r="J38" s="11"/>
      <c r="K38" s="11"/>
      <c r="L38" s="11"/>
      <c r="M38" s="137">
        <v>2</v>
      </c>
      <c r="N38" s="11"/>
      <c r="O38" s="43" t="str">
        <f>IF(ISERROR(AD38),"", IF(AF38&gt;0,"", VLOOKUP(HighProject!$A$800-M38,Table_HighProject,$M$5,FALSE)))</f>
        <v>1002499 - Project 18</v>
      </c>
      <c r="P38" s="85"/>
      <c r="Q38" s="85"/>
      <c r="R38" s="73" t="s">
        <v>76</v>
      </c>
      <c r="S38" s="267">
        <f t="shared" si="12"/>
        <v>0.2207929995453608</v>
      </c>
      <c r="T38" s="44">
        <f>IF(ISERROR(AE38),"",IF(AF38&gt;0,"",AE38))</f>
        <v>0.7792070004546392</v>
      </c>
      <c r="U38" s="84"/>
      <c r="V38" s="422">
        <f>IF(ISERROR(AF38),0,IF(AF38&lt;0,AF38,0))</f>
        <v>-192.89121199999988</v>
      </c>
      <c r="W38" s="426"/>
      <c r="X38" s="83"/>
      <c r="Y38" s="97"/>
      <c r="Z38" s="113"/>
      <c r="AD38" s="1">
        <f>VLOOKUP(HighProject!$A$800-$M38,Table_HighProject,$U$5-2,FALSE)</f>
        <v>873.62920199999996</v>
      </c>
      <c r="AE38" s="1">
        <f>VLOOKUP(HighProject!$A$800-$M38,Table_HighProject,$R$5,FALSE)</f>
        <v>0.7792070004546392</v>
      </c>
      <c r="AF38" s="1">
        <f>VLOOKUP(HighProject!$A$800-$M38,Table_HighProject,$U$5,FALSE)</f>
        <v>-192.89121199999988</v>
      </c>
    </row>
    <row r="39" spans="1:40" ht="12.95" customHeight="1" thickTop="1" thickBot="1" x14ac:dyDescent="0.25">
      <c r="A39" s="117"/>
      <c r="B39" s="114" t="s">
        <v>350</v>
      </c>
      <c r="C39" s="115"/>
      <c r="D39" s="115"/>
      <c r="E39" s="115"/>
      <c r="F39" s="116">
        <f>Expense!AD24</f>
        <v>0.86067867657183317</v>
      </c>
      <c r="G39" s="45"/>
      <c r="H39" s="11"/>
      <c r="I39" s="11"/>
      <c r="J39" s="11"/>
      <c r="K39" s="11"/>
      <c r="L39" s="11"/>
      <c r="M39" s="137">
        <v>1</v>
      </c>
      <c r="N39" s="11"/>
      <c r="O39" s="43" t="str">
        <f>IF(ISERROR(AD39),"", IF(AF39&gt;0,"", VLOOKUP(HighProject!$A$800-M39,Table_HighProject,$M$5,FALSE)))</f>
        <v>1004006 - Project 4</v>
      </c>
      <c r="P39" s="85"/>
      <c r="Q39" s="85"/>
      <c r="R39" s="73" t="s">
        <v>76</v>
      </c>
      <c r="S39" s="267">
        <f t="shared" si="12"/>
        <v>0.2193391899923437</v>
      </c>
      <c r="T39" s="44">
        <f>IF(ISERROR(AE39),"",IF(AF39&gt;0,"",AE39))</f>
        <v>0.7806608100076563</v>
      </c>
      <c r="U39" s="84"/>
      <c r="V39" s="422">
        <f>IF(ISERROR(AF39),0,IF(AF39&lt;0,AF39,0))</f>
        <v>-1064.1361450000009</v>
      </c>
      <c r="W39" s="426"/>
      <c r="X39" s="83"/>
      <c r="Y39" s="97"/>
      <c r="Z39" s="113"/>
      <c r="AD39" s="1">
        <f>VLOOKUP(HighProject!$A$800-$M39,Table_HighProject,$U$5-2,FALSE)</f>
        <v>4851.5550049999993</v>
      </c>
      <c r="AE39" s="1">
        <f>VLOOKUP(HighProject!$A$800-$M39,Table_HighProject,$R$5,FALSE)</f>
        <v>0.7806608100076563</v>
      </c>
      <c r="AF39" s="1">
        <f>VLOOKUP(HighProject!$A$800-$M39,Table_HighProject,$U$5,FALSE)</f>
        <v>-1064.1361450000009</v>
      </c>
    </row>
    <row r="40" spans="1:40" ht="12.95" customHeight="1" thickTop="1" thickBot="1" x14ac:dyDescent="0.25">
      <c r="A40" s="54"/>
      <c r="B40" s="72" t="s">
        <v>351</v>
      </c>
      <c r="C40" s="13"/>
      <c r="D40" s="13"/>
      <c r="E40" s="13"/>
      <c r="F40" s="105">
        <f>Expense!AD25</f>
        <v>0.82974181615770393</v>
      </c>
      <c r="G40" s="45"/>
      <c r="H40" s="11"/>
      <c r="I40" s="11"/>
      <c r="J40" s="11"/>
      <c r="K40" s="11"/>
      <c r="L40" s="11"/>
      <c r="M40" s="137">
        <v>0</v>
      </c>
      <c r="N40" s="11"/>
      <c r="O40" s="43" t="str">
        <f>IF(ISERROR(AD40),"None", IF(AF40&gt;0,"", VLOOKUP(HighProject!$A$800-M40,Table_HighProject,$M$5,FALSE)))</f>
        <v>1001142 - Project 5</v>
      </c>
      <c r="P40" s="85"/>
      <c r="Q40" s="85"/>
      <c r="R40" s="73" t="s">
        <v>76</v>
      </c>
      <c r="S40" s="267">
        <f t="shared" si="12"/>
        <v>0.59700127380313173</v>
      </c>
      <c r="T40" s="44">
        <f>IF(ISERROR(AE40),"",IF(AF40&gt;0,"",AE40))</f>
        <v>0.40299872619686827</v>
      </c>
      <c r="U40" s="84"/>
      <c r="V40" s="422">
        <f>IF(ISERROR(AF40),0,IF(AF40&lt;0,AF40,0))</f>
        <v>-1934.551204000001</v>
      </c>
      <c r="W40" s="426"/>
      <c r="X40" s="83"/>
      <c r="Y40" s="97"/>
      <c r="Z40" s="113"/>
      <c r="AD40" s="1">
        <f>VLOOKUP(HighProject!$A$800-$M40,Table_HighProject,$U$5-2,FALSE)</f>
        <v>3240.447364000001</v>
      </c>
      <c r="AE40" s="1">
        <f>VLOOKUP(HighProject!$A$800-$M40,Table_HighProject,$R$5,FALSE)</f>
        <v>0.40299872619686827</v>
      </c>
      <c r="AF40" s="1">
        <f>VLOOKUP(HighProject!$A$800-$M40,Table_HighProject,$U$5,FALSE)</f>
        <v>-1934.551204000001</v>
      </c>
    </row>
    <row r="41" spans="1:40" ht="3" customHeight="1" thickTop="1" x14ac:dyDescent="0.2">
      <c r="A41" s="54"/>
      <c r="B41" s="79"/>
      <c r="C41" s="13"/>
      <c r="D41" s="13"/>
      <c r="E41" s="13"/>
      <c r="F41" s="105"/>
      <c r="G41" s="45"/>
      <c r="H41" s="11"/>
      <c r="I41" s="11"/>
      <c r="J41" s="11"/>
      <c r="K41" s="11"/>
      <c r="L41" s="11"/>
      <c r="M41" s="137"/>
      <c r="N41" s="11"/>
      <c r="O41" s="43"/>
      <c r="P41" s="85"/>
      <c r="Q41" s="85"/>
      <c r="R41" s="85"/>
      <c r="S41" s="86"/>
      <c r="T41" s="119"/>
      <c r="U41" s="74"/>
      <c r="V41" s="120"/>
      <c r="W41" s="120"/>
      <c r="X41" s="83"/>
      <c r="Y41" s="97"/>
      <c r="Z41" s="113"/>
    </row>
    <row r="42" spans="1:40" s="4" customFormat="1" ht="9.75" customHeight="1" x14ac:dyDescent="0.2">
      <c r="A42" s="77"/>
      <c r="B42" s="40" t="s">
        <v>114</v>
      </c>
      <c r="C42" s="11"/>
      <c r="D42" s="11"/>
      <c r="E42" s="11"/>
      <c r="F42" s="18"/>
      <c r="G42" s="45"/>
      <c r="H42" s="11"/>
      <c r="I42" s="11"/>
      <c r="J42" s="11"/>
      <c r="K42" s="11"/>
      <c r="L42" s="11"/>
      <c r="M42" s="137"/>
      <c r="X42" s="83"/>
      <c r="Y42" s="97"/>
      <c r="Z42" s="113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ht="11.25" customHeight="1" x14ac:dyDescent="0.2">
      <c r="A43" s="54"/>
      <c r="B43" s="13"/>
      <c r="C43" s="80">
        <f>Expense!AB28</f>
        <v>8.6633567628958144E-2</v>
      </c>
      <c r="D43" s="81" t="s">
        <v>35</v>
      </c>
      <c r="E43" s="80">
        <f>Expense!AC28</f>
        <v>8.243611858507098E-2</v>
      </c>
      <c r="F43" s="81" t="s">
        <v>111</v>
      </c>
      <c r="G43" s="45"/>
      <c r="H43" s="11"/>
      <c r="I43" s="11"/>
      <c r="J43" s="11"/>
      <c r="K43" s="11"/>
      <c r="L43" s="11"/>
      <c r="M43" s="137"/>
      <c r="N43" s="11"/>
      <c r="O43" s="11"/>
      <c r="P43" s="11"/>
      <c r="Q43" s="11"/>
      <c r="R43" s="11"/>
      <c r="S43" s="86"/>
      <c r="T43" s="11"/>
      <c r="U43" s="11"/>
      <c r="V43" s="11"/>
      <c r="W43" s="11"/>
      <c r="X43" s="83"/>
      <c r="Y43" s="97"/>
      <c r="Z43" s="113"/>
      <c r="AB43" s="405"/>
      <c r="AC43" s="405"/>
      <c r="AD43" s="405"/>
    </row>
    <row r="44" spans="1:40" ht="2.25" customHeight="1" thickBot="1" x14ac:dyDescent="0.25">
      <c r="A44" s="59"/>
      <c r="B44" s="60"/>
      <c r="C44" s="60"/>
      <c r="D44" s="60"/>
      <c r="E44" s="60"/>
      <c r="F44" s="61"/>
      <c r="G44" s="106"/>
      <c r="H44" s="57"/>
      <c r="I44" s="57"/>
      <c r="J44" s="57"/>
      <c r="K44" s="57"/>
      <c r="L44" s="57"/>
      <c r="M44" s="138"/>
      <c r="N44" s="57"/>
      <c r="O44" s="60"/>
      <c r="P44" s="60"/>
      <c r="Q44" s="60"/>
      <c r="R44" s="60"/>
      <c r="S44" s="87"/>
      <c r="T44" s="60"/>
      <c r="U44" s="60"/>
      <c r="V44" s="60"/>
      <c r="W44" s="60"/>
      <c r="X44" s="58"/>
      <c r="Y44" s="99"/>
      <c r="Z44" s="69"/>
      <c r="AB44" s="405"/>
      <c r="AC44" s="405"/>
      <c r="AD44" s="405"/>
    </row>
    <row r="45" spans="1:40" ht="12" customHeight="1" x14ac:dyDescent="0.2">
      <c r="A45" s="142"/>
      <c r="B45" s="143"/>
      <c r="D45" s="125" t="s">
        <v>156</v>
      </c>
      <c r="E45" s="124"/>
      <c r="F45" s="124"/>
      <c r="G45" s="124"/>
      <c r="H45" s="2"/>
      <c r="I45" s="2"/>
      <c r="J45" s="130" t="s">
        <v>151</v>
      </c>
      <c r="K45" s="124"/>
      <c r="L45" s="124"/>
      <c r="M45" s="139"/>
      <c r="N45" s="11"/>
      <c r="P45" s="129" t="s">
        <v>152</v>
      </c>
      <c r="Q45" s="13"/>
      <c r="R45" s="13"/>
      <c r="S45" s="124"/>
      <c r="T45" s="124"/>
      <c r="U45" s="126"/>
      <c r="V45" s="124"/>
      <c r="W45" s="124"/>
      <c r="X45" s="146"/>
      <c r="Y45" s="146"/>
      <c r="Z45" s="56"/>
      <c r="AA45" s="13"/>
      <c r="AB45" s="406"/>
      <c r="AC45" s="406"/>
      <c r="AD45" s="405"/>
    </row>
    <row r="46" spans="1:40" ht="12" customHeight="1" x14ac:dyDescent="0.2">
      <c r="A46" s="144"/>
      <c r="B46" s="143"/>
      <c r="D46" s="127"/>
      <c r="E46" s="13" t="s">
        <v>158</v>
      </c>
      <c r="F46" s="127"/>
      <c r="G46" s="127"/>
      <c r="H46" s="2"/>
      <c r="I46" s="2"/>
      <c r="J46" s="127"/>
      <c r="K46" s="13" t="s">
        <v>153</v>
      </c>
      <c r="L46" s="127"/>
      <c r="M46" s="139"/>
      <c r="N46" s="11"/>
      <c r="P46" s="269">
        <v>1</v>
      </c>
      <c r="Q46" s="13" t="str">
        <f>"between "&amp;AL15*100&amp;"% and "&amp;AK15*100&amp;"%"</f>
        <v>between 80% and 120%</v>
      </c>
      <c r="R46" s="127"/>
      <c r="S46" s="128"/>
      <c r="T46" s="127"/>
      <c r="U46" s="127"/>
      <c r="V46" s="13"/>
      <c r="W46" s="13"/>
      <c r="X46" s="147"/>
      <c r="Y46" s="147"/>
      <c r="Z46" s="56"/>
      <c r="AA46" s="13"/>
      <c r="AB46" s="407"/>
      <c r="AC46" s="407"/>
      <c r="AD46" s="405"/>
    </row>
    <row r="47" spans="1:40" ht="12" customHeight="1" x14ac:dyDescent="0.2">
      <c r="A47" s="142"/>
      <c r="B47" s="143"/>
      <c r="D47" s="13"/>
      <c r="E47" s="13" t="s">
        <v>111</v>
      </c>
      <c r="F47" s="13"/>
      <c r="G47" s="13"/>
      <c r="H47" s="2"/>
      <c r="I47" s="2"/>
      <c r="J47" s="13"/>
      <c r="K47" s="13" t="s">
        <v>154</v>
      </c>
      <c r="L47" s="13"/>
      <c r="M47" s="139"/>
      <c r="N47" s="11"/>
      <c r="P47" s="269">
        <v>1.2</v>
      </c>
      <c r="Q47" s="13" t="str">
        <f>"between "&amp;AL16*100&amp;"-"&amp;AL15*100&amp;"% or "&amp;AK15*100&amp;"-"&amp;AK16*100&amp;"%"</f>
        <v>between 50-80% or 120-150%</v>
      </c>
      <c r="R47" s="13"/>
      <c r="S47" s="13"/>
      <c r="T47" s="13"/>
      <c r="U47" s="13"/>
      <c r="V47" s="13"/>
      <c r="W47" s="13"/>
      <c r="X47" s="11"/>
      <c r="Y47" s="11"/>
      <c r="Z47" s="56"/>
      <c r="AA47" s="13"/>
      <c r="AB47" s="405"/>
      <c r="AC47" s="406"/>
      <c r="AD47" s="405"/>
    </row>
    <row r="48" spans="1:40" ht="12" customHeight="1" x14ac:dyDescent="0.2">
      <c r="A48" s="142"/>
      <c r="B48" s="131"/>
      <c r="C48" s="13"/>
      <c r="D48" s="13"/>
      <c r="E48" s="13"/>
      <c r="F48" s="13"/>
      <c r="G48" s="13"/>
      <c r="H48" s="13"/>
      <c r="I48" s="2"/>
      <c r="J48" s="13"/>
      <c r="K48" s="13"/>
      <c r="L48" s="11"/>
      <c r="M48" s="139"/>
      <c r="N48" s="11"/>
      <c r="P48" s="269">
        <v>1.5</v>
      </c>
      <c r="Q48" s="13" t="str">
        <f>"&lt;"&amp;AL16*100&amp;"% or &gt;"&amp;AK15*100&amp;"%"</f>
        <v>&lt;50% or &gt;120%</v>
      </c>
      <c r="R48" s="13"/>
      <c r="S48" s="13"/>
      <c r="T48" s="13"/>
      <c r="U48" s="13"/>
      <c r="V48" s="13"/>
      <c r="W48" s="13"/>
      <c r="X48" s="11"/>
      <c r="Y48" s="11"/>
      <c r="Z48" s="56"/>
      <c r="AA48" s="13"/>
      <c r="AB48" s="405"/>
      <c r="AC48" s="406"/>
      <c r="AD48" s="405"/>
    </row>
    <row r="49" spans="1:30" ht="15.75" thickBot="1" x14ac:dyDescent="0.25">
      <c r="A49" s="145"/>
      <c r="B49" s="132"/>
      <c r="C49" s="155" t="str">
        <f>"All values in "&amp; valUnits3 &amp;" USD"</f>
        <v>All values in $Thousands USD</v>
      </c>
      <c r="D49" s="60"/>
      <c r="E49" s="60"/>
      <c r="F49" s="60"/>
      <c r="G49" s="60"/>
      <c r="H49" s="60"/>
      <c r="I49" s="60"/>
      <c r="J49" s="60"/>
      <c r="K49" s="60"/>
      <c r="L49" s="60"/>
      <c r="M49" s="100"/>
      <c r="N49" s="60"/>
      <c r="O49" s="60"/>
      <c r="P49" s="275" t="s">
        <v>216</v>
      </c>
      <c r="Q49" s="276" t="s">
        <v>157</v>
      </c>
      <c r="R49" s="60"/>
      <c r="S49" s="60"/>
      <c r="T49" s="60"/>
      <c r="U49" s="60"/>
      <c r="V49" s="60"/>
      <c r="W49" s="60"/>
      <c r="X49" s="57"/>
      <c r="Y49" s="57"/>
      <c r="Z49" s="69"/>
      <c r="AA49" s="13"/>
      <c r="AB49" s="405"/>
      <c r="AC49" s="406"/>
      <c r="AD49" s="405"/>
    </row>
    <row r="50" spans="1:30" ht="14.25" x14ac:dyDescent="0.2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40"/>
      <c r="N50" s="124"/>
      <c r="O50" s="124"/>
      <c r="P50" s="124"/>
      <c r="Q50" s="124"/>
      <c r="R50" s="124"/>
      <c r="S50" s="124"/>
      <c r="T50" s="124"/>
      <c r="U50" s="126"/>
      <c r="V50" s="124"/>
      <c r="W50" s="124"/>
      <c r="X50" s="124"/>
      <c r="Y50" s="124"/>
      <c r="Z50" s="13"/>
      <c r="AA50" s="13"/>
      <c r="AB50" s="406"/>
      <c r="AC50" s="406"/>
      <c r="AD50" s="405"/>
    </row>
    <row r="51" spans="1:30" x14ac:dyDescent="0.2">
      <c r="A51" s="13"/>
      <c r="B51" s="13"/>
      <c r="C51" s="13"/>
      <c r="D51" s="13"/>
      <c r="E51" s="13"/>
      <c r="F51" s="55"/>
      <c r="G51" s="11"/>
      <c r="H51" s="11"/>
      <c r="I51" s="11"/>
      <c r="J51" s="11"/>
      <c r="K51" s="11"/>
      <c r="L51" s="11"/>
      <c r="M51" s="139"/>
      <c r="N51" s="11"/>
      <c r="O51" s="13"/>
      <c r="P51" s="13"/>
      <c r="Q51" s="13"/>
      <c r="R51" s="13"/>
      <c r="S51" s="14"/>
      <c r="T51" s="13"/>
      <c r="U51" s="13"/>
      <c r="V51" s="13"/>
      <c r="W51" s="13"/>
      <c r="X51" s="11"/>
      <c r="Y51" s="13"/>
      <c r="Z51" s="13"/>
      <c r="AA51" s="13"/>
      <c r="AB51" s="405"/>
      <c r="AC51" s="405"/>
      <c r="AD51" s="405"/>
    </row>
    <row r="52" spans="1:30" x14ac:dyDescent="0.2">
      <c r="A52" s="13"/>
      <c r="B52" s="13"/>
      <c r="C52" s="13"/>
      <c r="D52" s="13"/>
      <c r="E52" s="13"/>
      <c r="F52" s="55"/>
      <c r="G52" s="11"/>
      <c r="H52" s="11"/>
      <c r="I52" s="11"/>
      <c r="J52" s="11"/>
      <c r="K52" s="11"/>
      <c r="L52" s="11"/>
      <c r="M52" s="139"/>
      <c r="N52" s="11"/>
      <c r="O52" s="13"/>
      <c r="P52" s="13"/>
      <c r="Q52" s="13"/>
      <c r="R52" s="13"/>
      <c r="S52" s="14"/>
      <c r="T52" s="13"/>
      <c r="U52" s="13"/>
      <c r="V52" s="13"/>
      <c r="W52" s="13"/>
      <c r="X52" s="11"/>
      <c r="Y52" s="13"/>
      <c r="Z52" s="13"/>
      <c r="AA52" s="13"/>
      <c r="AB52" s="405"/>
      <c r="AC52" s="405"/>
      <c r="AD52" s="405"/>
    </row>
    <row r="53" spans="1:30" x14ac:dyDescent="0.2">
      <c r="A53" s="13"/>
      <c r="B53" s="13"/>
      <c r="C53" s="13"/>
      <c r="D53" s="13"/>
      <c r="E53" s="13"/>
      <c r="F53" s="55"/>
      <c r="G53" s="11"/>
      <c r="H53" s="11"/>
      <c r="I53" s="11"/>
      <c r="J53" s="11"/>
      <c r="K53" s="11"/>
      <c r="L53" s="11"/>
      <c r="M53" s="139"/>
      <c r="N53" s="11"/>
      <c r="O53" s="13"/>
      <c r="P53" s="13"/>
      <c r="Q53" s="13"/>
      <c r="R53" s="13"/>
      <c r="S53" s="14"/>
      <c r="T53" s="13"/>
      <c r="U53" s="13"/>
      <c r="V53" s="13"/>
      <c r="W53" s="13"/>
      <c r="X53" s="11"/>
      <c r="Y53" s="13"/>
      <c r="Z53" s="13"/>
      <c r="AA53" s="13"/>
      <c r="AB53" s="405"/>
      <c r="AC53" s="405"/>
      <c r="AD53" s="405"/>
    </row>
    <row r="54" spans="1:30" x14ac:dyDescent="0.2">
      <c r="A54" s="13"/>
      <c r="B54" s="13"/>
      <c r="C54" s="13"/>
      <c r="D54" s="13"/>
      <c r="E54" s="13"/>
      <c r="F54" s="55"/>
      <c r="G54" s="11"/>
      <c r="H54" s="11"/>
      <c r="I54" s="11"/>
      <c r="J54" s="11"/>
      <c r="K54" s="11"/>
      <c r="L54" s="11"/>
      <c r="M54" s="139"/>
      <c r="N54" s="11"/>
      <c r="O54" s="13"/>
      <c r="P54" s="13"/>
      <c r="Q54" s="13"/>
      <c r="R54" s="13"/>
      <c r="S54" s="14"/>
      <c r="T54" s="13"/>
      <c r="U54" s="13"/>
      <c r="V54" s="13"/>
      <c r="W54" s="13"/>
      <c r="X54" s="11"/>
      <c r="Y54" s="13"/>
      <c r="Z54" s="13"/>
      <c r="AA54" s="13"/>
    </row>
  </sheetData>
  <mergeCells count="26">
    <mergeCell ref="R21:T21"/>
    <mergeCell ref="R22:T22"/>
    <mergeCell ref="R23:T23"/>
    <mergeCell ref="R24:T24"/>
    <mergeCell ref="R25:T25"/>
    <mergeCell ref="V2:Y2"/>
    <mergeCell ref="R18:T18"/>
    <mergeCell ref="R19:T19"/>
    <mergeCell ref="U19:V19"/>
    <mergeCell ref="R20:T20"/>
    <mergeCell ref="E18:F18"/>
    <mergeCell ref="U18:V18"/>
    <mergeCell ref="S5:T5"/>
    <mergeCell ref="V5:W5"/>
    <mergeCell ref="S29:T29"/>
    <mergeCell ref="V29:W29"/>
    <mergeCell ref="H23:I24"/>
    <mergeCell ref="R26:T26"/>
    <mergeCell ref="U20:V20"/>
    <mergeCell ref="U21:V21"/>
    <mergeCell ref="U22:V22"/>
    <mergeCell ref="U23:V23"/>
    <mergeCell ref="U24:V24"/>
    <mergeCell ref="U25:V25"/>
    <mergeCell ref="U26:V26"/>
    <mergeCell ref="H4:I5"/>
  </mergeCells>
  <conditionalFormatting sqref="O19:W26">
    <cfRule type="containsErrors" dxfId="382" priority="21">
      <formula>ISERROR(O19)</formula>
    </cfRule>
  </conditionalFormatting>
  <conditionalFormatting sqref="P46:P48">
    <cfRule type="iconSet" priority="7">
      <iconSet showValue="0" reverse="1">
        <cfvo type="percent" val="0"/>
        <cfvo type="num" val="1.2"/>
        <cfvo type="num" val="1.5"/>
      </iconSet>
    </cfRule>
  </conditionalFormatting>
  <conditionalFormatting sqref="F19:F26">
    <cfRule type="cellIs" dxfId="381" priority="116" stopIfTrue="1" operator="equal">
      <formula>0</formula>
    </cfRule>
    <cfRule type="dataBar" priority="117">
      <dataBar>
        <cfvo type="num" val="0"/>
        <cfvo type="num" val="$AB$18"/>
        <color rgb="FFFF0000"/>
      </dataBar>
    </cfRule>
  </conditionalFormatting>
  <conditionalFormatting sqref="E19:E26">
    <cfRule type="containsErrors" dxfId="380" priority="118" stopIfTrue="1">
      <formula>ISERROR(E19)</formula>
    </cfRule>
    <cfRule type="cellIs" dxfId="379" priority="119" stopIfTrue="1" operator="equal">
      <formula>0</formula>
    </cfRule>
    <cfRule type="dataBar" priority="120">
      <dataBar>
        <cfvo type="num" val="-$AB$18"/>
        <cfvo type="num" val="0"/>
        <color theme="0"/>
      </dataBar>
    </cfRule>
  </conditionalFormatting>
  <conditionalFormatting sqref="S12:S16">
    <cfRule type="iconSet" priority="122">
      <iconSet showValue="0" reverse="1">
        <cfvo type="percent" val="0"/>
        <cfvo type="num" val="$AI$8"/>
        <cfvo type="num" val="$AI$9"/>
      </iconSet>
    </cfRule>
  </conditionalFormatting>
  <conditionalFormatting sqref="S6:S10">
    <cfRule type="iconSet" priority="123">
      <iconSet showValue="0" reverse="1">
        <cfvo type="percent" val="0"/>
        <cfvo type="num" val="$AI$8"/>
        <cfvo type="num" val="$AI$9"/>
      </iconSet>
    </cfRule>
  </conditionalFormatting>
  <conditionalFormatting sqref="F31:F41">
    <cfRule type="cellIs" dxfId="378" priority="124" operator="lessThanOrEqual">
      <formula>1-$AI$9</formula>
    </cfRule>
    <cfRule type="cellIs" dxfId="377" priority="125" operator="greaterThan">
      <formula>1+$AI$9</formula>
    </cfRule>
  </conditionalFormatting>
  <conditionalFormatting sqref="W6:W10">
    <cfRule type="cellIs" dxfId="376" priority="126" stopIfTrue="1" operator="equal">
      <formula>0</formula>
    </cfRule>
    <cfRule type="dataBar" priority="127">
      <dataBar>
        <cfvo type="num" val="0"/>
        <cfvo type="num" val="$AI$6"/>
        <color rgb="FFFF0000"/>
      </dataBar>
    </cfRule>
  </conditionalFormatting>
  <conditionalFormatting sqref="S30:S34">
    <cfRule type="iconSet" priority="128">
      <iconSet showValue="0" reverse="1">
        <cfvo type="percent" val="0"/>
        <cfvo type="num" val="$AI$8"/>
        <cfvo type="num" val="$AI$9"/>
      </iconSet>
    </cfRule>
  </conditionalFormatting>
  <conditionalFormatting sqref="W30:W34">
    <cfRule type="cellIs" dxfId="375" priority="129" stopIfTrue="1" operator="equal">
      <formula>0</formula>
    </cfRule>
    <cfRule type="dataBar" priority="130">
      <dataBar>
        <cfvo type="num" val="0"/>
        <cfvo type="num" val="$AI$30"/>
        <color rgb="FFFF0000"/>
      </dataBar>
    </cfRule>
  </conditionalFormatting>
  <conditionalFormatting sqref="V36:V40">
    <cfRule type="cellIs" dxfId="374" priority="131" stopIfTrue="1" operator="equal">
      <formula>0</formula>
    </cfRule>
    <cfRule type="dataBar" priority="132">
      <dataBar>
        <cfvo type="num" val="$AI$29"/>
        <cfvo type="num" val="0"/>
        <color theme="0"/>
      </dataBar>
    </cfRule>
  </conditionalFormatting>
  <conditionalFormatting sqref="A19:A26">
    <cfRule type="cellIs" priority="133" stopIfTrue="1" operator="equal">
      <formula>"N/A"</formula>
    </cfRule>
    <cfRule type="iconSet" priority="134">
      <iconSet showValue="0" reverse="1">
        <cfvo type="percent" val="0"/>
        <cfvo type="num" val="$AI$8"/>
        <cfvo type="num" val="$AI$9"/>
      </iconSet>
    </cfRule>
  </conditionalFormatting>
  <conditionalFormatting sqref="S36:S40">
    <cfRule type="iconSet" priority="135">
      <iconSet showValue="0" reverse="1">
        <cfvo type="percent" val="0"/>
        <cfvo type="num" val="$AI$8"/>
        <cfvo type="num" val="$AI$9"/>
      </iconSet>
    </cfRule>
  </conditionalFormatting>
  <conditionalFormatting sqref="S30:S34 S36:S41">
    <cfRule type="iconSet" priority="136">
      <iconSet showValue="0" reverse="1">
        <cfvo type="percent" val="0"/>
        <cfvo type="num" val="$AI$8"/>
        <cfvo type="num" val="$AI$9"/>
      </iconSet>
    </cfRule>
  </conditionalFormatting>
  <conditionalFormatting sqref="V12:V16">
    <cfRule type="cellIs" dxfId="373" priority="139" stopIfTrue="1" operator="equal">
      <formula>0</formula>
    </cfRule>
    <cfRule type="dataBar" priority="140">
      <dataBar>
        <cfvo type="num" val="$AI$5"/>
        <cfvo type="num" val="0"/>
        <color theme="0"/>
      </dataBar>
      <extLst>
        <ext xmlns:x14="http://schemas.microsoft.com/office/spreadsheetml/2009/9/main" uri="{B025F937-C7B1-47D3-B67F-A62EFF666E3E}">
          <x14:id>{5877C4F2-0D75-4A26-A07D-DD478FCA4D3F}</x14:id>
        </ext>
      </extLst>
    </cfRule>
  </conditionalFormatting>
  <conditionalFormatting sqref="T6:T10 T30:T34 T12:T16 T36:T40">
    <cfRule type="cellIs" dxfId="372" priority="5" operator="equal">
      <formula>1.000011000011</formula>
    </cfRule>
  </conditionalFormatting>
  <conditionalFormatting sqref="R19:V26">
    <cfRule type="cellIs" dxfId="371" priority="1" operator="between">
      <formula>TODAY()</formula>
      <formula>TODAY()+90</formula>
    </cfRule>
  </conditionalFormatting>
  <pageMargins left="0.25" right="0.25" top="0.28000000000000003" bottom="0.32" header="0.3" footer="0.3"/>
  <pageSetup paperSize="9" orientation="landscape"/>
  <ignoredErrors>
    <ignoredError sqref="P19:W19 P21:W26 P20:W20" evalError="1"/>
  </ignoredErrors>
  <drawing r:id="rId1"/>
  <legacyDrawing r:id="rId2"/>
  <controls>
    <mc:AlternateContent xmlns:mc="http://schemas.openxmlformats.org/markup-compatibility/2006">
      <mc:Choice Requires="x14">
        <control shapeId="1052" r:id="rId3" name="ComboBox1">
          <controlPr defaultSize="0" autoLine="0" autoPict="0" linkedCell="valTheme" listFillRange="ThemeList" r:id="rId4">
            <anchor moveWithCells="1">
              <from>
                <xdr:col>10</xdr:col>
                <xdr:colOff>57150</xdr:colOff>
                <xdr:row>0</xdr:row>
                <xdr:rowOff>19050</xdr:rowOff>
              </from>
              <to>
                <xdr:col>15</xdr:col>
                <xdr:colOff>542925</xdr:colOff>
                <xdr:row>1</xdr:row>
                <xdr:rowOff>257175</xdr:rowOff>
              </to>
            </anchor>
          </controlPr>
        </control>
      </mc:Choice>
      <mc:Fallback>
        <control shapeId="1052" r:id="rId3" name="ComboBox1"/>
      </mc:Fallback>
    </mc:AlternateContent>
    <mc:AlternateContent xmlns:mc="http://schemas.openxmlformats.org/markup-compatibility/2006">
      <mc:Choice Requires="x14">
        <control shapeId="1058" r:id="rId5" name="Check Box 34">
          <controlPr defaultSize="0" autoFill="0" autoLine="0" autoPict="0" altText="Show cumulative">
            <anchor moveWithCells="1">
              <from>
                <xdr:col>10</xdr:col>
                <xdr:colOff>171450</xdr:colOff>
                <xdr:row>24</xdr:row>
                <xdr:rowOff>28575</xdr:rowOff>
              </from>
              <to>
                <xdr:col>13</xdr:col>
                <xdr:colOff>57150</xdr:colOff>
                <xdr:row>25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6" name="Scroll Bar 35">
          <controlPr locked="0" defaultSize="0" autoPict="0" altText="Slider">
            <anchor moveWithCells="1">
              <from>
                <xdr:col>13</xdr:col>
                <xdr:colOff>47625</xdr:colOff>
                <xdr:row>18</xdr:row>
                <xdr:rowOff>9525</xdr:rowOff>
              </from>
              <to>
                <xdr:col>14</xdr:col>
                <xdr:colOff>114300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" name="Check Box 8">
          <controlPr defaultSize="0" autoFill="0" autoLine="0" autoPict="0" macro="[0]!AAGTables">
            <anchor moveWithCells="1">
              <from>
                <xdr:col>24</xdr:col>
                <xdr:colOff>47625</xdr:colOff>
                <xdr:row>13</xdr:row>
                <xdr:rowOff>28575</xdr:rowOff>
              </from>
              <to>
                <xdr:col>26</xdr:col>
                <xdr:colOff>47625</xdr:colOff>
                <xdr:row>14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" name="Check Box 9">
          <controlPr defaultSize="0" autoFill="0" autoLine="0" autoPict="0" macro="[0]!AAGTables">
            <anchor moveWithCells="1">
              <from>
                <xdr:col>24</xdr:col>
                <xdr:colOff>47625</xdr:colOff>
                <xdr:row>14</xdr:row>
                <xdr:rowOff>95250</xdr:rowOff>
              </from>
              <to>
                <xdr:col>26</xdr:col>
                <xdr:colOff>28575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9" name="Check Box 10">
          <controlPr defaultSize="0" autoFill="0" autoLine="0" autoPict="0" macro="[0]!AAGTables">
            <anchor moveWithCells="1">
              <from>
                <xdr:col>24</xdr:col>
                <xdr:colOff>47625</xdr:colOff>
                <xdr:row>16</xdr:row>
                <xdr:rowOff>0</xdr:rowOff>
              </from>
              <to>
                <xdr:col>25</xdr:col>
                <xdr:colOff>19050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Check Box 11">
          <controlPr defaultSize="0" autoFill="0" autoLine="0" autoPict="0" macro="[0]!AAGTables">
            <anchor moveWithCells="1">
              <from>
                <xdr:col>24</xdr:col>
                <xdr:colOff>47625</xdr:colOff>
                <xdr:row>18</xdr:row>
                <xdr:rowOff>9525</xdr:rowOff>
              </from>
              <to>
                <xdr:col>25</xdr:col>
                <xdr:colOff>28575</xdr:colOff>
                <xdr:row>19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Check Box 12">
          <controlPr defaultSize="0" autoFill="0" autoLine="0" autoPict="0" macro="[0]!AAGTables">
            <anchor moveWithCells="1">
              <from>
                <xdr:col>24</xdr:col>
                <xdr:colOff>47625</xdr:colOff>
                <xdr:row>19</xdr:row>
                <xdr:rowOff>85725</xdr:rowOff>
              </from>
              <to>
                <xdr:col>26</xdr:col>
                <xdr:colOff>28575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2" name="Check Box 13">
          <controlPr defaultSize="0" autoFill="0" autoLine="0" autoPict="0" macro="[0]!AAGTables">
            <anchor moveWithCells="1">
              <from>
                <xdr:col>24</xdr:col>
                <xdr:colOff>47625</xdr:colOff>
                <xdr:row>21</xdr:row>
                <xdr:rowOff>19050</xdr:rowOff>
              </from>
              <to>
                <xdr:col>25</xdr:col>
                <xdr:colOff>38100</xdr:colOff>
                <xdr:row>22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3" name="Check Box 14">
          <controlPr defaultSize="0" autoFill="0" autoLine="0" autoPict="0" macro="[0]!AAGTables">
            <anchor moveWithCells="1">
              <from>
                <xdr:col>24</xdr:col>
                <xdr:colOff>47625</xdr:colOff>
                <xdr:row>22</xdr:row>
                <xdr:rowOff>104775</xdr:rowOff>
              </from>
              <to>
                <xdr:col>25</xdr:col>
                <xdr:colOff>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4" name="Check Box 15">
          <controlPr defaultSize="0" autoFill="0" autoLine="0" autoPict="0" macro="[0]!AAGTables">
            <anchor moveWithCells="1">
              <from>
                <xdr:col>24</xdr:col>
                <xdr:colOff>47625</xdr:colOff>
                <xdr:row>24</xdr:row>
                <xdr:rowOff>28575</xdr:rowOff>
              </from>
              <to>
                <xdr:col>25</xdr:col>
                <xdr:colOff>19050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5" name="Check Box 16">
          <controlPr defaultSize="0" autoFill="0" autoLine="0" autoPict="0" macro="[0]!AAGTables">
            <anchor moveWithCells="1">
              <from>
                <xdr:col>24</xdr:col>
                <xdr:colOff>47625</xdr:colOff>
                <xdr:row>25</xdr:row>
                <xdr:rowOff>123825</xdr:rowOff>
              </from>
              <to>
                <xdr:col>25</xdr:col>
                <xdr:colOff>0</xdr:colOff>
                <xdr:row>27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6" name="Check Box 17">
          <controlPr defaultSize="0" autoFill="0" autoLine="0" autoPict="0" macro="[0]!AAGTables">
            <anchor moveWithCells="1">
              <from>
                <xdr:col>24</xdr:col>
                <xdr:colOff>47625</xdr:colOff>
                <xdr:row>28</xdr:row>
                <xdr:rowOff>19050</xdr:rowOff>
              </from>
              <to>
                <xdr:col>25</xdr:col>
                <xdr:colOff>19050</xdr:colOff>
                <xdr:row>29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7" name="Check Box 18">
          <controlPr defaultSize="0" autoFill="0" autoLine="0" autoPict="0" macro="[0]!AAGTables">
            <anchor moveWithCells="1">
              <from>
                <xdr:col>24</xdr:col>
                <xdr:colOff>47625</xdr:colOff>
                <xdr:row>29</xdr:row>
                <xdr:rowOff>95250</xdr:rowOff>
              </from>
              <to>
                <xdr:col>25</xdr:col>
                <xdr:colOff>38100</xdr:colOff>
                <xdr:row>30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8" name="Check Box 19">
          <controlPr defaultSize="0" autoFill="0" autoLine="0" autoPict="0" macro="[0]!AAGTables">
            <anchor moveWithCells="1">
              <from>
                <xdr:col>24</xdr:col>
                <xdr:colOff>47625</xdr:colOff>
                <xdr:row>31</xdr:row>
                <xdr:rowOff>28575</xdr:rowOff>
              </from>
              <to>
                <xdr:col>25</xdr:col>
                <xdr:colOff>19050</xdr:colOff>
                <xdr:row>32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9" name="Drop Down 32">
          <controlPr defaultSize="0" autoLine="0" autoPict="0" macro="[0]!UnitChange">
            <anchor moveWithCells="1">
              <from>
                <xdr:col>24</xdr:col>
                <xdr:colOff>19050</xdr:colOff>
                <xdr:row>6</xdr:row>
                <xdr:rowOff>142875</xdr:rowOff>
              </from>
              <to>
                <xdr:col>26</xdr:col>
                <xdr:colOff>142875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0" name="Drop Down 33">
          <controlPr defaultSize="0" autoLine="0" autoPict="0" macro="[0]!AAGTables">
            <anchor moveWithCells="1">
              <from>
                <xdr:col>24</xdr:col>
                <xdr:colOff>9525</xdr:colOff>
                <xdr:row>9</xdr:row>
                <xdr:rowOff>0</xdr:rowOff>
              </from>
              <to>
                <xdr:col>26</xdr:col>
                <xdr:colOff>142875</xdr:colOff>
                <xdr:row>10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77C4F2-0D75-4A26-A07D-DD478FCA4D3F}">
            <x14:dataBar minLength="0" maxLength="100" negativeBarColorSameAsPositive="1" axisPosition="none">
              <x14:cfvo type="num">
                <xm:f>$AI$5</xm:f>
              </x14:cfvo>
              <x14:cfvo type="num">
                <xm:f>0</xm:f>
              </x14:cfvo>
            </x14:dataBar>
          </x14:cfRule>
          <xm:sqref>V12:V16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O75"/>
  <sheetViews>
    <sheetView topLeftCell="A46" workbookViewId="0">
      <selection activeCell="C66" sqref="C66:C75"/>
    </sheetView>
  </sheetViews>
  <sheetFormatPr defaultRowHeight="12.75" x14ac:dyDescent="0.2"/>
  <cols>
    <col min="1" max="1" width="7.7109375" customWidth="1"/>
    <col min="2" max="2" width="17.85546875" customWidth="1"/>
    <col min="3" max="3" width="16.42578125" customWidth="1"/>
    <col min="4" max="4" width="14.42578125" customWidth="1"/>
    <col min="5" max="6" width="14.5703125" customWidth="1"/>
    <col min="10" max="10" width="11.85546875" customWidth="1"/>
    <col min="11" max="11" width="22.140625" customWidth="1"/>
    <col min="12" max="12" width="21.42578125" customWidth="1"/>
    <col min="13" max="13" width="11.42578125" customWidth="1"/>
    <col min="14" max="14" width="26.7109375" customWidth="1"/>
  </cols>
  <sheetData>
    <row r="2" spans="1:15" x14ac:dyDescent="0.2">
      <c r="D2" t="s">
        <v>37</v>
      </c>
      <c r="E2" t="s">
        <v>38</v>
      </c>
      <c r="F2" t="s">
        <v>86</v>
      </c>
      <c r="G2" t="s">
        <v>39</v>
      </c>
      <c r="L2" t="s">
        <v>37</v>
      </c>
      <c r="M2" t="s">
        <v>38</v>
      </c>
      <c r="N2" t="s">
        <v>86</v>
      </c>
      <c r="O2" t="s">
        <v>39</v>
      </c>
    </row>
    <row r="3" spans="1:15" x14ac:dyDescent="0.2">
      <c r="A3" s="2"/>
      <c r="B3" t="str">
        <f>Selections!U9</f>
        <v>CAP</v>
      </c>
      <c r="C3" t="str">
        <f t="shared" ref="C3:C7" si="0">valTheme2</f>
        <v>Show All</v>
      </c>
      <c r="D3" s="36">
        <f>IF($C3="Show All",SUM(D16:D25),SUMIF($C16:$C25,$C$3,D16:D25))/valUnits2</f>
        <v>26591.292000000001</v>
      </c>
      <c r="E3" s="36">
        <f>IF($C3="Show All",SUM(E16:E25),SUMIF($C16:$C25,$C$3,E16:E25))/valUnits2</f>
        <v>23889.303</v>
      </c>
      <c r="F3" s="36">
        <f>IF($C3="Show All",SUM(F16:F25),SUMIF($C16:$C25,$C$3,F16:F25))/valUnits2</f>
        <v>2372.2150000000001</v>
      </c>
      <c r="G3" s="36">
        <f>D3+E3+F3</f>
        <v>52852.81</v>
      </c>
      <c r="J3" t="str">
        <f t="shared" ref="J3:J12" si="1">userForecast</f>
        <v>1st   (Apr)</v>
      </c>
      <c r="K3" s="568" t="s">
        <v>342</v>
      </c>
      <c r="L3" s="36">
        <f t="shared" ref="L3:L12" ca="1" si="2">OFFSET(D16,numThemes*userForecast2,0)/valUnits2</f>
        <v>14630.374698999982</v>
      </c>
      <c r="M3" s="36">
        <f t="shared" ref="M3:M12" ca="1" si="3">OFFSET(E16,numThemes*userForecast2,0)/valUnits2</f>
        <v>424.89250999999877</v>
      </c>
      <c r="N3" s="36">
        <f t="shared" ref="N3:N12" ca="1" si="4">OFFSET(F16,numThemes*userForecast2,0)/valUnits2</f>
        <v>0</v>
      </c>
      <c r="O3" s="36">
        <f ca="1">SUM(L3:N3)</f>
        <v>15055.26720899998</v>
      </c>
    </row>
    <row r="4" spans="1:15" x14ac:dyDescent="0.2">
      <c r="A4" s="2"/>
      <c r="B4" t="str">
        <f>Selections!U11</f>
        <v>1st   (Apr)</v>
      </c>
      <c r="C4" t="str">
        <f t="shared" si="0"/>
        <v>Show All</v>
      </c>
      <c r="D4" s="36">
        <f>IF($C4="Show All",SUM(D36:D45),SUMIF($C36:$C45,$C$4,D36:D45))/valUnits2</f>
        <v>45507.96223999995</v>
      </c>
      <c r="E4" s="36">
        <f>IF($C4="Show All",SUM(E36:E45),SUMIF($C36:$C45,$C$4,E36:E45))/valUnits2</f>
        <v>15796.832521000009</v>
      </c>
      <c r="F4" s="36">
        <f>IF($C4="Show All",SUM(F36:F45),SUMIF($C36:$C45,$C$4,F36:F45))/valUnits2</f>
        <v>0</v>
      </c>
      <c r="G4" s="36">
        <f t="shared" ref="G4:G7" si="5">D4+E4+F4</f>
        <v>61304.794760999961</v>
      </c>
      <c r="J4" t="str">
        <f t="shared" si="1"/>
        <v>1st   (Apr)</v>
      </c>
      <c r="K4" s="569" t="s">
        <v>343</v>
      </c>
      <c r="L4" s="36">
        <f t="shared" ca="1" si="2"/>
        <v>2565.9226059999946</v>
      </c>
      <c r="M4" s="36">
        <f t="shared" ca="1" si="3"/>
        <v>6782.2301079999997</v>
      </c>
      <c r="N4" s="36">
        <f t="shared" ca="1" si="4"/>
        <v>0</v>
      </c>
      <c r="O4" s="36">
        <f t="shared" ref="O4:O12" ca="1" si="6">SUM(L4:N4)</f>
        <v>9348.1527139999944</v>
      </c>
    </row>
    <row r="5" spans="1:15" x14ac:dyDescent="0.2">
      <c r="A5" s="2"/>
      <c r="B5" t="str">
        <f>Selections!U12</f>
        <v>2nd (July)</v>
      </c>
      <c r="C5" t="str">
        <f t="shared" si="0"/>
        <v>Show All</v>
      </c>
      <c r="D5" s="36">
        <f>IF($C5="Show All", SUM(D46:D55),SUMIF($C46:$C55,$C$3,D46:D55))/valUnits2</f>
        <v>0</v>
      </c>
      <c r="E5" s="36">
        <f>IF($C5="Show All", SUM(E46:E55),SUMIF($C46:$C55,$C$3,E46:E55))/valUnits2</f>
        <v>0</v>
      </c>
      <c r="F5" s="36">
        <f>IF($C5="Show All", SUM(F46:F55),SUMIF($C46:$C55,$C$3,F46:F55))/valUnits2</f>
        <v>0</v>
      </c>
      <c r="G5" s="36">
        <f t="shared" si="5"/>
        <v>0</v>
      </c>
      <c r="J5" t="str">
        <f t="shared" si="1"/>
        <v>1st   (Apr)</v>
      </c>
      <c r="K5" s="570" t="s">
        <v>344</v>
      </c>
      <c r="L5" s="36">
        <f t="shared" ca="1" si="2"/>
        <v>11484.485471999966</v>
      </c>
      <c r="M5" s="36">
        <f t="shared" ca="1" si="3"/>
        <v>62.446914</v>
      </c>
      <c r="N5" s="36">
        <f t="shared" ca="1" si="4"/>
        <v>0</v>
      </c>
      <c r="O5" s="36">
        <f t="shared" ca="1" si="6"/>
        <v>11546.932385999966</v>
      </c>
    </row>
    <row r="6" spans="1:15" x14ac:dyDescent="0.2">
      <c r="A6" s="2"/>
      <c r="B6" t="str">
        <f>Selections!U13</f>
        <v>3rd   (NA)</v>
      </c>
      <c r="C6" t="str">
        <f t="shared" si="0"/>
        <v>Show All</v>
      </c>
      <c r="D6" s="36">
        <f>IF($C6="Show All", SUM(D56:D65),SUMIF($C56:$C65,$C$3,D56:D65))/valUnits2</f>
        <v>0</v>
      </c>
      <c r="E6" s="36">
        <f>IF($C6="Show All", SUM(E56:E65),SUMIF($C56:$C65,$C$3,E56:E65))/valUnits2</f>
        <v>0</v>
      </c>
      <c r="F6" s="36">
        <f>IF($C6="Show All", SUM(F56:F65),SUMIF($C56:$C65,$C$3,F56:F65))/valUnits2</f>
        <v>0</v>
      </c>
      <c r="G6" s="36">
        <f t="shared" si="5"/>
        <v>0</v>
      </c>
      <c r="J6" t="str">
        <f t="shared" si="1"/>
        <v>1st   (Apr)</v>
      </c>
      <c r="K6" s="569" t="s">
        <v>345</v>
      </c>
      <c r="L6" s="36">
        <f t="shared" ca="1" si="2"/>
        <v>1170.5091769999974</v>
      </c>
      <c r="M6" s="36">
        <f t="shared" ca="1" si="3"/>
        <v>53.430187999999994</v>
      </c>
      <c r="N6" s="36">
        <f t="shared" ca="1" si="4"/>
        <v>0</v>
      </c>
      <c r="O6" s="36">
        <f t="shared" ca="1" si="6"/>
        <v>1223.9393649999975</v>
      </c>
    </row>
    <row r="7" spans="1:15" x14ac:dyDescent="0.2">
      <c r="A7" s="2"/>
      <c r="B7" t="str">
        <f>Selections!U14</f>
        <v>CAR</v>
      </c>
      <c r="C7" t="str">
        <f t="shared" si="0"/>
        <v>Show All</v>
      </c>
      <c r="D7" s="36">
        <f>IF($C7="Show All", SUM(D66:D75),SUMIF($C66:$C75,$C$3,D66:D75))/valUnits2</f>
        <v>0</v>
      </c>
      <c r="E7" s="36">
        <f>IF($C7="Show All", SUM(E66:E75),SUMIF($C66:$C75,$C$3,E66:E75))/valUnits2</f>
        <v>0</v>
      </c>
      <c r="F7" s="36">
        <f>IF($C7="Show All", SUM(F66:F75),SUMIF($C66:$C75,$C$3,F66:F75))/valUnits2</f>
        <v>0</v>
      </c>
      <c r="G7" s="36">
        <f t="shared" si="5"/>
        <v>0</v>
      </c>
      <c r="J7" t="str">
        <f t="shared" si="1"/>
        <v>1st   (Apr)</v>
      </c>
      <c r="K7" s="570" t="s">
        <v>346</v>
      </c>
      <c r="L7" s="36">
        <f t="shared" ca="1" si="2"/>
        <v>2702.9825049999931</v>
      </c>
      <c r="M7" s="36">
        <f t="shared" ca="1" si="3"/>
        <v>0</v>
      </c>
      <c r="N7" s="36">
        <f t="shared" ca="1" si="4"/>
        <v>0</v>
      </c>
      <c r="O7" s="36">
        <f t="shared" ca="1" si="6"/>
        <v>2702.9825049999931</v>
      </c>
    </row>
    <row r="8" spans="1:15" x14ac:dyDescent="0.2">
      <c r="A8" s="2"/>
      <c r="B8" s="9"/>
      <c r="J8" t="str">
        <f t="shared" si="1"/>
        <v>1st   (Apr)</v>
      </c>
      <c r="K8" s="569" t="s">
        <v>347</v>
      </c>
      <c r="L8" s="36">
        <f t="shared" ca="1" si="2"/>
        <v>1.63696</v>
      </c>
      <c r="M8" s="36">
        <f t="shared" ca="1" si="3"/>
        <v>7051.2661540000108</v>
      </c>
      <c r="N8" s="36">
        <f t="shared" ca="1" si="4"/>
        <v>0</v>
      </c>
      <c r="O8" s="36">
        <f t="shared" ca="1" si="6"/>
        <v>7052.9031140000106</v>
      </c>
    </row>
    <row r="9" spans="1:15" x14ac:dyDescent="0.2">
      <c r="A9" s="2"/>
      <c r="B9" s="2"/>
      <c r="J9" t="str">
        <f t="shared" si="1"/>
        <v>1st   (Apr)</v>
      </c>
      <c r="K9" s="570" t="s">
        <v>348</v>
      </c>
      <c r="L9" s="36">
        <f t="shared" ca="1" si="2"/>
        <v>6270.5648130000063</v>
      </c>
      <c r="M9" s="36">
        <f t="shared" ca="1" si="3"/>
        <v>201.34599600000016</v>
      </c>
      <c r="N9" s="36">
        <f t="shared" ca="1" si="4"/>
        <v>0</v>
      </c>
      <c r="O9" s="36">
        <f t="shared" ca="1" si="6"/>
        <v>6471.9108090000063</v>
      </c>
    </row>
    <row r="10" spans="1:15" x14ac:dyDescent="0.2">
      <c r="B10" s="2"/>
      <c r="J10" t="str">
        <f t="shared" si="1"/>
        <v>1st   (Apr)</v>
      </c>
      <c r="K10" s="569" t="s">
        <v>349</v>
      </c>
      <c r="L10" s="36">
        <f t="shared" ca="1" si="2"/>
        <v>2989.0194479999936</v>
      </c>
      <c r="M10" s="36">
        <f t="shared" ca="1" si="3"/>
        <v>173.58793400000002</v>
      </c>
      <c r="N10" s="36">
        <f t="shared" ca="1" si="4"/>
        <v>0</v>
      </c>
      <c r="O10" s="36">
        <f t="shared" ca="1" si="6"/>
        <v>3162.6073819999938</v>
      </c>
    </row>
    <row r="11" spans="1:15" ht="14.1" customHeight="1" x14ac:dyDescent="0.2">
      <c r="B11" s="2"/>
      <c r="J11" t="str">
        <f t="shared" si="1"/>
        <v>1st   (Apr)</v>
      </c>
      <c r="K11" s="570" t="s">
        <v>350</v>
      </c>
      <c r="L11" s="36">
        <f t="shared" ca="1" si="2"/>
        <v>234.92872500000021</v>
      </c>
      <c r="M11" s="36">
        <f t="shared" ca="1" si="3"/>
        <v>34.011679000000008</v>
      </c>
      <c r="N11" s="36">
        <f t="shared" ca="1" si="4"/>
        <v>0</v>
      </c>
      <c r="O11" s="36">
        <f t="shared" ca="1" si="6"/>
        <v>268.94040400000023</v>
      </c>
    </row>
    <row r="12" spans="1:15" ht="14.1" customHeight="1" x14ac:dyDescent="0.2">
      <c r="B12" s="2"/>
      <c r="J12" t="str">
        <f t="shared" si="1"/>
        <v>1st   (Apr)</v>
      </c>
      <c r="K12" s="569" t="s">
        <v>351</v>
      </c>
      <c r="L12" s="36">
        <f t="shared" ca="1" si="2"/>
        <v>3457.5378350000133</v>
      </c>
      <c r="M12" s="36">
        <f t="shared" ca="1" si="3"/>
        <v>1013.621038</v>
      </c>
      <c r="N12" s="36">
        <f t="shared" ca="1" si="4"/>
        <v>0</v>
      </c>
      <c r="O12" s="36">
        <f t="shared" ca="1" si="6"/>
        <v>4471.158873000013</v>
      </c>
    </row>
    <row r="13" spans="1:15" ht="14.1" customHeight="1" x14ac:dyDescent="0.2">
      <c r="B13" s="2"/>
    </row>
    <row r="14" spans="1:15" s="16" customFormat="1" ht="6.75" customHeight="1" x14ac:dyDescent="0.2">
      <c r="B14" s="17"/>
    </row>
    <row r="15" spans="1:15" x14ac:dyDescent="0.2">
      <c r="A15" s="8"/>
      <c r="B15" t="s">
        <v>78</v>
      </c>
      <c r="C15" s="10" t="s">
        <v>79</v>
      </c>
      <c r="D15" s="10" t="s">
        <v>37</v>
      </c>
      <c r="E15" s="10" t="s">
        <v>38</v>
      </c>
      <c r="F15" s="10" t="s">
        <v>86</v>
      </c>
      <c r="G15" s="10"/>
      <c r="H15" s="10"/>
      <c r="J15" t="s">
        <v>43</v>
      </c>
      <c r="K15" t="s">
        <v>83</v>
      </c>
      <c r="L15" t="s">
        <v>84</v>
      </c>
      <c r="M15" t="s">
        <v>107</v>
      </c>
      <c r="N15" t="s">
        <v>85</v>
      </c>
    </row>
    <row r="16" spans="1:15" x14ac:dyDescent="0.2">
      <c r="A16" s="8"/>
      <c r="B16" t="str">
        <f t="shared" ref="B16:B25" si="7">$B$3</f>
        <v>CAP</v>
      </c>
      <c r="C16" s="568" t="s">
        <v>342</v>
      </c>
      <c r="D16" s="21">
        <v>7618739</v>
      </c>
      <c r="E16" s="21">
        <v>5440331</v>
      </c>
      <c r="F16" s="21">
        <v>152215</v>
      </c>
      <c r="G16" s="10"/>
      <c r="H16" s="10"/>
      <c r="J16" t="s">
        <v>342</v>
      </c>
      <c r="K16">
        <v>13075346.29099988</v>
      </c>
      <c r="L16">
        <v>392759.94700000033</v>
      </c>
      <c r="M16">
        <v>0</v>
      </c>
      <c r="N16">
        <v>13468106.237999879</v>
      </c>
    </row>
    <row r="17" spans="1:14" x14ac:dyDescent="0.2">
      <c r="A17" s="8"/>
      <c r="B17" t="str">
        <f t="shared" si="7"/>
        <v>CAP</v>
      </c>
      <c r="C17" s="569" t="s">
        <v>343</v>
      </c>
      <c r="D17" s="22">
        <v>421174</v>
      </c>
      <c r="E17" s="22">
        <v>3119489</v>
      </c>
      <c r="F17" s="22">
        <v>984533</v>
      </c>
      <c r="G17" s="10"/>
      <c r="H17" s="10"/>
      <c r="J17" t="s">
        <v>343</v>
      </c>
      <c r="K17">
        <v>2373271.6829999993</v>
      </c>
      <c r="L17">
        <v>5668535.8050000053</v>
      </c>
      <c r="M17">
        <v>0</v>
      </c>
      <c r="N17">
        <v>8041807.4880000073</v>
      </c>
    </row>
    <row r="18" spans="1:14" x14ac:dyDescent="0.2">
      <c r="A18" s="8"/>
      <c r="B18" t="str">
        <f t="shared" si="7"/>
        <v>CAP</v>
      </c>
      <c r="C18" s="570" t="s">
        <v>344</v>
      </c>
      <c r="D18" s="23">
        <v>9770567</v>
      </c>
      <c r="E18" s="23">
        <v>872528</v>
      </c>
      <c r="F18" s="23">
        <v>485961</v>
      </c>
      <c r="G18" s="10"/>
      <c r="H18" s="10"/>
      <c r="J18" t="s">
        <v>344</v>
      </c>
      <c r="K18">
        <v>10710447.955000004</v>
      </c>
      <c r="L18">
        <v>44033.076000000001</v>
      </c>
      <c r="M18">
        <v>0</v>
      </c>
      <c r="N18">
        <v>10754481.031000014</v>
      </c>
    </row>
    <row r="19" spans="1:14" x14ac:dyDescent="0.2">
      <c r="A19" s="8"/>
      <c r="B19" t="str">
        <f t="shared" si="7"/>
        <v>CAP</v>
      </c>
      <c r="C19" s="569" t="s">
        <v>345</v>
      </c>
      <c r="D19" s="22">
        <v>376392</v>
      </c>
      <c r="E19" s="22">
        <v>574793</v>
      </c>
      <c r="F19" s="22">
        <v>0</v>
      </c>
      <c r="G19" s="10"/>
      <c r="H19" s="10"/>
      <c r="J19" t="s">
        <v>345</v>
      </c>
      <c r="K19">
        <v>1082832.8509999963</v>
      </c>
      <c r="L19">
        <v>3891.027000000001</v>
      </c>
      <c r="M19">
        <v>0</v>
      </c>
      <c r="N19">
        <v>1086723.8779999963</v>
      </c>
    </row>
    <row r="20" spans="1:14" x14ac:dyDescent="0.2">
      <c r="A20" s="10"/>
      <c r="B20" t="str">
        <f t="shared" si="7"/>
        <v>CAP</v>
      </c>
      <c r="C20" s="570" t="s">
        <v>346</v>
      </c>
      <c r="D20" s="23">
        <v>724217</v>
      </c>
      <c r="E20" s="23">
        <v>1349444</v>
      </c>
      <c r="F20" s="23">
        <v>605152</v>
      </c>
      <c r="G20" s="10"/>
      <c r="H20" s="10"/>
      <c r="J20" t="s">
        <v>346</v>
      </c>
      <c r="K20">
        <v>2228217.7709999993</v>
      </c>
      <c r="L20">
        <v>0</v>
      </c>
      <c r="M20">
        <v>0</v>
      </c>
      <c r="N20">
        <v>2228217.7709999993</v>
      </c>
    </row>
    <row r="21" spans="1:14" x14ac:dyDescent="0.2">
      <c r="A21" s="10"/>
      <c r="B21" t="str">
        <f t="shared" si="7"/>
        <v>CAP</v>
      </c>
      <c r="C21" s="569" t="s">
        <v>347</v>
      </c>
      <c r="D21" s="22">
        <v>0</v>
      </c>
      <c r="E21" s="22">
        <v>7444805</v>
      </c>
      <c r="F21" s="22">
        <v>0</v>
      </c>
      <c r="G21" s="10"/>
      <c r="H21" s="10"/>
      <c r="J21" t="s">
        <v>347</v>
      </c>
      <c r="K21">
        <v>589265.23499999987</v>
      </c>
      <c r="L21">
        <v>6983090.3080000011</v>
      </c>
      <c r="M21">
        <v>0</v>
      </c>
      <c r="N21">
        <v>7572355.543000008</v>
      </c>
    </row>
    <row r="22" spans="1:14" x14ac:dyDescent="0.2">
      <c r="A22" s="10"/>
      <c r="B22" t="str">
        <f t="shared" si="7"/>
        <v>CAP</v>
      </c>
      <c r="C22" s="570" t="s">
        <v>348</v>
      </c>
      <c r="D22" s="23">
        <v>4581069</v>
      </c>
      <c r="E22" s="23">
        <v>1765246</v>
      </c>
      <c r="F22" s="23">
        <v>0</v>
      </c>
      <c r="G22" s="10"/>
      <c r="H22" s="10"/>
      <c r="J22" t="s">
        <v>348</v>
      </c>
      <c r="K22">
        <v>5438002.7239999846</v>
      </c>
      <c r="L22">
        <v>201345.99599999998</v>
      </c>
      <c r="M22">
        <v>0</v>
      </c>
      <c r="N22">
        <v>5639348.7199999839</v>
      </c>
    </row>
    <row r="23" spans="1:14" x14ac:dyDescent="0.2">
      <c r="A23" s="10"/>
      <c r="B23" t="str">
        <f t="shared" si="7"/>
        <v>CAP</v>
      </c>
      <c r="C23" s="569" t="s">
        <v>349</v>
      </c>
      <c r="D23" s="22">
        <v>1332102</v>
      </c>
      <c r="E23" s="22">
        <v>729835</v>
      </c>
      <c r="F23" s="22">
        <v>0</v>
      </c>
      <c r="G23" s="10"/>
      <c r="H23" s="10"/>
      <c r="J23" t="s">
        <v>349</v>
      </c>
      <c r="K23">
        <v>2792357.0299999937</v>
      </c>
      <c r="L23">
        <v>41333.153000000006</v>
      </c>
      <c r="M23">
        <v>0</v>
      </c>
      <c r="N23">
        <v>2833690.1829999955</v>
      </c>
    </row>
    <row r="24" spans="1:14" x14ac:dyDescent="0.2">
      <c r="A24" s="10"/>
      <c r="B24" t="str">
        <f t="shared" si="7"/>
        <v>CAP</v>
      </c>
      <c r="C24" s="570" t="s">
        <v>350</v>
      </c>
      <c r="D24" s="23">
        <v>78145</v>
      </c>
      <c r="E24" s="23">
        <v>333491</v>
      </c>
      <c r="F24" s="23">
        <v>21875</v>
      </c>
      <c r="G24" s="10"/>
      <c r="H24" s="10"/>
      <c r="J24" t="s">
        <v>350</v>
      </c>
      <c r="K24">
        <v>315273.90200000023</v>
      </c>
      <c r="L24">
        <v>34011.679000000011</v>
      </c>
      <c r="M24">
        <v>0</v>
      </c>
      <c r="N24">
        <v>349285.58100000012</v>
      </c>
    </row>
    <row r="25" spans="1:14" x14ac:dyDescent="0.2">
      <c r="A25" s="10"/>
      <c r="B25" t="str">
        <f t="shared" si="7"/>
        <v>CAP</v>
      </c>
      <c r="C25" s="569" t="s">
        <v>351</v>
      </c>
      <c r="D25" s="22">
        <v>1688887</v>
      </c>
      <c r="E25" s="22">
        <v>2259341</v>
      </c>
      <c r="F25" s="22">
        <v>122479</v>
      </c>
      <c r="G25" s="10"/>
      <c r="H25" s="10"/>
      <c r="J25" t="s">
        <v>351</v>
      </c>
      <c r="K25">
        <v>3052221.4490000233</v>
      </c>
      <c r="L25">
        <v>954896.93699999957</v>
      </c>
      <c r="M25">
        <v>0</v>
      </c>
      <c r="N25">
        <v>4007118.3860000274</v>
      </c>
    </row>
    <row r="26" spans="1:14" x14ac:dyDescent="0.2">
      <c r="A26" s="10"/>
      <c r="B26" t="s">
        <v>231</v>
      </c>
      <c r="C26" s="568" t="s">
        <v>342</v>
      </c>
      <c r="D26" s="21">
        <v>7618739</v>
      </c>
      <c r="E26" s="21">
        <v>5440331</v>
      </c>
      <c r="F26" s="21">
        <v>152215</v>
      </c>
      <c r="G26" s="10"/>
      <c r="H26" s="10"/>
    </row>
    <row r="27" spans="1:14" x14ac:dyDescent="0.2">
      <c r="A27" s="10"/>
      <c r="B27" t="s">
        <v>231</v>
      </c>
      <c r="C27" s="569" t="s">
        <v>343</v>
      </c>
      <c r="D27" s="22">
        <v>421174</v>
      </c>
      <c r="E27" s="22">
        <v>3119489</v>
      </c>
      <c r="F27" s="22">
        <v>984533</v>
      </c>
      <c r="G27" s="10"/>
      <c r="H27" s="10"/>
    </row>
    <row r="28" spans="1:14" x14ac:dyDescent="0.2">
      <c r="A28" s="10"/>
      <c r="B28" t="s">
        <v>231</v>
      </c>
      <c r="C28" s="570" t="s">
        <v>344</v>
      </c>
      <c r="D28" s="23">
        <v>9770567</v>
      </c>
      <c r="E28" s="23">
        <v>872528</v>
      </c>
      <c r="F28" s="23">
        <v>485961</v>
      </c>
      <c r="G28" s="10"/>
      <c r="H28" s="10"/>
    </row>
    <row r="29" spans="1:14" x14ac:dyDescent="0.2">
      <c r="A29" s="10"/>
      <c r="B29" t="s">
        <v>231</v>
      </c>
      <c r="C29" s="569" t="s">
        <v>345</v>
      </c>
      <c r="D29" s="22">
        <v>376392</v>
      </c>
      <c r="E29" s="22">
        <v>574793</v>
      </c>
      <c r="F29" s="22">
        <v>0</v>
      </c>
      <c r="G29" s="10"/>
      <c r="H29" s="10"/>
    </row>
    <row r="30" spans="1:14" x14ac:dyDescent="0.2">
      <c r="A30" s="10"/>
      <c r="B30" t="s">
        <v>231</v>
      </c>
      <c r="C30" s="570" t="s">
        <v>346</v>
      </c>
      <c r="D30" s="23">
        <v>724217</v>
      </c>
      <c r="E30" s="23">
        <v>1349444</v>
      </c>
      <c r="F30" s="23">
        <v>605152</v>
      </c>
      <c r="G30" s="10"/>
      <c r="H30" s="10"/>
    </row>
    <row r="31" spans="1:14" x14ac:dyDescent="0.2">
      <c r="A31" s="10"/>
      <c r="B31" t="s">
        <v>231</v>
      </c>
      <c r="C31" s="569" t="s">
        <v>347</v>
      </c>
      <c r="D31" s="22">
        <v>0</v>
      </c>
      <c r="E31" s="22">
        <v>7444805</v>
      </c>
      <c r="F31" s="22">
        <v>0</v>
      </c>
      <c r="G31" s="10"/>
      <c r="H31" s="10"/>
    </row>
    <row r="32" spans="1:14" x14ac:dyDescent="0.2">
      <c r="A32" s="10"/>
      <c r="B32" t="s">
        <v>231</v>
      </c>
      <c r="C32" s="570" t="s">
        <v>348</v>
      </c>
      <c r="D32" s="23">
        <v>4581069</v>
      </c>
      <c r="E32" s="23">
        <v>1765246</v>
      </c>
      <c r="F32" s="23">
        <v>0</v>
      </c>
      <c r="G32" s="10"/>
      <c r="H32" s="10"/>
    </row>
    <row r="33" spans="1:8" x14ac:dyDescent="0.2">
      <c r="A33" s="10"/>
      <c r="B33" t="s">
        <v>231</v>
      </c>
      <c r="C33" s="569" t="s">
        <v>349</v>
      </c>
      <c r="D33" s="22">
        <v>1332102</v>
      </c>
      <c r="E33" s="22">
        <v>729835</v>
      </c>
      <c r="F33" s="22">
        <v>0</v>
      </c>
      <c r="G33" s="10"/>
      <c r="H33" s="10"/>
    </row>
    <row r="34" spans="1:8" x14ac:dyDescent="0.2">
      <c r="A34" s="10"/>
      <c r="B34" t="s">
        <v>231</v>
      </c>
      <c r="C34" s="570" t="s">
        <v>350</v>
      </c>
      <c r="D34" s="23">
        <v>78145</v>
      </c>
      <c r="E34" s="23">
        <v>333491</v>
      </c>
      <c r="F34" s="23">
        <v>21875</v>
      </c>
      <c r="G34" s="10"/>
      <c r="H34" s="10"/>
    </row>
    <row r="35" spans="1:8" x14ac:dyDescent="0.2">
      <c r="B35" t="s">
        <v>231</v>
      </c>
      <c r="C35" s="569" t="s">
        <v>351</v>
      </c>
      <c r="D35" s="22">
        <v>1688887</v>
      </c>
      <c r="E35" s="22">
        <v>2259341</v>
      </c>
      <c r="F35" s="22">
        <v>122479</v>
      </c>
    </row>
    <row r="36" spans="1:8" x14ac:dyDescent="0.2">
      <c r="B36" t="str">
        <f>$B$4</f>
        <v>1st   (Apr)</v>
      </c>
      <c r="C36" s="568" t="s">
        <v>342</v>
      </c>
      <c r="D36" s="21">
        <v>14630374.698999982</v>
      </c>
      <c r="E36" s="21">
        <v>424892.50999999879</v>
      </c>
      <c r="F36" s="24">
        <v>0</v>
      </c>
    </row>
    <row r="37" spans="1:8" x14ac:dyDescent="0.2">
      <c r="B37" t="str">
        <f t="shared" ref="B37:B45" si="8">$B$4</f>
        <v>1st   (Apr)</v>
      </c>
      <c r="C37" s="569" t="s">
        <v>343</v>
      </c>
      <c r="D37" s="22">
        <v>2565922.6059999946</v>
      </c>
      <c r="E37" s="22">
        <v>6782230.108</v>
      </c>
      <c r="F37" s="25">
        <v>0</v>
      </c>
    </row>
    <row r="38" spans="1:8" x14ac:dyDescent="0.2">
      <c r="B38" t="str">
        <f t="shared" si="8"/>
        <v>1st   (Apr)</v>
      </c>
      <c r="C38" s="570" t="s">
        <v>344</v>
      </c>
      <c r="D38" s="23">
        <v>11484485.471999966</v>
      </c>
      <c r="E38" s="23">
        <v>62446.913999999997</v>
      </c>
      <c r="F38" s="26">
        <v>0</v>
      </c>
    </row>
    <row r="39" spans="1:8" x14ac:dyDescent="0.2">
      <c r="B39" t="str">
        <f t="shared" si="8"/>
        <v>1st   (Apr)</v>
      </c>
      <c r="C39" s="569" t="s">
        <v>345</v>
      </c>
      <c r="D39" s="22">
        <v>1170509.1769999973</v>
      </c>
      <c r="E39" s="22">
        <v>53430.187999999995</v>
      </c>
      <c r="F39" s="25">
        <v>0</v>
      </c>
    </row>
    <row r="40" spans="1:8" x14ac:dyDescent="0.2">
      <c r="B40" t="str">
        <f t="shared" si="8"/>
        <v>1st   (Apr)</v>
      </c>
      <c r="C40" s="570" t="s">
        <v>346</v>
      </c>
      <c r="D40" s="23">
        <v>2702982.5049999929</v>
      </c>
      <c r="E40" s="23">
        <v>0</v>
      </c>
      <c r="F40" s="26">
        <v>0</v>
      </c>
    </row>
    <row r="41" spans="1:8" x14ac:dyDescent="0.2">
      <c r="B41" t="str">
        <f t="shared" si="8"/>
        <v>1st   (Apr)</v>
      </c>
      <c r="C41" s="569" t="s">
        <v>347</v>
      </c>
      <c r="D41" s="22">
        <v>1636.96</v>
      </c>
      <c r="E41" s="22">
        <v>7051266.1540000113</v>
      </c>
      <c r="F41" s="25">
        <v>0</v>
      </c>
    </row>
    <row r="42" spans="1:8" x14ac:dyDescent="0.2">
      <c r="B42" t="str">
        <f t="shared" si="8"/>
        <v>1st   (Apr)</v>
      </c>
      <c r="C42" s="570" t="s">
        <v>348</v>
      </c>
      <c r="D42" s="23">
        <v>6270564.8130000066</v>
      </c>
      <c r="E42" s="23">
        <v>201345.99600000016</v>
      </c>
      <c r="F42" s="26">
        <v>0</v>
      </c>
    </row>
    <row r="43" spans="1:8" x14ac:dyDescent="0.2">
      <c r="B43" t="str">
        <f t="shared" si="8"/>
        <v>1st   (Apr)</v>
      </c>
      <c r="C43" s="569" t="s">
        <v>349</v>
      </c>
      <c r="D43" s="22">
        <v>2989019.4479999938</v>
      </c>
      <c r="E43" s="22">
        <v>173587.93400000001</v>
      </c>
      <c r="F43" s="25">
        <v>0</v>
      </c>
    </row>
    <row r="44" spans="1:8" x14ac:dyDescent="0.2">
      <c r="B44" t="str">
        <f t="shared" si="8"/>
        <v>1st   (Apr)</v>
      </c>
      <c r="C44" s="570" t="s">
        <v>350</v>
      </c>
      <c r="D44" s="23">
        <v>234928.72500000021</v>
      </c>
      <c r="E44" s="23">
        <v>34011.679000000011</v>
      </c>
      <c r="F44" s="26">
        <v>0</v>
      </c>
    </row>
    <row r="45" spans="1:8" x14ac:dyDescent="0.2">
      <c r="B45" t="str">
        <f t="shared" si="8"/>
        <v>1st   (Apr)</v>
      </c>
      <c r="C45" s="569" t="s">
        <v>351</v>
      </c>
      <c r="D45" s="22">
        <v>3457537.8350000135</v>
      </c>
      <c r="E45" s="22">
        <v>1013621.0379999999</v>
      </c>
      <c r="F45" s="25">
        <v>0</v>
      </c>
    </row>
    <row r="46" spans="1:8" x14ac:dyDescent="0.2">
      <c r="B46" t="str">
        <f>$B$5</f>
        <v>2nd (July)</v>
      </c>
      <c r="C46" s="568" t="s">
        <v>342</v>
      </c>
      <c r="D46" s="27"/>
      <c r="E46" s="27"/>
      <c r="F46" s="28"/>
    </row>
    <row r="47" spans="1:8" x14ac:dyDescent="0.2">
      <c r="B47" t="str">
        <f t="shared" ref="B47:B55" si="9">$B$5</f>
        <v>2nd (July)</v>
      </c>
      <c r="C47" s="569" t="s">
        <v>343</v>
      </c>
      <c r="D47" s="27"/>
      <c r="E47" s="27"/>
      <c r="F47" s="28"/>
    </row>
    <row r="48" spans="1:8" x14ac:dyDescent="0.2">
      <c r="B48" t="str">
        <f t="shared" si="9"/>
        <v>2nd (July)</v>
      </c>
      <c r="C48" s="570" t="s">
        <v>344</v>
      </c>
      <c r="D48" s="27"/>
      <c r="E48" s="27"/>
      <c r="F48" s="28"/>
    </row>
    <row r="49" spans="2:6" x14ac:dyDescent="0.2">
      <c r="B49" t="str">
        <f t="shared" si="9"/>
        <v>2nd (July)</v>
      </c>
      <c r="C49" s="569" t="s">
        <v>345</v>
      </c>
      <c r="D49" s="27"/>
      <c r="E49" s="27"/>
      <c r="F49" s="28"/>
    </row>
    <row r="50" spans="2:6" x14ac:dyDescent="0.2">
      <c r="B50" t="str">
        <f t="shared" si="9"/>
        <v>2nd (July)</v>
      </c>
      <c r="C50" s="570" t="s">
        <v>346</v>
      </c>
      <c r="D50" s="27"/>
      <c r="E50" s="27"/>
      <c r="F50" s="28"/>
    </row>
    <row r="51" spans="2:6" x14ac:dyDescent="0.2">
      <c r="B51" t="str">
        <f t="shared" si="9"/>
        <v>2nd (July)</v>
      </c>
      <c r="C51" s="569" t="s">
        <v>347</v>
      </c>
      <c r="D51" s="27"/>
      <c r="E51" s="27"/>
      <c r="F51" s="28"/>
    </row>
    <row r="52" spans="2:6" x14ac:dyDescent="0.2">
      <c r="B52" t="str">
        <f t="shared" si="9"/>
        <v>2nd (July)</v>
      </c>
      <c r="C52" s="570" t="s">
        <v>348</v>
      </c>
      <c r="D52" s="27"/>
      <c r="E52" s="27"/>
      <c r="F52" s="28"/>
    </row>
    <row r="53" spans="2:6" x14ac:dyDescent="0.2">
      <c r="B53" t="str">
        <f t="shared" si="9"/>
        <v>2nd (July)</v>
      </c>
      <c r="C53" s="569" t="s">
        <v>349</v>
      </c>
      <c r="D53" s="27"/>
      <c r="E53" s="27"/>
      <c r="F53" s="28"/>
    </row>
    <row r="54" spans="2:6" x14ac:dyDescent="0.2">
      <c r="B54" t="str">
        <f t="shared" si="9"/>
        <v>2nd (July)</v>
      </c>
      <c r="C54" s="570" t="s">
        <v>350</v>
      </c>
      <c r="D54" s="27"/>
      <c r="E54" s="27"/>
      <c r="F54" s="28"/>
    </row>
    <row r="55" spans="2:6" x14ac:dyDescent="0.2">
      <c r="B55" t="str">
        <f t="shared" si="9"/>
        <v>2nd (July)</v>
      </c>
      <c r="C55" s="569" t="s">
        <v>351</v>
      </c>
      <c r="D55" s="27"/>
      <c r="E55" s="27"/>
      <c r="F55" s="28"/>
    </row>
    <row r="56" spans="2:6" x14ac:dyDescent="0.2">
      <c r="B56" t="str">
        <f>$B$6</f>
        <v>3rd   (NA)</v>
      </c>
      <c r="C56" s="568" t="s">
        <v>342</v>
      </c>
      <c r="D56" s="27"/>
      <c r="E56" s="27"/>
      <c r="F56" s="28"/>
    </row>
    <row r="57" spans="2:6" x14ac:dyDescent="0.2">
      <c r="B57" t="str">
        <f t="shared" ref="B57:B65" si="10">$B$6</f>
        <v>3rd   (NA)</v>
      </c>
      <c r="C57" s="569" t="s">
        <v>343</v>
      </c>
      <c r="D57" s="27"/>
      <c r="E57" s="27"/>
      <c r="F57" s="28"/>
    </row>
    <row r="58" spans="2:6" x14ac:dyDescent="0.2">
      <c r="B58" t="str">
        <f t="shared" si="10"/>
        <v>3rd   (NA)</v>
      </c>
      <c r="C58" s="570" t="s">
        <v>344</v>
      </c>
      <c r="D58" s="27"/>
      <c r="E58" s="27"/>
      <c r="F58" s="28"/>
    </row>
    <row r="59" spans="2:6" x14ac:dyDescent="0.2">
      <c r="B59" t="str">
        <f t="shared" si="10"/>
        <v>3rd   (NA)</v>
      </c>
      <c r="C59" s="569" t="s">
        <v>345</v>
      </c>
      <c r="D59" s="27"/>
      <c r="E59" s="27"/>
      <c r="F59" s="28"/>
    </row>
    <row r="60" spans="2:6" x14ac:dyDescent="0.2">
      <c r="B60" t="str">
        <f t="shared" si="10"/>
        <v>3rd   (NA)</v>
      </c>
      <c r="C60" s="570" t="s">
        <v>346</v>
      </c>
      <c r="D60" s="27"/>
      <c r="E60" s="27"/>
      <c r="F60" s="28"/>
    </row>
    <row r="61" spans="2:6" x14ac:dyDescent="0.2">
      <c r="B61" t="str">
        <f t="shared" si="10"/>
        <v>3rd   (NA)</v>
      </c>
      <c r="C61" s="569" t="s">
        <v>347</v>
      </c>
      <c r="D61" s="27"/>
      <c r="E61" s="27"/>
      <c r="F61" s="28"/>
    </row>
    <row r="62" spans="2:6" x14ac:dyDescent="0.2">
      <c r="B62" t="str">
        <f t="shared" si="10"/>
        <v>3rd   (NA)</v>
      </c>
      <c r="C62" s="570" t="s">
        <v>348</v>
      </c>
      <c r="D62" s="27"/>
      <c r="E62" s="27"/>
      <c r="F62" s="28"/>
    </row>
    <row r="63" spans="2:6" x14ac:dyDescent="0.2">
      <c r="B63" t="str">
        <f t="shared" si="10"/>
        <v>3rd   (NA)</v>
      </c>
      <c r="C63" s="569" t="s">
        <v>349</v>
      </c>
      <c r="D63" s="27"/>
      <c r="E63" s="27"/>
      <c r="F63" s="28"/>
    </row>
    <row r="64" spans="2:6" x14ac:dyDescent="0.2">
      <c r="B64" t="str">
        <f t="shared" si="10"/>
        <v>3rd   (NA)</v>
      </c>
      <c r="C64" s="570" t="s">
        <v>350</v>
      </c>
      <c r="D64" s="27"/>
      <c r="E64" s="27"/>
      <c r="F64" s="28"/>
    </row>
    <row r="65" spans="2:6" x14ac:dyDescent="0.2">
      <c r="B65" t="str">
        <f t="shared" si="10"/>
        <v>3rd   (NA)</v>
      </c>
      <c r="C65" s="569" t="s">
        <v>351</v>
      </c>
      <c r="D65" s="27"/>
      <c r="E65" s="27"/>
      <c r="F65" s="28"/>
    </row>
    <row r="66" spans="2:6" x14ac:dyDescent="0.2">
      <c r="B66" t="str">
        <f>$B$7</f>
        <v>CAR</v>
      </c>
      <c r="C66" s="568" t="s">
        <v>342</v>
      </c>
      <c r="D66" s="27"/>
      <c r="E66" s="27"/>
      <c r="F66" s="28"/>
    </row>
    <row r="67" spans="2:6" x14ac:dyDescent="0.2">
      <c r="B67" t="str">
        <f t="shared" ref="B67:B75" si="11">$B$7</f>
        <v>CAR</v>
      </c>
      <c r="C67" s="569" t="s">
        <v>343</v>
      </c>
      <c r="D67" s="27"/>
      <c r="E67" s="27"/>
      <c r="F67" s="28"/>
    </row>
    <row r="68" spans="2:6" x14ac:dyDescent="0.2">
      <c r="B68" t="str">
        <f t="shared" si="11"/>
        <v>CAR</v>
      </c>
      <c r="C68" s="570" t="s">
        <v>344</v>
      </c>
      <c r="D68" s="27"/>
      <c r="E68" s="27"/>
      <c r="F68" s="28"/>
    </row>
    <row r="69" spans="2:6" x14ac:dyDescent="0.2">
      <c r="B69" t="str">
        <f t="shared" si="11"/>
        <v>CAR</v>
      </c>
      <c r="C69" s="569" t="s">
        <v>345</v>
      </c>
      <c r="D69" s="27"/>
      <c r="E69" s="27"/>
      <c r="F69" s="28"/>
    </row>
    <row r="70" spans="2:6" x14ac:dyDescent="0.2">
      <c r="B70" t="str">
        <f t="shared" si="11"/>
        <v>CAR</v>
      </c>
      <c r="C70" s="570" t="s">
        <v>346</v>
      </c>
      <c r="D70" s="27"/>
      <c r="E70" s="27"/>
      <c r="F70" s="28"/>
    </row>
    <row r="71" spans="2:6" x14ac:dyDescent="0.2">
      <c r="B71" t="str">
        <f t="shared" si="11"/>
        <v>CAR</v>
      </c>
      <c r="C71" s="569" t="s">
        <v>347</v>
      </c>
      <c r="D71" s="27"/>
      <c r="E71" s="27"/>
      <c r="F71" s="28"/>
    </row>
    <row r="72" spans="2:6" x14ac:dyDescent="0.2">
      <c r="B72" t="str">
        <f t="shared" si="11"/>
        <v>CAR</v>
      </c>
      <c r="C72" s="570" t="s">
        <v>348</v>
      </c>
      <c r="D72" s="27"/>
      <c r="E72" s="27"/>
      <c r="F72" s="28"/>
    </row>
    <row r="73" spans="2:6" x14ac:dyDescent="0.2">
      <c r="B73" t="str">
        <f t="shared" si="11"/>
        <v>CAR</v>
      </c>
      <c r="C73" s="569" t="s">
        <v>349</v>
      </c>
      <c r="D73" s="27"/>
      <c r="E73" s="27"/>
      <c r="F73" s="28"/>
    </row>
    <row r="74" spans="2:6" x14ac:dyDescent="0.2">
      <c r="B74" t="str">
        <f t="shared" si="11"/>
        <v>CAR</v>
      </c>
      <c r="C74" s="570" t="s">
        <v>350</v>
      </c>
      <c r="D74" s="27"/>
      <c r="E74" s="27"/>
      <c r="F74" s="28"/>
    </row>
    <row r="75" spans="2:6" x14ac:dyDescent="0.2">
      <c r="B75" t="str">
        <f t="shared" si="11"/>
        <v>CAR</v>
      </c>
      <c r="C75" s="569" t="s">
        <v>351</v>
      </c>
      <c r="D75" s="27"/>
      <c r="E75" s="27"/>
      <c r="F75" s="2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21"/>
  <sheetViews>
    <sheetView topLeftCell="A34" workbookViewId="0">
      <selection activeCell="C16" sqref="C16:C25"/>
    </sheetView>
  </sheetViews>
  <sheetFormatPr defaultRowHeight="12.75" x14ac:dyDescent="0.2"/>
  <cols>
    <col min="2" max="2" width="8.42578125" customWidth="1"/>
    <col min="3" max="3" width="9.5703125" customWidth="1"/>
    <col min="4" max="15" width="12.140625" customWidth="1"/>
    <col min="16" max="21" width="11.140625" customWidth="1"/>
    <col min="22" max="22" width="9.140625" customWidth="1"/>
    <col min="23" max="27" width="8.140625" customWidth="1"/>
    <col min="28" max="28" width="7.42578125" customWidth="1"/>
    <col min="29" max="29" width="9" customWidth="1"/>
    <col min="30" max="30" width="12.42578125" customWidth="1"/>
    <col min="31" max="31" width="12.140625" customWidth="1"/>
    <col min="32" max="32" width="12.7109375" customWidth="1"/>
  </cols>
  <sheetData>
    <row r="1" spans="1:30" x14ac:dyDescent="0.2">
      <c r="B1" s="29" t="s">
        <v>112</v>
      </c>
      <c r="C1" s="32"/>
      <c r="D1" s="33">
        <v>1</v>
      </c>
      <c r="E1" s="33">
        <v>2</v>
      </c>
      <c r="F1" s="33">
        <v>3</v>
      </c>
      <c r="G1" s="33">
        <v>4</v>
      </c>
      <c r="H1" s="33">
        <v>5</v>
      </c>
      <c r="I1" s="33">
        <v>6</v>
      </c>
      <c r="J1" s="33">
        <v>7</v>
      </c>
      <c r="K1" s="33">
        <v>8</v>
      </c>
      <c r="L1" s="33">
        <v>9</v>
      </c>
      <c r="M1" s="33">
        <v>10</v>
      </c>
      <c r="N1" s="33">
        <v>11</v>
      </c>
      <c r="O1" s="33">
        <v>12</v>
      </c>
    </row>
    <row r="2" spans="1:30" x14ac:dyDescent="0.2">
      <c r="B2" s="29" t="s">
        <v>109</v>
      </c>
      <c r="D2" s="30">
        <v>2</v>
      </c>
      <c r="E2" s="30">
        <v>3</v>
      </c>
      <c r="F2" s="30">
        <v>4</v>
      </c>
      <c r="G2" s="30">
        <v>5</v>
      </c>
      <c r="H2" s="30">
        <v>6</v>
      </c>
      <c r="I2" s="30">
        <v>7</v>
      </c>
      <c r="J2" s="30">
        <v>8</v>
      </c>
      <c r="K2" s="30">
        <v>9</v>
      </c>
      <c r="L2" s="30">
        <v>10</v>
      </c>
      <c r="M2" s="30">
        <v>11</v>
      </c>
      <c r="N2" s="30">
        <v>12</v>
      </c>
      <c r="O2" s="30">
        <v>13</v>
      </c>
    </row>
    <row r="3" spans="1:30" x14ac:dyDescent="0.2">
      <c r="B3" s="29" t="s">
        <v>109</v>
      </c>
      <c r="D3" s="30">
        <v>14</v>
      </c>
      <c r="E3" s="30">
        <v>15</v>
      </c>
      <c r="F3" s="30">
        <v>16</v>
      </c>
      <c r="G3" s="30">
        <v>17</v>
      </c>
      <c r="H3" s="30">
        <v>18</v>
      </c>
      <c r="I3" s="30">
        <v>19</v>
      </c>
      <c r="J3" s="30">
        <v>20</v>
      </c>
      <c r="K3" s="30">
        <v>21</v>
      </c>
      <c r="L3" s="30">
        <v>22</v>
      </c>
      <c r="M3" s="30">
        <v>23</v>
      </c>
      <c r="N3" s="30">
        <v>24</v>
      </c>
      <c r="O3" s="30">
        <v>25</v>
      </c>
    </row>
    <row r="4" spans="1:30" x14ac:dyDescent="0.2">
      <c r="B4" s="31" t="s">
        <v>79</v>
      </c>
      <c r="C4" s="31" t="s">
        <v>110</v>
      </c>
      <c r="D4" s="31" t="s">
        <v>14</v>
      </c>
      <c r="E4" s="31" t="s">
        <v>15</v>
      </c>
      <c r="F4" s="31" t="s">
        <v>16</v>
      </c>
      <c r="G4" s="31" t="s">
        <v>17</v>
      </c>
      <c r="H4" s="31" t="s">
        <v>18</v>
      </c>
      <c r="I4" s="31" t="s">
        <v>19</v>
      </c>
      <c r="J4" s="31" t="s">
        <v>20</v>
      </c>
      <c r="K4" s="31" t="s">
        <v>21</v>
      </c>
      <c r="L4" s="31" t="s">
        <v>22</v>
      </c>
      <c r="M4" s="31" t="s">
        <v>23</v>
      </c>
      <c r="N4" s="31" t="s">
        <v>24</v>
      </c>
      <c r="O4" s="31" t="s">
        <v>25</v>
      </c>
    </row>
    <row r="5" spans="1:30" x14ac:dyDescent="0.2">
      <c r="B5" t="str">
        <f>valTheme2</f>
        <v>Show All</v>
      </c>
      <c r="C5" t="s">
        <v>35</v>
      </c>
      <c r="D5" s="37">
        <f>VLOOKUP($B5,DB_Theme[[#All],[Theme]:[Act12]],D2,FALSE)/valUnits2</f>
        <v>2568.0572870000001</v>
      </c>
      <c r="E5" s="37">
        <f>VLOOKUP($B5,DB_Theme[[#All],[Theme]:[Act12]],E2,FALSE)/valUnits2+D5*valCumm2</f>
        <v>3286.3479410000009</v>
      </c>
      <c r="F5" s="37">
        <f>VLOOKUP($B5,DB_Theme[[#All],[Theme]:[Act12]],F2,FALSE)/valUnits2+E5*valCumm2</f>
        <v>3416.4752959999996</v>
      </c>
      <c r="G5" s="37">
        <f>VLOOKUP($B5,DB_Theme[[#All],[Theme]:[Act12]],G2,FALSE)/valUnits2+F5*valCumm2</f>
        <v>7542.1027539999995</v>
      </c>
      <c r="H5" s="37">
        <f>VLOOKUP($B5,DB_Theme[[#All],[Theme]:[Act12]],H2,FALSE)/valUnits2+G5*valCumm2</f>
        <v>4555.0590999999995</v>
      </c>
      <c r="I5" s="37">
        <f>VLOOKUP($B5,DB_Theme[[#All],[Theme]:[Act12]],I2,FALSE)/valUnits2+H5*valCumm2</f>
        <v>5753.2846699999991</v>
      </c>
      <c r="J5" s="37">
        <f>VLOOKUP($B5,DB_Theme[[#All],[Theme]:[Act12]],J2,FALSE)/valUnits2+I5*valCumm2</f>
        <v>5569.9678969999995</v>
      </c>
      <c r="K5" s="37">
        <f>VLOOKUP($B5,DB_Theme[[#All],[Theme]:[Act12]],K2,FALSE)/valUnits2+J5*valCumm2</f>
        <v>3709.9379799999997</v>
      </c>
      <c r="L5" s="37">
        <f>VLOOKUP($B5,DB_Theme[[#All],[Theme]:[Act12]],L2,FALSE)/valUnits2+K5*valCumm2</f>
        <v>5378.8337000000001</v>
      </c>
      <c r="M5" s="37">
        <f>VLOOKUP($B5,DB_Theme[[#All],[Theme]:[Act12]],M2,FALSE)/valUnits2+L5*valCumm2</f>
        <v>4967.493112000001</v>
      </c>
      <c r="N5" s="37">
        <f>VLOOKUP($B5,DB_Theme[[#All],[Theme]:[Act12]],N2,FALSE)/valUnits2+M5*valCumm2</f>
        <v>3219.396612</v>
      </c>
      <c r="O5" s="37">
        <f>VLOOKUP($B5,DB_Theme[[#All],[Theme]:[Act12]],O2,FALSE)/valUnits2+N5*valCumm2</f>
        <v>6014.1784700000007</v>
      </c>
    </row>
    <row r="6" spans="1:30" x14ac:dyDescent="0.2">
      <c r="B6" t="str">
        <f>valTheme2</f>
        <v>Show All</v>
      </c>
      <c r="C6" t="s">
        <v>111</v>
      </c>
      <c r="D6" s="37">
        <f>IF(LastClosedMon&gt;D1,VLOOKUP($B6,DB_Theme[[#All],[Theme]:[Act12]],D3,FALSE),"")/valUnits2</f>
        <v>2277.9741200000003</v>
      </c>
      <c r="E6" s="37">
        <f>IF(LastClosedMon&gt;E1,(VLOOKUP($B6,DB_Theme[[#All],[Theme]:[Act12]],E3,FALSE)/valUnits2+D6*valCumm2),"")</f>
        <v>2970.3389700000002</v>
      </c>
      <c r="F6" s="37">
        <f>IF(LastClosedMon&gt;F1,(VLOOKUP($B6,DB_Theme[[#All],[Theme]:[Act12]],F3,FALSE)/valUnits2+E6*valCumm2),"")</f>
        <v>3033.5498100000009</v>
      </c>
      <c r="G6" s="37">
        <f>IF(LastClosedMon&gt;G1,(VLOOKUP($B6,DB_Theme[[#All],[Theme]:[Act12]],G3,FALSE)/valUnits2+F6*valCumm2),"")</f>
        <v>5394.9108799999967</v>
      </c>
      <c r="H6" s="37">
        <f>IF(LastClosedMon&gt;H1,(VLOOKUP($B6,DB_Theme[[#All],[Theme]:[Act12]],H3,FALSE)/valUnits2+G6*valCumm2),"")</f>
        <v>3583.4246199999975</v>
      </c>
      <c r="I6" s="37">
        <f>IF(LastClosedMon&gt;I1,(VLOOKUP($B6,DB_Theme[[#All],[Theme]:[Act12]],I3,FALSE)/valUnits2+H6*valCumm2),"")</f>
        <v>6468.9116499999991</v>
      </c>
      <c r="J6" s="37" t="str">
        <f>IF(LastClosedMon&gt;J1,(VLOOKUP($B6,DB_Theme[[#All],[Theme]:[Act12]],J3,FALSE)/valUnits2+I6*valCumm2),"")</f>
        <v/>
      </c>
      <c r="K6" s="37" t="str">
        <f>IF(LastClosedMon&gt;K1,(VLOOKUP($B6,DB_Theme[[#All],[Theme]:[Act12]],K3,FALSE)/valUnits2+J6*valCumm2),"")</f>
        <v/>
      </c>
      <c r="L6" s="37" t="str">
        <f>IF(LastClosedMon&gt;L1,(VLOOKUP($B6,DB_Theme[[#All],[Theme]:[Act12]],L3,FALSE)/valUnits2+K6*valCumm2),"")</f>
        <v/>
      </c>
      <c r="M6" s="37" t="str">
        <f>IF(LastClosedMon&gt;M1,(VLOOKUP($B6,DB_Theme[[#All],[Theme]:[Act12]],M3,FALSE)/valUnits2+L6*valCumm2),"")</f>
        <v/>
      </c>
      <c r="N6" s="37" t="str">
        <f>IF(LastClosedMon&gt;N1,(VLOOKUP($B6,DB_Theme[[#All],[Theme]:[Act12]],N3,FALSE)/valUnits2+M6*valCumm2),"")</f>
        <v/>
      </c>
      <c r="O6" s="37" t="str">
        <f>IF(LastClosedMon&gt;O1,(VLOOKUP($B6,DB_Theme[[#All],[Theme]:[Act12]],O3,FALSE)/valUnits2+N6*valCumm2),"")</f>
        <v/>
      </c>
    </row>
    <row r="7" spans="1:30" x14ac:dyDescent="0.2"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30" x14ac:dyDescent="0.2"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1:30" x14ac:dyDescent="0.2"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30" x14ac:dyDescent="0.2"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</row>
    <row r="11" spans="1:30" x14ac:dyDescent="0.2"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</row>
    <row r="14" spans="1:30" x14ac:dyDescent="0.2">
      <c r="D14">
        <f>Selections!$F$9</f>
        <v>1</v>
      </c>
      <c r="E14">
        <f>Selections!$F$10</f>
        <v>1</v>
      </c>
      <c r="F14">
        <f>Selections!$F$11</f>
        <v>1</v>
      </c>
      <c r="G14">
        <f>Selections!$F$12</f>
        <v>1</v>
      </c>
      <c r="H14">
        <f>Selections!$F$13</f>
        <v>1</v>
      </c>
      <c r="I14">
        <f>Selections!$F$14</f>
        <v>1</v>
      </c>
      <c r="J14">
        <f>Selections!$F$15</f>
        <v>0</v>
      </c>
      <c r="K14">
        <f>Selections!$F$16</f>
        <v>0</v>
      </c>
      <c r="L14">
        <f>Selections!$F$17</f>
        <v>0</v>
      </c>
      <c r="M14">
        <f>Selections!$F$18</f>
        <v>0</v>
      </c>
      <c r="N14">
        <f>Selections!$F$19</f>
        <v>0</v>
      </c>
      <c r="O14">
        <f>Selections!$F$20</f>
        <v>0</v>
      </c>
      <c r="P14">
        <f>Selections!$F$9</f>
        <v>1</v>
      </c>
      <c r="Q14">
        <f>Selections!$F$10</f>
        <v>1</v>
      </c>
      <c r="R14">
        <f>Selections!$F$11</f>
        <v>1</v>
      </c>
      <c r="S14">
        <f>Selections!$F$12</f>
        <v>1</v>
      </c>
      <c r="T14">
        <f>Selections!$F$13</f>
        <v>1</v>
      </c>
      <c r="U14">
        <f>Selections!$F$14</f>
        <v>1</v>
      </c>
      <c r="V14">
        <f>Selections!$F$15</f>
        <v>0</v>
      </c>
      <c r="W14">
        <f>Selections!$F$16</f>
        <v>0</v>
      </c>
      <c r="X14">
        <f>Selections!$F$17</f>
        <v>0</v>
      </c>
      <c r="Y14">
        <f>Selections!$F$18</f>
        <v>0</v>
      </c>
      <c r="Z14">
        <f>Selections!$F$19</f>
        <v>0</v>
      </c>
      <c r="AA14">
        <f>Selections!$F$20</f>
        <v>0</v>
      </c>
    </row>
    <row r="15" spans="1:30" x14ac:dyDescent="0.2">
      <c r="A15" t="s">
        <v>42</v>
      </c>
      <c r="B15" t="s">
        <v>108</v>
      </c>
      <c r="C15" t="s">
        <v>79</v>
      </c>
      <c r="D15" t="s">
        <v>45</v>
      </c>
      <c r="E15" t="s">
        <v>46</v>
      </c>
      <c r="F15" t="s">
        <v>47</v>
      </c>
      <c r="G15" t="s">
        <v>48</v>
      </c>
      <c r="H15" t="s">
        <v>49</v>
      </c>
      <c r="I15" t="s">
        <v>50</v>
      </c>
      <c r="J15" t="s">
        <v>51</v>
      </c>
      <c r="K15" t="s">
        <v>52</v>
      </c>
      <c r="L15" t="s">
        <v>53</v>
      </c>
      <c r="M15" t="s">
        <v>54</v>
      </c>
      <c r="N15" t="s">
        <v>55</v>
      </c>
      <c r="O15" t="s">
        <v>56</v>
      </c>
      <c r="P15" t="s">
        <v>57</v>
      </c>
      <c r="Q15" t="s">
        <v>58</v>
      </c>
      <c r="R15" t="s">
        <v>59</v>
      </c>
      <c r="S15" t="s">
        <v>60</v>
      </c>
      <c r="T15" t="s">
        <v>61</v>
      </c>
      <c r="U15" t="s">
        <v>62</v>
      </c>
      <c r="V15" t="s">
        <v>63</v>
      </c>
      <c r="W15" t="s">
        <v>64</v>
      </c>
      <c r="X15" t="s">
        <v>65</v>
      </c>
      <c r="Y15" t="s">
        <v>66</v>
      </c>
      <c r="Z15" t="s">
        <v>67</v>
      </c>
      <c r="AA15" t="s">
        <v>68</v>
      </c>
      <c r="AB15" t="s">
        <v>35</v>
      </c>
      <c r="AC15" t="s">
        <v>34</v>
      </c>
      <c r="AD15" t="s">
        <v>36</v>
      </c>
    </row>
    <row r="16" spans="1:30" x14ac:dyDescent="0.2">
      <c r="B16">
        <v>2</v>
      </c>
      <c r="C16" t="s">
        <v>342</v>
      </c>
      <c r="D16">
        <v>689311.98900000018</v>
      </c>
      <c r="E16">
        <v>1001264.9620000015</v>
      </c>
      <c r="F16">
        <v>524878.5349999998</v>
      </c>
      <c r="G16">
        <v>975945.65099999972</v>
      </c>
      <c r="H16">
        <v>1467049.8069999996</v>
      </c>
      <c r="I16">
        <v>1095913.3779999993</v>
      </c>
      <c r="J16">
        <v>1496185.8200000003</v>
      </c>
      <c r="K16">
        <v>1023907.8819999998</v>
      </c>
      <c r="L16">
        <v>1313668.8019999994</v>
      </c>
      <c r="M16">
        <v>1290407.5470000007</v>
      </c>
      <c r="N16">
        <v>1162384.327</v>
      </c>
      <c r="O16">
        <v>1427187.5380000002</v>
      </c>
      <c r="P16">
        <v>667459.83999999973</v>
      </c>
      <c r="Q16">
        <v>1008161.43</v>
      </c>
      <c r="R16">
        <v>489267.99000000075</v>
      </c>
      <c r="S16">
        <v>939794.26000000047</v>
      </c>
      <c r="T16">
        <v>1426482.7099999976</v>
      </c>
      <c r="U16">
        <v>725257.69999999984</v>
      </c>
      <c r="V16">
        <v>54335.56</v>
      </c>
      <c r="W16">
        <v>0</v>
      </c>
      <c r="X16">
        <v>0</v>
      </c>
      <c r="Y16">
        <v>0</v>
      </c>
      <c r="Z16">
        <v>0</v>
      </c>
      <c r="AA16">
        <v>0</v>
      </c>
      <c r="AB16" s="36">
        <f>SUMPRODUCT(DB_Theme[[#This Row],[Plan01]:[Plan12]],$D$14:$O$14)/valUnits2</f>
        <v>5754.3643219999994</v>
      </c>
      <c r="AC16" s="36">
        <f>SUMPRODUCT(DB_Theme[[#This Row],[Act01]:[Act12]],$P$14:$AA$14)/valUnits2</f>
        <v>5256.423929999999</v>
      </c>
      <c r="AD16" s="32">
        <f>DB_Theme[[#This Row],[Actual]]/DB_Theme[[#This Row],[Plan]]</f>
        <v>0.9134673503211671</v>
      </c>
    </row>
    <row r="17" spans="2:32" x14ac:dyDescent="0.2">
      <c r="B17">
        <v>3</v>
      </c>
      <c r="C17" t="s">
        <v>343</v>
      </c>
      <c r="D17">
        <v>253792.75900000002</v>
      </c>
      <c r="E17">
        <v>425414.1590000001</v>
      </c>
      <c r="F17">
        <v>520606.40199999989</v>
      </c>
      <c r="G17">
        <v>662536.83000000007</v>
      </c>
      <c r="H17">
        <v>923102.99800000025</v>
      </c>
      <c r="I17">
        <v>1033862.6810000003</v>
      </c>
      <c r="J17">
        <v>850009.08900000015</v>
      </c>
      <c r="K17">
        <v>958816.44100000022</v>
      </c>
      <c r="L17">
        <v>809457.37000000011</v>
      </c>
      <c r="M17">
        <v>870227.10100000002</v>
      </c>
      <c r="N17">
        <v>483506.93199999991</v>
      </c>
      <c r="O17">
        <v>250474.72600000002</v>
      </c>
      <c r="P17">
        <v>153950.50999999995</v>
      </c>
      <c r="Q17">
        <v>248594.52999999997</v>
      </c>
      <c r="R17">
        <v>333857.56000000017</v>
      </c>
      <c r="S17">
        <v>369443.5900000002</v>
      </c>
      <c r="T17">
        <v>219932.5400000001</v>
      </c>
      <c r="U17">
        <v>353978.29999999993</v>
      </c>
      <c r="V17">
        <v>13036.519999999999</v>
      </c>
      <c r="W17">
        <v>0</v>
      </c>
      <c r="X17">
        <v>0</v>
      </c>
      <c r="Y17">
        <v>0</v>
      </c>
      <c r="Z17">
        <v>0</v>
      </c>
      <c r="AA17">
        <v>0</v>
      </c>
      <c r="AB17" s="36">
        <f>SUMPRODUCT(DB_Theme[[#This Row],[Plan01]:[Plan12]],$D$14:$O$14)/valUnits2</f>
        <v>3819.3158290000006</v>
      </c>
      <c r="AC17" s="36">
        <f>SUMPRODUCT(DB_Theme[[#This Row],[Act01]:[Act12]],$P$14:$AA$14)/valUnits2</f>
        <v>1679.7570300000002</v>
      </c>
      <c r="AD17" s="32">
        <f>DB_Theme[[#This Row],[Actual]]/DB_Theme[[#This Row],[Plan]]</f>
        <v>0.43980574144867346</v>
      </c>
    </row>
    <row r="18" spans="2:32" x14ac:dyDescent="0.2">
      <c r="B18">
        <v>4</v>
      </c>
      <c r="C18" t="s">
        <v>344</v>
      </c>
      <c r="D18">
        <v>312961.26800000004</v>
      </c>
      <c r="E18">
        <v>144696.24499999994</v>
      </c>
      <c r="F18">
        <v>636402.07599999988</v>
      </c>
      <c r="G18">
        <v>2246921.9400000004</v>
      </c>
      <c r="H18">
        <v>491988.60499999998</v>
      </c>
      <c r="I18">
        <v>1962852.9519999998</v>
      </c>
      <c r="J18">
        <v>397964.84399999998</v>
      </c>
      <c r="K18">
        <v>394756.02500000002</v>
      </c>
      <c r="L18">
        <v>1926374.59</v>
      </c>
      <c r="M18">
        <v>263508.01000000007</v>
      </c>
      <c r="N18">
        <v>282286.45399999997</v>
      </c>
      <c r="O18">
        <v>1693768.0219999996</v>
      </c>
      <c r="P18">
        <v>312829.4200000001</v>
      </c>
      <c r="Q18">
        <v>144911.82000000009</v>
      </c>
      <c r="R18">
        <v>637383.09000000008</v>
      </c>
      <c r="S18">
        <v>2246804.819999998</v>
      </c>
      <c r="T18">
        <v>495321.68999999989</v>
      </c>
      <c r="U18">
        <v>783235.0900000002</v>
      </c>
      <c r="V18">
        <v>449.41</v>
      </c>
      <c r="W18">
        <v>0</v>
      </c>
      <c r="X18">
        <v>0</v>
      </c>
      <c r="Y18">
        <v>0</v>
      </c>
      <c r="Z18">
        <v>0</v>
      </c>
      <c r="AA18">
        <v>0</v>
      </c>
      <c r="AB18" s="36">
        <f>SUMPRODUCT(DB_Theme[[#This Row],[Plan01]:[Plan12]],$D$14:$O$14)/valUnits2</f>
        <v>5795.8230860000003</v>
      </c>
      <c r="AC18" s="36">
        <f>SUMPRODUCT(DB_Theme[[#This Row],[Act01]:[Act12]],$P$14:$AA$14)/valUnits2</f>
        <v>4620.4859299999989</v>
      </c>
      <c r="AD18" s="32">
        <f>DB_Theme[[#This Row],[Actual]]/DB_Theme[[#This Row],[Plan]]</f>
        <v>0.7972096217292991</v>
      </c>
    </row>
    <row r="19" spans="2:32" x14ac:dyDescent="0.2">
      <c r="B19">
        <v>5</v>
      </c>
      <c r="C19" t="s">
        <v>345</v>
      </c>
      <c r="D19">
        <v>66186.660999999993</v>
      </c>
      <c r="E19">
        <v>6850.4219999999859</v>
      </c>
      <c r="F19">
        <v>83375.946999999986</v>
      </c>
      <c r="G19">
        <v>146944.90699999995</v>
      </c>
      <c r="H19">
        <v>120373.91599999998</v>
      </c>
      <c r="I19">
        <v>104828.03100000003</v>
      </c>
      <c r="J19">
        <v>91784.981999999989</v>
      </c>
      <c r="K19">
        <v>94447.068000000043</v>
      </c>
      <c r="L19">
        <v>91784.982000000004</v>
      </c>
      <c r="M19">
        <v>91784.982000000047</v>
      </c>
      <c r="N19">
        <v>96576.998000000021</v>
      </c>
      <c r="O19">
        <v>91784.982000000047</v>
      </c>
      <c r="P19">
        <v>65233.73</v>
      </c>
      <c r="Q19">
        <v>6809.4900000000025</v>
      </c>
      <c r="R19">
        <v>83901.42</v>
      </c>
      <c r="S19">
        <v>144906.70000000004</v>
      </c>
      <c r="T19">
        <v>120553.26000000002</v>
      </c>
      <c r="U19">
        <v>74267.63999999997</v>
      </c>
      <c r="V19">
        <v>2515</v>
      </c>
      <c r="W19">
        <v>0</v>
      </c>
      <c r="X19">
        <v>0</v>
      </c>
      <c r="Y19">
        <v>0</v>
      </c>
      <c r="Z19">
        <v>0</v>
      </c>
      <c r="AA19">
        <v>0</v>
      </c>
      <c r="AB19" s="36">
        <f>SUMPRODUCT(DB_Theme[[#This Row],[Plan01]:[Plan12]],$D$14:$O$14)/valUnits2</f>
        <v>528.55988400000001</v>
      </c>
      <c r="AC19" s="36">
        <f>SUMPRODUCT(DB_Theme[[#This Row],[Act01]:[Act12]],$P$14:$AA$14)/valUnits2</f>
        <v>495.67224000000004</v>
      </c>
      <c r="AD19" s="32">
        <f>DB_Theme[[#This Row],[Actual]]/DB_Theme[[#This Row],[Plan]]</f>
        <v>0.9377787739941309</v>
      </c>
    </row>
    <row r="20" spans="2:32" x14ac:dyDescent="0.2">
      <c r="B20">
        <v>6</v>
      </c>
      <c r="C20" t="s">
        <v>346</v>
      </c>
      <c r="D20">
        <v>155883.46400000004</v>
      </c>
      <c r="E20">
        <v>28436.929999999989</v>
      </c>
      <c r="F20">
        <v>41832.19999999999</v>
      </c>
      <c r="G20">
        <v>360239.09200000006</v>
      </c>
      <c r="H20">
        <v>235788.02399999992</v>
      </c>
      <c r="I20">
        <v>285432.63200000016</v>
      </c>
      <c r="J20">
        <v>187288.96799999988</v>
      </c>
      <c r="K20">
        <v>188844.31099999984</v>
      </c>
      <c r="L20">
        <v>186535.45299999983</v>
      </c>
      <c r="M20">
        <v>191818.44399999984</v>
      </c>
      <c r="N20">
        <v>208379.50699999993</v>
      </c>
      <c r="O20">
        <v>157738.74600000001</v>
      </c>
      <c r="P20">
        <v>153953.67999999993</v>
      </c>
      <c r="Q20">
        <v>30159.020000000033</v>
      </c>
      <c r="R20">
        <v>41899.209999999977</v>
      </c>
      <c r="S20">
        <v>358243.12</v>
      </c>
      <c r="T20">
        <v>236119.98000000007</v>
      </c>
      <c r="U20">
        <v>186661.73999999973</v>
      </c>
      <c r="V20">
        <v>12356.33</v>
      </c>
      <c r="W20">
        <v>0</v>
      </c>
      <c r="X20">
        <v>0</v>
      </c>
      <c r="Y20">
        <v>0</v>
      </c>
      <c r="Z20">
        <v>0</v>
      </c>
      <c r="AA20">
        <v>0</v>
      </c>
      <c r="AB20" s="36">
        <f>SUMPRODUCT(DB_Theme[[#This Row],[Plan01]:[Plan12]],$D$14:$O$14)/valUnits2</f>
        <v>1107.6123420000001</v>
      </c>
      <c r="AC20" s="36">
        <f>SUMPRODUCT(DB_Theme[[#This Row],[Act01]:[Act12]],$P$14:$AA$14)/valUnits2</f>
        <v>1007.0367499999998</v>
      </c>
      <c r="AD20" s="32">
        <f>DB_Theme[[#This Row],[Actual]]/DB_Theme[[#This Row],[Plan]]</f>
        <v>0.90919603530383886</v>
      </c>
    </row>
    <row r="21" spans="2:32" x14ac:dyDescent="0.2">
      <c r="B21">
        <v>7</v>
      </c>
      <c r="C21" t="s">
        <v>347</v>
      </c>
      <c r="D21">
        <v>187521.65600000008</v>
      </c>
      <c r="E21">
        <v>141949.16300000006</v>
      </c>
      <c r="F21">
        <v>236742.48300000009</v>
      </c>
      <c r="G21">
        <v>1820269.2339999999</v>
      </c>
      <c r="H21">
        <v>275168.23100000003</v>
      </c>
      <c r="I21">
        <v>108620.31000000001</v>
      </c>
      <c r="J21">
        <v>1529477.4419999998</v>
      </c>
      <c r="K21">
        <v>136094.48399999997</v>
      </c>
      <c r="L21">
        <v>136503.72399999999</v>
      </c>
      <c r="M21">
        <v>1373902.77</v>
      </c>
      <c r="N21">
        <v>136094.484</v>
      </c>
      <c r="O21">
        <v>1490011.5619999997</v>
      </c>
      <c r="P21">
        <v>102931.48000000001</v>
      </c>
      <c r="Q21">
        <v>58764.140000000014</v>
      </c>
      <c r="R21">
        <v>151338.06000000006</v>
      </c>
      <c r="S21">
        <v>94896.880000000019</v>
      </c>
      <c r="T21">
        <v>162444.40000000005</v>
      </c>
      <c r="U21">
        <v>2489155.5100000002</v>
      </c>
      <c r="V21">
        <v>5924.21</v>
      </c>
      <c r="W21">
        <v>0</v>
      </c>
      <c r="X21">
        <v>0</v>
      </c>
      <c r="Y21">
        <v>0</v>
      </c>
      <c r="Z21">
        <v>0</v>
      </c>
      <c r="AA21">
        <v>0</v>
      </c>
      <c r="AB21" s="36">
        <f>SUMPRODUCT(DB_Theme[[#This Row],[Plan01]:[Plan12]],$D$14:$O$14)/valUnits2</f>
        <v>2770.2710770000003</v>
      </c>
      <c r="AC21" s="36">
        <f>SUMPRODUCT(DB_Theme[[#This Row],[Act01]:[Act12]],$P$14:$AA$14)/valUnits2</f>
        <v>3059.5304700000002</v>
      </c>
      <c r="AD21" s="32">
        <f>DB_Theme[[#This Row],[Actual]]/DB_Theme[[#This Row],[Plan]]</f>
        <v>1.1044155553590251</v>
      </c>
    </row>
    <row r="22" spans="2:32" x14ac:dyDescent="0.2">
      <c r="B22">
        <v>8</v>
      </c>
      <c r="C22" t="s">
        <v>348</v>
      </c>
      <c r="D22">
        <v>273252.10699999996</v>
      </c>
      <c r="E22">
        <v>702386.12199999997</v>
      </c>
      <c r="F22">
        <v>615254.12500000012</v>
      </c>
      <c r="G22">
        <v>541437.47299999965</v>
      </c>
      <c r="H22">
        <v>436819.81399999984</v>
      </c>
      <c r="I22">
        <v>485857.00200000009</v>
      </c>
      <c r="J22">
        <v>493814.3580000003</v>
      </c>
      <c r="K22">
        <v>396014.34300000005</v>
      </c>
      <c r="L22">
        <v>401938.47200000018</v>
      </c>
      <c r="M22">
        <v>404917.18700000015</v>
      </c>
      <c r="N22">
        <v>398411.53200000001</v>
      </c>
      <c r="O22">
        <v>489246.18500000011</v>
      </c>
      <c r="P22">
        <v>256702.15999999992</v>
      </c>
      <c r="Q22">
        <v>699386.37000000034</v>
      </c>
      <c r="R22">
        <v>594457.59999999998</v>
      </c>
      <c r="S22">
        <v>515982.56999999977</v>
      </c>
      <c r="T22">
        <v>416685.3000000004</v>
      </c>
      <c r="U22">
        <v>578722.17000000004</v>
      </c>
      <c r="V22">
        <v>37226.519999999997</v>
      </c>
      <c r="W22">
        <v>0</v>
      </c>
      <c r="X22">
        <v>0</v>
      </c>
      <c r="Y22">
        <v>0</v>
      </c>
      <c r="Z22">
        <v>0</v>
      </c>
      <c r="AA22">
        <v>0</v>
      </c>
      <c r="AB22" s="36">
        <f>SUMPRODUCT(DB_Theme[[#This Row],[Plan01]:[Plan12]],$D$14:$O$14)/valUnits2</f>
        <v>3055.0066429999993</v>
      </c>
      <c r="AC22" s="36">
        <f>SUMPRODUCT(DB_Theme[[#This Row],[Act01]:[Act12]],$P$14:$AA$14)/valUnits2</f>
        <v>3061.9361700000004</v>
      </c>
      <c r="AD22" s="32">
        <f>DB_Theme[[#This Row],[Actual]]/DB_Theme[[#This Row],[Plan]]</f>
        <v>1.0022682526782321</v>
      </c>
    </row>
    <row r="23" spans="2:32" x14ac:dyDescent="0.2">
      <c r="B23">
        <v>9</v>
      </c>
      <c r="C23" t="s">
        <v>349</v>
      </c>
      <c r="D23">
        <v>235158.17</v>
      </c>
      <c r="E23">
        <v>336328.96799999982</v>
      </c>
      <c r="F23">
        <v>328958.7</v>
      </c>
      <c r="G23">
        <v>476078.66899999994</v>
      </c>
      <c r="H23">
        <v>273236.41299999988</v>
      </c>
      <c r="I23">
        <v>290995.62399999984</v>
      </c>
      <c r="J23">
        <v>152175.60099999997</v>
      </c>
      <c r="K23">
        <v>144933.353</v>
      </c>
      <c r="L23">
        <v>145102.519</v>
      </c>
      <c r="M23">
        <v>164907.96000000002</v>
      </c>
      <c r="N23">
        <v>142905.103</v>
      </c>
      <c r="O23">
        <v>142909.103</v>
      </c>
      <c r="P23">
        <v>228435.49</v>
      </c>
      <c r="Q23">
        <v>334565.42999999982</v>
      </c>
      <c r="R23">
        <v>331832.25000000006</v>
      </c>
      <c r="S23">
        <v>473808.05999999976</v>
      </c>
      <c r="T23">
        <v>270966.78999999986</v>
      </c>
      <c r="U23">
        <v>952523.7799999991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s="36">
        <f>SUMPRODUCT(DB_Theme[[#This Row],[Plan01]:[Plan12]],$D$14:$O$14)/valUnits2</f>
        <v>1940.7565439999996</v>
      </c>
      <c r="AC23" s="36">
        <f>SUMPRODUCT(DB_Theme[[#This Row],[Act01]:[Act12]],$P$14:$AA$14)/valUnits2</f>
        <v>2592.1317999999987</v>
      </c>
      <c r="AD23" s="32">
        <f>DB_Theme[[#This Row],[Actual]]/DB_Theme[[#This Row],[Plan]]</f>
        <v>1.3356295553987834</v>
      </c>
    </row>
    <row r="24" spans="2:32" x14ac:dyDescent="0.2">
      <c r="B24">
        <v>10</v>
      </c>
      <c r="C24" t="s">
        <v>350</v>
      </c>
      <c r="D24">
        <v>9202.2180000000008</v>
      </c>
      <c r="E24">
        <v>151042.85299999997</v>
      </c>
      <c r="F24">
        <v>115664.45599999996</v>
      </c>
      <c r="G24">
        <v>-119364.20099999999</v>
      </c>
      <c r="H24">
        <v>29448.936000000002</v>
      </c>
      <c r="I24">
        <v>26050.099000000002</v>
      </c>
      <c r="J24">
        <v>26050.099000000002</v>
      </c>
      <c r="K24">
        <v>26050.099000000006</v>
      </c>
      <c r="L24">
        <v>25946.048000000006</v>
      </c>
      <c r="M24">
        <v>20248.412000000004</v>
      </c>
      <c r="N24">
        <v>19473.281000000003</v>
      </c>
      <c r="O24">
        <v>19473.281000000003</v>
      </c>
      <c r="P24">
        <v>6617.0300000000016</v>
      </c>
      <c r="Q24">
        <v>148540.11000000002</v>
      </c>
      <c r="R24">
        <v>112875.06999999999</v>
      </c>
      <c r="S24">
        <v>-123006.66000000002</v>
      </c>
      <c r="T24">
        <v>26530.609999999997</v>
      </c>
      <c r="U24">
        <v>10945.9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s="36">
        <f>SUMPRODUCT(DB_Theme[[#This Row],[Plan01]:[Plan12]],$D$14:$O$14)/valUnits2</f>
        <v>212.04436099999992</v>
      </c>
      <c r="AC24" s="36">
        <f>SUMPRODUCT(DB_Theme[[#This Row],[Act01]:[Act12]],$P$14:$AA$14)/valUnits2</f>
        <v>182.50205999999997</v>
      </c>
      <c r="AD24" s="32">
        <f>DB_Theme[[#This Row],[Actual]]/DB_Theme[[#This Row],[Plan]]</f>
        <v>0.86067867657183317</v>
      </c>
    </row>
    <row r="25" spans="2:32" x14ac:dyDescent="0.2">
      <c r="B25">
        <v>11</v>
      </c>
      <c r="C25" t="s">
        <v>351</v>
      </c>
      <c r="D25">
        <v>384786.99500000011</v>
      </c>
      <c r="E25">
        <v>347978.11699999974</v>
      </c>
      <c r="F25">
        <v>312760.37199999997</v>
      </c>
      <c r="G25">
        <v>431093.15900000068</v>
      </c>
      <c r="H25">
        <v>302082.3560000002</v>
      </c>
      <c r="I25">
        <v>358871.9609999996</v>
      </c>
      <c r="J25">
        <v>345216.69399999973</v>
      </c>
      <c r="K25">
        <v>346073.97399999987</v>
      </c>
      <c r="L25">
        <v>341521.73999999982</v>
      </c>
      <c r="M25">
        <v>295770.69899999996</v>
      </c>
      <c r="N25">
        <v>289377.99399999995</v>
      </c>
      <c r="O25">
        <v>251584.32499999987</v>
      </c>
      <c r="P25">
        <v>329860.78000000032</v>
      </c>
      <c r="Q25">
        <v>290446.62999999971</v>
      </c>
      <c r="R25">
        <v>256737.55999999997</v>
      </c>
      <c r="S25">
        <v>374037.53999999946</v>
      </c>
      <c r="T25">
        <v>208387.33999999953</v>
      </c>
      <c r="U25">
        <v>314163.8200000003</v>
      </c>
      <c r="V25">
        <v>63597.65</v>
      </c>
      <c r="W25">
        <v>0</v>
      </c>
      <c r="X25">
        <v>0</v>
      </c>
      <c r="Y25">
        <v>0</v>
      </c>
      <c r="Z25">
        <v>0</v>
      </c>
      <c r="AA25">
        <v>0</v>
      </c>
      <c r="AB25" s="36">
        <f>SUMPRODUCT(DB_Theme[[#This Row],[Plan01]:[Plan12]],$D$14:$O$14)/valUnits2</f>
        <v>2137.5729600000004</v>
      </c>
      <c r="AC25" s="36">
        <f>SUMPRODUCT(DB_Theme[[#This Row],[Act01]:[Act12]],$P$14:$AA$14)/valUnits2</f>
        <v>1773.6336699999993</v>
      </c>
      <c r="AD25" s="32">
        <f>DB_Theme[[#This Row],[Actual]]/DB_Theme[[#This Row],[Plan]]</f>
        <v>0.82974181615770393</v>
      </c>
    </row>
    <row r="26" spans="2:32" x14ac:dyDescent="0.2">
      <c r="B26" t="s">
        <v>39</v>
      </c>
      <c r="C26" s="2" t="s">
        <v>1</v>
      </c>
      <c r="D26">
        <f>SUBTOTAL(109,DB_Theme[Plan01])</f>
        <v>2568057.287</v>
      </c>
      <c r="E26">
        <f>SUBTOTAL(109,DB_Theme[Plan02])</f>
        <v>3286347.941000001</v>
      </c>
      <c r="F26">
        <f>SUBTOTAL(109,DB_Theme[Plan03])</f>
        <v>3416475.2959999996</v>
      </c>
      <c r="G26">
        <f>SUBTOTAL(109,DB_Theme[Plan04])</f>
        <v>7542102.7539999997</v>
      </c>
      <c r="H26">
        <f>SUBTOTAL(109,DB_Theme[Plan05])</f>
        <v>4555059.0999999996</v>
      </c>
      <c r="I26">
        <f>SUBTOTAL(109,DB_Theme[Plan06])</f>
        <v>5753284.669999999</v>
      </c>
      <c r="J26">
        <f>SUBTOTAL(109,DB_Theme[Plan07])</f>
        <v>5569967.8969999999</v>
      </c>
      <c r="K26">
        <f>SUBTOTAL(109,DB_Theme[Plan08])</f>
        <v>3709937.9799999995</v>
      </c>
      <c r="L26">
        <f>SUBTOTAL(109,DB_Theme[Plan09])</f>
        <v>5378833.7000000002</v>
      </c>
      <c r="M26">
        <f>SUBTOTAL(109,DB_Theme[Plan10])</f>
        <v>4967493.1120000007</v>
      </c>
      <c r="N26">
        <f>SUBTOTAL(109,DB_Theme[Plan11])</f>
        <v>3219396.6120000002</v>
      </c>
      <c r="O26">
        <f>SUBTOTAL(109,DB_Theme[Plan12])</f>
        <v>6014178.4700000007</v>
      </c>
      <c r="P26">
        <f>SUBTOTAL(109,DB_Theme[Act01])</f>
        <v>2277974.12</v>
      </c>
      <c r="Q26">
        <f>SUBTOTAL(109,DB_Theme[Act02])</f>
        <v>2970338.97</v>
      </c>
      <c r="R26">
        <f>SUBTOTAL(109,DB_Theme[Act03])</f>
        <v>3033549.810000001</v>
      </c>
      <c r="S26">
        <f>SUBTOTAL(109,DB_Theme[Act04])</f>
        <v>5394910.8799999971</v>
      </c>
      <c r="T26">
        <f>SUBTOTAL(109,DB_Theme[Act05])</f>
        <v>3583424.6199999973</v>
      </c>
      <c r="U26">
        <f>SUBTOTAL(109,DB_Theme[Act06])</f>
        <v>6468911.6499999994</v>
      </c>
      <c r="V26">
        <f>SUBTOTAL(109,DB_Theme[Act07])</f>
        <v>189441.2</v>
      </c>
      <c r="W26">
        <f>SUBTOTAL(109,DB_Theme[Act08])</f>
        <v>0</v>
      </c>
      <c r="X26">
        <f>SUBTOTAL(109,DB_Theme[Act09])</f>
        <v>0</v>
      </c>
      <c r="Y26">
        <f>SUBTOTAL(109,DB_Theme[Act10])</f>
        <v>0</v>
      </c>
      <c r="Z26">
        <f>SUBTOTAL(109,DB_Theme[Act11])</f>
        <v>0</v>
      </c>
      <c r="AA26">
        <f>SUBTOTAL(109,DB_Theme[Act12])</f>
        <v>0</v>
      </c>
      <c r="AB26" s="36">
        <f>SUBTOTAL(109,DB_Theme[Plan])</f>
        <v>27121.327048000003</v>
      </c>
      <c r="AC26" s="36">
        <f>SUBTOTAL(109,DB_Theme[Actual])</f>
        <v>23729.110049999996</v>
      </c>
    </row>
    <row r="28" spans="2:32" x14ac:dyDescent="0.2">
      <c r="AB28" s="35">
        <f>SUM(AB24:AB25)/DB_Theme[[#Totals],[Plan]]</f>
        <v>8.6633567628958144E-2</v>
      </c>
      <c r="AC28" s="35">
        <f>SUM(AC24:AC25)/DB_Theme[[#Totals],[Actual]]</f>
        <v>8.243611858507098E-2</v>
      </c>
    </row>
    <row r="29" spans="2:32" x14ac:dyDescent="0.2">
      <c r="AB29" s="35"/>
      <c r="AC29" s="35"/>
    </row>
    <row r="30" spans="2:32" x14ac:dyDescent="0.2">
      <c r="AB30" s="35"/>
      <c r="AC30" s="35"/>
    </row>
    <row r="31" spans="2:32" x14ac:dyDescent="0.2">
      <c r="E31">
        <f>Selections!$F$9</f>
        <v>1</v>
      </c>
      <c r="F31">
        <f>Selections!$F$10</f>
        <v>1</v>
      </c>
      <c r="G31">
        <f>Selections!$F$11</f>
        <v>1</v>
      </c>
      <c r="H31">
        <f>Selections!$F$12</f>
        <v>1</v>
      </c>
      <c r="I31">
        <f>Selections!$F$13</f>
        <v>1</v>
      </c>
      <c r="J31">
        <f>Selections!$F$14</f>
        <v>1</v>
      </c>
      <c r="K31">
        <f>Selections!$F$15</f>
        <v>0</v>
      </c>
      <c r="L31">
        <f>Selections!$F$16</f>
        <v>0</v>
      </c>
      <c r="M31">
        <f>Selections!$F$17</f>
        <v>0</v>
      </c>
      <c r="N31">
        <f>Selections!$F$18</f>
        <v>0</v>
      </c>
      <c r="O31">
        <f>Selections!$F$19</f>
        <v>0</v>
      </c>
      <c r="P31">
        <f>Selections!$F$20</f>
        <v>0</v>
      </c>
      <c r="Q31">
        <f>Selections!$F$9</f>
        <v>1</v>
      </c>
      <c r="R31">
        <f>Selections!$F$10</f>
        <v>1</v>
      </c>
      <c r="S31">
        <f>Selections!$F$11</f>
        <v>1</v>
      </c>
      <c r="T31">
        <f>Selections!$F$12</f>
        <v>1</v>
      </c>
      <c r="U31">
        <f>Selections!$F$13</f>
        <v>1</v>
      </c>
      <c r="V31">
        <f>Selections!$F$14</f>
        <v>1</v>
      </c>
      <c r="W31">
        <f>Selections!$F$15</f>
        <v>0</v>
      </c>
      <c r="X31">
        <f>Selections!$F$16</f>
        <v>0</v>
      </c>
      <c r="Y31">
        <f>Selections!$F$17</f>
        <v>0</v>
      </c>
      <c r="Z31">
        <f>Selections!$F$18</f>
        <v>0</v>
      </c>
      <c r="AA31">
        <f>Selections!$F$19</f>
        <v>0</v>
      </c>
      <c r="AB31">
        <f>Selections!$F$20</f>
        <v>0</v>
      </c>
    </row>
    <row r="32" spans="2:32" x14ac:dyDescent="0.2">
      <c r="D32" t="s">
        <v>115</v>
      </c>
      <c r="E32" t="s">
        <v>116</v>
      </c>
      <c r="F32" t="s">
        <v>117</v>
      </c>
      <c r="G32" t="s">
        <v>118</v>
      </c>
      <c r="H32" t="s">
        <v>119</v>
      </c>
      <c r="I32" t="s">
        <v>120</v>
      </c>
      <c r="J32" t="s">
        <v>121</v>
      </c>
      <c r="K32" t="s">
        <v>122</v>
      </c>
      <c r="L32" t="s">
        <v>123</v>
      </c>
      <c r="M32" t="s">
        <v>124</v>
      </c>
      <c r="N32" t="s">
        <v>125</v>
      </c>
      <c r="O32" t="s">
        <v>126</v>
      </c>
      <c r="P32" t="s">
        <v>127</v>
      </c>
      <c r="Q32" t="s">
        <v>128</v>
      </c>
      <c r="R32" t="s">
        <v>129</v>
      </c>
      <c r="S32" t="s">
        <v>130</v>
      </c>
      <c r="T32" t="s">
        <v>131</v>
      </c>
      <c r="U32" t="s">
        <v>132</v>
      </c>
      <c r="V32" t="s">
        <v>133</v>
      </c>
      <c r="W32" t="s">
        <v>134</v>
      </c>
      <c r="X32" t="s">
        <v>135</v>
      </c>
      <c r="Y32" t="s">
        <v>136</v>
      </c>
      <c r="Z32" t="s">
        <v>137</v>
      </c>
      <c r="AA32" t="s">
        <v>138</v>
      </c>
      <c r="AB32" t="s">
        <v>139</v>
      </c>
      <c r="AC32" t="s">
        <v>35</v>
      </c>
      <c r="AD32" t="s">
        <v>34</v>
      </c>
      <c r="AE32" t="s">
        <v>30</v>
      </c>
      <c r="AF32" t="s">
        <v>31</v>
      </c>
    </row>
    <row r="33" spans="3:32" x14ac:dyDescent="0.2">
      <c r="C33" t="s">
        <v>1</v>
      </c>
      <c r="D33" t="s">
        <v>140</v>
      </c>
      <c r="E33">
        <v>647467.11799999978</v>
      </c>
      <c r="F33">
        <v>812475.57500000019</v>
      </c>
      <c r="G33">
        <v>868121.01700000023</v>
      </c>
      <c r="H33">
        <v>824580.69699999981</v>
      </c>
      <c r="I33">
        <v>890359.02599999984</v>
      </c>
      <c r="J33">
        <v>842259.12499999977</v>
      </c>
      <c r="K33">
        <v>821178.5419999999</v>
      </c>
      <c r="L33">
        <v>813904.8949999999</v>
      </c>
      <c r="M33">
        <v>810486.7620000001</v>
      </c>
      <c r="N33">
        <v>790208.13199999975</v>
      </c>
      <c r="O33">
        <v>690391.33899999992</v>
      </c>
      <c r="P33">
        <v>616477.26699999976</v>
      </c>
      <c r="Q33">
        <v>558406.80999999994</v>
      </c>
      <c r="R33">
        <v>718036.31000000017</v>
      </c>
      <c r="S33">
        <v>763093.32000000007</v>
      </c>
      <c r="T33">
        <v>711277.99000000011</v>
      </c>
      <c r="U33">
        <v>718344.31999999983</v>
      </c>
      <c r="V33">
        <v>804967.08000000007</v>
      </c>
      <c r="W33">
        <v>65733</v>
      </c>
      <c r="X33">
        <v>0</v>
      </c>
      <c r="Y33">
        <v>0</v>
      </c>
      <c r="Z33">
        <v>0</v>
      </c>
      <c r="AA33">
        <v>0</v>
      </c>
      <c r="AB33">
        <v>0</v>
      </c>
      <c r="AC33" s="34">
        <f>SUMPRODUCT(DB_AllAcct[[#This Row],[SumOfPlan01]:[SumOfPlan12]],$E$31:$P$31)/valUnits2</f>
        <v>4885.2625579999994</v>
      </c>
      <c r="AD33" s="34">
        <f>SUMPRODUCT(DB_AllAcct[[#This Row],[SumOfAct01]:[SumOfAct12]],$Q$31:$AB$31)/valUnits2</f>
        <v>4274.12583</v>
      </c>
      <c r="AE33" s="34">
        <f>IF(DB_AllAcct[[#This Row],[Plan]]&lt;&gt;0,DB_AllAcct[[#This Row],[Actual]]/DB_AllAcct[[#This Row],[Plan]],"N/A")</f>
        <v>0.8749019687797096</v>
      </c>
      <c r="AF33" s="34">
        <f>DB_AllAcct[[#This Row],[Actual]]-DB_AllAcct[[#This Row],[Plan]]</f>
        <v>-611.13672799999949</v>
      </c>
    </row>
    <row r="34" spans="3:32" x14ac:dyDescent="0.2">
      <c r="C34" t="s">
        <v>1</v>
      </c>
      <c r="D34" t="s">
        <v>141</v>
      </c>
      <c r="E34">
        <v>85761.97199999998</v>
      </c>
      <c r="F34">
        <v>91425.233000000007</v>
      </c>
      <c r="G34">
        <v>157391.79300000001</v>
      </c>
      <c r="H34">
        <v>162986.77300000004</v>
      </c>
      <c r="I34">
        <v>248046.28500000003</v>
      </c>
      <c r="J34">
        <v>257564.83100000001</v>
      </c>
      <c r="K34">
        <v>175688.12699999998</v>
      </c>
      <c r="L34">
        <v>178075.64899999998</v>
      </c>
      <c r="M34">
        <v>171171.05100000001</v>
      </c>
      <c r="N34">
        <v>165544.99600000001</v>
      </c>
      <c r="O34">
        <v>169258.95300000001</v>
      </c>
      <c r="P34">
        <v>167034.117</v>
      </c>
      <c r="Q34">
        <v>68348.60000000002</v>
      </c>
      <c r="R34">
        <v>75045.990000000005</v>
      </c>
      <c r="S34">
        <v>139349.93000000002</v>
      </c>
      <c r="T34">
        <v>121921.01000000001</v>
      </c>
      <c r="U34">
        <v>200262.02000000005</v>
      </c>
      <c r="V34">
        <v>115850.11000000002</v>
      </c>
      <c r="W34">
        <v>18549.23</v>
      </c>
      <c r="X34">
        <v>0</v>
      </c>
      <c r="Y34">
        <v>0</v>
      </c>
      <c r="Z34">
        <v>0</v>
      </c>
      <c r="AA34">
        <v>0</v>
      </c>
      <c r="AB34">
        <v>0</v>
      </c>
      <c r="AC34" s="34">
        <f>SUMPRODUCT(DB_AllAcct[[#This Row],[SumOfPlan01]:[SumOfPlan12]],$E$31:$P$31)/valUnits2</f>
        <v>1003.1768870000001</v>
      </c>
      <c r="AD34" s="34">
        <f>SUMPRODUCT(DB_AllAcct[[#This Row],[SumOfAct01]:[SumOfAct12]],$Q$31:$AB$31)/valUnits2</f>
        <v>720.77766000000008</v>
      </c>
      <c r="AE34" s="34">
        <f>IF(DB_AllAcct[[#This Row],[Plan]]&lt;&gt;0,DB_AllAcct[[#This Row],[Actual]]/DB_AllAcct[[#This Row],[Plan]],"N/A")</f>
        <v>0.71849508231343451</v>
      </c>
      <c r="AF34" s="34">
        <f>DB_AllAcct[[#This Row],[Actual]]-DB_AllAcct[[#This Row],[Plan]]</f>
        <v>-282.399227</v>
      </c>
    </row>
    <row r="35" spans="3:32" x14ac:dyDescent="0.2">
      <c r="C35" t="s">
        <v>1</v>
      </c>
      <c r="D35" t="s">
        <v>237</v>
      </c>
      <c r="E35">
        <v>-130206.77499999999</v>
      </c>
      <c r="F35">
        <v>35435.557000000001</v>
      </c>
      <c r="G35">
        <v>108996.925</v>
      </c>
      <c r="H35">
        <v>50153.993000000009</v>
      </c>
      <c r="I35">
        <v>75303.357999999993</v>
      </c>
      <c r="J35">
        <v>1126.5620000000001</v>
      </c>
      <c r="K35">
        <v>473.35599999999999</v>
      </c>
      <c r="L35">
        <v>473.35599999999999</v>
      </c>
      <c r="M35">
        <v>473.35599999999999</v>
      </c>
      <c r="N35">
        <v>351.13400000000001</v>
      </c>
      <c r="O35">
        <v>351.13400000000001</v>
      </c>
      <c r="P35">
        <v>11378.012000000001</v>
      </c>
      <c r="Q35">
        <v>-125264.98999999998</v>
      </c>
      <c r="R35">
        <v>35740.69000000001</v>
      </c>
      <c r="S35">
        <v>109496.96999999997</v>
      </c>
      <c r="T35">
        <v>49881.560000000012</v>
      </c>
      <c r="U35">
        <v>75359.490000000005</v>
      </c>
      <c r="V35">
        <v>64852.310000000005</v>
      </c>
      <c r="W35">
        <v>1323.46</v>
      </c>
      <c r="X35">
        <v>0</v>
      </c>
      <c r="Y35">
        <v>0</v>
      </c>
      <c r="Z35">
        <v>0</v>
      </c>
      <c r="AA35">
        <v>0</v>
      </c>
      <c r="AB35">
        <v>0</v>
      </c>
      <c r="AC35" s="34">
        <f>SUMPRODUCT(DB_AllAcct[[#This Row],[SumOfPlan01]:[SumOfPlan12]],$E$31:$P$31)/valUnits2</f>
        <v>140.80962000000002</v>
      </c>
      <c r="AD35" s="34">
        <f>SUMPRODUCT(DB_AllAcct[[#This Row],[SumOfAct01]:[SumOfAct12]],$Q$31:$AB$31)/valUnits2</f>
        <v>210.06603000000004</v>
      </c>
      <c r="AE35" s="34">
        <f>IF(DB_AllAcct[[#This Row],[Plan]]&lt;&gt;0,DB_AllAcct[[#This Row],[Actual]]/DB_AllAcct[[#This Row],[Plan]],"N/A")</f>
        <v>1.4918443072284409</v>
      </c>
      <c r="AF35" s="34">
        <f>DB_AllAcct[[#This Row],[Actual]]-DB_AllAcct[[#This Row],[Plan]]</f>
        <v>69.256410000000017</v>
      </c>
    </row>
    <row r="36" spans="3:32" x14ac:dyDescent="0.2">
      <c r="C36" t="s">
        <v>1</v>
      </c>
      <c r="D36" t="s">
        <v>236</v>
      </c>
      <c r="E36">
        <v>339988.32999999996</v>
      </c>
      <c r="F36">
        <v>142366.93199999997</v>
      </c>
      <c r="G36">
        <v>415387.29800000007</v>
      </c>
      <c r="H36">
        <v>1822170.5149999999</v>
      </c>
      <c r="I36">
        <v>255098.598</v>
      </c>
      <c r="J36">
        <v>1812533.7059999998</v>
      </c>
      <c r="K36">
        <v>316883.33999999997</v>
      </c>
      <c r="L36">
        <v>190611.58000000002</v>
      </c>
      <c r="M36">
        <v>1666297.2439999997</v>
      </c>
      <c r="N36">
        <v>170894.05800000002</v>
      </c>
      <c r="O36">
        <v>153130.59799999997</v>
      </c>
      <c r="P36">
        <v>1728851.7769999995</v>
      </c>
      <c r="Q36">
        <v>271631.64999999997</v>
      </c>
      <c r="R36">
        <v>56197.06</v>
      </c>
      <c r="S36">
        <v>331113.20999999996</v>
      </c>
      <c r="T36">
        <v>1735079.99</v>
      </c>
      <c r="U36">
        <v>162067.28999999998</v>
      </c>
      <c r="V36">
        <v>785063.66999999993</v>
      </c>
      <c r="W36">
        <v>1993.2</v>
      </c>
      <c r="X36">
        <v>0</v>
      </c>
      <c r="Y36">
        <v>0</v>
      </c>
      <c r="Z36">
        <v>0</v>
      </c>
      <c r="AA36">
        <v>0</v>
      </c>
      <c r="AB36">
        <v>0</v>
      </c>
      <c r="AC36" s="34">
        <f>SUMPRODUCT(DB_AllAcct[[#This Row],[SumOfPlan01]:[SumOfPlan12]],$E$31:$P$31)/valUnits2</f>
        <v>4787.545379000001</v>
      </c>
      <c r="AD36" s="34">
        <f>SUMPRODUCT(DB_AllAcct[[#This Row],[SumOfAct01]:[SumOfAct12]],$Q$31:$AB$31)/valUnits2</f>
        <v>3341.1528699999999</v>
      </c>
      <c r="AE36" s="34">
        <f>IF(DB_AllAcct[[#This Row],[Plan]]&lt;&gt;0,DB_AllAcct[[#This Row],[Actual]]/DB_AllAcct[[#This Row],[Plan]],"N/A")</f>
        <v>0.69788432390752264</v>
      </c>
      <c r="AF36" s="34">
        <f>DB_AllAcct[[#This Row],[Actual]]-DB_AllAcct[[#This Row],[Plan]]</f>
        <v>-1446.3925090000012</v>
      </c>
    </row>
    <row r="37" spans="3:32" x14ac:dyDescent="0.2">
      <c r="C37" t="s">
        <v>1</v>
      </c>
      <c r="D37" t="s">
        <v>142</v>
      </c>
      <c r="E37">
        <v>1550460.5419999999</v>
      </c>
      <c r="F37">
        <v>2056223.0870000001</v>
      </c>
      <c r="G37">
        <v>1717539.423</v>
      </c>
      <c r="H37">
        <v>4503544.2189999996</v>
      </c>
      <c r="I37">
        <v>2917783.0150000001</v>
      </c>
      <c r="J37">
        <v>2714423.82</v>
      </c>
      <c r="K37">
        <v>4112159.6670000008</v>
      </c>
      <c r="L37">
        <v>2403399.1029999992</v>
      </c>
      <c r="M37">
        <v>2613897.3289999999</v>
      </c>
      <c r="N37">
        <v>3723945.2669999995</v>
      </c>
      <c r="O37">
        <v>2096964.5019999999</v>
      </c>
      <c r="P37">
        <v>3391615.7940000012</v>
      </c>
      <c r="Q37">
        <v>1461794.57</v>
      </c>
      <c r="R37">
        <v>1952353.5599999998</v>
      </c>
      <c r="S37">
        <v>1558126.61</v>
      </c>
      <c r="T37">
        <v>2616506.9900000002</v>
      </c>
      <c r="U37">
        <v>2289264.3099999973</v>
      </c>
      <c r="V37">
        <v>4556087.29</v>
      </c>
      <c r="W37">
        <v>101326.95</v>
      </c>
      <c r="X37">
        <v>0</v>
      </c>
      <c r="Y37">
        <v>0</v>
      </c>
      <c r="Z37">
        <v>0</v>
      </c>
      <c r="AA37">
        <v>0</v>
      </c>
      <c r="AB37">
        <v>0</v>
      </c>
      <c r="AC37" s="34">
        <f>SUMPRODUCT(DB_AllAcct[[#This Row],[SumOfPlan01]:[SumOfPlan12]],$E$31:$P$31)/valUnits2</f>
        <v>15459.974105999998</v>
      </c>
      <c r="AD37" s="34">
        <f>SUMPRODUCT(DB_AllAcct[[#This Row],[SumOfAct01]:[SumOfAct12]],$Q$31:$AB$31)/valUnits2</f>
        <v>14434.133329999999</v>
      </c>
      <c r="AE37" s="34">
        <f>IF(DB_AllAcct[[#This Row],[Plan]]&lt;&gt;0,DB_AllAcct[[#This Row],[Actual]]/DB_AllAcct[[#This Row],[Plan]],"N/A")</f>
        <v>0.93364537553773319</v>
      </c>
      <c r="AF37" s="34">
        <f>DB_AllAcct[[#This Row],[Actual]]-DB_AllAcct[[#This Row],[Plan]]</f>
        <v>-1025.8407759999991</v>
      </c>
    </row>
    <row r="38" spans="3:32" x14ac:dyDescent="0.2">
      <c r="C38" t="s">
        <v>1</v>
      </c>
      <c r="D38" t="s">
        <v>235</v>
      </c>
      <c r="E38">
        <v>37333.982999999993</v>
      </c>
      <c r="F38">
        <v>35109.123999999996</v>
      </c>
      <c r="G38">
        <v>62423.046999999999</v>
      </c>
      <c r="H38">
        <v>81197.305000000008</v>
      </c>
      <c r="I38">
        <v>38322.152000000002</v>
      </c>
      <c r="J38">
        <v>35437.965999999993</v>
      </c>
      <c r="K38">
        <v>34283.924999999996</v>
      </c>
      <c r="L38">
        <v>33394.946999999986</v>
      </c>
      <c r="M38">
        <v>30548.102999999996</v>
      </c>
      <c r="N38">
        <v>32510.085000000003</v>
      </c>
      <c r="O38">
        <v>30180.512999999999</v>
      </c>
      <c r="P38">
        <v>26303.239999999998</v>
      </c>
      <c r="Q38">
        <v>34496.800000000003</v>
      </c>
      <c r="R38">
        <v>29433.5</v>
      </c>
      <c r="S38">
        <v>61806.919999999991</v>
      </c>
      <c r="T38">
        <v>83167.430000000008</v>
      </c>
      <c r="U38">
        <v>31327.479999999996</v>
      </c>
      <c r="V38">
        <v>50613.119999999988</v>
      </c>
      <c r="W38">
        <v>515.36</v>
      </c>
      <c r="X38">
        <v>0</v>
      </c>
      <c r="Y38">
        <v>0</v>
      </c>
      <c r="Z38">
        <v>0</v>
      </c>
      <c r="AA38">
        <v>0</v>
      </c>
      <c r="AB38">
        <v>0</v>
      </c>
      <c r="AC38" s="34">
        <f>SUMPRODUCT(DB_AllAcct[[#This Row],[SumOfPlan01]:[SumOfPlan12]],$E$31:$P$31)/valUnits2</f>
        <v>289.823577</v>
      </c>
      <c r="AD38" s="34">
        <f>SUMPRODUCT(DB_AllAcct[[#This Row],[SumOfAct01]:[SumOfAct12]],$Q$31:$AB$31)/valUnits2</f>
        <v>290.84525000000002</v>
      </c>
      <c r="AE38" s="34">
        <f>IF(DB_AllAcct[[#This Row],[Plan]]&lt;&gt;0,DB_AllAcct[[#This Row],[Actual]]/DB_AllAcct[[#This Row],[Plan]],"N/A")</f>
        <v>1.0035251548910391</v>
      </c>
      <c r="AF38" s="34">
        <f>DB_AllAcct[[#This Row],[Actual]]-DB_AllAcct[[#This Row],[Plan]]</f>
        <v>1.0216730000000211</v>
      </c>
    </row>
    <row r="39" spans="3:32" x14ac:dyDescent="0.2">
      <c r="C39" t="s">
        <v>1</v>
      </c>
      <c r="D39" t="s">
        <v>143</v>
      </c>
      <c r="E39">
        <v>37252.116999999991</v>
      </c>
      <c r="F39">
        <v>113312.433</v>
      </c>
      <c r="G39">
        <v>86615.792999999991</v>
      </c>
      <c r="H39">
        <v>97469.251999999949</v>
      </c>
      <c r="I39">
        <v>130146.66599999997</v>
      </c>
      <c r="J39">
        <v>89529.42</v>
      </c>
      <c r="K39">
        <v>109300.94000000002</v>
      </c>
      <c r="L39">
        <v>90078.45</v>
      </c>
      <c r="M39">
        <v>85550.614999999991</v>
      </c>
      <c r="N39">
        <v>84039.44</v>
      </c>
      <c r="O39">
        <v>79119.573000000004</v>
      </c>
      <c r="P39">
        <v>72109.022999999986</v>
      </c>
      <c r="Q39">
        <v>25358.35</v>
      </c>
      <c r="R39">
        <v>101874.02</v>
      </c>
      <c r="S39">
        <v>70562.850000000006</v>
      </c>
      <c r="T39">
        <v>77075.909999999873</v>
      </c>
      <c r="U39">
        <v>106799.70999999992</v>
      </c>
      <c r="V39">
        <v>88600.770000000019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s="34">
        <f>SUMPRODUCT(DB_AllAcct[[#This Row],[SumOfPlan01]:[SumOfPlan12]],$E$31:$P$31)/valUnits2</f>
        <v>554.32568100000003</v>
      </c>
      <c r="AD39" s="34">
        <f>SUMPRODUCT(DB_AllAcct[[#This Row],[SumOfAct01]:[SumOfAct12]],$Q$31:$AB$31)/valUnits2</f>
        <v>470.27160999999984</v>
      </c>
      <c r="AE39" s="34">
        <f>IF(DB_AllAcct[[#This Row],[Plan]]&lt;&gt;0,DB_AllAcct[[#This Row],[Actual]]/DB_AllAcct[[#This Row],[Plan]],"N/A")</f>
        <v>0.84836699095671131</v>
      </c>
      <c r="AF39" s="34">
        <f>DB_AllAcct[[#This Row],[Actual]]-DB_AllAcct[[#This Row],[Plan]]</f>
        <v>-84.054071000000192</v>
      </c>
    </row>
    <row r="40" spans="3:32" x14ac:dyDescent="0.2">
      <c r="C40" t="s">
        <v>1</v>
      </c>
      <c r="D40" t="s">
        <v>144</v>
      </c>
      <c r="E40">
        <v>0</v>
      </c>
      <c r="F40">
        <v>0</v>
      </c>
      <c r="H40">
        <v>0</v>
      </c>
      <c r="J40">
        <v>409.24</v>
      </c>
      <c r="M40">
        <v>409.24</v>
      </c>
      <c r="P40">
        <v>409.24</v>
      </c>
      <c r="Q40">
        <v>-16797.669999999998</v>
      </c>
      <c r="R40">
        <v>1657.84</v>
      </c>
      <c r="T40">
        <v>0</v>
      </c>
      <c r="V40">
        <v>2877.3</v>
      </c>
      <c r="Y40">
        <v>0</v>
      </c>
      <c r="AB40">
        <v>0</v>
      </c>
      <c r="AC40" s="34">
        <f>SUMPRODUCT(DB_AllAcct[[#This Row],[SumOfPlan01]:[SumOfPlan12]],$E$31:$P$31)/valUnits2</f>
        <v>0.40923999999999999</v>
      </c>
      <c r="AD40" s="34">
        <f>SUMPRODUCT(DB_AllAcct[[#This Row],[SumOfAct01]:[SumOfAct12]],$Q$31:$AB$31)/valUnits2</f>
        <v>-12.262529999999998</v>
      </c>
      <c r="AE40" s="34">
        <f>IF(DB_AllAcct[[#This Row],[Plan]]&lt;&gt;0,DB_AllAcct[[#This Row],[Actual]]/DB_AllAcct[[#This Row],[Plan]],"N/A")</f>
        <v>-29.964153064216593</v>
      </c>
      <c r="AF40" s="34">
        <f>DB_AllAcct[[#This Row],[Actual]]-DB_AllAcct[[#This Row],[Plan]]</f>
        <v>-12.671769999999999</v>
      </c>
    </row>
    <row r="41" spans="3:32" x14ac:dyDescent="0.2">
      <c r="C41" t="s">
        <v>79</v>
      </c>
      <c r="D41" t="s">
        <v>115</v>
      </c>
      <c r="E41" t="s">
        <v>45</v>
      </c>
      <c r="F41" t="s">
        <v>46</v>
      </c>
      <c r="G41" t="s">
        <v>47</v>
      </c>
      <c r="H41" t="s">
        <v>48</v>
      </c>
      <c r="I41" t="s">
        <v>49</v>
      </c>
      <c r="J41" t="s">
        <v>50</v>
      </c>
      <c r="K41" t="s">
        <v>51</v>
      </c>
      <c r="L41" t="s">
        <v>52</v>
      </c>
      <c r="M41" t="s">
        <v>53</v>
      </c>
      <c r="N41" t="s">
        <v>54</v>
      </c>
      <c r="O41" t="s">
        <v>55</v>
      </c>
      <c r="P41" t="s">
        <v>56</v>
      </c>
      <c r="Q41" t="s">
        <v>57</v>
      </c>
      <c r="R41" t="s">
        <v>58</v>
      </c>
      <c r="S41" t="s">
        <v>59</v>
      </c>
      <c r="T41" t="s">
        <v>60</v>
      </c>
      <c r="U41" t="s">
        <v>61</v>
      </c>
      <c r="V41" t="s">
        <v>62</v>
      </c>
      <c r="W41" t="s">
        <v>63</v>
      </c>
      <c r="X41" t="s">
        <v>64</v>
      </c>
      <c r="Y41" t="s">
        <v>65</v>
      </c>
      <c r="Z41" t="s">
        <v>66</v>
      </c>
      <c r="AA41" t="s">
        <v>67</v>
      </c>
      <c r="AB41" t="s">
        <v>68</v>
      </c>
      <c r="AC41" t="s">
        <v>35</v>
      </c>
      <c r="AD41" t="s">
        <v>34</v>
      </c>
      <c r="AE41" t="s">
        <v>30</v>
      </c>
      <c r="AF41" t="s">
        <v>31</v>
      </c>
    </row>
    <row r="42" spans="3:32" x14ac:dyDescent="0.2">
      <c r="C42" t="s">
        <v>342</v>
      </c>
      <c r="D42" t="s">
        <v>140</v>
      </c>
      <c r="E42">
        <v>103456.44600000001</v>
      </c>
      <c r="F42">
        <v>120567.56099999999</v>
      </c>
      <c r="G42">
        <v>120133.37300000005</v>
      </c>
      <c r="H42">
        <v>127808.40699999996</v>
      </c>
      <c r="I42">
        <v>153639.34700000007</v>
      </c>
      <c r="J42">
        <v>132667.82299999997</v>
      </c>
      <c r="K42">
        <v>138207.12599999999</v>
      </c>
      <c r="L42">
        <v>132510.75999999998</v>
      </c>
      <c r="M42">
        <v>132510.76</v>
      </c>
      <c r="N42">
        <v>175506.92599999998</v>
      </c>
      <c r="O42">
        <v>130913.87899999999</v>
      </c>
      <c r="P42">
        <v>136373.98099999997</v>
      </c>
      <c r="Q42">
        <v>102816.04</v>
      </c>
      <c r="R42">
        <v>121106.94000000003</v>
      </c>
      <c r="S42">
        <v>117542.88999999997</v>
      </c>
      <c r="T42">
        <v>124605.80999999997</v>
      </c>
      <c r="U42">
        <v>149824.89999999994</v>
      </c>
      <c r="V42">
        <v>131591.17999999996</v>
      </c>
      <c r="W42">
        <v>757</v>
      </c>
      <c r="X42">
        <v>0</v>
      </c>
      <c r="Y42">
        <v>0</v>
      </c>
      <c r="Z42">
        <v>0</v>
      </c>
      <c r="AA42">
        <v>0</v>
      </c>
      <c r="AB42">
        <v>0</v>
      </c>
      <c r="AC42" s="34">
        <f>SUMPRODUCT(DB_ThemeAcct[[#This Row],[Plan01]:[Plan12]],$E$31:$P$31)/valUnits2</f>
        <v>758.27295700000002</v>
      </c>
      <c r="AD42" s="34">
        <f>SUMPRODUCT(DB_ThemeAcct[[#This Row],[Act01]:[Act12]],$Q$31:$AB$31)/valUnits2</f>
        <v>747.48775999999975</v>
      </c>
      <c r="AE42" s="34">
        <f>IF(DB_ThemeAcct[[#This Row],[Plan]]&lt;&gt;0,DB_ThemeAcct[[#This Row],[Actual]]/DB_ThemeAcct[[#This Row],[Plan]],"N/A")</f>
        <v>0.98577662977370262</v>
      </c>
      <c r="AF42" s="34">
        <f>DB_ThemeAcct[[#This Row],[Actual]]-DB_ThemeAcct[[#This Row],[Plan]]</f>
        <v>-10.785197000000267</v>
      </c>
    </row>
    <row r="43" spans="3:32" x14ac:dyDescent="0.2">
      <c r="C43" t="s">
        <v>342</v>
      </c>
      <c r="D43" t="s">
        <v>141</v>
      </c>
      <c r="E43">
        <v>29674.531999999999</v>
      </c>
      <c r="F43">
        <v>28117.354000000007</v>
      </c>
      <c r="G43">
        <v>20630.509999999995</v>
      </c>
      <c r="H43">
        <v>33457.972000000016</v>
      </c>
      <c r="I43">
        <v>33308.360000000008</v>
      </c>
      <c r="J43">
        <v>41142.990999999995</v>
      </c>
      <c r="K43">
        <v>40337.868999999999</v>
      </c>
      <c r="L43">
        <v>45222.627</v>
      </c>
      <c r="M43">
        <v>40033.936999999998</v>
      </c>
      <c r="N43">
        <v>39065.828000000009</v>
      </c>
      <c r="O43">
        <v>55892.892999999996</v>
      </c>
      <c r="P43">
        <v>62631.87</v>
      </c>
      <c r="Q43">
        <v>28225.460000000006</v>
      </c>
      <c r="R43">
        <v>26930.710000000003</v>
      </c>
      <c r="S43">
        <v>18955.82</v>
      </c>
      <c r="T43">
        <v>31754.560000000009</v>
      </c>
      <c r="U43">
        <v>31689.340000000015</v>
      </c>
      <c r="V43">
        <v>23976.420000000013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s="34">
        <f>SUMPRODUCT(DB_ThemeAcct[[#This Row],[Plan01]:[Plan12]],$E$31:$P$31)/valUnits2</f>
        <v>186.33171900000005</v>
      </c>
      <c r="AD43" s="34">
        <f>SUMPRODUCT(DB_ThemeAcct[[#This Row],[Act01]:[Act12]],$Q$31:$AB$31)/valUnits2</f>
        <v>161.53231000000005</v>
      </c>
      <c r="AE43" s="34">
        <f>IF(DB_ThemeAcct[[#This Row],[Plan]]&lt;&gt;0,DB_ThemeAcct[[#This Row],[Actual]]/DB_ThemeAcct[[#This Row],[Plan]],"N/A")</f>
        <v>0.86690720649660302</v>
      </c>
      <c r="AF43" s="34">
        <f>DB_ThemeAcct[[#This Row],[Actual]]-DB_ThemeAcct[[#This Row],[Plan]]</f>
        <v>-24.799408999999997</v>
      </c>
    </row>
    <row r="44" spans="3:32" x14ac:dyDescent="0.2">
      <c r="C44" t="s">
        <v>342</v>
      </c>
      <c r="D44" t="s">
        <v>237</v>
      </c>
      <c r="E44">
        <v>-156943.82800000001</v>
      </c>
      <c r="F44">
        <v>19637.421999999999</v>
      </c>
      <c r="G44">
        <v>21897.524000000001</v>
      </c>
      <c r="H44">
        <v>37802.413999999997</v>
      </c>
      <c r="I44">
        <v>32859.502999999997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11026.878000000001</v>
      </c>
      <c r="Q44">
        <v>-151731.99</v>
      </c>
      <c r="R44">
        <v>19800.650000000005</v>
      </c>
      <c r="S44">
        <v>21885.509999999991</v>
      </c>
      <c r="T44">
        <v>37646.640000000014</v>
      </c>
      <c r="U44">
        <v>32909.319999999992</v>
      </c>
      <c r="V44">
        <v>31221.5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s="34">
        <f>SUMPRODUCT(DB_ThemeAcct[[#This Row],[Plan01]:[Plan12]],$E$31:$P$31)/valUnits2</f>
        <v>-44.746965000000024</v>
      </c>
      <c r="AD44" s="34">
        <f>SUMPRODUCT(DB_ThemeAcct[[#This Row],[Act01]:[Act12]],$Q$31:$AB$31)/valUnits2</f>
        <v>-8.2683699999999956</v>
      </c>
      <c r="AE44" s="34">
        <f>IF(DB_ThemeAcct[[#This Row],[Plan]]&lt;&gt;0,DB_ThemeAcct[[#This Row],[Actual]]/DB_ThemeAcct[[#This Row],[Plan]],"N/A")</f>
        <v>0.18478057673855625</v>
      </c>
      <c r="AF44" s="34">
        <f>DB_ThemeAcct[[#This Row],[Actual]]-DB_ThemeAcct[[#This Row],[Plan]]</f>
        <v>36.478595000000027</v>
      </c>
    </row>
    <row r="45" spans="3:32" x14ac:dyDescent="0.2">
      <c r="C45" t="s">
        <v>342</v>
      </c>
      <c r="D45" t="s">
        <v>236</v>
      </c>
      <c r="E45">
        <v>99115.089000000007</v>
      </c>
      <c r="F45">
        <v>35440.925000000003</v>
      </c>
      <c r="G45">
        <v>103197.618</v>
      </c>
      <c r="H45">
        <v>59931.481999999996</v>
      </c>
      <c r="I45">
        <v>42184.303000000007</v>
      </c>
      <c r="J45">
        <v>70097.977000000014</v>
      </c>
      <c r="K45">
        <v>98300.134999999995</v>
      </c>
      <c r="L45">
        <v>58306.389000000003</v>
      </c>
      <c r="M45">
        <v>50836.363999999994</v>
      </c>
      <c r="N45">
        <v>37073.052000000003</v>
      </c>
      <c r="O45">
        <v>37357.541999999994</v>
      </c>
      <c r="P45">
        <v>56292.754999999997</v>
      </c>
      <c r="Q45">
        <v>99947.489999999991</v>
      </c>
      <c r="R45">
        <v>20865.230000000003</v>
      </c>
      <c r="S45">
        <v>88769.49</v>
      </c>
      <c r="T45">
        <v>44884.27</v>
      </c>
      <c r="U45">
        <v>27199.88</v>
      </c>
      <c r="V45">
        <v>34789.500000000007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s="34">
        <f>SUMPRODUCT(DB_ThemeAcct[[#This Row],[Plan01]:[Plan12]],$E$31:$P$31)/valUnits2</f>
        <v>409.96739400000007</v>
      </c>
      <c r="AD45" s="34">
        <f>SUMPRODUCT(DB_ThemeAcct[[#This Row],[Act01]:[Act12]],$Q$31:$AB$31)/valUnits2</f>
        <v>316.45585999999997</v>
      </c>
      <c r="AE45" s="34">
        <f>IF(DB_ThemeAcct[[#This Row],[Plan]]&lt;&gt;0,DB_ThemeAcct[[#This Row],[Actual]]/DB_ThemeAcct[[#This Row],[Plan]],"N/A")</f>
        <v>0.77190494812863075</v>
      </c>
      <c r="AF45" s="34">
        <f>DB_ThemeAcct[[#This Row],[Actual]]-DB_ThemeAcct[[#This Row],[Plan]]</f>
        <v>-93.511534000000097</v>
      </c>
    </row>
    <row r="46" spans="3:32" x14ac:dyDescent="0.2">
      <c r="C46" t="s">
        <v>342</v>
      </c>
      <c r="D46" t="s">
        <v>142</v>
      </c>
      <c r="E46">
        <v>609871.1320000001</v>
      </c>
      <c r="F46">
        <v>790877.09700000042</v>
      </c>
      <c r="G46">
        <v>252573.56099999978</v>
      </c>
      <c r="H46">
        <v>696438.21400000015</v>
      </c>
      <c r="I46">
        <v>1196272.6560000002</v>
      </c>
      <c r="J46">
        <v>849208.16099999961</v>
      </c>
      <c r="K46">
        <v>1194623.0880000012</v>
      </c>
      <c r="L46">
        <v>783719.5969999996</v>
      </c>
      <c r="M46">
        <v>1087491.3149999999</v>
      </c>
      <c r="N46">
        <v>1035965.3149999996</v>
      </c>
      <c r="O46">
        <v>935423.58699999982</v>
      </c>
      <c r="P46">
        <v>1157002.6200000013</v>
      </c>
      <c r="Q46">
        <v>600746.77000000014</v>
      </c>
      <c r="R46">
        <v>812805.62999999977</v>
      </c>
      <c r="S46">
        <v>235463.45999999985</v>
      </c>
      <c r="T46">
        <v>680035.21000000031</v>
      </c>
      <c r="U46">
        <v>1174679.0899999978</v>
      </c>
      <c r="V46">
        <v>489212.30999999971</v>
      </c>
      <c r="W46">
        <v>53578.559999999998</v>
      </c>
      <c r="X46">
        <v>0</v>
      </c>
      <c r="Y46">
        <v>0</v>
      </c>
      <c r="Z46">
        <v>0</v>
      </c>
      <c r="AA46">
        <v>0</v>
      </c>
      <c r="AB46">
        <v>0</v>
      </c>
      <c r="AC46" s="34">
        <f>SUMPRODUCT(DB_ThemeAcct[[#This Row],[Plan01]:[Plan12]],$E$31:$P$31)/valUnits2</f>
        <v>4395.2408210000003</v>
      </c>
      <c r="AD46" s="34">
        <f>SUMPRODUCT(DB_ThemeAcct[[#This Row],[Act01]:[Act12]],$Q$31:$AB$31)/valUnits2</f>
        <v>3992.9424699999977</v>
      </c>
      <c r="AE46" s="34">
        <f>IF(DB_ThemeAcct[[#This Row],[Plan]]&lt;&gt;0,DB_ThemeAcct[[#This Row],[Actual]]/DB_ThemeAcct[[#This Row],[Plan]],"N/A")</f>
        <v>0.90846955436938448</v>
      </c>
      <c r="AF46" s="34">
        <f>DB_ThemeAcct[[#This Row],[Actual]]-DB_ThemeAcct[[#This Row],[Plan]]</f>
        <v>-402.29835100000264</v>
      </c>
    </row>
    <row r="47" spans="3:32" x14ac:dyDescent="0.2">
      <c r="C47" t="s">
        <v>342</v>
      </c>
      <c r="D47" t="s">
        <v>235</v>
      </c>
      <c r="E47">
        <v>1448.6229999999996</v>
      </c>
      <c r="F47">
        <v>4225.9220000000005</v>
      </c>
      <c r="G47">
        <v>5583.4939999999988</v>
      </c>
      <c r="H47">
        <v>13584.013999999997</v>
      </c>
      <c r="I47">
        <v>5592.3340000000007</v>
      </c>
      <c r="J47">
        <v>1736.009</v>
      </c>
      <c r="K47">
        <v>2597.0169999999998</v>
      </c>
      <c r="L47">
        <v>2461.009</v>
      </c>
      <c r="M47">
        <v>1736.009</v>
      </c>
      <c r="N47">
        <v>1736.009</v>
      </c>
      <c r="O47">
        <v>1736.009</v>
      </c>
      <c r="P47">
        <v>2799.0169999999998</v>
      </c>
      <c r="Q47">
        <v>1821.3300000000011</v>
      </c>
      <c r="R47">
        <v>4360.7599999999993</v>
      </c>
      <c r="S47">
        <v>5611.8399999999992</v>
      </c>
      <c r="T47">
        <v>14346.45</v>
      </c>
      <c r="U47">
        <v>5914.1099999999969</v>
      </c>
      <c r="V47">
        <v>8956.5799999999963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s="34">
        <f>SUMPRODUCT(DB_ThemeAcct[[#This Row],[Plan01]:[Plan12]],$E$31:$P$31)/valUnits2</f>
        <v>32.170395999999997</v>
      </c>
      <c r="AD47" s="34">
        <f>SUMPRODUCT(DB_ThemeAcct[[#This Row],[Act01]:[Act12]],$Q$31:$AB$31)/valUnits2</f>
        <v>41.011069999999989</v>
      </c>
      <c r="AE47" s="34">
        <f>IF(DB_ThemeAcct[[#This Row],[Plan]]&lt;&gt;0,DB_ThemeAcct[[#This Row],[Actual]]/DB_ThemeAcct[[#This Row],[Plan]],"N/A")</f>
        <v>1.2748077456056182</v>
      </c>
      <c r="AF47" s="34">
        <f>DB_ThemeAcct[[#This Row],[Actual]]-DB_ThemeAcct[[#This Row],[Plan]]</f>
        <v>8.8406739999999928</v>
      </c>
    </row>
    <row r="48" spans="3:32" x14ac:dyDescent="0.2">
      <c r="C48" t="s">
        <v>342</v>
      </c>
      <c r="D48" t="s">
        <v>143</v>
      </c>
      <c r="E48">
        <v>2689.9949999999999</v>
      </c>
      <c r="F48">
        <v>2398.681</v>
      </c>
      <c r="G48">
        <v>862.45500000000004</v>
      </c>
      <c r="H48">
        <v>6923.1479999999992</v>
      </c>
      <c r="I48">
        <v>3193.3040000000005</v>
      </c>
      <c r="J48">
        <v>1060.4169999999999</v>
      </c>
      <c r="K48">
        <v>22120.585000000003</v>
      </c>
      <c r="L48">
        <v>1687.5</v>
      </c>
      <c r="M48">
        <v>1060.4169999999999</v>
      </c>
      <c r="N48">
        <v>1060.4169999999999</v>
      </c>
      <c r="O48">
        <v>1060.4169999999999</v>
      </c>
      <c r="P48">
        <v>1060.4169999999999</v>
      </c>
      <c r="Q48">
        <v>2432.4100000000003</v>
      </c>
      <c r="R48">
        <v>2291.5099999999998</v>
      </c>
      <c r="S48">
        <v>1038.98</v>
      </c>
      <c r="T48">
        <v>6521.32</v>
      </c>
      <c r="U48">
        <v>4266.0700000000015</v>
      </c>
      <c r="V48">
        <v>2632.91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s="34">
        <f>SUMPRODUCT(DB_ThemeAcct[[#This Row],[Plan01]:[Plan12]],$E$31:$P$31)/valUnits2</f>
        <v>17.128</v>
      </c>
      <c r="AD48" s="34">
        <f>SUMPRODUCT(DB_ThemeAcct[[#This Row],[Act01]:[Act12]],$Q$31:$AB$31)/valUnits2</f>
        <v>19.183199999999999</v>
      </c>
      <c r="AE48" s="34">
        <f>IF(DB_ThemeAcct[[#This Row],[Plan]]&lt;&gt;0,DB_ThemeAcct[[#This Row],[Actual]]/DB_ThemeAcct[[#This Row],[Plan]],"N/A")</f>
        <v>1.1199906585707613</v>
      </c>
      <c r="AF48" s="34">
        <f>DB_ThemeAcct[[#This Row],[Actual]]-DB_ThemeAcct[[#This Row],[Plan]]</f>
        <v>2.0551999999999992</v>
      </c>
    </row>
    <row r="49" spans="3:32" x14ac:dyDescent="0.2">
      <c r="C49" t="s">
        <v>342</v>
      </c>
      <c r="D49" t="s">
        <v>144</v>
      </c>
      <c r="E49">
        <v>0</v>
      </c>
      <c r="J49">
        <v>0</v>
      </c>
      <c r="Q49">
        <v>-16797.669999999998</v>
      </c>
      <c r="V49">
        <v>2877.3</v>
      </c>
      <c r="AC49" s="34">
        <f>SUMPRODUCT(DB_ThemeAcct[[#This Row],[Plan01]:[Plan12]],$E$31:$P$31)/valUnits2</f>
        <v>0</v>
      </c>
      <c r="AD49" s="34">
        <f>SUMPRODUCT(DB_ThemeAcct[[#This Row],[Act01]:[Act12]],$Q$31:$AB$31)/valUnits2</f>
        <v>-13.920369999999998</v>
      </c>
      <c r="AE49" s="34" t="str">
        <f>IF(DB_ThemeAcct[[#This Row],[Plan]]&lt;&gt;0,DB_ThemeAcct[[#This Row],[Actual]]/DB_ThemeAcct[[#This Row],[Plan]],"N/A")</f>
        <v>N/A</v>
      </c>
      <c r="AF49" s="34">
        <f>DB_ThemeAcct[[#This Row],[Actual]]-DB_ThemeAcct[[#This Row],[Plan]]</f>
        <v>-13.920369999999998</v>
      </c>
    </row>
    <row r="50" spans="3:32" x14ac:dyDescent="0.2">
      <c r="C50" t="s">
        <v>343</v>
      </c>
      <c r="D50" t="s">
        <v>140</v>
      </c>
      <c r="E50">
        <v>63113.168000000005</v>
      </c>
      <c r="F50">
        <v>82123.770999999993</v>
      </c>
      <c r="G50">
        <v>100472.73699999999</v>
      </c>
      <c r="H50">
        <v>127415.929</v>
      </c>
      <c r="I50">
        <v>167656.79099999997</v>
      </c>
      <c r="J50">
        <v>138361.997</v>
      </c>
      <c r="K50">
        <v>116707.32999999999</v>
      </c>
      <c r="L50">
        <v>116707.32999999999</v>
      </c>
      <c r="M50">
        <v>116665.81199999999</v>
      </c>
      <c r="N50">
        <v>137404.60399999999</v>
      </c>
      <c r="O50">
        <v>87292.405999999988</v>
      </c>
      <c r="P50">
        <v>40087.237000000001</v>
      </c>
      <c r="Q50">
        <v>46157.74</v>
      </c>
      <c r="R50">
        <v>56678.789999999994</v>
      </c>
      <c r="S50">
        <v>72716.969999999987</v>
      </c>
      <c r="T50">
        <v>98015.66</v>
      </c>
      <c r="U50">
        <v>98277.26999999999</v>
      </c>
      <c r="V50">
        <v>107922.10000000003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s="34">
        <f>SUMPRODUCT(DB_ThemeAcct[[#This Row],[Plan01]:[Plan12]],$E$31:$P$31)/valUnits2</f>
        <v>679.14439299999992</v>
      </c>
      <c r="AD50" s="34">
        <f>SUMPRODUCT(DB_ThemeAcct[[#This Row],[Act01]:[Act12]],$Q$31:$AB$31)/valUnits2</f>
        <v>479.76853000000011</v>
      </c>
      <c r="AE50" s="34">
        <f>IF(DB_ThemeAcct[[#This Row],[Plan]]&lt;&gt;0,DB_ThemeAcct[[#This Row],[Actual]]/DB_ThemeAcct[[#This Row],[Plan]],"N/A")</f>
        <v>0.7064308193441865</v>
      </c>
      <c r="AF50" s="34">
        <f>DB_ThemeAcct[[#This Row],[Actual]]-DB_ThemeAcct[[#This Row],[Plan]]</f>
        <v>-199.37586299999981</v>
      </c>
    </row>
    <row r="51" spans="3:32" x14ac:dyDescent="0.2">
      <c r="C51" t="s">
        <v>343</v>
      </c>
      <c r="D51" t="s">
        <v>141</v>
      </c>
      <c r="E51">
        <v>6204.0550000000003</v>
      </c>
      <c r="F51">
        <v>7699.6530000000002</v>
      </c>
      <c r="G51">
        <v>24930.248999999996</v>
      </c>
      <c r="H51">
        <v>37019.461999999992</v>
      </c>
      <c r="I51">
        <v>53281.034000000021</v>
      </c>
      <c r="J51">
        <v>36767.183000000005</v>
      </c>
      <c r="K51">
        <v>18812.142999999996</v>
      </c>
      <c r="L51">
        <v>21998.553</v>
      </c>
      <c r="M51">
        <v>19186.295999999998</v>
      </c>
      <c r="N51">
        <v>13425.665000000001</v>
      </c>
      <c r="O51">
        <v>12601.447000000002</v>
      </c>
      <c r="P51">
        <v>7792.277</v>
      </c>
      <c r="Q51">
        <v>3830.4700000000007</v>
      </c>
      <c r="R51">
        <v>5697.7700000000013</v>
      </c>
      <c r="S51">
        <v>21845.690000000006</v>
      </c>
      <c r="T51">
        <v>33963.520000000011</v>
      </c>
      <c r="U51">
        <v>43189.960000000014</v>
      </c>
      <c r="V51">
        <v>20808.379999999983</v>
      </c>
      <c r="W51">
        <v>11043.32</v>
      </c>
      <c r="X51">
        <v>0</v>
      </c>
      <c r="Y51">
        <v>0</v>
      </c>
      <c r="Z51">
        <v>0</v>
      </c>
      <c r="AA51">
        <v>0</v>
      </c>
      <c r="AB51">
        <v>0</v>
      </c>
      <c r="AC51" s="34">
        <f>SUMPRODUCT(DB_ThemeAcct[[#This Row],[Plan01]:[Plan12]],$E$31:$P$31)/valUnits2</f>
        <v>165.901636</v>
      </c>
      <c r="AD51" s="34">
        <f>SUMPRODUCT(DB_ThemeAcct[[#This Row],[Act01]:[Act12]],$Q$31:$AB$31)/valUnits2</f>
        <v>129.33579</v>
      </c>
      <c r="AE51" s="34">
        <f>IF(DB_ThemeAcct[[#This Row],[Plan]]&lt;&gt;0,DB_ThemeAcct[[#This Row],[Actual]]/DB_ThemeAcct[[#This Row],[Plan]],"N/A")</f>
        <v>0.7795932163080056</v>
      </c>
      <c r="AF51" s="34">
        <f>DB_ThemeAcct[[#This Row],[Actual]]-DB_ThemeAcct[[#This Row],[Plan]]</f>
        <v>-36.565845999999993</v>
      </c>
    </row>
    <row r="52" spans="3:32" x14ac:dyDescent="0.2">
      <c r="C52" t="s">
        <v>343</v>
      </c>
      <c r="D52" t="s">
        <v>237</v>
      </c>
      <c r="E52">
        <v>13499.486000000001</v>
      </c>
      <c r="F52">
        <v>751.93700000000001</v>
      </c>
      <c r="G52">
        <v>23452.811000000002</v>
      </c>
      <c r="H52">
        <v>16553.07</v>
      </c>
      <c r="I52">
        <v>21344.750000000004</v>
      </c>
      <c r="J52">
        <v>666.66700000000003</v>
      </c>
      <c r="K52">
        <v>0</v>
      </c>
      <c r="L52">
        <v>0</v>
      </c>
      <c r="M52">
        <v>0</v>
      </c>
      <c r="N52">
        <v>0</v>
      </c>
      <c r="Q52">
        <v>13508.04</v>
      </c>
      <c r="R52">
        <v>752.88</v>
      </c>
      <c r="S52">
        <v>23450.87</v>
      </c>
      <c r="T52">
        <v>16553.07</v>
      </c>
      <c r="U52">
        <v>21344.750000000004</v>
      </c>
      <c r="V52">
        <v>19858.69000000001</v>
      </c>
      <c r="W52">
        <v>0</v>
      </c>
      <c r="X52">
        <v>0</v>
      </c>
      <c r="Y52">
        <v>0</v>
      </c>
      <c r="Z52">
        <v>0</v>
      </c>
      <c r="AC52" s="34">
        <f>SUMPRODUCT(DB_ThemeAcct[[#This Row],[Plan01]:[Plan12]],$E$31:$P$31)/valUnits2</f>
        <v>76.268720999999999</v>
      </c>
      <c r="AD52" s="34">
        <f>SUMPRODUCT(DB_ThemeAcct[[#This Row],[Act01]:[Act12]],$Q$31:$AB$31)/valUnits2</f>
        <v>95.468300000000013</v>
      </c>
      <c r="AE52" s="34">
        <f>IF(DB_ThemeAcct[[#This Row],[Plan]]&lt;&gt;0,DB_ThemeAcct[[#This Row],[Actual]]/DB_ThemeAcct[[#This Row],[Plan]],"N/A")</f>
        <v>1.2517359508362544</v>
      </c>
      <c r="AF52" s="34">
        <f>DB_ThemeAcct[[#This Row],[Actual]]-DB_ThemeAcct[[#This Row],[Plan]]</f>
        <v>19.199579000000014</v>
      </c>
    </row>
    <row r="53" spans="3:32" x14ac:dyDescent="0.2">
      <c r="C53" t="s">
        <v>343</v>
      </c>
      <c r="D53" t="s">
        <v>236</v>
      </c>
      <c r="E53">
        <v>15179.6</v>
      </c>
      <c r="F53">
        <v>9513.0869999999995</v>
      </c>
      <c r="G53">
        <v>72774.069999999992</v>
      </c>
      <c r="H53">
        <v>27922.17</v>
      </c>
      <c r="I53">
        <v>14380.017000000002</v>
      </c>
      <c r="J53">
        <v>44072.002999999997</v>
      </c>
      <c r="K53">
        <v>49874.570999999996</v>
      </c>
      <c r="L53">
        <v>21874.571</v>
      </c>
      <c r="M53">
        <v>20994.571</v>
      </c>
      <c r="N53">
        <v>14374.570999999998</v>
      </c>
      <c r="O53">
        <v>12374.570999999998</v>
      </c>
      <c r="P53">
        <v>7547.9840000000004</v>
      </c>
      <c r="Q53">
        <v>10429.6</v>
      </c>
      <c r="R53">
        <v>4770.3999999999996</v>
      </c>
      <c r="S53">
        <v>67891.249999999985</v>
      </c>
      <c r="T53">
        <v>23172.169999999995</v>
      </c>
      <c r="U53">
        <v>4803.4300000000012</v>
      </c>
      <c r="V53">
        <v>31330.87999999999</v>
      </c>
      <c r="W53">
        <v>1993.2</v>
      </c>
      <c r="X53">
        <v>0</v>
      </c>
      <c r="Y53">
        <v>0</v>
      </c>
      <c r="Z53">
        <v>0</v>
      </c>
      <c r="AA53">
        <v>0</v>
      </c>
      <c r="AB53">
        <v>0</v>
      </c>
      <c r="AC53" s="34">
        <f>SUMPRODUCT(DB_ThemeAcct[[#This Row],[Plan01]:[Plan12]],$E$31:$P$31)/valUnits2</f>
        <v>183.84094699999997</v>
      </c>
      <c r="AD53" s="34">
        <f>SUMPRODUCT(DB_ThemeAcct[[#This Row],[Act01]:[Act12]],$Q$31:$AB$31)/valUnits2</f>
        <v>142.39772999999997</v>
      </c>
      <c r="AE53" s="34">
        <f>IF(DB_ThemeAcct[[#This Row],[Plan]]&lt;&gt;0,DB_ThemeAcct[[#This Row],[Actual]]/DB_ThemeAcct[[#This Row],[Plan]],"N/A")</f>
        <v>0.77457025936664692</v>
      </c>
      <c r="AF53" s="34">
        <f>DB_ThemeAcct[[#This Row],[Actual]]-DB_ThemeAcct[[#This Row],[Plan]]</f>
        <v>-41.443217000000004</v>
      </c>
    </row>
    <row r="54" spans="3:32" x14ac:dyDescent="0.2">
      <c r="C54" t="s">
        <v>343</v>
      </c>
      <c r="D54" t="s">
        <v>142</v>
      </c>
      <c r="E54">
        <v>152746.84000000003</v>
      </c>
      <c r="F54">
        <v>318218.25899999996</v>
      </c>
      <c r="G54">
        <v>285794.15999999997</v>
      </c>
      <c r="H54">
        <v>440411.51300000004</v>
      </c>
      <c r="I54">
        <v>656275.3110000001</v>
      </c>
      <c r="J54">
        <v>808632.24499999988</v>
      </c>
      <c r="K54">
        <v>659276.25599999982</v>
      </c>
      <c r="L54">
        <v>792425.49199999985</v>
      </c>
      <c r="M54">
        <v>647295.69900000002</v>
      </c>
      <c r="N54">
        <v>699707.26899999997</v>
      </c>
      <c r="O54">
        <v>370790.59100000001</v>
      </c>
      <c r="P54">
        <v>194599.31100000002</v>
      </c>
      <c r="Q54">
        <v>77022.310000000027</v>
      </c>
      <c r="R54">
        <v>173516.23</v>
      </c>
      <c r="S54">
        <v>139618.38999999998</v>
      </c>
      <c r="T54">
        <v>189338.46999999994</v>
      </c>
      <c r="U54">
        <v>46729.890000000007</v>
      </c>
      <c r="V54">
        <v>165859.35999999999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s="34">
        <f>SUMPRODUCT(DB_ThemeAcct[[#This Row],[Plan01]:[Plan12]],$E$31:$P$31)/valUnits2</f>
        <v>2662.0783279999996</v>
      </c>
      <c r="AD54" s="34">
        <f>SUMPRODUCT(DB_ThemeAcct[[#This Row],[Act01]:[Act12]],$Q$31:$AB$31)/valUnits2</f>
        <v>792.08465000000001</v>
      </c>
      <c r="AE54" s="34">
        <f>IF(DB_ThemeAcct[[#This Row],[Plan]]&lt;&gt;0,DB_ThemeAcct[[#This Row],[Actual]]/DB_ThemeAcct[[#This Row],[Plan]],"N/A")</f>
        <v>0.2975437054833347</v>
      </c>
      <c r="AF54" s="34">
        <f>DB_ThemeAcct[[#This Row],[Actual]]-DB_ThemeAcct[[#This Row],[Plan]]</f>
        <v>-1869.9936779999996</v>
      </c>
    </row>
    <row r="55" spans="3:32" x14ac:dyDescent="0.2">
      <c r="C55" t="s">
        <v>343</v>
      </c>
      <c r="D55" t="s">
        <v>235</v>
      </c>
      <c r="E55">
        <v>1542.2829999999997</v>
      </c>
      <c r="F55">
        <v>4116.9419999999991</v>
      </c>
      <c r="G55">
        <v>5059.3499999999995</v>
      </c>
      <c r="H55">
        <v>4947.2310000000016</v>
      </c>
      <c r="I55">
        <v>2570.41</v>
      </c>
      <c r="J55">
        <v>166.667</v>
      </c>
      <c r="K55">
        <v>166.667</v>
      </c>
      <c r="L55">
        <v>333.33000000000004</v>
      </c>
      <c r="M55">
        <v>166.667</v>
      </c>
      <c r="N55">
        <v>166.667</v>
      </c>
      <c r="O55">
        <v>166.667</v>
      </c>
      <c r="P55">
        <v>166.667</v>
      </c>
      <c r="Q55">
        <v>1559.2099999999996</v>
      </c>
      <c r="R55">
        <v>4139.8500000000004</v>
      </c>
      <c r="S55">
        <v>5100.6299999999992</v>
      </c>
      <c r="T55">
        <v>4972.5999999999995</v>
      </c>
      <c r="U55">
        <v>2677.63</v>
      </c>
      <c r="V55">
        <v>4610.5800000000008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s="34">
        <f>SUMPRODUCT(DB_ThemeAcct[[#This Row],[Plan01]:[Plan12]],$E$31:$P$31)/valUnits2</f>
        <v>18.402883000000003</v>
      </c>
      <c r="AD55" s="34">
        <f>SUMPRODUCT(DB_ThemeAcct[[#This Row],[Act01]:[Act12]],$Q$31:$AB$31)/valUnits2</f>
        <v>23.060500000000001</v>
      </c>
      <c r="AE55" s="34">
        <f>IF(DB_ThemeAcct[[#This Row],[Plan]]&lt;&gt;0,DB_ThemeAcct[[#This Row],[Actual]]/DB_ThemeAcct[[#This Row],[Plan]],"N/A")</f>
        <v>1.2530917030771753</v>
      </c>
      <c r="AF55" s="34">
        <f>DB_ThemeAcct[[#This Row],[Actual]]-DB_ThemeAcct[[#This Row],[Plan]]</f>
        <v>4.6576169999999983</v>
      </c>
    </row>
    <row r="56" spans="3:32" x14ac:dyDescent="0.2">
      <c r="C56" t="s">
        <v>343</v>
      </c>
      <c r="D56" t="s">
        <v>143</v>
      </c>
      <c r="E56">
        <v>1507.3270000000002</v>
      </c>
      <c r="F56">
        <v>2990.51</v>
      </c>
      <c r="G56">
        <v>8123.0249999999987</v>
      </c>
      <c r="H56">
        <v>8267.4550000000017</v>
      </c>
      <c r="I56">
        <v>7594.6849999999986</v>
      </c>
      <c r="J56">
        <v>5195.9189999999999</v>
      </c>
      <c r="K56">
        <v>5172.1219999999994</v>
      </c>
      <c r="L56">
        <v>5477.165</v>
      </c>
      <c r="M56">
        <v>5148.3249999999998</v>
      </c>
      <c r="N56">
        <v>5148.3249999999998</v>
      </c>
      <c r="O56">
        <v>281.25</v>
      </c>
      <c r="P56">
        <v>281.25</v>
      </c>
      <c r="Q56">
        <v>1443.14</v>
      </c>
      <c r="R56">
        <v>3038.6099999999997</v>
      </c>
      <c r="S56">
        <v>3233.7599999999998</v>
      </c>
      <c r="T56">
        <v>3428.1</v>
      </c>
      <c r="U56">
        <v>2909.6100000000006</v>
      </c>
      <c r="V56">
        <v>3588.31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s="34">
        <f>SUMPRODUCT(DB_ThemeAcct[[#This Row],[Plan01]:[Plan12]],$E$31:$P$31)/valUnits2</f>
        <v>33.678921000000003</v>
      </c>
      <c r="AD56" s="34">
        <f>SUMPRODUCT(DB_ThemeAcct[[#This Row],[Act01]:[Act12]],$Q$31:$AB$31)/valUnits2</f>
        <v>17.641530000000003</v>
      </c>
      <c r="AE56" s="34">
        <f>IF(DB_ThemeAcct[[#This Row],[Plan]]&lt;&gt;0,DB_ThemeAcct[[#This Row],[Actual]]/DB_ThemeAcct[[#This Row],[Plan]],"N/A")</f>
        <v>0.52381517804563871</v>
      </c>
      <c r="AF56" s="34">
        <f>DB_ThemeAcct[[#This Row],[Actual]]-DB_ThemeAcct[[#This Row],[Plan]]</f>
        <v>-16.037391</v>
      </c>
    </row>
    <row r="57" spans="3:32" x14ac:dyDescent="0.2">
      <c r="C57" t="s">
        <v>343</v>
      </c>
      <c r="D57" t="s">
        <v>144</v>
      </c>
      <c r="AC57" s="34">
        <f>SUMPRODUCT(DB_ThemeAcct[[#This Row],[Plan01]:[Plan12]],$E$31:$P$31)/valUnits2</f>
        <v>0</v>
      </c>
      <c r="AD57" s="34">
        <f>SUMPRODUCT(DB_ThemeAcct[[#This Row],[Act01]:[Act12]],$Q$31:$AB$31)/valUnits2</f>
        <v>0</v>
      </c>
      <c r="AE57" s="34" t="str">
        <f>IF(DB_ThemeAcct[[#This Row],[Plan]]&lt;&gt;0,DB_ThemeAcct[[#This Row],[Actual]]/DB_ThemeAcct[[#This Row],[Plan]],"N/A")</f>
        <v>N/A</v>
      </c>
      <c r="AF57" s="34">
        <f>DB_ThemeAcct[[#This Row],[Actual]]-DB_ThemeAcct[[#This Row],[Plan]]</f>
        <v>0</v>
      </c>
    </row>
    <row r="58" spans="3:32" x14ac:dyDescent="0.2">
      <c r="C58" t="s">
        <v>344</v>
      </c>
      <c r="D58" t="s">
        <v>140</v>
      </c>
      <c r="E58">
        <v>50796.658000000003</v>
      </c>
      <c r="F58">
        <v>67812.027000000002</v>
      </c>
      <c r="G58">
        <v>69029.511999999988</v>
      </c>
      <c r="H58">
        <v>54083.917999999998</v>
      </c>
      <c r="I58">
        <v>87543.359000000011</v>
      </c>
      <c r="J58">
        <v>81214.65800000001</v>
      </c>
      <c r="K58">
        <v>81214.657999999996</v>
      </c>
      <c r="L58">
        <v>81214.65800000001</v>
      </c>
      <c r="M58">
        <v>78214.094000000012</v>
      </c>
      <c r="N58">
        <v>47391.35100000001</v>
      </c>
      <c r="O58">
        <v>47391.351000000002</v>
      </c>
      <c r="P58">
        <v>47391.351000000002</v>
      </c>
      <c r="Q58">
        <v>50722.939999999995</v>
      </c>
      <c r="R58">
        <v>67995.539999999994</v>
      </c>
      <c r="S58">
        <v>69104.699999999983</v>
      </c>
      <c r="T58">
        <v>53989.950000000012</v>
      </c>
      <c r="U58">
        <v>87637.16</v>
      </c>
      <c r="V58">
        <v>92475.85000000002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s="34">
        <f>SUMPRODUCT(DB_ThemeAcct[[#This Row],[Plan01]:[Plan12]],$E$31:$P$31)/valUnits2</f>
        <v>410.48013199999997</v>
      </c>
      <c r="AD58" s="34">
        <f>SUMPRODUCT(DB_ThemeAcct[[#This Row],[Act01]:[Act12]],$Q$31:$AB$31)/valUnits2</f>
        <v>421.92614000000003</v>
      </c>
      <c r="AE58" s="34">
        <f>IF(DB_ThemeAcct[[#This Row],[Plan]]&lt;&gt;0,DB_ThemeAcct[[#This Row],[Actual]]/DB_ThemeAcct[[#This Row],[Plan]],"N/A")</f>
        <v>1.0278844385091945</v>
      </c>
      <c r="AF58" s="34">
        <f>DB_ThemeAcct[[#This Row],[Actual]]-DB_ThemeAcct[[#This Row],[Plan]]</f>
        <v>11.446008000000063</v>
      </c>
    </row>
    <row r="59" spans="3:32" x14ac:dyDescent="0.2">
      <c r="C59" t="s">
        <v>344</v>
      </c>
      <c r="D59" t="s">
        <v>141</v>
      </c>
      <c r="E59">
        <v>18425.439999999995</v>
      </c>
      <c r="F59">
        <v>9892.18</v>
      </c>
      <c r="G59">
        <v>27433.756000000005</v>
      </c>
      <c r="H59">
        <v>10441.767</v>
      </c>
      <c r="I59">
        <v>29853.842000000004</v>
      </c>
      <c r="J59">
        <v>97975.131000000008</v>
      </c>
      <c r="K59">
        <v>47977.185000000005</v>
      </c>
      <c r="L59">
        <v>47413.725000000006</v>
      </c>
      <c r="M59">
        <v>47755.511000000006</v>
      </c>
      <c r="N59">
        <v>37409.08</v>
      </c>
      <c r="O59">
        <v>37409.08</v>
      </c>
      <c r="P59">
        <v>37409.08</v>
      </c>
      <c r="Q59">
        <v>18410.530000000002</v>
      </c>
      <c r="R59">
        <v>9918.4399999999969</v>
      </c>
      <c r="S59">
        <v>27513.590000000007</v>
      </c>
      <c r="T59">
        <v>10414.209999999995</v>
      </c>
      <c r="U59">
        <v>29868.52</v>
      </c>
      <c r="V59">
        <v>19548.850000000002</v>
      </c>
      <c r="W59">
        <v>449.41</v>
      </c>
      <c r="X59">
        <v>0</v>
      </c>
      <c r="Y59">
        <v>0</v>
      </c>
      <c r="Z59">
        <v>0</v>
      </c>
      <c r="AA59">
        <v>0</v>
      </c>
      <c r="AB59">
        <v>0</v>
      </c>
      <c r="AC59" s="34">
        <f>SUMPRODUCT(DB_ThemeAcct[[#This Row],[Plan01]:[Plan12]],$E$31:$P$31)/valUnits2</f>
        <v>194.02211600000004</v>
      </c>
      <c r="AD59" s="34">
        <f>SUMPRODUCT(DB_ThemeAcct[[#This Row],[Act01]:[Act12]],$Q$31:$AB$31)/valUnits2</f>
        <v>115.67414000000001</v>
      </c>
      <c r="AE59" s="34">
        <f>IF(DB_ThemeAcct[[#This Row],[Plan]]&lt;&gt;0,DB_ThemeAcct[[#This Row],[Actual]]/DB_ThemeAcct[[#This Row],[Plan]],"N/A")</f>
        <v>0.59619048789262763</v>
      </c>
      <c r="AF59" s="34">
        <f>DB_ThemeAcct[[#This Row],[Actual]]-DB_ThemeAcct[[#This Row],[Plan]]</f>
        <v>-78.347976000000031</v>
      </c>
    </row>
    <row r="60" spans="3:32" x14ac:dyDescent="0.2">
      <c r="C60" t="s">
        <v>344</v>
      </c>
      <c r="D60" t="s">
        <v>237</v>
      </c>
      <c r="E60">
        <v>22.31</v>
      </c>
      <c r="F60">
        <v>3143.3560000000002</v>
      </c>
      <c r="G60">
        <v>32648.10200000001</v>
      </c>
      <c r="H60">
        <v>1107.442</v>
      </c>
      <c r="I60">
        <v>2985.241</v>
      </c>
      <c r="J60">
        <v>122.22200000000001</v>
      </c>
      <c r="K60">
        <v>122.22200000000001</v>
      </c>
      <c r="L60">
        <v>122.22200000000001</v>
      </c>
      <c r="M60">
        <v>122.22200000000001</v>
      </c>
      <c r="Q60">
        <v>22.31</v>
      </c>
      <c r="R60">
        <v>3173.1</v>
      </c>
      <c r="S60">
        <v>33378.889999999985</v>
      </c>
      <c r="T60">
        <v>1107.4100000000001</v>
      </c>
      <c r="U60">
        <v>2987.05</v>
      </c>
      <c r="V60">
        <v>4835.99</v>
      </c>
      <c r="W60">
        <v>0</v>
      </c>
      <c r="X60">
        <v>0</v>
      </c>
      <c r="Y60">
        <v>0</v>
      </c>
      <c r="AC60" s="34">
        <f>SUMPRODUCT(DB_ThemeAcct[[#This Row],[Plan01]:[Plan12]],$E$31:$P$31)/valUnits2</f>
        <v>40.028673000000019</v>
      </c>
      <c r="AD60" s="34">
        <f>SUMPRODUCT(DB_ThemeAcct[[#This Row],[Act01]:[Act12]],$Q$31:$AB$31)/valUnits2</f>
        <v>45.504749999999994</v>
      </c>
      <c r="AE60" s="34">
        <f>IF(DB_ThemeAcct[[#This Row],[Plan]]&lt;&gt;0,DB_ThemeAcct[[#This Row],[Actual]]/DB_ThemeAcct[[#This Row],[Plan]],"N/A")</f>
        <v>1.1368038605726443</v>
      </c>
      <c r="AF60" s="34">
        <f>DB_ThemeAcct[[#This Row],[Actual]]-DB_ThemeAcct[[#This Row],[Plan]]</f>
        <v>5.4760769999999752</v>
      </c>
    </row>
    <row r="61" spans="3:32" x14ac:dyDescent="0.2">
      <c r="C61" t="s">
        <v>344</v>
      </c>
      <c r="D61" t="s">
        <v>236</v>
      </c>
      <c r="E61">
        <v>16647.14</v>
      </c>
      <c r="F61">
        <v>6837.2280000000001</v>
      </c>
      <c r="G61">
        <v>61502.065999999999</v>
      </c>
      <c r="H61">
        <v>1616327.0279999999</v>
      </c>
      <c r="I61">
        <v>28308.732999999997</v>
      </c>
      <c r="J61">
        <v>1503406.0830000001</v>
      </c>
      <c r="K61">
        <v>12350.905000000001</v>
      </c>
      <c r="L61">
        <v>9742.2950000000001</v>
      </c>
      <c r="M61">
        <v>1495147.6779999998</v>
      </c>
      <c r="N61">
        <v>2903.1099999999997</v>
      </c>
      <c r="O61">
        <v>3946.5540000000001</v>
      </c>
      <c r="P61">
        <v>1483163.122</v>
      </c>
      <c r="Q61">
        <v>16588.839999999997</v>
      </c>
      <c r="R61">
        <v>6851.4900000000007</v>
      </c>
      <c r="S61">
        <v>61555.19999999999</v>
      </c>
      <c r="T61">
        <v>1616314.57</v>
      </c>
      <c r="U61">
        <v>28703.759999999998</v>
      </c>
      <c r="V61">
        <v>580933.57000000007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s="34">
        <f>SUMPRODUCT(DB_ThemeAcct[[#This Row],[Plan01]:[Plan12]],$E$31:$P$31)/valUnits2</f>
        <v>3233.0282779999998</v>
      </c>
      <c r="AD61" s="34">
        <f>SUMPRODUCT(DB_ThemeAcct[[#This Row],[Act01]:[Act12]],$Q$31:$AB$31)/valUnits2</f>
        <v>2310.9474300000002</v>
      </c>
      <c r="AE61" s="34">
        <f>IF(DB_ThemeAcct[[#This Row],[Plan]]&lt;&gt;0,DB_ThemeAcct[[#This Row],[Actual]]/DB_ThemeAcct[[#This Row],[Plan]],"N/A")</f>
        <v>0.71479344790314892</v>
      </c>
      <c r="AF61" s="34">
        <f>DB_ThemeAcct[[#This Row],[Actual]]-DB_ThemeAcct[[#This Row],[Plan]]</f>
        <v>-922.08084799999961</v>
      </c>
    </row>
    <row r="62" spans="3:32" x14ac:dyDescent="0.2">
      <c r="C62" t="s">
        <v>344</v>
      </c>
      <c r="D62" t="s">
        <v>142</v>
      </c>
      <c r="E62">
        <v>211744.788</v>
      </c>
      <c r="F62">
        <v>67185.935999999943</v>
      </c>
      <c r="G62">
        <v>427586.41</v>
      </c>
      <c r="H62">
        <v>531934.09</v>
      </c>
      <c r="I62">
        <v>311152.304</v>
      </c>
      <c r="J62">
        <v>263423.13699999993</v>
      </c>
      <c r="K62">
        <v>239746.84799999997</v>
      </c>
      <c r="L62">
        <v>239711.37699999995</v>
      </c>
      <c r="M62">
        <v>289711.37799999991</v>
      </c>
      <c r="N62">
        <v>162130.09699999998</v>
      </c>
      <c r="O62">
        <v>179865.09700000001</v>
      </c>
      <c r="P62">
        <v>112130.09700000002</v>
      </c>
      <c r="Q62">
        <v>211740.4</v>
      </c>
      <c r="R62">
        <v>67112.960000000021</v>
      </c>
      <c r="S62">
        <v>427586.41000000003</v>
      </c>
      <c r="T62">
        <v>531934.09</v>
      </c>
      <c r="U62">
        <v>313940.49</v>
      </c>
      <c r="V62">
        <v>59694.97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s="34">
        <f>SUMPRODUCT(DB_ThemeAcct[[#This Row],[Plan01]:[Plan12]],$E$31:$P$31)/valUnits2</f>
        <v>1813.0266649999999</v>
      </c>
      <c r="AD62" s="34">
        <f>SUMPRODUCT(DB_ThemeAcct[[#This Row],[Act01]:[Act12]],$Q$31:$AB$31)/valUnits2</f>
        <v>1612.0093199999999</v>
      </c>
      <c r="AE62" s="34">
        <f>IF(DB_ThemeAcct[[#This Row],[Plan]]&lt;&gt;0,DB_ThemeAcct[[#This Row],[Actual]]/DB_ThemeAcct[[#This Row],[Plan]],"N/A")</f>
        <v>0.88912609567162659</v>
      </c>
      <c r="AF62" s="34">
        <f>DB_ThemeAcct[[#This Row],[Actual]]-DB_ThemeAcct[[#This Row],[Plan]]</f>
        <v>-201.01734499999998</v>
      </c>
    </row>
    <row r="63" spans="3:32" x14ac:dyDescent="0.2">
      <c r="C63" t="s">
        <v>344</v>
      </c>
      <c r="D63" t="s">
        <v>235</v>
      </c>
      <c r="E63">
        <v>10320.152999999998</v>
      </c>
      <c r="F63">
        <v>-1424.8320000000003</v>
      </c>
      <c r="G63">
        <v>14555.972</v>
      </c>
      <c r="H63">
        <v>32773.697000000007</v>
      </c>
      <c r="I63">
        <v>9495.3040000000001</v>
      </c>
      <c r="J63">
        <v>2181.404</v>
      </c>
      <c r="K63">
        <v>2181.404</v>
      </c>
      <c r="L63">
        <v>2179.904</v>
      </c>
      <c r="M63">
        <v>1441.664</v>
      </c>
      <c r="N63">
        <v>1174.9970000000001</v>
      </c>
      <c r="O63">
        <v>1174.9970000000001</v>
      </c>
      <c r="P63">
        <v>1174.9970000000001</v>
      </c>
      <c r="Q63">
        <v>10571.16</v>
      </c>
      <c r="R63">
        <v>-1424.2799999999995</v>
      </c>
      <c r="S63">
        <v>15042.07</v>
      </c>
      <c r="T63">
        <v>32821.430000000015</v>
      </c>
      <c r="U63">
        <v>9700.1299999999992</v>
      </c>
      <c r="V63">
        <v>12446.379999999996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s="34">
        <f>SUMPRODUCT(DB_ThemeAcct[[#This Row],[Plan01]:[Plan12]],$E$31:$P$31)/valUnits2</f>
        <v>67.90169800000001</v>
      </c>
      <c r="AD63" s="34">
        <f>SUMPRODUCT(DB_ThemeAcct[[#This Row],[Act01]:[Act12]],$Q$31:$AB$31)/valUnits2</f>
        <v>79.156890000000018</v>
      </c>
      <c r="AE63" s="34">
        <f>IF(DB_ThemeAcct[[#This Row],[Plan]]&lt;&gt;0,DB_ThemeAcct[[#This Row],[Actual]]/DB_ThemeAcct[[#This Row],[Plan]],"N/A")</f>
        <v>1.1657571508741946</v>
      </c>
      <c r="AF63" s="34">
        <f>DB_ThemeAcct[[#This Row],[Actual]]-DB_ThemeAcct[[#This Row],[Plan]]</f>
        <v>11.255192000000008</v>
      </c>
    </row>
    <row r="64" spans="3:32" x14ac:dyDescent="0.2">
      <c r="C64" t="s">
        <v>344</v>
      </c>
      <c r="D64" t="s">
        <v>143</v>
      </c>
      <c r="E64">
        <v>5004.7789999999995</v>
      </c>
      <c r="F64">
        <v>-8749.6499999999978</v>
      </c>
      <c r="G64">
        <v>3646.2579999999998</v>
      </c>
      <c r="H64">
        <v>253.99799999999999</v>
      </c>
      <c r="I64">
        <v>22649.822</v>
      </c>
      <c r="J64">
        <v>14530.317000000003</v>
      </c>
      <c r="K64">
        <v>14371.622000000005</v>
      </c>
      <c r="L64">
        <v>14371.844000000003</v>
      </c>
      <c r="M64">
        <v>13982.043000000003</v>
      </c>
      <c r="N64">
        <v>12499.375</v>
      </c>
      <c r="O64">
        <v>12499.375</v>
      </c>
      <c r="P64">
        <v>12499.375</v>
      </c>
      <c r="Q64">
        <v>4773.24</v>
      </c>
      <c r="R64">
        <v>-8715.43</v>
      </c>
      <c r="S64">
        <v>3202.23</v>
      </c>
      <c r="T64">
        <v>223.16</v>
      </c>
      <c r="U64">
        <v>22484.58</v>
      </c>
      <c r="V64">
        <v>13299.48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s="34">
        <f>SUMPRODUCT(DB_ThemeAcct[[#This Row],[Plan01]:[Plan12]],$E$31:$P$31)/valUnits2</f>
        <v>37.335524000000007</v>
      </c>
      <c r="AD64" s="34">
        <f>SUMPRODUCT(DB_ThemeAcct[[#This Row],[Act01]:[Act12]],$Q$31:$AB$31)/valUnits2</f>
        <v>35.26726</v>
      </c>
      <c r="AE64" s="34">
        <f>IF(DB_ThemeAcct[[#This Row],[Plan]]&lt;&gt;0,DB_ThemeAcct[[#This Row],[Actual]]/DB_ThemeAcct[[#This Row],[Plan]],"N/A")</f>
        <v>0.94460332202649666</v>
      </c>
      <c r="AF64" s="34">
        <f>DB_ThemeAcct[[#This Row],[Actual]]-DB_ThemeAcct[[#This Row],[Plan]]</f>
        <v>-2.0682640000000063</v>
      </c>
    </row>
    <row r="65" spans="3:32" x14ac:dyDescent="0.2">
      <c r="C65" t="s">
        <v>344</v>
      </c>
      <c r="D65" t="s">
        <v>144</v>
      </c>
      <c r="AC65" s="34">
        <f>SUMPRODUCT(DB_ThemeAcct[[#This Row],[Plan01]:[Plan12]],$E$31:$P$31)/valUnits2</f>
        <v>0</v>
      </c>
      <c r="AD65" s="34">
        <f>SUMPRODUCT(DB_ThemeAcct[[#This Row],[Act01]:[Act12]],$Q$31:$AB$31)/valUnits2</f>
        <v>0</v>
      </c>
      <c r="AE65" s="34" t="str">
        <f>IF(DB_ThemeAcct[[#This Row],[Plan]]&lt;&gt;0,DB_ThemeAcct[[#This Row],[Actual]]/DB_ThemeAcct[[#This Row],[Plan]],"N/A")</f>
        <v>N/A</v>
      </c>
      <c r="AF65" s="34">
        <f>DB_ThemeAcct[[#This Row],[Actual]]-DB_ThemeAcct[[#This Row],[Plan]]</f>
        <v>0</v>
      </c>
    </row>
    <row r="66" spans="3:32" x14ac:dyDescent="0.2">
      <c r="C66" t="s">
        <v>345</v>
      </c>
      <c r="D66" t="s">
        <v>140</v>
      </c>
      <c r="E66">
        <v>1528.124</v>
      </c>
      <c r="F66">
        <v>11346.511</v>
      </c>
      <c r="G66">
        <v>6077.1410000000005</v>
      </c>
      <c r="H66">
        <v>47945.322</v>
      </c>
      <c r="I66">
        <v>38409.353999999992</v>
      </c>
      <c r="J66">
        <v>19248.045000000002</v>
      </c>
      <c r="K66">
        <v>19248.045000000002</v>
      </c>
      <c r="L66">
        <v>19248.045000000006</v>
      </c>
      <c r="M66">
        <v>19248.045000000002</v>
      </c>
      <c r="N66">
        <v>19248.045000000002</v>
      </c>
      <c r="O66">
        <v>19248.045000000002</v>
      </c>
      <c r="P66">
        <v>19248.045000000002</v>
      </c>
      <c r="Q66">
        <v>1510.95</v>
      </c>
      <c r="R66">
        <v>11326.84</v>
      </c>
      <c r="S66">
        <v>6042.3799999999992</v>
      </c>
      <c r="T66">
        <v>44269.279999999999</v>
      </c>
      <c r="U66">
        <v>38610.61000000003</v>
      </c>
      <c r="V66">
        <v>29119.290000000008</v>
      </c>
      <c r="W66">
        <v>2515</v>
      </c>
      <c r="X66">
        <v>0</v>
      </c>
      <c r="Y66">
        <v>0</v>
      </c>
      <c r="Z66">
        <v>0</v>
      </c>
      <c r="AA66">
        <v>0</v>
      </c>
      <c r="AB66">
        <v>0</v>
      </c>
      <c r="AC66" s="34">
        <f>SUMPRODUCT(DB_ThemeAcct[[#This Row],[Plan01]:[Plan12]],$E$31:$P$31)/valUnits2</f>
        <v>124.55449699999998</v>
      </c>
      <c r="AD66" s="34">
        <f>SUMPRODUCT(DB_ThemeAcct[[#This Row],[Act01]:[Act12]],$Q$31:$AB$31)/valUnits2</f>
        <v>130.87935000000004</v>
      </c>
      <c r="AE66" s="34">
        <f>IF(DB_ThemeAcct[[#This Row],[Plan]]&lt;&gt;0,DB_ThemeAcct[[#This Row],[Actual]]/DB_ThemeAcct[[#This Row],[Plan]],"N/A")</f>
        <v>1.0507798044417462</v>
      </c>
      <c r="AF66" s="34">
        <f>DB_ThemeAcct[[#This Row],[Actual]]-DB_ThemeAcct[[#This Row],[Plan]]</f>
        <v>6.3248530000000613</v>
      </c>
    </row>
    <row r="67" spans="3:32" x14ac:dyDescent="0.2">
      <c r="C67" t="s">
        <v>345</v>
      </c>
      <c r="D67" t="s">
        <v>141</v>
      </c>
      <c r="E67">
        <v>84.823000000000008</v>
      </c>
      <c r="F67">
        <v>357.21400000000006</v>
      </c>
      <c r="G67">
        <v>4438.518</v>
      </c>
      <c r="H67">
        <v>2616.2380000000003</v>
      </c>
      <c r="I67">
        <v>766.50499999999988</v>
      </c>
      <c r="J67">
        <v>15265.523000000001</v>
      </c>
      <c r="K67">
        <v>2222.4739999999997</v>
      </c>
      <c r="L67">
        <v>2222.4740000000002</v>
      </c>
      <c r="M67">
        <v>2222.4739999999997</v>
      </c>
      <c r="N67">
        <v>2222.4740000000002</v>
      </c>
      <c r="O67">
        <v>2222.4740000000002</v>
      </c>
      <c r="P67">
        <v>2222.4739999999997</v>
      </c>
      <c r="Q67">
        <v>1.25</v>
      </c>
      <c r="R67">
        <v>275.77</v>
      </c>
      <c r="S67">
        <v>4380.6099999999997</v>
      </c>
      <c r="T67">
        <v>2670.1899999999996</v>
      </c>
      <c r="U67">
        <v>763.91</v>
      </c>
      <c r="V67">
        <v>1523.1600000000003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s="34">
        <f>SUMPRODUCT(DB_ThemeAcct[[#This Row],[Plan01]:[Plan12]],$E$31:$P$31)/valUnits2</f>
        <v>23.528821000000004</v>
      </c>
      <c r="AD67" s="34">
        <f>SUMPRODUCT(DB_ThemeAcct[[#This Row],[Act01]:[Act12]],$Q$31:$AB$31)/valUnits2</f>
        <v>9.614889999999999</v>
      </c>
      <c r="AE67" s="34">
        <f>IF(DB_ThemeAcct[[#This Row],[Plan]]&lt;&gt;0,DB_ThemeAcct[[#This Row],[Actual]]/DB_ThemeAcct[[#This Row],[Plan]],"N/A")</f>
        <v>0.40864308500625668</v>
      </c>
      <c r="AF67" s="34">
        <f>DB_ThemeAcct[[#This Row],[Actual]]-DB_ThemeAcct[[#This Row],[Plan]]</f>
        <v>-13.913931000000005</v>
      </c>
    </row>
    <row r="68" spans="3:32" x14ac:dyDescent="0.2">
      <c r="C68" t="s">
        <v>345</v>
      </c>
      <c r="D68" t="s">
        <v>237</v>
      </c>
      <c r="E68">
        <v>0</v>
      </c>
      <c r="F68">
        <v>331</v>
      </c>
      <c r="G68">
        <v>83.5</v>
      </c>
      <c r="H68">
        <v>204.197</v>
      </c>
      <c r="I68">
        <v>378.24099999999999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331</v>
      </c>
      <c r="S68">
        <v>83.01</v>
      </c>
      <c r="T68">
        <v>204.82</v>
      </c>
      <c r="U68">
        <v>379.04999999999995</v>
      </c>
      <c r="V68">
        <v>120.50999999999999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s="34">
        <f>SUMPRODUCT(DB_ThemeAcct[[#This Row],[Plan01]:[Plan12]],$E$31:$P$31)/valUnits2</f>
        <v>0.99693799999999999</v>
      </c>
      <c r="AD68" s="34">
        <f>SUMPRODUCT(DB_ThemeAcct[[#This Row],[Act01]:[Act12]],$Q$31:$AB$31)/valUnits2</f>
        <v>1.1183899999999998</v>
      </c>
      <c r="AE68" s="34">
        <f>IF(DB_ThemeAcct[[#This Row],[Plan]]&lt;&gt;0,DB_ThemeAcct[[#This Row],[Actual]]/DB_ThemeAcct[[#This Row],[Plan]],"N/A")</f>
        <v>1.1218250282364599</v>
      </c>
      <c r="AF68" s="34">
        <f>DB_ThemeAcct[[#This Row],[Actual]]-DB_ThemeAcct[[#This Row],[Plan]]</f>
        <v>0.12145199999999978</v>
      </c>
    </row>
    <row r="69" spans="3:32" x14ac:dyDescent="0.2">
      <c r="C69" t="s">
        <v>345</v>
      </c>
      <c r="D69" t="s">
        <v>236</v>
      </c>
      <c r="E69">
        <v>2911.2089999999998</v>
      </c>
      <c r="G69">
        <v>826.154</v>
      </c>
      <c r="H69">
        <v>0</v>
      </c>
      <c r="J69">
        <v>0</v>
      </c>
      <c r="Q69">
        <v>2879.07</v>
      </c>
      <c r="S69">
        <v>826.15</v>
      </c>
      <c r="T69">
        <v>0</v>
      </c>
      <c r="V69">
        <v>147.1</v>
      </c>
      <c r="AC69" s="34">
        <f>SUMPRODUCT(DB_ThemeAcct[[#This Row],[Plan01]:[Plan12]],$E$31:$P$31)/valUnits2</f>
        <v>3.7373629999999998</v>
      </c>
      <c r="AD69" s="34">
        <f>SUMPRODUCT(DB_ThemeAcct[[#This Row],[Act01]:[Act12]],$Q$31:$AB$31)/valUnits2</f>
        <v>3.8523200000000002</v>
      </c>
      <c r="AE69" s="34">
        <f>IF(DB_ThemeAcct[[#This Row],[Plan]]&lt;&gt;0,DB_ThemeAcct[[#This Row],[Actual]]/DB_ThemeAcct[[#This Row],[Plan]],"N/A")</f>
        <v>1.0307588532342189</v>
      </c>
      <c r="AF69" s="34">
        <f>DB_ThemeAcct[[#This Row],[Actual]]-DB_ThemeAcct[[#This Row],[Plan]]</f>
        <v>0.11495700000000042</v>
      </c>
    </row>
    <row r="70" spans="3:32" x14ac:dyDescent="0.2">
      <c r="C70" t="s">
        <v>345</v>
      </c>
      <c r="D70" t="s">
        <v>142</v>
      </c>
      <c r="E70">
        <v>61662.505000000005</v>
      </c>
      <c r="F70">
        <v>-6300.4990000000016</v>
      </c>
      <c r="G70">
        <v>71906.21100000001</v>
      </c>
      <c r="H70">
        <v>96179.149999999965</v>
      </c>
      <c r="I70">
        <v>80110.672000000006</v>
      </c>
      <c r="J70">
        <v>70314.463000000003</v>
      </c>
      <c r="K70">
        <v>70314.463000000018</v>
      </c>
      <c r="L70">
        <v>72976.548999999985</v>
      </c>
      <c r="M70">
        <v>70314.463000000003</v>
      </c>
      <c r="N70">
        <v>70314.462999999989</v>
      </c>
      <c r="O70">
        <v>75106.478999999978</v>
      </c>
      <c r="P70">
        <v>70314.463000000003</v>
      </c>
      <c r="Q70">
        <v>60842.460000000006</v>
      </c>
      <c r="R70">
        <v>-6187.6500000000005</v>
      </c>
      <c r="S70">
        <v>72479.639999999985</v>
      </c>
      <c r="T70">
        <v>97762.410000000047</v>
      </c>
      <c r="U70">
        <v>80038.94</v>
      </c>
      <c r="V70">
        <v>43143.430000000008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s="34">
        <f>SUMPRODUCT(DB_ThemeAcct[[#This Row],[Plan01]:[Plan12]],$E$31:$P$31)/valUnits2</f>
        <v>373.872502</v>
      </c>
      <c r="AD70" s="34">
        <f>SUMPRODUCT(DB_ThemeAcct[[#This Row],[Act01]:[Act12]],$Q$31:$AB$31)/valUnits2</f>
        <v>348.07923000000005</v>
      </c>
      <c r="AE70" s="34">
        <f>IF(DB_ThemeAcct[[#This Row],[Plan]]&lt;&gt;0,DB_ThemeAcct[[#This Row],[Actual]]/DB_ThemeAcct[[#This Row],[Plan]],"N/A")</f>
        <v>0.93101051331130003</v>
      </c>
      <c r="AF70" s="34">
        <f>DB_ThemeAcct[[#This Row],[Actual]]-DB_ThemeAcct[[#This Row],[Plan]]</f>
        <v>-25.793271999999945</v>
      </c>
    </row>
    <row r="71" spans="3:32" x14ac:dyDescent="0.2">
      <c r="C71" t="s">
        <v>345</v>
      </c>
      <c r="D71" t="s">
        <v>235</v>
      </c>
      <c r="F71">
        <v>54.97</v>
      </c>
      <c r="G71">
        <v>44.423000000000002</v>
      </c>
      <c r="H71">
        <v>0</v>
      </c>
      <c r="I71">
        <v>709.14400000000001</v>
      </c>
      <c r="J71">
        <v>0</v>
      </c>
      <c r="R71">
        <v>438.15000000000003</v>
      </c>
      <c r="S71">
        <v>44.42</v>
      </c>
      <c r="T71">
        <v>0</v>
      </c>
      <c r="U71">
        <v>703.33</v>
      </c>
      <c r="V71">
        <v>214.15</v>
      </c>
      <c r="AC71" s="34">
        <f>SUMPRODUCT(DB_ThemeAcct[[#This Row],[Plan01]:[Plan12]],$E$31:$P$31)/valUnits2</f>
        <v>0.80853700000000006</v>
      </c>
      <c r="AD71" s="34">
        <f>SUMPRODUCT(DB_ThemeAcct[[#This Row],[Act01]:[Act12]],$Q$31:$AB$31)/valUnits2</f>
        <v>1.4000500000000002</v>
      </c>
      <c r="AE71" s="34">
        <f>IF(DB_ThemeAcct[[#This Row],[Plan]]&lt;&gt;0,DB_ThemeAcct[[#This Row],[Actual]]/DB_ThemeAcct[[#This Row],[Plan]],"N/A")</f>
        <v>1.7315843307109016</v>
      </c>
      <c r="AF71" s="34">
        <f>DB_ThemeAcct[[#This Row],[Actual]]-DB_ThemeAcct[[#This Row],[Plan]]</f>
        <v>0.59151300000000018</v>
      </c>
    </row>
    <row r="72" spans="3:32" x14ac:dyDescent="0.2">
      <c r="C72" t="s">
        <v>345</v>
      </c>
      <c r="D72" t="s">
        <v>143</v>
      </c>
      <c r="F72">
        <v>1061.2260000000001</v>
      </c>
      <c r="G72">
        <v>0</v>
      </c>
      <c r="I72">
        <v>0</v>
      </c>
      <c r="R72">
        <v>625.38</v>
      </c>
      <c r="S72">
        <v>45.209999999999994</v>
      </c>
      <c r="U72">
        <v>57.42</v>
      </c>
      <c r="AC72" s="34">
        <f>SUMPRODUCT(DB_ThemeAcct[[#This Row],[Plan01]:[Plan12]],$E$31:$P$31)/valUnits2</f>
        <v>1.061226</v>
      </c>
      <c r="AD72" s="34">
        <f>SUMPRODUCT(DB_ThemeAcct[[#This Row],[Act01]:[Act12]],$Q$31:$AB$31)/valUnits2</f>
        <v>0.72801000000000005</v>
      </c>
      <c r="AE72" s="34">
        <f>IF(DB_ThemeAcct[[#This Row],[Plan]]&lt;&gt;0,DB_ThemeAcct[[#This Row],[Actual]]/DB_ThemeAcct[[#This Row],[Plan]],"N/A")</f>
        <v>0.68600844683413342</v>
      </c>
      <c r="AF72" s="34">
        <f>DB_ThemeAcct[[#This Row],[Actual]]-DB_ThemeAcct[[#This Row],[Plan]]</f>
        <v>-0.33321599999999996</v>
      </c>
    </row>
    <row r="73" spans="3:32" x14ac:dyDescent="0.2">
      <c r="C73" t="s">
        <v>345</v>
      </c>
      <c r="D73" t="s">
        <v>144</v>
      </c>
      <c r="AC73" s="34">
        <f>SUMPRODUCT(DB_ThemeAcct[[#This Row],[Plan01]:[Plan12]],$E$31:$P$31)/valUnits2</f>
        <v>0</v>
      </c>
      <c r="AD73" s="34">
        <f>SUMPRODUCT(DB_ThemeAcct[[#This Row],[Act01]:[Act12]],$Q$31:$AB$31)/valUnits2</f>
        <v>0</v>
      </c>
      <c r="AE73" s="34" t="str">
        <f>IF(DB_ThemeAcct[[#This Row],[Plan]]&lt;&gt;0,DB_ThemeAcct[[#This Row],[Actual]]/DB_ThemeAcct[[#This Row],[Plan]],"N/A")</f>
        <v>N/A</v>
      </c>
      <c r="AF73" s="34">
        <f>DB_ThemeAcct[[#This Row],[Actual]]-DB_ThemeAcct[[#This Row],[Plan]]</f>
        <v>0</v>
      </c>
    </row>
    <row r="74" spans="3:32" x14ac:dyDescent="0.2">
      <c r="C74" t="s">
        <v>346</v>
      </c>
      <c r="D74" t="s">
        <v>140</v>
      </c>
      <c r="E74">
        <v>17250.708000000002</v>
      </c>
      <c r="F74">
        <v>33654.536</v>
      </c>
      <c r="G74">
        <v>21711.828000000001</v>
      </c>
      <c r="H74">
        <v>46505.224000000002</v>
      </c>
      <c r="I74">
        <v>37805.008000000002</v>
      </c>
      <c r="J74">
        <v>36636.395999999993</v>
      </c>
      <c r="K74">
        <v>24369.508999999998</v>
      </c>
      <c r="L74">
        <v>24369.509000000002</v>
      </c>
      <c r="M74">
        <v>24369.508999999998</v>
      </c>
      <c r="N74">
        <v>24369.509000000002</v>
      </c>
      <c r="O74">
        <v>24369.508999999998</v>
      </c>
      <c r="P74">
        <v>15177.521000000004</v>
      </c>
      <c r="Q74">
        <v>17252.900000000001</v>
      </c>
      <c r="R74">
        <v>33968.15</v>
      </c>
      <c r="S74">
        <v>21798.95</v>
      </c>
      <c r="T74">
        <v>46184.999999999993</v>
      </c>
      <c r="U74">
        <v>38069.289999999994</v>
      </c>
      <c r="V74">
        <v>43929.51999999999</v>
      </c>
      <c r="W74">
        <v>511</v>
      </c>
      <c r="X74">
        <v>0</v>
      </c>
      <c r="Y74">
        <v>0</v>
      </c>
      <c r="Z74">
        <v>0</v>
      </c>
      <c r="AA74">
        <v>0</v>
      </c>
      <c r="AB74">
        <v>0</v>
      </c>
      <c r="AC74" s="34">
        <f>SUMPRODUCT(DB_ThemeAcct[[#This Row],[Plan01]:[Plan12]],$E$31:$P$31)/valUnits2</f>
        <v>193.56370000000001</v>
      </c>
      <c r="AD74" s="34">
        <f>SUMPRODUCT(DB_ThemeAcct[[#This Row],[Act01]:[Act12]],$Q$31:$AB$31)/valUnits2</f>
        <v>201.20380999999998</v>
      </c>
      <c r="AE74" s="34">
        <f>IF(DB_ThemeAcct[[#This Row],[Plan]]&lt;&gt;0,DB_ThemeAcct[[#This Row],[Actual]]/DB_ThemeAcct[[#This Row],[Plan]],"N/A")</f>
        <v>1.0394707788702116</v>
      </c>
      <c r="AF74" s="34">
        <f>DB_ThemeAcct[[#This Row],[Actual]]-DB_ThemeAcct[[#This Row],[Plan]]</f>
        <v>7.6401099999999644</v>
      </c>
    </row>
    <row r="75" spans="3:32" x14ac:dyDescent="0.2">
      <c r="C75" t="s">
        <v>346</v>
      </c>
      <c r="D75" t="s">
        <v>141</v>
      </c>
      <c r="E75">
        <v>-4209.6529999999993</v>
      </c>
      <c r="F75">
        <v>2767.8379999999997</v>
      </c>
      <c r="G75">
        <v>3042.7190000000001</v>
      </c>
      <c r="H75">
        <v>22293.262000000006</v>
      </c>
      <c r="I75">
        <v>23182.983000000004</v>
      </c>
      <c r="J75">
        <v>5439.0189999999984</v>
      </c>
      <c r="K75">
        <v>4182.7699999999995</v>
      </c>
      <c r="L75">
        <v>5057.7699999999995</v>
      </c>
      <c r="M75">
        <v>4182.7699999999995</v>
      </c>
      <c r="N75">
        <v>4182.7699999999986</v>
      </c>
      <c r="O75">
        <v>4182.7699999999995</v>
      </c>
      <c r="P75">
        <v>4182.7699999999995</v>
      </c>
      <c r="Q75">
        <v>-4110.7599999999975</v>
      </c>
      <c r="R75">
        <v>2781.75</v>
      </c>
      <c r="S75">
        <v>3076.8</v>
      </c>
      <c r="T75">
        <v>22269.75</v>
      </c>
      <c r="U75">
        <v>23251.000000000007</v>
      </c>
      <c r="V75">
        <v>9954.6999999999971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s="34">
        <f>SUMPRODUCT(DB_ThemeAcct[[#This Row],[Plan01]:[Plan12]],$E$31:$P$31)/valUnits2</f>
        <v>52.516168000000008</v>
      </c>
      <c r="AD75" s="34">
        <f>SUMPRODUCT(DB_ThemeAcct[[#This Row],[Act01]:[Act12]],$Q$31:$AB$31)/valUnits2</f>
        <v>57.223240000000004</v>
      </c>
      <c r="AE75" s="34">
        <f>IF(DB_ThemeAcct[[#This Row],[Plan]]&lt;&gt;0,DB_ThemeAcct[[#This Row],[Actual]]/DB_ThemeAcct[[#This Row],[Plan]],"N/A")</f>
        <v>1.0896309113795202</v>
      </c>
      <c r="AF75" s="34">
        <f>DB_ThemeAcct[[#This Row],[Actual]]-DB_ThemeAcct[[#This Row],[Plan]]</f>
        <v>4.7070719999999966</v>
      </c>
    </row>
    <row r="76" spans="3:32" x14ac:dyDescent="0.2">
      <c r="C76" t="s">
        <v>346</v>
      </c>
      <c r="D76" t="s">
        <v>237</v>
      </c>
      <c r="E76">
        <v>19.178000000000001</v>
      </c>
      <c r="F76">
        <v>1359.0139999999999</v>
      </c>
      <c r="G76">
        <v>171.95999999999998</v>
      </c>
      <c r="H76">
        <v>165.21300000000002</v>
      </c>
      <c r="I76">
        <v>1068.7940000000001</v>
      </c>
      <c r="J76">
        <v>0</v>
      </c>
      <c r="K76">
        <v>0</v>
      </c>
      <c r="Q76">
        <v>19.55</v>
      </c>
      <c r="R76">
        <v>1379.87</v>
      </c>
      <c r="S76">
        <v>171.37</v>
      </c>
      <c r="T76">
        <v>164.79999999999998</v>
      </c>
      <c r="U76">
        <v>1081.8200000000002</v>
      </c>
      <c r="V76">
        <v>5494.3099999999995</v>
      </c>
      <c r="W76">
        <v>1323.46</v>
      </c>
      <c r="AC76" s="34">
        <f>SUMPRODUCT(DB_ThemeAcct[[#This Row],[Plan01]:[Plan12]],$E$31:$P$31)/valUnits2</f>
        <v>2.7841590000000003</v>
      </c>
      <c r="AD76" s="34">
        <f>SUMPRODUCT(DB_ThemeAcct[[#This Row],[Act01]:[Act12]],$Q$31:$AB$31)/valUnits2</f>
        <v>8.3117199999999993</v>
      </c>
      <c r="AE76" s="34">
        <f>IF(DB_ThemeAcct[[#This Row],[Plan]]&lt;&gt;0,DB_ThemeAcct[[#This Row],[Actual]]/DB_ThemeAcct[[#This Row],[Plan]],"N/A")</f>
        <v>2.9853611090458552</v>
      </c>
      <c r="AF76" s="34">
        <f>DB_ThemeAcct[[#This Row],[Actual]]-DB_ThemeAcct[[#This Row],[Plan]]</f>
        <v>5.5275609999999986</v>
      </c>
    </row>
    <row r="77" spans="3:32" x14ac:dyDescent="0.2">
      <c r="C77" t="s">
        <v>346</v>
      </c>
      <c r="D77" t="s">
        <v>236</v>
      </c>
      <c r="E77">
        <v>10865.946</v>
      </c>
      <c r="F77">
        <v>21.74</v>
      </c>
      <c r="G77">
        <v>685.45799999999997</v>
      </c>
      <c r="H77">
        <v>985.12799999999993</v>
      </c>
      <c r="I77">
        <v>138.745</v>
      </c>
      <c r="J77">
        <v>4035.1219999999998</v>
      </c>
      <c r="K77">
        <v>3708.1659999999997</v>
      </c>
      <c r="L77">
        <v>2454.027</v>
      </c>
      <c r="M77">
        <v>1083.3330000000001</v>
      </c>
      <c r="N77">
        <v>2454.027</v>
      </c>
      <c r="O77">
        <v>2454.027</v>
      </c>
      <c r="P77">
        <v>1083.3330000000001</v>
      </c>
      <c r="Q77">
        <v>10554.01</v>
      </c>
      <c r="R77">
        <v>21.74</v>
      </c>
      <c r="S77">
        <v>700.59</v>
      </c>
      <c r="T77">
        <v>984.87</v>
      </c>
      <c r="U77">
        <v>139.02000000000001</v>
      </c>
      <c r="V77">
        <v>306.10999999999996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s="34">
        <f>SUMPRODUCT(DB_ThemeAcct[[#This Row],[Plan01]:[Plan12]],$E$31:$P$31)/valUnits2</f>
        <v>16.732139000000004</v>
      </c>
      <c r="AD77" s="34">
        <f>SUMPRODUCT(DB_ThemeAcct[[#This Row],[Act01]:[Act12]],$Q$31:$AB$31)/valUnits2</f>
        <v>12.706340000000003</v>
      </c>
      <c r="AE77" s="34">
        <f>IF(DB_ThemeAcct[[#This Row],[Plan]]&lt;&gt;0,DB_ThemeAcct[[#This Row],[Actual]]/DB_ThemeAcct[[#This Row],[Plan]],"N/A")</f>
        <v>0.75939722948751498</v>
      </c>
      <c r="AF77" s="34">
        <f>DB_ThemeAcct[[#This Row],[Actual]]-DB_ThemeAcct[[#This Row],[Plan]]</f>
        <v>-4.025799000000001</v>
      </c>
    </row>
    <row r="78" spans="3:32" x14ac:dyDescent="0.2">
      <c r="C78" t="s">
        <v>346</v>
      </c>
      <c r="D78" t="s">
        <v>142</v>
      </c>
      <c r="E78">
        <v>131721.20599999998</v>
      </c>
      <c r="F78">
        <v>-9564.4919999999966</v>
      </c>
      <c r="G78">
        <v>15805.670999999995</v>
      </c>
      <c r="H78">
        <v>290212.93800000002</v>
      </c>
      <c r="I78">
        <v>173305.99699999992</v>
      </c>
      <c r="J78">
        <v>235729.52600000007</v>
      </c>
      <c r="K78">
        <v>152648.74799999991</v>
      </c>
      <c r="L78">
        <v>154583.22999999992</v>
      </c>
      <c r="M78">
        <v>154520.0659999999</v>
      </c>
      <c r="N78">
        <v>158432.36299999987</v>
      </c>
      <c r="O78">
        <v>174993.42600000001</v>
      </c>
      <c r="P78">
        <v>134979.64399999997</v>
      </c>
      <c r="Q78">
        <v>129997.08000000005</v>
      </c>
      <c r="R78">
        <v>-8190.7699999999886</v>
      </c>
      <c r="S78">
        <v>15710.04999999999</v>
      </c>
      <c r="T78">
        <v>288563.18000000005</v>
      </c>
      <c r="U78">
        <v>173288.84999999989</v>
      </c>
      <c r="V78">
        <v>125936.46999999999</v>
      </c>
      <c r="W78">
        <v>10521.87</v>
      </c>
      <c r="X78">
        <v>0</v>
      </c>
      <c r="Y78">
        <v>0</v>
      </c>
      <c r="Z78">
        <v>0</v>
      </c>
      <c r="AA78">
        <v>0</v>
      </c>
      <c r="AB78">
        <v>0</v>
      </c>
      <c r="AC78" s="34">
        <f>SUMPRODUCT(DB_ThemeAcct[[#This Row],[Plan01]:[Plan12]],$E$31:$P$31)/valUnits2</f>
        <v>837.21084599999995</v>
      </c>
      <c r="AD78" s="34">
        <f>SUMPRODUCT(DB_ThemeAcct[[#This Row],[Act01]:[Act12]],$Q$31:$AB$31)/valUnits2</f>
        <v>725.30485999999996</v>
      </c>
      <c r="AE78" s="34">
        <f>IF(DB_ThemeAcct[[#This Row],[Plan]]&lt;&gt;0,DB_ThemeAcct[[#This Row],[Actual]]/DB_ThemeAcct[[#This Row],[Plan]],"N/A")</f>
        <v>0.86633476317864144</v>
      </c>
      <c r="AF78" s="34">
        <f>DB_ThemeAcct[[#This Row],[Actual]]-DB_ThemeAcct[[#This Row],[Plan]]</f>
        <v>-111.90598599999998</v>
      </c>
    </row>
    <row r="79" spans="3:32" x14ac:dyDescent="0.2">
      <c r="C79" t="s">
        <v>346</v>
      </c>
      <c r="D79" t="s">
        <v>235</v>
      </c>
      <c r="E79">
        <v>236.07900000000001</v>
      </c>
      <c r="F79">
        <v>198.29400000000001</v>
      </c>
      <c r="G79">
        <v>296.05700000000002</v>
      </c>
      <c r="H79">
        <v>77.326999999999998</v>
      </c>
      <c r="I79">
        <v>266.428</v>
      </c>
      <c r="J79">
        <v>749.47599999999989</v>
      </c>
      <c r="K79">
        <v>637.61999999999989</v>
      </c>
      <c r="L79">
        <v>637.61999999999989</v>
      </c>
      <c r="M79">
        <v>637.61999999999989</v>
      </c>
      <c r="N79">
        <v>637.61999999999989</v>
      </c>
      <c r="O79">
        <v>637.61999999999989</v>
      </c>
      <c r="P79">
        <v>637.61999999999989</v>
      </c>
      <c r="Q79">
        <v>240.9</v>
      </c>
      <c r="R79">
        <v>198.28</v>
      </c>
      <c r="S79">
        <v>302.13</v>
      </c>
      <c r="T79">
        <v>75.52</v>
      </c>
      <c r="U79">
        <v>269.60000000000002</v>
      </c>
      <c r="V79">
        <v>799.71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s="34">
        <f>SUMPRODUCT(DB_ThemeAcct[[#This Row],[Plan01]:[Plan12]],$E$31:$P$31)/valUnits2</f>
        <v>1.8236609999999998</v>
      </c>
      <c r="AD79" s="34">
        <f>SUMPRODUCT(DB_ThemeAcct[[#This Row],[Act01]:[Act12]],$Q$31:$AB$31)/valUnits2</f>
        <v>1.8861399999999999</v>
      </c>
      <c r="AE79" s="34">
        <f>IF(DB_ThemeAcct[[#This Row],[Plan]]&lt;&gt;0,DB_ThemeAcct[[#This Row],[Actual]]/DB_ThemeAcct[[#This Row],[Plan]],"N/A")</f>
        <v>1.034260205158744</v>
      </c>
      <c r="AF79" s="34">
        <f>DB_ThemeAcct[[#This Row],[Actual]]-DB_ThemeAcct[[#This Row],[Plan]]</f>
        <v>6.2479000000000173E-2</v>
      </c>
    </row>
    <row r="80" spans="3:32" x14ac:dyDescent="0.2">
      <c r="C80" t="s">
        <v>346</v>
      </c>
      <c r="D80" t="s">
        <v>143</v>
      </c>
      <c r="E80">
        <v>0</v>
      </c>
      <c r="F80">
        <v>0</v>
      </c>
      <c r="G80">
        <v>118.50700000000001</v>
      </c>
      <c r="H80">
        <v>0</v>
      </c>
      <c r="I80">
        <v>20.068999999999999</v>
      </c>
      <c r="J80">
        <v>2843.0929999999998</v>
      </c>
      <c r="K80">
        <v>1742.155</v>
      </c>
      <c r="L80">
        <v>1742.155</v>
      </c>
      <c r="M80">
        <v>1742.155</v>
      </c>
      <c r="N80">
        <v>1742.155</v>
      </c>
      <c r="O80">
        <v>1742.155</v>
      </c>
      <c r="P80">
        <v>1677.8579999999999</v>
      </c>
      <c r="Q80">
        <v>0</v>
      </c>
      <c r="R80">
        <v>0</v>
      </c>
      <c r="S80">
        <v>139.32000000000002</v>
      </c>
      <c r="T80">
        <v>0</v>
      </c>
      <c r="U80">
        <v>20.399999999999999</v>
      </c>
      <c r="V80">
        <v>240.91999999999996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s="34">
        <f>SUMPRODUCT(DB_ThemeAcct[[#This Row],[Plan01]:[Plan12]],$E$31:$P$31)/valUnits2</f>
        <v>2.9816689999999997</v>
      </c>
      <c r="AD80" s="34">
        <f>SUMPRODUCT(DB_ThemeAcct[[#This Row],[Act01]:[Act12]],$Q$31:$AB$31)/valUnits2</f>
        <v>0.40064</v>
      </c>
      <c r="AE80" s="34">
        <f>IF(DB_ThemeAcct[[#This Row],[Plan]]&lt;&gt;0,DB_ThemeAcct[[#This Row],[Actual]]/DB_ThemeAcct[[#This Row],[Plan]],"N/A")</f>
        <v>0.13436769809123683</v>
      </c>
      <c r="AF80" s="34">
        <f>DB_ThemeAcct[[#This Row],[Actual]]-DB_ThemeAcct[[#This Row],[Plan]]</f>
        <v>-2.5810289999999996</v>
      </c>
    </row>
    <row r="81" spans="3:32" x14ac:dyDescent="0.2">
      <c r="C81" t="s">
        <v>346</v>
      </c>
      <c r="D81" t="s">
        <v>144</v>
      </c>
      <c r="AC81" s="34">
        <f>SUMPRODUCT(DB_ThemeAcct[[#This Row],[Plan01]:[Plan12]],$E$31:$P$31)/valUnits2</f>
        <v>0</v>
      </c>
      <c r="AD81" s="34">
        <f>SUMPRODUCT(DB_ThemeAcct[[#This Row],[Act01]:[Act12]],$Q$31:$AB$31)/valUnits2</f>
        <v>0</v>
      </c>
      <c r="AE81" s="34" t="str">
        <f>IF(DB_ThemeAcct[[#This Row],[Plan]]&lt;&gt;0,DB_ThemeAcct[[#This Row],[Actual]]/DB_ThemeAcct[[#This Row],[Plan]],"N/A")</f>
        <v>N/A</v>
      </c>
      <c r="AF81" s="34">
        <f>DB_ThemeAcct[[#This Row],[Actual]]-DB_ThemeAcct[[#This Row],[Plan]]</f>
        <v>0</v>
      </c>
    </row>
    <row r="82" spans="3:32" x14ac:dyDescent="0.2">
      <c r="C82" t="s">
        <v>347</v>
      </c>
      <c r="D82" t="s">
        <v>140</v>
      </c>
      <c r="E82">
        <v>90443.578999999998</v>
      </c>
      <c r="F82">
        <v>86192.163</v>
      </c>
      <c r="G82">
        <v>95400.459000000003</v>
      </c>
      <c r="H82">
        <v>115177.57799999999</v>
      </c>
      <c r="I82">
        <v>118476.431</v>
      </c>
      <c r="J82">
        <v>36933.646000000001</v>
      </c>
      <c r="K82">
        <v>64817.05999999999</v>
      </c>
      <c r="L82">
        <v>64817.05999999999</v>
      </c>
      <c r="M82">
        <v>64817.05999999999</v>
      </c>
      <c r="N82">
        <v>64817.05999999999</v>
      </c>
      <c r="O82">
        <v>64817.05999999999</v>
      </c>
      <c r="P82">
        <v>64817.05999999999</v>
      </c>
      <c r="Q82">
        <v>50620.36</v>
      </c>
      <c r="R82">
        <v>47254.02</v>
      </c>
      <c r="S82">
        <v>56187.780000000006</v>
      </c>
      <c r="T82">
        <v>75957.78</v>
      </c>
      <c r="U82">
        <v>79322.139999999985</v>
      </c>
      <c r="V82">
        <v>81942.97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s="34">
        <f>SUMPRODUCT(DB_ThemeAcct[[#This Row],[Plan01]:[Plan12]],$E$31:$P$31)/valUnits2</f>
        <v>542.62385599999993</v>
      </c>
      <c r="AD82" s="34">
        <f>SUMPRODUCT(DB_ThemeAcct[[#This Row],[Act01]:[Act12]],$Q$31:$AB$31)/valUnits2</f>
        <v>391.28504999999996</v>
      </c>
      <c r="AE82" s="34">
        <f>IF(DB_ThemeAcct[[#This Row],[Plan]]&lt;&gt;0,DB_ThemeAcct[[#This Row],[Actual]]/DB_ThemeAcct[[#This Row],[Plan]],"N/A")</f>
        <v>0.72109813395303435</v>
      </c>
      <c r="AF82" s="34">
        <f>DB_ThemeAcct[[#This Row],[Actual]]-DB_ThemeAcct[[#This Row],[Plan]]</f>
        <v>-151.33880599999998</v>
      </c>
    </row>
    <row r="83" spans="3:32" x14ac:dyDescent="0.2">
      <c r="C83" t="s">
        <v>347</v>
      </c>
      <c r="D83" t="s">
        <v>141</v>
      </c>
      <c r="E83">
        <v>18826.212</v>
      </c>
      <c r="F83">
        <v>15367.550999999999</v>
      </c>
      <c r="G83">
        <v>15216.750000000002</v>
      </c>
      <c r="H83">
        <v>41224.353999999999</v>
      </c>
      <c r="I83">
        <v>44933.205999999998</v>
      </c>
      <c r="J83">
        <v>36001.640999999996</v>
      </c>
      <c r="K83">
        <v>36001.640999999996</v>
      </c>
      <c r="L83">
        <v>36001.640999999996</v>
      </c>
      <c r="M83">
        <v>36001.640999999996</v>
      </c>
      <c r="N83">
        <v>36001.640999999996</v>
      </c>
      <c r="O83">
        <v>36001.640999999996</v>
      </c>
      <c r="P83">
        <v>36001.640999999996</v>
      </c>
      <c r="Q83">
        <v>5310.170000000001</v>
      </c>
      <c r="R83">
        <v>2063.9299999999998</v>
      </c>
      <c r="S83">
        <v>1928.8100000000002</v>
      </c>
      <c r="T83">
        <v>5083.4900000000007</v>
      </c>
      <c r="U83">
        <v>8660.7300000000014</v>
      </c>
      <c r="V83">
        <v>4310.9199999999992</v>
      </c>
      <c r="W83">
        <v>5924.21</v>
      </c>
      <c r="X83">
        <v>0</v>
      </c>
      <c r="Y83">
        <v>0</v>
      </c>
      <c r="Z83">
        <v>0</v>
      </c>
      <c r="AA83">
        <v>0</v>
      </c>
      <c r="AB83">
        <v>0</v>
      </c>
      <c r="AC83" s="34">
        <f>SUMPRODUCT(DB_ThemeAcct[[#This Row],[Plan01]:[Plan12]],$E$31:$P$31)/valUnits2</f>
        <v>171.569714</v>
      </c>
      <c r="AD83" s="34">
        <f>SUMPRODUCT(DB_ThemeAcct[[#This Row],[Act01]:[Act12]],$Q$31:$AB$31)/valUnits2</f>
        <v>27.358050000000002</v>
      </c>
      <c r="AE83" s="34">
        <f>IF(DB_ThemeAcct[[#This Row],[Plan]]&lt;&gt;0,DB_ThemeAcct[[#This Row],[Actual]]/DB_ThemeAcct[[#This Row],[Plan]],"N/A")</f>
        <v>0.15945733872354653</v>
      </c>
      <c r="AF83" s="34">
        <f>DB_ThemeAcct[[#This Row],[Actual]]-DB_ThemeAcct[[#This Row],[Plan]]</f>
        <v>-144.21166400000001</v>
      </c>
    </row>
    <row r="84" spans="3:32" x14ac:dyDescent="0.2">
      <c r="C84" t="s">
        <v>347</v>
      </c>
      <c r="D84" t="s">
        <v>237</v>
      </c>
      <c r="E84">
        <v>6582.12</v>
      </c>
      <c r="F84">
        <v>3052.9490000000001</v>
      </c>
      <c r="G84">
        <v>4783.0349999999999</v>
      </c>
      <c r="H84">
        <v>1208.336</v>
      </c>
      <c r="I84">
        <v>548.19100000000003</v>
      </c>
      <c r="J84">
        <v>0</v>
      </c>
      <c r="Q84">
        <v>6223.3200000000006</v>
      </c>
      <c r="R84">
        <v>2925.2699999999995</v>
      </c>
      <c r="S84">
        <v>4595.71</v>
      </c>
      <c r="T84">
        <v>1172.24</v>
      </c>
      <c r="U84">
        <v>533.73</v>
      </c>
      <c r="V84">
        <v>966.68999999999994</v>
      </c>
      <c r="AC84" s="34">
        <f>SUMPRODUCT(DB_ThemeAcct[[#This Row],[Plan01]:[Plan12]],$E$31:$P$31)/valUnits2</f>
        <v>16.174630999999998</v>
      </c>
      <c r="AD84" s="34">
        <f>SUMPRODUCT(DB_ThemeAcct[[#This Row],[Act01]:[Act12]],$Q$31:$AB$31)/valUnits2</f>
        <v>16.41696</v>
      </c>
      <c r="AE84" s="34">
        <f>IF(DB_ThemeAcct[[#This Row],[Plan]]&lt;&gt;0,DB_ThemeAcct[[#This Row],[Actual]]/DB_ThemeAcct[[#This Row],[Plan]],"N/A")</f>
        <v>1.0149820419396276</v>
      </c>
      <c r="AF84" s="34">
        <f>DB_ThemeAcct[[#This Row],[Actual]]-DB_ThemeAcct[[#This Row],[Plan]]</f>
        <v>0.24232900000000157</v>
      </c>
    </row>
    <row r="85" spans="3:32" x14ac:dyDescent="0.2">
      <c r="C85" t="s">
        <v>347</v>
      </c>
      <c r="D85" t="s">
        <v>236</v>
      </c>
      <c r="E85">
        <v>67761.938999999998</v>
      </c>
      <c r="F85">
        <v>32295.918999999998</v>
      </c>
      <c r="G85">
        <v>114443.337</v>
      </c>
      <c r="H85">
        <v>36409.597000000009</v>
      </c>
      <c r="I85">
        <v>89305.408999999985</v>
      </c>
      <c r="J85">
        <v>33502.44</v>
      </c>
      <c r="K85">
        <v>33502.44</v>
      </c>
      <c r="L85">
        <v>33502.44000000001</v>
      </c>
      <c r="M85">
        <v>33502.44</v>
      </c>
      <c r="N85">
        <v>33502.44</v>
      </c>
      <c r="O85">
        <v>33502.44</v>
      </c>
      <c r="P85">
        <v>33502.44000000001</v>
      </c>
      <c r="Q85">
        <v>37083.889999999992</v>
      </c>
      <c r="R85">
        <v>-35.470000000000027</v>
      </c>
      <c r="S85">
        <v>81858.430000000008</v>
      </c>
      <c r="T85">
        <v>2818.85</v>
      </c>
      <c r="U85">
        <v>54333.729999999989</v>
      </c>
      <c r="V85">
        <v>18427.32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s="34">
        <f>SUMPRODUCT(DB_ThemeAcct[[#This Row],[Plan01]:[Plan12]],$E$31:$P$31)/valUnits2</f>
        <v>373.71864099999999</v>
      </c>
      <c r="AD85" s="34">
        <f>SUMPRODUCT(DB_ThemeAcct[[#This Row],[Act01]:[Act12]],$Q$31:$AB$31)/valUnits2</f>
        <v>194.48675</v>
      </c>
      <c r="AE85" s="34">
        <f>IF(DB_ThemeAcct[[#This Row],[Plan]]&lt;&gt;0,DB_ThemeAcct[[#This Row],[Actual]]/DB_ThemeAcct[[#This Row],[Plan]],"N/A")</f>
        <v>0.52040955056346794</v>
      </c>
      <c r="AF85" s="34">
        <f>DB_ThemeAcct[[#This Row],[Actual]]-DB_ThemeAcct[[#This Row],[Plan]]</f>
        <v>-179.23189099999999</v>
      </c>
    </row>
    <row r="86" spans="3:32" x14ac:dyDescent="0.2">
      <c r="C86" t="s">
        <v>347</v>
      </c>
      <c r="D86" t="s">
        <v>142</v>
      </c>
      <c r="E86">
        <v>0</v>
      </c>
      <c r="F86">
        <v>-1.5631940186722204E-11</v>
      </c>
      <c r="G86">
        <v>1.0000000002889919E-3</v>
      </c>
      <c r="H86">
        <v>1614739.128</v>
      </c>
      <c r="I86">
        <v>0</v>
      </c>
      <c r="J86">
        <v>0</v>
      </c>
      <c r="K86">
        <v>1393382.9580000003</v>
      </c>
      <c r="L86">
        <v>0</v>
      </c>
      <c r="M86">
        <v>0</v>
      </c>
      <c r="N86">
        <v>1237808.2860000001</v>
      </c>
      <c r="O86">
        <v>0</v>
      </c>
      <c r="P86">
        <v>1353507.838</v>
      </c>
      <c r="Q86">
        <v>0</v>
      </c>
      <c r="R86">
        <v>5.0000000020418156E-2</v>
      </c>
      <c r="S86">
        <v>-1.0000000000182752E-2</v>
      </c>
      <c r="T86">
        <v>0</v>
      </c>
      <c r="U86">
        <v>0</v>
      </c>
      <c r="V86">
        <v>2374077.3600000003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s="34">
        <f>SUMPRODUCT(DB_ThemeAcct[[#This Row],[Plan01]:[Plan12]],$E$31:$P$31)/valUnits2</f>
        <v>1614.739129</v>
      </c>
      <c r="AD86" s="34">
        <f>SUMPRODUCT(DB_ThemeAcct[[#This Row],[Act01]:[Act12]],$Q$31:$AB$31)/valUnits2</f>
        <v>2374.0774000000006</v>
      </c>
      <c r="AE86" s="34">
        <f>IF(DB_ThemeAcct[[#This Row],[Plan]]&lt;&gt;0,DB_ThemeAcct[[#This Row],[Actual]]/DB_ThemeAcct[[#This Row],[Plan]],"N/A")</f>
        <v>1.4702544561921003</v>
      </c>
      <c r="AF86" s="34">
        <f>DB_ThemeAcct[[#This Row],[Actual]]-DB_ThemeAcct[[#This Row],[Plan]]</f>
        <v>759.33827100000053</v>
      </c>
    </row>
    <row r="87" spans="3:32" x14ac:dyDescent="0.2">
      <c r="C87" t="s">
        <v>347</v>
      </c>
      <c r="D87" t="s">
        <v>235</v>
      </c>
      <c r="E87">
        <v>416.99099999999999</v>
      </c>
      <c r="F87">
        <v>912.67</v>
      </c>
      <c r="G87">
        <v>3116.3290000000002</v>
      </c>
      <c r="H87">
        <v>2768.7299999999996</v>
      </c>
      <c r="I87">
        <v>2326.04</v>
      </c>
      <c r="J87">
        <v>443.33600000000001</v>
      </c>
      <c r="K87">
        <v>443.33600000000001</v>
      </c>
      <c r="L87">
        <v>443.33600000000001</v>
      </c>
      <c r="M87">
        <v>443.33600000000001</v>
      </c>
      <c r="N87">
        <v>443.33600000000001</v>
      </c>
      <c r="O87">
        <v>443.33600000000001</v>
      </c>
      <c r="P87">
        <v>443.33600000000001</v>
      </c>
      <c r="Q87">
        <v>420.24</v>
      </c>
      <c r="R87">
        <v>916.51</v>
      </c>
      <c r="S87">
        <v>3063.02</v>
      </c>
      <c r="T87">
        <v>2342.5299999999997</v>
      </c>
      <c r="U87">
        <v>2024.21</v>
      </c>
      <c r="V87">
        <v>3884.3700000000003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s="34">
        <f>SUMPRODUCT(DB_ThemeAcct[[#This Row],[Plan01]:[Plan12]],$E$31:$P$31)/valUnits2</f>
        <v>9.9840959999999974</v>
      </c>
      <c r="AD87" s="34">
        <f>SUMPRODUCT(DB_ThemeAcct[[#This Row],[Act01]:[Act12]],$Q$31:$AB$31)/valUnits2</f>
        <v>12.650880000000001</v>
      </c>
      <c r="AE87" s="34">
        <f>IF(DB_ThemeAcct[[#This Row],[Plan]]&lt;&gt;0,DB_ThemeAcct[[#This Row],[Actual]]/DB_ThemeAcct[[#This Row],[Plan]],"N/A")</f>
        <v>1.2671032009307608</v>
      </c>
      <c r="AF87" s="34">
        <f>DB_ThemeAcct[[#This Row],[Actual]]-DB_ThemeAcct[[#This Row],[Plan]]</f>
        <v>2.6667840000000034</v>
      </c>
    </row>
    <row r="88" spans="3:32" x14ac:dyDescent="0.2">
      <c r="C88" t="s">
        <v>347</v>
      </c>
      <c r="D88" t="s">
        <v>143</v>
      </c>
      <c r="E88">
        <v>3490.8149999999996</v>
      </c>
      <c r="F88">
        <v>4127.9110000000001</v>
      </c>
      <c r="G88">
        <v>3782.5720000000001</v>
      </c>
      <c r="H88">
        <v>8741.5110000000004</v>
      </c>
      <c r="I88">
        <v>19578.954000000002</v>
      </c>
      <c r="J88">
        <v>1330.0070000000001</v>
      </c>
      <c r="K88">
        <v>1330.0070000000001</v>
      </c>
      <c r="L88">
        <v>1330.0070000000001</v>
      </c>
      <c r="M88">
        <v>1330.0070000000001</v>
      </c>
      <c r="N88">
        <v>1330.0070000000001</v>
      </c>
      <c r="O88">
        <v>1330.0070000000001</v>
      </c>
      <c r="P88">
        <v>1330.0070000000001</v>
      </c>
      <c r="Q88">
        <v>3273.4999999999995</v>
      </c>
      <c r="R88">
        <v>3981.99</v>
      </c>
      <c r="S88">
        <v>3704.32</v>
      </c>
      <c r="T88">
        <v>7521.99</v>
      </c>
      <c r="U88">
        <v>17569.86</v>
      </c>
      <c r="V88">
        <v>5545.880000000001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s="34">
        <f>SUMPRODUCT(DB_ThemeAcct[[#This Row],[Plan01]:[Plan12]],$E$31:$P$31)/valUnits2</f>
        <v>41.051770000000005</v>
      </c>
      <c r="AD88" s="34">
        <f>SUMPRODUCT(DB_ThemeAcct[[#This Row],[Act01]:[Act12]],$Q$31:$AB$31)/valUnits2</f>
        <v>41.597540000000009</v>
      </c>
      <c r="AE88" s="34">
        <f>IF(DB_ThemeAcct[[#This Row],[Plan]]&lt;&gt;0,DB_ThemeAcct[[#This Row],[Actual]]/DB_ThemeAcct[[#This Row],[Plan]],"N/A")</f>
        <v>1.0132946764536586</v>
      </c>
      <c r="AF88" s="34">
        <f>DB_ThemeAcct[[#This Row],[Actual]]-DB_ThemeAcct[[#This Row],[Plan]]</f>
        <v>0.54577000000000453</v>
      </c>
    </row>
    <row r="89" spans="3:32" x14ac:dyDescent="0.2">
      <c r="C89" t="s">
        <v>347</v>
      </c>
      <c r="D89" t="s">
        <v>144</v>
      </c>
      <c r="F89">
        <v>0</v>
      </c>
      <c r="H89">
        <v>0</v>
      </c>
      <c r="J89">
        <v>409.24</v>
      </c>
      <c r="M89">
        <v>409.24</v>
      </c>
      <c r="P89">
        <v>409.24</v>
      </c>
      <c r="R89">
        <v>1657.84</v>
      </c>
      <c r="T89">
        <v>0</v>
      </c>
      <c r="V89">
        <v>0</v>
      </c>
      <c r="Y89">
        <v>0</v>
      </c>
      <c r="AB89">
        <v>0</v>
      </c>
      <c r="AC89" s="34">
        <f>SUMPRODUCT(DB_ThemeAcct[[#This Row],[Plan01]:[Plan12]],$E$31:$P$31)/valUnits2</f>
        <v>0.40923999999999999</v>
      </c>
      <c r="AD89" s="34">
        <f>SUMPRODUCT(DB_ThemeAcct[[#This Row],[Act01]:[Act12]],$Q$31:$AB$31)/valUnits2</f>
        <v>1.65784</v>
      </c>
      <c r="AE89" s="34">
        <f>IF(DB_ThemeAcct[[#This Row],[Plan]]&lt;&gt;0,DB_ThemeAcct[[#This Row],[Actual]]/DB_ThemeAcct[[#This Row],[Plan]],"N/A")</f>
        <v>4.0510214055322065</v>
      </c>
      <c r="AF89" s="34">
        <f>DB_ThemeAcct[[#This Row],[Actual]]-DB_ThemeAcct[[#This Row],[Plan]]</f>
        <v>1.2485999999999999</v>
      </c>
    </row>
    <row r="90" spans="3:32" x14ac:dyDescent="0.2">
      <c r="C90" t="s">
        <v>348</v>
      </c>
      <c r="D90" t="s">
        <v>140</v>
      </c>
      <c r="E90">
        <v>33208.358000000007</v>
      </c>
      <c r="F90">
        <v>42563.154000000002</v>
      </c>
      <c r="G90">
        <v>53995.800000000017</v>
      </c>
      <c r="H90">
        <v>45250.018000000018</v>
      </c>
      <c r="I90">
        <v>55334.878000000019</v>
      </c>
      <c r="J90">
        <v>78435.760000000009</v>
      </c>
      <c r="K90">
        <v>77028.076000000001</v>
      </c>
      <c r="L90">
        <v>77028.076000000001</v>
      </c>
      <c r="M90">
        <v>77028.076000000001</v>
      </c>
      <c r="N90">
        <v>76833.897999999986</v>
      </c>
      <c r="O90">
        <v>76833.897999999986</v>
      </c>
      <c r="P90">
        <v>79302.979999999981</v>
      </c>
      <c r="Q90">
        <v>33266.119999999995</v>
      </c>
      <c r="R90">
        <v>42971.799999999981</v>
      </c>
      <c r="S90">
        <v>53799.98000000001</v>
      </c>
      <c r="T90">
        <v>44831.669999999991</v>
      </c>
      <c r="U90">
        <v>55199.540000000008</v>
      </c>
      <c r="V90">
        <v>54102.910000000011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s="34">
        <f>SUMPRODUCT(DB_ThemeAcct[[#This Row],[Plan01]:[Plan12]],$E$31:$P$31)/valUnits2</f>
        <v>308.78796800000009</v>
      </c>
      <c r="AD90" s="34">
        <f>SUMPRODUCT(DB_ThemeAcct[[#This Row],[Act01]:[Act12]],$Q$31:$AB$31)/valUnits2</f>
        <v>284.17202000000003</v>
      </c>
      <c r="AE90" s="34">
        <f>IF(DB_ThemeAcct[[#This Row],[Plan]]&lt;&gt;0,DB_ThemeAcct[[#This Row],[Actual]]/DB_ThemeAcct[[#This Row],[Plan]],"N/A")</f>
        <v>0.92028203637779027</v>
      </c>
      <c r="AF90" s="34">
        <f>DB_ThemeAcct[[#This Row],[Actual]]-DB_ThemeAcct[[#This Row],[Plan]]</f>
        <v>-24.61594800000006</v>
      </c>
    </row>
    <row r="91" spans="3:32" x14ac:dyDescent="0.2">
      <c r="C91" t="s">
        <v>348</v>
      </c>
      <c r="D91" t="s">
        <v>141</v>
      </c>
      <c r="E91">
        <v>6076.4529999999977</v>
      </c>
      <c r="F91">
        <v>7227.3999999999978</v>
      </c>
      <c r="G91">
        <v>34308.665000000001</v>
      </c>
      <c r="H91">
        <v>7037.0100000000029</v>
      </c>
      <c r="I91">
        <v>26691.589999999997</v>
      </c>
      <c r="J91">
        <v>12746.879000000003</v>
      </c>
      <c r="K91">
        <v>12969.482</v>
      </c>
      <c r="L91">
        <v>12969.482</v>
      </c>
      <c r="M91">
        <v>16313.489000000001</v>
      </c>
      <c r="N91">
        <v>23414.756999999994</v>
      </c>
      <c r="O91">
        <v>15799.791000000001</v>
      </c>
      <c r="P91">
        <v>12103.183999999997</v>
      </c>
      <c r="Q91">
        <v>6125.680000000003</v>
      </c>
      <c r="R91">
        <v>7315.2200000000021</v>
      </c>
      <c r="S91">
        <v>34240.5</v>
      </c>
      <c r="T91">
        <v>6909.5100000000011</v>
      </c>
      <c r="U91">
        <v>26817.67</v>
      </c>
      <c r="V91">
        <v>4586.1800000000021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s="34">
        <f>SUMPRODUCT(DB_ThemeAcct[[#This Row],[Plan01]:[Plan12]],$E$31:$P$31)/valUnits2</f>
        <v>94.087996999999987</v>
      </c>
      <c r="AD91" s="34">
        <f>SUMPRODUCT(DB_ThemeAcct[[#This Row],[Act01]:[Act12]],$Q$31:$AB$31)/valUnits2</f>
        <v>85.994760000000028</v>
      </c>
      <c r="AE91" s="34">
        <f>IF(DB_ThemeAcct[[#This Row],[Plan]]&lt;&gt;0,DB_ThemeAcct[[#This Row],[Actual]]/DB_ThemeAcct[[#This Row],[Plan]],"N/A")</f>
        <v>0.91398225854462645</v>
      </c>
      <c r="AF91" s="34">
        <f>DB_ThemeAcct[[#This Row],[Actual]]-DB_ThemeAcct[[#This Row],[Plan]]</f>
        <v>-8.0932369999999594</v>
      </c>
    </row>
    <row r="92" spans="3:32" x14ac:dyDescent="0.2">
      <c r="C92" t="s">
        <v>348</v>
      </c>
      <c r="D92" t="s">
        <v>237</v>
      </c>
      <c r="E92">
        <v>2780.2510000000002</v>
      </c>
      <c r="F92">
        <v>5854.9850000000006</v>
      </c>
      <c r="G92">
        <v>7424.3419999999996</v>
      </c>
      <c r="H92">
        <v>126.529</v>
      </c>
      <c r="I92">
        <v>1167.9380000000001</v>
      </c>
      <c r="J92">
        <v>65.917000000000002</v>
      </c>
      <c r="K92">
        <v>65.917000000000002</v>
      </c>
      <c r="L92">
        <v>65.917000000000002</v>
      </c>
      <c r="M92">
        <v>65.917000000000002</v>
      </c>
      <c r="N92">
        <v>65.917000000000002</v>
      </c>
      <c r="O92">
        <v>65.917000000000002</v>
      </c>
      <c r="P92">
        <v>65.917000000000002</v>
      </c>
      <c r="Q92">
        <v>2854.6000000000004</v>
      </c>
      <c r="R92">
        <v>6060.4900000000007</v>
      </c>
      <c r="S92">
        <v>7391.0700000000006</v>
      </c>
      <c r="T92">
        <v>124.49</v>
      </c>
      <c r="U92">
        <v>1168.58</v>
      </c>
      <c r="V92">
        <v>2159.6800000000003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s="34">
        <f>SUMPRODUCT(DB_ThemeAcct[[#This Row],[Plan01]:[Plan12]],$E$31:$P$31)/valUnits2</f>
        <v>17.419962000000002</v>
      </c>
      <c r="AD92" s="34">
        <f>SUMPRODUCT(DB_ThemeAcct[[#This Row],[Act01]:[Act12]],$Q$31:$AB$31)/valUnits2</f>
        <v>19.758910000000004</v>
      </c>
      <c r="AE92" s="34">
        <f>IF(DB_ThemeAcct[[#This Row],[Plan]]&lt;&gt;0,DB_ThemeAcct[[#This Row],[Actual]]/DB_ThemeAcct[[#This Row],[Plan]],"N/A")</f>
        <v>1.1342682607459191</v>
      </c>
      <c r="AF92" s="34">
        <f>DB_ThemeAcct[[#This Row],[Actual]]-DB_ThemeAcct[[#This Row],[Plan]]</f>
        <v>2.338948000000002</v>
      </c>
    </row>
    <row r="93" spans="3:32" x14ac:dyDescent="0.2">
      <c r="C93" t="s">
        <v>348</v>
      </c>
      <c r="D93" t="s">
        <v>236</v>
      </c>
      <c r="E93">
        <v>37035.656999999999</v>
      </c>
      <c r="F93">
        <v>41465.477999999988</v>
      </c>
      <c r="G93">
        <v>36902.895999999986</v>
      </c>
      <c r="H93">
        <v>25888.847999999998</v>
      </c>
      <c r="I93">
        <v>45500.429999999993</v>
      </c>
      <c r="J93">
        <v>95697.994000000006</v>
      </c>
      <c r="K93">
        <v>71153.075999999986</v>
      </c>
      <c r="L93">
        <v>17361.811000000002</v>
      </c>
      <c r="M93">
        <v>17361.811000000002</v>
      </c>
      <c r="N93">
        <v>17361.811000000002</v>
      </c>
      <c r="O93">
        <v>16122.416999999998</v>
      </c>
      <c r="P93">
        <v>99888.096000000005</v>
      </c>
      <c r="Q93">
        <v>17328.64</v>
      </c>
      <c r="R93">
        <v>20580.59</v>
      </c>
      <c r="S93">
        <v>16766.73</v>
      </c>
      <c r="T93">
        <v>5882.4399999999987</v>
      </c>
      <c r="U93">
        <v>25345.73</v>
      </c>
      <c r="V93">
        <v>58607.219999999994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s="34">
        <f>SUMPRODUCT(DB_ThemeAcct[[#This Row],[Plan01]:[Plan12]],$E$31:$P$31)/valUnits2</f>
        <v>282.49130299999996</v>
      </c>
      <c r="AD93" s="34">
        <f>SUMPRODUCT(DB_ThemeAcct[[#This Row],[Act01]:[Act12]],$Q$31:$AB$31)/valUnits2</f>
        <v>144.51134999999996</v>
      </c>
      <c r="AE93" s="34">
        <f>IF(DB_ThemeAcct[[#This Row],[Plan]]&lt;&gt;0,DB_ThemeAcct[[#This Row],[Actual]]/DB_ThemeAcct[[#This Row],[Plan]],"N/A")</f>
        <v>0.51156035058537708</v>
      </c>
      <c r="AF93" s="34">
        <f>DB_ThemeAcct[[#This Row],[Actual]]-DB_ThemeAcct[[#This Row],[Plan]]</f>
        <v>-137.97995299999999</v>
      </c>
    </row>
    <row r="94" spans="3:32" x14ac:dyDescent="0.2">
      <c r="C94" t="s">
        <v>348</v>
      </c>
      <c r="D94" t="s">
        <v>142</v>
      </c>
      <c r="E94">
        <v>191065.07700000002</v>
      </c>
      <c r="F94">
        <v>603208.45700000017</v>
      </c>
      <c r="G94">
        <v>478575.00399999996</v>
      </c>
      <c r="H94">
        <v>460236.57399999996</v>
      </c>
      <c r="I94">
        <v>306415.21100000013</v>
      </c>
      <c r="J94">
        <v>289812.31400000007</v>
      </c>
      <c r="K94">
        <v>325984.59600000002</v>
      </c>
      <c r="L94">
        <v>283902.44700000004</v>
      </c>
      <c r="M94">
        <v>286565.90200000006</v>
      </c>
      <c r="N94">
        <v>282637.52700000006</v>
      </c>
      <c r="O94">
        <v>284986.23200000002</v>
      </c>
      <c r="P94">
        <v>293282.73100000009</v>
      </c>
      <c r="Q94">
        <v>194029.87999999998</v>
      </c>
      <c r="R94">
        <v>620352.87999999989</v>
      </c>
      <c r="S94">
        <v>478230.76</v>
      </c>
      <c r="T94">
        <v>455357.25999999989</v>
      </c>
      <c r="U94">
        <v>306443.14999999985</v>
      </c>
      <c r="V94">
        <v>456399.53</v>
      </c>
      <c r="W94">
        <v>37226.519999999997</v>
      </c>
      <c r="X94">
        <v>0</v>
      </c>
      <c r="Y94">
        <v>0</v>
      </c>
      <c r="Z94">
        <v>0</v>
      </c>
      <c r="AA94">
        <v>0</v>
      </c>
      <c r="AB94">
        <v>0</v>
      </c>
      <c r="AC94" s="34">
        <f>SUMPRODUCT(DB_ThemeAcct[[#This Row],[Plan01]:[Plan12]],$E$31:$P$31)/valUnits2</f>
        <v>2329.3126370000004</v>
      </c>
      <c r="AD94" s="34">
        <f>SUMPRODUCT(DB_ThemeAcct[[#This Row],[Act01]:[Act12]],$Q$31:$AB$31)/valUnits2</f>
        <v>2510.8134599999998</v>
      </c>
      <c r="AE94" s="34">
        <f>IF(DB_ThemeAcct[[#This Row],[Plan]]&lt;&gt;0,DB_ThemeAcct[[#This Row],[Actual]]/DB_ThemeAcct[[#This Row],[Plan]],"N/A")</f>
        <v>1.077920335860866</v>
      </c>
      <c r="AF94" s="34">
        <f>DB_ThemeAcct[[#This Row],[Actual]]-DB_ThemeAcct[[#This Row],[Plan]]</f>
        <v>181.5008229999994</v>
      </c>
    </row>
    <row r="95" spans="3:32" x14ac:dyDescent="0.2">
      <c r="C95" t="s">
        <v>348</v>
      </c>
      <c r="D95" t="s">
        <v>235</v>
      </c>
      <c r="E95">
        <v>2998.8509999999997</v>
      </c>
      <c r="F95">
        <v>1768.4929999999997</v>
      </c>
      <c r="G95">
        <v>3288.2539999999999</v>
      </c>
      <c r="H95">
        <v>2700.8089999999993</v>
      </c>
      <c r="I95">
        <v>1202.8999999999999</v>
      </c>
      <c r="J95">
        <v>8483.4740000000002</v>
      </c>
      <c r="K95">
        <v>3988.6129999999998</v>
      </c>
      <c r="L95">
        <v>4071.9459999999999</v>
      </c>
      <c r="M95">
        <v>3988.6130000000003</v>
      </c>
      <c r="N95">
        <v>3988.6130000000003</v>
      </c>
      <c r="O95">
        <v>3988.6130000000003</v>
      </c>
      <c r="P95">
        <v>3988.6129999999998</v>
      </c>
      <c r="Q95">
        <v>3008.4000000000005</v>
      </c>
      <c r="R95">
        <v>1803.8999999999999</v>
      </c>
      <c r="S95">
        <v>3274.76</v>
      </c>
      <c r="T95">
        <v>2682.8900000000003</v>
      </c>
      <c r="U95">
        <v>1345.18</v>
      </c>
      <c r="V95">
        <v>961.35999999999979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s="34">
        <f>SUMPRODUCT(DB_ThemeAcct[[#This Row],[Plan01]:[Plan12]],$E$31:$P$31)/valUnits2</f>
        <v>20.442781</v>
      </c>
      <c r="AD95" s="34">
        <f>SUMPRODUCT(DB_ThemeAcct[[#This Row],[Act01]:[Act12]],$Q$31:$AB$31)/valUnits2</f>
        <v>13.076490000000002</v>
      </c>
      <c r="AE95" s="34">
        <f>IF(DB_ThemeAcct[[#This Row],[Plan]]&lt;&gt;0,DB_ThemeAcct[[#This Row],[Actual]]/DB_ThemeAcct[[#This Row],[Plan]],"N/A")</f>
        <v>0.63966296953433099</v>
      </c>
      <c r="AF95" s="34">
        <f>DB_ThemeAcct[[#This Row],[Actual]]-DB_ThemeAcct[[#This Row],[Plan]]</f>
        <v>-7.3662909999999986</v>
      </c>
    </row>
    <row r="96" spans="3:32" x14ac:dyDescent="0.2">
      <c r="C96" t="s">
        <v>348</v>
      </c>
      <c r="D96" t="s">
        <v>143</v>
      </c>
      <c r="E96">
        <v>87.46</v>
      </c>
      <c r="F96">
        <v>298.15500000000003</v>
      </c>
      <c r="G96">
        <v>759.16399999999999</v>
      </c>
      <c r="H96">
        <v>197.685</v>
      </c>
      <c r="I96">
        <v>506.86700000000002</v>
      </c>
      <c r="J96">
        <v>614.6640000000001</v>
      </c>
      <c r="K96">
        <v>2624.598</v>
      </c>
      <c r="L96">
        <v>614.6640000000001</v>
      </c>
      <c r="M96">
        <v>614.6640000000001</v>
      </c>
      <c r="N96">
        <v>614.6640000000001</v>
      </c>
      <c r="O96">
        <v>614.66399999999999</v>
      </c>
      <c r="P96">
        <v>614.66399999999999</v>
      </c>
      <c r="Q96">
        <v>88.84</v>
      </c>
      <c r="R96">
        <v>301.49</v>
      </c>
      <c r="S96">
        <v>753.80000000000007</v>
      </c>
      <c r="T96">
        <v>194.31</v>
      </c>
      <c r="U96">
        <v>365.45</v>
      </c>
      <c r="V96">
        <v>1905.29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s="34">
        <f>SUMPRODUCT(DB_ThemeAcct[[#This Row],[Plan01]:[Plan12]],$E$31:$P$31)/valUnits2</f>
        <v>2.4639949999999997</v>
      </c>
      <c r="AD96" s="34">
        <f>SUMPRODUCT(DB_ThemeAcct[[#This Row],[Act01]:[Act12]],$Q$31:$AB$31)/valUnits2</f>
        <v>3.6091800000000003</v>
      </c>
      <c r="AE96" s="34">
        <f>IF(DB_ThemeAcct[[#This Row],[Plan]]&lt;&gt;0,DB_ThemeAcct[[#This Row],[Actual]]/DB_ThemeAcct[[#This Row],[Plan]],"N/A")</f>
        <v>1.4647675827264264</v>
      </c>
      <c r="AF96" s="34">
        <f>DB_ThemeAcct[[#This Row],[Actual]]-DB_ThemeAcct[[#This Row],[Plan]]</f>
        <v>1.1451850000000006</v>
      </c>
    </row>
    <row r="97" spans="3:32" x14ac:dyDescent="0.2">
      <c r="C97" t="s">
        <v>348</v>
      </c>
      <c r="D97" t="s">
        <v>144</v>
      </c>
      <c r="AC97" s="34">
        <f>SUMPRODUCT(DB_ThemeAcct[[#This Row],[Plan01]:[Plan12]],$E$31:$P$31)/valUnits2</f>
        <v>0</v>
      </c>
      <c r="AD97" s="34">
        <f>SUMPRODUCT(DB_ThemeAcct[[#This Row],[Act01]:[Act12]],$Q$31:$AB$31)/valUnits2</f>
        <v>0</v>
      </c>
      <c r="AE97" s="34" t="str">
        <f>IF(DB_ThemeAcct[[#This Row],[Plan]]&lt;&gt;0,DB_ThemeAcct[[#This Row],[Actual]]/DB_ThemeAcct[[#This Row],[Plan]],"N/A")</f>
        <v>N/A</v>
      </c>
      <c r="AF97" s="34">
        <f>DB_ThemeAcct[[#This Row],[Actual]]-DB_ThemeAcct[[#This Row],[Plan]]</f>
        <v>0</v>
      </c>
    </row>
    <row r="98" spans="3:32" x14ac:dyDescent="0.2">
      <c r="C98" t="s">
        <v>349</v>
      </c>
      <c r="D98" t="s">
        <v>140</v>
      </c>
      <c r="E98">
        <v>25164.499999999996</v>
      </c>
      <c r="F98">
        <v>31305.050000000003</v>
      </c>
      <c r="G98">
        <v>35245.431999999993</v>
      </c>
      <c r="H98">
        <v>51237.837999999989</v>
      </c>
      <c r="I98">
        <v>44405.418999999994</v>
      </c>
      <c r="J98">
        <v>40049.931000000004</v>
      </c>
      <c r="K98">
        <v>34546.292000000001</v>
      </c>
      <c r="L98">
        <v>34546.292000000001</v>
      </c>
      <c r="M98">
        <v>34546.292000000001</v>
      </c>
      <c r="N98">
        <v>34546.292000000001</v>
      </c>
      <c r="O98">
        <v>34546.292000000001</v>
      </c>
      <c r="P98">
        <v>34549.292000000001</v>
      </c>
      <c r="Q98">
        <v>23257.280000000006</v>
      </c>
      <c r="R98">
        <v>29555.44000000001</v>
      </c>
      <c r="S98">
        <v>33405.799999999996</v>
      </c>
      <c r="T98">
        <v>49370.679999999993</v>
      </c>
      <c r="U98">
        <v>42592.47000000003</v>
      </c>
      <c r="V98">
        <v>51722.350000000013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s="34">
        <f>SUMPRODUCT(DB_ThemeAcct[[#This Row],[Plan01]:[Plan12]],$E$31:$P$31)/valUnits2</f>
        <v>227.40816999999998</v>
      </c>
      <c r="AD98" s="34">
        <f>SUMPRODUCT(DB_ThemeAcct[[#This Row],[Act01]:[Act12]],$Q$31:$AB$31)/valUnits2</f>
        <v>229.90402000000006</v>
      </c>
      <c r="AE98" s="34">
        <f>IF(DB_ThemeAcct[[#This Row],[Plan]]&lt;&gt;0,DB_ThemeAcct[[#This Row],[Actual]]/DB_ThemeAcct[[#This Row],[Plan]],"N/A")</f>
        <v>1.0109751993518969</v>
      </c>
      <c r="AF98" s="34">
        <f>DB_ThemeAcct[[#This Row],[Actual]]-DB_ThemeAcct[[#This Row],[Plan]]</f>
        <v>2.4958500000000754</v>
      </c>
    </row>
    <row r="99" spans="3:32" x14ac:dyDescent="0.2">
      <c r="C99" t="s">
        <v>349</v>
      </c>
      <c r="D99" t="s">
        <v>141</v>
      </c>
      <c r="E99">
        <v>9536.6779999999999</v>
      </c>
      <c r="F99">
        <v>6553.969000000001</v>
      </c>
      <c r="G99">
        <v>19036.106999999996</v>
      </c>
      <c r="H99">
        <v>6039.5450000000001</v>
      </c>
      <c r="I99">
        <v>25307.325000000001</v>
      </c>
      <c r="J99">
        <v>6910.6399999999994</v>
      </c>
      <c r="K99">
        <v>8539.4639999999999</v>
      </c>
      <c r="L99">
        <v>1927.6110000000001</v>
      </c>
      <c r="M99">
        <v>177.68199999999999</v>
      </c>
      <c r="N99">
        <v>5177.6819999999998</v>
      </c>
      <c r="O99">
        <v>177.68199999999999</v>
      </c>
      <c r="P99">
        <v>177.68199999999999</v>
      </c>
      <c r="Q99">
        <v>9417.75</v>
      </c>
      <c r="R99">
        <v>6614.59</v>
      </c>
      <c r="S99">
        <v>19070.069999999992</v>
      </c>
      <c r="T99">
        <v>6027.4000000000005</v>
      </c>
      <c r="U99">
        <v>25333.589999999993</v>
      </c>
      <c r="V99">
        <v>13508.140000000001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s="34">
        <f>SUMPRODUCT(DB_ThemeAcct[[#This Row],[Plan01]:[Plan12]],$E$31:$P$31)/valUnits2</f>
        <v>73.384264000000002</v>
      </c>
      <c r="AD99" s="34">
        <f>SUMPRODUCT(DB_ThemeAcct[[#This Row],[Act01]:[Act12]],$Q$31:$AB$31)/valUnits2</f>
        <v>79.971539999999976</v>
      </c>
      <c r="AE99" s="34">
        <f>IF(DB_ThemeAcct[[#This Row],[Plan]]&lt;&gt;0,DB_ThemeAcct[[#This Row],[Actual]]/DB_ThemeAcct[[#This Row],[Plan]],"N/A")</f>
        <v>1.0897641488916476</v>
      </c>
      <c r="AF99" s="34">
        <f>DB_ThemeAcct[[#This Row],[Actual]]-DB_ThemeAcct[[#This Row],[Plan]]</f>
        <v>6.5872759999999744</v>
      </c>
    </row>
    <row r="100" spans="3:32" x14ac:dyDescent="0.2">
      <c r="C100" t="s">
        <v>349</v>
      </c>
      <c r="D100" t="s">
        <v>237</v>
      </c>
      <c r="E100">
        <v>1071.443</v>
      </c>
      <c r="F100">
        <v>435.98099999999999</v>
      </c>
      <c r="G100">
        <v>2408.8470000000002</v>
      </c>
      <c r="H100">
        <v>302.78500000000003</v>
      </c>
      <c r="I100">
        <v>649.69200000000001</v>
      </c>
      <c r="J100">
        <v>0</v>
      </c>
      <c r="Q100">
        <v>1067.8600000000001</v>
      </c>
      <c r="R100">
        <v>450.23</v>
      </c>
      <c r="S100">
        <v>2419.85</v>
      </c>
      <c r="T100">
        <v>300.18</v>
      </c>
      <c r="U100">
        <v>653.80999999999995</v>
      </c>
      <c r="V100">
        <v>-192.5</v>
      </c>
      <c r="AC100" s="34">
        <f>SUMPRODUCT(DB_ThemeAcct[[#This Row],[Plan01]:[Plan12]],$E$31:$P$31)/valUnits2</f>
        <v>4.8687480000000001</v>
      </c>
      <c r="AD100" s="34">
        <f>SUMPRODUCT(DB_ThemeAcct[[#This Row],[Act01]:[Act12]],$Q$31:$AB$31)/valUnits2</f>
        <v>4.6994300000000004</v>
      </c>
      <c r="AE100" s="34">
        <f>IF(DB_ThemeAcct[[#This Row],[Plan]]&lt;&gt;0,DB_ThemeAcct[[#This Row],[Actual]]/DB_ThemeAcct[[#This Row],[Plan]],"N/A")</f>
        <v>0.96522350304431459</v>
      </c>
      <c r="AF100" s="34">
        <f>DB_ThemeAcct[[#This Row],[Actual]]-DB_ThemeAcct[[#This Row],[Plan]]</f>
        <v>-0.16931799999999964</v>
      </c>
    </row>
    <row r="101" spans="3:32" x14ac:dyDescent="0.2">
      <c r="C101" t="s">
        <v>349</v>
      </c>
      <c r="D101" t="s">
        <v>236</v>
      </c>
      <c r="E101">
        <v>2088.8820000000001</v>
      </c>
      <c r="F101">
        <v>1831.1909999999998</v>
      </c>
      <c r="G101">
        <v>74181.851999999999</v>
      </c>
      <c r="H101">
        <v>41797.532999999989</v>
      </c>
      <c r="I101">
        <v>2695.67</v>
      </c>
      <c r="J101">
        <v>48030.129000000001</v>
      </c>
      <c r="K101">
        <v>34302.089</v>
      </c>
      <c r="L101">
        <v>33678.089</v>
      </c>
      <c r="M101">
        <v>33679.089</v>
      </c>
      <c r="N101">
        <v>49533.089</v>
      </c>
      <c r="O101">
        <v>33681.089</v>
      </c>
      <c r="P101">
        <v>33682.089</v>
      </c>
      <c r="Q101">
        <v>1638.63</v>
      </c>
      <c r="R101">
        <v>1383.04</v>
      </c>
      <c r="S101">
        <v>75070.23000000001</v>
      </c>
      <c r="T101">
        <v>41313.64</v>
      </c>
      <c r="U101">
        <v>2245.67</v>
      </c>
      <c r="V101">
        <v>41869.730000000003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s="34">
        <f>SUMPRODUCT(DB_ThemeAcct[[#This Row],[Plan01]:[Plan12]],$E$31:$P$31)/valUnits2</f>
        <v>170.62525699999998</v>
      </c>
      <c r="AD101" s="34">
        <f>SUMPRODUCT(DB_ThemeAcct[[#This Row],[Act01]:[Act12]],$Q$31:$AB$31)/valUnits2</f>
        <v>163.52094</v>
      </c>
      <c r="AE101" s="34">
        <f>IF(DB_ThemeAcct[[#This Row],[Plan]]&lt;&gt;0,DB_ThemeAcct[[#This Row],[Actual]]/DB_ThemeAcct[[#This Row],[Plan]],"N/A")</f>
        <v>0.95836304000409511</v>
      </c>
      <c r="AF101" s="34">
        <f>DB_ThemeAcct[[#This Row],[Actual]]-DB_ThemeAcct[[#This Row],[Plan]]</f>
        <v>-7.1043169999999805</v>
      </c>
    </row>
    <row r="102" spans="3:32" x14ac:dyDescent="0.2">
      <c r="C102" t="s">
        <v>349</v>
      </c>
      <c r="D102" t="s">
        <v>142</v>
      </c>
      <c r="E102">
        <v>191648.99399999998</v>
      </c>
      <c r="F102">
        <v>292598.32899999974</v>
      </c>
      <c r="G102">
        <v>185298.40500000009</v>
      </c>
      <c r="H102">
        <v>373392.61200000002</v>
      </c>
      <c r="I102">
        <v>194250.86399999997</v>
      </c>
      <c r="J102">
        <v>195909.02000000002</v>
      </c>
      <c r="K102">
        <v>74787.755999999994</v>
      </c>
      <c r="L102">
        <v>74685.456999999995</v>
      </c>
      <c r="M102">
        <v>76603.552000000011</v>
      </c>
      <c r="N102">
        <v>75554.993000000017</v>
      </c>
      <c r="O102">
        <v>74404.136000000013</v>
      </c>
      <c r="P102">
        <v>74404.135999999999</v>
      </c>
      <c r="Q102">
        <v>187415.67</v>
      </c>
      <c r="R102">
        <v>292944.23000000004</v>
      </c>
      <c r="S102">
        <v>189037.91000000003</v>
      </c>
      <c r="T102">
        <v>373516.36999999994</v>
      </c>
      <c r="U102">
        <v>194143.90000000008</v>
      </c>
      <c r="V102">
        <v>841763.85999999964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 s="34">
        <f>SUMPRODUCT(DB_ThemeAcct[[#This Row],[Plan01]:[Plan12]],$E$31:$P$31)/valUnits2</f>
        <v>1433.0982239999998</v>
      </c>
      <c r="AD102" s="34">
        <f>SUMPRODUCT(DB_ThemeAcct[[#This Row],[Act01]:[Act12]],$Q$31:$AB$31)/valUnits2</f>
        <v>2078.8219399999998</v>
      </c>
      <c r="AE102" s="34">
        <f>IF(DB_ThemeAcct[[#This Row],[Plan]]&lt;&gt;0,DB_ThemeAcct[[#This Row],[Actual]]/DB_ThemeAcct[[#This Row],[Plan]],"N/A")</f>
        <v>1.4505788264796566</v>
      </c>
      <c r="AF102" s="34">
        <f>DB_ThemeAcct[[#This Row],[Actual]]-DB_ThemeAcct[[#This Row],[Plan]]</f>
        <v>645.72371599999997</v>
      </c>
    </row>
    <row r="103" spans="3:32" x14ac:dyDescent="0.2">
      <c r="C103" t="s">
        <v>349</v>
      </c>
      <c r="D103" t="s">
        <v>235</v>
      </c>
      <c r="E103">
        <v>5574.0160000000014</v>
      </c>
      <c r="F103">
        <v>3573.6699999999996</v>
      </c>
      <c r="G103">
        <v>12090.678000000002</v>
      </c>
      <c r="H103">
        <v>1939.5070000000001</v>
      </c>
      <c r="I103">
        <v>1500.3979999999999</v>
      </c>
      <c r="J103">
        <v>95.903999999999996</v>
      </c>
      <c r="L103">
        <v>95.903999999999996</v>
      </c>
      <c r="M103">
        <v>95.903999999999996</v>
      </c>
      <c r="N103">
        <v>95.903999999999996</v>
      </c>
      <c r="O103">
        <v>95.903999999999996</v>
      </c>
      <c r="P103">
        <v>95.903999999999996</v>
      </c>
      <c r="Q103">
        <v>5589.05</v>
      </c>
      <c r="R103">
        <v>3586.2799999999988</v>
      </c>
      <c r="S103">
        <v>12117.550000000001</v>
      </c>
      <c r="T103">
        <v>1936.58</v>
      </c>
      <c r="U103">
        <v>1543.24</v>
      </c>
      <c r="V103">
        <v>1924.2599999999998</v>
      </c>
      <c r="X103">
        <v>0</v>
      </c>
      <c r="Y103">
        <v>0</v>
      </c>
      <c r="Z103">
        <v>0</v>
      </c>
      <c r="AA103">
        <v>0</v>
      </c>
      <c r="AB103">
        <v>0</v>
      </c>
      <c r="AC103" s="34">
        <f>SUMPRODUCT(DB_ThemeAcct[[#This Row],[Plan01]:[Plan12]],$E$31:$P$31)/valUnits2</f>
        <v>24.774173000000001</v>
      </c>
      <c r="AD103" s="34">
        <f>SUMPRODUCT(DB_ThemeAcct[[#This Row],[Act01]:[Act12]],$Q$31:$AB$31)/valUnits2</f>
        <v>26.696960000000001</v>
      </c>
      <c r="AE103" s="34">
        <f>IF(DB_ThemeAcct[[#This Row],[Plan]]&lt;&gt;0,DB_ThemeAcct[[#This Row],[Actual]]/DB_ThemeAcct[[#This Row],[Plan]],"N/A")</f>
        <v>1.0776125604677096</v>
      </c>
      <c r="AF103" s="34">
        <f>DB_ThemeAcct[[#This Row],[Actual]]-DB_ThemeAcct[[#This Row],[Plan]]</f>
        <v>1.9227869999999996</v>
      </c>
    </row>
    <row r="104" spans="3:32" x14ac:dyDescent="0.2">
      <c r="C104" t="s">
        <v>349</v>
      </c>
      <c r="D104" t="s">
        <v>143</v>
      </c>
      <c r="E104">
        <v>73.657000000000011</v>
      </c>
      <c r="F104">
        <v>30.777999999999999</v>
      </c>
      <c r="G104">
        <v>697.37900000000002</v>
      </c>
      <c r="H104">
        <v>1368.8490000000002</v>
      </c>
      <c r="I104">
        <v>4427.0450000000001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49.25</v>
      </c>
      <c r="R104">
        <v>31.62</v>
      </c>
      <c r="S104">
        <v>710.83999999999992</v>
      </c>
      <c r="T104">
        <v>1343.2100000000003</v>
      </c>
      <c r="U104">
        <v>4454.1100000000006</v>
      </c>
      <c r="V104">
        <v>1927.94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 s="34">
        <f>SUMPRODUCT(DB_ThemeAcct[[#This Row],[Plan01]:[Plan12]],$E$31:$P$31)/valUnits2</f>
        <v>6.5977080000000008</v>
      </c>
      <c r="AD104" s="34">
        <f>SUMPRODUCT(DB_ThemeAcct[[#This Row],[Act01]:[Act12]],$Q$31:$AB$31)/valUnits2</f>
        <v>8.5169700000000006</v>
      </c>
      <c r="AE104" s="34">
        <f>IF(DB_ThemeAcct[[#This Row],[Plan]]&lt;&gt;0,DB_ThemeAcct[[#This Row],[Actual]]/DB_ThemeAcct[[#This Row],[Plan]],"N/A")</f>
        <v>1.2908982937711095</v>
      </c>
      <c r="AF104" s="34">
        <f>DB_ThemeAcct[[#This Row],[Actual]]-DB_ThemeAcct[[#This Row],[Plan]]</f>
        <v>1.9192619999999998</v>
      </c>
    </row>
    <row r="105" spans="3:32" x14ac:dyDescent="0.2">
      <c r="C105" t="s">
        <v>349</v>
      </c>
      <c r="D105" t="s">
        <v>144</v>
      </c>
      <c r="AC105" s="34">
        <f>SUMPRODUCT(DB_ThemeAcct[[#This Row],[Plan01]:[Plan12]],$E$31:$P$31)/valUnits2</f>
        <v>0</v>
      </c>
      <c r="AD105" s="34">
        <f>SUMPRODUCT(DB_ThemeAcct[[#This Row],[Act01]:[Act12]],$Q$31:$AB$31)/valUnits2</f>
        <v>0</v>
      </c>
      <c r="AE105" s="34" t="str">
        <f>IF(DB_ThemeAcct[[#This Row],[Plan]]&lt;&gt;0,DB_ThemeAcct[[#This Row],[Actual]]/DB_ThemeAcct[[#This Row],[Plan]],"N/A")</f>
        <v>N/A</v>
      </c>
      <c r="AF105" s="34">
        <f>DB_ThemeAcct[[#This Row],[Actual]]-DB_ThemeAcct[[#This Row],[Plan]]</f>
        <v>0</v>
      </c>
    </row>
    <row r="106" spans="3:32" x14ac:dyDescent="0.2">
      <c r="C106" t="s">
        <v>350</v>
      </c>
      <c r="D106" t="s">
        <v>140</v>
      </c>
      <c r="E106">
        <v>2220.174</v>
      </c>
      <c r="F106">
        <v>46797.944000000003</v>
      </c>
      <c r="G106">
        <v>36019.329000000005</v>
      </c>
      <c r="H106">
        <v>10186.114000000001</v>
      </c>
      <c r="I106">
        <v>15823.484</v>
      </c>
      <c r="J106">
        <v>22727.881000000005</v>
      </c>
      <c r="K106">
        <v>22727.881000000005</v>
      </c>
      <c r="L106">
        <v>22727.881000000005</v>
      </c>
      <c r="M106">
        <v>22623.830000000005</v>
      </c>
      <c r="N106">
        <v>16926.194</v>
      </c>
      <c r="O106">
        <v>16151.062999999996</v>
      </c>
      <c r="P106">
        <v>16151.062999999996</v>
      </c>
      <c r="Q106">
        <v>2033.4499999999998</v>
      </c>
      <c r="R106">
        <v>46638.28</v>
      </c>
      <c r="S106">
        <v>35312.120000000003</v>
      </c>
      <c r="T106">
        <v>9350.1299999999992</v>
      </c>
      <c r="U106">
        <v>15022.570000000002</v>
      </c>
      <c r="V106">
        <v>8377.3500000000022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s="34">
        <f>SUMPRODUCT(DB_ThemeAcct[[#This Row],[Plan01]:[Plan12]],$E$31:$P$31)/valUnits2</f>
        <v>133.77492599999999</v>
      </c>
      <c r="AD106" s="34">
        <f>SUMPRODUCT(DB_ThemeAcct[[#This Row],[Act01]:[Act12]],$Q$31:$AB$31)/valUnits2</f>
        <v>116.73390000000002</v>
      </c>
      <c r="AE106" s="34">
        <f>IF(DB_ThemeAcct[[#This Row],[Plan]]&lt;&gt;0,DB_ThemeAcct[[#This Row],[Actual]]/DB_ThemeAcct[[#This Row],[Plan]],"N/A")</f>
        <v>0.87261419976416232</v>
      </c>
      <c r="AF106" s="34">
        <f>DB_ThemeAcct[[#This Row],[Actual]]-DB_ThemeAcct[[#This Row],[Plan]]</f>
        <v>-17.041025999999974</v>
      </c>
    </row>
    <row r="107" spans="3:32" x14ac:dyDescent="0.2">
      <c r="C107" t="s">
        <v>350</v>
      </c>
      <c r="D107" t="s">
        <v>141</v>
      </c>
      <c r="E107">
        <v>393.51800000000003</v>
      </c>
      <c r="F107">
        <v>1617.8419999999999</v>
      </c>
      <c r="G107">
        <v>5322.3760000000002</v>
      </c>
      <c r="H107">
        <v>3013.7190000000005</v>
      </c>
      <c r="I107">
        <v>2928.4789999999998</v>
      </c>
      <c r="J107">
        <v>830.55100000000016</v>
      </c>
      <c r="K107">
        <v>830.55100000000016</v>
      </c>
      <c r="L107">
        <v>830.55100000000016</v>
      </c>
      <c r="M107">
        <v>830.55100000000016</v>
      </c>
      <c r="N107">
        <v>830.55100000000016</v>
      </c>
      <c r="O107">
        <v>830.55100000000016</v>
      </c>
      <c r="P107">
        <v>830.55100000000016</v>
      </c>
      <c r="Q107">
        <v>393.37</v>
      </c>
      <c r="R107">
        <v>1621.85</v>
      </c>
      <c r="S107">
        <v>5314.56</v>
      </c>
      <c r="T107">
        <v>3011.4099999999994</v>
      </c>
      <c r="U107">
        <v>2929.5799999999995</v>
      </c>
      <c r="V107">
        <v>2070.6099999999997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 s="34">
        <f>SUMPRODUCT(DB_ThemeAcct[[#This Row],[Plan01]:[Plan12]],$E$31:$P$31)/valUnits2</f>
        <v>14.106484999999999</v>
      </c>
      <c r="AD107" s="34">
        <f>SUMPRODUCT(DB_ThemeAcct[[#This Row],[Act01]:[Act12]],$Q$31:$AB$31)/valUnits2</f>
        <v>15.341380000000001</v>
      </c>
      <c r="AE107" s="34">
        <f>IF(DB_ThemeAcct[[#This Row],[Plan]]&lt;&gt;0,DB_ThemeAcct[[#This Row],[Actual]]/DB_ThemeAcct[[#This Row],[Plan]],"N/A")</f>
        <v>1.0875409430485341</v>
      </c>
      <c r="AF107" s="34">
        <f>DB_ThemeAcct[[#This Row],[Actual]]-DB_ThemeAcct[[#This Row],[Plan]]</f>
        <v>1.2348950000000016</v>
      </c>
    </row>
    <row r="108" spans="3:32" x14ac:dyDescent="0.2">
      <c r="C108" t="s">
        <v>350</v>
      </c>
      <c r="D108" t="s">
        <v>237</v>
      </c>
      <c r="F108">
        <v>543.22099999999989</v>
      </c>
      <c r="G108">
        <v>12860.33</v>
      </c>
      <c r="H108">
        <v>-12397.02</v>
      </c>
      <c r="I108">
        <v>10246.359999999999</v>
      </c>
      <c r="J108">
        <v>0</v>
      </c>
      <c r="R108">
        <v>541.52</v>
      </c>
      <c r="S108">
        <v>12860.33</v>
      </c>
      <c r="T108">
        <v>-12397.020000000002</v>
      </c>
      <c r="U108">
        <v>10246.36</v>
      </c>
      <c r="V108">
        <v>-163.58000000000004</v>
      </c>
      <c r="AC108" s="34">
        <f>SUMPRODUCT(DB_ThemeAcct[[#This Row],[Plan01]:[Plan12]],$E$31:$P$31)/valUnits2</f>
        <v>11.252890999999998</v>
      </c>
      <c r="AD108" s="34">
        <f>SUMPRODUCT(DB_ThemeAcct[[#This Row],[Act01]:[Act12]],$Q$31:$AB$31)/valUnits2</f>
        <v>11.087609999999998</v>
      </c>
      <c r="AE108" s="34">
        <f>IF(DB_ThemeAcct[[#This Row],[Plan]]&lt;&gt;0,DB_ThemeAcct[[#This Row],[Actual]]/DB_ThemeAcct[[#This Row],[Plan]],"N/A")</f>
        <v>0.98531213001174545</v>
      </c>
      <c r="AF108" s="34">
        <f>DB_ThemeAcct[[#This Row],[Actual]]-DB_ThemeAcct[[#This Row],[Plan]]</f>
        <v>-0.16528100000000023</v>
      </c>
    </row>
    <row r="109" spans="3:32" x14ac:dyDescent="0.2">
      <c r="C109" t="s">
        <v>350</v>
      </c>
      <c r="D109" t="s">
        <v>236</v>
      </c>
      <c r="E109">
        <v>2051.8589999999999</v>
      </c>
      <c r="F109">
        <v>2253.0770000000002</v>
      </c>
      <c r="G109">
        <v>3804.9070000000002</v>
      </c>
      <c r="H109">
        <v>1181.1869999999999</v>
      </c>
      <c r="I109">
        <v>2347.0769999999998</v>
      </c>
      <c r="J109">
        <v>2241.6669999999999</v>
      </c>
      <c r="K109">
        <v>2241.6669999999999</v>
      </c>
      <c r="L109">
        <v>2241.6669999999999</v>
      </c>
      <c r="M109">
        <v>2241.6669999999999</v>
      </c>
      <c r="N109">
        <v>2241.6669999999999</v>
      </c>
      <c r="O109">
        <v>2241.6669999999999</v>
      </c>
      <c r="P109">
        <v>2241.6669999999999</v>
      </c>
      <c r="Q109">
        <v>-190.85999999999999</v>
      </c>
      <c r="R109">
        <v>11.41</v>
      </c>
      <c r="S109">
        <v>1563.24</v>
      </c>
      <c r="T109">
        <v>-1060.48</v>
      </c>
      <c r="U109">
        <v>105.41</v>
      </c>
      <c r="V109">
        <v>513.21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s="34">
        <f>SUMPRODUCT(DB_ThemeAcct[[#This Row],[Plan01]:[Plan12]],$E$31:$P$31)/valUnits2</f>
        <v>13.879773999999998</v>
      </c>
      <c r="AD109" s="34">
        <f>SUMPRODUCT(DB_ThemeAcct[[#This Row],[Act01]:[Act12]],$Q$31:$AB$31)/valUnits2</f>
        <v>0.94192999999999993</v>
      </c>
      <c r="AE109" s="34">
        <f>IF(DB_ThemeAcct[[#This Row],[Plan]]&lt;&gt;0,DB_ThemeAcct[[#This Row],[Actual]]/DB_ThemeAcct[[#This Row],[Plan]],"N/A")</f>
        <v>6.7863496912845989E-2</v>
      </c>
      <c r="AF109" s="34">
        <f>DB_ThemeAcct[[#This Row],[Actual]]-DB_ThemeAcct[[#This Row],[Plan]]</f>
        <v>-12.937843999999998</v>
      </c>
    </row>
    <row r="110" spans="3:32" x14ac:dyDescent="0.2">
      <c r="C110" t="s">
        <v>350</v>
      </c>
      <c r="D110" t="s">
        <v>142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 s="34">
        <f>SUMPRODUCT(DB_ThemeAcct[[#This Row],[Plan01]:[Plan12]],$E$31:$P$31)/valUnits2</f>
        <v>0</v>
      </c>
      <c r="AD110" s="34">
        <f>SUMPRODUCT(DB_ThemeAcct[[#This Row],[Act01]:[Act12]],$Q$31:$AB$31)/valUnits2</f>
        <v>0</v>
      </c>
      <c r="AE110" s="34" t="str">
        <f>IF(DB_ThemeAcct[[#This Row],[Plan]]&lt;&gt;0,DB_ThemeAcct[[#This Row],[Actual]]/DB_ThemeAcct[[#This Row],[Plan]],"N/A")</f>
        <v>N/A</v>
      </c>
      <c r="AF110" s="34">
        <f>DB_ThemeAcct[[#This Row],[Actual]]-DB_ThemeAcct[[#This Row],[Plan]]</f>
        <v>0</v>
      </c>
    </row>
    <row r="111" spans="3:32" x14ac:dyDescent="0.2">
      <c r="C111" t="s">
        <v>350</v>
      </c>
      <c r="D111" t="s">
        <v>235</v>
      </c>
      <c r="E111">
        <v>1913.0809999999999</v>
      </c>
      <c r="F111">
        <v>6054.3390000000009</v>
      </c>
      <c r="G111">
        <v>2058.8769999999995</v>
      </c>
      <c r="H111">
        <v>8464.6180000000004</v>
      </c>
      <c r="I111">
        <v>-1981.9860000000001</v>
      </c>
      <c r="J111">
        <v>250</v>
      </c>
      <c r="K111">
        <v>250</v>
      </c>
      <c r="L111">
        <v>250</v>
      </c>
      <c r="M111">
        <v>250</v>
      </c>
      <c r="N111">
        <v>250</v>
      </c>
      <c r="O111">
        <v>250</v>
      </c>
      <c r="P111">
        <v>250</v>
      </c>
      <c r="Q111">
        <v>1808.78</v>
      </c>
      <c r="R111">
        <v>5959.5199999999995</v>
      </c>
      <c r="S111">
        <v>3777.4999999999995</v>
      </c>
      <c r="T111">
        <v>7316.9499999999989</v>
      </c>
      <c r="U111">
        <v>-2908.06</v>
      </c>
      <c r="V111">
        <v>147.25000000000003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s="34">
        <f>SUMPRODUCT(DB_ThemeAcct[[#This Row],[Plan01]:[Plan12]],$E$31:$P$31)/valUnits2</f>
        <v>16.758928999999998</v>
      </c>
      <c r="AD111" s="34">
        <f>SUMPRODUCT(DB_ThemeAcct[[#This Row],[Act01]:[Act12]],$Q$31:$AB$31)/valUnits2</f>
        <v>16.101939999999999</v>
      </c>
      <c r="AE111" s="34">
        <f>IF(DB_ThemeAcct[[#This Row],[Plan]]&lt;&gt;0,DB_ThemeAcct[[#This Row],[Actual]]/DB_ThemeAcct[[#This Row],[Plan]],"N/A")</f>
        <v>0.96079767388476911</v>
      </c>
      <c r="AF111" s="34">
        <f>DB_ThemeAcct[[#This Row],[Actual]]-DB_ThemeAcct[[#This Row],[Plan]]</f>
        <v>-0.65698899999999938</v>
      </c>
    </row>
    <row r="112" spans="3:32" x14ac:dyDescent="0.2">
      <c r="C112" t="s">
        <v>350</v>
      </c>
      <c r="D112" t="s">
        <v>143</v>
      </c>
      <c r="E112">
        <v>2623.5860000000002</v>
      </c>
      <c r="F112">
        <v>93776.43</v>
      </c>
      <c r="G112">
        <v>55598.636999999995</v>
      </c>
      <c r="H112">
        <v>-129812.819</v>
      </c>
      <c r="I112">
        <v>85.521999999999025</v>
      </c>
      <c r="J112">
        <v>0</v>
      </c>
      <c r="Q112">
        <v>2572.29</v>
      </c>
      <c r="R112">
        <v>93767.53</v>
      </c>
      <c r="S112">
        <v>54047.319999999992</v>
      </c>
      <c r="T112">
        <v>-129227.65</v>
      </c>
      <c r="U112">
        <v>1134.7499999999998</v>
      </c>
      <c r="V112">
        <v>1.0600000000000023</v>
      </c>
      <c r="AC112" s="34">
        <f>SUMPRODUCT(DB_ThemeAcct[[#This Row],[Plan01]:[Plan12]],$E$31:$P$31)/valUnits2</f>
        <v>22.271355999999987</v>
      </c>
      <c r="AD112" s="34">
        <f>SUMPRODUCT(DB_ThemeAcct[[#This Row],[Act01]:[Act12]],$Q$31:$AB$31)/valUnits2</f>
        <v>22.29529999999999</v>
      </c>
      <c r="AE112" s="34">
        <f>IF(DB_ThemeAcct[[#This Row],[Plan]]&lt;&gt;0,DB_ThemeAcct[[#This Row],[Actual]]/DB_ThemeAcct[[#This Row],[Plan]],"N/A")</f>
        <v>1.0010751029259288</v>
      </c>
      <c r="AF112" s="34">
        <f>DB_ThemeAcct[[#This Row],[Actual]]-DB_ThemeAcct[[#This Row],[Plan]]</f>
        <v>2.394400000000374E-2</v>
      </c>
    </row>
    <row r="113" spans="3:32" x14ac:dyDescent="0.2">
      <c r="C113" t="s">
        <v>350</v>
      </c>
      <c r="D113" t="s">
        <v>144</v>
      </c>
      <c r="AC113" s="34">
        <f>SUMPRODUCT(DB_ThemeAcct[[#This Row],[Plan01]:[Plan12]],$E$31:$P$31)/valUnits2</f>
        <v>0</v>
      </c>
      <c r="AD113" s="34">
        <f>SUMPRODUCT(DB_ThemeAcct[[#This Row],[Act01]:[Act12]],$Q$31:$AB$31)/valUnits2</f>
        <v>0</v>
      </c>
      <c r="AE113" s="34" t="str">
        <f>IF(DB_ThemeAcct[[#This Row],[Plan]]&lt;&gt;0,DB_ThemeAcct[[#This Row],[Actual]]/DB_ThemeAcct[[#This Row],[Plan]],"N/A")</f>
        <v>N/A</v>
      </c>
      <c r="AF113" s="34">
        <f>DB_ThemeAcct[[#This Row],[Actual]]-DB_ThemeAcct[[#This Row],[Plan]]</f>
        <v>0</v>
      </c>
    </row>
    <row r="114" spans="3:32" x14ac:dyDescent="0.2">
      <c r="C114" t="s">
        <v>351</v>
      </c>
      <c r="D114" t="s">
        <v>140</v>
      </c>
      <c r="E114">
        <v>260285.4029999999</v>
      </c>
      <c r="F114">
        <v>290112.85800000007</v>
      </c>
      <c r="G114">
        <v>330035.40600000019</v>
      </c>
      <c r="H114">
        <v>198970.34899999975</v>
      </c>
      <c r="I114">
        <v>171264.95499999987</v>
      </c>
      <c r="J114">
        <v>255982.98799999987</v>
      </c>
      <c r="K114">
        <v>242312.56499999992</v>
      </c>
      <c r="L114">
        <v>240735.28399999993</v>
      </c>
      <c r="M114">
        <v>240463.28399999993</v>
      </c>
      <c r="N114">
        <v>193164.25299999988</v>
      </c>
      <c r="O114">
        <v>188827.83599999989</v>
      </c>
      <c r="P114">
        <v>163378.73699999985</v>
      </c>
      <c r="Q114">
        <v>230769.02999999994</v>
      </c>
      <c r="R114">
        <v>260540.51000000015</v>
      </c>
      <c r="S114">
        <v>297181.75000000006</v>
      </c>
      <c r="T114">
        <v>164702.03000000014</v>
      </c>
      <c r="U114">
        <v>113788.36999999985</v>
      </c>
      <c r="V114">
        <v>203783.56000000014</v>
      </c>
      <c r="W114">
        <v>61950</v>
      </c>
      <c r="X114">
        <v>0</v>
      </c>
      <c r="Y114">
        <v>0</v>
      </c>
      <c r="Z114">
        <v>0</v>
      </c>
      <c r="AA114">
        <v>0</v>
      </c>
      <c r="AB114">
        <v>0</v>
      </c>
      <c r="AC114" s="34">
        <f>SUMPRODUCT(DB_ThemeAcct[[#This Row],[Plan01]:[Plan12]],$E$31:$P$31)/valUnits2</f>
        <v>1506.6519589999996</v>
      </c>
      <c r="AD114" s="34">
        <f>SUMPRODUCT(DB_ThemeAcct[[#This Row],[Act01]:[Act12]],$Q$31:$AB$31)/valUnits2</f>
        <v>1270.7652500000002</v>
      </c>
      <c r="AE114" s="34">
        <f>IF(DB_ThemeAcct[[#This Row],[Plan]]&lt;&gt;0,DB_ThemeAcct[[#This Row],[Actual]]/DB_ThemeAcct[[#This Row],[Plan]],"N/A")</f>
        <v>0.84343649667003184</v>
      </c>
      <c r="AF114" s="34">
        <f>DB_ThemeAcct[[#This Row],[Actual]]-DB_ThemeAcct[[#This Row],[Plan]]</f>
        <v>-235.88670899999943</v>
      </c>
    </row>
    <row r="115" spans="3:32" x14ac:dyDescent="0.2">
      <c r="C115" t="s">
        <v>351</v>
      </c>
      <c r="D115" t="s">
        <v>141</v>
      </c>
      <c r="E115">
        <v>749.91400000000021</v>
      </c>
      <c r="F115">
        <v>11824.231999999998</v>
      </c>
      <c r="G115">
        <v>3032.1430000000009</v>
      </c>
      <c r="H115">
        <v>-156.55599999999913</v>
      </c>
      <c r="I115">
        <v>7792.9610000000002</v>
      </c>
      <c r="J115">
        <v>4485.2729999999992</v>
      </c>
      <c r="K115">
        <v>3814.5479999999998</v>
      </c>
      <c r="L115">
        <v>4431.2149999999992</v>
      </c>
      <c r="M115">
        <v>4466.6999999999989</v>
      </c>
      <c r="N115">
        <v>3814.5479999999998</v>
      </c>
      <c r="O115">
        <v>4140.6239999999998</v>
      </c>
      <c r="P115">
        <v>3682.5880000000006</v>
      </c>
      <c r="Q115">
        <v>744.68000000000188</v>
      </c>
      <c r="R115">
        <v>11825.959999999997</v>
      </c>
      <c r="S115">
        <v>3023.4800000000009</v>
      </c>
      <c r="T115">
        <v>-183.02999999999929</v>
      </c>
      <c r="U115">
        <v>7757.7200000000012</v>
      </c>
      <c r="V115">
        <v>15562.750000000005</v>
      </c>
      <c r="W115">
        <v>1132.29</v>
      </c>
      <c r="X115">
        <v>0</v>
      </c>
      <c r="Y115">
        <v>0</v>
      </c>
      <c r="Z115">
        <v>0</v>
      </c>
      <c r="AA115">
        <v>0</v>
      </c>
      <c r="AB115">
        <v>0</v>
      </c>
      <c r="AC115" s="34">
        <f>SUMPRODUCT(DB_ThemeAcct[[#This Row],[Plan01]:[Plan12]],$E$31:$P$31)/valUnits2</f>
        <v>27.727967000000003</v>
      </c>
      <c r="AD115" s="34">
        <f>SUMPRODUCT(DB_ThemeAcct[[#This Row],[Act01]:[Act12]],$Q$31:$AB$31)/valUnits2</f>
        <v>38.731560000000009</v>
      </c>
      <c r="AE115" s="34">
        <f>IF(DB_ThemeAcct[[#This Row],[Plan]]&lt;&gt;0,DB_ThemeAcct[[#This Row],[Actual]]/DB_ThemeAcct[[#This Row],[Plan]],"N/A")</f>
        <v>1.3968409584445916</v>
      </c>
      <c r="AF115" s="34">
        <f>DB_ThemeAcct[[#This Row],[Actual]]-DB_ThemeAcct[[#This Row],[Plan]]</f>
        <v>11.003593000000006</v>
      </c>
    </row>
    <row r="116" spans="3:32" x14ac:dyDescent="0.2">
      <c r="C116" t="s">
        <v>351</v>
      </c>
      <c r="D116" t="s">
        <v>237</v>
      </c>
      <c r="E116">
        <v>2762.2650000000003</v>
      </c>
      <c r="F116">
        <v>325.69200000000001</v>
      </c>
      <c r="G116">
        <v>3266.4739999999997</v>
      </c>
      <c r="H116">
        <v>5081.0270000000028</v>
      </c>
      <c r="I116">
        <v>4054.6480000000001</v>
      </c>
      <c r="J116">
        <v>271.75600000000003</v>
      </c>
      <c r="K116">
        <v>285.21699999999998</v>
      </c>
      <c r="L116">
        <v>285.21699999999998</v>
      </c>
      <c r="M116">
        <v>285.21699999999998</v>
      </c>
      <c r="N116">
        <v>285.21699999999998</v>
      </c>
      <c r="O116">
        <v>285.21699999999998</v>
      </c>
      <c r="P116">
        <v>285.21699999999998</v>
      </c>
      <c r="Q116">
        <v>2771.32</v>
      </c>
      <c r="R116">
        <v>325.68</v>
      </c>
      <c r="S116">
        <v>3260.3599999999997</v>
      </c>
      <c r="T116">
        <v>5004.93</v>
      </c>
      <c r="U116">
        <v>4055.0199999999991</v>
      </c>
      <c r="V116">
        <v>551.02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 s="34">
        <f>SUMPRODUCT(DB_ThemeAcct[[#This Row],[Plan01]:[Plan12]],$E$31:$P$31)/valUnits2</f>
        <v>15.761862000000002</v>
      </c>
      <c r="AD116" s="34">
        <f>SUMPRODUCT(DB_ThemeAcct[[#This Row],[Act01]:[Act12]],$Q$31:$AB$31)/valUnits2</f>
        <v>15.96833</v>
      </c>
      <c r="AE116" s="34">
        <f>IF(DB_ThemeAcct[[#This Row],[Plan]]&lt;&gt;0,DB_ThemeAcct[[#This Row],[Actual]]/DB_ThemeAcct[[#This Row],[Plan]],"N/A")</f>
        <v>1.0130992137857822</v>
      </c>
      <c r="AF116" s="34">
        <f>DB_ThemeAcct[[#This Row],[Actual]]-DB_ThemeAcct[[#This Row],[Plan]]</f>
        <v>0.20646799999999743</v>
      </c>
    </row>
    <row r="117" spans="3:32" x14ac:dyDescent="0.2">
      <c r="C117" t="s">
        <v>351</v>
      </c>
      <c r="D117" t="s">
        <v>236</v>
      </c>
      <c r="E117">
        <v>86331.008999999991</v>
      </c>
      <c r="F117">
        <v>12708.287</v>
      </c>
      <c r="G117">
        <v>-52931.05999999999</v>
      </c>
      <c r="H117">
        <v>11727.542000000001</v>
      </c>
      <c r="I117">
        <v>30238.214000000004</v>
      </c>
      <c r="J117">
        <v>11450.291000000001</v>
      </c>
      <c r="K117">
        <v>11450.291000000001</v>
      </c>
      <c r="L117">
        <v>11450.291000000001</v>
      </c>
      <c r="M117">
        <v>11450.291000000001</v>
      </c>
      <c r="N117">
        <v>11450.291000000001</v>
      </c>
      <c r="O117">
        <v>11450.291000000001</v>
      </c>
      <c r="P117">
        <v>11450.291000000001</v>
      </c>
      <c r="Q117">
        <v>75372.34</v>
      </c>
      <c r="R117">
        <v>1748.63</v>
      </c>
      <c r="S117">
        <v>-63888.1</v>
      </c>
      <c r="T117">
        <v>769.66000000000008</v>
      </c>
      <c r="U117">
        <v>19190.659999999996</v>
      </c>
      <c r="V117">
        <v>18139.030000000002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s="34">
        <f>SUMPRODUCT(DB_ThemeAcct[[#This Row],[Plan01]:[Plan12]],$E$31:$P$31)/valUnits2</f>
        <v>99.524282999999997</v>
      </c>
      <c r="AD117" s="34">
        <f>SUMPRODUCT(DB_ThemeAcct[[#This Row],[Act01]:[Act12]],$Q$31:$AB$31)/valUnits2</f>
        <v>51.33222</v>
      </c>
      <c r="AE117" s="34">
        <f>IF(DB_ThemeAcct[[#This Row],[Plan]]&lt;&gt;0,DB_ThemeAcct[[#This Row],[Actual]]/DB_ThemeAcct[[#This Row],[Plan]],"N/A")</f>
        <v>0.51577583332099963</v>
      </c>
      <c r="AF117" s="34">
        <f>DB_ThemeAcct[[#This Row],[Actual]]-DB_ThemeAcct[[#This Row],[Plan]]</f>
        <v>-48.192062999999997</v>
      </c>
    </row>
    <row r="118" spans="3:32" x14ac:dyDescent="0.2">
      <c r="C118" t="s">
        <v>351</v>
      </c>
      <c r="D118" t="s">
        <v>142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1394.9540000000002</v>
      </c>
      <c r="K118">
        <v>1394.9540000000002</v>
      </c>
      <c r="L118">
        <v>1394.9540000000002</v>
      </c>
      <c r="M118">
        <v>1394.9540000000002</v>
      </c>
      <c r="N118">
        <v>1394.9540000000002</v>
      </c>
      <c r="O118">
        <v>1394.9540000000002</v>
      </c>
      <c r="P118">
        <v>1394.9540000000002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 s="34">
        <f>SUMPRODUCT(DB_ThemeAcct[[#This Row],[Plan01]:[Plan12]],$E$31:$P$31)/valUnits2</f>
        <v>1.3949540000000002</v>
      </c>
      <c r="AD118" s="34">
        <f>SUMPRODUCT(DB_ThemeAcct[[#This Row],[Act01]:[Act12]],$Q$31:$AB$31)/valUnits2</f>
        <v>0</v>
      </c>
      <c r="AE118" s="34">
        <f>IF(DB_ThemeAcct[[#This Row],[Plan]]&lt;&gt;0,DB_ThemeAcct[[#This Row],[Actual]]/DB_ThemeAcct[[#This Row],[Plan]],"N/A")</f>
        <v>0</v>
      </c>
      <c r="AF118" s="34">
        <f>DB_ThemeAcct[[#This Row],[Actual]]-DB_ThemeAcct[[#This Row],[Plan]]</f>
        <v>-1.3949540000000002</v>
      </c>
    </row>
    <row r="119" spans="3:32" x14ac:dyDescent="0.2">
      <c r="C119" t="s">
        <v>351</v>
      </c>
      <c r="D119" t="s">
        <v>235</v>
      </c>
      <c r="E119">
        <v>12883.905999999997</v>
      </c>
      <c r="F119">
        <v>15628.655999999997</v>
      </c>
      <c r="G119">
        <v>16329.612999999999</v>
      </c>
      <c r="H119">
        <v>13941.372000000003</v>
      </c>
      <c r="I119">
        <v>16641.18</v>
      </c>
      <c r="J119">
        <v>21331.695999999993</v>
      </c>
      <c r="K119">
        <v>24019.267999999996</v>
      </c>
      <c r="L119">
        <v>22921.89799999999</v>
      </c>
      <c r="M119">
        <v>21788.289999999994</v>
      </c>
      <c r="N119">
        <v>24016.939000000002</v>
      </c>
      <c r="O119">
        <v>21687.366999999998</v>
      </c>
      <c r="P119">
        <v>16747.085999999999</v>
      </c>
      <c r="Q119">
        <v>9477.73</v>
      </c>
      <c r="R119">
        <v>9454.5300000000007</v>
      </c>
      <c r="S119">
        <v>13473.000000000002</v>
      </c>
      <c r="T119">
        <v>16672.48</v>
      </c>
      <c r="U119">
        <v>10058.109999999999</v>
      </c>
      <c r="V119">
        <v>16668.479999999996</v>
      </c>
      <c r="W119">
        <v>515.36</v>
      </c>
      <c r="X119">
        <v>0</v>
      </c>
      <c r="Y119">
        <v>0</v>
      </c>
      <c r="Z119">
        <v>0</v>
      </c>
      <c r="AA119">
        <v>0</v>
      </c>
      <c r="AB119">
        <v>0</v>
      </c>
      <c r="AC119" s="34">
        <f>SUMPRODUCT(DB_ThemeAcct[[#This Row],[Plan01]:[Plan12]],$E$31:$P$31)/valUnits2</f>
        <v>96.756422999999998</v>
      </c>
      <c r="AD119" s="34">
        <f>SUMPRODUCT(DB_ThemeAcct[[#This Row],[Act01]:[Act12]],$Q$31:$AB$31)/valUnits2</f>
        <v>75.804330000000007</v>
      </c>
      <c r="AE119" s="34">
        <f>IF(DB_ThemeAcct[[#This Row],[Plan]]&lt;&gt;0,DB_ThemeAcct[[#This Row],[Actual]]/DB_ThemeAcct[[#This Row],[Plan]],"N/A")</f>
        <v>0.78345527510871305</v>
      </c>
      <c r="AF119" s="34">
        <f>DB_ThemeAcct[[#This Row],[Actual]]-DB_ThemeAcct[[#This Row],[Plan]]</f>
        <v>-20.952092999999991</v>
      </c>
    </row>
    <row r="120" spans="3:32" x14ac:dyDescent="0.2">
      <c r="C120" t="s">
        <v>351</v>
      </c>
      <c r="D120" t="s">
        <v>143</v>
      </c>
      <c r="E120">
        <v>21774.497999999992</v>
      </c>
      <c r="F120">
        <v>17378.392000000003</v>
      </c>
      <c r="G120">
        <v>13027.796</v>
      </c>
      <c r="H120">
        <v>201529.42499999999</v>
      </c>
      <c r="I120">
        <v>72090.397999999972</v>
      </c>
      <c r="J120">
        <v>63955.003000000012</v>
      </c>
      <c r="K120">
        <v>61939.851000000002</v>
      </c>
      <c r="L120">
        <v>64855.114999999998</v>
      </c>
      <c r="M120">
        <v>61673.003999999994</v>
      </c>
      <c r="N120">
        <v>61644.496999999996</v>
      </c>
      <c r="O120">
        <v>61591.705000000002</v>
      </c>
      <c r="P120">
        <v>54645.451999999997</v>
      </c>
      <c r="Q120">
        <v>10725.679999999998</v>
      </c>
      <c r="R120">
        <v>6551.3200000000015</v>
      </c>
      <c r="S120">
        <v>3687.0700000000011</v>
      </c>
      <c r="T120">
        <v>187071.46999999986</v>
      </c>
      <c r="U120">
        <v>53537.459999999926</v>
      </c>
      <c r="V120">
        <v>59458.980000000018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 s="34">
        <f>SUMPRODUCT(DB_ThemeAcct[[#This Row],[Plan01]:[Plan12]],$E$31:$P$31)/valUnits2</f>
        <v>389.75551200000001</v>
      </c>
      <c r="AD120" s="34">
        <f>SUMPRODUCT(DB_ThemeAcct[[#This Row],[Act01]:[Act12]],$Q$31:$AB$31)/valUnits2</f>
        <v>321.03197999999981</v>
      </c>
      <c r="AE120" s="34">
        <f>IF(DB_ThemeAcct[[#This Row],[Plan]]&lt;&gt;0,DB_ThemeAcct[[#This Row],[Actual]]/DB_ThemeAcct[[#This Row],[Plan]],"N/A")</f>
        <v>0.82367527877322178</v>
      </c>
      <c r="AF120" s="34">
        <f>DB_ThemeAcct[[#This Row],[Actual]]-DB_ThemeAcct[[#This Row],[Plan]]</f>
        <v>-68.723532000000205</v>
      </c>
    </row>
    <row r="121" spans="3:32" x14ac:dyDescent="0.2">
      <c r="C121" t="s">
        <v>351</v>
      </c>
      <c r="D121" t="s">
        <v>144</v>
      </c>
      <c r="AC121" s="34">
        <f>SUMPRODUCT(DB_ThemeAcct[[#This Row],[Plan01]:[Plan12]],$E$31:$P$31)/valUnits2</f>
        <v>0</v>
      </c>
      <c r="AD121" s="34">
        <f>SUMPRODUCT(DB_ThemeAcct[[#This Row],[Act01]:[Act12]],$Q$31:$AB$31)/valUnits2</f>
        <v>0</v>
      </c>
      <c r="AE121" s="34" t="str">
        <f>IF(DB_ThemeAcct[[#This Row],[Plan]]&lt;&gt;0,DB_ThemeAcct[[#This Row],[Actual]]/DB_ThemeAcct[[#This Row],[Plan]],"N/A")</f>
        <v>N/A</v>
      </c>
      <c r="AF121" s="34">
        <f>DB_ThemeAcct[[#This Row],[Actual]]-DB_ThemeAcct[[#This Row],[Plan]]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F800"/>
  <sheetViews>
    <sheetView workbookViewId="0">
      <selection activeCell="B6" sqref="B6:F145"/>
    </sheetView>
  </sheetViews>
  <sheetFormatPr defaultRowHeight="12.75" x14ac:dyDescent="0.2"/>
  <cols>
    <col min="2" max="2" width="11.85546875" customWidth="1"/>
    <col min="3" max="3" width="18.42578125" customWidth="1"/>
    <col min="4" max="4" width="22.140625" customWidth="1"/>
    <col min="5" max="5" width="21.42578125" customWidth="1"/>
    <col min="6" max="6" width="26.7109375" customWidth="1"/>
  </cols>
  <sheetData>
    <row r="5" spans="1:6" x14ac:dyDescent="0.2">
      <c r="A5" s="6" t="s">
        <v>42</v>
      </c>
      <c r="B5" t="s">
        <v>43</v>
      </c>
      <c r="C5" t="s">
        <v>44</v>
      </c>
      <c r="D5" t="s">
        <v>83</v>
      </c>
      <c r="E5" t="s">
        <v>84</v>
      </c>
      <c r="F5" t="s">
        <v>85</v>
      </c>
    </row>
    <row r="6" spans="1:6" x14ac:dyDescent="0.2">
      <c r="A6">
        <f>SUBTOTAL(3,$B$6:B6)</f>
        <v>1</v>
      </c>
      <c r="B6" t="s">
        <v>1</v>
      </c>
      <c r="C6" t="s">
        <v>856</v>
      </c>
      <c r="D6">
        <v>747784.446</v>
      </c>
      <c r="E6">
        <v>7445062.6239999989</v>
      </c>
      <c r="F6">
        <v>8192847.0699999994</v>
      </c>
    </row>
    <row r="7" spans="1:6" hidden="1" x14ac:dyDescent="0.2">
      <c r="A7">
        <f>SUBTOTAL(3,$B$6:B7)</f>
        <v>1</v>
      </c>
      <c r="B7" t="s">
        <v>347</v>
      </c>
      <c r="C7" t="s">
        <v>856</v>
      </c>
      <c r="D7">
        <v>586379.67500000005</v>
      </c>
      <c r="E7">
        <v>6983090.3080000002</v>
      </c>
      <c r="F7">
        <v>7569469.9830000009</v>
      </c>
    </row>
    <row r="8" spans="1:6" x14ac:dyDescent="0.2">
      <c r="A8">
        <f>SUBTOTAL(3,$B$6:B8)</f>
        <v>2</v>
      </c>
      <c r="B8" t="s">
        <v>1</v>
      </c>
      <c r="C8" t="s">
        <v>368</v>
      </c>
      <c r="D8">
        <v>314945.19000000006</v>
      </c>
      <c r="E8">
        <v>3151916.2749999999</v>
      </c>
      <c r="F8">
        <v>3466861.4649999989</v>
      </c>
    </row>
    <row r="9" spans="1:6" hidden="1" x14ac:dyDescent="0.2">
      <c r="A9">
        <f>SUBTOTAL(3,$B$6:B9)</f>
        <v>2</v>
      </c>
      <c r="B9" t="s">
        <v>343</v>
      </c>
      <c r="C9" t="s">
        <v>368</v>
      </c>
      <c r="D9">
        <v>281527.92000000004</v>
      </c>
      <c r="E9">
        <v>2899238.395</v>
      </c>
      <c r="F9">
        <v>3180766.314999999</v>
      </c>
    </row>
    <row r="10" spans="1:6" x14ac:dyDescent="0.2">
      <c r="A10">
        <f>SUBTOTAL(3,$B$6:B10)</f>
        <v>3</v>
      </c>
      <c r="B10" t="s">
        <v>1</v>
      </c>
      <c r="C10" t="s">
        <v>911</v>
      </c>
      <c r="D10">
        <v>784899.6100000008</v>
      </c>
      <c r="E10">
        <v>2413888.5240000039</v>
      </c>
      <c r="F10">
        <v>3198788.1340000052</v>
      </c>
    </row>
    <row r="11" spans="1:6" hidden="1" x14ac:dyDescent="0.2">
      <c r="A11">
        <f>SUBTOTAL(3,$B$6:B11)</f>
        <v>3</v>
      </c>
      <c r="B11" t="s">
        <v>343</v>
      </c>
      <c r="C11" t="s">
        <v>911</v>
      </c>
      <c r="D11">
        <v>718744.90000000072</v>
      </c>
      <c r="E11">
        <v>2359640.5580000039</v>
      </c>
      <c r="F11">
        <v>3078385.4580000052</v>
      </c>
    </row>
    <row r="12" spans="1:6" x14ac:dyDescent="0.2">
      <c r="A12">
        <f>SUBTOTAL(3,$B$6:B12)</f>
        <v>4</v>
      </c>
      <c r="B12" t="s">
        <v>1</v>
      </c>
      <c r="C12" t="s">
        <v>884</v>
      </c>
      <c r="D12">
        <v>-155.34999999999991</v>
      </c>
      <c r="E12">
        <v>623412.99599999981</v>
      </c>
      <c r="F12">
        <v>623257.64599999995</v>
      </c>
    </row>
    <row r="13" spans="1:6" hidden="1" x14ac:dyDescent="0.2">
      <c r="A13">
        <f>SUBTOTAL(3,$B$6:B13)</f>
        <v>4</v>
      </c>
      <c r="B13" t="s">
        <v>351</v>
      </c>
      <c r="C13" t="s">
        <v>856</v>
      </c>
      <c r="D13">
        <v>137810.86200000002</v>
      </c>
      <c r="E13">
        <v>461972.31599999894</v>
      </c>
      <c r="F13">
        <v>599783.17799999868</v>
      </c>
    </row>
    <row r="14" spans="1:6" x14ac:dyDescent="0.2">
      <c r="A14">
        <f>SUBTOTAL(3,$B$6:B14)</f>
        <v>5</v>
      </c>
      <c r="B14" t="s">
        <v>1</v>
      </c>
      <c r="C14" t="s">
        <v>883</v>
      </c>
      <c r="D14">
        <v>418893.17300000001</v>
      </c>
      <c r="E14">
        <v>363119.70000000007</v>
      </c>
      <c r="F14">
        <v>782012.87299999991</v>
      </c>
    </row>
    <row r="15" spans="1:6" hidden="1" x14ac:dyDescent="0.2">
      <c r="A15">
        <f>SUBTOTAL(3,$B$6:B15)</f>
        <v>5</v>
      </c>
      <c r="B15" t="s">
        <v>343</v>
      </c>
      <c r="C15" t="s">
        <v>883</v>
      </c>
      <c r="D15">
        <v>382432.55</v>
      </c>
      <c r="E15">
        <v>352656.85200000007</v>
      </c>
      <c r="F15">
        <v>735089.40199999989</v>
      </c>
    </row>
    <row r="16" spans="1:6" hidden="1" x14ac:dyDescent="0.2">
      <c r="A16">
        <f>SUBTOTAL(3,$B$6:B16)</f>
        <v>5</v>
      </c>
      <c r="B16" t="s">
        <v>351</v>
      </c>
      <c r="C16" t="s">
        <v>368</v>
      </c>
      <c r="D16">
        <v>33417.269999999997</v>
      </c>
      <c r="E16">
        <v>252677.87999999998</v>
      </c>
      <c r="F16">
        <v>286095.14999999997</v>
      </c>
    </row>
    <row r="17" spans="1:6" hidden="1" x14ac:dyDescent="0.2">
      <c r="A17">
        <f>SUBTOTAL(3,$B$6:B17)</f>
        <v>5</v>
      </c>
      <c r="B17" t="s">
        <v>348</v>
      </c>
      <c r="C17" t="s">
        <v>884</v>
      </c>
      <c r="D17">
        <v>1.1368683772161603E-13</v>
      </c>
      <c r="E17">
        <v>201345.99599999998</v>
      </c>
      <c r="F17">
        <v>201345.99599999998</v>
      </c>
    </row>
    <row r="18" spans="1:6" hidden="1" x14ac:dyDescent="0.2">
      <c r="A18">
        <f>SUBTOTAL(3,$B$6:B18)</f>
        <v>5</v>
      </c>
      <c r="B18" t="s">
        <v>342</v>
      </c>
      <c r="C18" t="s">
        <v>884</v>
      </c>
      <c r="D18">
        <v>-72.430000000000007</v>
      </c>
      <c r="E18">
        <v>179999.99999999994</v>
      </c>
      <c r="F18">
        <v>179927.56999999995</v>
      </c>
    </row>
    <row r="19" spans="1:6" x14ac:dyDescent="0.2">
      <c r="A19">
        <f>SUBTOTAL(3,$B$6:B19)</f>
        <v>6</v>
      </c>
      <c r="B19" t="s">
        <v>1</v>
      </c>
      <c r="C19" t="s">
        <v>878</v>
      </c>
      <c r="D19">
        <v>13898.802999999987</v>
      </c>
      <c r="E19">
        <v>131775.81999999989</v>
      </c>
      <c r="F19">
        <v>145674.62299999996</v>
      </c>
    </row>
    <row r="20" spans="1:6" hidden="1" x14ac:dyDescent="0.2">
      <c r="A20">
        <f>SUBTOTAL(3,$B$6:B20)</f>
        <v>6</v>
      </c>
      <c r="B20" t="s">
        <v>351</v>
      </c>
      <c r="C20" t="s">
        <v>884</v>
      </c>
      <c r="D20">
        <v>0</v>
      </c>
      <c r="E20">
        <v>129999.99600000001</v>
      </c>
      <c r="F20">
        <v>129999.99600000001</v>
      </c>
    </row>
    <row r="21" spans="1:6" hidden="1" x14ac:dyDescent="0.2">
      <c r="A21">
        <f>SUBTOTAL(3,$B$6:B21)</f>
        <v>6</v>
      </c>
      <c r="B21" t="s">
        <v>342</v>
      </c>
      <c r="C21" t="s">
        <v>878</v>
      </c>
      <c r="D21">
        <v>13307.670999999988</v>
      </c>
      <c r="E21">
        <v>117371.18999999986</v>
      </c>
      <c r="F21">
        <v>130678.86099999993</v>
      </c>
    </row>
    <row r="22" spans="1:6" x14ac:dyDescent="0.2">
      <c r="A22">
        <f>SUBTOTAL(3,$B$6:B22)</f>
        <v>7</v>
      </c>
      <c r="B22" t="s">
        <v>1</v>
      </c>
      <c r="C22" t="s">
        <v>892</v>
      </c>
      <c r="D22">
        <v>17918.331000000002</v>
      </c>
      <c r="E22">
        <v>104309.60500000003</v>
      </c>
      <c r="F22">
        <v>122227.93600000002</v>
      </c>
    </row>
    <row r="23" spans="1:6" hidden="1" x14ac:dyDescent="0.2">
      <c r="A23">
        <f>SUBTOTAL(3,$B$6:B23)</f>
        <v>7</v>
      </c>
      <c r="B23" t="s">
        <v>342</v>
      </c>
      <c r="C23" t="s">
        <v>892</v>
      </c>
      <c r="D23">
        <v>11371.966000000002</v>
      </c>
      <c r="E23">
        <v>95388.757000000027</v>
      </c>
      <c r="F23">
        <v>106760.72300000001</v>
      </c>
    </row>
    <row r="24" spans="1:6" hidden="1" x14ac:dyDescent="0.2">
      <c r="A24">
        <f>SUBTOTAL(3,$B$6:B24)</f>
        <v>7</v>
      </c>
      <c r="B24" t="s">
        <v>343</v>
      </c>
      <c r="C24" t="s">
        <v>884</v>
      </c>
      <c r="D24">
        <v>0</v>
      </c>
      <c r="E24">
        <v>57000</v>
      </c>
      <c r="F24">
        <v>57000</v>
      </c>
    </row>
    <row r="25" spans="1:6" hidden="1" x14ac:dyDescent="0.2">
      <c r="A25">
        <f>SUBTOTAL(3,$B$6:B25)</f>
        <v>7</v>
      </c>
      <c r="B25" t="s">
        <v>351</v>
      </c>
      <c r="C25" t="s">
        <v>911</v>
      </c>
      <c r="D25">
        <v>60578.41</v>
      </c>
      <c r="E25">
        <v>47562.530999999981</v>
      </c>
      <c r="F25">
        <v>108140.94100000002</v>
      </c>
    </row>
    <row r="26" spans="1:6" x14ac:dyDescent="0.2">
      <c r="A26">
        <f>SUBTOTAL(3,$B$6:B26)</f>
        <v>8</v>
      </c>
      <c r="B26" t="s">
        <v>1</v>
      </c>
      <c r="C26" t="s">
        <v>876</v>
      </c>
      <c r="D26">
        <v>222934.49799999993</v>
      </c>
      <c r="E26">
        <v>46932.275999999998</v>
      </c>
      <c r="F26">
        <v>269866.77399999992</v>
      </c>
    </row>
    <row r="27" spans="1:6" hidden="1" x14ac:dyDescent="0.2">
      <c r="A27">
        <f>SUBTOTAL(3,$B$6:B27)</f>
        <v>8</v>
      </c>
      <c r="B27" t="s">
        <v>344</v>
      </c>
      <c r="C27" t="s">
        <v>876</v>
      </c>
      <c r="D27">
        <v>215116.52799999993</v>
      </c>
      <c r="E27">
        <v>44033.076000000001</v>
      </c>
      <c r="F27">
        <v>259149.60399999993</v>
      </c>
    </row>
    <row r="28" spans="1:6" x14ac:dyDescent="0.2">
      <c r="A28">
        <f>SUBTOTAL(3,$B$6:B28)</f>
        <v>9</v>
      </c>
      <c r="B28" t="s">
        <v>1</v>
      </c>
      <c r="C28" t="s">
        <v>854</v>
      </c>
      <c r="D28">
        <v>15343.14</v>
      </c>
      <c r="E28">
        <v>30467.751999999993</v>
      </c>
      <c r="F28">
        <v>45810.891999999978</v>
      </c>
    </row>
    <row r="29" spans="1:6" hidden="1" x14ac:dyDescent="0.2">
      <c r="A29">
        <f>SUBTOTAL(3,$B$6:B29)</f>
        <v>9</v>
      </c>
      <c r="B29" t="s">
        <v>349</v>
      </c>
      <c r="C29" t="s">
        <v>884</v>
      </c>
      <c r="D29">
        <v>0</v>
      </c>
      <c r="E29">
        <v>28167</v>
      </c>
      <c r="F29">
        <v>28166.999999999996</v>
      </c>
    </row>
    <row r="30" spans="1:6" hidden="1" x14ac:dyDescent="0.2">
      <c r="A30">
        <f>SUBTOTAL(3,$B$6:B30)</f>
        <v>9</v>
      </c>
      <c r="B30" t="s">
        <v>350</v>
      </c>
      <c r="C30" t="s">
        <v>884</v>
      </c>
      <c r="D30">
        <v>-82.92000000000003</v>
      </c>
      <c r="E30">
        <v>26900.004000000012</v>
      </c>
      <c r="F30">
        <v>26817.08400000001</v>
      </c>
    </row>
    <row r="31" spans="1:6" hidden="1" x14ac:dyDescent="0.2">
      <c r="A31">
        <f>SUBTOTAL(3,$B$6:B31)</f>
        <v>9</v>
      </c>
      <c r="B31" t="s">
        <v>351</v>
      </c>
      <c r="C31" t="s">
        <v>854</v>
      </c>
      <c r="D31">
        <v>3303.0229999999997</v>
      </c>
      <c r="E31">
        <v>17301.598999999991</v>
      </c>
      <c r="F31">
        <v>20604.621999999978</v>
      </c>
    </row>
    <row r="32" spans="1:6" hidden="1" x14ac:dyDescent="0.2">
      <c r="A32">
        <f>SUBTOTAL(3,$B$6:B32)</f>
        <v>9</v>
      </c>
      <c r="B32" t="s">
        <v>351</v>
      </c>
      <c r="C32" t="s">
        <v>878</v>
      </c>
      <c r="D32">
        <v>591.13199999999995</v>
      </c>
      <c r="E32">
        <v>14404.630000000025</v>
      </c>
      <c r="F32">
        <v>14995.762000000024</v>
      </c>
    </row>
    <row r="33" spans="1:6" hidden="1" x14ac:dyDescent="0.2">
      <c r="A33">
        <f>SUBTOTAL(3,$B$6:B33)</f>
        <v>9</v>
      </c>
      <c r="B33" t="s">
        <v>349</v>
      </c>
      <c r="C33" t="s">
        <v>854</v>
      </c>
      <c r="D33">
        <v>12040.117</v>
      </c>
      <c r="E33">
        <v>13166.153000000002</v>
      </c>
      <c r="F33">
        <v>25206.270000000004</v>
      </c>
    </row>
    <row r="34" spans="1:6" hidden="1" x14ac:dyDescent="0.2">
      <c r="A34">
        <f>SUBTOTAL(3,$B$6:B34)</f>
        <v>9</v>
      </c>
      <c r="B34" t="s">
        <v>351</v>
      </c>
      <c r="C34" t="s">
        <v>883</v>
      </c>
      <c r="D34">
        <v>31977.786999999989</v>
      </c>
      <c r="E34">
        <v>10462.848</v>
      </c>
      <c r="F34">
        <v>42440.635000000009</v>
      </c>
    </row>
    <row r="35" spans="1:6" x14ac:dyDescent="0.2">
      <c r="A35">
        <f>SUBTOTAL(3,$B$6:B35)</f>
        <v>10</v>
      </c>
      <c r="B35" t="s">
        <v>1</v>
      </c>
      <c r="C35" t="s">
        <v>932</v>
      </c>
      <c r="D35">
        <v>18531.713</v>
      </c>
      <c r="E35">
        <v>9121.3289999999997</v>
      </c>
      <c r="F35">
        <v>27653.042000000005</v>
      </c>
    </row>
    <row r="36" spans="1:6" hidden="1" x14ac:dyDescent="0.2">
      <c r="A36">
        <f>SUBTOTAL(3,$B$6:B36)</f>
        <v>10</v>
      </c>
      <c r="B36" t="s">
        <v>351</v>
      </c>
      <c r="C36" t="s">
        <v>932</v>
      </c>
      <c r="D36">
        <v>1867.51</v>
      </c>
      <c r="E36">
        <v>9121.3289999999997</v>
      </c>
      <c r="F36">
        <v>10988.839000000004</v>
      </c>
    </row>
    <row r="37" spans="1:6" hidden="1" x14ac:dyDescent="0.2">
      <c r="A37">
        <f>SUBTOTAL(3,$B$6:B37)</f>
        <v>10</v>
      </c>
      <c r="B37" t="s">
        <v>351</v>
      </c>
      <c r="C37" t="s">
        <v>892</v>
      </c>
      <c r="D37">
        <v>6546.3650000000007</v>
      </c>
      <c r="E37">
        <v>8920.8480000000018</v>
      </c>
      <c r="F37">
        <v>15467.213000000003</v>
      </c>
    </row>
    <row r="38" spans="1:6" hidden="1" x14ac:dyDescent="0.2">
      <c r="A38">
        <f>SUBTOTAL(3,$B$6:B38)</f>
        <v>10</v>
      </c>
      <c r="B38" t="s">
        <v>350</v>
      </c>
      <c r="C38" t="s">
        <v>911</v>
      </c>
      <c r="D38">
        <v>5576.3</v>
      </c>
      <c r="E38">
        <v>6685.4350000000004</v>
      </c>
      <c r="F38">
        <v>12261.735000000002</v>
      </c>
    </row>
    <row r="39" spans="1:6" x14ac:dyDescent="0.2">
      <c r="A39">
        <f>SUBTOTAL(3,$B$6:B39)</f>
        <v>11</v>
      </c>
      <c r="B39" t="s">
        <v>1</v>
      </c>
      <c r="C39" t="s">
        <v>848</v>
      </c>
      <c r="D39">
        <v>6699.213999999999</v>
      </c>
      <c r="E39">
        <v>3891.027000000001</v>
      </c>
      <c r="F39">
        <v>10590.240999999996</v>
      </c>
    </row>
    <row r="40" spans="1:6" hidden="1" x14ac:dyDescent="0.2">
      <c r="A40">
        <f>SUBTOTAL(3,$B$6:B40)</f>
        <v>11</v>
      </c>
      <c r="B40" t="s">
        <v>345</v>
      </c>
      <c r="C40" t="s">
        <v>848</v>
      </c>
      <c r="D40">
        <v>6023.811999999999</v>
      </c>
      <c r="E40">
        <v>3891.027000000001</v>
      </c>
      <c r="F40">
        <v>9914.8389999999981</v>
      </c>
    </row>
    <row r="41" spans="1:6" hidden="1" x14ac:dyDescent="0.2">
      <c r="A41">
        <f>SUBTOTAL(3,$B$6:B41)</f>
        <v>11</v>
      </c>
      <c r="B41" t="s">
        <v>351</v>
      </c>
      <c r="C41" t="s">
        <v>876</v>
      </c>
      <c r="D41">
        <v>7675.8899999999994</v>
      </c>
      <c r="E41">
        <v>2472.96</v>
      </c>
      <c r="F41">
        <v>10148.849999999989</v>
      </c>
    </row>
    <row r="42" spans="1:6" hidden="1" x14ac:dyDescent="0.2">
      <c r="A42">
        <f>SUBTOTAL(3,$B$6:B42)</f>
        <v>11</v>
      </c>
      <c r="B42" t="s">
        <v>350</v>
      </c>
      <c r="C42" t="s">
        <v>876</v>
      </c>
      <c r="D42">
        <v>142.07999999999998</v>
      </c>
      <c r="E42">
        <v>426.24</v>
      </c>
      <c r="F42">
        <v>568.31999999999994</v>
      </c>
    </row>
    <row r="43" spans="1:6" x14ac:dyDescent="0.2">
      <c r="A43">
        <f>SUBTOTAL(3,$B$6:B43)</f>
        <v>12</v>
      </c>
      <c r="B43" t="s">
        <v>1</v>
      </c>
      <c r="C43" t="s">
        <v>841</v>
      </c>
      <c r="D43">
        <v>9068.6700000000019</v>
      </c>
      <c r="E43">
        <v>0</v>
      </c>
      <c r="F43">
        <v>9068.6700000000019</v>
      </c>
    </row>
    <row r="44" spans="1:6" x14ac:dyDescent="0.2">
      <c r="A44">
        <f>SUBTOTAL(3,$B$6:B44)</f>
        <v>13</v>
      </c>
      <c r="B44" t="s">
        <v>1</v>
      </c>
      <c r="C44" t="s">
        <v>842</v>
      </c>
      <c r="D44">
        <v>278771.99699999992</v>
      </c>
      <c r="E44">
        <v>0</v>
      </c>
      <c r="F44">
        <v>278771.99699999992</v>
      </c>
    </row>
    <row r="45" spans="1:6" x14ac:dyDescent="0.2">
      <c r="A45">
        <f>SUBTOTAL(3,$B$6:B45)</f>
        <v>14</v>
      </c>
      <c r="B45" t="s">
        <v>1</v>
      </c>
      <c r="C45" t="s">
        <v>843</v>
      </c>
      <c r="D45">
        <v>683661.99699999951</v>
      </c>
      <c r="E45">
        <v>0</v>
      </c>
      <c r="F45">
        <v>683661.99699999951</v>
      </c>
    </row>
    <row r="46" spans="1:6" x14ac:dyDescent="0.2">
      <c r="A46">
        <f>SUBTOTAL(3,$B$6:B46)</f>
        <v>15</v>
      </c>
      <c r="B46" t="s">
        <v>1</v>
      </c>
      <c r="C46" t="s">
        <v>844</v>
      </c>
      <c r="D46">
        <v>47542.697999999997</v>
      </c>
      <c r="E46">
        <v>0</v>
      </c>
      <c r="F46">
        <v>47542.697999999997</v>
      </c>
    </row>
    <row r="47" spans="1:6" x14ac:dyDescent="0.2">
      <c r="A47">
        <f>SUBTOTAL(3,$B$6:B47)</f>
        <v>16</v>
      </c>
      <c r="B47" t="s">
        <v>1</v>
      </c>
      <c r="C47" t="s">
        <v>845</v>
      </c>
      <c r="D47">
        <v>12135.929999999998</v>
      </c>
      <c r="E47">
        <v>0</v>
      </c>
      <c r="F47">
        <v>12135.929999999998</v>
      </c>
    </row>
    <row r="48" spans="1:6" x14ac:dyDescent="0.2">
      <c r="A48">
        <f>SUBTOTAL(3,$B$6:B48)</f>
        <v>17</v>
      </c>
      <c r="B48" t="s">
        <v>1</v>
      </c>
      <c r="C48" t="s">
        <v>357</v>
      </c>
      <c r="D48">
        <v>53761.634000000005</v>
      </c>
      <c r="E48">
        <v>0</v>
      </c>
      <c r="F48">
        <v>53761.634000000005</v>
      </c>
    </row>
    <row r="49" spans="1:6" x14ac:dyDescent="0.2">
      <c r="A49">
        <f>SUBTOTAL(3,$B$6:B49)</f>
        <v>18</v>
      </c>
      <c r="B49" t="s">
        <v>1</v>
      </c>
      <c r="C49" t="s">
        <v>846</v>
      </c>
      <c r="D49">
        <v>47264.698999999986</v>
      </c>
      <c r="E49">
        <v>0</v>
      </c>
      <c r="F49">
        <v>47264.698999999986</v>
      </c>
    </row>
    <row r="50" spans="1:6" x14ac:dyDescent="0.2">
      <c r="A50">
        <f>SUBTOTAL(3,$B$6:B50)</f>
        <v>19</v>
      </c>
      <c r="B50" t="s">
        <v>1</v>
      </c>
      <c r="C50" t="s">
        <v>847</v>
      </c>
      <c r="D50">
        <v>12423.094000000001</v>
      </c>
      <c r="E50">
        <v>0</v>
      </c>
      <c r="F50">
        <v>12423.094000000001</v>
      </c>
    </row>
    <row r="51" spans="1:6" x14ac:dyDescent="0.2">
      <c r="A51">
        <f>SUBTOTAL(3,$B$6:B51)</f>
        <v>20</v>
      </c>
      <c r="B51" t="s">
        <v>1</v>
      </c>
      <c r="C51" t="s">
        <v>849</v>
      </c>
      <c r="D51">
        <v>30.515999999999998</v>
      </c>
      <c r="E51">
        <v>0</v>
      </c>
      <c r="F51">
        <v>30.515999999999998</v>
      </c>
    </row>
    <row r="52" spans="1:6" x14ac:dyDescent="0.2">
      <c r="A52">
        <f>SUBTOTAL(3,$B$6:B52)</f>
        <v>21</v>
      </c>
      <c r="B52" t="s">
        <v>1</v>
      </c>
      <c r="C52" t="s">
        <v>366</v>
      </c>
      <c r="D52">
        <v>4077.9189999999999</v>
      </c>
      <c r="E52">
        <v>0</v>
      </c>
      <c r="F52">
        <v>4077.9189999999999</v>
      </c>
    </row>
    <row r="53" spans="1:6" x14ac:dyDescent="0.2">
      <c r="A53">
        <f>SUBTOTAL(3,$B$6:B53)</f>
        <v>22</v>
      </c>
      <c r="B53" t="s">
        <v>1</v>
      </c>
      <c r="C53" t="s">
        <v>353</v>
      </c>
      <c r="D53">
        <v>520660.78499999992</v>
      </c>
      <c r="E53">
        <v>0</v>
      </c>
      <c r="F53">
        <v>520660.78499999992</v>
      </c>
    </row>
    <row r="54" spans="1:6" x14ac:dyDescent="0.2">
      <c r="A54">
        <f>SUBTOTAL(3,$B$6:B54)</f>
        <v>23</v>
      </c>
      <c r="B54" t="s">
        <v>1</v>
      </c>
      <c r="C54" t="s">
        <v>850</v>
      </c>
      <c r="D54">
        <v>229235.94600000005</v>
      </c>
      <c r="E54">
        <v>0</v>
      </c>
      <c r="F54">
        <v>229235.94600000005</v>
      </c>
    </row>
    <row r="55" spans="1:6" x14ac:dyDescent="0.2">
      <c r="A55">
        <f>SUBTOTAL(3,$B$6:B55)</f>
        <v>24</v>
      </c>
      <c r="B55" t="s">
        <v>1</v>
      </c>
      <c r="C55" t="s">
        <v>851</v>
      </c>
      <c r="D55">
        <v>39864.651999999973</v>
      </c>
      <c r="E55">
        <v>0</v>
      </c>
      <c r="F55">
        <v>39864.651999999973</v>
      </c>
    </row>
    <row r="56" spans="1:6" x14ac:dyDescent="0.2">
      <c r="A56">
        <f>SUBTOTAL(3,$B$6:B56)</f>
        <v>25</v>
      </c>
      <c r="B56" t="s">
        <v>1</v>
      </c>
      <c r="C56" t="s">
        <v>852</v>
      </c>
      <c r="D56">
        <v>-118.923</v>
      </c>
      <c r="E56">
        <v>0</v>
      </c>
      <c r="F56">
        <v>-118.923</v>
      </c>
    </row>
    <row r="57" spans="1:6" x14ac:dyDescent="0.2">
      <c r="A57">
        <f>SUBTOTAL(3,$B$6:B57)</f>
        <v>26</v>
      </c>
      <c r="B57" t="s">
        <v>1</v>
      </c>
      <c r="C57" t="s">
        <v>853</v>
      </c>
      <c r="D57">
        <v>12099.861000000003</v>
      </c>
      <c r="E57">
        <v>0</v>
      </c>
      <c r="F57">
        <v>12099.861000000003</v>
      </c>
    </row>
    <row r="58" spans="1:6" x14ac:dyDescent="0.2">
      <c r="A58">
        <f>SUBTOTAL(3,$B$6:B58)</f>
        <v>27</v>
      </c>
      <c r="B58" t="s">
        <v>1</v>
      </c>
      <c r="C58" t="s">
        <v>855</v>
      </c>
      <c r="D58">
        <v>326831.70700000011</v>
      </c>
      <c r="E58">
        <v>0</v>
      </c>
      <c r="F58">
        <v>326831.70700000011</v>
      </c>
    </row>
    <row r="59" spans="1:6" x14ac:dyDescent="0.2">
      <c r="A59">
        <f>SUBTOTAL(3,$B$6:B59)</f>
        <v>28</v>
      </c>
      <c r="B59" t="s">
        <v>1</v>
      </c>
      <c r="C59" t="s">
        <v>367</v>
      </c>
      <c r="D59">
        <v>233658.14400000003</v>
      </c>
      <c r="E59">
        <v>0</v>
      </c>
      <c r="F59">
        <v>233658.14400000003</v>
      </c>
    </row>
    <row r="60" spans="1:6" x14ac:dyDescent="0.2">
      <c r="A60">
        <f>SUBTOTAL(3,$B$6:B60)</f>
        <v>29</v>
      </c>
      <c r="B60" t="s">
        <v>1</v>
      </c>
      <c r="C60" t="s">
        <v>857</v>
      </c>
      <c r="D60">
        <v>-1336.5200000000002</v>
      </c>
      <c r="E60">
        <v>0</v>
      </c>
      <c r="F60">
        <v>-1336.5200000000002</v>
      </c>
    </row>
    <row r="61" spans="1:6" x14ac:dyDescent="0.2">
      <c r="A61">
        <f>SUBTOTAL(3,$B$6:B61)</f>
        <v>30</v>
      </c>
      <c r="B61" t="s">
        <v>1</v>
      </c>
      <c r="C61" t="s">
        <v>858</v>
      </c>
      <c r="D61">
        <v>2499704.4959999998</v>
      </c>
      <c r="E61">
        <v>0</v>
      </c>
      <c r="F61">
        <v>2499704.4959999998</v>
      </c>
    </row>
    <row r="62" spans="1:6" x14ac:dyDescent="0.2">
      <c r="A62">
        <f>SUBTOTAL(3,$B$6:B62)</f>
        <v>31</v>
      </c>
      <c r="B62" t="s">
        <v>1</v>
      </c>
      <c r="C62" t="s">
        <v>859</v>
      </c>
      <c r="D62">
        <v>580772.69099999883</v>
      </c>
      <c r="E62">
        <v>0</v>
      </c>
      <c r="F62">
        <v>580772.69099999883</v>
      </c>
    </row>
    <row r="63" spans="1:6" x14ac:dyDescent="0.2">
      <c r="A63">
        <f>SUBTOTAL(3,$B$6:B63)</f>
        <v>32</v>
      </c>
      <c r="B63" t="s">
        <v>1</v>
      </c>
      <c r="C63" t="s">
        <v>364</v>
      </c>
      <c r="D63">
        <v>8912.0570000000007</v>
      </c>
      <c r="E63">
        <v>0</v>
      </c>
      <c r="F63">
        <v>8912.0570000000007</v>
      </c>
    </row>
    <row r="64" spans="1:6" x14ac:dyDescent="0.2">
      <c r="A64">
        <f>SUBTOTAL(3,$B$6:B64)</f>
        <v>33</v>
      </c>
      <c r="B64" t="s">
        <v>1</v>
      </c>
      <c r="C64" t="s">
        <v>860</v>
      </c>
      <c r="D64">
        <v>1458677.6259999992</v>
      </c>
      <c r="E64">
        <v>0</v>
      </c>
      <c r="F64">
        <v>1458677.6259999992</v>
      </c>
    </row>
    <row r="65" spans="1:6" x14ac:dyDescent="0.2">
      <c r="A65">
        <f>SUBTOTAL(3,$B$6:B65)</f>
        <v>34</v>
      </c>
      <c r="B65" t="s">
        <v>1</v>
      </c>
      <c r="C65" t="s">
        <v>861</v>
      </c>
      <c r="D65">
        <v>-1.8189894035458565E-12</v>
      </c>
      <c r="E65">
        <v>0</v>
      </c>
      <c r="F65">
        <v>-1.8189894035458565E-12</v>
      </c>
    </row>
    <row r="66" spans="1:6" x14ac:dyDescent="0.2">
      <c r="A66">
        <f>SUBTOTAL(3,$B$6:B66)</f>
        <v>35</v>
      </c>
      <c r="B66" t="s">
        <v>1</v>
      </c>
      <c r="C66" t="s">
        <v>862</v>
      </c>
      <c r="D66">
        <v>356678.05799999979</v>
      </c>
      <c r="E66">
        <v>0</v>
      </c>
      <c r="F66">
        <v>356678.05799999979</v>
      </c>
    </row>
    <row r="67" spans="1:6" x14ac:dyDescent="0.2">
      <c r="A67">
        <f>SUBTOTAL(3,$B$6:B67)</f>
        <v>36</v>
      </c>
      <c r="B67" t="s">
        <v>1</v>
      </c>
      <c r="C67" t="s">
        <v>863</v>
      </c>
      <c r="D67">
        <v>6565.3600000000006</v>
      </c>
      <c r="E67">
        <v>0</v>
      </c>
      <c r="F67">
        <v>6565.3600000000006</v>
      </c>
    </row>
    <row r="68" spans="1:6" x14ac:dyDescent="0.2">
      <c r="A68">
        <f>SUBTOTAL(3,$B$6:B68)</f>
        <v>37</v>
      </c>
      <c r="B68" t="s">
        <v>1</v>
      </c>
      <c r="C68" t="s">
        <v>864</v>
      </c>
      <c r="D68">
        <v>22588.694</v>
      </c>
      <c r="E68">
        <v>0</v>
      </c>
      <c r="F68">
        <v>22588.694</v>
      </c>
    </row>
    <row r="69" spans="1:6" x14ac:dyDescent="0.2">
      <c r="A69">
        <f>SUBTOTAL(3,$B$6:B69)</f>
        <v>38</v>
      </c>
      <c r="B69" t="s">
        <v>1</v>
      </c>
      <c r="C69" t="s">
        <v>865</v>
      </c>
      <c r="D69">
        <v>31972.073999999997</v>
      </c>
      <c r="E69">
        <v>0</v>
      </c>
      <c r="F69">
        <v>31972.073999999997</v>
      </c>
    </row>
    <row r="70" spans="1:6" x14ac:dyDescent="0.2">
      <c r="A70">
        <f>SUBTOTAL(3,$B$6:B70)</f>
        <v>39</v>
      </c>
      <c r="B70" t="s">
        <v>1</v>
      </c>
      <c r="C70" t="s">
        <v>355</v>
      </c>
      <c r="D70">
        <v>33776.214999999989</v>
      </c>
      <c r="E70">
        <v>0</v>
      </c>
      <c r="F70">
        <v>33776.214999999989</v>
      </c>
    </row>
    <row r="71" spans="1:6" x14ac:dyDescent="0.2">
      <c r="A71">
        <f>SUBTOTAL(3,$B$6:B71)</f>
        <v>40</v>
      </c>
      <c r="B71" t="s">
        <v>1</v>
      </c>
      <c r="C71" t="s">
        <v>866</v>
      </c>
      <c r="D71">
        <v>382600.22600000026</v>
      </c>
      <c r="E71">
        <v>0</v>
      </c>
      <c r="F71">
        <v>382600.22600000026</v>
      </c>
    </row>
    <row r="72" spans="1:6" x14ac:dyDescent="0.2">
      <c r="A72">
        <f>SUBTOTAL(3,$B$6:B72)</f>
        <v>41</v>
      </c>
      <c r="B72" t="s">
        <v>1</v>
      </c>
      <c r="C72" t="s">
        <v>867</v>
      </c>
      <c r="D72">
        <v>103.25999999999999</v>
      </c>
      <c r="E72">
        <v>0</v>
      </c>
      <c r="F72">
        <v>103.25999999999999</v>
      </c>
    </row>
    <row r="73" spans="1:6" x14ac:dyDescent="0.2">
      <c r="A73">
        <f>SUBTOTAL(3,$B$6:B73)</f>
        <v>42</v>
      </c>
      <c r="B73" t="s">
        <v>1</v>
      </c>
      <c r="C73" t="s">
        <v>868</v>
      </c>
      <c r="D73">
        <v>154.30000000000001</v>
      </c>
      <c r="E73">
        <v>0</v>
      </c>
      <c r="F73">
        <v>154.30000000000001</v>
      </c>
    </row>
    <row r="74" spans="1:6" x14ac:dyDescent="0.2">
      <c r="A74">
        <f>SUBTOTAL(3,$B$6:B74)</f>
        <v>43</v>
      </c>
      <c r="B74" t="s">
        <v>1</v>
      </c>
      <c r="C74" t="s">
        <v>869</v>
      </c>
      <c r="D74">
        <v>1092757.4600000004</v>
      </c>
      <c r="E74">
        <v>0</v>
      </c>
      <c r="F74">
        <v>1092757.4600000004</v>
      </c>
    </row>
    <row r="75" spans="1:6" x14ac:dyDescent="0.2">
      <c r="A75">
        <f>SUBTOTAL(3,$B$6:B75)</f>
        <v>44</v>
      </c>
      <c r="B75" t="s">
        <v>1</v>
      </c>
      <c r="C75" t="s">
        <v>870</v>
      </c>
      <c r="D75">
        <v>0</v>
      </c>
      <c r="E75">
        <v>0</v>
      </c>
      <c r="F75">
        <v>0</v>
      </c>
    </row>
    <row r="76" spans="1:6" x14ac:dyDescent="0.2">
      <c r="A76">
        <f>SUBTOTAL(3,$B$6:B76)</f>
        <v>45</v>
      </c>
      <c r="B76" t="s">
        <v>1</v>
      </c>
      <c r="C76" t="s">
        <v>871</v>
      </c>
      <c r="D76">
        <v>308.12</v>
      </c>
      <c r="E76">
        <v>0</v>
      </c>
      <c r="F76">
        <v>308.12</v>
      </c>
    </row>
    <row r="77" spans="1:6" x14ac:dyDescent="0.2">
      <c r="A77">
        <f>SUBTOTAL(3,$B$6:B77)</f>
        <v>46</v>
      </c>
      <c r="B77" t="s">
        <v>1</v>
      </c>
      <c r="C77" t="s">
        <v>872</v>
      </c>
      <c r="D77">
        <v>152696.01500000004</v>
      </c>
      <c r="E77">
        <v>0</v>
      </c>
      <c r="F77">
        <v>152696.01500000004</v>
      </c>
    </row>
    <row r="78" spans="1:6" x14ac:dyDescent="0.2">
      <c r="A78">
        <f>SUBTOTAL(3,$B$6:B78)</f>
        <v>47</v>
      </c>
      <c r="B78" t="s">
        <v>1</v>
      </c>
      <c r="C78" t="s">
        <v>873</v>
      </c>
      <c r="D78">
        <v>-34974.351000000002</v>
      </c>
      <c r="E78">
        <v>0</v>
      </c>
      <c r="F78">
        <v>-34974.351000000002</v>
      </c>
    </row>
    <row r="79" spans="1:6" x14ac:dyDescent="0.2">
      <c r="A79">
        <f>SUBTOTAL(3,$B$6:B79)</f>
        <v>48</v>
      </c>
      <c r="B79" t="s">
        <v>1</v>
      </c>
      <c r="C79" t="s">
        <v>874</v>
      </c>
      <c r="D79">
        <v>942948.2340000018</v>
      </c>
      <c r="E79">
        <v>0</v>
      </c>
      <c r="F79">
        <v>942948.2340000018</v>
      </c>
    </row>
    <row r="80" spans="1:6" x14ac:dyDescent="0.2">
      <c r="A80">
        <f>SUBTOTAL(3,$B$6:B80)</f>
        <v>49</v>
      </c>
      <c r="B80" t="s">
        <v>1</v>
      </c>
      <c r="C80" t="s">
        <v>875</v>
      </c>
      <c r="D80">
        <v>134600.46699999995</v>
      </c>
      <c r="E80">
        <v>0</v>
      </c>
      <c r="F80">
        <v>134600.46699999995</v>
      </c>
    </row>
    <row r="81" spans="1:6" x14ac:dyDescent="0.2">
      <c r="A81">
        <f>SUBTOTAL(3,$B$6:B81)</f>
        <v>50</v>
      </c>
      <c r="B81" t="s">
        <v>1</v>
      </c>
      <c r="C81" t="s">
        <v>362</v>
      </c>
      <c r="D81">
        <v>23533.771000000001</v>
      </c>
      <c r="E81">
        <v>0</v>
      </c>
      <c r="F81">
        <v>23533.771000000001</v>
      </c>
    </row>
    <row r="82" spans="1:6" x14ac:dyDescent="0.2">
      <c r="A82">
        <f>SUBTOTAL(3,$B$6:B82)</f>
        <v>51</v>
      </c>
      <c r="B82" t="s">
        <v>1</v>
      </c>
      <c r="C82" t="s">
        <v>877</v>
      </c>
      <c r="D82">
        <v>855619.9780000007</v>
      </c>
      <c r="E82">
        <v>0</v>
      </c>
      <c r="F82">
        <v>855619.9780000007</v>
      </c>
    </row>
    <row r="83" spans="1:6" x14ac:dyDescent="0.2">
      <c r="A83">
        <f>SUBTOTAL(3,$B$6:B83)</f>
        <v>52</v>
      </c>
      <c r="B83" t="s">
        <v>1</v>
      </c>
      <c r="C83" t="s">
        <v>879</v>
      </c>
      <c r="D83">
        <v>155980.64099999997</v>
      </c>
      <c r="E83">
        <v>0</v>
      </c>
      <c r="F83">
        <v>155980.64099999997</v>
      </c>
    </row>
    <row r="84" spans="1:6" x14ac:dyDescent="0.2">
      <c r="A84">
        <f>SUBTOTAL(3,$B$6:B84)</f>
        <v>53</v>
      </c>
      <c r="B84" t="s">
        <v>1</v>
      </c>
      <c r="C84" t="s">
        <v>880</v>
      </c>
      <c r="D84">
        <v>1740.1639999999998</v>
      </c>
      <c r="E84">
        <v>0</v>
      </c>
      <c r="F84">
        <v>1740.1639999999998</v>
      </c>
    </row>
    <row r="85" spans="1:6" x14ac:dyDescent="0.2">
      <c r="A85">
        <f>SUBTOTAL(3,$B$6:B85)</f>
        <v>54</v>
      </c>
      <c r="B85" t="s">
        <v>1</v>
      </c>
      <c r="C85" t="s">
        <v>881</v>
      </c>
      <c r="D85">
        <v>555566.16399999999</v>
      </c>
      <c r="E85">
        <v>0</v>
      </c>
      <c r="F85">
        <v>555566.16399999999</v>
      </c>
    </row>
    <row r="86" spans="1:6" x14ac:dyDescent="0.2">
      <c r="A86">
        <f>SUBTOTAL(3,$B$6:B86)</f>
        <v>55</v>
      </c>
      <c r="B86" t="s">
        <v>1</v>
      </c>
      <c r="C86" t="s">
        <v>882</v>
      </c>
      <c r="D86">
        <v>396799.19500000082</v>
      </c>
      <c r="E86">
        <v>0</v>
      </c>
      <c r="F86">
        <v>396799.19500000082</v>
      </c>
    </row>
    <row r="87" spans="1:6" x14ac:dyDescent="0.2">
      <c r="A87">
        <f>SUBTOTAL(3,$B$6:B87)</f>
        <v>56</v>
      </c>
      <c r="B87" t="s">
        <v>1</v>
      </c>
      <c r="C87" t="s">
        <v>885</v>
      </c>
      <c r="D87">
        <v>513239.30399999983</v>
      </c>
      <c r="E87">
        <v>0</v>
      </c>
      <c r="F87">
        <v>513239.30399999983</v>
      </c>
    </row>
    <row r="88" spans="1:6" x14ac:dyDescent="0.2">
      <c r="A88">
        <f>SUBTOTAL(3,$B$6:B88)</f>
        <v>57</v>
      </c>
      <c r="B88" t="s">
        <v>1</v>
      </c>
      <c r="C88" t="s">
        <v>886</v>
      </c>
      <c r="D88">
        <v>3131.5349999999999</v>
      </c>
      <c r="E88">
        <v>0</v>
      </c>
      <c r="F88">
        <v>3131.5349999999999</v>
      </c>
    </row>
    <row r="89" spans="1:6" x14ac:dyDescent="0.2">
      <c r="A89">
        <f>SUBTOTAL(3,$B$6:B89)</f>
        <v>58</v>
      </c>
      <c r="B89" t="s">
        <v>1</v>
      </c>
      <c r="C89" t="s">
        <v>887</v>
      </c>
      <c r="D89">
        <v>13498.817000000003</v>
      </c>
      <c r="E89">
        <v>0</v>
      </c>
      <c r="F89">
        <v>13498.817000000003</v>
      </c>
    </row>
    <row r="90" spans="1:6" x14ac:dyDescent="0.2">
      <c r="A90">
        <f>SUBTOTAL(3,$B$6:B90)</f>
        <v>59</v>
      </c>
      <c r="B90" t="s">
        <v>1</v>
      </c>
      <c r="C90" t="s">
        <v>361</v>
      </c>
      <c r="D90">
        <v>78125.23000000004</v>
      </c>
      <c r="E90">
        <v>0</v>
      </c>
      <c r="F90">
        <v>78125.23000000004</v>
      </c>
    </row>
    <row r="91" spans="1:6" x14ac:dyDescent="0.2">
      <c r="A91">
        <f>SUBTOTAL(3,$B$6:B91)</f>
        <v>60</v>
      </c>
      <c r="B91" t="s">
        <v>1</v>
      </c>
      <c r="C91" t="s">
        <v>888</v>
      </c>
      <c r="D91">
        <v>66.782999999999674</v>
      </c>
      <c r="E91">
        <v>0</v>
      </c>
      <c r="F91">
        <v>66.782999999999674</v>
      </c>
    </row>
    <row r="92" spans="1:6" x14ac:dyDescent="0.2">
      <c r="A92">
        <f>SUBTOTAL(3,$B$6:B92)</f>
        <v>61</v>
      </c>
      <c r="B92" t="s">
        <v>1</v>
      </c>
      <c r="C92" t="s">
        <v>358</v>
      </c>
      <c r="D92">
        <v>290245.25499999995</v>
      </c>
      <c r="E92">
        <v>0</v>
      </c>
      <c r="F92">
        <v>290245.25499999995</v>
      </c>
    </row>
    <row r="93" spans="1:6" x14ac:dyDescent="0.2">
      <c r="A93">
        <f>SUBTOTAL(3,$B$6:B93)</f>
        <v>62</v>
      </c>
      <c r="B93" t="s">
        <v>1</v>
      </c>
      <c r="C93" t="s">
        <v>889</v>
      </c>
      <c r="D93">
        <v>0</v>
      </c>
      <c r="E93">
        <v>0</v>
      </c>
      <c r="F93">
        <v>0</v>
      </c>
    </row>
    <row r="94" spans="1:6" x14ac:dyDescent="0.2">
      <c r="A94">
        <f>SUBTOTAL(3,$B$6:B94)</f>
        <v>63</v>
      </c>
      <c r="B94" t="s">
        <v>1</v>
      </c>
      <c r="C94" t="s">
        <v>890</v>
      </c>
      <c r="D94">
        <v>539838.5549999997</v>
      </c>
      <c r="E94">
        <v>0</v>
      </c>
      <c r="F94">
        <v>539838.5549999997</v>
      </c>
    </row>
    <row r="95" spans="1:6" x14ac:dyDescent="0.2">
      <c r="A95">
        <f>SUBTOTAL(3,$B$6:B95)</f>
        <v>64</v>
      </c>
      <c r="B95" t="s">
        <v>1</v>
      </c>
      <c r="C95" t="s">
        <v>891</v>
      </c>
      <c r="D95">
        <v>153636.67000000013</v>
      </c>
      <c r="E95">
        <v>0</v>
      </c>
      <c r="F95">
        <v>153636.67000000013</v>
      </c>
    </row>
    <row r="96" spans="1:6" x14ac:dyDescent="0.2">
      <c r="A96">
        <f>SUBTOTAL(3,$B$6:B96)</f>
        <v>65</v>
      </c>
      <c r="B96" t="s">
        <v>1</v>
      </c>
      <c r="C96" t="s">
        <v>893</v>
      </c>
      <c r="D96">
        <v>4181.018</v>
      </c>
      <c r="E96">
        <v>0</v>
      </c>
      <c r="F96">
        <v>4181.018</v>
      </c>
    </row>
    <row r="97" spans="1:6" x14ac:dyDescent="0.2">
      <c r="A97">
        <f>SUBTOTAL(3,$B$6:B97)</f>
        <v>66</v>
      </c>
      <c r="B97" t="s">
        <v>1</v>
      </c>
      <c r="C97" t="s">
        <v>894</v>
      </c>
      <c r="D97">
        <v>47671.311999999998</v>
      </c>
      <c r="E97">
        <v>0</v>
      </c>
      <c r="F97">
        <v>47671.311999999998</v>
      </c>
    </row>
    <row r="98" spans="1:6" x14ac:dyDescent="0.2">
      <c r="A98">
        <f>SUBTOTAL(3,$B$6:B98)</f>
        <v>67</v>
      </c>
      <c r="B98" t="s">
        <v>1</v>
      </c>
      <c r="C98" t="s">
        <v>895</v>
      </c>
      <c r="D98">
        <v>410315.62399999879</v>
      </c>
      <c r="E98">
        <v>0</v>
      </c>
      <c r="F98">
        <v>410315.62399999879</v>
      </c>
    </row>
    <row r="99" spans="1:6" x14ac:dyDescent="0.2">
      <c r="A99">
        <f>SUBTOTAL(3,$B$6:B99)</f>
        <v>68</v>
      </c>
      <c r="B99" t="s">
        <v>1</v>
      </c>
      <c r="C99" t="s">
        <v>896</v>
      </c>
      <c r="D99">
        <v>670221.35099999944</v>
      </c>
      <c r="E99">
        <v>0</v>
      </c>
      <c r="F99">
        <v>670221.35099999944</v>
      </c>
    </row>
    <row r="100" spans="1:6" x14ac:dyDescent="0.2">
      <c r="A100">
        <f>SUBTOTAL(3,$B$6:B100)</f>
        <v>69</v>
      </c>
      <c r="B100" t="s">
        <v>1</v>
      </c>
      <c r="C100" t="s">
        <v>897</v>
      </c>
      <c r="D100">
        <v>0</v>
      </c>
      <c r="E100">
        <v>0</v>
      </c>
      <c r="F100">
        <v>0</v>
      </c>
    </row>
    <row r="101" spans="1:6" x14ac:dyDescent="0.2">
      <c r="A101">
        <f>SUBTOTAL(3,$B$6:B101)</f>
        <v>70</v>
      </c>
      <c r="B101" t="s">
        <v>1</v>
      </c>
      <c r="C101" t="s">
        <v>898</v>
      </c>
      <c r="D101">
        <v>-305.43099999999998</v>
      </c>
      <c r="E101">
        <v>0</v>
      </c>
      <c r="F101">
        <v>-305.43099999999998</v>
      </c>
    </row>
    <row r="102" spans="1:6" x14ac:dyDescent="0.2">
      <c r="A102">
        <f>SUBTOTAL(3,$B$6:B102)</f>
        <v>71</v>
      </c>
      <c r="B102" t="s">
        <v>1</v>
      </c>
      <c r="C102" t="s">
        <v>899</v>
      </c>
      <c r="D102">
        <v>2274.7539999999999</v>
      </c>
      <c r="E102">
        <v>0</v>
      </c>
      <c r="F102">
        <v>2274.7539999999999</v>
      </c>
    </row>
    <row r="103" spans="1:6" x14ac:dyDescent="0.2">
      <c r="A103">
        <f>SUBTOTAL(3,$B$6:B103)</f>
        <v>72</v>
      </c>
      <c r="B103" t="s">
        <v>1</v>
      </c>
      <c r="C103" t="s">
        <v>900</v>
      </c>
      <c r="D103">
        <v>-9.5000000003096829E-2</v>
      </c>
      <c r="E103">
        <v>0</v>
      </c>
      <c r="F103">
        <v>-9.5000000003096829E-2</v>
      </c>
    </row>
    <row r="104" spans="1:6" x14ac:dyDescent="0.2">
      <c r="A104">
        <f>SUBTOTAL(3,$B$6:B104)</f>
        <v>73</v>
      </c>
      <c r="B104" t="s">
        <v>1</v>
      </c>
      <c r="C104" t="s">
        <v>901</v>
      </c>
      <c r="D104">
        <v>-48.728999999999999</v>
      </c>
      <c r="E104">
        <v>0</v>
      </c>
      <c r="F104">
        <v>-48.728999999999999</v>
      </c>
    </row>
    <row r="105" spans="1:6" x14ac:dyDescent="0.2">
      <c r="A105">
        <f>SUBTOTAL(3,$B$6:B105)</f>
        <v>74</v>
      </c>
      <c r="B105" t="s">
        <v>1</v>
      </c>
      <c r="C105" t="s">
        <v>902</v>
      </c>
      <c r="D105">
        <v>2885.5599999999995</v>
      </c>
      <c r="E105">
        <v>0</v>
      </c>
      <c r="F105">
        <v>2885.5599999999995</v>
      </c>
    </row>
    <row r="106" spans="1:6" x14ac:dyDescent="0.2">
      <c r="A106">
        <f>SUBTOTAL(3,$B$6:B106)</f>
        <v>75</v>
      </c>
      <c r="B106" t="s">
        <v>1</v>
      </c>
      <c r="C106" t="s">
        <v>903</v>
      </c>
      <c r="D106">
        <v>55860.42</v>
      </c>
      <c r="E106">
        <v>0</v>
      </c>
      <c r="F106">
        <v>55860.42</v>
      </c>
    </row>
    <row r="107" spans="1:6" x14ac:dyDescent="0.2">
      <c r="A107">
        <f>SUBTOTAL(3,$B$6:B107)</f>
        <v>76</v>
      </c>
      <c r="B107" t="s">
        <v>1</v>
      </c>
      <c r="C107" t="s">
        <v>365</v>
      </c>
      <c r="D107">
        <v>57041.397000000019</v>
      </c>
      <c r="E107">
        <v>0</v>
      </c>
      <c r="F107">
        <v>57041.397000000019</v>
      </c>
    </row>
    <row r="108" spans="1:6" x14ac:dyDescent="0.2">
      <c r="A108">
        <f>SUBTOTAL(3,$B$6:B108)</f>
        <v>77</v>
      </c>
      <c r="B108" t="s">
        <v>1</v>
      </c>
      <c r="C108" t="s">
        <v>904</v>
      </c>
      <c r="D108">
        <v>110529.65200000016</v>
      </c>
      <c r="E108">
        <v>0</v>
      </c>
      <c r="F108">
        <v>110529.65200000016</v>
      </c>
    </row>
    <row r="109" spans="1:6" x14ac:dyDescent="0.2">
      <c r="A109">
        <f>SUBTOTAL(3,$B$6:B109)</f>
        <v>78</v>
      </c>
      <c r="B109" t="s">
        <v>1</v>
      </c>
      <c r="C109" t="s">
        <v>905</v>
      </c>
      <c r="D109">
        <v>-2056.4799999999982</v>
      </c>
      <c r="E109">
        <v>0</v>
      </c>
      <c r="F109">
        <v>-2056.4799999999982</v>
      </c>
    </row>
    <row r="110" spans="1:6" x14ac:dyDescent="0.2">
      <c r="A110">
        <f>SUBTOTAL(3,$B$6:B110)</f>
        <v>79</v>
      </c>
      <c r="B110" t="s">
        <v>1</v>
      </c>
      <c r="C110" t="s">
        <v>906</v>
      </c>
      <c r="D110">
        <v>-1299.8340000000001</v>
      </c>
      <c r="E110">
        <v>0</v>
      </c>
      <c r="F110">
        <v>-1299.8340000000001</v>
      </c>
    </row>
    <row r="111" spans="1:6" x14ac:dyDescent="0.2">
      <c r="A111">
        <f>SUBTOTAL(3,$B$6:B111)</f>
        <v>80</v>
      </c>
      <c r="B111" t="s">
        <v>1</v>
      </c>
      <c r="C111" t="s">
        <v>907</v>
      </c>
      <c r="D111">
        <v>3082.797</v>
      </c>
      <c r="E111">
        <v>0</v>
      </c>
      <c r="F111">
        <v>3082.797</v>
      </c>
    </row>
    <row r="112" spans="1:6" x14ac:dyDescent="0.2">
      <c r="A112">
        <f>SUBTOTAL(3,$B$6:B112)</f>
        <v>81</v>
      </c>
      <c r="B112" t="s">
        <v>1</v>
      </c>
      <c r="C112" t="s">
        <v>908</v>
      </c>
      <c r="D112">
        <v>210898.37000000008</v>
      </c>
      <c r="E112">
        <v>0</v>
      </c>
      <c r="F112">
        <v>210898.37000000008</v>
      </c>
    </row>
    <row r="113" spans="1:6" x14ac:dyDescent="0.2">
      <c r="A113">
        <f>SUBTOTAL(3,$B$6:B113)</f>
        <v>82</v>
      </c>
      <c r="B113" t="s">
        <v>1</v>
      </c>
      <c r="C113" t="s">
        <v>352</v>
      </c>
      <c r="D113">
        <v>0</v>
      </c>
      <c r="E113">
        <v>0</v>
      </c>
      <c r="F113">
        <v>0</v>
      </c>
    </row>
    <row r="114" spans="1:6" x14ac:dyDescent="0.2">
      <c r="A114">
        <f>SUBTOTAL(3,$B$6:B114)</f>
        <v>83</v>
      </c>
      <c r="B114" t="s">
        <v>1</v>
      </c>
      <c r="C114" t="s">
        <v>909</v>
      </c>
      <c r="D114">
        <v>3725714.1180000002</v>
      </c>
      <c r="E114">
        <v>0</v>
      </c>
      <c r="F114">
        <v>3725714.1180000002</v>
      </c>
    </row>
    <row r="115" spans="1:6" x14ac:dyDescent="0.2">
      <c r="A115">
        <f>SUBTOTAL(3,$B$6:B115)</f>
        <v>84</v>
      </c>
      <c r="B115" t="s">
        <v>1</v>
      </c>
      <c r="C115" t="s">
        <v>910</v>
      </c>
      <c r="D115">
        <v>-58324.109999999979</v>
      </c>
      <c r="E115">
        <v>0</v>
      </c>
      <c r="F115">
        <v>-58324.109999999979</v>
      </c>
    </row>
    <row r="116" spans="1:6" x14ac:dyDescent="0.2">
      <c r="A116">
        <f>SUBTOTAL(3,$B$6:B116)</f>
        <v>85</v>
      </c>
      <c r="B116" t="s">
        <v>1</v>
      </c>
      <c r="C116" t="s">
        <v>354</v>
      </c>
      <c r="D116">
        <v>52659.148999999983</v>
      </c>
      <c r="E116">
        <v>0</v>
      </c>
      <c r="F116">
        <v>52659.148999999983</v>
      </c>
    </row>
    <row r="117" spans="1:6" x14ac:dyDescent="0.2">
      <c r="A117">
        <f>SUBTOTAL(3,$B$6:B117)</f>
        <v>86</v>
      </c>
      <c r="B117" t="s">
        <v>1</v>
      </c>
      <c r="C117" t="s">
        <v>912</v>
      </c>
      <c r="D117">
        <v>-4187.2699999999995</v>
      </c>
      <c r="E117">
        <v>0</v>
      </c>
      <c r="F117">
        <v>-4187.2699999999995</v>
      </c>
    </row>
    <row r="118" spans="1:6" x14ac:dyDescent="0.2">
      <c r="A118">
        <f>SUBTOTAL(3,$B$6:B118)</f>
        <v>87</v>
      </c>
      <c r="B118" t="s">
        <v>1</v>
      </c>
      <c r="C118" t="s">
        <v>913</v>
      </c>
      <c r="D118">
        <v>107410.60399999999</v>
      </c>
      <c r="E118">
        <v>0</v>
      </c>
      <c r="F118">
        <v>107410.60399999999</v>
      </c>
    </row>
    <row r="119" spans="1:6" x14ac:dyDescent="0.2">
      <c r="A119">
        <f>SUBTOTAL(3,$B$6:B119)</f>
        <v>88</v>
      </c>
      <c r="B119" t="s">
        <v>1</v>
      </c>
      <c r="C119" t="s">
        <v>914</v>
      </c>
      <c r="D119">
        <v>559.72</v>
      </c>
      <c r="E119">
        <v>0</v>
      </c>
      <c r="F119">
        <v>559.72</v>
      </c>
    </row>
    <row r="120" spans="1:6" x14ac:dyDescent="0.2">
      <c r="A120">
        <f>SUBTOTAL(3,$B$6:B120)</f>
        <v>89</v>
      </c>
      <c r="B120" t="s">
        <v>1</v>
      </c>
      <c r="C120" t="s">
        <v>915</v>
      </c>
      <c r="D120">
        <v>96342.027000000089</v>
      </c>
      <c r="E120">
        <v>0</v>
      </c>
      <c r="F120">
        <v>96342.027000000089</v>
      </c>
    </row>
    <row r="121" spans="1:6" x14ac:dyDescent="0.2">
      <c r="A121">
        <f>SUBTOTAL(3,$B$6:B121)</f>
        <v>90</v>
      </c>
      <c r="B121" t="s">
        <v>1</v>
      </c>
      <c r="C121" t="s">
        <v>363</v>
      </c>
      <c r="D121">
        <v>0</v>
      </c>
      <c r="E121">
        <v>0</v>
      </c>
      <c r="F121">
        <v>0</v>
      </c>
    </row>
    <row r="122" spans="1:6" x14ac:dyDescent="0.2">
      <c r="A122">
        <f>SUBTOTAL(3,$B$6:B122)</f>
        <v>91</v>
      </c>
      <c r="B122" t="s">
        <v>1</v>
      </c>
      <c r="C122" t="s">
        <v>916</v>
      </c>
      <c r="D122">
        <v>375.00200000000007</v>
      </c>
      <c r="E122">
        <v>0</v>
      </c>
      <c r="F122">
        <v>375.00200000000007</v>
      </c>
    </row>
    <row r="123" spans="1:6" x14ac:dyDescent="0.2">
      <c r="A123">
        <f>SUBTOTAL(3,$B$6:B123)</f>
        <v>92</v>
      </c>
      <c r="B123" t="s">
        <v>1</v>
      </c>
      <c r="C123" t="s">
        <v>917</v>
      </c>
      <c r="D123">
        <v>345620.45200000005</v>
      </c>
      <c r="E123">
        <v>0</v>
      </c>
      <c r="F123">
        <v>345620.45200000005</v>
      </c>
    </row>
    <row r="124" spans="1:6" x14ac:dyDescent="0.2">
      <c r="A124">
        <f>SUBTOTAL(3,$B$6:B124)</f>
        <v>93</v>
      </c>
      <c r="B124" t="s">
        <v>1</v>
      </c>
      <c r="C124" t="s">
        <v>918</v>
      </c>
      <c r="D124">
        <v>216852.82900000038</v>
      </c>
      <c r="E124">
        <v>0</v>
      </c>
      <c r="F124">
        <v>216852.82900000038</v>
      </c>
    </row>
    <row r="125" spans="1:6" x14ac:dyDescent="0.2">
      <c r="A125">
        <f>SUBTOTAL(3,$B$6:B125)</f>
        <v>94</v>
      </c>
      <c r="B125" t="s">
        <v>1</v>
      </c>
      <c r="C125" t="s">
        <v>356</v>
      </c>
      <c r="D125">
        <v>95356.584999999977</v>
      </c>
      <c r="E125">
        <v>0</v>
      </c>
      <c r="F125">
        <v>95356.584999999977</v>
      </c>
    </row>
    <row r="126" spans="1:6" x14ac:dyDescent="0.2">
      <c r="A126">
        <f>SUBTOTAL(3,$B$6:B126)</f>
        <v>95</v>
      </c>
      <c r="B126" t="s">
        <v>1</v>
      </c>
      <c r="C126" t="s">
        <v>919</v>
      </c>
      <c r="D126">
        <v>5027688.9700000035</v>
      </c>
      <c r="E126">
        <v>0</v>
      </c>
      <c r="F126">
        <v>5027688.9700000035</v>
      </c>
    </row>
    <row r="127" spans="1:6" x14ac:dyDescent="0.2">
      <c r="A127">
        <f>SUBTOTAL(3,$B$6:B127)</f>
        <v>96</v>
      </c>
      <c r="B127" t="s">
        <v>1</v>
      </c>
      <c r="C127" t="s">
        <v>920</v>
      </c>
      <c r="D127">
        <v>774.19</v>
      </c>
      <c r="E127">
        <v>0</v>
      </c>
      <c r="F127">
        <v>774.19</v>
      </c>
    </row>
    <row r="128" spans="1:6" x14ac:dyDescent="0.2">
      <c r="A128">
        <f>SUBTOTAL(3,$B$6:B128)</f>
        <v>97</v>
      </c>
      <c r="B128" t="s">
        <v>1</v>
      </c>
      <c r="C128" t="s">
        <v>921</v>
      </c>
      <c r="D128">
        <v>30430.233000000004</v>
      </c>
      <c r="E128">
        <v>0</v>
      </c>
      <c r="F128">
        <v>30430.233000000004</v>
      </c>
    </row>
    <row r="129" spans="1:6" x14ac:dyDescent="0.2">
      <c r="A129">
        <f>SUBTOTAL(3,$B$6:B129)</f>
        <v>98</v>
      </c>
      <c r="B129" t="s">
        <v>1</v>
      </c>
      <c r="C129" t="s">
        <v>922</v>
      </c>
      <c r="D129">
        <v>117128.428</v>
      </c>
      <c r="E129">
        <v>0</v>
      </c>
      <c r="F129">
        <v>117128.428</v>
      </c>
    </row>
    <row r="130" spans="1:6" x14ac:dyDescent="0.2">
      <c r="A130">
        <f>SUBTOTAL(3,$B$6:B130)</f>
        <v>99</v>
      </c>
      <c r="B130" t="s">
        <v>1</v>
      </c>
      <c r="C130" t="s">
        <v>923</v>
      </c>
      <c r="D130">
        <v>35528.234000000004</v>
      </c>
      <c r="E130">
        <v>0</v>
      </c>
      <c r="F130">
        <v>35528.234000000004</v>
      </c>
    </row>
    <row r="131" spans="1:6" x14ac:dyDescent="0.2">
      <c r="A131">
        <f>SUBTOTAL(3,$B$6:B131)</f>
        <v>100</v>
      </c>
      <c r="B131" t="s">
        <v>1</v>
      </c>
      <c r="C131" t="s">
        <v>924</v>
      </c>
      <c r="D131">
        <v>191729.53499999997</v>
      </c>
      <c r="E131">
        <v>0</v>
      </c>
      <c r="F131">
        <v>191729.53499999997</v>
      </c>
    </row>
    <row r="132" spans="1:6" x14ac:dyDescent="0.2">
      <c r="A132">
        <f>SUBTOTAL(3,$B$6:B132)</f>
        <v>101</v>
      </c>
      <c r="B132" t="s">
        <v>1</v>
      </c>
      <c r="C132" t="s">
        <v>925</v>
      </c>
      <c r="D132">
        <v>638.13499999999965</v>
      </c>
      <c r="E132">
        <v>0</v>
      </c>
      <c r="F132">
        <v>638.13499999999965</v>
      </c>
    </row>
    <row r="133" spans="1:6" x14ac:dyDescent="0.2">
      <c r="A133">
        <f>SUBTOTAL(3,$B$6:B133)</f>
        <v>102</v>
      </c>
      <c r="B133" t="s">
        <v>1</v>
      </c>
      <c r="C133" t="s">
        <v>926</v>
      </c>
      <c r="D133">
        <v>642.59699999999998</v>
      </c>
      <c r="E133">
        <v>0</v>
      </c>
      <c r="F133">
        <v>642.59699999999998</v>
      </c>
    </row>
    <row r="134" spans="1:6" x14ac:dyDescent="0.2">
      <c r="A134">
        <f>SUBTOTAL(3,$B$6:B134)</f>
        <v>103</v>
      </c>
      <c r="B134" t="s">
        <v>1</v>
      </c>
      <c r="C134" t="s">
        <v>927</v>
      </c>
      <c r="D134">
        <v>2645892.8409999986</v>
      </c>
      <c r="E134">
        <v>0</v>
      </c>
      <c r="F134">
        <v>2645892.8409999986</v>
      </c>
    </row>
    <row r="135" spans="1:6" x14ac:dyDescent="0.2">
      <c r="A135">
        <f>SUBTOTAL(3,$B$6:B135)</f>
        <v>104</v>
      </c>
      <c r="B135" t="s">
        <v>1</v>
      </c>
      <c r="C135" t="s">
        <v>359</v>
      </c>
      <c r="D135">
        <v>12197.341999999999</v>
      </c>
      <c r="E135">
        <v>0</v>
      </c>
      <c r="F135">
        <v>12197.341999999999</v>
      </c>
    </row>
    <row r="136" spans="1:6" x14ac:dyDescent="0.2">
      <c r="A136">
        <f>SUBTOTAL(3,$B$6:B136)</f>
        <v>105</v>
      </c>
      <c r="B136" t="s">
        <v>1</v>
      </c>
      <c r="C136" t="s">
        <v>360</v>
      </c>
      <c r="D136">
        <v>59025.884000000005</v>
      </c>
      <c r="E136">
        <v>0</v>
      </c>
      <c r="F136">
        <v>59025.884000000005</v>
      </c>
    </row>
    <row r="137" spans="1:6" x14ac:dyDescent="0.2">
      <c r="A137">
        <f>SUBTOTAL(3,$B$6:B137)</f>
        <v>106</v>
      </c>
      <c r="B137" t="s">
        <v>1</v>
      </c>
      <c r="C137" t="s">
        <v>928</v>
      </c>
      <c r="D137">
        <v>65672.406000000017</v>
      </c>
      <c r="E137">
        <v>0</v>
      </c>
      <c r="F137">
        <v>65672.406000000017</v>
      </c>
    </row>
    <row r="138" spans="1:6" x14ac:dyDescent="0.2">
      <c r="A138">
        <f>SUBTOTAL(3,$B$6:B138)</f>
        <v>107</v>
      </c>
      <c r="B138" t="s">
        <v>1</v>
      </c>
      <c r="C138" t="s">
        <v>929</v>
      </c>
      <c r="D138">
        <v>147799.34600000002</v>
      </c>
      <c r="E138">
        <v>0</v>
      </c>
      <c r="F138">
        <v>147799.34600000002</v>
      </c>
    </row>
    <row r="139" spans="1:6" x14ac:dyDescent="0.2">
      <c r="A139">
        <f>SUBTOTAL(3,$B$6:B139)</f>
        <v>108</v>
      </c>
      <c r="B139" t="s">
        <v>1</v>
      </c>
      <c r="C139" t="s">
        <v>930</v>
      </c>
      <c r="D139">
        <v>468357.43700000003</v>
      </c>
      <c r="E139">
        <v>0</v>
      </c>
      <c r="F139">
        <v>468357.43700000003</v>
      </c>
    </row>
    <row r="140" spans="1:6" x14ac:dyDescent="0.2">
      <c r="A140">
        <f>SUBTOTAL(3,$B$6:B140)</f>
        <v>109</v>
      </c>
      <c r="B140" t="s">
        <v>1</v>
      </c>
      <c r="C140" t="s">
        <v>931</v>
      </c>
      <c r="D140">
        <v>-75.685999999999524</v>
      </c>
      <c r="E140">
        <v>0</v>
      </c>
      <c r="F140">
        <v>-75.685999999999524</v>
      </c>
    </row>
    <row r="141" spans="1:6" x14ac:dyDescent="0.2">
      <c r="A141">
        <f>SUBTOTAL(3,$B$6:B141)</f>
        <v>110</v>
      </c>
      <c r="B141" t="s">
        <v>1</v>
      </c>
      <c r="C141" t="s">
        <v>933</v>
      </c>
      <c r="D141">
        <v>956086.68399999954</v>
      </c>
      <c r="E141">
        <v>0</v>
      </c>
      <c r="F141">
        <v>956086.68399999954</v>
      </c>
    </row>
    <row r="142" spans="1:6" x14ac:dyDescent="0.2">
      <c r="A142">
        <f>SUBTOTAL(3,$B$6:B142)</f>
        <v>111</v>
      </c>
      <c r="B142" t="s">
        <v>1</v>
      </c>
      <c r="C142" t="s">
        <v>934</v>
      </c>
      <c r="D142">
        <v>6068618.7310000006</v>
      </c>
      <c r="E142">
        <v>0</v>
      </c>
      <c r="F142">
        <v>6068618.7310000006</v>
      </c>
    </row>
    <row r="143" spans="1:6" x14ac:dyDescent="0.2">
      <c r="A143">
        <f>SUBTOTAL(3,$B$6:B143)</f>
        <v>112</v>
      </c>
      <c r="B143" t="s">
        <v>1</v>
      </c>
      <c r="C143" t="s">
        <v>935</v>
      </c>
      <c r="D143">
        <v>3256963.7569999984</v>
      </c>
      <c r="E143">
        <v>0</v>
      </c>
      <c r="F143">
        <v>3256963.7569999984</v>
      </c>
    </row>
    <row r="144" spans="1:6" x14ac:dyDescent="0.2">
      <c r="A144">
        <f>SUBTOTAL(3,$B$6:B144)</f>
        <v>113</v>
      </c>
      <c r="B144" t="s">
        <v>1</v>
      </c>
      <c r="C144" t="s">
        <v>936</v>
      </c>
      <c r="D144">
        <v>664</v>
      </c>
      <c r="E144">
        <v>0</v>
      </c>
      <c r="F144">
        <v>664</v>
      </c>
    </row>
    <row r="145" spans="1:6" x14ac:dyDescent="0.2">
      <c r="A145">
        <f>SUBTOTAL(3,$B$6:B145)</f>
        <v>114</v>
      </c>
      <c r="B145" t="s">
        <v>1</v>
      </c>
      <c r="C145" t="s">
        <v>937</v>
      </c>
      <c r="D145">
        <v>98652.396999999997</v>
      </c>
      <c r="E145">
        <v>0</v>
      </c>
      <c r="F145">
        <v>98652.396999999997</v>
      </c>
    </row>
    <row r="146" spans="1:6" hidden="1" x14ac:dyDescent="0.2">
      <c r="A146">
        <f>SUBTOTAL(3,$B$6:B146)</f>
        <v>114</v>
      </c>
      <c r="B146" t="s">
        <v>342</v>
      </c>
      <c r="C146" t="s">
        <v>841</v>
      </c>
      <c r="D146">
        <v>9068.6700000000019</v>
      </c>
      <c r="E146">
        <v>0</v>
      </c>
      <c r="F146">
        <v>9068.6700000000019</v>
      </c>
    </row>
    <row r="147" spans="1:6" hidden="1" x14ac:dyDescent="0.2">
      <c r="A147">
        <f>SUBTOTAL(3,$B$6:B147)</f>
        <v>114</v>
      </c>
      <c r="B147" t="s">
        <v>342</v>
      </c>
      <c r="C147" t="s">
        <v>845</v>
      </c>
      <c r="D147">
        <v>151.71</v>
      </c>
      <c r="E147">
        <v>0</v>
      </c>
      <c r="F147">
        <v>151.71</v>
      </c>
    </row>
    <row r="148" spans="1:6" hidden="1" x14ac:dyDescent="0.2">
      <c r="A148">
        <f>SUBTOTAL(3,$B$6:B148)</f>
        <v>114</v>
      </c>
      <c r="B148" t="s">
        <v>342</v>
      </c>
      <c r="C148" t="s">
        <v>847</v>
      </c>
      <c r="D148">
        <v>9318.1869999999999</v>
      </c>
      <c r="E148">
        <v>0</v>
      </c>
      <c r="F148">
        <v>9318.1869999999999</v>
      </c>
    </row>
    <row r="149" spans="1:6" hidden="1" x14ac:dyDescent="0.2">
      <c r="A149">
        <f>SUBTOTAL(3,$B$6:B149)</f>
        <v>114</v>
      </c>
      <c r="B149" t="s">
        <v>342</v>
      </c>
      <c r="C149" t="s">
        <v>849</v>
      </c>
      <c r="D149">
        <v>0</v>
      </c>
      <c r="E149">
        <v>0</v>
      </c>
      <c r="F149">
        <v>0</v>
      </c>
    </row>
    <row r="150" spans="1:6" hidden="1" x14ac:dyDescent="0.2">
      <c r="A150">
        <f>SUBTOTAL(3,$B$6:B150)</f>
        <v>114</v>
      </c>
      <c r="B150" t="s">
        <v>342</v>
      </c>
      <c r="C150" t="s">
        <v>852</v>
      </c>
      <c r="D150">
        <v>-1037.548</v>
      </c>
      <c r="E150">
        <v>0</v>
      </c>
      <c r="F150">
        <v>-1037.548</v>
      </c>
    </row>
    <row r="151" spans="1:6" hidden="1" x14ac:dyDescent="0.2">
      <c r="A151">
        <f>SUBTOTAL(3,$B$6:B151)</f>
        <v>114</v>
      </c>
      <c r="B151" t="s">
        <v>342</v>
      </c>
      <c r="C151" t="s">
        <v>855</v>
      </c>
      <c r="D151">
        <v>283546.20400000009</v>
      </c>
      <c r="E151">
        <v>0</v>
      </c>
      <c r="F151">
        <v>283546.20400000009</v>
      </c>
    </row>
    <row r="152" spans="1:6" hidden="1" x14ac:dyDescent="0.2">
      <c r="A152">
        <f>SUBTOTAL(3,$B$6:B152)</f>
        <v>114</v>
      </c>
      <c r="B152" t="s">
        <v>342</v>
      </c>
      <c r="C152" t="s">
        <v>367</v>
      </c>
      <c r="D152">
        <v>227610.35100000002</v>
      </c>
      <c r="E152">
        <v>0</v>
      </c>
      <c r="F152">
        <v>227610.35100000002</v>
      </c>
    </row>
    <row r="153" spans="1:6" hidden="1" x14ac:dyDescent="0.2">
      <c r="A153">
        <f>SUBTOTAL(3,$B$6:B153)</f>
        <v>114</v>
      </c>
      <c r="B153" t="s">
        <v>342</v>
      </c>
      <c r="C153" t="s">
        <v>858</v>
      </c>
      <c r="D153">
        <v>1585122.3350000002</v>
      </c>
      <c r="E153">
        <v>0</v>
      </c>
      <c r="F153">
        <v>1585122.3350000002</v>
      </c>
    </row>
    <row r="154" spans="1:6" hidden="1" x14ac:dyDescent="0.2">
      <c r="A154">
        <f>SUBTOTAL(3,$B$6:B154)</f>
        <v>114</v>
      </c>
      <c r="B154" t="s">
        <v>342</v>
      </c>
      <c r="C154" t="s">
        <v>861</v>
      </c>
      <c r="D154">
        <v>-1.8189894035458565E-12</v>
      </c>
      <c r="E154">
        <v>0</v>
      </c>
      <c r="F154">
        <v>-1.8189894035458565E-12</v>
      </c>
    </row>
    <row r="155" spans="1:6" hidden="1" x14ac:dyDescent="0.2">
      <c r="A155">
        <f>SUBTOTAL(3,$B$6:B155)</f>
        <v>114</v>
      </c>
      <c r="B155" t="s">
        <v>342</v>
      </c>
      <c r="C155" t="s">
        <v>874</v>
      </c>
      <c r="D155">
        <v>869330.30200000177</v>
      </c>
      <c r="E155">
        <v>0</v>
      </c>
      <c r="F155">
        <v>869330.30200000177</v>
      </c>
    </row>
    <row r="156" spans="1:6" hidden="1" x14ac:dyDescent="0.2">
      <c r="A156">
        <f>SUBTOTAL(3,$B$6:B156)</f>
        <v>114</v>
      </c>
      <c r="B156" t="s">
        <v>342</v>
      </c>
      <c r="C156" t="s">
        <v>877</v>
      </c>
      <c r="D156">
        <v>806117.66500000074</v>
      </c>
      <c r="E156">
        <v>0</v>
      </c>
      <c r="F156">
        <v>806117.66500000074</v>
      </c>
    </row>
    <row r="157" spans="1:6" hidden="1" x14ac:dyDescent="0.2">
      <c r="A157">
        <f>SUBTOTAL(3,$B$6:B157)</f>
        <v>114</v>
      </c>
      <c r="B157" t="s">
        <v>342</v>
      </c>
      <c r="C157" t="s">
        <v>880</v>
      </c>
      <c r="D157">
        <v>1740.1639999999998</v>
      </c>
      <c r="E157">
        <v>0</v>
      </c>
      <c r="F157">
        <v>1740.1639999999998</v>
      </c>
    </row>
    <row r="158" spans="1:6" hidden="1" x14ac:dyDescent="0.2">
      <c r="A158">
        <f>SUBTOTAL(3,$B$6:B158)</f>
        <v>114</v>
      </c>
      <c r="B158" t="s">
        <v>342</v>
      </c>
      <c r="C158" t="s">
        <v>881</v>
      </c>
      <c r="D158">
        <v>532961.179</v>
      </c>
      <c r="E158">
        <v>0</v>
      </c>
      <c r="F158">
        <v>532961.179</v>
      </c>
    </row>
    <row r="159" spans="1:6" hidden="1" x14ac:dyDescent="0.2">
      <c r="A159">
        <f>SUBTOTAL(3,$B$6:B159)</f>
        <v>114</v>
      </c>
      <c r="B159" t="s">
        <v>342</v>
      </c>
      <c r="C159" t="s">
        <v>882</v>
      </c>
      <c r="D159">
        <v>345971.88600000081</v>
      </c>
      <c r="E159">
        <v>0</v>
      </c>
      <c r="F159">
        <v>345971.88600000081</v>
      </c>
    </row>
    <row r="160" spans="1:6" hidden="1" x14ac:dyDescent="0.2">
      <c r="A160">
        <f>SUBTOTAL(3,$B$6:B160)</f>
        <v>114</v>
      </c>
      <c r="B160" t="s">
        <v>342</v>
      </c>
      <c r="C160" t="s">
        <v>886</v>
      </c>
      <c r="D160">
        <v>2976.2950000000001</v>
      </c>
      <c r="E160">
        <v>0</v>
      </c>
      <c r="F160">
        <v>2976.2950000000001</v>
      </c>
    </row>
    <row r="161" spans="1:6" hidden="1" x14ac:dyDescent="0.2">
      <c r="A161">
        <f>SUBTOTAL(3,$B$6:B161)</f>
        <v>114</v>
      </c>
      <c r="B161" t="s">
        <v>342</v>
      </c>
      <c r="C161" t="s">
        <v>889</v>
      </c>
      <c r="D161">
        <v>0</v>
      </c>
      <c r="E161">
        <v>0</v>
      </c>
      <c r="F161">
        <v>0</v>
      </c>
    </row>
    <row r="162" spans="1:6" hidden="1" x14ac:dyDescent="0.2">
      <c r="A162">
        <f>SUBTOTAL(3,$B$6:B162)</f>
        <v>114</v>
      </c>
      <c r="B162" t="s">
        <v>342</v>
      </c>
      <c r="C162" t="s">
        <v>890</v>
      </c>
      <c r="D162">
        <v>527763.85799999977</v>
      </c>
      <c r="E162">
        <v>0</v>
      </c>
      <c r="F162">
        <v>527763.85799999977</v>
      </c>
    </row>
    <row r="163" spans="1:6" hidden="1" x14ac:dyDescent="0.2">
      <c r="A163">
        <f>SUBTOTAL(3,$B$6:B163)</f>
        <v>114</v>
      </c>
      <c r="B163" t="s">
        <v>342</v>
      </c>
      <c r="C163" t="s">
        <v>896</v>
      </c>
      <c r="D163">
        <v>607907.07399999944</v>
      </c>
      <c r="E163">
        <v>0</v>
      </c>
      <c r="F163">
        <v>607907.07399999944</v>
      </c>
    </row>
    <row r="164" spans="1:6" hidden="1" x14ac:dyDescent="0.2">
      <c r="A164">
        <f>SUBTOTAL(3,$B$6:B164)</f>
        <v>114</v>
      </c>
      <c r="B164" t="s">
        <v>342</v>
      </c>
      <c r="C164" t="s">
        <v>898</v>
      </c>
      <c r="D164">
        <v>-305.43099999999998</v>
      </c>
      <c r="E164">
        <v>0</v>
      </c>
      <c r="F164">
        <v>-305.43099999999998</v>
      </c>
    </row>
    <row r="165" spans="1:6" hidden="1" x14ac:dyDescent="0.2">
      <c r="A165">
        <f>SUBTOTAL(3,$B$6:B165)</f>
        <v>114</v>
      </c>
      <c r="B165" t="s">
        <v>342</v>
      </c>
      <c r="C165" t="s">
        <v>899</v>
      </c>
      <c r="D165">
        <v>1059.008</v>
      </c>
      <c r="E165">
        <v>0</v>
      </c>
      <c r="F165">
        <v>1059.008</v>
      </c>
    </row>
    <row r="166" spans="1:6" hidden="1" x14ac:dyDescent="0.2">
      <c r="A166">
        <f>SUBTOTAL(3,$B$6:B166)</f>
        <v>114</v>
      </c>
      <c r="B166" t="s">
        <v>342</v>
      </c>
      <c r="C166" t="s">
        <v>903</v>
      </c>
      <c r="D166">
        <v>47758.637999999992</v>
      </c>
      <c r="E166">
        <v>0</v>
      </c>
      <c r="F166">
        <v>47758.637999999992</v>
      </c>
    </row>
    <row r="167" spans="1:6" hidden="1" x14ac:dyDescent="0.2">
      <c r="A167">
        <f>SUBTOTAL(3,$B$6:B167)</f>
        <v>114</v>
      </c>
      <c r="B167" t="s">
        <v>342</v>
      </c>
      <c r="C167" t="s">
        <v>905</v>
      </c>
      <c r="D167">
        <v>-2666.3399999999983</v>
      </c>
      <c r="E167">
        <v>0</v>
      </c>
      <c r="F167">
        <v>-2666.3399999999983</v>
      </c>
    </row>
    <row r="168" spans="1:6" hidden="1" x14ac:dyDescent="0.2">
      <c r="A168">
        <f>SUBTOTAL(3,$B$6:B168)</f>
        <v>114</v>
      </c>
      <c r="B168" t="s">
        <v>342</v>
      </c>
      <c r="C168" t="s">
        <v>910</v>
      </c>
      <c r="D168">
        <v>-59426.969999999979</v>
      </c>
      <c r="E168">
        <v>0</v>
      </c>
      <c r="F168">
        <v>-59426.969999999979</v>
      </c>
    </row>
    <row r="169" spans="1:6" hidden="1" x14ac:dyDescent="0.2">
      <c r="A169">
        <f>SUBTOTAL(3,$B$6:B169)</f>
        <v>114</v>
      </c>
      <c r="B169" t="s">
        <v>342</v>
      </c>
      <c r="C169" t="s">
        <v>912</v>
      </c>
      <c r="D169">
        <v>-2264.66</v>
      </c>
      <c r="E169">
        <v>0</v>
      </c>
      <c r="F169">
        <v>-2264.66</v>
      </c>
    </row>
    <row r="170" spans="1:6" hidden="1" x14ac:dyDescent="0.2">
      <c r="A170">
        <f>SUBTOTAL(3,$B$6:B170)</f>
        <v>114</v>
      </c>
      <c r="B170" t="s">
        <v>342</v>
      </c>
      <c r="C170" t="s">
        <v>915</v>
      </c>
      <c r="D170">
        <v>81727.564000000086</v>
      </c>
      <c r="E170">
        <v>0</v>
      </c>
      <c r="F170">
        <v>81727.564000000086</v>
      </c>
    </row>
    <row r="171" spans="1:6" hidden="1" x14ac:dyDescent="0.2">
      <c r="A171">
        <f>SUBTOTAL(3,$B$6:B171)</f>
        <v>114</v>
      </c>
      <c r="B171" t="s">
        <v>342</v>
      </c>
      <c r="C171" t="s">
        <v>363</v>
      </c>
      <c r="D171">
        <v>0</v>
      </c>
      <c r="E171">
        <v>0</v>
      </c>
      <c r="F171">
        <v>0</v>
      </c>
    </row>
    <row r="172" spans="1:6" hidden="1" x14ac:dyDescent="0.2">
      <c r="A172">
        <f>SUBTOTAL(3,$B$6:B172)</f>
        <v>114</v>
      </c>
      <c r="B172" t="s">
        <v>342</v>
      </c>
      <c r="C172" t="s">
        <v>919</v>
      </c>
      <c r="D172">
        <v>4860033.3970000027</v>
      </c>
      <c r="E172">
        <v>0</v>
      </c>
      <c r="F172">
        <v>4860033.3970000027</v>
      </c>
    </row>
    <row r="173" spans="1:6" hidden="1" x14ac:dyDescent="0.2">
      <c r="A173">
        <f>SUBTOTAL(3,$B$6:B173)</f>
        <v>114</v>
      </c>
      <c r="B173" t="s">
        <v>342</v>
      </c>
      <c r="C173" t="s">
        <v>927</v>
      </c>
      <c r="D173">
        <v>2316275.5459999987</v>
      </c>
      <c r="E173">
        <v>0</v>
      </c>
      <c r="F173">
        <v>2316275.5459999987</v>
      </c>
    </row>
    <row r="174" spans="1:6" hidden="1" x14ac:dyDescent="0.2">
      <c r="A174">
        <f>SUBTOTAL(3,$B$6:B174)</f>
        <v>114</v>
      </c>
      <c r="B174" t="s">
        <v>351</v>
      </c>
      <c r="C174" t="s">
        <v>841</v>
      </c>
      <c r="D174">
        <v>0</v>
      </c>
      <c r="E174">
        <v>0</v>
      </c>
      <c r="F174">
        <v>0</v>
      </c>
    </row>
    <row r="175" spans="1:6" hidden="1" x14ac:dyDescent="0.2">
      <c r="A175">
        <f>SUBTOTAL(3,$B$6:B175)</f>
        <v>114</v>
      </c>
      <c r="B175" t="s">
        <v>351</v>
      </c>
      <c r="C175" t="s">
        <v>842</v>
      </c>
      <c r="D175">
        <v>51780.096000000034</v>
      </c>
      <c r="E175">
        <v>0</v>
      </c>
      <c r="F175">
        <v>51780.096000000034</v>
      </c>
    </row>
    <row r="176" spans="1:6" hidden="1" x14ac:dyDescent="0.2">
      <c r="A176">
        <f>SUBTOTAL(3,$B$6:B176)</f>
        <v>114</v>
      </c>
      <c r="B176" t="s">
        <v>351</v>
      </c>
      <c r="C176" t="s">
        <v>843</v>
      </c>
      <c r="D176">
        <v>60037.452000000019</v>
      </c>
      <c r="E176">
        <v>0</v>
      </c>
      <c r="F176">
        <v>60037.452000000019</v>
      </c>
    </row>
    <row r="177" spans="1:6" hidden="1" x14ac:dyDescent="0.2">
      <c r="A177">
        <f>SUBTOTAL(3,$B$6:B177)</f>
        <v>114</v>
      </c>
      <c r="B177" t="s">
        <v>351</v>
      </c>
      <c r="C177" t="s">
        <v>845</v>
      </c>
      <c r="D177">
        <v>0</v>
      </c>
      <c r="E177">
        <v>0</v>
      </c>
      <c r="F177">
        <v>0</v>
      </c>
    </row>
    <row r="178" spans="1:6" hidden="1" x14ac:dyDescent="0.2">
      <c r="A178">
        <f>SUBTOTAL(3,$B$6:B178)</f>
        <v>114</v>
      </c>
      <c r="B178" t="s">
        <v>351</v>
      </c>
      <c r="C178" t="s">
        <v>357</v>
      </c>
      <c r="D178">
        <v>870.22199999999998</v>
      </c>
      <c r="E178">
        <v>0</v>
      </c>
      <c r="F178">
        <v>870.22199999999998</v>
      </c>
    </row>
    <row r="179" spans="1:6" hidden="1" x14ac:dyDescent="0.2">
      <c r="A179">
        <f>SUBTOTAL(3,$B$6:B179)</f>
        <v>114</v>
      </c>
      <c r="B179" t="s">
        <v>351</v>
      </c>
      <c r="C179" t="s">
        <v>846</v>
      </c>
      <c r="D179">
        <v>2784.12</v>
      </c>
      <c r="E179">
        <v>0</v>
      </c>
      <c r="F179">
        <v>2784.12</v>
      </c>
    </row>
    <row r="180" spans="1:6" hidden="1" x14ac:dyDescent="0.2">
      <c r="A180">
        <f>SUBTOTAL(3,$B$6:B180)</f>
        <v>114</v>
      </c>
      <c r="B180" t="s">
        <v>351</v>
      </c>
      <c r="C180" t="s">
        <v>847</v>
      </c>
      <c r="D180">
        <v>3104.9070000000002</v>
      </c>
      <c r="E180">
        <v>0</v>
      </c>
      <c r="F180">
        <v>3104.9070000000002</v>
      </c>
    </row>
    <row r="181" spans="1:6" hidden="1" x14ac:dyDescent="0.2">
      <c r="A181">
        <f>SUBTOTAL(3,$B$6:B181)</f>
        <v>114</v>
      </c>
      <c r="B181" t="s">
        <v>351</v>
      </c>
      <c r="C181" t="s">
        <v>848</v>
      </c>
      <c r="D181">
        <v>582.07600000000002</v>
      </c>
      <c r="E181">
        <v>0</v>
      </c>
      <c r="F181">
        <v>582.07600000000002</v>
      </c>
    </row>
    <row r="182" spans="1:6" hidden="1" x14ac:dyDescent="0.2">
      <c r="A182">
        <f>SUBTOTAL(3,$B$6:B182)</f>
        <v>114</v>
      </c>
      <c r="B182" t="s">
        <v>351</v>
      </c>
      <c r="C182" t="s">
        <v>849</v>
      </c>
      <c r="D182">
        <v>30.515999999999998</v>
      </c>
      <c r="E182">
        <v>0</v>
      </c>
      <c r="F182">
        <v>30.515999999999998</v>
      </c>
    </row>
    <row r="183" spans="1:6" hidden="1" x14ac:dyDescent="0.2">
      <c r="A183">
        <f>SUBTOTAL(3,$B$6:B183)</f>
        <v>114</v>
      </c>
      <c r="B183" t="s">
        <v>351</v>
      </c>
      <c r="C183" t="s">
        <v>366</v>
      </c>
      <c r="D183">
        <v>686.87799999999993</v>
      </c>
      <c r="E183">
        <v>0</v>
      </c>
      <c r="F183">
        <v>686.87799999999993</v>
      </c>
    </row>
    <row r="184" spans="1:6" hidden="1" x14ac:dyDescent="0.2">
      <c r="A184">
        <f>SUBTOTAL(3,$B$6:B184)</f>
        <v>114</v>
      </c>
      <c r="B184" t="s">
        <v>351</v>
      </c>
      <c r="C184" t="s">
        <v>353</v>
      </c>
      <c r="D184">
        <v>1303.057</v>
      </c>
      <c r="E184">
        <v>0</v>
      </c>
      <c r="F184">
        <v>1303.057</v>
      </c>
    </row>
    <row r="185" spans="1:6" hidden="1" x14ac:dyDescent="0.2">
      <c r="A185">
        <f>SUBTOTAL(3,$B$6:B185)</f>
        <v>114</v>
      </c>
      <c r="B185" t="s">
        <v>351</v>
      </c>
      <c r="C185" t="s">
        <v>850</v>
      </c>
      <c r="D185">
        <v>19110.163999999986</v>
      </c>
      <c r="E185">
        <v>0</v>
      </c>
      <c r="F185">
        <v>19110.163999999986</v>
      </c>
    </row>
    <row r="186" spans="1:6" hidden="1" x14ac:dyDescent="0.2">
      <c r="A186">
        <f>SUBTOTAL(3,$B$6:B186)</f>
        <v>114</v>
      </c>
      <c r="B186" t="s">
        <v>351</v>
      </c>
      <c r="C186" t="s">
        <v>852</v>
      </c>
      <c r="D186">
        <v>851.36099999999999</v>
      </c>
      <c r="E186">
        <v>0</v>
      </c>
      <c r="F186">
        <v>851.36099999999999</v>
      </c>
    </row>
    <row r="187" spans="1:6" hidden="1" x14ac:dyDescent="0.2">
      <c r="A187">
        <f>SUBTOTAL(3,$B$6:B187)</f>
        <v>114</v>
      </c>
      <c r="B187" t="s">
        <v>351</v>
      </c>
      <c r="C187" t="s">
        <v>853</v>
      </c>
      <c r="D187">
        <v>1026.9500000000007</v>
      </c>
      <c r="E187">
        <v>0</v>
      </c>
      <c r="F187">
        <v>1026.9500000000007</v>
      </c>
    </row>
    <row r="188" spans="1:6" hidden="1" x14ac:dyDescent="0.2">
      <c r="A188">
        <f>SUBTOTAL(3,$B$6:B188)</f>
        <v>114</v>
      </c>
      <c r="B188" t="s">
        <v>351</v>
      </c>
      <c r="C188" t="s">
        <v>855</v>
      </c>
      <c r="D188">
        <v>43285.503000000004</v>
      </c>
      <c r="E188">
        <v>0</v>
      </c>
      <c r="F188">
        <v>43285.503000000004</v>
      </c>
    </row>
    <row r="189" spans="1:6" hidden="1" x14ac:dyDescent="0.2">
      <c r="A189">
        <f>SUBTOTAL(3,$B$6:B189)</f>
        <v>114</v>
      </c>
      <c r="B189" t="s">
        <v>351</v>
      </c>
      <c r="C189" t="s">
        <v>367</v>
      </c>
      <c r="D189">
        <v>1833.9</v>
      </c>
      <c r="E189">
        <v>0</v>
      </c>
      <c r="F189">
        <v>1833.9</v>
      </c>
    </row>
    <row r="190" spans="1:6" hidden="1" x14ac:dyDescent="0.2">
      <c r="A190">
        <f>SUBTOTAL(3,$B$6:B190)</f>
        <v>114</v>
      </c>
      <c r="B190" t="s">
        <v>351</v>
      </c>
      <c r="C190" t="s">
        <v>857</v>
      </c>
      <c r="D190">
        <v>-754.52000000000021</v>
      </c>
      <c r="E190">
        <v>0</v>
      </c>
      <c r="F190">
        <v>-754.52000000000021</v>
      </c>
    </row>
    <row r="191" spans="1:6" hidden="1" x14ac:dyDescent="0.2">
      <c r="A191">
        <f>SUBTOTAL(3,$B$6:B191)</f>
        <v>114</v>
      </c>
      <c r="B191" t="s">
        <v>351</v>
      </c>
      <c r="C191" t="s">
        <v>858</v>
      </c>
      <c r="D191">
        <v>424338.99499999976</v>
      </c>
      <c r="E191">
        <v>0</v>
      </c>
      <c r="F191">
        <v>424338.99499999976</v>
      </c>
    </row>
    <row r="192" spans="1:6" hidden="1" x14ac:dyDescent="0.2">
      <c r="A192">
        <f>SUBTOTAL(3,$B$6:B192)</f>
        <v>114</v>
      </c>
      <c r="B192" t="s">
        <v>351</v>
      </c>
      <c r="C192" t="s">
        <v>859</v>
      </c>
      <c r="D192">
        <v>39017.260000000038</v>
      </c>
      <c r="E192">
        <v>0</v>
      </c>
      <c r="F192">
        <v>39017.260000000038</v>
      </c>
    </row>
    <row r="193" spans="1:6" hidden="1" x14ac:dyDescent="0.2">
      <c r="A193">
        <f>SUBTOTAL(3,$B$6:B193)</f>
        <v>114</v>
      </c>
      <c r="B193" t="s">
        <v>351</v>
      </c>
      <c r="C193" t="s">
        <v>860</v>
      </c>
      <c r="D193">
        <v>45065.762000000017</v>
      </c>
      <c r="E193">
        <v>0</v>
      </c>
      <c r="F193">
        <v>45065.762000000017</v>
      </c>
    </row>
    <row r="194" spans="1:6" hidden="1" x14ac:dyDescent="0.2">
      <c r="A194">
        <f>SUBTOTAL(3,$B$6:B194)</f>
        <v>114</v>
      </c>
      <c r="B194" t="s">
        <v>351</v>
      </c>
      <c r="C194" t="s">
        <v>862</v>
      </c>
      <c r="D194">
        <v>37129.619000000013</v>
      </c>
      <c r="E194">
        <v>0</v>
      </c>
      <c r="F194">
        <v>37129.619000000013</v>
      </c>
    </row>
    <row r="195" spans="1:6" hidden="1" x14ac:dyDescent="0.2">
      <c r="A195">
        <f>SUBTOTAL(3,$B$6:B195)</f>
        <v>114</v>
      </c>
      <c r="B195" t="s">
        <v>351</v>
      </c>
      <c r="C195" t="s">
        <v>863</v>
      </c>
      <c r="D195">
        <v>1068.8500000000001</v>
      </c>
      <c r="E195">
        <v>0</v>
      </c>
      <c r="F195">
        <v>1068.8500000000001</v>
      </c>
    </row>
    <row r="196" spans="1:6" hidden="1" x14ac:dyDescent="0.2">
      <c r="A196">
        <f>SUBTOTAL(3,$B$6:B196)</f>
        <v>114</v>
      </c>
      <c r="B196" t="s">
        <v>351</v>
      </c>
      <c r="C196" t="s">
        <v>865</v>
      </c>
      <c r="D196">
        <v>165.018</v>
      </c>
      <c r="E196">
        <v>0</v>
      </c>
      <c r="F196">
        <v>165.018</v>
      </c>
    </row>
    <row r="197" spans="1:6" hidden="1" x14ac:dyDescent="0.2">
      <c r="A197">
        <f>SUBTOTAL(3,$B$6:B197)</f>
        <v>114</v>
      </c>
      <c r="B197" t="s">
        <v>351</v>
      </c>
      <c r="C197" t="s">
        <v>355</v>
      </c>
      <c r="D197">
        <v>84.13000000000001</v>
      </c>
      <c r="E197">
        <v>0</v>
      </c>
      <c r="F197">
        <v>84.13000000000001</v>
      </c>
    </row>
    <row r="198" spans="1:6" hidden="1" x14ac:dyDescent="0.2">
      <c r="A198">
        <f>SUBTOTAL(3,$B$6:B198)</f>
        <v>114</v>
      </c>
      <c r="B198" t="s">
        <v>351</v>
      </c>
      <c r="C198" t="s">
        <v>866</v>
      </c>
      <c r="D198">
        <v>312650.40200000023</v>
      </c>
      <c r="E198">
        <v>0</v>
      </c>
      <c r="F198">
        <v>312650.40200000023</v>
      </c>
    </row>
    <row r="199" spans="1:6" hidden="1" x14ac:dyDescent="0.2">
      <c r="A199">
        <f>SUBTOTAL(3,$B$6:B199)</f>
        <v>114</v>
      </c>
      <c r="B199" t="s">
        <v>351</v>
      </c>
      <c r="C199" t="s">
        <v>867</v>
      </c>
      <c r="D199">
        <v>0</v>
      </c>
      <c r="E199">
        <v>0</v>
      </c>
      <c r="F199">
        <v>0</v>
      </c>
    </row>
    <row r="200" spans="1:6" hidden="1" x14ac:dyDescent="0.2">
      <c r="A200">
        <f>SUBTOTAL(3,$B$6:B200)</f>
        <v>114</v>
      </c>
      <c r="B200" t="s">
        <v>351</v>
      </c>
      <c r="C200" t="s">
        <v>868</v>
      </c>
      <c r="D200">
        <v>154.30000000000001</v>
      </c>
      <c r="E200">
        <v>0</v>
      </c>
      <c r="F200">
        <v>154.30000000000001</v>
      </c>
    </row>
    <row r="201" spans="1:6" hidden="1" x14ac:dyDescent="0.2">
      <c r="A201">
        <f>SUBTOTAL(3,$B$6:B201)</f>
        <v>114</v>
      </c>
      <c r="B201" t="s">
        <v>351</v>
      </c>
      <c r="C201" t="s">
        <v>869</v>
      </c>
      <c r="D201">
        <v>153297.66999999998</v>
      </c>
      <c r="E201">
        <v>0</v>
      </c>
      <c r="F201">
        <v>153297.66999999998</v>
      </c>
    </row>
    <row r="202" spans="1:6" hidden="1" x14ac:dyDescent="0.2">
      <c r="A202">
        <f>SUBTOTAL(3,$B$6:B202)</f>
        <v>114</v>
      </c>
      <c r="B202" t="s">
        <v>351</v>
      </c>
      <c r="C202" t="s">
        <v>870</v>
      </c>
      <c r="D202">
        <v>0</v>
      </c>
      <c r="E202">
        <v>0</v>
      </c>
      <c r="F202">
        <v>0</v>
      </c>
    </row>
    <row r="203" spans="1:6" hidden="1" x14ac:dyDescent="0.2">
      <c r="A203">
        <f>SUBTOTAL(3,$B$6:B203)</f>
        <v>114</v>
      </c>
      <c r="B203" t="s">
        <v>351</v>
      </c>
      <c r="C203" t="s">
        <v>872</v>
      </c>
      <c r="D203">
        <v>18312.857999999997</v>
      </c>
      <c r="E203">
        <v>0</v>
      </c>
      <c r="F203">
        <v>18312.857999999997</v>
      </c>
    </row>
    <row r="204" spans="1:6" hidden="1" x14ac:dyDescent="0.2">
      <c r="A204">
        <f>SUBTOTAL(3,$B$6:B204)</f>
        <v>114</v>
      </c>
      <c r="B204" t="s">
        <v>351</v>
      </c>
      <c r="C204" t="s">
        <v>874</v>
      </c>
      <c r="D204">
        <v>64684.269000000008</v>
      </c>
      <c r="E204">
        <v>0</v>
      </c>
      <c r="F204">
        <v>64684.269000000008</v>
      </c>
    </row>
    <row r="205" spans="1:6" hidden="1" x14ac:dyDescent="0.2">
      <c r="A205">
        <f>SUBTOTAL(3,$B$6:B205)</f>
        <v>114</v>
      </c>
      <c r="B205" t="s">
        <v>351</v>
      </c>
      <c r="C205" t="s">
        <v>875</v>
      </c>
      <c r="D205">
        <v>26258.227000000003</v>
      </c>
      <c r="E205">
        <v>0</v>
      </c>
      <c r="F205">
        <v>26258.227000000003</v>
      </c>
    </row>
    <row r="206" spans="1:6" hidden="1" x14ac:dyDescent="0.2">
      <c r="A206">
        <f>SUBTOTAL(3,$B$6:B206)</f>
        <v>114</v>
      </c>
      <c r="B206" t="s">
        <v>351</v>
      </c>
      <c r="C206" t="s">
        <v>362</v>
      </c>
      <c r="D206">
        <v>1585.963</v>
      </c>
      <c r="E206">
        <v>0</v>
      </c>
      <c r="F206">
        <v>1585.963</v>
      </c>
    </row>
    <row r="207" spans="1:6" hidden="1" x14ac:dyDescent="0.2">
      <c r="A207">
        <f>SUBTOTAL(3,$B$6:B207)</f>
        <v>114</v>
      </c>
      <c r="B207" t="s">
        <v>351</v>
      </c>
      <c r="C207" t="s">
        <v>877</v>
      </c>
      <c r="D207">
        <v>49207.873999999974</v>
      </c>
      <c r="E207">
        <v>0</v>
      </c>
      <c r="F207">
        <v>49207.873999999974</v>
      </c>
    </row>
    <row r="208" spans="1:6" hidden="1" x14ac:dyDescent="0.2">
      <c r="A208">
        <f>SUBTOTAL(3,$B$6:B208)</f>
        <v>114</v>
      </c>
      <c r="B208" t="s">
        <v>351</v>
      </c>
      <c r="C208" t="s">
        <v>881</v>
      </c>
      <c r="D208">
        <v>22604.985000000004</v>
      </c>
      <c r="E208">
        <v>0</v>
      </c>
      <c r="F208">
        <v>22604.985000000004</v>
      </c>
    </row>
    <row r="209" spans="1:6" hidden="1" x14ac:dyDescent="0.2">
      <c r="A209">
        <f>SUBTOTAL(3,$B$6:B209)</f>
        <v>114</v>
      </c>
      <c r="B209" t="s">
        <v>351</v>
      </c>
      <c r="C209" t="s">
        <v>882</v>
      </c>
      <c r="D209">
        <v>50827.309000000008</v>
      </c>
      <c r="E209">
        <v>0</v>
      </c>
      <c r="F209">
        <v>50827.309000000008</v>
      </c>
    </row>
    <row r="210" spans="1:6" hidden="1" x14ac:dyDescent="0.2">
      <c r="A210">
        <f>SUBTOTAL(3,$B$6:B210)</f>
        <v>114</v>
      </c>
      <c r="B210" t="s">
        <v>351</v>
      </c>
      <c r="C210" t="s">
        <v>885</v>
      </c>
      <c r="D210">
        <v>48417.662000000055</v>
      </c>
      <c r="E210">
        <v>0</v>
      </c>
      <c r="F210">
        <v>48417.662000000055</v>
      </c>
    </row>
    <row r="211" spans="1:6" hidden="1" x14ac:dyDescent="0.2">
      <c r="A211">
        <f>SUBTOTAL(3,$B$6:B211)</f>
        <v>114</v>
      </c>
      <c r="B211" t="s">
        <v>351</v>
      </c>
      <c r="C211" t="s">
        <v>886</v>
      </c>
      <c r="D211">
        <v>155.24</v>
      </c>
      <c r="E211">
        <v>0</v>
      </c>
      <c r="F211">
        <v>155.24</v>
      </c>
    </row>
    <row r="212" spans="1:6" hidden="1" x14ac:dyDescent="0.2">
      <c r="A212">
        <f>SUBTOTAL(3,$B$6:B212)</f>
        <v>114</v>
      </c>
      <c r="B212" t="s">
        <v>351</v>
      </c>
      <c r="C212" t="s">
        <v>887</v>
      </c>
      <c r="D212">
        <v>377.01400000000001</v>
      </c>
      <c r="E212">
        <v>0</v>
      </c>
      <c r="F212">
        <v>377.01400000000001</v>
      </c>
    </row>
    <row r="213" spans="1:6" hidden="1" x14ac:dyDescent="0.2">
      <c r="A213">
        <f>SUBTOTAL(3,$B$6:B213)</f>
        <v>114</v>
      </c>
      <c r="B213" t="s">
        <v>351</v>
      </c>
      <c r="C213" t="s">
        <v>361</v>
      </c>
      <c r="D213">
        <v>3990.8119999999999</v>
      </c>
      <c r="E213">
        <v>0</v>
      </c>
      <c r="F213">
        <v>3990.8119999999999</v>
      </c>
    </row>
    <row r="214" spans="1:6" hidden="1" x14ac:dyDescent="0.2">
      <c r="A214">
        <f>SUBTOTAL(3,$B$6:B214)</f>
        <v>114</v>
      </c>
      <c r="B214" t="s">
        <v>351</v>
      </c>
      <c r="C214" t="s">
        <v>358</v>
      </c>
      <c r="D214">
        <v>32004.456000000013</v>
      </c>
      <c r="E214">
        <v>0</v>
      </c>
      <c r="F214">
        <v>32004.456000000013</v>
      </c>
    </row>
    <row r="215" spans="1:6" hidden="1" x14ac:dyDescent="0.2">
      <c r="A215">
        <f>SUBTOTAL(3,$B$6:B215)</f>
        <v>114</v>
      </c>
      <c r="B215" t="s">
        <v>351</v>
      </c>
      <c r="C215" t="s">
        <v>890</v>
      </c>
      <c r="D215">
        <v>8331.7199999999957</v>
      </c>
      <c r="E215">
        <v>0</v>
      </c>
      <c r="F215">
        <v>8331.7199999999957</v>
      </c>
    </row>
    <row r="216" spans="1:6" hidden="1" x14ac:dyDescent="0.2">
      <c r="A216">
        <f>SUBTOTAL(3,$B$6:B216)</f>
        <v>114</v>
      </c>
      <c r="B216" t="s">
        <v>351</v>
      </c>
      <c r="C216" t="s">
        <v>891</v>
      </c>
      <c r="D216">
        <v>32810.344000000019</v>
      </c>
      <c r="E216">
        <v>0</v>
      </c>
      <c r="F216">
        <v>32810.344000000019</v>
      </c>
    </row>
    <row r="217" spans="1:6" hidden="1" x14ac:dyDescent="0.2">
      <c r="A217">
        <f>SUBTOTAL(3,$B$6:B217)</f>
        <v>114</v>
      </c>
      <c r="B217" t="s">
        <v>351</v>
      </c>
      <c r="C217" t="s">
        <v>893</v>
      </c>
      <c r="D217">
        <v>2673.3850000000002</v>
      </c>
      <c r="E217">
        <v>0</v>
      </c>
      <c r="F217">
        <v>2673.3850000000002</v>
      </c>
    </row>
    <row r="218" spans="1:6" hidden="1" x14ac:dyDescent="0.2">
      <c r="A218">
        <f>SUBTOTAL(3,$B$6:B218)</f>
        <v>114</v>
      </c>
      <c r="B218" t="s">
        <v>351</v>
      </c>
      <c r="C218" t="s">
        <v>894</v>
      </c>
      <c r="D218">
        <v>-229.46699999999998</v>
      </c>
      <c r="E218">
        <v>0</v>
      </c>
      <c r="F218">
        <v>-229.46699999999998</v>
      </c>
    </row>
    <row r="219" spans="1:6" hidden="1" x14ac:dyDescent="0.2">
      <c r="A219">
        <f>SUBTOTAL(3,$B$6:B219)</f>
        <v>114</v>
      </c>
      <c r="B219" t="s">
        <v>351</v>
      </c>
      <c r="C219" t="s">
        <v>895</v>
      </c>
      <c r="D219">
        <v>42084.005000000012</v>
      </c>
      <c r="E219">
        <v>0</v>
      </c>
      <c r="F219">
        <v>42084.005000000012</v>
      </c>
    </row>
    <row r="220" spans="1:6" hidden="1" x14ac:dyDescent="0.2">
      <c r="A220">
        <f>SUBTOTAL(3,$B$6:B220)</f>
        <v>114</v>
      </c>
      <c r="B220" t="s">
        <v>351</v>
      </c>
      <c r="C220" t="s">
        <v>896</v>
      </c>
      <c r="D220">
        <v>54633.709000000032</v>
      </c>
      <c r="E220">
        <v>0</v>
      </c>
      <c r="F220">
        <v>54633.709000000032</v>
      </c>
    </row>
    <row r="221" spans="1:6" hidden="1" x14ac:dyDescent="0.2">
      <c r="A221">
        <f>SUBTOTAL(3,$B$6:B221)</f>
        <v>114</v>
      </c>
      <c r="B221" t="s">
        <v>351</v>
      </c>
      <c r="C221" t="s">
        <v>903</v>
      </c>
      <c r="D221">
        <v>8101.7820000000029</v>
      </c>
      <c r="E221">
        <v>0</v>
      </c>
      <c r="F221">
        <v>8101.7820000000029</v>
      </c>
    </row>
    <row r="222" spans="1:6" hidden="1" x14ac:dyDescent="0.2">
      <c r="A222">
        <f>SUBTOTAL(3,$B$6:B222)</f>
        <v>114</v>
      </c>
      <c r="B222" t="s">
        <v>351</v>
      </c>
      <c r="C222" t="s">
        <v>365</v>
      </c>
      <c r="D222">
        <v>2094.6909999999989</v>
      </c>
      <c r="E222">
        <v>0</v>
      </c>
      <c r="F222">
        <v>2094.6909999999989</v>
      </c>
    </row>
    <row r="223" spans="1:6" hidden="1" x14ac:dyDescent="0.2">
      <c r="A223">
        <f>SUBTOTAL(3,$B$6:B223)</f>
        <v>114</v>
      </c>
      <c r="B223" t="s">
        <v>351</v>
      </c>
      <c r="C223" t="s">
        <v>904</v>
      </c>
      <c r="D223">
        <v>10498.684000000001</v>
      </c>
      <c r="E223">
        <v>0</v>
      </c>
      <c r="F223">
        <v>10498.684000000001</v>
      </c>
    </row>
    <row r="224" spans="1:6" hidden="1" x14ac:dyDescent="0.2">
      <c r="A224">
        <f>SUBTOTAL(3,$B$6:B224)</f>
        <v>114</v>
      </c>
      <c r="B224" t="s">
        <v>351</v>
      </c>
      <c r="C224" t="s">
        <v>905</v>
      </c>
      <c r="D224">
        <v>0</v>
      </c>
      <c r="E224">
        <v>0</v>
      </c>
      <c r="F224">
        <v>0</v>
      </c>
    </row>
    <row r="225" spans="1:6" hidden="1" x14ac:dyDescent="0.2">
      <c r="A225">
        <f>SUBTOTAL(3,$B$6:B225)</f>
        <v>114</v>
      </c>
      <c r="B225" t="s">
        <v>351</v>
      </c>
      <c r="C225" t="s">
        <v>907</v>
      </c>
      <c r="D225">
        <v>0</v>
      </c>
      <c r="E225">
        <v>0</v>
      </c>
      <c r="F225">
        <v>0</v>
      </c>
    </row>
    <row r="226" spans="1:6" hidden="1" x14ac:dyDescent="0.2">
      <c r="A226">
        <f>SUBTOTAL(3,$B$6:B226)</f>
        <v>114</v>
      </c>
      <c r="B226" t="s">
        <v>351</v>
      </c>
      <c r="C226" t="s">
        <v>908</v>
      </c>
      <c r="D226">
        <v>807.07899999999972</v>
      </c>
      <c r="E226">
        <v>0</v>
      </c>
      <c r="F226">
        <v>807.07899999999972</v>
      </c>
    </row>
    <row r="227" spans="1:6" hidden="1" x14ac:dyDescent="0.2">
      <c r="A227">
        <f>SUBTOTAL(3,$B$6:B227)</f>
        <v>114</v>
      </c>
      <c r="B227" t="s">
        <v>351</v>
      </c>
      <c r="C227" t="s">
        <v>909</v>
      </c>
      <c r="D227">
        <v>367106.9040000001</v>
      </c>
      <c r="E227">
        <v>0</v>
      </c>
      <c r="F227">
        <v>367106.9040000001</v>
      </c>
    </row>
    <row r="228" spans="1:6" hidden="1" x14ac:dyDescent="0.2">
      <c r="A228">
        <f>SUBTOTAL(3,$B$6:B228)</f>
        <v>114</v>
      </c>
      <c r="B228" t="s">
        <v>351</v>
      </c>
      <c r="C228" t="s">
        <v>910</v>
      </c>
      <c r="D228">
        <v>1102.8600000000001</v>
      </c>
      <c r="E228">
        <v>0</v>
      </c>
      <c r="F228">
        <v>1102.8600000000001</v>
      </c>
    </row>
    <row r="229" spans="1:6" hidden="1" x14ac:dyDescent="0.2">
      <c r="A229">
        <f>SUBTOTAL(3,$B$6:B229)</f>
        <v>114</v>
      </c>
      <c r="B229" t="s">
        <v>351</v>
      </c>
      <c r="C229" t="s">
        <v>354</v>
      </c>
      <c r="D229">
        <v>10114.194999999998</v>
      </c>
      <c r="E229">
        <v>0</v>
      </c>
      <c r="F229">
        <v>10114.194999999998</v>
      </c>
    </row>
    <row r="230" spans="1:6" hidden="1" x14ac:dyDescent="0.2">
      <c r="A230">
        <f>SUBTOTAL(3,$B$6:B230)</f>
        <v>114</v>
      </c>
      <c r="B230" t="s">
        <v>351</v>
      </c>
      <c r="C230" t="s">
        <v>912</v>
      </c>
      <c r="D230">
        <v>-1922.61</v>
      </c>
      <c r="E230">
        <v>0</v>
      </c>
      <c r="F230">
        <v>-1922.61</v>
      </c>
    </row>
    <row r="231" spans="1:6" hidden="1" x14ac:dyDescent="0.2">
      <c r="A231">
        <f>SUBTOTAL(3,$B$6:B231)</f>
        <v>114</v>
      </c>
      <c r="B231" t="s">
        <v>351</v>
      </c>
      <c r="C231" t="s">
        <v>913</v>
      </c>
      <c r="D231">
        <v>17239.457999999991</v>
      </c>
      <c r="E231">
        <v>0</v>
      </c>
      <c r="F231">
        <v>17239.457999999991</v>
      </c>
    </row>
    <row r="232" spans="1:6" hidden="1" x14ac:dyDescent="0.2">
      <c r="A232">
        <f>SUBTOTAL(3,$B$6:B232)</f>
        <v>114</v>
      </c>
      <c r="B232" t="s">
        <v>351</v>
      </c>
      <c r="C232" t="s">
        <v>915</v>
      </c>
      <c r="D232">
        <v>10587.685000000003</v>
      </c>
      <c r="E232">
        <v>0</v>
      </c>
      <c r="F232">
        <v>10587.685000000003</v>
      </c>
    </row>
    <row r="233" spans="1:6" hidden="1" x14ac:dyDescent="0.2">
      <c r="A233">
        <f>SUBTOTAL(3,$B$6:B233)</f>
        <v>114</v>
      </c>
      <c r="B233" t="s">
        <v>351</v>
      </c>
      <c r="C233" t="s">
        <v>916</v>
      </c>
      <c r="D233">
        <v>375.00200000000007</v>
      </c>
      <c r="E233">
        <v>0</v>
      </c>
      <c r="F233">
        <v>375.00200000000007</v>
      </c>
    </row>
    <row r="234" spans="1:6" hidden="1" x14ac:dyDescent="0.2">
      <c r="A234">
        <f>SUBTOTAL(3,$B$6:B234)</f>
        <v>114</v>
      </c>
      <c r="B234" t="s">
        <v>351</v>
      </c>
      <c r="C234" t="s">
        <v>917</v>
      </c>
      <c r="D234">
        <v>15705.108000000004</v>
      </c>
      <c r="E234">
        <v>0</v>
      </c>
      <c r="F234">
        <v>15705.108000000004</v>
      </c>
    </row>
    <row r="235" spans="1:6" hidden="1" x14ac:dyDescent="0.2">
      <c r="A235">
        <f>SUBTOTAL(3,$B$6:B235)</f>
        <v>114</v>
      </c>
      <c r="B235" t="s">
        <v>351</v>
      </c>
      <c r="C235" t="s">
        <v>918</v>
      </c>
      <c r="D235">
        <v>13193.312</v>
      </c>
      <c r="E235">
        <v>0</v>
      </c>
      <c r="F235">
        <v>13193.312</v>
      </c>
    </row>
    <row r="236" spans="1:6" hidden="1" x14ac:dyDescent="0.2">
      <c r="A236">
        <f>SUBTOTAL(3,$B$6:B236)</f>
        <v>114</v>
      </c>
      <c r="B236" t="s">
        <v>351</v>
      </c>
      <c r="C236" t="s">
        <v>356</v>
      </c>
      <c r="D236">
        <v>5486.3440000000001</v>
      </c>
      <c r="E236">
        <v>0</v>
      </c>
      <c r="F236">
        <v>5486.3440000000001</v>
      </c>
    </row>
    <row r="237" spans="1:6" hidden="1" x14ac:dyDescent="0.2">
      <c r="A237">
        <f>SUBTOTAL(3,$B$6:B237)</f>
        <v>114</v>
      </c>
      <c r="B237" t="s">
        <v>351</v>
      </c>
      <c r="C237" t="s">
        <v>919</v>
      </c>
      <c r="D237">
        <v>150903.2240000001</v>
      </c>
      <c r="E237">
        <v>0</v>
      </c>
      <c r="F237">
        <v>150903.2240000001</v>
      </c>
    </row>
    <row r="238" spans="1:6" hidden="1" x14ac:dyDescent="0.2">
      <c r="A238">
        <f>SUBTOTAL(3,$B$6:B238)</f>
        <v>114</v>
      </c>
      <c r="B238" t="s">
        <v>351</v>
      </c>
      <c r="C238" t="s">
        <v>920</v>
      </c>
      <c r="D238">
        <v>0</v>
      </c>
      <c r="E238">
        <v>0</v>
      </c>
      <c r="F238">
        <v>0</v>
      </c>
    </row>
    <row r="239" spans="1:6" hidden="1" x14ac:dyDescent="0.2">
      <c r="A239">
        <f>SUBTOTAL(3,$B$6:B239)</f>
        <v>114</v>
      </c>
      <c r="B239" t="s">
        <v>351</v>
      </c>
      <c r="C239" t="s">
        <v>921</v>
      </c>
      <c r="D239">
        <v>2490.7520000000004</v>
      </c>
      <c r="E239">
        <v>0</v>
      </c>
      <c r="F239">
        <v>2490.7520000000004</v>
      </c>
    </row>
    <row r="240" spans="1:6" hidden="1" x14ac:dyDescent="0.2">
      <c r="A240">
        <f>SUBTOTAL(3,$B$6:B240)</f>
        <v>114</v>
      </c>
      <c r="B240" t="s">
        <v>351</v>
      </c>
      <c r="C240" t="s">
        <v>922</v>
      </c>
      <c r="D240">
        <v>15175.759000000013</v>
      </c>
      <c r="E240">
        <v>0</v>
      </c>
      <c r="F240">
        <v>15175.759000000013</v>
      </c>
    </row>
    <row r="241" spans="1:6" hidden="1" x14ac:dyDescent="0.2">
      <c r="A241">
        <f>SUBTOTAL(3,$B$6:B241)</f>
        <v>114</v>
      </c>
      <c r="B241" t="s">
        <v>351</v>
      </c>
      <c r="C241" t="s">
        <v>924</v>
      </c>
      <c r="D241">
        <v>13149.177999999996</v>
      </c>
      <c r="E241">
        <v>0</v>
      </c>
      <c r="F241">
        <v>13149.177999999996</v>
      </c>
    </row>
    <row r="242" spans="1:6" hidden="1" x14ac:dyDescent="0.2">
      <c r="A242">
        <f>SUBTOTAL(3,$B$6:B242)</f>
        <v>114</v>
      </c>
      <c r="B242" t="s">
        <v>351</v>
      </c>
      <c r="C242" t="s">
        <v>925</v>
      </c>
      <c r="D242">
        <v>0</v>
      </c>
      <c r="E242">
        <v>0</v>
      </c>
      <c r="F242">
        <v>0</v>
      </c>
    </row>
    <row r="243" spans="1:6" hidden="1" x14ac:dyDescent="0.2">
      <c r="A243">
        <f>SUBTOTAL(3,$B$6:B243)</f>
        <v>114</v>
      </c>
      <c r="B243" t="s">
        <v>351</v>
      </c>
      <c r="C243" t="s">
        <v>926</v>
      </c>
      <c r="D243">
        <v>642.59699999999998</v>
      </c>
      <c r="E243">
        <v>0</v>
      </c>
      <c r="F243">
        <v>642.59699999999998</v>
      </c>
    </row>
    <row r="244" spans="1:6" hidden="1" x14ac:dyDescent="0.2">
      <c r="A244">
        <f>SUBTOTAL(3,$B$6:B244)</f>
        <v>114</v>
      </c>
      <c r="B244" t="s">
        <v>351</v>
      </c>
      <c r="C244" t="s">
        <v>927</v>
      </c>
      <c r="D244">
        <v>293325.99499999994</v>
      </c>
      <c r="E244">
        <v>0</v>
      </c>
      <c r="F244">
        <v>293325.99499999994</v>
      </c>
    </row>
    <row r="245" spans="1:6" hidden="1" x14ac:dyDescent="0.2">
      <c r="A245">
        <f>SUBTOTAL(3,$B$6:B245)</f>
        <v>114</v>
      </c>
      <c r="B245" t="s">
        <v>351</v>
      </c>
      <c r="C245" t="s">
        <v>359</v>
      </c>
      <c r="D245">
        <v>834.77500000000009</v>
      </c>
      <c r="E245">
        <v>0</v>
      </c>
      <c r="F245">
        <v>834.77500000000009</v>
      </c>
    </row>
    <row r="246" spans="1:6" hidden="1" x14ac:dyDescent="0.2">
      <c r="A246">
        <f>SUBTOTAL(3,$B$6:B246)</f>
        <v>114</v>
      </c>
      <c r="B246" t="s">
        <v>351</v>
      </c>
      <c r="C246" t="s">
        <v>360</v>
      </c>
      <c r="D246">
        <v>3033.049</v>
      </c>
      <c r="E246">
        <v>0</v>
      </c>
      <c r="F246">
        <v>3033.049</v>
      </c>
    </row>
    <row r="247" spans="1:6" hidden="1" x14ac:dyDescent="0.2">
      <c r="A247">
        <f>SUBTOTAL(3,$B$6:B247)</f>
        <v>114</v>
      </c>
      <c r="B247" t="s">
        <v>351</v>
      </c>
      <c r="C247" t="s">
        <v>928</v>
      </c>
      <c r="D247">
        <v>3355.0630000000006</v>
      </c>
      <c r="E247">
        <v>0</v>
      </c>
      <c r="F247">
        <v>3355.0630000000006</v>
      </c>
    </row>
    <row r="248" spans="1:6" hidden="1" x14ac:dyDescent="0.2">
      <c r="A248">
        <f>SUBTOTAL(3,$B$6:B248)</f>
        <v>114</v>
      </c>
      <c r="B248" t="s">
        <v>351</v>
      </c>
      <c r="C248" t="s">
        <v>929</v>
      </c>
      <c r="D248">
        <v>674.70100000000002</v>
      </c>
      <c r="E248">
        <v>0</v>
      </c>
      <c r="F248">
        <v>674.70100000000002</v>
      </c>
    </row>
    <row r="249" spans="1:6" hidden="1" x14ac:dyDescent="0.2">
      <c r="A249">
        <f>SUBTOTAL(3,$B$6:B249)</f>
        <v>114</v>
      </c>
      <c r="B249" t="s">
        <v>351</v>
      </c>
      <c r="C249" t="s">
        <v>930</v>
      </c>
      <c r="D249">
        <v>37743.216000000008</v>
      </c>
      <c r="E249">
        <v>0</v>
      </c>
      <c r="F249">
        <v>37743.216000000008</v>
      </c>
    </row>
    <row r="250" spans="1:6" hidden="1" x14ac:dyDescent="0.2">
      <c r="A250">
        <f>SUBTOTAL(3,$B$6:B250)</f>
        <v>114</v>
      </c>
      <c r="B250" t="s">
        <v>351</v>
      </c>
      <c r="C250" t="s">
        <v>933</v>
      </c>
      <c r="D250">
        <v>7099.23</v>
      </c>
      <c r="E250">
        <v>0</v>
      </c>
      <c r="F250">
        <v>7099.23</v>
      </c>
    </row>
    <row r="251" spans="1:6" hidden="1" x14ac:dyDescent="0.2">
      <c r="A251">
        <f>SUBTOTAL(3,$B$6:B251)</f>
        <v>114</v>
      </c>
      <c r="B251" t="s">
        <v>351</v>
      </c>
      <c r="C251" t="s">
        <v>935</v>
      </c>
      <c r="D251">
        <v>107448.68100000023</v>
      </c>
      <c r="E251">
        <v>0</v>
      </c>
      <c r="F251">
        <v>107448.68100000023</v>
      </c>
    </row>
    <row r="252" spans="1:6" hidden="1" x14ac:dyDescent="0.2">
      <c r="A252">
        <f>SUBTOTAL(3,$B$6:B252)</f>
        <v>114</v>
      </c>
      <c r="B252" t="s">
        <v>351</v>
      </c>
      <c r="C252" t="s">
        <v>937</v>
      </c>
      <c r="D252">
        <v>13851.432999999999</v>
      </c>
      <c r="E252">
        <v>0</v>
      </c>
      <c r="F252">
        <v>13851.432999999999</v>
      </c>
    </row>
    <row r="253" spans="1:6" hidden="1" x14ac:dyDescent="0.2">
      <c r="A253">
        <f>SUBTOTAL(3,$B$6:B253)</f>
        <v>114</v>
      </c>
      <c r="B253" t="s">
        <v>343</v>
      </c>
      <c r="C253" t="s">
        <v>357</v>
      </c>
      <c r="D253">
        <v>52891.412000000004</v>
      </c>
      <c r="E253">
        <v>0</v>
      </c>
      <c r="F253">
        <v>52891.412000000004</v>
      </c>
    </row>
    <row r="254" spans="1:6" hidden="1" x14ac:dyDescent="0.2">
      <c r="A254">
        <f>SUBTOTAL(3,$B$6:B254)</f>
        <v>114</v>
      </c>
      <c r="B254" t="s">
        <v>343</v>
      </c>
      <c r="C254" t="s">
        <v>846</v>
      </c>
      <c r="D254">
        <v>44480.578999999983</v>
      </c>
      <c r="E254">
        <v>0</v>
      </c>
      <c r="F254">
        <v>44480.578999999983</v>
      </c>
    </row>
    <row r="255" spans="1:6" hidden="1" x14ac:dyDescent="0.2">
      <c r="A255">
        <f>SUBTOTAL(3,$B$6:B255)</f>
        <v>114</v>
      </c>
      <c r="B255" t="s">
        <v>343</v>
      </c>
      <c r="C255" t="s">
        <v>366</v>
      </c>
      <c r="D255">
        <v>3391.0410000000002</v>
      </c>
      <c r="E255">
        <v>0</v>
      </c>
      <c r="F255">
        <v>3391.0410000000002</v>
      </c>
    </row>
    <row r="256" spans="1:6" hidden="1" x14ac:dyDescent="0.2">
      <c r="A256">
        <f>SUBTOTAL(3,$B$6:B256)</f>
        <v>114</v>
      </c>
      <c r="B256" t="s">
        <v>343</v>
      </c>
      <c r="C256" t="s">
        <v>858</v>
      </c>
      <c r="D256">
        <v>405174.24000000011</v>
      </c>
      <c r="E256">
        <v>0</v>
      </c>
      <c r="F256">
        <v>405174.24000000011</v>
      </c>
    </row>
    <row r="257" spans="1:6" hidden="1" x14ac:dyDescent="0.2">
      <c r="A257">
        <f>SUBTOTAL(3,$B$6:B257)</f>
        <v>114</v>
      </c>
      <c r="B257" t="s">
        <v>343</v>
      </c>
      <c r="C257" t="s">
        <v>863</v>
      </c>
      <c r="D257">
        <v>5496.51</v>
      </c>
      <c r="E257">
        <v>0</v>
      </c>
      <c r="F257">
        <v>5496.51</v>
      </c>
    </row>
    <row r="258" spans="1:6" hidden="1" x14ac:dyDescent="0.2">
      <c r="A258">
        <f>SUBTOTAL(3,$B$6:B258)</f>
        <v>114</v>
      </c>
      <c r="B258" t="s">
        <v>343</v>
      </c>
      <c r="C258" t="s">
        <v>868</v>
      </c>
      <c r="D258">
        <v>0</v>
      </c>
      <c r="E258">
        <v>0</v>
      </c>
      <c r="F258">
        <v>0</v>
      </c>
    </row>
    <row r="259" spans="1:6" hidden="1" x14ac:dyDescent="0.2">
      <c r="A259">
        <f>SUBTOTAL(3,$B$6:B259)</f>
        <v>114</v>
      </c>
      <c r="B259" t="s">
        <v>343</v>
      </c>
      <c r="C259" t="s">
        <v>871</v>
      </c>
      <c r="D259">
        <v>308.12</v>
      </c>
      <c r="E259">
        <v>0</v>
      </c>
      <c r="F259">
        <v>308.12</v>
      </c>
    </row>
    <row r="260" spans="1:6" hidden="1" x14ac:dyDescent="0.2">
      <c r="A260">
        <f>SUBTOTAL(3,$B$6:B260)</f>
        <v>114</v>
      </c>
      <c r="B260" t="s">
        <v>343</v>
      </c>
      <c r="C260" t="s">
        <v>873</v>
      </c>
      <c r="D260">
        <v>-34974.351000000002</v>
      </c>
      <c r="E260">
        <v>0</v>
      </c>
      <c r="F260">
        <v>-34974.351000000002</v>
      </c>
    </row>
    <row r="261" spans="1:6" hidden="1" x14ac:dyDescent="0.2">
      <c r="A261">
        <f>SUBTOTAL(3,$B$6:B261)</f>
        <v>114</v>
      </c>
      <c r="B261" t="s">
        <v>343</v>
      </c>
      <c r="C261" t="s">
        <v>888</v>
      </c>
      <c r="D261">
        <v>66.782999999999674</v>
      </c>
      <c r="E261">
        <v>0</v>
      </c>
      <c r="F261">
        <v>66.782999999999674</v>
      </c>
    </row>
    <row r="262" spans="1:6" hidden="1" x14ac:dyDescent="0.2">
      <c r="A262">
        <f>SUBTOTAL(3,$B$6:B262)</f>
        <v>114</v>
      </c>
      <c r="B262" t="s">
        <v>343</v>
      </c>
      <c r="C262" t="s">
        <v>905</v>
      </c>
      <c r="D262">
        <v>535.62000000000012</v>
      </c>
      <c r="E262">
        <v>0</v>
      </c>
      <c r="F262">
        <v>535.62000000000012</v>
      </c>
    </row>
    <row r="263" spans="1:6" hidden="1" x14ac:dyDescent="0.2">
      <c r="A263">
        <f>SUBTOTAL(3,$B$6:B263)</f>
        <v>114</v>
      </c>
      <c r="B263" t="s">
        <v>343</v>
      </c>
      <c r="C263" t="s">
        <v>930</v>
      </c>
      <c r="D263">
        <v>428471.08100000001</v>
      </c>
      <c r="E263">
        <v>0</v>
      </c>
      <c r="F263">
        <v>428471.08100000001</v>
      </c>
    </row>
    <row r="264" spans="1:6" hidden="1" x14ac:dyDescent="0.2">
      <c r="A264">
        <f>SUBTOTAL(3,$B$6:B264)</f>
        <v>114</v>
      </c>
      <c r="B264" t="s">
        <v>343</v>
      </c>
      <c r="C264" t="s">
        <v>931</v>
      </c>
      <c r="D264">
        <v>-75.685999999999524</v>
      </c>
      <c r="E264">
        <v>0</v>
      </c>
      <c r="F264">
        <v>-75.685999999999524</v>
      </c>
    </row>
    <row r="265" spans="1:6" hidden="1" x14ac:dyDescent="0.2">
      <c r="A265">
        <f>SUBTOTAL(3,$B$6:B265)</f>
        <v>114</v>
      </c>
      <c r="B265" t="s">
        <v>343</v>
      </c>
      <c r="C265" t="s">
        <v>937</v>
      </c>
      <c r="D265">
        <v>84800.963999999993</v>
      </c>
      <c r="E265">
        <v>0</v>
      </c>
      <c r="F265">
        <v>84800.963999999993</v>
      </c>
    </row>
    <row r="266" spans="1:6" hidden="1" x14ac:dyDescent="0.2">
      <c r="A266">
        <f>SUBTOTAL(3,$B$6:B266)</f>
        <v>114</v>
      </c>
      <c r="B266" t="s">
        <v>344</v>
      </c>
      <c r="C266" t="s">
        <v>860</v>
      </c>
      <c r="D266">
        <v>1412929.513999999</v>
      </c>
      <c r="E266">
        <v>0</v>
      </c>
      <c r="F266">
        <v>1412929.513999999</v>
      </c>
    </row>
    <row r="267" spans="1:6" hidden="1" x14ac:dyDescent="0.2">
      <c r="A267">
        <f>SUBTOTAL(3,$B$6:B267)</f>
        <v>114</v>
      </c>
      <c r="B267" t="s">
        <v>344</v>
      </c>
      <c r="C267" t="s">
        <v>869</v>
      </c>
      <c r="D267">
        <v>373440.03000000009</v>
      </c>
      <c r="E267">
        <v>0</v>
      </c>
      <c r="F267">
        <v>373440.03000000009</v>
      </c>
    </row>
    <row r="268" spans="1:6" hidden="1" x14ac:dyDescent="0.2">
      <c r="A268">
        <f>SUBTOTAL(3,$B$6:B268)</f>
        <v>114</v>
      </c>
      <c r="B268" t="s">
        <v>344</v>
      </c>
      <c r="C268" t="s">
        <v>875</v>
      </c>
      <c r="D268">
        <v>108331.98399999994</v>
      </c>
      <c r="E268">
        <v>0</v>
      </c>
      <c r="F268">
        <v>108331.98399999994</v>
      </c>
    </row>
    <row r="269" spans="1:6" hidden="1" x14ac:dyDescent="0.2">
      <c r="A269">
        <f>SUBTOTAL(3,$B$6:B269)</f>
        <v>114</v>
      </c>
      <c r="B269" t="s">
        <v>344</v>
      </c>
      <c r="C269" t="s">
        <v>879</v>
      </c>
      <c r="D269">
        <v>155980.64099999997</v>
      </c>
      <c r="E269">
        <v>0</v>
      </c>
      <c r="F269">
        <v>155980.64099999997</v>
      </c>
    </row>
    <row r="270" spans="1:6" hidden="1" x14ac:dyDescent="0.2">
      <c r="A270">
        <f>SUBTOTAL(3,$B$6:B270)</f>
        <v>114</v>
      </c>
      <c r="B270" t="s">
        <v>344</v>
      </c>
      <c r="C270" t="s">
        <v>891</v>
      </c>
      <c r="D270">
        <v>120826.32600000012</v>
      </c>
      <c r="E270">
        <v>0</v>
      </c>
      <c r="F270">
        <v>120826.32600000012</v>
      </c>
    </row>
    <row r="271" spans="1:6" hidden="1" x14ac:dyDescent="0.2">
      <c r="A271">
        <f>SUBTOTAL(3,$B$6:B271)</f>
        <v>114</v>
      </c>
      <c r="B271" t="s">
        <v>344</v>
      </c>
      <c r="C271" t="s">
        <v>365</v>
      </c>
      <c r="D271">
        <v>54634.553000000022</v>
      </c>
      <c r="E271">
        <v>0</v>
      </c>
      <c r="F271">
        <v>54634.553000000022</v>
      </c>
    </row>
    <row r="272" spans="1:6" hidden="1" x14ac:dyDescent="0.2">
      <c r="A272">
        <f>SUBTOTAL(3,$B$6:B272)</f>
        <v>114</v>
      </c>
      <c r="B272" t="s">
        <v>344</v>
      </c>
      <c r="C272" t="s">
        <v>906</v>
      </c>
      <c r="D272">
        <v>-1299.8340000000001</v>
      </c>
      <c r="E272">
        <v>0</v>
      </c>
      <c r="F272">
        <v>-1299.8340000000001</v>
      </c>
    </row>
    <row r="273" spans="1:6" hidden="1" x14ac:dyDescent="0.2">
      <c r="A273">
        <f>SUBTOTAL(3,$B$6:B273)</f>
        <v>114</v>
      </c>
      <c r="B273" t="s">
        <v>344</v>
      </c>
      <c r="C273" t="s">
        <v>909</v>
      </c>
      <c r="D273">
        <v>1381263.7200000011</v>
      </c>
      <c r="E273">
        <v>0</v>
      </c>
      <c r="F273">
        <v>1381263.7200000011</v>
      </c>
    </row>
    <row r="274" spans="1:6" hidden="1" x14ac:dyDescent="0.2">
      <c r="A274">
        <f>SUBTOTAL(3,$B$6:B274)</f>
        <v>114</v>
      </c>
      <c r="B274" t="s">
        <v>344</v>
      </c>
      <c r="C274" t="s">
        <v>917</v>
      </c>
      <c r="D274">
        <v>17867.795000000002</v>
      </c>
      <c r="E274">
        <v>0</v>
      </c>
      <c r="F274">
        <v>17867.795000000002</v>
      </c>
    </row>
    <row r="275" spans="1:6" hidden="1" x14ac:dyDescent="0.2">
      <c r="A275">
        <f>SUBTOTAL(3,$B$6:B275)</f>
        <v>114</v>
      </c>
      <c r="B275" t="s">
        <v>344</v>
      </c>
      <c r="C275" t="s">
        <v>922</v>
      </c>
      <c r="D275">
        <v>101944.477</v>
      </c>
      <c r="E275">
        <v>0</v>
      </c>
      <c r="F275">
        <v>101944.477</v>
      </c>
    </row>
    <row r="276" spans="1:6" hidden="1" x14ac:dyDescent="0.2">
      <c r="A276">
        <f>SUBTOTAL(3,$B$6:B276)</f>
        <v>114</v>
      </c>
      <c r="B276" t="s">
        <v>344</v>
      </c>
      <c r="C276" t="s">
        <v>933</v>
      </c>
      <c r="D276">
        <v>700793.48999999953</v>
      </c>
      <c r="E276">
        <v>0</v>
      </c>
      <c r="F276">
        <v>700793.48999999953</v>
      </c>
    </row>
    <row r="277" spans="1:6" hidden="1" x14ac:dyDescent="0.2">
      <c r="A277">
        <f>SUBTOTAL(3,$B$6:B277)</f>
        <v>114</v>
      </c>
      <c r="B277" t="s">
        <v>344</v>
      </c>
      <c r="C277" t="s">
        <v>934</v>
      </c>
      <c r="D277">
        <v>6068618.7310000006</v>
      </c>
      <c r="E277">
        <v>0</v>
      </c>
      <c r="F277">
        <v>6068618.7310000006</v>
      </c>
    </row>
    <row r="278" spans="1:6" hidden="1" x14ac:dyDescent="0.2">
      <c r="A278">
        <f>SUBTOTAL(3,$B$6:B278)</f>
        <v>114</v>
      </c>
      <c r="B278" t="s">
        <v>345</v>
      </c>
      <c r="C278" t="s">
        <v>843</v>
      </c>
      <c r="D278">
        <v>425886.00599999953</v>
      </c>
      <c r="E278">
        <v>0</v>
      </c>
      <c r="F278">
        <v>425886.00599999953</v>
      </c>
    </row>
    <row r="279" spans="1:6" hidden="1" x14ac:dyDescent="0.2">
      <c r="A279">
        <f>SUBTOTAL(3,$B$6:B279)</f>
        <v>114</v>
      </c>
      <c r="B279" t="s">
        <v>345</v>
      </c>
      <c r="C279" t="s">
        <v>850</v>
      </c>
      <c r="D279">
        <v>210125.78200000006</v>
      </c>
      <c r="E279">
        <v>0</v>
      </c>
      <c r="F279">
        <v>210125.78200000006</v>
      </c>
    </row>
    <row r="280" spans="1:6" hidden="1" x14ac:dyDescent="0.2">
      <c r="A280">
        <f>SUBTOTAL(3,$B$6:B280)</f>
        <v>114</v>
      </c>
      <c r="B280" t="s">
        <v>345</v>
      </c>
      <c r="C280" t="s">
        <v>851</v>
      </c>
      <c r="D280">
        <v>39864.651999999973</v>
      </c>
      <c r="E280">
        <v>0</v>
      </c>
      <c r="F280">
        <v>39864.651999999973</v>
      </c>
    </row>
    <row r="281" spans="1:6" hidden="1" x14ac:dyDescent="0.2">
      <c r="A281">
        <f>SUBTOTAL(3,$B$6:B281)</f>
        <v>114</v>
      </c>
      <c r="B281" t="s">
        <v>345</v>
      </c>
      <c r="C281" t="s">
        <v>887</v>
      </c>
      <c r="D281">
        <v>13121.803000000004</v>
      </c>
      <c r="E281">
        <v>0</v>
      </c>
      <c r="F281">
        <v>13121.803000000004</v>
      </c>
    </row>
    <row r="282" spans="1:6" hidden="1" x14ac:dyDescent="0.2">
      <c r="A282">
        <f>SUBTOTAL(3,$B$6:B282)</f>
        <v>114</v>
      </c>
      <c r="B282" t="s">
        <v>345</v>
      </c>
      <c r="C282" t="s">
        <v>895</v>
      </c>
      <c r="D282">
        <v>368011.18199999881</v>
      </c>
      <c r="E282">
        <v>0</v>
      </c>
      <c r="F282">
        <v>368011.18199999881</v>
      </c>
    </row>
    <row r="283" spans="1:6" hidden="1" x14ac:dyDescent="0.2">
      <c r="A283">
        <f>SUBTOTAL(3,$B$6:B283)</f>
        <v>114</v>
      </c>
      <c r="B283" t="s">
        <v>345</v>
      </c>
      <c r="C283" t="s">
        <v>907</v>
      </c>
      <c r="D283">
        <v>3135.4110000000001</v>
      </c>
      <c r="E283">
        <v>0</v>
      </c>
      <c r="F283">
        <v>3135.4110000000001</v>
      </c>
    </row>
    <row r="284" spans="1:6" hidden="1" x14ac:dyDescent="0.2">
      <c r="A284">
        <f>SUBTOTAL(3,$B$6:B284)</f>
        <v>114</v>
      </c>
      <c r="B284" t="s">
        <v>345</v>
      </c>
      <c r="C284" t="s">
        <v>932</v>
      </c>
      <c r="D284">
        <v>16664.203000000001</v>
      </c>
      <c r="E284">
        <v>0</v>
      </c>
      <c r="F284">
        <v>16664.203000000001</v>
      </c>
    </row>
    <row r="285" spans="1:6" hidden="1" x14ac:dyDescent="0.2">
      <c r="A285">
        <f>SUBTOTAL(3,$B$6:B285)</f>
        <v>114</v>
      </c>
      <c r="B285" t="s">
        <v>346</v>
      </c>
      <c r="C285" t="s">
        <v>853</v>
      </c>
      <c r="D285">
        <v>10194.182000000003</v>
      </c>
      <c r="E285">
        <v>0</v>
      </c>
      <c r="F285">
        <v>10194.182000000003</v>
      </c>
    </row>
    <row r="286" spans="1:6" hidden="1" x14ac:dyDescent="0.2">
      <c r="A286">
        <f>SUBTOTAL(3,$B$6:B286)</f>
        <v>114</v>
      </c>
      <c r="B286" t="s">
        <v>346</v>
      </c>
      <c r="C286" t="s">
        <v>858</v>
      </c>
      <c r="D286">
        <v>59063.910999999993</v>
      </c>
      <c r="E286">
        <v>0</v>
      </c>
      <c r="F286">
        <v>59063.910999999993</v>
      </c>
    </row>
    <row r="287" spans="1:6" hidden="1" x14ac:dyDescent="0.2">
      <c r="A287">
        <f>SUBTOTAL(3,$B$6:B287)</f>
        <v>114</v>
      </c>
      <c r="B287" t="s">
        <v>346</v>
      </c>
      <c r="C287" t="s">
        <v>859</v>
      </c>
      <c r="D287">
        <v>539929.4109999988</v>
      </c>
      <c r="E287">
        <v>0</v>
      </c>
      <c r="F287">
        <v>539929.4109999988</v>
      </c>
    </row>
    <row r="288" spans="1:6" hidden="1" x14ac:dyDescent="0.2">
      <c r="A288">
        <f>SUBTOTAL(3,$B$6:B288)</f>
        <v>114</v>
      </c>
      <c r="B288" t="s">
        <v>346</v>
      </c>
      <c r="C288" t="s">
        <v>862</v>
      </c>
      <c r="D288">
        <v>308708.26099999977</v>
      </c>
      <c r="E288">
        <v>0</v>
      </c>
      <c r="F288">
        <v>308708.26099999977</v>
      </c>
    </row>
    <row r="289" spans="1:6" hidden="1" x14ac:dyDescent="0.2">
      <c r="A289">
        <f>SUBTOTAL(3,$B$6:B289)</f>
        <v>114</v>
      </c>
      <c r="B289" t="s">
        <v>346</v>
      </c>
      <c r="C289" t="s">
        <v>865</v>
      </c>
      <c r="D289">
        <v>31807.055999999997</v>
      </c>
      <c r="E289">
        <v>0</v>
      </c>
      <c r="F289">
        <v>31807.055999999997</v>
      </c>
    </row>
    <row r="290" spans="1:6" hidden="1" x14ac:dyDescent="0.2">
      <c r="A290">
        <f>SUBTOTAL(3,$B$6:B290)</f>
        <v>114</v>
      </c>
      <c r="B290" t="s">
        <v>346</v>
      </c>
      <c r="C290" t="s">
        <v>362</v>
      </c>
      <c r="D290">
        <v>21947.808000000001</v>
      </c>
      <c r="E290">
        <v>0</v>
      </c>
      <c r="F290">
        <v>21947.808000000001</v>
      </c>
    </row>
    <row r="291" spans="1:6" hidden="1" x14ac:dyDescent="0.2">
      <c r="A291">
        <f>SUBTOTAL(3,$B$6:B291)</f>
        <v>114</v>
      </c>
      <c r="B291" t="s">
        <v>346</v>
      </c>
      <c r="C291" t="s">
        <v>885</v>
      </c>
      <c r="D291">
        <v>464288.43499999976</v>
      </c>
      <c r="E291">
        <v>0</v>
      </c>
      <c r="F291">
        <v>464288.43499999976</v>
      </c>
    </row>
    <row r="292" spans="1:6" hidden="1" x14ac:dyDescent="0.2">
      <c r="A292">
        <f>SUBTOTAL(3,$B$6:B292)</f>
        <v>114</v>
      </c>
      <c r="B292" t="s">
        <v>346</v>
      </c>
      <c r="C292" t="s">
        <v>361</v>
      </c>
      <c r="D292">
        <v>74134.418000000034</v>
      </c>
      <c r="E292">
        <v>0</v>
      </c>
      <c r="F292">
        <v>74134.418000000034</v>
      </c>
    </row>
    <row r="293" spans="1:6" hidden="1" x14ac:dyDescent="0.2">
      <c r="A293">
        <f>SUBTOTAL(3,$B$6:B293)</f>
        <v>114</v>
      </c>
      <c r="B293" t="s">
        <v>346</v>
      </c>
      <c r="C293" t="s">
        <v>358</v>
      </c>
      <c r="D293">
        <v>258240.79899999991</v>
      </c>
      <c r="E293">
        <v>0</v>
      </c>
      <c r="F293">
        <v>258240.79899999991</v>
      </c>
    </row>
    <row r="294" spans="1:6" hidden="1" x14ac:dyDescent="0.2">
      <c r="A294">
        <f>SUBTOTAL(3,$B$6:B294)</f>
        <v>114</v>
      </c>
      <c r="B294" t="s">
        <v>346</v>
      </c>
      <c r="C294" t="s">
        <v>894</v>
      </c>
      <c r="D294">
        <v>47900.778999999995</v>
      </c>
      <c r="E294">
        <v>0</v>
      </c>
      <c r="F294">
        <v>47900.778999999995</v>
      </c>
    </row>
    <row r="295" spans="1:6" hidden="1" x14ac:dyDescent="0.2">
      <c r="A295">
        <f>SUBTOTAL(3,$B$6:B295)</f>
        <v>114</v>
      </c>
      <c r="B295" t="s">
        <v>346</v>
      </c>
      <c r="C295" t="s">
        <v>900</v>
      </c>
      <c r="D295">
        <v>-9.5000000003096829E-2</v>
      </c>
      <c r="E295">
        <v>0</v>
      </c>
      <c r="F295">
        <v>-9.5000000003096829E-2</v>
      </c>
    </row>
    <row r="296" spans="1:6" hidden="1" x14ac:dyDescent="0.2">
      <c r="A296">
        <f>SUBTOTAL(3,$B$6:B296)</f>
        <v>114</v>
      </c>
      <c r="B296" t="s">
        <v>346</v>
      </c>
      <c r="C296" t="s">
        <v>905</v>
      </c>
      <c r="D296">
        <v>74.240000000000123</v>
      </c>
      <c r="E296">
        <v>0</v>
      </c>
      <c r="F296">
        <v>74.240000000000123</v>
      </c>
    </row>
    <row r="297" spans="1:6" hidden="1" x14ac:dyDescent="0.2">
      <c r="A297">
        <f>SUBTOTAL(3,$B$6:B297)</f>
        <v>114</v>
      </c>
      <c r="B297" t="s">
        <v>346</v>
      </c>
      <c r="C297" t="s">
        <v>354</v>
      </c>
      <c r="D297">
        <v>42544.953999999983</v>
      </c>
      <c r="E297">
        <v>0</v>
      </c>
      <c r="F297">
        <v>42544.953999999983</v>
      </c>
    </row>
    <row r="298" spans="1:6" hidden="1" x14ac:dyDescent="0.2">
      <c r="A298">
        <f>SUBTOTAL(3,$B$6:B298)</f>
        <v>114</v>
      </c>
      <c r="B298" t="s">
        <v>346</v>
      </c>
      <c r="C298" t="s">
        <v>918</v>
      </c>
      <c r="D298">
        <v>203544.49800000037</v>
      </c>
      <c r="E298">
        <v>0</v>
      </c>
      <c r="F298">
        <v>203544.49800000037</v>
      </c>
    </row>
    <row r="299" spans="1:6" hidden="1" x14ac:dyDescent="0.2">
      <c r="A299">
        <f>SUBTOTAL(3,$B$6:B299)</f>
        <v>114</v>
      </c>
      <c r="B299" t="s">
        <v>346</v>
      </c>
      <c r="C299" t="s">
        <v>923</v>
      </c>
      <c r="D299">
        <v>35528.234000000004</v>
      </c>
      <c r="E299">
        <v>0</v>
      </c>
      <c r="F299">
        <v>35528.234000000004</v>
      </c>
    </row>
    <row r="300" spans="1:6" hidden="1" x14ac:dyDescent="0.2">
      <c r="A300">
        <f>SUBTOTAL(3,$B$6:B300)</f>
        <v>114</v>
      </c>
      <c r="B300" t="s">
        <v>346</v>
      </c>
      <c r="C300" t="s">
        <v>925</v>
      </c>
      <c r="D300">
        <v>638.13499999999965</v>
      </c>
      <c r="E300">
        <v>0</v>
      </c>
      <c r="F300">
        <v>638.13499999999965</v>
      </c>
    </row>
    <row r="301" spans="1:6" hidden="1" x14ac:dyDescent="0.2">
      <c r="A301">
        <f>SUBTOTAL(3,$B$6:B301)</f>
        <v>114</v>
      </c>
      <c r="B301" t="s">
        <v>346</v>
      </c>
      <c r="C301" t="s">
        <v>359</v>
      </c>
      <c r="D301">
        <v>11362.566999999999</v>
      </c>
      <c r="E301">
        <v>0</v>
      </c>
      <c r="F301">
        <v>11362.566999999999</v>
      </c>
    </row>
    <row r="302" spans="1:6" hidden="1" x14ac:dyDescent="0.2">
      <c r="A302">
        <f>SUBTOTAL(3,$B$6:B302)</f>
        <v>114</v>
      </c>
      <c r="B302" t="s">
        <v>346</v>
      </c>
      <c r="C302" t="s">
        <v>360</v>
      </c>
      <c r="D302">
        <v>55992.835000000006</v>
      </c>
      <c r="E302">
        <v>0</v>
      </c>
      <c r="F302">
        <v>55992.835000000006</v>
      </c>
    </row>
    <row r="303" spans="1:6" hidden="1" x14ac:dyDescent="0.2">
      <c r="A303">
        <f>SUBTOTAL(3,$B$6:B303)</f>
        <v>114</v>
      </c>
      <c r="B303" t="s">
        <v>346</v>
      </c>
      <c r="C303" t="s">
        <v>928</v>
      </c>
      <c r="D303">
        <v>62317.343000000015</v>
      </c>
      <c r="E303">
        <v>0</v>
      </c>
      <c r="F303">
        <v>62317.343000000015</v>
      </c>
    </row>
    <row r="304" spans="1:6" hidden="1" x14ac:dyDescent="0.2">
      <c r="A304">
        <f>SUBTOTAL(3,$B$6:B304)</f>
        <v>114</v>
      </c>
      <c r="B304" t="s">
        <v>347</v>
      </c>
      <c r="C304" t="s">
        <v>902</v>
      </c>
      <c r="D304">
        <v>2885.5599999999995</v>
      </c>
      <c r="E304">
        <v>0</v>
      </c>
      <c r="F304">
        <v>2885.5599999999995</v>
      </c>
    </row>
    <row r="305" spans="1:6" hidden="1" x14ac:dyDescent="0.2">
      <c r="A305">
        <f>SUBTOTAL(3,$B$6:B305)</f>
        <v>114</v>
      </c>
      <c r="B305" t="s">
        <v>348</v>
      </c>
      <c r="C305" t="s">
        <v>842</v>
      </c>
      <c r="D305">
        <v>186073.98299999989</v>
      </c>
      <c r="E305">
        <v>0</v>
      </c>
      <c r="F305">
        <v>186073.98299999989</v>
      </c>
    </row>
    <row r="306" spans="1:6" hidden="1" x14ac:dyDescent="0.2">
      <c r="A306">
        <f>SUBTOTAL(3,$B$6:B306)</f>
        <v>114</v>
      </c>
      <c r="B306" t="s">
        <v>348</v>
      </c>
      <c r="C306" t="s">
        <v>845</v>
      </c>
      <c r="D306">
        <v>4802.6399999999994</v>
      </c>
      <c r="E306">
        <v>0</v>
      </c>
      <c r="F306">
        <v>4802.6399999999994</v>
      </c>
    </row>
    <row r="307" spans="1:6" hidden="1" x14ac:dyDescent="0.2">
      <c r="A307">
        <f>SUBTOTAL(3,$B$6:B307)</f>
        <v>114</v>
      </c>
      <c r="B307" t="s">
        <v>348</v>
      </c>
      <c r="C307" t="s">
        <v>858</v>
      </c>
      <c r="D307">
        <v>10886.715000000002</v>
      </c>
      <c r="E307">
        <v>0</v>
      </c>
      <c r="F307">
        <v>10886.715000000002</v>
      </c>
    </row>
    <row r="308" spans="1:6" hidden="1" x14ac:dyDescent="0.2">
      <c r="A308">
        <f>SUBTOTAL(3,$B$6:B308)</f>
        <v>114</v>
      </c>
      <c r="B308" t="s">
        <v>348</v>
      </c>
      <c r="C308" t="s">
        <v>869</v>
      </c>
      <c r="D308">
        <v>428102.14000000013</v>
      </c>
      <c r="E308">
        <v>0</v>
      </c>
      <c r="F308">
        <v>428102.14000000013</v>
      </c>
    </row>
    <row r="309" spans="1:6" hidden="1" x14ac:dyDescent="0.2">
      <c r="A309">
        <f>SUBTOTAL(3,$B$6:B309)</f>
        <v>114</v>
      </c>
      <c r="B309" t="s">
        <v>348</v>
      </c>
      <c r="C309" t="s">
        <v>870</v>
      </c>
      <c r="D309">
        <v>0</v>
      </c>
      <c r="E309">
        <v>0</v>
      </c>
      <c r="F309">
        <v>0</v>
      </c>
    </row>
    <row r="310" spans="1:6" hidden="1" x14ac:dyDescent="0.2">
      <c r="A310">
        <f>SUBTOTAL(3,$B$6:B310)</f>
        <v>114</v>
      </c>
      <c r="B310" t="s">
        <v>348</v>
      </c>
      <c r="C310" t="s">
        <v>872</v>
      </c>
      <c r="D310">
        <v>134294.88300000003</v>
      </c>
      <c r="E310">
        <v>0</v>
      </c>
      <c r="F310">
        <v>134294.88300000003</v>
      </c>
    </row>
    <row r="311" spans="1:6" hidden="1" x14ac:dyDescent="0.2">
      <c r="A311">
        <f>SUBTOTAL(3,$B$6:B311)</f>
        <v>114</v>
      </c>
      <c r="B311" t="s">
        <v>348</v>
      </c>
      <c r="C311" t="s">
        <v>904</v>
      </c>
      <c r="D311">
        <v>99706.331000000151</v>
      </c>
      <c r="E311">
        <v>0</v>
      </c>
      <c r="F311">
        <v>99706.331000000151</v>
      </c>
    </row>
    <row r="312" spans="1:6" hidden="1" x14ac:dyDescent="0.2">
      <c r="A312">
        <f>SUBTOTAL(3,$B$6:B312)</f>
        <v>114</v>
      </c>
      <c r="B312" t="s">
        <v>348</v>
      </c>
      <c r="C312" t="s">
        <v>905</v>
      </c>
      <c r="D312">
        <v>0</v>
      </c>
      <c r="E312">
        <v>0</v>
      </c>
      <c r="F312">
        <v>0</v>
      </c>
    </row>
    <row r="313" spans="1:6" hidden="1" x14ac:dyDescent="0.2">
      <c r="A313">
        <f>SUBTOTAL(3,$B$6:B313)</f>
        <v>114</v>
      </c>
      <c r="B313" t="s">
        <v>348</v>
      </c>
      <c r="C313" t="s">
        <v>908</v>
      </c>
      <c r="D313">
        <v>209846.4310000001</v>
      </c>
      <c r="E313">
        <v>0</v>
      </c>
      <c r="F313">
        <v>209846.4310000001</v>
      </c>
    </row>
    <row r="314" spans="1:6" hidden="1" x14ac:dyDescent="0.2">
      <c r="A314">
        <f>SUBTOTAL(3,$B$6:B314)</f>
        <v>114</v>
      </c>
      <c r="B314" t="s">
        <v>348</v>
      </c>
      <c r="C314" t="s">
        <v>352</v>
      </c>
      <c r="D314">
        <v>0</v>
      </c>
      <c r="E314">
        <v>0</v>
      </c>
      <c r="F314">
        <v>0</v>
      </c>
    </row>
    <row r="315" spans="1:6" hidden="1" x14ac:dyDescent="0.2">
      <c r="A315">
        <f>SUBTOTAL(3,$B$6:B315)</f>
        <v>114</v>
      </c>
      <c r="B315" t="s">
        <v>348</v>
      </c>
      <c r="C315" t="s">
        <v>909</v>
      </c>
      <c r="D315">
        <v>826672.65000000107</v>
      </c>
      <c r="E315">
        <v>0</v>
      </c>
      <c r="F315">
        <v>826672.65000000107</v>
      </c>
    </row>
    <row r="316" spans="1:6" hidden="1" x14ac:dyDescent="0.2">
      <c r="A316">
        <f>SUBTOTAL(3,$B$6:B316)</f>
        <v>114</v>
      </c>
      <c r="B316" t="s">
        <v>348</v>
      </c>
      <c r="C316" t="s">
        <v>914</v>
      </c>
      <c r="D316">
        <v>559.72</v>
      </c>
      <c r="E316">
        <v>0</v>
      </c>
      <c r="F316">
        <v>559.72</v>
      </c>
    </row>
    <row r="317" spans="1:6" hidden="1" x14ac:dyDescent="0.2">
      <c r="A317">
        <f>SUBTOTAL(3,$B$6:B317)</f>
        <v>114</v>
      </c>
      <c r="B317" t="s">
        <v>348</v>
      </c>
      <c r="C317" t="s">
        <v>917</v>
      </c>
      <c r="D317">
        <v>74129.503000000026</v>
      </c>
      <c r="E317">
        <v>0</v>
      </c>
      <c r="F317">
        <v>74129.503000000026</v>
      </c>
    </row>
    <row r="318" spans="1:6" hidden="1" x14ac:dyDescent="0.2">
      <c r="A318">
        <f>SUBTOTAL(3,$B$6:B318)</f>
        <v>114</v>
      </c>
      <c r="B318" t="s">
        <v>348</v>
      </c>
      <c r="C318" t="s">
        <v>920</v>
      </c>
      <c r="D318">
        <v>774.19</v>
      </c>
      <c r="E318">
        <v>0</v>
      </c>
      <c r="F318">
        <v>774.19</v>
      </c>
    </row>
    <row r="319" spans="1:6" hidden="1" x14ac:dyDescent="0.2">
      <c r="A319">
        <f>SUBTOTAL(3,$B$6:B319)</f>
        <v>114</v>
      </c>
      <c r="B319" t="s">
        <v>348</v>
      </c>
      <c r="C319" t="s">
        <v>921</v>
      </c>
      <c r="D319">
        <v>27285.152000000002</v>
      </c>
      <c r="E319">
        <v>0</v>
      </c>
      <c r="F319">
        <v>27285.152000000002</v>
      </c>
    </row>
    <row r="320" spans="1:6" hidden="1" x14ac:dyDescent="0.2">
      <c r="A320">
        <f>SUBTOTAL(3,$B$6:B320)</f>
        <v>114</v>
      </c>
      <c r="B320" t="s">
        <v>348</v>
      </c>
      <c r="C320" t="s">
        <v>924</v>
      </c>
      <c r="D320">
        <v>178580.35699999999</v>
      </c>
      <c r="E320">
        <v>0</v>
      </c>
      <c r="F320">
        <v>178580.35699999999</v>
      </c>
    </row>
    <row r="321" spans="1:6" hidden="1" x14ac:dyDescent="0.2">
      <c r="A321">
        <f>SUBTOTAL(3,$B$6:B321)</f>
        <v>114</v>
      </c>
      <c r="B321" t="s">
        <v>348</v>
      </c>
      <c r="C321" t="s">
        <v>933</v>
      </c>
      <c r="D321">
        <v>110136.06700000002</v>
      </c>
      <c r="E321">
        <v>0</v>
      </c>
      <c r="F321">
        <v>110136.06700000002</v>
      </c>
    </row>
    <row r="322" spans="1:6" hidden="1" x14ac:dyDescent="0.2">
      <c r="A322">
        <f>SUBTOTAL(3,$B$6:B322)</f>
        <v>114</v>
      </c>
      <c r="B322" t="s">
        <v>348</v>
      </c>
      <c r="C322" t="s">
        <v>935</v>
      </c>
      <c r="D322">
        <v>3146151.961999998</v>
      </c>
      <c r="E322">
        <v>0</v>
      </c>
      <c r="F322">
        <v>3146151.961999998</v>
      </c>
    </row>
    <row r="323" spans="1:6" hidden="1" x14ac:dyDescent="0.2">
      <c r="A323">
        <f>SUBTOTAL(3,$B$6:B323)</f>
        <v>114</v>
      </c>
      <c r="B323" t="s">
        <v>349</v>
      </c>
      <c r="C323" t="s">
        <v>843</v>
      </c>
      <c r="D323">
        <v>172793.66699999999</v>
      </c>
      <c r="E323">
        <v>0</v>
      </c>
      <c r="F323">
        <v>172793.66699999999</v>
      </c>
    </row>
    <row r="324" spans="1:6" hidden="1" x14ac:dyDescent="0.2">
      <c r="A324">
        <f>SUBTOTAL(3,$B$6:B324)</f>
        <v>114</v>
      </c>
      <c r="B324" t="s">
        <v>349</v>
      </c>
      <c r="C324" t="s">
        <v>844</v>
      </c>
      <c r="D324">
        <v>47542.697999999997</v>
      </c>
      <c r="E324">
        <v>0</v>
      </c>
      <c r="F324">
        <v>47542.697999999997</v>
      </c>
    </row>
    <row r="325" spans="1:6" hidden="1" x14ac:dyDescent="0.2">
      <c r="A325">
        <f>SUBTOTAL(3,$B$6:B325)</f>
        <v>114</v>
      </c>
      <c r="B325" t="s">
        <v>349</v>
      </c>
      <c r="C325" t="s">
        <v>845</v>
      </c>
      <c r="D325">
        <v>6959.3499999999995</v>
      </c>
      <c r="E325">
        <v>0</v>
      </c>
      <c r="F325">
        <v>6959.3499999999995</v>
      </c>
    </row>
    <row r="326" spans="1:6" hidden="1" x14ac:dyDescent="0.2">
      <c r="A326">
        <f>SUBTOTAL(3,$B$6:B326)</f>
        <v>114</v>
      </c>
      <c r="B326" t="s">
        <v>349</v>
      </c>
      <c r="C326" t="s">
        <v>353</v>
      </c>
      <c r="D326">
        <v>519357.72799999994</v>
      </c>
      <c r="E326">
        <v>0</v>
      </c>
      <c r="F326">
        <v>519357.72799999994</v>
      </c>
    </row>
    <row r="327" spans="1:6" hidden="1" x14ac:dyDescent="0.2">
      <c r="A327">
        <f>SUBTOTAL(3,$B$6:B327)</f>
        <v>114</v>
      </c>
      <c r="B327" t="s">
        <v>349</v>
      </c>
      <c r="C327" t="s">
        <v>364</v>
      </c>
      <c r="D327">
        <v>8912.0570000000007</v>
      </c>
      <c r="E327">
        <v>0</v>
      </c>
      <c r="F327">
        <v>8912.0570000000007</v>
      </c>
    </row>
    <row r="328" spans="1:6" hidden="1" x14ac:dyDescent="0.2">
      <c r="A328">
        <f>SUBTOTAL(3,$B$6:B328)</f>
        <v>114</v>
      </c>
      <c r="B328" t="s">
        <v>349</v>
      </c>
      <c r="C328" t="s">
        <v>864</v>
      </c>
      <c r="D328">
        <v>22588.694</v>
      </c>
      <c r="E328">
        <v>0</v>
      </c>
      <c r="F328">
        <v>22588.694</v>
      </c>
    </row>
    <row r="329" spans="1:6" hidden="1" x14ac:dyDescent="0.2">
      <c r="A329">
        <f>SUBTOTAL(3,$B$6:B329)</f>
        <v>114</v>
      </c>
      <c r="B329" t="s">
        <v>349</v>
      </c>
      <c r="C329" t="s">
        <v>355</v>
      </c>
      <c r="D329">
        <v>33692.084999999992</v>
      </c>
      <c r="E329">
        <v>0</v>
      </c>
      <c r="F329">
        <v>33692.084999999992</v>
      </c>
    </row>
    <row r="330" spans="1:6" hidden="1" x14ac:dyDescent="0.2">
      <c r="A330">
        <f>SUBTOTAL(3,$B$6:B330)</f>
        <v>114</v>
      </c>
      <c r="B330" t="s">
        <v>349</v>
      </c>
      <c r="C330" t="s">
        <v>866</v>
      </c>
      <c r="D330">
        <v>2628.0199999999995</v>
      </c>
      <c r="E330">
        <v>0</v>
      </c>
      <c r="F330">
        <v>2628.0199999999995</v>
      </c>
    </row>
    <row r="331" spans="1:6" hidden="1" x14ac:dyDescent="0.2">
      <c r="A331">
        <f>SUBTOTAL(3,$B$6:B331)</f>
        <v>114</v>
      </c>
      <c r="B331" t="s">
        <v>349</v>
      </c>
      <c r="C331" t="s">
        <v>867</v>
      </c>
      <c r="D331">
        <v>103.25999999999999</v>
      </c>
      <c r="E331">
        <v>0</v>
      </c>
      <c r="F331">
        <v>103.25999999999999</v>
      </c>
    </row>
    <row r="332" spans="1:6" hidden="1" x14ac:dyDescent="0.2">
      <c r="A332">
        <f>SUBTOTAL(3,$B$6:B332)</f>
        <v>114</v>
      </c>
      <c r="B332" t="s">
        <v>349</v>
      </c>
      <c r="C332" t="s">
        <v>869</v>
      </c>
      <c r="D332">
        <v>119566.25000000001</v>
      </c>
      <c r="E332">
        <v>0</v>
      </c>
      <c r="F332">
        <v>119566.25000000001</v>
      </c>
    </row>
    <row r="333" spans="1:6" hidden="1" x14ac:dyDescent="0.2">
      <c r="A333">
        <f>SUBTOTAL(3,$B$6:B333)</f>
        <v>114</v>
      </c>
      <c r="B333" t="s">
        <v>349</v>
      </c>
      <c r="C333" t="s">
        <v>893</v>
      </c>
      <c r="D333">
        <v>1507.6329999999998</v>
      </c>
      <c r="E333">
        <v>0</v>
      </c>
      <c r="F333">
        <v>1507.6329999999998</v>
      </c>
    </row>
    <row r="334" spans="1:6" hidden="1" x14ac:dyDescent="0.2">
      <c r="A334">
        <f>SUBTOTAL(3,$B$6:B334)</f>
        <v>114</v>
      </c>
      <c r="B334" t="s">
        <v>349</v>
      </c>
      <c r="C334" t="s">
        <v>901</v>
      </c>
      <c r="D334">
        <v>-48.728999999999999</v>
      </c>
      <c r="E334">
        <v>0</v>
      </c>
      <c r="F334">
        <v>-48.728999999999999</v>
      </c>
    </row>
    <row r="335" spans="1:6" hidden="1" x14ac:dyDescent="0.2">
      <c r="A335">
        <f>SUBTOTAL(3,$B$6:B335)</f>
        <v>114</v>
      </c>
      <c r="B335" t="s">
        <v>349</v>
      </c>
      <c r="C335" t="s">
        <v>907</v>
      </c>
      <c r="D335">
        <v>-52.614000000000004</v>
      </c>
      <c r="E335">
        <v>0</v>
      </c>
      <c r="F335">
        <v>-52.614000000000004</v>
      </c>
    </row>
    <row r="336" spans="1:6" hidden="1" x14ac:dyDescent="0.2">
      <c r="A336">
        <f>SUBTOTAL(3,$B$6:B336)</f>
        <v>114</v>
      </c>
      <c r="B336" t="s">
        <v>349</v>
      </c>
      <c r="C336" t="s">
        <v>909</v>
      </c>
      <c r="D336">
        <v>1142040.8739999977</v>
      </c>
      <c r="E336">
        <v>0</v>
      </c>
      <c r="F336">
        <v>1142040.8739999977</v>
      </c>
    </row>
    <row r="337" spans="1:6" hidden="1" x14ac:dyDescent="0.2">
      <c r="A337">
        <f>SUBTOTAL(3,$B$6:B337)</f>
        <v>114</v>
      </c>
      <c r="B337" t="s">
        <v>349</v>
      </c>
      <c r="C337" t="s">
        <v>913</v>
      </c>
      <c r="D337">
        <v>90171.146000000008</v>
      </c>
      <c r="E337">
        <v>0</v>
      </c>
      <c r="F337">
        <v>90171.146000000008</v>
      </c>
    </row>
    <row r="338" spans="1:6" hidden="1" x14ac:dyDescent="0.2">
      <c r="A338">
        <f>SUBTOTAL(3,$B$6:B338)</f>
        <v>114</v>
      </c>
      <c r="B338" t="s">
        <v>349</v>
      </c>
      <c r="C338" t="s">
        <v>917</v>
      </c>
      <c r="D338">
        <v>237918.04600000003</v>
      </c>
      <c r="E338">
        <v>0</v>
      </c>
      <c r="F338">
        <v>237918.04600000003</v>
      </c>
    </row>
    <row r="339" spans="1:6" hidden="1" x14ac:dyDescent="0.2">
      <c r="A339">
        <f>SUBTOTAL(3,$B$6:B339)</f>
        <v>114</v>
      </c>
      <c r="B339" t="s">
        <v>349</v>
      </c>
      <c r="C339" t="s">
        <v>356</v>
      </c>
      <c r="D339">
        <v>89847.814999999973</v>
      </c>
      <c r="E339">
        <v>0</v>
      </c>
      <c r="F339">
        <v>89847.814999999973</v>
      </c>
    </row>
    <row r="340" spans="1:6" hidden="1" x14ac:dyDescent="0.2">
      <c r="A340">
        <f>SUBTOTAL(3,$B$6:B340)</f>
        <v>114</v>
      </c>
      <c r="B340" t="s">
        <v>349</v>
      </c>
      <c r="C340" t="s">
        <v>929</v>
      </c>
      <c r="D340">
        <v>146773.92600000001</v>
      </c>
      <c r="E340">
        <v>0</v>
      </c>
      <c r="F340">
        <v>146773.92600000001</v>
      </c>
    </row>
    <row r="341" spans="1:6" hidden="1" x14ac:dyDescent="0.2">
      <c r="A341">
        <f>SUBTOTAL(3,$B$6:B341)</f>
        <v>114</v>
      </c>
      <c r="B341" t="s">
        <v>349</v>
      </c>
      <c r="C341" t="s">
        <v>933</v>
      </c>
      <c r="D341">
        <v>137351.00699999998</v>
      </c>
      <c r="E341">
        <v>0</v>
      </c>
      <c r="F341">
        <v>137351.00699999998</v>
      </c>
    </row>
    <row r="342" spans="1:6" hidden="1" x14ac:dyDescent="0.2">
      <c r="A342">
        <f>SUBTOTAL(3,$B$6:B342)</f>
        <v>114</v>
      </c>
      <c r="B342" t="s">
        <v>349</v>
      </c>
      <c r="C342" t="s">
        <v>936</v>
      </c>
      <c r="D342">
        <v>664</v>
      </c>
      <c r="E342">
        <v>0</v>
      </c>
      <c r="F342">
        <v>664</v>
      </c>
    </row>
    <row r="343" spans="1:6" hidden="1" x14ac:dyDescent="0.2">
      <c r="A343">
        <f>SUBTOTAL(3,$B$6:B343)</f>
        <v>114</v>
      </c>
      <c r="B343" t="s">
        <v>350</v>
      </c>
      <c r="C343" t="s">
        <v>842</v>
      </c>
      <c r="D343">
        <v>40917.918000000027</v>
      </c>
      <c r="E343">
        <v>0</v>
      </c>
      <c r="F343">
        <v>40917.918000000027</v>
      </c>
    </row>
    <row r="344" spans="1:6" hidden="1" x14ac:dyDescent="0.2">
      <c r="A344">
        <f>SUBTOTAL(3,$B$6:B344)</f>
        <v>114</v>
      </c>
      <c r="B344" t="s">
        <v>350</v>
      </c>
      <c r="C344" t="s">
        <v>843</v>
      </c>
      <c r="D344">
        <v>24944.872000000003</v>
      </c>
      <c r="E344">
        <v>0</v>
      </c>
      <c r="F344">
        <v>24944.872000000003</v>
      </c>
    </row>
    <row r="345" spans="1:6" hidden="1" x14ac:dyDescent="0.2">
      <c r="A345">
        <f>SUBTOTAL(3,$B$6:B345)</f>
        <v>114</v>
      </c>
      <c r="B345" t="s">
        <v>350</v>
      </c>
      <c r="C345" t="s">
        <v>845</v>
      </c>
      <c r="D345">
        <v>222.23000000000002</v>
      </c>
      <c r="E345">
        <v>0</v>
      </c>
      <c r="F345">
        <v>222.23000000000002</v>
      </c>
    </row>
    <row r="346" spans="1:6" hidden="1" x14ac:dyDescent="0.2">
      <c r="A346">
        <f>SUBTOTAL(3,$B$6:B346)</f>
        <v>114</v>
      </c>
      <c r="B346" t="s">
        <v>350</v>
      </c>
      <c r="C346" t="s">
        <v>357</v>
      </c>
      <c r="D346">
        <v>0</v>
      </c>
      <c r="E346">
        <v>0</v>
      </c>
      <c r="F346">
        <v>0</v>
      </c>
    </row>
    <row r="347" spans="1:6" hidden="1" x14ac:dyDescent="0.2">
      <c r="A347">
        <f>SUBTOTAL(3,$B$6:B347)</f>
        <v>114</v>
      </c>
      <c r="B347" t="s">
        <v>350</v>
      </c>
      <c r="C347" t="s">
        <v>846</v>
      </c>
      <c r="D347">
        <v>0</v>
      </c>
      <c r="E347">
        <v>0</v>
      </c>
      <c r="F347">
        <v>0</v>
      </c>
    </row>
    <row r="348" spans="1:6" hidden="1" x14ac:dyDescent="0.2">
      <c r="A348">
        <f>SUBTOTAL(3,$B$6:B348)</f>
        <v>114</v>
      </c>
      <c r="B348" t="s">
        <v>350</v>
      </c>
      <c r="C348" t="s">
        <v>847</v>
      </c>
      <c r="D348">
        <v>0</v>
      </c>
      <c r="E348">
        <v>0</v>
      </c>
      <c r="F348">
        <v>0</v>
      </c>
    </row>
    <row r="349" spans="1:6" hidden="1" x14ac:dyDescent="0.2">
      <c r="A349">
        <f>SUBTOTAL(3,$B$6:B349)</f>
        <v>114</v>
      </c>
      <c r="B349" t="s">
        <v>350</v>
      </c>
      <c r="C349" t="s">
        <v>848</v>
      </c>
      <c r="D349">
        <v>93.325999999999993</v>
      </c>
      <c r="E349">
        <v>0</v>
      </c>
      <c r="F349">
        <v>93.325999999999993</v>
      </c>
    </row>
    <row r="350" spans="1:6" hidden="1" x14ac:dyDescent="0.2">
      <c r="A350">
        <f>SUBTOTAL(3,$B$6:B350)</f>
        <v>114</v>
      </c>
      <c r="B350" t="s">
        <v>350</v>
      </c>
      <c r="C350" t="s">
        <v>849</v>
      </c>
      <c r="D350">
        <v>0</v>
      </c>
      <c r="E350">
        <v>0</v>
      </c>
      <c r="F350">
        <v>0</v>
      </c>
    </row>
    <row r="351" spans="1:6" hidden="1" x14ac:dyDescent="0.2">
      <c r="A351">
        <f>SUBTOTAL(3,$B$6:B351)</f>
        <v>114</v>
      </c>
      <c r="B351" t="s">
        <v>350</v>
      </c>
      <c r="C351" t="s">
        <v>366</v>
      </c>
      <c r="D351">
        <v>0</v>
      </c>
      <c r="E351">
        <v>0</v>
      </c>
      <c r="F351">
        <v>0</v>
      </c>
    </row>
    <row r="352" spans="1:6" hidden="1" x14ac:dyDescent="0.2">
      <c r="A352">
        <f>SUBTOTAL(3,$B$6:B352)</f>
        <v>114</v>
      </c>
      <c r="B352" t="s">
        <v>350</v>
      </c>
      <c r="C352" t="s">
        <v>353</v>
      </c>
      <c r="D352">
        <v>0</v>
      </c>
      <c r="E352">
        <v>0</v>
      </c>
      <c r="F352">
        <v>0</v>
      </c>
    </row>
    <row r="353" spans="1:6" hidden="1" x14ac:dyDescent="0.2">
      <c r="A353">
        <f>SUBTOTAL(3,$B$6:B353)</f>
        <v>114</v>
      </c>
      <c r="B353" t="s">
        <v>350</v>
      </c>
      <c r="C353" t="s">
        <v>850</v>
      </c>
      <c r="D353">
        <v>0</v>
      </c>
      <c r="E353">
        <v>0</v>
      </c>
      <c r="F353">
        <v>0</v>
      </c>
    </row>
    <row r="354" spans="1:6" hidden="1" x14ac:dyDescent="0.2">
      <c r="A354">
        <f>SUBTOTAL(3,$B$6:B354)</f>
        <v>114</v>
      </c>
      <c r="B354" t="s">
        <v>350</v>
      </c>
      <c r="C354" t="s">
        <v>852</v>
      </c>
      <c r="D354">
        <v>67.26400000000001</v>
      </c>
      <c r="E354">
        <v>0</v>
      </c>
      <c r="F354">
        <v>67.26400000000001</v>
      </c>
    </row>
    <row r="355" spans="1:6" hidden="1" x14ac:dyDescent="0.2">
      <c r="A355">
        <f>SUBTOTAL(3,$B$6:B355)</f>
        <v>114</v>
      </c>
      <c r="B355" t="s">
        <v>350</v>
      </c>
      <c r="C355" t="s">
        <v>853</v>
      </c>
      <c r="D355">
        <v>878.72900000000004</v>
      </c>
      <c r="E355">
        <v>0</v>
      </c>
      <c r="F355">
        <v>878.72900000000004</v>
      </c>
    </row>
    <row r="356" spans="1:6" hidden="1" x14ac:dyDescent="0.2">
      <c r="A356">
        <f>SUBTOTAL(3,$B$6:B356)</f>
        <v>114</v>
      </c>
      <c r="B356" t="s">
        <v>350</v>
      </c>
      <c r="C356" t="s">
        <v>854</v>
      </c>
      <c r="D356">
        <v>0</v>
      </c>
      <c r="E356">
        <v>0</v>
      </c>
      <c r="F356">
        <v>0</v>
      </c>
    </row>
    <row r="357" spans="1:6" hidden="1" x14ac:dyDescent="0.2">
      <c r="A357">
        <f>SUBTOTAL(3,$B$6:B357)</f>
        <v>114</v>
      </c>
      <c r="B357" t="s">
        <v>350</v>
      </c>
      <c r="C357" t="s">
        <v>855</v>
      </c>
      <c r="D357">
        <v>0</v>
      </c>
      <c r="E357">
        <v>0</v>
      </c>
      <c r="F357">
        <v>0</v>
      </c>
    </row>
    <row r="358" spans="1:6" hidden="1" x14ac:dyDescent="0.2">
      <c r="A358">
        <f>SUBTOTAL(3,$B$6:B358)</f>
        <v>114</v>
      </c>
      <c r="B358" t="s">
        <v>350</v>
      </c>
      <c r="C358" t="s">
        <v>367</v>
      </c>
      <c r="D358">
        <v>4213.893</v>
      </c>
      <c r="E358">
        <v>0</v>
      </c>
      <c r="F358">
        <v>4213.893</v>
      </c>
    </row>
    <row r="359" spans="1:6" hidden="1" x14ac:dyDescent="0.2">
      <c r="A359">
        <f>SUBTOTAL(3,$B$6:B359)</f>
        <v>114</v>
      </c>
      <c r="B359" t="s">
        <v>350</v>
      </c>
      <c r="C359" t="s">
        <v>856</v>
      </c>
      <c r="D359">
        <v>23593.909</v>
      </c>
      <c r="E359">
        <v>0</v>
      </c>
      <c r="F359">
        <v>23593.909</v>
      </c>
    </row>
    <row r="360" spans="1:6" hidden="1" x14ac:dyDescent="0.2">
      <c r="A360">
        <f>SUBTOTAL(3,$B$6:B360)</f>
        <v>114</v>
      </c>
      <c r="B360" t="s">
        <v>350</v>
      </c>
      <c r="C360" t="s">
        <v>857</v>
      </c>
      <c r="D360">
        <v>-582</v>
      </c>
      <c r="E360">
        <v>0</v>
      </c>
      <c r="F360">
        <v>-582</v>
      </c>
    </row>
    <row r="361" spans="1:6" hidden="1" x14ac:dyDescent="0.2">
      <c r="A361">
        <f>SUBTOTAL(3,$B$6:B361)</f>
        <v>114</v>
      </c>
      <c r="B361" t="s">
        <v>350</v>
      </c>
      <c r="C361" t="s">
        <v>858</v>
      </c>
      <c r="D361">
        <v>15118.300000000003</v>
      </c>
      <c r="E361">
        <v>0</v>
      </c>
      <c r="F361">
        <v>15118.300000000003</v>
      </c>
    </row>
    <row r="362" spans="1:6" hidden="1" x14ac:dyDescent="0.2">
      <c r="A362">
        <f>SUBTOTAL(3,$B$6:B362)</f>
        <v>114</v>
      </c>
      <c r="B362" t="s">
        <v>350</v>
      </c>
      <c r="C362" t="s">
        <v>859</v>
      </c>
      <c r="D362">
        <v>1826.0200000000007</v>
      </c>
      <c r="E362">
        <v>0</v>
      </c>
      <c r="F362">
        <v>1826.0200000000007</v>
      </c>
    </row>
    <row r="363" spans="1:6" hidden="1" x14ac:dyDescent="0.2">
      <c r="A363">
        <f>SUBTOTAL(3,$B$6:B363)</f>
        <v>114</v>
      </c>
      <c r="B363" t="s">
        <v>350</v>
      </c>
      <c r="C363" t="s">
        <v>860</v>
      </c>
      <c r="D363">
        <v>682.34999999999991</v>
      </c>
      <c r="E363">
        <v>0</v>
      </c>
      <c r="F363">
        <v>682.34999999999991</v>
      </c>
    </row>
    <row r="364" spans="1:6" hidden="1" x14ac:dyDescent="0.2">
      <c r="A364">
        <f>SUBTOTAL(3,$B$6:B364)</f>
        <v>114</v>
      </c>
      <c r="B364" t="s">
        <v>350</v>
      </c>
      <c r="C364" t="s">
        <v>862</v>
      </c>
      <c r="D364">
        <v>10840.178</v>
      </c>
      <c r="E364">
        <v>0</v>
      </c>
      <c r="F364">
        <v>10840.178</v>
      </c>
    </row>
    <row r="365" spans="1:6" hidden="1" x14ac:dyDescent="0.2">
      <c r="A365">
        <f>SUBTOTAL(3,$B$6:B365)</f>
        <v>114</v>
      </c>
      <c r="B365" t="s">
        <v>350</v>
      </c>
      <c r="C365" t="s">
        <v>865</v>
      </c>
      <c r="D365">
        <v>0</v>
      </c>
      <c r="E365">
        <v>0</v>
      </c>
      <c r="F365">
        <v>0</v>
      </c>
    </row>
    <row r="366" spans="1:6" hidden="1" x14ac:dyDescent="0.2">
      <c r="A366">
        <f>SUBTOTAL(3,$B$6:B366)</f>
        <v>114</v>
      </c>
      <c r="B366" t="s">
        <v>350</v>
      </c>
      <c r="C366" t="s">
        <v>355</v>
      </c>
      <c r="D366">
        <v>0</v>
      </c>
      <c r="E366">
        <v>0</v>
      </c>
      <c r="F366">
        <v>0</v>
      </c>
    </row>
    <row r="367" spans="1:6" hidden="1" x14ac:dyDescent="0.2">
      <c r="A367">
        <f>SUBTOTAL(3,$B$6:B367)</f>
        <v>114</v>
      </c>
      <c r="B367" t="s">
        <v>350</v>
      </c>
      <c r="C367" t="s">
        <v>866</v>
      </c>
      <c r="D367">
        <v>67321.804000000004</v>
      </c>
      <c r="E367">
        <v>0</v>
      </c>
      <c r="F367">
        <v>67321.804000000004</v>
      </c>
    </row>
    <row r="368" spans="1:6" hidden="1" x14ac:dyDescent="0.2">
      <c r="A368">
        <f>SUBTOTAL(3,$B$6:B368)</f>
        <v>114</v>
      </c>
      <c r="B368" t="s">
        <v>350</v>
      </c>
      <c r="C368" t="s">
        <v>868</v>
      </c>
      <c r="D368">
        <v>0</v>
      </c>
      <c r="E368">
        <v>0</v>
      </c>
      <c r="F368">
        <v>0</v>
      </c>
    </row>
    <row r="369" spans="1:6" hidden="1" x14ac:dyDescent="0.2">
      <c r="A369">
        <f>SUBTOTAL(3,$B$6:B369)</f>
        <v>114</v>
      </c>
      <c r="B369" t="s">
        <v>350</v>
      </c>
      <c r="C369" t="s">
        <v>869</v>
      </c>
      <c r="D369">
        <v>18351.37</v>
      </c>
      <c r="E369">
        <v>0</v>
      </c>
      <c r="F369">
        <v>18351.37</v>
      </c>
    </row>
    <row r="370" spans="1:6" hidden="1" x14ac:dyDescent="0.2">
      <c r="A370">
        <f>SUBTOTAL(3,$B$6:B370)</f>
        <v>114</v>
      </c>
      <c r="B370" t="s">
        <v>350</v>
      </c>
      <c r="C370" t="s">
        <v>872</v>
      </c>
      <c r="D370">
        <v>88.274000000000001</v>
      </c>
      <c r="E370">
        <v>0</v>
      </c>
      <c r="F370">
        <v>88.274000000000001</v>
      </c>
    </row>
    <row r="371" spans="1:6" hidden="1" x14ac:dyDescent="0.2">
      <c r="A371">
        <f>SUBTOTAL(3,$B$6:B371)</f>
        <v>114</v>
      </c>
      <c r="B371" t="s">
        <v>350</v>
      </c>
      <c r="C371" t="s">
        <v>874</v>
      </c>
      <c r="D371">
        <v>8933.6630000000005</v>
      </c>
      <c r="E371">
        <v>0</v>
      </c>
      <c r="F371">
        <v>8933.6630000000005</v>
      </c>
    </row>
    <row r="372" spans="1:6" hidden="1" x14ac:dyDescent="0.2">
      <c r="A372">
        <f>SUBTOTAL(3,$B$6:B372)</f>
        <v>114</v>
      </c>
      <c r="B372" t="s">
        <v>350</v>
      </c>
      <c r="C372" t="s">
        <v>875</v>
      </c>
      <c r="D372">
        <v>10.256</v>
      </c>
      <c r="E372">
        <v>0</v>
      </c>
      <c r="F372">
        <v>10.256</v>
      </c>
    </row>
    <row r="373" spans="1:6" hidden="1" x14ac:dyDescent="0.2">
      <c r="A373">
        <f>SUBTOTAL(3,$B$6:B373)</f>
        <v>114</v>
      </c>
      <c r="B373" t="s">
        <v>350</v>
      </c>
      <c r="C373" t="s">
        <v>362</v>
      </c>
      <c r="D373">
        <v>0</v>
      </c>
      <c r="E373">
        <v>0</v>
      </c>
      <c r="F373">
        <v>0</v>
      </c>
    </row>
    <row r="374" spans="1:6" hidden="1" x14ac:dyDescent="0.2">
      <c r="A374">
        <f>SUBTOTAL(3,$B$6:B374)</f>
        <v>114</v>
      </c>
      <c r="B374" t="s">
        <v>350</v>
      </c>
      <c r="C374" t="s">
        <v>877</v>
      </c>
      <c r="D374">
        <v>294.43900000000002</v>
      </c>
      <c r="E374">
        <v>0</v>
      </c>
      <c r="F374">
        <v>294.43900000000002</v>
      </c>
    </row>
    <row r="375" spans="1:6" hidden="1" x14ac:dyDescent="0.2">
      <c r="A375">
        <f>SUBTOTAL(3,$B$6:B375)</f>
        <v>114</v>
      </c>
      <c r="B375" t="s">
        <v>350</v>
      </c>
      <c r="C375" t="s">
        <v>878</v>
      </c>
      <c r="D375">
        <v>0</v>
      </c>
      <c r="E375">
        <v>0</v>
      </c>
      <c r="F375">
        <v>0</v>
      </c>
    </row>
    <row r="376" spans="1:6" hidden="1" x14ac:dyDescent="0.2">
      <c r="A376">
        <f>SUBTOTAL(3,$B$6:B376)</f>
        <v>114</v>
      </c>
      <c r="B376" t="s">
        <v>350</v>
      </c>
      <c r="C376" t="s">
        <v>881</v>
      </c>
      <c r="D376">
        <v>0</v>
      </c>
      <c r="E376">
        <v>0</v>
      </c>
      <c r="F376">
        <v>0</v>
      </c>
    </row>
    <row r="377" spans="1:6" hidden="1" x14ac:dyDescent="0.2">
      <c r="A377">
        <f>SUBTOTAL(3,$B$6:B377)</f>
        <v>114</v>
      </c>
      <c r="B377" t="s">
        <v>350</v>
      </c>
      <c r="C377" t="s">
        <v>883</v>
      </c>
      <c r="D377">
        <v>4482.8359999999993</v>
      </c>
      <c r="E377">
        <v>0</v>
      </c>
      <c r="F377">
        <v>4482.8359999999993</v>
      </c>
    </row>
    <row r="378" spans="1:6" hidden="1" x14ac:dyDescent="0.2">
      <c r="A378">
        <f>SUBTOTAL(3,$B$6:B378)</f>
        <v>114</v>
      </c>
      <c r="B378" t="s">
        <v>350</v>
      </c>
      <c r="C378" t="s">
        <v>885</v>
      </c>
      <c r="D378">
        <v>533.20699999999999</v>
      </c>
      <c r="E378">
        <v>0</v>
      </c>
      <c r="F378">
        <v>533.20699999999999</v>
      </c>
    </row>
    <row r="379" spans="1:6" hidden="1" x14ac:dyDescent="0.2">
      <c r="A379">
        <f>SUBTOTAL(3,$B$6:B379)</f>
        <v>114</v>
      </c>
      <c r="B379" t="s">
        <v>350</v>
      </c>
      <c r="C379" t="s">
        <v>361</v>
      </c>
      <c r="D379">
        <v>0</v>
      </c>
      <c r="E379">
        <v>0</v>
      </c>
      <c r="F379">
        <v>0</v>
      </c>
    </row>
    <row r="380" spans="1:6" hidden="1" x14ac:dyDescent="0.2">
      <c r="A380">
        <f>SUBTOTAL(3,$B$6:B380)</f>
        <v>114</v>
      </c>
      <c r="B380" t="s">
        <v>350</v>
      </c>
      <c r="C380" t="s">
        <v>358</v>
      </c>
      <c r="D380">
        <v>0</v>
      </c>
      <c r="E380">
        <v>0</v>
      </c>
      <c r="F380">
        <v>0</v>
      </c>
    </row>
    <row r="381" spans="1:6" hidden="1" x14ac:dyDescent="0.2">
      <c r="A381">
        <f>SUBTOTAL(3,$B$6:B381)</f>
        <v>114</v>
      </c>
      <c r="B381" t="s">
        <v>350</v>
      </c>
      <c r="C381" t="s">
        <v>890</v>
      </c>
      <c r="D381">
        <v>3742.9769999999994</v>
      </c>
      <c r="E381">
        <v>0</v>
      </c>
      <c r="F381">
        <v>3742.9769999999994</v>
      </c>
    </row>
    <row r="382" spans="1:6" hidden="1" x14ac:dyDescent="0.2">
      <c r="A382">
        <f>SUBTOTAL(3,$B$6:B382)</f>
        <v>114</v>
      </c>
      <c r="B382" t="s">
        <v>350</v>
      </c>
      <c r="C382" t="s">
        <v>891</v>
      </c>
      <c r="D382">
        <v>0</v>
      </c>
      <c r="E382">
        <v>0</v>
      </c>
      <c r="F382">
        <v>0</v>
      </c>
    </row>
    <row r="383" spans="1:6" hidden="1" x14ac:dyDescent="0.2">
      <c r="A383">
        <f>SUBTOTAL(3,$B$6:B383)</f>
        <v>114</v>
      </c>
      <c r="B383" t="s">
        <v>350</v>
      </c>
      <c r="C383" t="s">
        <v>368</v>
      </c>
      <c r="D383">
        <v>0</v>
      </c>
      <c r="E383">
        <v>0</v>
      </c>
      <c r="F383">
        <v>0</v>
      </c>
    </row>
    <row r="384" spans="1:6" hidden="1" x14ac:dyDescent="0.2">
      <c r="A384">
        <f>SUBTOTAL(3,$B$6:B384)</f>
        <v>114</v>
      </c>
      <c r="B384" t="s">
        <v>350</v>
      </c>
      <c r="C384" t="s">
        <v>892</v>
      </c>
      <c r="D384">
        <v>0</v>
      </c>
      <c r="E384">
        <v>0</v>
      </c>
      <c r="F384">
        <v>0</v>
      </c>
    </row>
    <row r="385" spans="1:6" hidden="1" x14ac:dyDescent="0.2">
      <c r="A385">
        <f>SUBTOTAL(3,$B$6:B385)</f>
        <v>114</v>
      </c>
      <c r="B385" t="s">
        <v>350</v>
      </c>
      <c r="C385" t="s">
        <v>895</v>
      </c>
      <c r="D385">
        <v>220.43699999999995</v>
      </c>
      <c r="E385">
        <v>0</v>
      </c>
      <c r="F385">
        <v>220.43699999999995</v>
      </c>
    </row>
    <row r="386" spans="1:6" hidden="1" x14ac:dyDescent="0.2">
      <c r="A386">
        <f>SUBTOTAL(3,$B$6:B386)</f>
        <v>114</v>
      </c>
      <c r="B386" t="s">
        <v>350</v>
      </c>
      <c r="C386" t="s">
        <v>896</v>
      </c>
      <c r="D386">
        <v>7680.5679999999984</v>
      </c>
      <c r="E386">
        <v>0</v>
      </c>
      <c r="F386">
        <v>7680.5679999999984</v>
      </c>
    </row>
    <row r="387" spans="1:6" hidden="1" x14ac:dyDescent="0.2">
      <c r="A387">
        <f>SUBTOTAL(3,$B$6:B387)</f>
        <v>114</v>
      </c>
      <c r="B387" t="s">
        <v>350</v>
      </c>
      <c r="C387" t="s">
        <v>897</v>
      </c>
      <c r="D387">
        <v>0</v>
      </c>
      <c r="E387">
        <v>0</v>
      </c>
      <c r="F387">
        <v>0</v>
      </c>
    </row>
    <row r="388" spans="1:6" hidden="1" x14ac:dyDescent="0.2">
      <c r="A388">
        <f>SUBTOTAL(3,$B$6:B388)</f>
        <v>114</v>
      </c>
      <c r="B388" t="s">
        <v>350</v>
      </c>
      <c r="C388" t="s">
        <v>899</v>
      </c>
      <c r="D388">
        <v>1215.7460000000001</v>
      </c>
      <c r="E388">
        <v>0</v>
      </c>
      <c r="F388">
        <v>1215.7460000000001</v>
      </c>
    </row>
    <row r="389" spans="1:6" hidden="1" x14ac:dyDescent="0.2">
      <c r="A389">
        <f>SUBTOTAL(3,$B$6:B389)</f>
        <v>114</v>
      </c>
      <c r="B389" t="s">
        <v>350</v>
      </c>
      <c r="C389" t="s">
        <v>903</v>
      </c>
      <c r="D389">
        <v>0</v>
      </c>
      <c r="E389">
        <v>0</v>
      </c>
      <c r="F389">
        <v>0</v>
      </c>
    </row>
    <row r="390" spans="1:6" hidden="1" x14ac:dyDescent="0.2">
      <c r="A390">
        <f>SUBTOTAL(3,$B$6:B390)</f>
        <v>114</v>
      </c>
      <c r="B390" t="s">
        <v>350</v>
      </c>
      <c r="C390" t="s">
        <v>365</v>
      </c>
      <c r="D390">
        <v>312.15300000000002</v>
      </c>
      <c r="E390">
        <v>0</v>
      </c>
      <c r="F390">
        <v>312.15300000000002</v>
      </c>
    </row>
    <row r="391" spans="1:6" hidden="1" x14ac:dyDescent="0.2">
      <c r="A391">
        <f>SUBTOTAL(3,$B$6:B391)</f>
        <v>114</v>
      </c>
      <c r="B391" t="s">
        <v>350</v>
      </c>
      <c r="C391" t="s">
        <v>904</v>
      </c>
      <c r="D391">
        <v>324.637</v>
      </c>
      <c r="E391">
        <v>0</v>
      </c>
      <c r="F391">
        <v>324.637</v>
      </c>
    </row>
    <row r="392" spans="1:6" hidden="1" x14ac:dyDescent="0.2">
      <c r="A392">
        <f>SUBTOTAL(3,$B$6:B392)</f>
        <v>114</v>
      </c>
      <c r="B392" t="s">
        <v>350</v>
      </c>
      <c r="C392" t="s">
        <v>908</v>
      </c>
      <c r="D392">
        <v>244.86</v>
      </c>
      <c r="E392">
        <v>0</v>
      </c>
      <c r="F392">
        <v>244.86</v>
      </c>
    </row>
    <row r="393" spans="1:6" hidden="1" x14ac:dyDescent="0.2">
      <c r="A393">
        <f>SUBTOTAL(3,$B$6:B393)</f>
        <v>114</v>
      </c>
      <c r="B393" t="s">
        <v>350</v>
      </c>
      <c r="C393" t="s">
        <v>909</v>
      </c>
      <c r="D393">
        <v>8629.9699999999993</v>
      </c>
      <c r="E393">
        <v>0</v>
      </c>
      <c r="F393">
        <v>8629.9699999999993</v>
      </c>
    </row>
    <row r="394" spans="1:6" hidden="1" x14ac:dyDescent="0.2">
      <c r="A394">
        <f>SUBTOTAL(3,$B$6:B394)</f>
        <v>114</v>
      </c>
      <c r="B394" t="s">
        <v>350</v>
      </c>
      <c r="C394" t="s">
        <v>354</v>
      </c>
      <c r="D394">
        <v>0</v>
      </c>
      <c r="E394">
        <v>0</v>
      </c>
      <c r="F394">
        <v>0</v>
      </c>
    </row>
    <row r="395" spans="1:6" hidden="1" x14ac:dyDescent="0.2">
      <c r="A395">
        <f>SUBTOTAL(3,$B$6:B395)</f>
        <v>114</v>
      </c>
      <c r="B395" t="s">
        <v>350</v>
      </c>
      <c r="C395" t="s">
        <v>915</v>
      </c>
      <c r="D395">
        <v>4026.7779999999993</v>
      </c>
      <c r="E395">
        <v>0</v>
      </c>
      <c r="F395">
        <v>4026.7779999999993</v>
      </c>
    </row>
    <row r="396" spans="1:6" hidden="1" x14ac:dyDescent="0.2">
      <c r="A396">
        <f>SUBTOTAL(3,$B$6:B396)</f>
        <v>114</v>
      </c>
      <c r="B396" t="s">
        <v>350</v>
      </c>
      <c r="C396" t="s">
        <v>917</v>
      </c>
      <c r="D396">
        <v>0</v>
      </c>
      <c r="E396">
        <v>0</v>
      </c>
      <c r="F396">
        <v>0</v>
      </c>
    </row>
    <row r="397" spans="1:6" hidden="1" x14ac:dyDescent="0.2">
      <c r="A397">
        <f>SUBTOTAL(3,$B$6:B397)</f>
        <v>114</v>
      </c>
      <c r="B397" t="s">
        <v>350</v>
      </c>
      <c r="C397" t="s">
        <v>918</v>
      </c>
      <c r="D397">
        <v>115.01900000000001</v>
      </c>
      <c r="E397">
        <v>0</v>
      </c>
      <c r="F397">
        <v>115.01900000000001</v>
      </c>
    </row>
    <row r="398" spans="1:6" hidden="1" x14ac:dyDescent="0.2">
      <c r="A398">
        <f>SUBTOTAL(3,$B$6:B398)</f>
        <v>114</v>
      </c>
      <c r="B398" t="s">
        <v>350</v>
      </c>
      <c r="C398" t="s">
        <v>356</v>
      </c>
      <c r="D398">
        <v>22.425999999999998</v>
      </c>
      <c r="E398">
        <v>0</v>
      </c>
      <c r="F398">
        <v>22.425999999999998</v>
      </c>
    </row>
    <row r="399" spans="1:6" hidden="1" x14ac:dyDescent="0.2">
      <c r="A399">
        <f>SUBTOTAL(3,$B$6:B399)</f>
        <v>114</v>
      </c>
      <c r="B399" t="s">
        <v>350</v>
      </c>
      <c r="C399" t="s">
        <v>919</v>
      </c>
      <c r="D399">
        <v>16752.349000000006</v>
      </c>
      <c r="E399">
        <v>0</v>
      </c>
      <c r="F399">
        <v>16752.349000000006</v>
      </c>
    </row>
    <row r="400" spans="1:6" hidden="1" x14ac:dyDescent="0.2">
      <c r="A400">
        <f>SUBTOTAL(3,$B$6:B400)</f>
        <v>114</v>
      </c>
      <c r="B400" t="s">
        <v>350</v>
      </c>
      <c r="C400" t="s">
        <v>921</v>
      </c>
      <c r="D400">
        <v>654.32900000000006</v>
      </c>
      <c r="E400">
        <v>0</v>
      </c>
      <c r="F400">
        <v>654.32900000000006</v>
      </c>
    </row>
    <row r="401" spans="1:6" hidden="1" x14ac:dyDescent="0.2">
      <c r="A401">
        <f>SUBTOTAL(3,$B$6:B401)</f>
        <v>114</v>
      </c>
      <c r="B401" t="s">
        <v>350</v>
      </c>
      <c r="C401" t="s">
        <v>922</v>
      </c>
      <c r="D401">
        <v>8.1920000000000002</v>
      </c>
      <c r="E401">
        <v>0</v>
      </c>
      <c r="F401">
        <v>8.1920000000000002</v>
      </c>
    </row>
    <row r="402" spans="1:6" hidden="1" x14ac:dyDescent="0.2">
      <c r="A402">
        <f>SUBTOTAL(3,$B$6:B402)</f>
        <v>114</v>
      </c>
      <c r="B402" t="s">
        <v>350</v>
      </c>
      <c r="C402" t="s">
        <v>924</v>
      </c>
      <c r="D402">
        <v>0</v>
      </c>
      <c r="E402">
        <v>0</v>
      </c>
      <c r="F402">
        <v>0</v>
      </c>
    </row>
    <row r="403" spans="1:6" hidden="1" x14ac:dyDescent="0.2">
      <c r="A403">
        <f>SUBTOTAL(3,$B$6:B403)</f>
        <v>114</v>
      </c>
      <c r="B403" t="s">
        <v>350</v>
      </c>
      <c r="C403" t="s">
        <v>927</v>
      </c>
      <c r="D403">
        <v>36291.300000000003</v>
      </c>
      <c r="E403">
        <v>0</v>
      </c>
      <c r="F403">
        <v>36291.300000000003</v>
      </c>
    </row>
    <row r="404" spans="1:6" hidden="1" x14ac:dyDescent="0.2">
      <c r="A404">
        <f>SUBTOTAL(3,$B$6:B404)</f>
        <v>114</v>
      </c>
      <c r="B404" t="s">
        <v>350</v>
      </c>
      <c r="C404" t="s">
        <v>359</v>
      </c>
      <c r="D404">
        <v>0</v>
      </c>
      <c r="E404">
        <v>0</v>
      </c>
      <c r="F404">
        <v>0</v>
      </c>
    </row>
    <row r="405" spans="1:6" hidden="1" x14ac:dyDescent="0.2">
      <c r="A405">
        <f>SUBTOTAL(3,$B$6:B405)</f>
        <v>114</v>
      </c>
      <c r="B405" t="s">
        <v>350</v>
      </c>
      <c r="C405" t="s">
        <v>360</v>
      </c>
      <c r="D405">
        <v>0</v>
      </c>
      <c r="E405">
        <v>0</v>
      </c>
      <c r="F405">
        <v>0</v>
      </c>
    </row>
    <row r="406" spans="1:6" hidden="1" x14ac:dyDescent="0.2">
      <c r="A406">
        <f>SUBTOTAL(3,$B$6:B406)</f>
        <v>114</v>
      </c>
      <c r="B406" t="s">
        <v>350</v>
      </c>
      <c r="C406" t="s">
        <v>928</v>
      </c>
      <c r="D406">
        <v>0</v>
      </c>
      <c r="E406">
        <v>0</v>
      </c>
      <c r="F406">
        <v>0</v>
      </c>
    </row>
    <row r="407" spans="1:6" hidden="1" x14ac:dyDescent="0.2">
      <c r="A407">
        <f>SUBTOTAL(3,$B$6:B407)</f>
        <v>114</v>
      </c>
      <c r="B407" t="s">
        <v>350</v>
      </c>
      <c r="C407" t="s">
        <v>929</v>
      </c>
      <c r="D407">
        <v>350.71899999999999</v>
      </c>
      <c r="E407">
        <v>0</v>
      </c>
      <c r="F407">
        <v>350.71899999999999</v>
      </c>
    </row>
    <row r="408" spans="1:6" hidden="1" x14ac:dyDescent="0.2">
      <c r="A408">
        <f>SUBTOTAL(3,$B$6:B408)</f>
        <v>114</v>
      </c>
      <c r="B408" t="s">
        <v>350</v>
      </c>
      <c r="C408" t="s">
        <v>930</v>
      </c>
      <c r="D408">
        <v>2143.1400000000003</v>
      </c>
      <c r="E408">
        <v>0</v>
      </c>
      <c r="F408">
        <v>2143.1400000000003</v>
      </c>
    </row>
    <row r="409" spans="1:6" hidden="1" x14ac:dyDescent="0.2">
      <c r="A409">
        <f>SUBTOTAL(3,$B$6:B409)</f>
        <v>114</v>
      </c>
      <c r="B409" t="s">
        <v>350</v>
      </c>
      <c r="C409" t="s">
        <v>933</v>
      </c>
      <c r="D409">
        <v>706.89</v>
      </c>
      <c r="E409">
        <v>0</v>
      </c>
      <c r="F409">
        <v>706.89</v>
      </c>
    </row>
    <row r="410" spans="1:6" hidden="1" x14ac:dyDescent="0.2">
      <c r="A410">
        <f>SUBTOTAL(3,$B$6:B410)</f>
        <v>114</v>
      </c>
      <c r="B410" t="s">
        <v>350</v>
      </c>
      <c r="C410" t="s">
        <v>935</v>
      </c>
      <c r="D410">
        <v>3363.1139999999987</v>
      </c>
      <c r="E410">
        <v>0</v>
      </c>
      <c r="F410">
        <v>3363.1139999999987</v>
      </c>
    </row>
    <row r="411" spans="1:6" x14ac:dyDescent="0.2">
      <c r="A411">
        <f>SUBTOTAL(3,$B$6:B411)</f>
        <v>114</v>
      </c>
    </row>
    <row r="412" spans="1:6" x14ac:dyDescent="0.2">
      <c r="A412">
        <f>SUBTOTAL(3,$B$6:B412)</f>
        <v>114</v>
      </c>
    </row>
    <row r="413" spans="1:6" x14ac:dyDescent="0.2">
      <c r="A413">
        <f>SUBTOTAL(3,$B$6:B413)</f>
        <v>114</v>
      </c>
    </row>
    <row r="414" spans="1:6" x14ac:dyDescent="0.2">
      <c r="A414">
        <f>SUBTOTAL(3,$B$6:B414)</f>
        <v>114</v>
      </c>
    </row>
    <row r="415" spans="1:6" x14ac:dyDescent="0.2">
      <c r="A415">
        <f>SUBTOTAL(3,$B$6:B415)</f>
        <v>114</v>
      </c>
    </row>
    <row r="416" spans="1:6" x14ac:dyDescent="0.2">
      <c r="A416">
        <f>SUBTOTAL(3,$B$6:B416)</f>
        <v>114</v>
      </c>
    </row>
    <row r="417" spans="1:1" x14ac:dyDescent="0.2">
      <c r="A417">
        <f>SUBTOTAL(3,$B$6:B417)</f>
        <v>114</v>
      </c>
    </row>
    <row r="418" spans="1:1" x14ac:dyDescent="0.2">
      <c r="A418">
        <f>SUBTOTAL(3,$B$6:B418)</f>
        <v>114</v>
      </c>
    </row>
    <row r="419" spans="1:1" x14ac:dyDescent="0.2">
      <c r="A419">
        <f>SUBTOTAL(3,$B$6:B419)</f>
        <v>114</v>
      </c>
    </row>
    <row r="420" spans="1:1" x14ac:dyDescent="0.2">
      <c r="A420">
        <f>SUBTOTAL(3,$B$6:B420)</f>
        <v>114</v>
      </c>
    </row>
    <row r="421" spans="1:1" x14ac:dyDescent="0.2">
      <c r="A421">
        <f>SUBTOTAL(3,$B$6:B421)</f>
        <v>114</v>
      </c>
    </row>
    <row r="422" spans="1:1" x14ac:dyDescent="0.2">
      <c r="A422">
        <f>SUBTOTAL(3,$B$6:B422)</f>
        <v>114</v>
      </c>
    </row>
    <row r="423" spans="1:1" x14ac:dyDescent="0.2">
      <c r="A423">
        <f>SUBTOTAL(3,$B$6:B423)</f>
        <v>114</v>
      </c>
    </row>
    <row r="424" spans="1:1" x14ac:dyDescent="0.2">
      <c r="A424">
        <f>SUBTOTAL(3,$B$6:B424)</f>
        <v>114</v>
      </c>
    </row>
    <row r="425" spans="1:1" x14ac:dyDescent="0.2">
      <c r="A425">
        <f>SUBTOTAL(3,$B$6:B425)</f>
        <v>114</v>
      </c>
    </row>
    <row r="426" spans="1:1" x14ac:dyDescent="0.2">
      <c r="A426">
        <f>SUBTOTAL(3,$B$6:B426)</f>
        <v>114</v>
      </c>
    </row>
    <row r="427" spans="1:1" x14ac:dyDescent="0.2">
      <c r="A427">
        <f>SUBTOTAL(3,$B$6:B427)</f>
        <v>114</v>
      </c>
    </row>
    <row r="428" spans="1:1" x14ac:dyDescent="0.2">
      <c r="A428">
        <f>SUBTOTAL(3,$B$6:B428)</f>
        <v>114</v>
      </c>
    </row>
    <row r="429" spans="1:1" x14ac:dyDescent="0.2">
      <c r="A429">
        <f>SUBTOTAL(3,$B$6:B429)</f>
        <v>114</v>
      </c>
    </row>
    <row r="430" spans="1:1" x14ac:dyDescent="0.2">
      <c r="A430">
        <f>SUBTOTAL(3,$B$6:B430)</f>
        <v>114</v>
      </c>
    </row>
    <row r="431" spans="1:1" x14ac:dyDescent="0.2">
      <c r="A431">
        <f>SUBTOTAL(3,$B$6:B431)</f>
        <v>114</v>
      </c>
    </row>
    <row r="432" spans="1:1" x14ac:dyDescent="0.2">
      <c r="A432">
        <f>SUBTOTAL(3,$B$6:B432)</f>
        <v>114</v>
      </c>
    </row>
    <row r="433" spans="1:1" x14ac:dyDescent="0.2">
      <c r="A433">
        <f>SUBTOTAL(3,$B$6:B433)</f>
        <v>114</v>
      </c>
    </row>
    <row r="434" spans="1:1" x14ac:dyDescent="0.2">
      <c r="A434">
        <f>SUBTOTAL(3,$B$6:B434)</f>
        <v>114</v>
      </c>
    </row>
    <row r="435" spans="1:1" x14ac:dyDescent="0.2">
      <c r="A435">
        <f>SUBTOTAL(3,$B$6:B435)</f>
        <v>114</v>
      </c>
    </row>
    <row r="436" spans="1:1" x14ac:dyDescent="0.2">
      <c r="A436">
        <f>SUBTOTAL(3,$B$6:B436)</f>
        <v>114</v>
      </c>
    </row>
    <row r="437" spans="1:1" x14ac:dyDescent="0.2">
      <c r="A437">
        <f>SUBTOTAL(3,$B$6:B437)</f>
        <v>114</v>
      </c>
    </row>
    <row r="438" spans="1:1" x14ac:dyDescent="0.2">
      <c r="A438">
        <f>SUBTOTAL(3,$B$6:B438)</f>
        <v>114</v>
      </c>
    </row>
    <row r="439" spans="1:1" x14ac:dyDescent="0.2">
      <c r="A439">
        <f>SUBTOTAL(3,$B$6:B439)</f>
        <v>114</v>
      </c>
    </row>
    <row r="440" spans="1:1" x14ac:dyDescent="0.2">
      <c r="A440">
        <f>SUBTOTAL(3,$B$6:B440)</f>
        <v>114</v>
      </c>
    </row>
    <row r="441" spans="1:1" x14ac:dyDescent="0.2">
      <c r="A441">
        <f>SUBTOTAL(3,$B$6:B441)</f>
        <v>114</v>
      </c>
    </row>
    <row r="442" spans="1:1" x14ac:dyDescent="0.2">
      <c r="A442">
        <f>SUBTOTAL(3,$B$6:B442)</f>
        <v>114</v>
      </c>
    </row>
    <row r="443" spans="1:1" x14ac:dyDescent="0.2">
      <c r="A443">
        <f>SUBTOTAL(3,$B$6:B443)</f>
        <v>114</v>
      </c>
    </row>
    <row r="444" spans="1:1" x14ac:dyDescent="0.2">
      <c r="A444">
        <f>SUBTOTAL(3,$B$6:B444)</f>
        <v>114</v>
      </c>
    </row>
    <row r="445" spans="1:1" x14ac:dyDescent="0.2">
      <c r="A445">
        <f>SUBTOTAL(3,$B$6:B445)</f>
        <v>114</v>
      </c>
    </row>
    <row r="446" spans="1:1" x14ac:dyDescent="0.2">
      <c r="A446">
        <f>SUBTOTAL(3,$B$6:B446)</f>
        <v>114</v>
      </c>
    </row>
    <row r="447" spans="1:1" x14ac:dyDescent="0.2">
      <c r="A447">
        <f>SUBTOTAL(3,$B$6:B447)</f>
        <v>114</v>
      </c>
    </row>
    <row r="448" spans="1:1" x14ac:dyDescent="0.2">
      <c r="A448">
        <f>SUBTOTAL(3,$B$6:B448)</f>
        <v>114</v>
      </c>
    </row>
    <row r="449" spans="1:1" x14ac:dyDescent="0.2">
      <c r="A449">
        <f>SUBTOTAL(3,$B$6:B449)</f>
        <v>114</v>
      </c>
    </row>
    <row r="450" spans="1:1" x14ac:dyDescent="0.2">
      <c r="A450">
        <f>SUBTOTAL(3,$B$6:B450)</f>
        <v>114</v>
      </c>
    </row>
    <row r="451" spans="1:1" x14ac:dyDescent="0.2">
      <c r="A451">
        <f>SUBTOTAL(3,$B$6:B451)</f>
        <v>114</v>
      </c>
    </row>
    <row r="452" spans="1:1" x14ac:dyDescent="0.2">
      <c r="A452">
        <f>SUBTOTAL(3,$B$6:B452)</f>
        <v>114</v>
      </c>
    </row>
    <row r="453" spans="1:1" x14ac:dyDescent="0.2">
      <c r="A453">
        <f>SUBTOTAL(3,$B$6:B453)</f>
        <v>114</v>
      </c>
    </row>
    <row r="454" spans="1:1" x14ac:dyDescent="0.2">
      <c r="A454">
        <f>SUBTOTAL(3,$B$6:B454)</f>
        <v>114</v>
      </c>
    </row>
    <row r="455" spans="1:1" x14ac:dyDescent="0.2">
      <c r="A455">
        <f>SUBTOTAL(3,$B$6:B455)</f>
        <v>114</v>
      </c>
    </row>
    <row r="456" spans="1:1" x14ac:dyDescent="0.2">
      <c r="A456">
        <f>SUBTOTAL(3,$B$6:B456)</f>
        <v>114</v>
      </c>
    </row>
    <row r="457" spans="1:1" x14ac:dyDescent="0.2">
      <c r="A457">
        <f>SUBTOTAL(3,$B$6:B457)</f>
        <v>114</v>
      </c>
    </row>
    <row r="458" spans="1:1" x14ac:dyDescent="0.2">
      <c r="A458">
        <f>SUBTOTAL(3,$B$6:B458)</f>
        <v>114</v>
      </c>
    </row>
    <row r="459" spans="1:1" x14ac:dyDescent="0.2">
      <c r="A459">
        <f>SUBTOTAL(3,$B$6:B459)</f>
        <v>114</v>
      </c>
    </row>
    <row r="460" spans="1:1" x14ac:dyDescent="0.2">
      <c r="A460">
        <f>SUBTOTAL(3,$B$6:B460)</f>
        <v>114</v>
      </c>
    </row>
    <row r="461" spans="1:1" x14ac:dyDescent="0.2">
      <c r="A461">
        <f>SUBTOTAL(3,$B$6:B461)</f>
        <v>114</v>
      </c>
    </row>
    <row r="462" spans="1:1" x14ac:dyDescent="0.2">
      <c r="A462">
        <f>SUBTOTAL(3,$B$6:B462)</f>
        <v>114</v>
      </c>
    </row>
    <row r="463" spans="1:1" x14ac:dyDescent="0.2">
      <c r="A463">
        <f>SUBTOTAL(3,$B$6:B463)</f>
        <v>114</v>
      </c>
    </row>
    <row r="464" spans="1:1" x14ac:dyDescent="0.2">
      <c r="A464">
        <f>SUBTOTAL(3,$B$6:B464)</f>
        <v>114</v>
      </c>
    </row>
    <row r="465" spans="1:1" x14ac:dyDescent="0.2">
      <c r="A465">
        <f>SUBTOTAL(3,$B$6:B465)</f>
        <v>114</v>
      </c>
    </row>
    <row r="466" spans="1:1" x14ac:dyDescent="0.2">
      <c r="A466">
        <f>SUBTOTAL(3,$B$6:B466)</f>
        <v>114</v>
      </c>
    </row>
    <row r="467" spans="1:1" x14ac:dyDescent="0.2">
      <c r="A467">
        <f>SUBTOTAL(3,$B$6:B467)</f>
        <v>114</v>
      </c>
    </row>
    <row r="468" spans="1:1" x14ac:dyDescent="0.2">
      <c r="A468">
        <f>SUBTOTAL(3,$B$6:B468)</f>
        <v>114</v>
      </c>
    </row>
    <row r="469" spans="1:1" x14ac:dyDescent="0.2">
      <c r="A469">
        <f>SUBTOTAL(3,$B$6:B469)</f>
        <v>114</v>
      </c>
    </row>
    <row r="470" spans="1:1" x14ac:dyDescent="0.2">
      <c r="A470">
        <f>SUBTOTAL(3,$B$6:B470)</f>
        <v>114</v>
      </c>
    </row>
    <row r="471" spans="1:1" x14ac:dyDescent="0.2">
      <c r="A471">
        <f>SUBTOTAL(3,$B$6:B471)</f>
        <v>114</v>
      </c>
    </row>
    <row r="472" spans="1:1" x14ac:dyDescent="0.2">
      <c r="A472">
        <f>SUBTOTAL(3,$B$6:B472)</f>
        <v>114</v>
      </c>
    </row>
    <row r="473" spans="1:1" x14ac:dyDescent="0.2">
      <c r="A473">
        <f>SUBTOTAL(3,$B$6:B473)</f>
        <v>114</v>
      </c>
    </row>
    <row r="474" spans="1:1" x14ac:dyDescent="0.2">
      <c r="A474">
        <f>SUBTOTAL(3,$B$6:B474)</f>
        <v>114</v>
      </c>
    </row>
    <row r="475" spans="1:1" x14ac:dyDescent="0.2">
      <c r="A475">
        <f>SUBTOTAL(3,$B$6:B475)</f>
        <v>114</v>
      </c>
    </row>
    <row r="476" spans="1:1" x14ac:dyDescent="0.2">
      <c r="A476">
        <f>SUBTOTAL(3,$B$6:B476)</f>
        <v>114</v>
      </c>
    </row>
    <row r="477" spans="1:1" x14ac:dyDescent="0.2">
      <c r="A477">
        <f>SUBTOTAL(3,$B$6:B477)</f>
        <v>114</v>
      </c>
    </row>
    <row r="478" spans="1:1" x14ac:dyDescent="0.2">
      <c r="A478">
        <f>SUBTOTAL(3,$B$6:B478)</f>
        <v>114</v>
      </c>
    </row>
    <row r="479" spans="1:1" x14ac:dyDescent="0.2">
      <c r="A479">
        <f>SUBTOTAL(3,$B$6:B479)</f>
        <v>114</v>
      </c>
    </row>
    <row r="480" spans="1:1" x14ac:dyDescent="0.2">
      <c r="A480">
        <f>SUBTOTAL(3,$B$6:B480)</f>
        <v>114</v>
      </c>
    </row>
    <row r="481" spans="1:1" x14ac:dyDescent="0.2">
      <c r="A481">
        <f>SUBTOTAL(3,$B$6:B481)</f>
        <v>114</v>
      </c>
    </row>
    <row r="482" spans="1:1" x14ac:dyDescent="0.2">
      <c r="A482">
        <f>SUBTOTAL(3,$B$6:B482)</f>
        <v>114</v>
      </c>
    </row>
    <row r="483" spans="1:1" x14ac:dyDescent="0.2">
      <c r="A483">
        <f>SUBTOTAL(3,$B$6:B483)</f>
        <v>114</v>
      </c>
    </row>
    <row r="484" spans="1:1" x14ac:dyDescent="0.2">
      <c r="A484">
        <f>SUBTOTAL(3,$B$6:B484)</f>
        <v>114</v>
      </c>
    </row>
    <row r="485" spans="1:1" x14ac:dyDescent="0.2">
      <c r="A485">
        <f>SUBTOTAL(3,$B$6:B485)</f>
        <v>114</v>
      </c>
    </row>
    <row r="486" spans="1:1" x14ac:dyDescent="0.2">
      <c r="A486">
        <f>SUBTOTAL(3,$B$6:B486)</f>
        <v>114</v>
      </c>
    </row>
    <row r="487" spans="1:1" x14ac:dyDescent="0.2">
      <c r="A487">
        <f>SUBTOTAL(3,$B$6:B487)</f>
        <v>114</v>
      </c>
    </row>
    <row r="488" spans="1:1" x14ac:dyDescent="0.2">
      <c r="A488">
        <f>SUBTOTAL(3,$B$6:B488)</f>
        <v>114</v>
      </c>
    </row>
    <row r="489" spans="1:1" x14ac:dyDescent="0.2">
      <c r="A489">
        <f>SUBTOTAL(3,$B$6:B489)</f>
        <v>114</v>
      </c>
    </row>
    <row r="490" spans="1:1" x14ac:dyDescent="0.2">
      <c r="A490">
        <f>SUBTOTAL(3,$B$6:B490)</f>
        <v>114</v>
      </c>
    </row>
    <row r="491" spans="1:1" x14ac:dyDescent="0.2">
      <c r="A491">
        <f>SUBTOTAL(3,$B$6:B491)</f>
        <v>114</v>
      </c>
    </row>
    <row r="492" spans="1:1" x14ac:dyDescent="0.2">
      <c r="A492">
        <f>SUBTOTAL(3,$B$6:B492)</f>
        <v>114</v>
      </c>
    </row>
    <row r="493" spans="1:1" x14ac:dyDescent="0.2">
      <c r="A493">
        <f>SUBTOTAL(3,$B$6:B493)</f>
        <v>114</v>
      </c>
    </row>
    <row r="494" spans="1:1" x14ac:dyDescent="0.2">
      <c r="A494">
        <f>SUBTOTAL(3,$B$6:B494)</f>
        <v>114</v>
      </c>
    </row>
    <row r="495" spans="1:1" x14ac:dyDescent="0.2">
      <c r="A495">
        <f>SUBTOTAL(3,$B$6:B495)</f>
        <v>114</v>
      </c>
    </row>
    <row r="496" spans="1:1" x14ac:dyDescent="0.2">
      <c r="A496">
        <f>SUBTOTAL(3,$B$6:B496)</f>
        <v>114</v>
      </c>
    </row>
    <row r="497" spans="1:1" x14ac:dyDescent="0.2">
      <c r="A497">
        <f>SUBTOTAL(3,$B$6:B497)</f>
        <v>114</v>
      </c>
    </row>
    <row r="498" spans="1:1" x14ac:dyDescent="0.2">
      <c r="A498">
        <f>SUBTOTAL(3,$B$6:B498)</f>
        <v>114</v>
      </c>
    </row>
    <row r="499" spans="1:1" x14ac:dyDescent="0.2">
      <c r="A499">
        <f>SUBTOTAL(3,$B$6:B499)</f>
        <v>114</v>
      </c>
    </row>
    <row r="500" spans="1:1" x14ac:dyDescent="0.2">
      <c r="A500">
        <f>SUBTOTAL(3,$B$6:B500)</f>
        <v>114</v>
      </c>
    </row>
    <row r="501" spans="1:1" x14ac:dyDescent="0.2">
      <c r="A501">
        <f>SUBTOTAL(3,$B$6:B501)</f>
        <v>114</v>
      </c>
    </row>
    <row r="502" spans="1:1" x14ac:dyDescent="0.2">
      <c r="A502">
        <f>SUBTOTAL(3,$B$6:B502)</f>
        <v>114</v>
      </c>
    </row>
    <row r="503" spans="1:1" x14ac:dyDescent="0.2">
      <c r="A503">
        <f>SUBTOTAL(3,$B$6:B503)</f>
        <v>114</v>
      </c>
    </row>
    <row r="504" spans="1:1" x14ac:dyDescent="0.2">
      <c r="A504">
        <f>SUBTOTAL(3,$B$6:B504)</f>
        <v>114</v>
      </c>
    </row>
    <row r="505" spans="1:1" x14ac:dyDescent="0.2">
      <c r="A505">
        <f>SUBTOTAL(3,$B$6:B505)</f>
        <v>114</v>
      </c>
    </row>
    <row r="506" spans="1:1" x14ac:dyDescent="0.2">
      <c r="A506">
        <f>SUBTOTAL(3,$B$6:B506)</f>
        <v>114</v>
      </c>
    </row>
    <row r="507" spans="1:1" x14ac:dyDescent="0.2">
      <c r="A507">
        <f>SUBTOTAL(3,$B$6:B507)</f>
        <v>114</v>
      </c>
    </row>
    <row r="508" spans="1:1" x14ac:dyDescent="0.2">
      <c r="A508">
        <f>SUBTOTAL(3,$B$6:B508)</f>
        <v>114</v>
      </c>
    </row>
    <row r="509" spans="1:1" x14ac:dyDescent="0.2">
      <c r="A509">
        <f>SUBTOTAL(3,$B$6:B509)</f>
        <v>114</v>
      </c>
    </row>
    <row r="510" spans="1:1" x14ac:dyDescent="0.2">
      <c r="A510">
        <f>SUBTOTAL(3,$B$6:B510)</f>
        <v>114</v>
      </c>
    </row>
    <row r="511" spans="1:1" x14ac:dyDescent="0.2">
      <c r="A511">
        <f>SUBTOTAL(3,$B$6:B511)</f>
        <v>114</v>
      </c>
    </row>
    <row r="512" spans="1:1" x14ac:dyDescent="0.2">
      <c r="A512">
        <f>SUBTOTAL(3,$B$6:B512)</f>
        <v>114</v>
      </c>
    </row>
    <row r="513" spans="1:1" x14ac:dyDescent="0.2">
      <c r="A513">
        <f>SUBTOTAL(3,$B$6:B513)</f>
        <v>114</v>
      </c>
    </row>
    <row r="514" spans="1:1" x14ac:dyDescent="0.2">
      <c r="A514">
        <f>SUBTOTAL(3,$B$6:B514)</f>
        <v>114</v>
      </c>
    </row>
    <row r="515" spans="1:1" x14ac:dyDescent="0.2">
      <c r="A515">
        <f>SUBTOTAL(3,$B$6:B515)</f>
        <v>114</v>
      </c>
    </row>
    <row r="516" spans="1:1" x14ac:dyDescent="0.2">
      <c r="A516">
        <f>SUBTOTAL(3,$B$6:B516)</f>
        <v>114</v>
      </c>
    </row>
    <row r="517" spans="1:1" x14ac:dyDescent="0.2">
      <c r="A517">
        <f>SUBTOTAL(3,$B$6:B517)</f>
        <v>114</v>
      </c>
    </row>
    <row r="518" spans="1:1" x14ac:dyDescent="0.2">
      <c r="A518">
        <f>SUBTOTAL(3,$B$6:B518)</f>
        <v>114</v>
      </c>
    </row>
    <row r="519" spans="1:1" x14ac:dyDescent="0.2">
      <c r="A519">
        <f>SUBTOTAL(3,$B$6:B519)</f>
        <v>114</v>
      </c>
    </row>
    <row r="520" spans="1:1" x14ac:dyDescent="0.2">
      <c r="A520">
        <f>SUBTOTAL(3,$B$6:B520)</f>
        <v>114</v>
      </c>
    </row>
    <row r="521" spans="1:1" x14ac:dyDescent="0.2">
      <c r="A521">
        <f>SUBTOTAL(3,$B$6:B521)</f>
        <v>114</v>
      </c>
    </row>
    <row r="522" spans="1:1" x14ac:dyDescent="0.2">
      <c r="A522">
        <f>SUBTOTAL(3,$B$6:B522)</f>
        <v>114</v>
      </c>
    </row>
    <row r="523" spans="1:1" x14ac:dyDescent="0.2">
      <c r="A523">
        <f>SUBTOTAL(3,$B$6:B523)</f>
        <v>114</v>
      </c>
    </row>
    <row r="524" spans="1:1" x14ac:dyDescent="0.2">
      <c r="A524">
        <f>SUBTOTAL(3,$B$6:B524)</f>
        <v>114</v>
      </c>
    </row>
    <row r="525" spans="1:1" x14ac:dyDescent="0.2">
      <c r="A525">
        <f>SUBTOTAL(3,$B$6:B525)</f>
        <v>114</v>
      </c>
    </row>
    <row r="526" spans="1:1" x14ac:dyDescent="0.2">
      <c r="A526">
        <f>SUBTOTAL(3,$B$6:B526)</f>
        <v>114</v>
      </c>
    </row>
    <row r="527" spans="1:1" x14ac:dyDescent="0.2">
      <c r="A527">
        <f>SUBTOTAL(3,$B$6:B527)</f>
        <v>114</v>
      </c>
    </row>
    <row r="528" spans="1:1" x14ac:dyDescent="0.2">
      <c r="A528">
        <f>SUBTOTAL(3,$B$6:B528)</f>
        <v>114</v>
      </c>
    </row>
    <row r="529" spans="1:1" x14ac:dyDescent="0.2">
      <c r="A529">
        <f>SUBTOTAL(3,$B$6:B529)</f>
        <v>114</v>
      </c>
    </row>
    <row r="530" spans="1:1" x14ac:dyDescent="0.2">
      <c r="A530">
        <f>SUBTOTAL(3,$B$6:B530)</f>
        <v>114</v>
      </c>
    </row>
    <row r="531" spans="1:1" x14ac:dyDescent="0.2">
      <c r="A531">
        <f>SUBTOTAL(3,$B$6:B531)</f>
        <v>114</v>
      </c>
    </row>
    <row r="532" spans="1:1" x14ac:dyDescent="0.2">
      <c r="A532">
        <f>SUBTOTAL(3,$B$6:B532)</f>
        <v>114</v>
      </c>
    </row>
    <row r="533" spans="1:1" x14ac:dyDescent="0.2">
      <c r="A533">
        <f>SUBTOTAL(3,$B$6:B533)</f>
        <v>114</v>
      </c>
    </row>
    <row r="534" spans="1:1" x14ac:dyDescent="0.2">
      <c r="A534">
        <f>SUBTOTAL(3,$B$6:B534)</f>
        <v>114</v>
      </c>
    </row>
    <row r="535" spans="1:1" x14ac:dyDescent="0.2">
      <c r="A535">
        <f>SUBTOTAL(3,$B$6:B535)</f>
        <v>114</v>
      </c>
    </row>
    <row r="536" spans="1:1" x14ac:dyDescent="0.2">
      <c r="A536">
        <f>SUBTOTAL(3,$B$6:B536)</f>
        <v>114</v>
      </c>
    </row>
    <row r="537" spans="1:1" x14ac:dyDescent="0.2">
      <c r="A537">
        <f>SUBTOTAL(3,$B$6:B537)</f>
        <v>114</v>
      </c>
    </row>
    <row r="538" spans="1:1" x14ac:dyDescent="0.2">
      <c r="A538">
        <f>SUBTOTAL(3,$B$6:B538)</f>
        <v>114</v>
      </c>
    </row>
    <row r="539" spans="1:1" x14ac:dyDescent="0.2">
      <c r="A539">
        <f>SUBTOTAL(3,$B$6:B539)</f>
        <v>114</v>
      </c>
    </row>
    <row r="540" spans="1:1" x14ac:dyDescent="0.2">
      <c r="A540">
        <f>SUBTOTAL(3,$B$6:B540)</f>
        <v>114</v>
      </c>
    </row>
    <row r="541" spans="1:1" x14ac:dyDescent="0.2">
      <c r="A541">
        <f>SUBTOTAL(3,$B$6:B541)</f>
        <v>114</v>
      </c>
    </row>
    <row r="542" spans="1:1" x14ac:dyDescent="0.2">
      <c r="A542">
        <f>SUBTOTAL(3,$B$6:B542)</f>
        <v>114</v>
      </c>
    </row>
    <row r="543" spans="1:1" x14ac:dyDescent="0.2">
      <c r="A543">
        <f>SUBTOTAL(3,$B$6:B543)</f>
        <v>114</v>
      </c>
    </row>
    <row r="544" spans="1:1" x14ac:dyDescent="0.2">
      <c r="A544">
        <f>SUBTOTAL(3,$B$6:B544)</f>
        <v>114</v>
      </c>
    </row>
    <row r="545" spans="1:1" x14ac:dyDescent="0.2">
      <c r="A545">
        <f>SUBTOTAL(3,$B$6:B545)</f>
        <v>114</v>
      </c>
    </row>
    <row r="546" spans="1:1" x14ac:dyDescent="0.2">
      <c r="A546">
        <f>SUBTOTAL(3,$B$6:B546)</f>
        <v>114</v>
      </c>
    </row>
    <row r="547" spans="1:1" x14ac:dyDescent="0.2">
      <c r="A547">
        <f>SUBTOTAL(3,$B$6:B547)</f>
        <v>114</v>
      </c>
    </row>
    <row r="548" spans="1:1" x14ac:dyDescent="0.2">
      <c r="A548">
        <f>SUBTOTAL(3,$B$6:B548)</f>
        <v>114</v>
      </c>
    </row>
    <row r="549" spans="1:1" x14ac:dyDescent="0.2">
      <c r="A549">
        <f>SUBTOTAL(3,$B$6:B549)</f>
        <v>114</v>
      </c>
    </row>
    <row r="550" spans="1:1" x14ac:dyDescent="0.2">
      <c r="A550">
        <f>SUBTOTAL(3,$B$6:B550)</f>
        <v>114</v>
      </c>
    </row>
    <row r="551" spans="1:1" x14ac:dyDescent="0.2">
      <c r="A551">
        <f>SUBTOTAL(3,$B$6:B551)</f>
        <v>114</v>
      </c>
    </row>
    <row r="552" spans="1:1" x14ac:dyDescent="0.2">
      <c r="A552">
        <f>SUBTOTAL(3,$B$6:B552)</f>
        <v>114</v>
      </c>
    </row>
    <row r="553" spans="1:1" x14ac:dyDescent="0.2">
      <c r="A553">
        <f>SUBTOTAL(3,$B$6:B553)</f>
        <v>114</v>
      </c>
    </row>
    <row r="554" spans="1:1" x14ac:dyDescent="0.2">
      <c r="A554">
        <f>SUBTOTAL(3,$B$6:B554)</f>
        <v>114</v>
      </c>
    </row>
    <row r="555" spans="1:1" x14ac:dyDescent="0.2">
      <c r="A555">
        <f>SUBTOTAL(3,$B$6:B555)</f>
        <v>114</v>
      </c>
    </row>
    <row r="556" spans="1:1" x14ac:dyDescent="0.2">
      <c r="A556">
        <f>SUBTOTAL(3,$B$6:B556)</f>
        <v>114</v>
      </c>
    </row>
    <row r="557" spans="1:1" x14ac:dyDescent="0.2">
      <c r="A557">
        <f>SUBTOTAL(3,$B$6:B557)</f>
        <v>114</v>
      </c>
    </row>
    <row r="558" spans="1:1" x14ac:dyDescent="0.2">
      <c r="A558">
        <f>SUBTOTAL(3,$B$6:B558)</f>
        <v>114</v>
      </c>
    </row>
    <row r="559" spans="1:1" x14ac:dyDescent="0.2">
      <c r="A559">
        <f>SUBTOTAL(3,$B$6:B559)</f>
        <v>114</v>
      </c>
    </row>
    <row r="560" spans="1:1" x14ac:dyDescent="0.2">
      <c r="A560">
        <f>SUBTOTAL(3,$B$6:B560)</f>
        <v>114</v>
      </c>
    </row>
    <row r="561" spans="1:1" x14ac:dyDescent="0.2">
      <c r="A561">
        <f>SUBTOTAL(3,$B$6:B561)</f>
        <v>114</v>
      </c>
    </row>
    <row r="562" spans="1:1" x14ac:dyDescent="0.2">
      <c r="A562">
        <f>SUBTOTAL(3,$B$6:B562)</f>
        <v>114</v>
      </c>
    </row>
    <row r="563" spans="1:1" x14ac:dyDescent="0.2">
      <c r="A563">
        <f>SUBTOTAL(3,$B$6:B563)</f>
        <v>114</v>
      </c>
    </row>
    <row r="564" spans="1:1" x14ac:dyDescent="0.2">
      <c r="A564">
        <f>SUBTOTAL(3,$B$6:B564)</f>
        <v>114</v>
      </c>
    </row>
    <row r="565" spans="1:1" x14ac:dyDescent="0.2">
      <c r="A565">
        <f>SUBTOTAL(3,$B$6:B565)</f>
        <v>114</v>
      </c>
    </row>
    <row r="566" spans="1:1" x14ac:dyDescent="0.2">
      <c r="A566">
        <f>SUBTOTAL(3,$B$6:B566)</f>
        <v>114</v>
      </c>
    </row>
    <row r="567" spans="1:1" x14ac:dyDescent="0.2">
      <c r="A567">
        <f>SUBTOTAL(3,$B$6:B567)</f>
        <v>114</v>
      </c>
    </row>
    <row r="568" spans="1:1" x14ac:dyDescent="0.2">
      <c r="A568">
        <f>SUBTOTAL(3,$B$6:B568)</f>
        <v>114</v>
      </c>
    </row>
    <row r="569" spans="1:1" x14ac:dyDescent="0.2">
      <c r="A569">
        <f>SUBTOTAL(3,$B$6:B569)</f>
        <v>114</v>
      </c>
    </row>
    <row r="570" spans="1:1" x14ac:dyDescent="0.2">
      <c r="A570">
        <f>SUBTOTAL(3,$B$6:B570)</f>
        <v>114</v>
      </c>
    </row>
    <row r="571" spans="1:1" x14ac:dyDescent="0.2">
      <c r="A571">
        <f>SUBTOTAL(3,$B$6:B571)</f>
        <v>114</v>
      </c>
    </row>
    <row r="572" spans="1:1" x14ac:dyDescent="0.2">
      <c r="A572">
        <f>SUBTOTAL(3,$B$6:B572)</f>
        <v>114</v>
      </c>
    </row>
    <row r="573" spans="1:1" x14ac:dyDescent="0.2">
      <c r="A573">
        <f>SUBTOTAL(3,$B$6:B573)</f>
        <v>114</v>
      </c>
    </row>
    <row r="574" spans="1:1" x14ac:dyDescent="0.2">
      <c r="A574">
        <f>SUBTOTAL(3,$B$6:B574)</f>
        <v>114</v>
      </c>
    </row>
    <row r="575" spans="1:1" x14ac:dyDescent="0.2">
      <c r="A575">
        <f>SUBTOTAL(3,$B$6:B575)</f>
        <v>114</v>
      </c>
    </row>
    <row r="576" spans="1:1" x14ac:dyDescent="0.2">
      <c r="A576">
        <f>SUBTOTAL(3,$B$6:B576)</f>
        <v>114</v>
      </c>
    </row>
    <row r="577" spans="1:1" x14ac:dyDescent="0.2">
      <c r="A577">
        <f>SUBTOTAL(3,$B$6:B577)</f>
        <v>114</v>
      </c>
    </row>
    <row r="578" spans="1:1" x14ac:dyDescent="0.2">
      <c r="A578">
        <f>SUBTOTAL(3,$B$6:B578)</f>
        <v>114</v>
      </c>
    </row>
    <row r="579" spans="1:1" x14ac:dyDescent="0.2">
      <c r="A579">
        <f>SUBTOTAL(3,$B$6:B579)</f>
        <v>114</v>
      </c>
    </row>
    <row r="580" spans="1:1" x14ac:dyDescent="0.2">
      <c r="A580">
        <f>SUBTOTAL(3,$B$6:B580)</f>
        <v>114</v>
      </c>
    </row>
    <row r="581" spans="1:1" x14ac:dyDescent="0.2">
      <c r="A581">
        <f>SUBTOTAL(3,$B$6:B581)</f>
        <v>114</v>
      </c>
    </row>
    <row r="582" spans="1:1" x14ac:dyDescent="0.2">
      <c r="A582">
        <f>SUBTOTAL(3,$B$6:B582)</f>
        <v>114</v>
      </c>
    </row>
    <row r="583" spans="1:1" x14ac:dyDescent="0.2">
      <c r="A583">
        <f>SUBTOTAL(3,$B$6:B583)</f>
        <v>114</v>
      </c>
    </row>
    <row r="584" spans="1:1" x14ac:dyDescent="0.2">
      <c r="A584">
        <f>SUBTOTAL(3,$B$6:B584)</f>
        <v>114</v>
      </c>
    </row>
    <row r="585" spans="1:1" x14ac:dyDescent="0.2">
      <c r="A585">
        <f>SUBTOTAL(3,$B$6:B585)</f>
        <v>114</v>
      </c>
    </row>
    <row r="586" spans="1:1" x14ac:dyDescent="0.2">
      <c r="A586">
        <f>SUBTOTAL(3,$B$6:B586)</f>
        <v>114</v>
      </c>
    </row>
    <row r="587" spans="1:1" x14ac:dyDescent="0.2">
      <c r="A587">
        <f>SUBTOTAL(3,$B$6:B587)</f>
        <v>114</v>
      </c>
    </row>
    <row r="588" spans="1:1" x14ac:dyDescent="0.2">
      <c r="A588">
        <f>SUBTOTAL(3,$B$6:B588)</f>
        <v>114</v>
      </c>
    </row>
    <row r="589" spans="1:1" x14ac:dyDescent="0.2">
      <c r="A589">
        <f>SUBTOTAL(3,$B$6:B589)</f>
        <v>114</v>
      </c>
    </row>
    <row r="590" spans="1:1" x14ac:dyDescent="0.2">
      <c r="A590">
        <f>SUBTOTAL(3,$B$6:B590)</f>
        <v>114</v>
      </c>
    </row>
    <row r="591" spans="1:1" x14ac:dyDescent="0.2">
      <c r="A591">
        <f>SUBTOTAL(3,$B$6:B591)</f>
        <v>114</v>
      </c>
    </row>
    <row r="592" spans="1:1" x14ac:dyDescent="0.2">
      <c r="A592">
        <f>SUBTOTAL(3,$B$6:B592)</f>
        <v>114</v>
      </c>
    </row>
    <row r="593" spans="1:1" x14ac:dyDescent="0.2">
      <c r="A593">
        <f>SUBTOTAL(3,$B$6:B593)</f>
        <v>114</v>
      </c>
    </row>
    <row r="594" spans="1:1" x14ac:dyDescent="0.2">
      <c r="A594">
        <f>SUBTOTAL(3,$B$6:B594)</f>
        <v>114</v>
      </c>
    </row>
    <row r="595" spans="1:1" x14ac:dyDescent="0.2">
      <c r="A595">
        <f>SUBTOTAL(3,$B$6:B595)</f>
        <v>114</v>
      </c>
    </row>
    <row r="596" spans="1:1" x14ac:dyDescent="0.2">
      <c r="A596">
        <f>SUBTOTAL(3,$B$6:B596)</f>
        <v>114</v>
      </c>
    </row>
    <row r="597" spans="1:1" x14ac:dyDescent="0.2">
      <c r="A597">
        <f>SUBTOTAL(3,$B$6:B597)</f>
        <v>114</v>
      </c>
    </row>
    <row r="598" spans="1:1" x14ac:dyDescent="0.2">
      <c r="A598">
        <f>SUBTOTAL(3,$B$6:B598)</f>
        <v>114</v>
      </c>
    </row>
    <row r="599" spans="1:1" x14ac:dyDescent="0.2">
      <c r="A599">
        <f>SUBTOTAL(3,$B$6:B599)</f>
        <v>114</v>
      </c>
    </row>
    <row r="600" spans="1:1" x14ac:dyDescent="0.2">
      <c r="A600">
        <f>SUBTOTAL(3,$B$6:B600)</f>
        <v>114</v>
      </c>
    </row>
    <row r="601" spans="1:1" x14ac:dyDescent="0.2">
      <c r="A601">
        <f>SUBTOTAL(3,$B$6:B601)</f>
        <v>114</v>
      </c>
    </row>
    <row r="602" spans="1:1" x14ac:dyDescent="0.2">
      <c r="A602">
        <f>SUBTOTAL(3,$B$6:B602)</f>
        <v>114</v>
      </c>
    </row>
    <row r="603" spans="1:1" x14ac:dyDescent="0.2">
      <c r="A603">
        <f>SUBTOTAL(3,$B$6:B603)</f>
        <v>114</v>
      </c>
    </row>
    <row r="604" spans="1:1" x14ac:dyDescent="0.2">
      <c r="A604">
        <f>SUBTOTAL(3,$B$6:B604)</f>
        <v>114</v>
      </c>
    </row>
    <row r="605" spans="1:1" x14ac:dyDescent="0.2">
      <c r="A605">
        <f>SUBTOTAL(3,$B$6:B605)</f>
        <v>114</v>
      </c>
    </row>
    <row r="606" spans="1:1" x14ac:dyDescent="0.2">
      <c r="A606">
        <f>SUBTOTAL(3,$B$6:B606)</f>
        <v>114</v>
      </c>
    </row>
    <row r="607" spans="1:1" x14ac:dyDescent="0.2">
      <c r="A607">
        <f>SUBTOTAL(3,$B$6:B607)</f>
        <v>114</v>
      </c>
    </row>
    <row r="608" spans="1:1" x14ac:dyDescent="0.2">
      <c r="A608">
        <f>SUBTOTAL(3,$B$6:B608)</f>
        <v>114</v>
      </c>
    </row>
    <row r="609" spans="1:1" x14ac:dyDescent="0.2">
      <c r="A609">
        <f>SUBTOTAL(3,$B$6:B609)</f>
        <v>114</v>
      </c>
    </row>
    <row r="610" spans="1:1" x14ac:dyDescent="0.2">
      <c r="A610">
        <f>SUBTOTAL(3,$B$6:B610)</f>
        <v>114</v>
      </c>
    </row>
    <row r="611" spans="1:1" x14ac:dyDescent="0.2">
      <c r="A611">
        <f>SUBTOTAL(3,$B$6:B611)</f>
        <v>114</v>
      </c>
    </row>
    <row r="612" spans="1:1" x14ac:dyDescent="0.2">
      <c r="A612">
        <f>SUBTOTAL(3,$B$6:B612)</f>
        <v>114</v>
      </c>
    </row>
    <row r="613" spans="1:1" x14ac:dyDescent="0.2">
      <c r="A613">
        <f>SUBTOTAL(3,$B$6:B613)</f>
        <v>114</v>
      </c>
    </row>
    <row r="614" spans="1:1" x14ac:dyDescent="0.2">
      <c r="A614">
        <f>SUBTOTAL(3,$B$6:B614)</f>
        <v>114</v>
      </c>
    </row>
    <row r="615" spans="1:1" x14ac:dyDescent="0.2">
      <c r="A615">
        <f>SUBTOTAL(3,$B$6:B615)</f>
        <v>114</v>
      </c>
    </row>
    <row r="616" spans="1:1" x14ac:dyDescent="0.2">
      <c r="A616">
        <f>SUBTOTAL(3,$B$6:B616)</f>
        <v>114</v>
      </c>
    </row>
    <row r="617" spans="1:1" x14ac:dyDescent="0.2">
      <c r="A617">
        <f>SUBTOTAL(3,$B$6:B617)</f>
        <v>114</v>
      </c>
    </row>
    <row r="618" spans="1:1" x14ac:dyDescent="0.2">
      <c r="A618">
        <f>SUBTOTAL(3,$B$6:B618)</f>
        <v>114</v>
      </c>
    </row>
    <row r="619" spans="1:1" x14ac:dyDescent="0.2">
      <c r="A619">
        <f>SUBTOTAL(3,$B$6:B619)</f>
        <v>114</v>
      </c>
    </row>
    <row r="620" spans="1:1" x14ac:dyDescent="0.2">
      <c r="A620">
        <f>SUBTOTAL(3,$B$6:B620)</f>
        <v>114</v>
      </c>
    </row>
    <row r="621" spans="1:1" x14ac:dyDescent="0.2">
      <c r="A621">
        <f>SUBTOTAL(3,$B$6:B621)</f>
        <v>114</v>
      </c>
    </row>
    <row r="622" spans="1:1" x14ac:dyDescent="0.2">
      <c r="A622">
        <f>SUBTOTAL(3,$B$6:B622)</f>
        <v>114</v>
      </c>
    </row>
    <row r="623" spans="1:1" x14ac:dyDescent="0.2">
      <c r="A623">
        <f>SUBTOTAL(3,$B$6:B623)</f>
        <v>114</v>
      </c>
    </row>
    <row r="624" spans="1:1" x14ac:dyDescent="0.2">
      <c r="A624">
        <f>SUBTOTAL(3,$B$6:B624)</f>
        <v>114</v>
      </c>
    </row>
    <row r="625" spans="1:1" x14ac:dyDescent="0.2">
      <c r="A625">
        <f>SUBTOTAL(3,$B$6:B625)</f>
        <v>114</v>
      </c>
    </row>
    <row r="626" spans="1:1" x14ac:dyDescent="0.2">
      <c r="A626">
        <f>SUBTOTAL(3,$B$6:B626)</f>
        <v>114</v>
      </c>
    </row>
    <row r="627" spans="1:1" x14ac:dyDescent="0.2">
      <c r="A627">
        <f>SUBTOTAL(3,$B$6:B627)</f>
        <v>114</v>
      </c>
    </row>
    <row r="628" spans="1:1" x14ac:dyDescent="0.2">
      <c r="A628">
        <f>SUBTOTAL(3,$B$6:B628)</f>
        <v>114</v>
      </c>
    </row>
    <row r="629" spans="1:1" x14ac:dyDescent="0.2">
      <c r="A629">
        <f>SUBTOTAL(3,$B$6:B629)</f>
        <v>114</v>
      </c>
    </row>
    <row r="630" spans="1:1" x14ac:dyDescent="0.2">
      <c r="A630">
        <f>SUBTOTAL(3,$B$6:B630)</f>
        <v>114</v>
      </c>
    </row>
    <row r="631" spans="1:1" x14ac:dyDescent="0.2">
      <c r="A631">
        <f>SUBTOTAL(3,$B$6:B631)</f>
        <v>114</v>
      </c>
    </row>
    <row r="632" spans="1:1" x14ac:dyDescent="0.2">
      <c r="A632">
        <f>SUBTOTAL(3,$B$6:B632)</f>
        <v>114</v>
      </c>
    </row>
    <row r="633" spans="1:1" x14ac:dyDescent="0.2">
      <c r="A633">
        <f>SUBTOTAL(3,$B$6:B633)</f>
        <v>114</v>
      </c>
    </row>
    <row r="634" spans="1:1" x14ac:dyDescent="0.2">
      <c r="A634">
        <f>SUBTOTAL(3,$B$6:B634)</f>
        <v>114</v>
      </c>
    </row>
    <row r="635" spans="1:1" x14ac:dyDescent="0.2">
      <c r="A635">
        <f>SUBTOTAL(3,$B$6:B635)</f>
        <v>114</v>
      </c>
    </row>
    <row r="636" spans="1:1" x14ac:dyDescent="0.2">
      <c r="A636">
        <f>SUBTOTAL(3,$B$6:B636)</f>
        <v>114</v>
      </c>
    </row>
    <row r="637" spans="1:1" x14ac:dyDescent="0.2">
      <c r="A637">
        <f>SUBTOTAL(3,$B$6:B637)</f>
        <v>114</v>
      </c>
    </row>
    <row r="638" spans="1:1" x14ac:dyDescent="0.2">
      <c r="A638">
        <f>SUBTOTAL(3,$B$6:B638)</f>
        <v>114</v>
      </c>
    </row>
    <row r="639" spans="1:1" x14ac:dyDescent="0.2">
      <c r="A639">
        <f>SUBTOTAL(3,$B$6:B639)</f>
        <v>114</v>
      </c>
    </row>
    <row r="640" spans="1:1" x14ac:dyDescent="0.2">
      <c r="A640">
        <f>SUBTOTAL(3,$B$6:B640)</f>
        <v>114</v>
      </c>
    </row>
    <row r="641" spans="1:1" x14ac:dyDescent="0.2">
      <c r="A641">
        <f>SUBTOTAL(3,$B$6:B641)</f>
        <v>114</v>
      </c>
    </row>
    <row r="642" spans="1:1" x14ac:dyDescent="0.2">
      <c r="A642">
        <f>SUBTOTAL(3,$B$6:B642)</f>
        <v>114</v>
      </c>
    </row>
    <row r="643" spans="1:1" x14ac:dyDescent="0.2">
      <c r="A643">
        <f>SUBTOTAL(3,$B$6:B643)</f>
        <v>114</v>
      </c>
    </row>
    <row r="644" spans="1:1" x14ac:dyDescent="0.2">
      <c r="A644">
        <f>SUBTOTAL(3,$B$6:B644)</f>
        <v>114</v>
      </c>
    </row>
    <row r="645" spans="1:1" x14ac:dyDescent="0.2">
      <c r="A645">
        <f>SUBTOTAL(3,$B$6:B645)</f>
        <v>114</v>
      </c>
    </row>
    <row r="646" spans="1:1" x14ac:dyDescent="0.2">
      <c r="A646">
        <f>SUBTOTAL(3,$B$6:B646)</f>
        <v>114</v>
      </c>
    </row>
    <row r="647" spans="1:1" x14ac:dyDescent="0.2">
      <c r="A647">
        <f>SUBTOTAL(3,$B$6:B647)</f>
        <v>114</v>
      </c>
    </row>
    <row r="648" spans="1:1" x14ac:dyDescent="0.2">
      <c r="A648">
        <f>SUBTOTAL(3,$B$6:B648)</f>
        <v>114</v>
      </c>
    </row>
    <row r="649" spans="1:1" x14ac:dyDescent="0.2">
      <c r="A649">
        <f>SUBTOTAL(3,$B$6:B649)</f>
        <v>114</v>
      </c>
    </row>
    <row r="650" spans="1:1" x14ac:dyDescent="0.2">
      <c r="A650">
        <f>SUBTOTAL(3,$B$6:B650)</f>
        <v>114</v>
      </c>
    </row>
    <row r="651" spans="1:1" x14ac:dyDescent="0.2">
      <c r="A651">
        <f>SUBTOTAL(3,$B$6:B651)</f>
        <v>114</v>
      </c>
    </row>
    <row r="652" spans="1:1" x14ac:dyDescent="0.2">
      <c r="A652">
        <f>SUBTOTAL(3,$B$6:B652)</f>
        <v>114</v>
      </c>
    </row>
    <row r="653" spans="1:1" x14ac:dyDescent="0.2">
      <c r="A653">
        <f>SUBTOTAL(3,$B$6:B653)</f>
        <v>114</v>
      </c>
    </row>
    <row r="654" spans="1:1" x14ac:dyDescent="0.2">
      <c r="A654">
        <f>SUBTOTAL(3,$B$6:B654)</f>
        <v>114</v>
      </c>
    </row>
    <row r="655" spans="1:1" x14ac:dyDescent="0.2">
      <c r="A655">
        <f>SUBTOTAL(3,$B$6:B655)</f>
        <v>114</v>
      </c>
    </row>
    <row r="656" spans="1:1" x14ac:dyDescent="0.2">
      <c r="A656">
        <f>SUBTOTAL(3,$B$6:B656)</f>
        <v>114</v>
      </c>
    </row>
    <row r="657" spans="1:1" x14ac:dyDescent="0.2">
      <c r="A657">
        <f>SUBTOTAL(3,$B$6:B657)</f>
        <v>114</v>
      </c>
    </row>
    <row r="658" spans="1:1" x14ac:dyDescent="0.2">
      <c r="A658">
        <f>SUBTOTAL(3,$B$6:B658)</f>
        <v>114</v>
      </c>
    </row>
    <row r="659" spans="1:1" x14ac:dyDescent="0.2">
      <c r="A659">
        <f>SUBTOTAL(3,$B$6:B659)</f>
        <v>114</v>
      </c>
    </row>
    <row r="660" spans="1:1" x14ac:dyDescent="0.2">
      <c r="A660">
        <f>SUBTOTAL(3,$B$6:B660)</f>
        <v>114</v>
      </c>
    </row>
    <row r="661" spans="1:1" x14ac:dyDescent="0.2">
      <c r="A661">
        <f>SUBTOTAL(3,$B$6:B661)</f>
        <v>114</v>
      </c>
    </row>
    <row r="662" spans="1:1" x14ac:dyDescent="0.2">
      <c r="A662">
        <f>SUBTOTAL(3,$B$6:B662)</f>
        <v>114</v>
      </c>
    </row>
    <row r="663" spans="1:1" x14ac:dyDescent="0.2">
      <c r="A663">
        <f>SUBTOTAL(3,$B$6:B663)</f>
        <v>114</v>
      </c>
    </row>
    <row r="664" spans="1:1" x14ac:dyDescent="0.2">
      <c r="A664">
        <f>SUBTOTAL(3,$B$6:B664)</f>
        <v>114</v>
      </c>
    </row>
    <row r="665" spans="1:1" x14ac:dyDescent="0.2">
      <c r="A665">
        <f>SUBTOTAL(3,$B$6:B665)</f>
        <v>114</v>
      </c>
    </row>
    <row r="666" spans="1:1" x14ac:dyDescent="0.2">
      <c r="A666">
        <f>SUBTOTAL(3,$B$6:B666)</f>
        <v>114</v>
      </c>
    </row>
    <row r="667" spans="1:1" x14ac:dyDescent="0.2">
      <c r="A667">
        <f>SUBTOTAL(3,$B$6:B667)</f>
        <v>114</v>
      </c>
    </row>
    <row r="668" spans="1:1" x14ac:dyDescent="0.2">
      <c r="A668">
        <f>SUBTOTAL(3,$B$6:B668)</f>
        <v>114</v>
      </c>
    </row>
    <row r="669" spans="1:1" x14ac:dyDescent="0.2">
      <c r="A669">
        <f>SUBTOTAL(3,$B$6:B669)</f>
        <v>114</v>
      </c>
    </row>
    <row r="670" spans="1:1" x14ac:dyDescent="0.2">
      <c r="A670">
        <f>SUBTOTAL(3,$B$6:B670)</f>
        <v>114</v>
      </c>
    </row>
    <row r="671" spans="1:1" x14ac:dyDescent="0.2">
      <c r="A671">
        <f>SUBTOTAL(3,$B$6:B671)</f>
        <v>114</v>
      </c>
    </row>
    <row r="672" spans="1:1" x14ac:dyDescent="0.2">
      <c r="A672">
        <f>SUBTOTAL(3,$B$6:B672)</f>
        <v>114</v>
      </c>
    </row>
    <row r="673" spans="1:1" x14ac:dyDescent="0.2">
      <c r="A673">
        <f>SUBTOTAL(3,$B$6:B673)</f>
        <v>114</v>
      </c>
    </row>
    <row r="674" spans="1:1" x14ac:dyDescent="0.2">
      <c r="A674">
        <f>SUBTOTAL(3,$B$6:B674)</f>
        <v>114</v>
      </c>
    </row>
    <row r="675" spans="1:1" x14ac:dyDescent="0.2">
      <c r="A675">
        <f>SUBTOTAL(3,$B$6:B675)</f>
        <v>114</v>
      </c>
    </row>
    <row r="676" spans="1:1" x14ac:dyDescent="0.2">
      <c r="A676">
        <f>SUBTOTAL(3,$B$6:B676)</f>
        <v>114</v>
      </c>
    </row>
    <row r="677" spans="1:1" x14ac:dyDescent="0.2">
      <c r="A677">
        <f>SUBTOTAL(3,$B$6:B677)</f>
        <v>114</v>
      </c>
    </row>
    <row r="678" spans="1:1" x14ac:dyDescent="0.2">
      <c r="A678">
        <f>SUBTOTAL(3,$B$6:B678)</f>
        <v>114</v>
      </c>
    </row>
    <row r="679" spans="1:1" x14ac:dyDescent="0.2">
      <c r="A679">
        <f>SUBTOTAL(3,$B$6:B679)</f>
        <v>114</v>
      </c>
    </row>
    <row r="680" spans="1:1" x14ac:dyDescent="0.2">
      <c r="A680">
        <f>SUBTOTAL(3,$B$6:B680)</f>
        <v>114</v>
      </c>
    </row>
    <row r="681" spans="1:1" x14ac:dyDescent="0.2">
      <c r="A681">
        <f>SUBTOTAL(3,$B$6:B681)</f>
        <v>114</v>
      </c>
    </row>
    <row r="682" spans="1:1" x14ac:dyDescent="0.2">
      <c r="A682">
        <f>SUBTOTAL(3,$B$6:B682)</f>
        <v>114</v>
      </c>
    </row>
    <row r="683" spans="1:1" x14ac:dyDescent="0.2">
      <c r="A683">
        <f>SUBTOTAL(3,$B$6:B683)</f>
        <v>114</v>
      </c>
    </row>
    <row r="684" spans="1:1" x14ac:dyDescent="0.2">
      <c r="A684">
        <f>SUBTOTAL(3,$B$6:B684)</f>
        <v>114</v>
      </c>
    </row>
    <row r="685" spans="1:1" x14ac:dyDescent="0.2">
      <c r="A685">
        <f>SUBTOTAL(3,$B$6:B685)</f>
        <v>114</v>
      </c>
    </row>
    <row r="686" spans="1:1" x14ac:dyDescent="0.2">
      <c r="A686">
        <f>SUBTOTAL(3,$B$6:B686)</f>
        <v>114</v>
      </c>
    </row>
    <row r="687" spans="1:1" x14ac:dyDescent="0.2">
      <c r="A687">
        <f>SUBTOTAL(3,$B$6:B687)</f>
        <v>114</v>
      </c>
    </row>
    <row r="688" spans="1:1" x14ac:dyDescent="0.2">
      <c r="A688">
        <f>SUBTOTAL(3,$B$6:B688)</f>
        <v>114</v>
      </c>
    </row>
    <row r="689" spans="1:1" x14ac:dyDescent="0.2">
      <c r="A689">
        <f>SUBTOTAL(3,$B$6:B689)</f>
        <v>114</v>
      </c>
    </row>
    <row r="690" spans="1:1" x14ac:dyDescent="0.2">
      <c r="A690">
        <f>SUBTOTAL(3,$B$6:B690)</f>
        <v>114</v>
      </c>
    </row>
    <row r="691" spans="1:1" x14ac:dyDescent="0.2">
      <c r="A691">
        <f>SUBTOTAL(3,$B$6:B691)</f>
        <v>114</v>
      </c>
    </row>
    <row r="692" spans="1:1" x14ac:dyDescent="0.2">
      <c r="A692">
        <f>SUBTOTAL(3,$B$6:B692)</f>
        <v>114</v>
      </c>
    </row>
    <row r="693" spans="1:1" x14ac:dyDescent="0.2">
      <c r="A693">
        <f>SUBTOTAL(3,$B$6:B693)</f>
        <v>114</v>
      </c>
    </row>
    <row r="694" spans="1:1" x14ac:dyDescent="0.2">
      <c r="A694">
        <f>SUBTOTAL(3,$B$6:B694)</f>
        <v>114</v>
      </c>
    </row>
    <row r="695" spans="1:1" x14ac:dyDescent="0.2">
      <c r="A695">
        <f>SUBTOTAL(3,$B$6:B695)</f>
        <v>114</v>
      </c>
    </row>
    <row r="696" spans="1:1" x14ac:dyDescent="0.2">
      <c r="A696">
        <f>SUBTOTAL(3,$B$6:B696)</f>
        <v>114</v>
      </c>
    </row>
    <row r="697" spans="1:1" x14ac:dyDescent="0.2">
      <c r="A697">
        <f>SUBTOTAL(3,$B$6:B697)</f>
        <v>114</v>
      </c>
    </row>
    <row r="698" spans="1:1" x14ac:dyDescent="0.2">
      <c r="A698">
        <f>SUBTOTAL(3,$B$6:B698)</f>
        <v>114</v>
      </c>
    </row>
    <row r="699" spans="1:1" x14ac:dyDescent="0.2">
      <c r="A699">
        <f>SUBTOTAL(3,$B$6:B699)</f>
        <v>114</v>
      </c>
    </row>
    <row r="700" spans="1:1" x14ac:dyDescent="0.2">
      <c r="A700">
        <f>SUBTOTAL(3,$B$6:B700)</f>
        <v>114</v>
      </c>
    </row>
    <row r="701" spans="1:1" x14ac:dyDescent="0.2">
      <c r="A701">
        <f>SUBTOTAL(3,$B$6:B701)</f>
        <v>114</v>
      </c>
    </row>
    <row r="702" spans="1:1" x14ac:dyDescent="0.2">
      <c r="A702">
        <f>SUBTOTAL(3,$B$6:B702)</f>
        <v>114</v>
      </c>
    </row>
    <row r="703" spans="1:1" x14ac:dyDescent="0.2">
      <c r="A703">
        <f>SUBTOTAL(3,$B$6:B703)</f>
        <v>114</v>
      </c>
    </row>
    <row r="704" spans="1:1" x14ac:dyDescent="0.2">
      <c r="A704">
        <f>SUBTOTAL(3,$B$6:B704)</f>
        <v>114</v>
      </c>
    </row>
    <row r="705" spans="1:1" x14ac:dyDescent="0.2">
      <c r="A705">
        <f>SUBTOTAL(3,$B$6:B705)</f>
        <v>114</v>
      </c>
    </row>
    <row r="706" spans="1:1" x14ac:dyDescent="0.2">
      <c r="A706">
        <f>SUBTOTAL(3,$B$6:B706)</f>
        <v>114</v>
      </c>
    </row>
    <row r="707" spans="1:1" x14ac:dyDescent="0.2">
      <c r="A707">
        <f>SUBTOTAL(3,$B$6:B707)</f>
        <v>114</v>
      </c>
    </row>
    <row r="708" spans="1:1" x14ac:dyDescent="0.2">
      <c r="A708">
        <f>SUBTOTAL(3,$B$6:B708)</f>
        <v>114</v>
      </c>
    </row>
    <row r="709" spans="1:1" x14ac:dyDescent="0.2">
      <c r="A709">
        <f>SUBTOTAL(3,$B$6:B709)</f>
        <v>114</v>
      </c>
    </row>
    <row r="710" spans="1:1" x14ac:dyDescent="0.2">
      <c r="A710">
        <f>SUBTOTAL(3,$B$6:B710)</f>
        <v>114</v>
      </c>
    </row>
    <row r="711" spans="1:1" x14ac:dyDescent="0.2">
      <c r="A711">
        <f>SUBTOTAL(3,$B$6:B711)</f>
        <v>114</v>
      </c>
    </row>
    <row r="712" spans="1:1" x14ac:dyDescent="0.2">
      <c r="A712">
        <f>SUBTOTAL(3,$B$6:B712)</f>
        <v>114</v>
      </c>
    </row>
    <row r="713" spans="1:1" x14ac:dyDescent="0.2">
      <c r="A713">
        <f>SUBTOTAL(3,$B$6:B713)</f>
        <v>114</v>
      </c>
    </row>
    <row r="714" spans="1:1" x14ac:dyDescent="0.2">
      <c r="A714">
        <f>SUBTOTAL(3,$B$6:B714)</f>
        <v>114</v>
      </c>
    </row>
    <row r="715" spans="1:1" x14ac:dyDescent="0.2">
      <c r="A715">
        <f>SUBTOTAL(3,$B$6:B715)</f>
        <v>114</v>
      </c>
    </row>
    <row r="716" spans="1:1" x14ac:dyDescent="0.2">
      <c r="A716">
        <f>SUBTOTAL(3,$B$6:B716)</f>
        <v>114</v>
      </c>
    </row>
    <row r="717" spans="1:1" x14ac:dyDescent="0.2">
      <c r="A717">
        <f>SUBTOTAL(3,$B$6:B717)</f>
        <v>114</v>
      </c>
    </row>
    <row r="718" spans="1:1" x14ac:dyDescent="0.2">
      <c r="A718">
        <f>SUBTOTAL(3,$B$6:B718)</f>
        <v>114</v>
      </c>
    </row>
    <row r="719" spans="1:1" x14ac:dyDescent="0.2">
      <c r="A719">
        <f>SUBTOTAL(3,$B$6:B719)</f>
        <v>114</v>
      </c>
    </row>
    <row r="720" spans="1:1" x14ac:dyDescent="0.2">
      <c r="A720">
        <f>SUBTOTAL(3,$B$6:B720)</f>
        <v>114</v>
      </c>
    </row>
    <row r="721" spans="1:1" x14ac:dyDescent="0.2">
      <c r="A721">
        <f>SUBTOTAL(3,$B$6:B721)</f>
        <v>114</v>
      </c>
    </row>
    <row r="722" spans="1:1" x14ac:dyDescent="0.2">
      <c r="A722">
        <f>SUBTOTAL(3,$B$6:B722)</f>
        <v>114</v>
      </c>
    </row>
    <row r="723" spans="1:1" x14ac:dyDescent="0.2">
      <c r="A723">
        <f>SUBTOTAL(3,$B$6:B723)</f>
        <v>114</v>
      </c>
    </row>
    <row r="724" spans="1:1" x14ac:dyDescent="0.2">
      <c r="A724">
        <f>SUBTOTAL(3,$B$6:B724)</f>
        <v>114</v>
      </c>
    </row>
    <row r="725" spans="1:1" x14ac:dyDescent="0.2">
      <c r="A725">
        <f>SUBTOTAL(3,$B$6:B725)</f>
        <v>114</v>
      </c>
    </row>
    <row r="726" spans="1:1" x14ac:dyDescent="0.2">
      <c r="A726">
        <f>SUBTOTAL(3,$B$6:B726)</f>
        <v>114</v>
      </c>
    </row>
    <row r="727" spans="1:1" x14ac:dyDescent="0.2">
      <c r="A727">
        <f>SUBTOTAL(3,$B$6:B727)</f>
        <v>114</v>
      </c>
    </row>
    <row r="728" spans="1:1" x14ac:dyDescent="0.2">
      <c r="A728">
        <f>SUBTOTAL(3,$B$6:B728)</f>
        <v>114</v>
      </c>
    </row>
    <row r="729" spans="1:1" x14ac:dyDescent="0.2">
      <c r="A729">
        <f>SUBTOTAL(3,$B$6:B729)</f>
        <v>114</v>
      </c>
    </row>
    <row r="730" spans="1:1" x14ac:dyDescent="0.2">
      <c r="A730">
        <f>SUBTOTAL(3,$B$6:B730)</f>
        <v>114</v>
      </c>
    </row>
    <row r="731" spans="1:1" x14ac:dyDescent="0.2">
      <c r="A731">
        <f>SUBTOTAL(3,$B$6:B731)</f>
        <v>114</v>
      </c>
    </row>
    <row r="732" spans="1:1" x14ac:dyDescent="0.2">
      <c r="A732">
        <f>SUBTOTAL(3,$B$6:B732)</f>
        <v>114</v>
      </c>
    </row>
    <row r="733" spans="1:1" x14ac:dyDescent="0.2">
      <c r="A733">
        <f>SUBTOTAL(3,$B$6:B733)</f>
        <v>114</v>
      </c>
    </row>
    <row r="734" spans="1:1" x14ac:dyDescent="0.2">
      <c r="A734">
        <f>SUBTOTAL(3,$B$6:B734)</f>
        <v>114</v>
      </c>
    </row>
    <row r="735" spans="1:1" x14ac:dyDescent="0.2">
      <c r="A735">
        <f>SUBTOTAL(3,$B$6:B735)</f>
        <v>114</v>
      </c>
    </row>
    <row r="736" spans="1:1" x14ac:dyDescent="0.2">
      <c r="A736">
        <f>SUBTOTAL(3,$B$6:B736)</f>
        <v>114</v>
      </c>
    </row>
    <row r="737" spans="1:1" x14ac:dyDescent="0.2">
      <c r="A737">
        <f>SUBTOTAL(3,$B$6:B737)</f>
        <v>114</v>
      </c>
    </row>
    <row r="738" spans="1:1" x14ac:dyDescent="0.2">
      <c r="A738">
        <f>SUBTOTAL(3,$B$6:B738)</f>
        <v>114</v>
      </c>
    </row>
    <row r="739" spans="1:1" x14ac:dyDescent="0.2">
      <c r="A739">
        <f>SUBTOTAL(3,$B$6:B739)</f>
        <v>114</v>
      </c>
    </row>
    <row r="740" spans="1:1" x14ac:dyDescent="0.2">
      <c r="A740">
        <f>SUBTOTAL(3,$B$6:B740)</f>
        <v>114</v>
      </c>
    </row>
    <row r="741" spans="1:1" x14ac:dyDescent="0.2">
      <c r="A741">
        <f>SUBTOTAL(3,$B$6:B741)</f>
        <v>114</v>
      </c>
    </row>
    <row r="742" spans="1:1" x14ac:dyDescent="0.2">
      <c r="A742">
        <f>SUBTOTAL(3,$B$6:B742)</f>
        <v>114</v>
      </c>
    </row>
    <row r="743" spans="1:1" x14ac:dyDescent="0.2">
      <c r="A743">
        <f>SUBTOTAL(3,$B$6:B743)</f>
        <v>114</v>
      </c>
    </row>
    <row r="744" spans="1:1" x14ac:dyDescent="0.2">
      <c r="A744">
        <f>SUBTOTAL(3,$B$6:B744)</f>
        <v>114</v>
      </c>
    </row>
    <row r="745" spans="1:1" x14ac:dyDescent="0.2">
      <c r="A745">
        <f>SUBTOTAL(3,$B$6:B745)</f>
        <v>114</v>
      </c>
    </row>
    <row r="746" spans="1:1" x14ac:dyDescent="0.2">
      <c r="A746">
        <f>SUBTOTAL(3,$B$6:B746)</f>
        <v>114</v>
      </c>
    </row>
    <row r="747" spans="1:1" x14ac:dyDescent="0.2">
      <c r="A747">
        <f>SUBTOTAL(3,$B$6:B747)</f>
        <v>114</v>
      </c>
    </row>
    <row r="748" spans="1:1" x14ac:dyDescent="0.2">
      <c r="A748">
        <f>SUBTOTAL(3,$B$6:B748)</f>
        <v>114</v>
      </c>
    </row>
    <row r="749" spans="1:1" x14ac:dyDescent="0.2">
      <c r="A749">
        <f>SUBTOTAL(3,$B$6:B749)</f>
        <v>114</v>
      </c>
    </row>
    <row r="750" spans="1:1" x14ac:dyDescent="0.2">
      <c r="A750">
        <f>SUBTOTAL(3,$B$6:B750)</f>
        <v>114</v>
      </c>
    </row>
    <row r="751" spans="1:1" x14ac:dyDescent="0.2">
      <c r="A751">
        <f>SUBTOTAL(3,$B$6:B751)</f>
        <v>114</v>
      </c>
    </row>
    <row r="752" spans="1:1" x14ac:dyDescent="0.2">
      <c r="A752">
        <f>SUBTOTAL(3,$B$6:B752)</f>
        <v>114</v>
      </c>
    </row>
    <row r="753" spans="1:1" x14ac:dyDescent="0.2">
      <c r="A753">
        <f>SUBTOTAL(3,$B$6:B753)</f>
        <v>114</v>
      </c>
    </row>
    <row r="754" spans="1:1" x14ac:dyDescent="0.2">
      <c r="A754">
        <f>SUBTOTAL(3,$B$6:B754)</f>
        <v>114</v>
      </c>
    </row>
    <row r="755" spans="1:1" x14ac:dyDescent="0.2">
      <c r="A755">
        <f>SUBTOTAL(3,$B$6:B755)</f>
        <v>114</v>
      </c>
    </row>
    <row r="756" spans="1:1" x14ac:dyDescent="0.2">
      <c r="A756">
        <f>SUBTOTAL(3,$B$6:B756)</f>
        <v>114</v>
      </c>
    </row>
    <row r="757" spans="1:1" x14ac:dyDescent="0.2">
      <c r="A757">
        <f>SUBTOTAL(3,$B$6:B757)</f>
        <v>114</v>
      </c>
    </row>
    <row r="758" spans="1:1" x14ac:dyDescent="0.2">
      <c r="A758">
        <f>SUBTOTAL(3,$B$6:B758)</f>
        <v>114</v>
      </c>
    </row>
    <row r="759" spans="1:1" x14ac:dyDescent="0.2">
      <c r="A759">
        <f>SUBTOTAL(3,$B$6:B759)</f>
        <v>114</v>
      </c>
    </row>
    <row r="760" spans="1:1" x14ac:dyDescent="0.2">
      <c r="A760">
        <f>SUBTOTAL(3,$B$6:B760)</f>
        <v>114</v>
      </c>
    </row>
    <row r="761" spans="1:1" x14ac:dyDescent="0.2">
      <c r="A761">
        <f>SUBTOTAL(3,$B$6:B761)</f>
        <v>114</v>
      </c>
    </row>
    <row r="762" spans="1:1" x14ac:dyDescent="0.2">
      <c r="A762">
        <f>SUBTOTAL(3,$B$6:B762)</f>
        <v>114</v>
      </c>
    </row>
    <row r="763" spans="1:1" x14ac:dyDescent="0.2">
      <c r="A763">
        <f>SUBTOTAL(3,$B$6:B763)</f>
        <v>114</v>
      </c>
    </row>
    <row r="764" spans="1:1" x14ac:dyDescent="0.2">
      <c r="A764">
        <f>SUBTOTAL(3,$B$6:B764)</f>
        <v>114</v>
      </c>
    </row>
    <row r="765" spans="1:1" x14ac:dyDescent="0.2">
      <c r="A765">
        <f>SUBTOTAL(3,$B$6:B765)</f>
        <v>114</v>
      </c>
    </row>
    <row r="766" spans="1:1" x14ac:dyDescent="0.2">
      <c r="A766">
        <f>SUBTOTAL(3,$B$6:B766)</f>
        <v>114</v>
      </c>
    </row>
    <row r="767" spans="1:1" x14ac:dyDescent="0.2">
      <c r="A767">
        <f>SUBTOTAL(3,$B$6:B767)</f>
        <v>114</v>
      </c>
    </row>
    <row r="768" spans="1:1" x14ac:dyDescent="0.2">
      <c r="A768">
        <f>SUBTOTAL(3,$B$6:B768)</f>
        <v>114</v>
      </c>
    </row>
    <row r="769" spans="1:1" x14ac:dyDescent="0.2">
      <c r="A769">
        <f>SUBTOTAL(3,$B$6:B769)</f>
        <v>114</v>
      </c>
    </row>
    <row r="770" spans="1:1" x14ac:dyDescent="0.2">
      <c r="A770">
        <f>SUBTOTAL(3,$B$6:B770)</f>
        <v>114</v>
      </c>
    </row>
    <row r="771" spans="1:1" x14ac:dyDescent="0.2">
      <c r="A771">
        <f>SUBTOTAL(3,$B$6:B771)</f>
        <v>114</v>
      </c>
    </row>
    <row r="772" spans="1:1" x14ac:dyDescent="0.2">
      <c r="A772">
        <f>SUBTOTAL(3,$B$6:B772)</f>
        <v>114</v>
      </c>
    </row>
    <row r="773" spans="1:1" x14ac:dyDescent="0.2">
      <c r="A773">
        <f>SUBTOTAL(3,$B$6:B773)</f>
        <v>114</v>
      </c>
    </row>
    <row r="774" spans="1:1" x14ac:dyDescent="0.2">
      <c r="A774">
        <f>SUBTOTAL(3,$B$6:B774)</f>
        <v>114</v>
      </c>
    </row>
    <row r="775" spans="1:1" x14ac:dyDescent="0.2">
      <c r="A775">
        <f>SUBTOTAL(3,$B$6:B775)</f>
        <v>114</v>
      </c>
    </row>
    <row r="776" spans="1:1" x14ac:dyDescent="0.2">
      <c r="A776">
        <f>SUBTOTAL(3,$B$6:B776)</f>
        <v>114</v>
      </c>
    </row>
    <row r="777" spans="1:1" x14ac:dyDescent="0.2">
      <c r="A777">
        <f>SUBTOTAL(3,$B$6:B777)</f>
        <v>114</v>
      </c>
    </row>
    <row r="778" spans="1:1" x14ac:dyDescent="0.2">
      <c r="A778">
        <f>SUBTOTAL(3,$B$6:B778)</f>
        <v>114</v>
      </c>
    </row>
    <row r="779" spans="1:1" x14ac:dyDescent="0.2">
      <c r="A779">
        <f>SUBTOTAL(3,$B$6:B779)</f>
        <v>114</v>
      </c>
    </row>
    <row r="780" spans="1:1" x14ac:dyDescent="0.2">
      <c r="A780">
        <f>SUBTOTAL(3,$B$6:B780)</f>
        <v>114</v>
      </c>
    </row>
    <row r="781" spans="1:1" x14ac:dyDescent="0.2">
      <c r="A781">
        <f>SUBTOTAL(3,$B$6:B781)</f>
        <v>114</v>
      </c>
    </row>
    <row r="782" spans="1:1" x14ac:dyDescent="0.2">
      <c r="A782">
        <f>SUBTOTAL(3,$B$6:B782)</f>
        <v>114</v>
      </c>
    </row>
    <row r="783" spans="1:1" x14ac:dyDescent="0.2">
      <c r="A783">
        <f>SUBTOTAL(3,$B$6:B783)</f>
        <v>114</v>
      </c>
    </row>
    <row r="784" spans="1:1" x14ac:dyDescent="0.2">
      <c r="A784">
        <f>SUBTOTAL(3,$B$6:B784)</f>
        <v>114</v>
      </c>
    </row>
    <row r="785" spans="1:1" x14ac:dyDescent="0.2">
      <c r="A785">
        <f>SUBTOTAL(3,$B$6:B785)</f>
        <v>114</v>
      </c>
    </row>
    <row r="786" spans="1:1" x14ac:dyDescent="0.2">
      <c r="A786">
        <f>SUBTOTAL(3,$B$6:B786)</f>
        <v>114</v>
      </c>
    </row>
    <row r="787" spans="1:1" x14ac:dyDescent="0.2">
      <c r="A787">
        <f>SUBTOTAL(3,$B$6:B787)</f>
        <v>114</v>
      </c>
    </row>
    <row r="788" spans="1:1" x14ac:dyDescent="0.2">
      <c r="A788">
        <f>SUBTOTAL(3,$B$6:B788)</f>
        <v>114</v>
      </c>
    </row>
    <row r="789" spans="1:1" x14ac:dyDescent="0.2">
      <c r="A789">
        <f>SUBTOTAL(3,$B$6:B789)</f>
        <v>114</v>
      </c>
    </row>
    <row r="790" spans="1:1" x14ac:dyDescent="0.2">
      <c r="A790">
        <f>SUBTOTAL(3,$B$6:B790)</f>
        <v>114</v>
      </c>
    </row>
    <row r="791" spans="1:1" x14ac:dyDescent="0.2">
      <c r="A791">
        <f>SUBTOTAL(3,$B$6:B791)</f>
        <v>114</v>
      </c>
    </row>
    <row r="792" spans="1:1" x14ac:dyDescent="0.2">
      <c r="A792">
        <f>SUBTOTAL(3,$B$6:B792)</f>
        <v>114</v>
      </c>
    </row>
    <row r="793" spans="1:1" x14ac:dyDescent="0.2">
      <c r="A793">
        <f>SUBTOTAL(3,$B$6:B793)</f>
        <v>114</v>
      </c>
    </row>
    <row r="794" spans="1:1" x14ac:dyDescent="0.2">
      <c r="A794">
        <f>SUBTOTAL(3,$B$6:B794)</f>
        <v>114</v>
      </c>
    </row>
    <row r="795" spans="1:1" x14ac:dyDescent="0.2">
      <c r="A795">
        <f>SUBTOTAL(3,$B$6:B795)</f>
        <v>114</v>
      </c>
    </row>
    <row r="796" spans="1:1" x14ac:dyDescent="0.2">
      <c r="A796">
        <f>SUBTOTAL(3,$B$6:B796)</f>
        <v>114</v>
      </c>
    </row>
    <row r="797" spans="1:1" x14ac:dyDescent="0.2">
      <c r="A797">
        <f>SUBTOTAL(3,$B$6:B797)</f>
        <v>114</v>
      </c>
    </row>
    <row r="798" spans="1:1" x14ac:dyDescent="0.2">
      <c r="A798">
        <f>SUBTOTAL(3,$B$6:B798)</f>
        <v>114</v>
      </c>
    </row>
    <row r="799" spans="1:1" x14ac:dyDescent="0.2">
      <c r="A799">
        <f>SUBTOTAL(3,$B$6:B799)</f>
        <v>114</v>
      </c>
    </row>
    <row r="800" spans="1:1" x14ac:dyDescent="0.2">
      <c r="A800">
        <f>SUBTOTAL(3,$B$6:B800)</f>
        <v>114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00"/>
  <sheetViews>
    <sheetView topLeftCell="A10" workbookViewId="0">
      <selection activeCell="B16" sqref="B16:K76"/>
    </sheetView>
  </sheetViews>
  <sheetFormatPr defaultRowHeight="12" x14ac:dyDescent="0.2"/>
  <cols>
    <col min="1" max="1" width="8.140625" style="2" customWidth="1"/>
    <col min="2" max="2" width="11" style="2" customWidth="1"/>
    <col min="3" max="3" width="17.5703125" style="2" customWidth="1"/>
    <col min="4" max="4" width="13.5703125" style="3" customWidth="1"/>
    <col min="5" max="5" width="12.7109375" style="3" customWidth="1"/>
    <col min="6" max="6" width="19.5703125" style="3" customWidth="1"/>
    <col min="7" max="7" width="14.5703125" style="2" customWidth="1"/>
    <col min="8" max="8" width="12.7109375" style="2" customWidth="1"/>
    <col min="9" max="9" width="12" style="2" customWidth="1"/>
    <col min="10" max="10" width="6.5703125" style="2" customWidth="1"/>
    <col min="11" max="11" width="12.7109375" style="2" customWidth="1"/>
    <col min="12" max="12" width="6.5703125" style="2" customWidth="1"/>
    <col min="13" max="16384" width="9.140625" style="2"/>
  </cols>
  <sheetData>
    <row r="1" spans="1:11" ht="12" customHeight="1" x14ac:dyDescent="0.2">
      <c r="A1" s="2" t="s">
        <v>147</v>
      </c>
      <c r="B1" s="2">
        <v>1</v>
      </c>
    </row>
    <row r="2" spans="1:11" ht="12" customHeight="1" x14ac:dyDescent="0.2">
      <c r="C2" s="7"/>
      <c r="D2" s="5"/>
      <c r="E2" s="5"/>
      <c r="G2" s="15"/>
    </row>
    <row r="3" spans="1:11" ht="12" customHeight="1" x14ac:dyDescent="0.2">
      <c r="B3" s="3"/>
      <c r="C3" s="3"/>
      <c r="D3" s="15"/>
    </row>
    <row r="4" spans="1:11" ht="12" customHeight="1" x14ac:dyDescent="0.2">
      <c r="B4" s="3"/>
      <c r="C4" s="3"/>
      <c r="D4" s="15"/>
    </row>
    <row r="5" spans="1:11" ht="12" customHeight="1" x14ac:dyDescent="0.2">
      <c r="B5" s="3"/>
      <c r="C5" s="3"/>
      <c r="D5" s="15"/>
    </row>
    <row r="6" spans="1:11" ht="12" customHeight="1" x14ac:dyDescent="0.2">
      <c r="B6" s="3"/>
      <c r="C6" s="3"/>
      <c r="D6" s="15"/>
    </row>
    <row r="7" spans="1:11" ht="12" customHeight="1" x14ac:dyDescent="0.2">
      <c r="B7" s="3"/>
      <c r="C7" s="3"/>
      <c r="D7" s="15"/>
    </row>
    <row r="8" spans="1:11" ht="12" customHeight="1" x14ac:dyDescent="0.2">
      <c r="B8" s="3"/>
      <c r="C8" s="3"/>
      <c r="D8" s="15"/>
    </row>
    <row r="9" spans="1:11" ht="12" customHeight="1" x14ac:dyDescent="0.2">
      <c r="B9" s="3"/>
      <c r="C9" s="3"/>
      <c r="D9" s="15"/>
    </row>
    <row r="10" spans="1:11" ht="12" customHeight="1" x14ac:dyDescent="0.2">
      <c r="B10" s="3"/>
      <c r="C10" s="3"/>
      <c r="D10" s="15"/>
    </row>
    <row r="11" spans="1:11" ht="12" customHeight="1" x14ac:dyDescent="0.2"/>
    <row r="12" spans="1:11" ht="12" customHeight="1" x14ac:dyDescent="0.2"/>
    <row r="13" spans="1:11" ht="12" customHeight="1" x14ac:dyDescent="0.2"/>
    <row r="14" spans="1:11" ht="12" customHeight="1" x14ac:dyDescent="0.2"/>
    <row r="15" spans="1:11" x14ac:dyDescent="0.2">
      <c r="A15" s="2" t="s">
        <v>42</v>
      </c>
      <c r="B15" s="2" t="s">
        <v>43</v>
      </c>
      <c r="C15" s="2" t="s">
        <v>44</v>
      </c>
      <c r="D15" s="3" t="s">
        <v>99</v>
      </c>
      <c r="E15" s="3" t="s">
        <v>97</v>
      </c>
      <c r="F15" s="3" t="s">
        <v>100</v>
      </c>
      <c r="G15" s="2" t="s">
        <v>101</v>
      </c>
      <c r="H15" s="2" t="s">
        <v>102</v>
      </c>
      <c r="I15" s="2" t="s">
        <v>103</v>
      </c>
      <c r="J15" s="2" t="s">
        <v>105</v>
      </c>
      <c r="K15" s="2" t="s">
        <v>202</v>
      </c>
    </row>
    <row r="16" spans="1:11" x14ac:dyDescent="0.2">
      <c r="A16" s="2">
        <f>SUBTOTAL(3,$B$16:B16)</f>
        <v>1</v>
      </c>
      <c r="B16" s="2" t="s">
        <v>1</v>
      </c>
      <c r="C16" s="19" t="s">
        <v>352</v>
      </c>
      <c r="D16" s="20">
        <v>40817</v>
      </c>
      <c r="E16" s="20">
        <v>41424</v>
      </c>
      <c r="F16" s="20">
        <v>41487</v>
      </c>
      <c r="G16" s="2">
        <v>5681</v>
      </c>
      <c r="H16" s="2">
        <v>-1.8189894035458565E-12</v>
      </c>
      <c r="I16" s="2">
        <v>5681.0000000000018</v>
      </c>
      <c r="J16" s="2" t="s">
        <v>106</v>
      </c>
      <c r="K16" s="2">
        <v>-3.2018824213093759E-16</v>
      </c>
    </row>
    <row r="17" spans="1:11" hidden="1" x14ac:dyDescent="0.2">
      <c r="A17" s="2">
        <f>SUBTOTAL(3,$B$16:B17)</f>
        <v>1</v>
      </c>
      <c r="B17" s="2" t="s">
        <v>348</v>
      </c>
      <c r="C17" s="19" t="s">
        <v>352</v>
      </c>
      <c r="D17" s="20">
        <v>40817</v>
      </c>
      <c r="E17" s="20">
        <v>41424</v>
      </c>
      <c r="F17" s="20">
        <v>41487</v>
      </c>
      <c r="G17" s="2">
        <v>5681</v>
      </c>
      <c r="H17" s="2">
        <v>-1.8189894035458565E-12</v>
      </c>
      <c r="I17" s="2">
        <v>5681.0000000000018</v>
      </c>
      <c r="J17" s="2" t="s">
        <v>106</v>
      </c>
      <c r="K17" s="2">
        <v>-3.2018824213093759E-16</v>
      </c>
    </row>
    <row r="18" spans="1:11" hidden="1" x14ac:dyDescent="0.2">
      <c r="A18" s="2">
        <f>SUBTOTAL(3,$B$16:B18)</f>
        <v>1</v>
      </c>
      <c r="B18" s="2" t="s">
        <v>346</v>
      </c>
      <c r="C18" s="19" t="s">
        <v>359</v>
      </c>
      <c r="D18" s="20">
        <v>41275</v>
      </c>
      <c r="E18" s="20">
        <v>41455</v>
      </c>
      <c r="F18" s="20">
        <v>41547</v>
      </c>
      <c r="G18" s="2">
        <v>26048.010783000002</v>
      </c>
      <c r="H18" s="2">
        <v>8749.2800000000007</v>
      </c>
      <c r="I18" s="2">
        <v>17298.730782999999</v>
      </c>
      <c r="K18" s="2">
        <v>0.3358905243432308</v>
      </c>
    </row>
    <row r="19" spans="1:11" hidden="1" x14ac:dyDescent="0.2">
      <c r="A19" s="2">
        <f>SUBTOTAL(3,$B$16:B19)</f>
        <v>1</v>
      </c>
      <c r="B19" s="2" t="s">
        <v>350</v>
      </c>
      <c r="C19" s="19" t="s">
        <v>358</v>
      </c>
      <c r="D19" s="20">
        <v>41091</v>
      </c>
      <c r="E19" s="20">
        <v>41455</v>
      </c>
      <c r="F19" s="20">
        <v>41517</v>
      </c>
      <c r="G19" s="2">
        <v>339417.05841599999</v>
      </c>
      <c r="H19" s="2">
        <v>134015.18</v>
      </c>
      <c r="I19" s="2">
        <v>205401.87841599999</v>
      </c>
      <c r="K19" s="2">
        <v>0.39483925948043208</v>
      </c>
    </row>
    <row r="20" spans="1:11" hidden="1" x14ac:dyDescent="0.2">
      <c r="A20" s="2">
        <f>SUBTOTAL(3,$B$16:B20)</f>
        <v>1</v>
      </c>
      <c r="B20" s="2" t="s">
        <v>351</v>
      </c>
      <c r="C20" s="19" t="s">
        <v>353</v>
      </c>
      <c r="D20" s="20">
        <v>41214</v>
      </c>
      <c r="E20" s="20">
        <v>41455</v>
      </c>
      <c r="F20" s="20">
        <v>41532</v>
      </c>
      <c r="G20" s="2">
        <v>510174.23310499999</v>
      </c>
      <c r="H20" s="2">
        <v>496071.61</v>
      </c>
      <c r="I20" s="2">
        <v>14102.623105000006</v>
      </c>
      <c r="K20" s="2">
        <v>0.97235724152674419</v>
      </c>
    </row>
    <row r="21" spans="1:11" hidden="1" x14ac:dyDescent="0.2">
      <c r="A21" s="2">
        <f>SUBTOTAL(3,$B$16:B21)</f>
        <v>1</v>
      </c>
      <c r="B21" s="2" t="s">
        <v>350</v>
      </c>
      <c r="C21" s="19" t="s">
        <v>353</v>
      </c>
      <c r="D21" s="20">
        <v>41214</v>
      </c>
      <c r="E21" s="20">
        <v>41455</v>
      </c>
      <c r="F21" s="20">
        <v>41532</v>
      </c>
      <c r="G21" s="2">
        <v>510174.23310499999</v>
      </c>
      <c r="H21" s="2">
        <v>496071.61</v>
      </c>
      <c r="I21" s="2">
        <v>14102.623105000006</v>
      </c>
      <c r="K21" s="2">
        <v>0.97235724152674419</v>
      </c>
    </row>
    <row r="22" spans="1:11" x14ac:dyDescent="0.2">
      <c r="A22" s="2">
        <f>SUBTOTAL(3,$B$16:B22)</f>
        <v>2</v>
      </c>
      <c r="B22" s="2" t="s">
        <v>1</v>
      </c>
      <c r="C22" s="19" t="s">
        <v>353</v>
      </c>
      <c r="D22" s="20">
        <v>41214</v>
      </c>
      <c r="E22" s="20">
        <v>41455</v>
      </c>
      <c r="F22" s="20">
        <v>41532</v>
      </c>
      <c r="G22" s="2">
        <v>510174.23310499999</v>
      </c>
      <c r="H22" s="2">
        <v>496071.61</v>
      </c>
      <c r="I22" s="2">
        <v>14102.623105000006</v>
      </c>
      <c r="K22" s="2">
        <v>0.97235724152674419</v>
      </c>
    </row>
    <row r="23" spans="1:11" hidden="1" x14ac:dyDescent="0.2">
      <c r="A23" s="2">
        <f>SUBTOTAL(3,$B$16:B23)</f>
        <v>2</v>
      </c>
      <c r="B23" s="2" t="s">
        <v>349</v>
      </c>
      <c r="C23" s="19" t="s">
        <v>353</v>
      </c>
      <c r="D23" s="20">
        <v>41214</v>
      </c>
      <c r="E23" s="20">
        <v>41455</v>
      </c>
      <c r="F23" s="20">
        <v>41532</v>
      </c>
      <c r="G23" s="2">
        <v>510174.23310499999</v>
      </c>
      <c r="H23" s="2">
        <v>496071.61</v>
      </c>
      <c r="I23" s="2">
        <v>14102.623105000006</v>
      </c>
      <c r="K23" s="2">
        <v>0.97235724152674419</v>
      </c>
    </row>
    <row r="24" spans="1:11" x14ac:dyDescent="0.2">
      <c r="A24" s="2">
        <f>SUBTOTAL(3,$B$16:B24)</f>
        <v>3</v>
      </c>
      <c r="B24" s="2" t="s">
        <v>1</v>
      </c>
      <c r="C24" s="19" t="s">
        <v>359</v>
      </c>
      <c r="D24" s="20">
        <v>41275</v>
      </c>
      <c r="E24" s="20">
        <v>41455</v>
      </c>
      <c r="F24" s="20">
        <v>41547</v>
      </c>
      <c r="G24" s="2">
        <v>26048.010783000002</v>
      </c>
      <c r="H24" s="2">
        <v>8749.2800000000007</v>
      </c>
      <c r="I24" s="2">
        <v>17298.730782999999</v>
      </c>
      <c r="K24" s="2">
        <v>0.3358905243432308</v>
      </c>
    </row>
    <row r="25" spans="1:11" hidden="1" x14ac:dyDescent="0.2">
      <c r="A25" s="2">
        <f>SUBTOTAL(3,$B$16:B25)</f>
        <v>3</v>
      </c>
      <c r="B25" s="2" t="s">
        <v>351</v>
      </c>
      <c r="C25" s="19" t="s">
        <v>358</v>
      </c>
      <c r="D25" s="20">
        <v>41091</v>
      </c>
      <c r="E25" s="20">
        <v>41455</v>
      </c>
      <c r="F25" s="20">
        <v>41517</v>
      </c>
      <c r="G25" s="2">
        <v>339417.05841599999</v>
      </c>
      <c r="H25" s="2">
        <v>134015.18</v>
      </c>
      <c r="I25" s="2">
        <v>205401.87841599999</v>
      </c>
      <c r="K25" s="2">
        <v>0.39483925948043208</v>
      </c>
    </row>
    <row r="26" spans="1:11" hidden="1" x14ac:dyDescent="0.2">
      <c r="A26" s="2">
        <f>SUBTOTAL(3,$B$16:B26)</f>
        <v>3</v>
      </c>
      <c r="B26" s="2" t="s">
        <v>351</v>
      </c>
      <c r="C26" s="19" t="s">
        <v>359</v>
      </c>
      <c r="D26" s="20">
        <v>41275</v>
      </c>
      <c r="E26" s="20">
        <v>41455</v>
      </c>
      <c r="F26" s="20">
        <v>41547</v>
      </c>
      <c r="G26" s="2">
        <v>26048.010783000002</v>
      </c>
      <c r="H26" s="2">
        <v>8749.2800000000007</v>
      </c>
      <c r="I26" s="2">
        <v>17298.730782999999</v>
      </c>
      <c r="K26" s="2">
        <v>0.3358905243432308</v>
      </c>
    </row>
    <row r="27" spans="1:11" hidden="1" x14ac:dyDescent="0.2">
      <c r="A27" s="2">
        <f>SUBTOTAL(3,$B$16:B27)</f>
        <v>3</v>
      </c>
      <c r="B27" s="2" t="s">
        <v>346</v>
      </c>
      <c r="C27" s="19" t="s">
        <v>358</v>
      </c>
      <c r="D27" s="20">
        <v>41091</v>
      </c>
      <c r="E27" s="20">
        <v>41455</v>
      </c>
      <c r="F27" s="20">
        <v>41517</v>
      </c>
      <c r="G27" s="2">
        <v>339417.05841599999</v>
      </c>
      <c r="H27" s="2">
        <v>134015.18</v>
      </c>
      <c r="I27" s="2">
        <v>205401.87841599999</v>
      </c>
      <c r="K27" s="2">
        <v>0.39483925948043208</v>
      </c>
    </row>
    <row r="28" spans="1:11" x14ac:dyDescent="0.2">
      <c r="A28" s="2">
        <f>SUBTOTAL(3,$B$16:B28)</f>
        <v>4</v>
      </c>
      <c r="B28" s="2" t="s">
        <v>1</v>
      </c>
      <c r="C28" s="19" t="s">
        <v>360</v>
      </c>
      <c r="D28" s="20">
        <v>41091</v>
      </c>
      <c r="E28" s="20">
        <v>41455</v>
      </c>
      <c r="F28" s="20">
        <v>41547</v>
      </c>
      <c r="G28" s="2">
        <v>119924.499591</v>
      </c>
      <c r="H28" s="2">
        <v>65477.21</v>
      </c>
      <c r="I28" s="2">
        <v>54447.289591000001</v>
      </c>
      <c r="K28" s="2">
        <v>0.54598693530770326</v>
      </c>
    </row>
    <row r="29" spans="1:11" hidden="1" x14ac:dyDescent="0.2">
      <c r="A29" s="2">
        <f>SUBTOTAL(3,$B$16:B29)</f>
        <v>4</v>
      </c>
      <c r="B29" s="2" t="s">
        <v>346</v>
      </c>
      <c r="C29" s="19" t="s">
        <v>360</v>
      </c>
      <c r="D29" s="20">
        <v>41091</v>
      </c>
      <c r="E29" s="20">
        <v>41455</v>
      </c>
      <c r="F29" s="20">
        <v>41547</v>
      </c>
      <c r="G29" s="2">
        <v>119924.499591</v>
      </c>
      <c r="H29" s="2">
        <v>65477.21</v>
      </c>
      <c r="I29" s="2">
        <v>54447.289591000001</v>
      </c>
      <c r="K29" s="2">
        <v>0.54598693530770326</v>
      </c>
    </row>
    <row r="30" spans="1:11" hidden="1" x14ac:dyDescent="0.2">
      <c r="A30" s="2">
        <f>SUBTOTAL(3,$B$16:B30)</f>
        <v>4</v>
      </c>
      <c r="B30" s="2" t="s">
        <v>351</v>
      </c>
      <c r="C30" s="19" t="s">
        <v>360</v>
      </c>
      <c r="D30" s="20">
        <v>41091</v>
      </c>
      <c r="E30" s="20">
        <v>41455</v>
      </c>
      <c r="F30" s="20">
        <v>41547</v>
      </c>
      <c r="G30" s="2">
        <v>119924.499591</v>
      </c>
      <c r="H30" s="2">
        <v>65477.21</v>
      </c>
      <c r="I30" s="2">
        <v>54447.289591000001</v>
      </c>
      <c r="K30" s="2">
        <v>0.54598693530770326</v>
      </c>
    </row>
    <row r="31" spans="1:11" hidden="1" x14ac:dyDescent="0.2">
      <c r="A31" s="2">
        <f>SUBTOTAL(3,$B$16:B31)</f>
        <v>4</v>
      </c>
      <c r="B31" s="2" t="s">
        <v>350</v>
      </c>
      <c r="C31" s="2" t="s">
        <v>360</v>
      </c>
      <c r="D31" s="20">
        <v>41091</v>
      </c>
      <c r="E31" s="20">
        <v>41455</v>
      </c>
      <c r="F31" s="20">
        <v>41547</v>
      </c>
      <c r="G31" s="2">
        <v>119924.499591</v>
      </c>
      <c r="H31" s="2">
        <v>65477.21</v>
      </c>
      <c r="I31" s="2">
        <v>54447.289591000001</v>
      </c>
      <c r="K31" s="2">
        <v>0.54598693530770326</v>
      </c>
    </row>
    <row r="32" spans="1:11" x14ac:dyDescent="0.2">
      <c r="A32" s="2">
        <f>SUBTOTAL(3,$B$16:B32)</f>
        <v>5</v>
      </c>
      <c r="B32" s="2" t="s">
        <v>1</v>
      </c>
      <c r="C32" s="2" t="s">
        <v>361</v>
      </c>
      <c r="D32" s="20">
        <v>41091</v>
      </c>
      <c r="E32" s="20">
        <v>41455</v>
      </c>
      <c r="F32" s="20">
        <v>41486</v>
      </c>
      <c r="G32" s="2">
        <v>169120.40377599999</v>
      </c>
      <c r="H32" s="2">
        <v>143687.21</v>
      </c>
      <c r="I32" s="2">
        <v>25433.193776</v>
      </c>
      <c r="K32" s="2">
        <v>0.84961487077758946</v>
      </c>
    </row>
    <row r="33" spans="1:11" hidden="1" x14ac:dyDescent="0.2">
      <c r="A33" s="2">
        <f>SUBTOTAL(3,$B$16:B33)</f>
        <v>5</v>
      </c>
      <c r="B33" s="2" t="s">
        <v>350</v>
      </c>
      <c r="C33" s="19" t="s">
        <v>361</v>
      </c>
      <c r="D33" s="20">
        <v>41091</v>
      </c>
      <c r="E33" s="20">
        <v>41455</v>
      </c>
      <c r="F33" s="20">
        <v>41486</v>
      </c>
      <c r="G33" s="2">
        <v>169120.40377599999</v>
      </c>
      <c r="H33" s="2">
        <v>143687.21</v>
      </c>
      <c r="I33" s="2">
        <v>25433.193776</v>
      </c>
      <c r="K33" s="2">
        <v>0.84961487077758946</v>
      </c>
    </row>
    <row r="34" spans="1:11" hidden="1" x14ac:dyDescent="0.2">
      <c r="A34" s="2">
        <f>SUBTOTAL(3,$B$16:B34)</f>
        <v>5</v>
      </c>
      <c r="B34" s="2" t="s">
        <v>346</v>
      </c>
      <c r="C34" s="19" t="s">
        <v>361</v>
      </c>
      <c r="D34" s="20">
        <v>41091</v>
      </c>
      <c r="E34" s="20">
        <v>41455</v>
      </c>
      <c r="F34" s="20">
        <v>41486</v>
      </c>
      <c r="G34" s="2">
        <v>169120.40377599999</v>
      </c>
      <c r="H34" s="2">
        <v>143687.21</v>
      </c>
      <c r="I34" s="2">
        <v>25433.193776</v>
      </c>
      <c r="K34" s="2">
        <v>0.84961487077758946</v>
      </c>
    </row>
    <row r="35" spans="1:11" hidden="1" x14ac:dyDescent="0.2">
      <c r="A35" s="2">
        <f>SUBTOTAL(3,$B$16:B35)</f>
        <v>5</v>
      </c>
      <c r="B35" s="2" t="s">
        <v>351</v>
      </c>
      <c r="C35" s="19" t="s">
        <v>361</v>
      </c>
      <c r="D35" s="20">
        <v>41091</v>
      </c>
      <c r="E35" s="20">
        <v>41455</v>
      </c>
      <c r="F35" s="20">
        <v>41486</v>
      </c>
      <c r="G35" s="2">
        <v>169120.40377599999</v>
      </c>
      <c r="H35" s="2">
        <v>143687.21</v>
      </c>
      <c r="I35" s="2">
        <v>25433.193776</v>
      </c>
      <c r="K35" s="2">
        <v>0.84961487077758946</v>
      </c>
    </row>
    <row r="36" spans="1:11" hidden="1" x14ac:dyDescent="0.2">
      <c r="A36" s="2">
        <f>SUBTOTAL(3,$B$16:B36)</f>
        <v>5</v>
      </c>
      <c r="B36" s="2" t="s">
        <v>350</v>
      </c>
      <c r="C36" s="19" t="s">
        <v>359</v>
      </c>
      <c r="D36" s="20">
        <v>41275</v>
      </c>
      <c r="E36" s="20">
        <v>41455</v>
      </c>
      <c r="F36" s="20">
        <v>41547</v>
      </c>
      <c r="G36" s="2">
        <v>26048.010783000002</v>
      </c>
      <c r="H36" s="2">
        <v>8749.2800000000007</v>
      </c>
      <c r="I36" s="2">
        <v>17298.730782999999</v>
      </c>
      <c r="K36" s="2">
        <v>0.3358905243432308</v>
      </c>
    </row>
    <row r="37" spans="1:11" x14ac:dyDescent="0.2">
      <c r="A37" s="2">
        <f>SUBTOTAL(3,$B$16:B37)</f>
        <v>6</v>
      </c>
      <c r="B37" s="2" t="s">
        <v>1</v>
      </c>
      <c r="C37" s="19" t="s">
        <v>356</v>
      </c>
      <c r="D37" s="20">
        <v>41091</v>
      </c>
      <c r="E37" s="20">
        <v>41455</v>
      </c>
      <c r="F37" s="20">
        <v>41547</v>
      </c>
      <c r="G37" s="2">
        <v>145651.12216500001</v>
      </c>
      <c r="H37" s="2">
        <v>132899.82</v>
      </c>
      <c r="I37" s="2">
        <v>12751.302165000001</v>
      </c>
      <c r="K37" s="2">
        <v>0.91245311415757746</v>
      </c>
    </row>
    <row r="38" spans="1:11" hidden="1" x14ac:dyDescent="0.2">
      <c r="A38" s="2">
        <f>SUBTOTAL(3,$B$16:B38)</f>
        <v>6</v>
      </c>
      <c r="B38" s="2" t="s">
        <v>351</v>
      </c>
      <c r="C38" s="19" t="s">
        <v>354</v>
      </c>
      <c r="D38" s="20">
        <v>41091</v>
      </c>
      <c r="E38" s="20">
        <v>41455</v>
      </c>
      <c r="F38" s="20">
        <v>41517</v>
      </c>
      <c r="G38" s="2">
        <v>96874.441884</v>
      </c>
      <c r="H38" s="2">
        <v>71957.490000000005</v>
      </c>
      <c r="I38" s="2">
        <v>24916.951883999995</v>
      </c>
      <c r="K38" s="2">
        <v>0.7427912729155518</v>
      </c>
    </row>
    <row r="39" spans="1:11" hidden="1" x14ac:dyDescent="0.2">
      <c r="A39" s="2">
        <f>SUBTOTAL(3,$B$16:B39)</f>
        <v>6</v>
      </c>
      <c r="B39" s="2" t="s">
        <v>346</v>
      </c>
      <c r="C39" s="19" t="s">
        <v>354</v>
      </c>
      <c r="D39" s="20">
        <v>41091</v>
      </c>
      <c r="E39" s="20">
        <v>41455</v>
      </c>
      <c r="F39" s="20">
        <v>41517</v>
      </c>
      <c r="G39" s="2">
        <v>96874.441884</v>
      </c>
      <c r="H39" s="2">
        <v>71957.490000000005</v>
      </c>
      <c r="I39" s="2">
        <v>24916.951883999995</v>
      </c>
      <c r="K39" s="2">
        <v>0.7427912729155518</v>
      </c>
    </row>
    <row r="40" spans="1:11" x14ac:dyDescent="0.2">
      <c r="A40" s="2">
        <f>SUBTOTAL(3,$B$16:B40)</f>
        <v>7</v>
      </c>
      <c r="B40" s="2" t="s">
        <v>1</v>
      </c>
      <c r="C40" s="19" t="s">
        <v>354</v>
      </c>
      <c r="D40" s="20">
        <v>41091</v>
      </c>
      <c r="E40" s="20">
        <v>41455</v>
      </c>
      <c r="F40" s="20">
        <v>41517</v>
      </c>
      <c r="G40" s="2">
        <v>96874.441884</v>
      </c>
      <c r="H40" s="2">
        <v>71957.490000000005</v>
      </c>
      <c r="I40" s="2">
        <v>24916.951883999995</v>
      </c>
      <c r="K40" s="2">
        <v>0.7427912729155518</v>
      </c>
    </row>
    <row r="41" spans="1:11" hidden="1" x14ac:dyDescent="0.2">
      <c r="A41" s="2">
        <f>SUBTOTAL(3,$B$16:B41)</f>
        <v>7</v>
      </c>
      <c r="B41" s="2" t="s">
        <v>350</v>
      </c>
      <c r="C41" s="19" t="s">
        <v>354</v>
      </c>
      <c r="D41" s="20">
        <v>41091</v>
      </c>
      <c r="E41" s="20">
        <v>41455</v>
      </c>
      <c r="F41" s="20">
        <v>41517</v>
      </c>
      <c r="G41" s="2">
        <v>96874.441884</v>
      </c>
      <c r="H41" s="2">
        <v>71957.490000000005</v>
      </c>
      <c r="I41" s="2">
        <v>24916.951883999995</v>
      </c>
      <c r="K41" s="2">
        <v>0.7427912729155518</v>
      </c>
    </row>
    <row r="42" spans="1:11" hidden="1" x14ac:dyDescent="0.2">
      <c r="A42" s="2">
        <f>SUBTOTAL(3,$B$16:B42)</f>
        <v>7</v>
      </c>
      <c r="B42" s="2" t="s">
        <v>349</v>
      </c>
      <c r="C42" s="19" t="s">
        <v>355</v>
      </c>
      <c r="D42" s="20">
        <v>41275</v>
      </c>
      <c r="E42" s="20">
        <v>41455</v>
      </c>
      <c r="F42" s="20">
        <v>41547</v>
      </c>
      <c r="G42" s="2">
        <v>39372.344757999999</v>
      </c>
      <c r="H42" s="2">
        <v>28910.98</v>
      </c>
      <c r="I42" s="2">
        <v>10461.364758</v>
      </c>
      <c r="K42" s="2">
        <v>0.73429662819676567</v>
      </c>
    </row>
    <row r="43" spans="1:11" hidden="1" x14ac:dyDescent="0.2">
      <c r="A43" s="2">
        <f>SUBTOTAL(3,$B$16:B43)</f>
        <v>7</v>
      </c>
      <c r="B43" s="2" t="s">
        <v>350</v>
      </c>
      <c r="C43" s="19" t="s">
        <v>355</v>
      </c>
      <c r="D43" s="20">
        <v>41275</v>
      </c>
      <c r="E43" s="20">
        <v>41455</v>
      </c>
      <c r="F43" s="20">
        <v>41547</v>
      </c>
      <c r="G43" s="2">
        <v>39372.344757999999</v>
      </c>
      <c r="H43" s="2">
        <v>28910.98</v>
      </c>
      <c r="I43" s="2">
        <v>10461.364758</v>
      </c>
      <c r="K43" s="2">
        <v>0.73429662819676567</v>
      </c>
    </row>
    <row r="44" spans="1:11" x14ac:dyDescent="0.2">
      <c r="A44" s="2">
        <f>SUBTOTAL(3,$B$16:B44)</f>
        <v>8</v>
      </c>
      <c r="B44" s="2" t="s">
        <v>1</v>
      </c>
      <c r="C44" s="19" t="s">
        <v>355</v>
      </c>
      <c r="D44" s="20">
        <v>41275</v>
      </c>
      <c r="E44" s="20">
        <v>41455</v>
      </c>
      <c r="F44" s="20">
        <v>41547</v>
      </c>
      <c r="G44" s="2">
        <v>39372.344757999999</v>
      </c>
      <c r="H44" s="2">
        <v>28910.98</v>
      </c>
      <c r="I44" s="2">
        <v>10461.364758</v>
      </c>
      <c r="K44" s="2">
        <v>0.73429662819676567</v>
      </c>
    </row>
    <row r="45" spans="1:11" x14ac:dyDescent="0.2">
      <c r="A45" s="2">
        <f>SUBTOTAL(3,$B$16:B45)</f>
        <v>9</v>
      </c>
      <c r="B45" s="2" t="s">
        <v>1</v>
      </c>
      <c r="C45" s="19" t="s">
        <v>358</v>
      </c>
      <c r="D45" s="20">
        <v>41091</v>
      </c>
      <c r="E45" s="20">
        <v>41455</v>
      </c>
      <c r="F45" s="20">
        <v>41517</v>
      </c>
      <c r="G45" s="2">
        <v>339417.05841599999</v>
      </c>
      <c r="H45" s="2">
        <v>134015.18</v>
      </c>
      <c r="I45" s="2">
        <v>205401.87841599999</v>
      </c>
      <c r="K45" s="2">
        <v>0.39483925948043208</v>
      </c>
    </row>
    <row r="46" spans="1:11" hidden="1" x14ac:dyDescent="0.2">
      <c r="A46" s="2">
        <f>SUBTOTAL(3,$B$16:B46)</f>
        <v>9</v>
      </c>
      <c r="B46" s="2" t="s">
        <v>351</v>
      </c>
      <c r="C46" s="19" t="s">
        <v>355</v>
      </c>
      <c r="D46" s="20">
        <v>41275</v>
      </c>
      <c r="E46" s="20">
        <v>41455</v>
      </c>
      <c r="F46" s="20">
        <v>41547</v>
      </c>
      <c r="G46" s="2">
        <v>39372.344757999999</v>
      </c>
      <c r="H46" s="2">
        <v>28910.98</v>
      </c>
      <c r="I46" s="2">
        <v>10461.364758</v>
      </c>
      <c r="K46" s="2">
        <v>0.73429662819676567</v>
      </c>
    </row>
    <row r="47" spans="1:11" hidden="1" x14ac:dyDescent="0.2">
      <c r="A47" s="2">
        <f>SUBTOTAL(3,$B$16:B47)</f>
        <v>9</v>
      </c>
      <c r="B47" s="2" t="s">
        <v>351</v>
      </c>
      <c r="C47" s="19" t="s">
        <v>357</v>
      </c>
      <c r="D47" s="20">
        <v>40817</v>
      </c>
      <c r="E47" s="20">
        <v>41455</v>
      </c>
      <c r="F47" s="20">
        <v>41517</v>
      </c>
      <c r="G47" s="2">
        <v>337153</v>
      </c>
      <c r="H47" s="2">
        <v>357021.08</v>
      </c>
      <c r="I47" s="2">
        <v>-19868.080000000016</v>
      </c>
      <c r="J47" s="2" t="s">
        <v>106</v>
      </c>
      <c r="K47" s="2">
        <v>1.0589289728995441</v>
      </c>
    </row>
    <row r="48" spans="1:11" hidden="1" x14ac:dyDescent="0.2">
      <c r="A48" s="2">
        <f>SUBTOTAL(3,$B$16:B48)</f>
        <v>9</v>
      </c>
      <c r="B48" s="2" t="s">
        <v>351</v>
      </c>
      <c r="C48" s="19" t="s">
        <v>356</v>
      </c>
      <c r="D48" s="20">
        <v>41091</v>
      </c>
      <c r="E48" s="20">
        <v>41455</v>
      </c>
      <c r="F48" s="20">
        <v>41547</v>
      </c>
      <c r="G48" s="2">
        <v>145651.12216500001</v>
      </c>
      <c r="H48" s="2">
        <v>132899.82</v>
      </c>
      <c r="I48" s="2">
        <v>12751.302165000001</v>
      </c>
      <c r="K48" s="2">
        <v>0.91245311415757746</v>
      </c>
    </row>
    <row r="49" spans="1:11" hidden="1" x14ac:dyDescent="0.2">
      <c r="A49" s="2">
        <f>SUBTOTAL(3,$B$16:B49)</f>
        <v>9</v>
      </c>
      <c r="B49" s="2" t="s">
        <v>349</v>
      </c>
      <c r="C49" s="19" t="s">
        <v>356</v>
      </c>
      <c r="D49" s="20">
        <v>41091</v>
      </c>
      <c r="E49" s="20">
        <v>41455</v>
      </c>
      <c r="F49" s="20">
        <v>41547</v>
      </c>
      <c r="G49" s="2">
        <v>145651.12216500001</v>
      </c>
      <c r="H49" s="2">
        <v>132899.82</v>
      </c>
      <c r="I49" s="2">
        <v>12751.302165000001</v>
      </c>
      <c r="K49" s="2">
        <v>0.91245311415757746</v>
      </c>
    </row>
    <row r="50" spans="1:11" hidden="1" x14ac:dyDescent="0.2">
      <c r="A50" s="2">
        <f>SUBTOTAL(3,$B$16:B50)</f>
        <v>9</v>
      </c>
      <c r="B50" s="2" t="s">
        <v>350</v>
      </c>
      <c r="C50" s="19" t="s">
        <v>356</v>
      </c>
      <c r="D50" s="20">
        <v>41091</v>
      </c>
      <c r="E50" s="20">
        <v>41455</v>
      </c>
      <c r="F50" s="20">
        <v>41547</v>
      </c>
      <c r="G50" s="2">
        <v>145651.12216500001</v>
      </c>
      <c r="H50" s="2">
        <v>132899.82</v>
      </c>
      <c r="I50" s="2">
        <v>12751.302165000001</v>
      </c>
      <c r="K50" s="2">
        <v>0.91245311415757746</v>
      </c>
    </row>
    <row r="51" spans="1:11" hidden="1" x14ac:dyDescent="0.2">
      <c r="A51" s="2">
        <f>SUBTOTAL(3,$B$16:B51)</f>
        <v>9</v>
      </c>
      <c r="B51" s="2" t="s">
        <v>350</v>
      </c>
      <c r="C51" s="19" t="s">
        <v>357</v>
      </c>
      <c r="D51" s="20">
        <v>40817</v>
      </c>
      <c r="E51" s="20">
        <v>41455</v>
      </c>
      <c r="F51" s="20">
        <v>41517</v>
      </c>
      <c r="G51" s="2">
        <v>337153</v>
      </c>
      <c r="H51" s="2">
        <v>357021.08</v>
      </c>
      <c r="I51" s="2">
        <v>-19868.080000000016</v>
      </c>
      <c r="J51" s="2" t="s">
        <v>106</v>
      </c>
      <c r="K51" s="2">
        <v>1.0589289728995441</v>
      </c>
    </row>
    <row r="52" spans="1:11" x14ac:dyDescent="0.2">
      <c r="A52" s="2">
        <f>SUBTOTAL(3,$B$16:B52)</f>
        <v>10</v>
      </c>
      <c r="B52" s="2" t="s">
        <v>1</v>
      </c>
      <c r="C52" s="19" t="s">
        <v>357</v>
      </c>
      <c r="D52" s="20">
        <v>40817</v>
      </c>
      <c r="E52" s="20">
        <v>41455</v>
      </c>
      <c r="F52" s="20">
        <v>41517</v>
      </c>
      <c r="G52" s="2">
        <v>337153</v>
      </c>
      <c r="H52" s="2">
        <v>357021.08</v>
      </c>
      <c r="I52" s="2">
        <v>-19868.080000000016</v>
      </c>
      <c r="J52" s="2" t="s">
        <v>106</v>
      </c>
      <c r="K52" s="2">
        <v>1.0589289728995441</v>
      </c>
    </row>
    <row r="53" spans="1:11" hidden="1" x14ac:dyDescent="0.2">
      <c r="A53" s="2">
        <f>SUBTOTAL(3,$B$16:B53)</f>
        <v>10</v>
      </c>
      <c r="B53" s="2" t="s">
        <v>343</v>
      </c>
      <c r="C53" s="19" t="s">
        <v>357</v>
      </c>
      <c r="D53" s="20">
        <v>40817</v>
      </c>
      <c r="E53" s="20">
        <v>41455</v>
      </c>
      <c r="F53" s="20">
        <v>41517</v>
      </c>
      <c r="G53" s="2">
        <v>337153</v>
      </c>
      <c r="H53" s="2">
        <v>357021.08</v>
      </c>
      <c r="I53" s="2">
        <v>-19868.080000000016</v>
      </c>
      <c r="J53" s="2" t="s">
        <v>106</v>
      </c>
      <c r="K53" s="2">
        <v>1.0589289728995441</v>
      </c>
    </row>
    <row r="54" spans="1:11" hidden="1" x14ac:dyDescent="0.2">
      <c r="A54" s="2">
        <f>SUBTOTAL(3,$B$16:B54)</f>
        <v>10</v>
      </c>
      <c r="B54" s="2" t="s">
        <v>351</v>
      </c>
      <c r="C54" s="19" t="s">
        <v>362</v>
      </c>
      <c r="D54" s="20">
        <v>40909</v>
      </c>
      <c r="E54" s="20">
        <v>41486</v>
      </c>
      <c r="F54" s="20">
        <v>41670</v>
      </c>
      <c r="G54" s="2">
        <v>315952.60372299998</v>
      </c>
      <c r="H54" s="2">
        <v>147353.56</v>
      </c>
      <c r="I54" s="2">
        <v>168599.04372299998</v>
      </c>
      <c r="K54" s="2">
        <v>0.46637868548532962</v>
      </c>
    </row>
    <row r="55" spans="1:11" hidden="1" x14ac:dyDescent="0.2">
      <c r="A55" s="2">
        <f>SUBTOTAL(3,$B$16:B55)</f>
        <v>10</v>
      </c>
      <c r="B55" s="2" t="s">
        <v>350</v>
      </c>
      <c r="C55" s="19" t="s">
        <v>362</v>
      </c>
      <c r="D55" s="20">
        <v>40909</v>
      </c>
      <c r="E55" s="20">
        <v>41486</v>
      </c>
      <c r="F55" s="20">
        <v>41670</v>
      </c>
      <c r="G55" s="2">
        <v>315952.60372299998</v>
      </c>
      <c r="H55" s="2">
        <v>147353.56</v>
      </c>
      <c r="I55" s="2">
        <v>168599.04372299998</v>
      </c>
      <c r="K55" s="2">
        <v>0.46637868548532962</v>
      </c>
    </row>
    <row r="56" spans="1:11" hidden="1" x14ac:dyDescent="0.2">
      <c r="A56" s="2">
        <f>SUBTOTAL(3,$B$16:B56)</f>
        <v>10</v>
      </c>
      <c r="B56" s="2" t="s">
        <v>346</v>
      </c>
      <c r="C56" s="19" t="s">
        <v>362</v>
      </c>
      <c r="D56" s="20">
        <v>40909</v>
      </c>
      <c r="E56" s="20">
        <v>41486</v>
      </c>
      <c r="F56" s="20">
        <v>41670</v>
      </c>
      <c r="G56" s="2">
        <v>315952.60372299998</v>
      </c>
      <c r="H56" s="2">
        <v>147353.56</v>
      </c>
      <c r="I56" s="2">
        <v>168599.04372299998</v>
      </c>
      <c r="K56" s="2">
        <v>0.46637868548532962</v>
      </c>
    </row>
    <row r="57" spans="1:11" x14ac:dyDescent="0.2">
      <c r="A57" s="2">
        <f>SUBTOTAL(3,$B$16:B57)</f>
        <v>11</v>
      </c>
      <c r="B57" s="2" t="s">
        <v>1</v>
      </c>
      <c r="C57" s="19" t="s">
        <v>362</v>
      </c>
      <c r="D57" s="20">
        <v>40909</v>
      </c>
      <c r="E57" s="20">
        <v>41486</v>
      </c>
      <c r="F57" s="20">
        <v>41670</v>
      </c>
      <c r="G57" s="2">
        <v>315952.60372299998</v>
      </c>
      <c r="H57" s="2">
        <v>147353.56</v>
      </c>
      <c r="I57" s="2">
        <v>168599.04372299998</v>
      </c>
      <c r="K57" s="2">
        <v>0.46637868548532962</v>
      </c>
    </row>
    <row r="58" spans="1:11" x14ac:dyDescent="0.2">
      <c r="A58" s="2">
        <f>SUBTOTAL(3,$B$16:B58)</f>
        <v>12</v>
      </c>
      <c r="B58" s="2" t="s">
        <v>1</v>
      </c>
      <c r="C58" s="19" t="s">
        <v>363</v>
      </c>
      <c r="D58" s="20">
        <v>41128</v>
      </c>
      <c r="E58" s="20">
        <v>41492</v>
      </c>
      <c r="F58" s="20">
        <v>41572</v>
      </c>
      <c r="G58" s="2">
        <v>2877</v>
      </c>
      <c r="H58" s="2">
        <v>2877.3</v>
      </c>
      <c r="I58" s="2">
        <v>-0.3000000000001819</v>
      </c>
      <c r="K58" s="2">
        <v>1.000104275286757</v>
      </c>
    </row>
    <row r="59" spans="1:11" hidden="1" x14ac:dyDescent="0.2">
      <c r="A59" s="2">
        <f>SUBTOTAL(3,$B$16:B59)</f>
        <v>12</v>
      </c>
      <c r="B59" s="2" t="s">
        <v>342</v>
      </c>
      <c r="C59" s="19" t="s">
        <v>363</v>
      </c>
      <c r="D59" s="20">
        <v>41128</v>
      </c>
      <c r="E59" s="20">
        <v>41492</v>
      </c>
      <c r="F59" s="20">
        <v>41572</v>
      </c>
      <c r="G59" s="2">
        <v>2877</v>
      </c>
      <c r="H59" s="2">
        <v>2877.3</v>
      </c>
      <c r="I59" s="2">
        <v>-0.3000000000001819</v>
      </c>
      <c r="K59" s="2">
        <v>1.000104275286757</v>
      </c>
    </row>
    <row r="60" spans="1:11" hidden="1" x14ac:dyDescent="0.2">
      <c r="A60" s="2">
        <f>SUBTOTAL(3,$B$16:B60)</f>
        <v>12</v>
      </c>
      <c r="B60" s="2" t="s">
        <v>349</v>
      </c>
      <c r="C60" s="19" t="s">
        <v>364</v>
      </c>
      <c r="D60" s="20">
        <v>40817</v>
      </c>
      <c r="E60" s="20">
        <v>41500</v>
      </c>
      <c r="F60" s="20">
        <v>41547</v>
      </c>
      <c r="G60" s="2">
        <v>92409</v>
      </c>
      <c r="H60" s="2">
        <v>54459.88</v>
      </c>
      <c r="I60" s="2">
        <v>37949.120000000003</v>
      </c>
      <c r="J60" s="2" t="s">
        <v>106</v>
      </c>
      <c r="K60" s="2">
        <v>0.58933523790972742</v>
      </c>
    </row>
    <row r="61" spans="1:11" x14ac:dyDescent="0.2">
      <c r="A61" s="2">
        <f>SUBTOTAL(3,$B$16:B61)</f>
        <v>13</v>
      </c>
      <c r="B61" s="2" t="s">
        <v>1</v>
      </c>
      <c r="C61" s="19" t="s">
        <v>364</v>
      </c>
      <c r="D61" s="20">
        <v>40817</v>
      </c>
      <c r="E61" s="20">
        <v>41500</v>
      </c>
      <c r="F61" s="20">
        <v>41547</v>
      </c>
      <c r="G61" s="2">
        <v>92409</v>
      </c>
      <c r="H61" s="2">
        <v>54459.88</v>
      </c>
      <c r="I61" s="2">
        <v>37949.120000000003</v>
      </c>
      <c r="J61" s="2" t="s">
        <v>106</v>
      </c>
      <c r="K61" s="2">
        <v>0.58933523790972742</v>
      </c>
    </row>
    <row r="62" spans="1:11" hidden="1" x14ac:dyDescent="0.2">
      <c r="A62" s="2">
        <f>SUBTOTAL(3,$B$16:B62)</f>
        <v>13</v>
      </c>
      <c r="B62" s="2" t="s">
        <v>351</v>
      </c>
      <c r="C62" s="19" t="s">
        <v>365</v>
      </c>
      <c r="D62" s="20">
        <v>40878</v>
      </c>
      <c r="E62" s="20">
        <v>41517</v>
      </c>
      <c r="F62" s="20">
        <v>41547</v>
      </c>
      <c r="G62" s="2">
        <v>87524.623206999997</v>
      </c>
      <c r="H62" s="2">
        <v>47062.78</v>
      </c>
      <c r="I62" s="2">
        <v>40461.843206999998</v>
      </c>
      <c r="K62" s="2">
        <v>0.53770902719220204</v>
      </c>
    </row>
    <row r="63" spans="1:11" hidden="1" x14ac:dyDescent="0.2">
      <c r="A63" s="2">
        <f>SUBTOTAL(3,$B$16:B63)</f>
        <v>13</v>
      </c>
      <c r="B63" s="2" t="s">
        <v>350</v>
      </c>
      <c r="C63" s="19" t="s">
        <v>365</v>
      </c>
      <c r="D63" s="20">
        <v>40878</v>
      </c>
      <c r="E63" s="20">
        <v>41517</v>
      </c>
      <c r="F63" s="20">
        <v>41547</v>
      </c>
      <c r="G63" s="2">
        <v>87524.623206999997</v>
      </c>
      <c r="H63" s="2">
        <v>47062.78</v>
      </c>
      <c r="I63" s="2">
        <v>40461.843206999998</v>
      </c>
      <c r="K63" s="2">
        <v>0.53770902719220204</v>
      </c>
    </row>
    <row r="64" spans="1:11" x14ac:dyDescent="0.2">
      <c r="A64" s="2">
        <f>SUBTOTAL(3,$B$16:B64)</f>
        <v>14</v>
      </c>
      <c r="B64" s="2" t="s">
        <v>1</v>
      </c>
      <c r="C64" s="19" t="s">
        <v>365</v>
      </c>
      <c r="D64" s="20">
        <v>40878</v>
      </c>
      <c r="E64" s="20">
        <v>41517</v>
      </c>
      <c r="F64" s="20">
        <v>41547</v>
      </c>
      <c r="G64" s="2">
        <v>87524.623206999997</v>
      </c>
      <c r="H64" s="2">
        <v>47062.78</v>
      </c>
      <c r="I64" s="2">
        <v>40461.843206999998</v>
      </c>
      <c r="K64" s="2">
        <v>0.53770902719220204</v>
      </c>
    </row>
    <row r="65" spans="1:11" hidden="1" x14ac:dyDescent="0.2">
      <c r="A65" s="2">
        <f>SUBTOTAL(3,$B$16:B65)</f>
        <v>14</v>
      </c>
      <c r="B65" s="2" t="s">
        <v>351</v>
      </c>
      <c r="C65" s="19" t="s">
        <v>366</v>
      </c>
      <c r="D65" s="20">
        <v>41153</v>
      </c>
      <c r="E65" s="20">
        <v>41517</v>
      </c>
      <c r="F65" s="20">
        <v>41567</v>
      </c>
      <c r="G65" s="2">
        <v>194251.538523</v>
      </c>
      <c r="H65" s="2">
        <v>24881.98</v>
      </c>
      <c r="I65" s="2">
        <v>169369.55852299999</v>
      </c>
      <c r="K65" s="2">
        <v>0.1280915466059688</v>
      </c>
    </row>
    <row r="66" spans="1:11" x14ac:dyDescent="0.2">
      <c r="A66" s="2">
        <f>SUBTOTAL(3,$B$16:B66)</f>
        <v>15</v>
      </c>
      <c r="B66" s="2" t="s">
        <v>1</v>
      </c>
      <c r="C66" s="19" t="s">
        <v>366</v>
      </c>
      <c r="D66" s="20">
        <v>41153</v>
      </c>
      <c r="E66" s="20">
        <v>41517</v>
      </c>
      <c r="F66" s="20">
        <v>41567</v>
      </c>
      <c r="G66" s="2">
        <v>194251.538523</v>
      </c>
      <c r="H66" s="2">
        <v>24881.98</v>
      </c>
      <c r="I66" s="2">
        <v>169369.55852299999</v>
      </c>
      <c r="K66" s="2">
        <v>0.1280915466059688</v>
      </c>
    </row>
    <row r="67" spans="1:11" hidden="1" x14ac:dyDescent="0.2">
      <c r="A67" s="2">
        <f>SUBTOTAL(3,$B$16:B67)</f>
        <v>15</v>
      </c>
      <c r="B67" s="2" t="s">
        <v>343</v>
      </c>
      <c r="C67" s="19" t="s">
        <v>366</v>
      </c>
      <c r="D67" s="20">
        <v>41153</v>
      </c>
      <c r="E67" s="20">
        <v>41517</v>
      </c>
      <c r="F67" s="20">
        <v>41567</v>
      </c>
      <c r="G67" s="2">
        <v>194251.538523</v>
      </c>
      <c r="H67" s="2">
        <v>24881.98</v>
      </c>
      <c r="I67" s="2">
        <v>169369.55852299999</v>
      </c>
      <c r="K67" s="2">
        <v>0.1280915466059688</v>
      </c>
    </row>
    <row r="68" spans="1:11" hidden="1" x14ac:dyDescent="0.2">
      <c r="A68" s="2">
        <f>SUBTOTAL(3,$B$16:B68)</f>
        <v>15</v>
      </c>
      <c r="B68" s="2" t="s">
        <v>350</v>
      </c>
      <c r="C68" s="19" t="s">
        <v>366</v>
      </c>
      <c r="D68" s="20">
        <v>41153</v>
      </c>
      <c r="E68" s="20">
        <v>41517</v>
      </c>
      <c r="F68" s="20">
        <v>41567</v>
      </c>
      <c r="G68" s="2">
        <v>194251.538523</v>
      </c>
      <c r="H68" s="2">
        <v>24881.98</v>
      </c>
      <c r="I68" s="2">
        <v>169369.55852299999</v>
      </c>
      <c r="K68" s="2">
        <v>0.1280915466059688</v>
      </c>
    </row>
    <row r="69" spans="1:11" hidden="1" x14ac:dyDescent="0.2">
      <c r="A69" s="2">
        <f>SUBTOTAL(3,$B$16:B69)</f>
        <v>15</v>
      </c>
      <c r="B69" s="2" t="s">
        <v>344</v>
      </c>
      <c r="C69" s="19" t="s">
        <v>365</v>
      </c>
      <c r="D69" s="20">
        <v>40878</v>
      </c>
      <c r="E69" s="20">
        <v>41517</v>
      </c>
      <c r="F69" s="20">
        <v>41547</v>
      </c>
      <c r="G69" s="2">
        <v>87524.623206999997</v>
      </c>
      <c r="H69" s="2">
        <v>47062.78</v>
      </c>
      <c r="I69" s="2">
        <v>40461.843206999998</v>
      </c>
      <c r="K69" s="2">
        <v>0.53770902719220204</v>
      </c>
    </row>
    <row r="70" spans="1:11" x14ac:dyDescent="0.2">
      <c r="A70" s="2">
        <f>SUBTOTAL(3,$B$16:B70)</f>
        <v>16</v>
      </c>
      <c r="B70" s="2" t="s">
        <v>1</v>
      </c>
      <c r="C70" s="19" t="s">
        <v>367</v>
      </c>
      <c r="D70" s="20">
        <v>40817</v>
      </c>
      <c r="E70" s="20">
        <v>41547</v>
      </c>
      <c r="F70" s="20">
        <v>41670</v>
      </c>
      <c r="G70" s="2">
        <v>699315.986302</v>
      </c>
      <c r="H70" s="2">
        <v>781209.06</v>
      </c>
      <c r="I70" s="2">
        <v>-81893.073698000051</v>
      </c>
      <c r="J70" s="2" t="s">
        <v>106</v>
      </c>
      <c r="K70" s="2">
        <v>1.1171045354347648</v>
      </c>
    </row>
    <row r="71" spans="1:11" hidden="1" x14ac:dyDescent="0.2">
      <c r="A71" s="2">
        <f>SUBTOTAL(3,$B$16:B71)</f>
        <v>16</v>
      </c>
      <c r="B71" s="2" t="s">
        <v>351</v>
      </c>
      <c r="C71" s="19" t="s">
        <v>367</v>
      </c>
      <c r="D71" s="20">
        <v>40817</v>
      </c>
      <c r="E71" s="20">
        <v>41547</v>
      </c>
      <c r="F71" s="20">
        <v>41670</v>
      </c>
      <c r="G71" s="2">
        <v>699315.986302</v>
      </c>
      <c r="H71" s="2">
        <v>781209.06</v>
      </c>
      <c r="I71" s="2">
        <v>-81893.073698000051</v>
      </c>
      <c r="J71" s="2" t="s">
        <v>106</v>
      </c>
      <c r="K71" s="2">
        <v>1.1171045354347648</v>
      </c>
    </row>
    <row r="72" spans="1:11" hidden="1" x14ac:dyDescent="0.2">
      <c r="A72" s="2">
        <f>SUBTOTAL(3,$B$16:B72)</f>
        <v>16</v>
      </c>
      <c r="B72" s="2" t="s">
        <v>342</v>
      </c>
      <c r="C72" s="19" t="s">
        <v>367</v>
      </c>
      <c r="D72" s="20">
        <v>40817</v>
      </c>
      <c r="E72" s="20">
        <v>41547</v>
      </c>
      <c r="F72" s="20">
        <v>41670</v>
      </c>
      <c r="G72" s="2">
        <v>699315.986302</v>
      </c>
      <c r="H72" s="2">
        <v>781209.06</v>
      </c>
      <c r="I72" s="2">
        <v>-81893.073698000051</v>
      </c>
      <c r="J72" s="2" t="s">
        <v>106</v>
      </c>
      <c r="K72" s="2">
        <v>1.1171045354347648</v>
      </c>
    </row>
    <row r="73" spans="1:11" hidden="1" x14ac:dyDescent="0.2">
      <c r="A73" s="2">
        <f>SUBTOTAL(3,$B$16:B73)</f>
        <v>16</v>
      </c>
      <c r="B73" s="2" t="s">
        <v>350</v>
      </c>
      <c r="C73" s="19" t="s">
        <v>367</v>
      </c>
      <c r="D73" s="20">
        <v>40817</v>
      </c>
      <c r="E73" s="20">
        <v>41547</v>
      </c>
      <c r="F73" s="20">
        <v>41670</v>
      </c>
      <c r="G73" s="2">
        <v>699315.986302</v>
      </c>
      <c r="H73" s="2">
        <v>781209.06</v>
      </c>
      <c r="I73" s="2">
        <v>-81893.073698000051</v>
      </c>
      <c r="J73" s="2" t="s">
        <v>106</v>
      </c>
      <c r="K73" s="2">
        <v>1.1171045354347648</v>
      </c>
    </row>
    <row r="74" spans="1:11" hidden="1" x14ac:dyDescent="0.2">
      <c r="A74" s="2">
        <f>SUBTOTAL(3,$B$16:B74)</f>
        <v>16</v>
      </c>
      <c r="B74" s="2" t="s">
        <v>351</v>
      </c>
      <c r="C74" s="19" t="s">
        <v>368</v>
      </c>
      <c r="D74" s="20">
        <v>41000</v>
      </c>
      <c r="E74" s="20">
        <v>41820</v>
      </c>
      <c r="F74" s="20">
        <v>41517</v>
      </c>
      <c r="G74" s="2">
        <v>4409000</v>
      </c>
      <c r="H74" s="2">
        <v>492165.06</v>
      </c>
      <c r="I74" s="2">
        <v>3916834.94</v>
      </c>
      <c r="K74" s="2">
        <v>0.1116273667498299</v>
      </c>
    </row>
    <row r="75" spans="1:11" hidden="1" x14ac:dyDescent="0.2">
      <c r="A75" s="2">
        <f>SUBTOTAL(3,$B$16:B75)</f>
        <v>16</v>
      </c>
      <c r="B75" s="2" t="s">
        <v>350</v>
      </c>
      <c r="C75" s="19" t="s">
        <v>368</v>
      </c>
      <c r="D75" s="20">
        <v>41000</v>
      </c>
      <c r="E75" s="20">
        <v>41820</v>
      </c>
      <c r="F75" s="20">
        <v>41517</v>
      </c>
      <c r="G75" s="2">
        <v>4409000</v>
      </c>
      <c r="H75" s="2">
        <v>492165.06</v>
      </c>
      <c r="I75" s="2">
        <v>3916834.94</v>
      </c>
      <c r="K75" s="2">
        <v>0.1116273667498299</v>
      </c>
    </row>
    <row r="76" spans="1:11" x14ac:dyDescent="0.2">
      <c r="A76" s="2">
        <f>SUBTOTAL(3,$B$16:B76)</f>
        <v>17</v>
      </c>
      <c r="B76" s="2" t="s">
        <v>1</v>
      </c>
      <c r="C76" s="19" t="s">
        <v>368</v>
      </c>
      <c r="D76" s="20">
        <v>41000</v>
      </c>
      <c r="E76" s="20">
        <v>41820</v>
      </c>
      <c r="F76" s="20">
        <v>41517</v>
      </c>
      <c r="G76" s="2">
        <v>4409000</v>
      </c>
      <c r="H76" s="2">
        <v>492165.06</v>
      </c>
      <c r="I76" s="2">
        <v>3916834.94</v>
      </c>
      <c r="K76" s="2">
        <v>0.1116273667498299</v>
      </c>
    </row>
    <row r="77" spans="1:11" hidden="1" x14ac:dyDescent="0.2">
      <c r="A77" s="2">
        <f>SUBTOTAL(3,$B$16:B77)</f>
        <v>17</v>
      </c>
      <c r="B77" s="2" t="s">
        <v>343</v>
      </c>
      <c r="C77" s="19" t="s">
        <v>368</v>
      </c>
      <c r="D77" s="20">
        <v>41000</v>
      </c>
      <c r="E77" s="20">
        <v>41820</v>
      </c>
      <c r="F77" s="20">
        <v>41517</v>
      </c>
      <c r="G77" s="2">
        <v>4409000</v>
      </c>
      <c r="H77" s="2">
        <v>492165.06</v>
      </c>
      <c r="I77" s="2">
        <v>3916834.94</v>
      </c>
      <c r="K77" s="2">
        <v>0.1116273667498299</v>
      </c>
    </row>
    <row r="78" spans="1:11" x14ac:dyDescent="0.2">
      <c r="A78" s="2">
        <f>SUBTOTAL(3,$B$16:B78)</f>
        <v>17</v>
      </c>
    </row>
    <row r="79" spans="1:11" x14ac:dyDescent="0.2">
      <c r="A79" s="2">
        <f>SUBTOTAL(3,$B$16:B79)</f>
        <v>17</v>
      </c>
    </row>
    <row r="80" spans="1:11" x14ac:dyDescent="0.2">
      <c r="A80" s="2">
        <f>SUBTOTAL(3,$B$16:B80)</f>
        <v>17</v>
      </c>
    </row>
    <row r="81" spans="1:1" x14ac:dyDescent="0.2">
      <c r="A81" s="2">
        <f>SUBTOTAL(3,$B$16:B81)</f>
        <v>17</v>
      </c>
    </row>
    <row r="82" spans="1:1" x14ac:dyDescent="0.2">
      <c r="A82" s="2">
        <f>SUBTOTAL(3,$B$16:B82)</f>
        <v>17</v>
      </c>
    </row>
    <row r="83" spans="1:1" x14ac:dyDescent="0.2">
      <c r="A83" s="2">
        <f>SUBTOTAL(3,$B$16:B83)</f>
        <v>17</v>
      </c>
    </row>
    <row r="84" spans="1:1" x14ac:dyDescent="0.2">
      <c r="A84" s="2">
        <f>SUBTOTAL(3,$B$16:B84)</f>
        <v>17</v>
      </c>
    </row>
    <row r="85" spans="1:1" x14ac:dyDescent="0.2">
      <c r="A85" s="2">
        <f>SUBTOTAL(3,$B$16:B85)</f>
        <v>17</v>
      </c>
    </row>
    <row r="86" spans="1:1" x14ac:dyDescent="0.2">
      <c r="A86" s="2">
        <f>SUBTOTAL(3,$B$16:B86)</f>
        <v>17</v>
      </c>
    </row>
    <row r="87" spans="1:1" x14ac:dyDescent="0.2">
      <c r="A87" s="2">
        <f>SUBTOTAL(3,$B$16:B87)</f>
        <v>17</v>
      </c>
    </row>
    <row r="88" spans="1:1" x14ac:dyDescent="0.2">
      <c r="A88" s="2">
        <f>SUBTOTAL(3,$B$16:B88)</f>
        <v>17</v>
      </c>
    </row>
    <row r="89" spans="1:1" x14ac:dyDescent="0.2">
      <c r="A89" s="2">
        <f>SUBTOTAL(3,$B$16:B89)</f>
        <v>17</v>
      </c>
    </row>
    <row r="90" spans="1:1" x14ac:dyDescent="0.2">
      <c r="A90" s="2">
        <f>SUBTOTAL(3,$B$16:B90)</f>
        <v>17</v>
      </c>
    </row>
    <row r="91" spans="1:1" x14ac:dyDescent="0.2">
      <c r="A91" s="2">
        <f>SUBTOTAL(3,$B$16:B91)</f>
        <v>17</v>
      </c>
    </row>
    <row r="92" spans="1:1" x14ac:dyDescent="0.2">
      <c r="A92" s="2">
        <f>SUBTOTAL(3,$B$16:B92)</f>
        <v>17</v>
      </c>
    </row>
    <row r="93" spans="1:1" x14ac:dyDescent="0.2">
      <c r="A93" s="2">
        <f>SUBTOTAL(3,$B$16:B93)</f>
        <v>17</v>
      </c>
    </row>
    <row r="94" spans="1:1" x14ac:dyDescent="0.2">
      <c r="A94" s="2">
        <f>SUBTOTAL(3,$B$16:B94)</f>
        <v>17</v>
      </c>
    </row>
    <row r="95" spans="1:1" x14ac:dyDescent="0.2">
      <c r="A95" s="2">
        <f>SUBTOTAL(3,$B$16:B95)</f>
        <v>17</v>
      </c>
    </row>
    <row r="96" spans="1:1" x14ac:dyDescent="0.2">
      <c r="A96" s="2">
        <f>SUBTOTAL(3,$B$16:B96)</f>
        <v>17</v>
      </c>
    </row>
    <row r="97" spans="1:1" x14ac:dyDescent="0.2">
      <c r="A97" s="2">
        <f>SUBTOTAL(3,$B$16:B97)</f>
        <v>17</v>
      </c>
    </row>
    <row r="98" spans="1:1" x14ac:dyDescent="0.2">
      <c r="A98" s="2">
        <f>SUBTOTAL(3,$B$16:B98)</f>
        <v>17</v>
      </c>
    </row>
    <row r="99" spans="1:1" x14ac:dyDescent="0.2">
      <c r="A99" s="2">
        <f>SUBTOTAL(3,$B$16:B99)</f>
        <v>17</v>
      </c>
    </row>
    <row r="100" spans="1:1" x14ac:dyDescent="0.2">
      <c r="A100" s="2">
        <f>SUBTOTAL(3,$B$16:B100)</f>
        <v>17</v>
      </c>
    </row>
    <row r="101" spans="1:1" x14ac:dyDescent="0.2">
      <c r="A101" s="2">
        <f>SUBTOTAL(3,$B$16:B101)</f>
        <v>17</v>
      </c>
    </row>
    <row r="102" spans="1:1" x14ac:dyDescent="0.2">
      <c r="A102" s="2">
        <f>SUBTOTAL(3,$B$16:B102)</f>
        <v>17</v>
      </c>
    </row>
    <row r="103" spans="1:1" x14ac:dyDescent="0.2">
      <c r="A103" s="2">
        <f>SUBTOTAL(3,$B$16:B103)</f>
        <v>17</v>
      </c>
    </row>
    <row r="104" spans="1:1" x14ac:dyDescent="0.2">
      <c r="A104" s="2">
        <f>SUBTOTAL(3,$B$16:B104)</f>
        <v>17</v>
      </c>
    </row>
    <row r="105" spans="1:1" x14ac:dyDescent="0.2">
      <c r="A105" s="2">
        <f>SUBTOTAL(3,$B$16:B105)</f>
        <v>17</v>
      </c>
    </row>
    <row r="106" spans="1:1" x14ac:dyDescent="0.2">
      <c r="A106" s="2">
        <f>SUBTOTAL(3,$B$16:B106)</f>
        <v>17</v>
      </c>
    </row>
    <row r="107" spans="1:1" x14ac:dyDescent="0.2">
      <c r="A107" s="2">
        <f>SUBTOTAL(3,$B$16:B107)</f>
        <v>17</v>
      </c>
    </row>
    <row r="108" spans="1:1" x14ac:dyDescent="0.2">
      <c r="A108" s="2">
        <f>SUBTOTAL(3,$B$16:B108)</f>
        <v>17</v>
      </c>
    </row>
    <row r="109" spans="1:1" x14ac:dyDescent="0.2">
      <c r="A109" s="2">
        <f>SUBTOTAL(3,$B$16:B109)</f>
        <v>17</v>
      </c>
    </row>
    <row r="110" spans="1:1" x14ac:dyDescent="0.2">
      <c r="A110" s="2">
        <f>SUBTOTAL(3,$B$16:B110)</f>
        <v>17</v>
      </c>
    </row>
    <row r="111" spans="1:1" x14ac:dyDescent="0.2">
      <c r="A111" s="2">
        <f>SUBTOTAL(3,$B$16:B111)</f>
        <v>17</v>
      </c>
    </row>
    <row r="112" spans="1:1" x14ac:dyDescent="0.2">
      <c r="A112" s="2">
        <f>SUBTOTAL(3,$B$16:B112)</f>
        <v>17</v>
      </c>
    </row>
    <row r="113" spans="1:1" x14ac:dyDescent="0.2">
      <c r="A113" s="2">
        <f>SUBTOTAL(3,$B$16:B113)</f>
        <v>17</v>
      </c>
    </row>
    <row r="114" spans="1:1" x14ac:dyDescent="0.2">
      <c r="A114" s="2">
        <f>SUBTOTAL(3,$B$16:B114)</f>
        <v>17</v>
      </c>
    </row>
    <row r="115" spans="1:1" x14ac:dyDescent="0.2">
      <c r="A115" s="2">
        <f>SUBTOTAL(3,$B$16:B115)</f>
        <v>17</v>
      </c>
    </row>
    <row r="116" spans="1:1" x14ac:dyDescent="0.2">
      <c r="A116" s="2">
        <f>SUBTOTAL(3,$B$16:B116)</f>
        <v>17</v>
      </c>
    </row>
    <row r="117" spans="1:1" x14ac:dyDescent="0.2">
      <c r="A117" s="2">
        <f>SUBTOTAL(3,$B$16:B117)</f>
        <v>17</v>
      </c>
    </row>
    <row r="118" spans="1:1" x14ac:dyDescent="0.2">
      <c r="A118" s="2">
        <f>SUBTOTAL(3,$B$16:B118)</f>
        <v>17</v>
      </c>
    </row>
    <row r="119" spans="1:1" x14ac:dyDescent="0.2">
      <c r="A119" s="2">
        <f>SUBTOTAL(3,$B$16:B119)</f>
        <v>17</v>
      </c>
    </row>
    <row r="120" spans="1:1" x14ac:dyDescent="0.2">
      <c r="A120" s="2">
        <f>SUBTOTAL(3,$B$16:B120)</f>
        <v>17</v>
      </c>
    </row>
    <row r="121" spans="1:1" x14ac:dyDescent="0.2">
      <c r="A121" s="2">
        <f>SUBTOTAL(3,$B$16:B121)</f>
        <v>17</v>
      </c>
    </row>
    <row r="122" spans="1:1" x14ac:dyDescent="0.2">
      <c r="A122" s="2">
        <f>SUBTOTAL(3,$B$16:B122)</f>
        <v>17</v>
      </c>
    </row>
    <row r="123" spans="1:1" x14ac:dyDescent="0.2">
      <c r="A123" s="2">
        <f>SUBTOTAL(3,$B$16:B123)</f>
        <v>17</v>
      </c>
    </row>
    <row r="124" spans="1:1" x14ac:dyDescent="0.2">
      <c r="A124" s="2">
        <f>SUBTOTAL(3,$B$16:B124)</f>
        <v>17</v>
      </c>
    </row>
    <row r="125" spans="1:1" x14ac:dyDescent="0.2">
      <c r="A125" s="2">
        <f>SUBTOTAL(3,$B$16:B125)</f>
        <v>17</v>
      </c>
    </row>
    <row r="126" spans="1:1" x14ac:dyDescent="0.2">
      <c r="A126" s="2">
        <f>SUBTOTAL(3,$B$16:B126)</f>
        <v>17</v>
      </c>
    </row>
    <row r="127" spans="1:1" x14ac:dyDescent="0.2">
      <c r="A127" s="2">
        <f>SUBTOTAL(3,$B$16:B127)</f>
        <v>17</v>
      </c>
    </row>
    <row r="128" spans="1:1" x14ac:dyDescent="0.2">
      <c r="A128" s="2">
        <f>SUBTOTAL(3,$B$16:B128)</f>
        <v>17</v>
      </c>
    </row>
    <row r="129" spans="1:1" x14ac:dyDescent="0.2">
      <c r="A129" s="2">
        <f>SUBTOTAL(3,$B$16:B129)</f>
        <v>17</v>
      </c>
    </row>
    <row r="130" spans="1:1" x14ac:dyDescent="0.2">
      <c r="A130" s="2">
        <f>SUBTOTAL(3,$B$16:B130)</f>
        <v>17</v>
      </c>
    </row>
    <row r="131" spans="1:1" x14ac:dyDescent="0.2">
      <c r="A131" s="2">
        <f>SUBTOTAL(3,$B$16:B131)</f>
        <v>17</v>
      </c>
    </row>
    <row r="132" spans="1:1" x14ac:dyDescent="0.2">
      <c r="A132" s="2">
        <f>SUBTOTAL(3,$B$16:B132)</f>
        <v>17</v>
      </c>
    </row>
    <row r="133" spans="1:1" x14ac:dyDescent="0.2">
      <c r="A133" s="2">
        <f>SUBTOTAL(3,$B$16:B133)</f>
        <v>17</v>
      </c>
    </row>
    <row r="134" spans="1:1" x14ac:dyDescent="0.2">
      <c r="A134" s="2">
        <f>SUBTOTAL(3,$B$16:B134)</f>
        <v>17</v>
      </c>
    </row>
    <row r="135" spans="1:1" x14ac:dyDescent="0.2">
      <c r="A135" s="2">
        <f>SUBTOTAL(3,$B$16:B135)</f>
        <v>17</v>
      </c>
    </row>
    <row r="136" spans="1:1" x14ac:dyDescent="0.2">
      <c r="A136" s="2">
        <f>SUBTOTAL(3,$B$16:B136)</f>
        <v>17</v>
      </c>
    </row>
    <row r="137" spans="1:1" x14ac:dyDescent="0.2">
      <c r="A137" s="2">
        <f>SUBTOTAL(3,$B$16:B137)</f>
        <v>17</v>
      </c>
    </row>
    <row r="138" spans="1:1" x14ac:dyDescent="0.2">
      <c r="A138" s="2">
        <f>SUBTOTAL(3,$B$16:B138)</f>
        <v>17</v>
      </c>
    </row>
    <row r="139" spans="1:1" x14ac:dyDescent="0.2">
      <c r="A139" s="2">
        <f>SUBTOTAL(3,$B$16:B139)</f>
        <v>17</v>
      </c>
    </row>
    <row r="140" spans="1:1" x14ac:dyDescent="0.2">
      <c r="A140" s="2">
        <f>SUBTOTAL(3,$B$16:B140)</f>
        <v>17</v>
      </c>
    </row>
    <row r="141" spans="1:1" x14ac:dyDescent="0.2">
      <c r="A141" s="2">
        <f>SUBTOTAL(3,$B$16:B141)</f>
        <v>17</v>
      </c>
    </row>
    <row r="142" spans="1:1" x14ac:dyDescent="0.2">
      <c r="A142" s="2">
        <f>SUBTOTAL(3,$B$16:B142)</f>
        <v>17</v>
      </c>
    </row>
    <row r="143" spans="1:1" x14ac:dyDescent="0.2">
      <c r="A143" s="2">
        <f>SUBTOTAL(3,$B$16:B143)</f>
        <v>17</v>
      </c>
    </row>
    <row r="144" spans="1:1" x14ac:dyDescent="0.2">
      <c r="A144" s="2">
        <f>SUBTOTAL(3,$B$16:B144)</f>
        <v>17</v>
      </c>
    </row>
    <row r="145" spans="1:1" x14ac:dyDescent="0.2">
      <c r="A145" s="2">
        <f>SUBTOTAL(3,$B$16:B145)</f>
        <v>17</v>
      </c>
    </row>
    <row r="146" spans="1:1" x14ac:dyDescent="0.2">
      <c r="A146" s="2">
        <f>SUBTOTAL(3,$B$16:B146)</f>
        <v>17</v>
      </c>
    </row>
    <row r="147" spans="1:1" x14ac:dyDescent="0.2">
      <c r="A147" s="2">
        <f>SUBTOTAL(3,$B$16:B147)</f>
        <v>17</v>
      </c>
    </row>
    <row r="148" spans="1:1" x14ac:dyDescent="0.2">
      <c r="A148" s="2">
        <f>SUBTOTAL(3,$B$16:B148)</f>
        <v>17</v>
      </c>
    </row>
    <row r="149" spans="1:1" x14ac:dyDescent="0.2">
      <c r="A149" s="2">
        <f>SUBTOTAL(3,$B$16:B149)</f>
        <v>17</v>
      </c>
    </row>
    <row r="150" spans="1:1" x14ac:dyDescent="0.2">
      <c r="A150" s="2">
        <f>SUBTOTAL(3,$B$16:B150)</f>
        <v>17</v>
      </c>
    </row>
    <row r="151" spans="1:1" x14ac:dyDescent="0.2">
      <c r="A151" s="2">
        <f>SUBTOTAL(3,$B$16:B151)</f>
        <v>17</v>
      </c>
    </row>
    <row r="152" spans="1:1" x14ac:dyDescent="0.2">
      <c r="A152" s="2">
        <f>SUBTOTAL(3,$B$16:B152)</f>
        <v>17</v>
      </c>
    </row>
    <row r="153" spans="1:1" x14ac:dyDescent="0.2">
      <c r="A153" s="2">
        <f>SUBTOTAL(3,$B$16:B153)</f>
        <v>17</v>
      </c>
    </row>
    <row r="154" spans="1:1" x14ac:dyDescent="0.2">
      <c r="A154" s="2">
        <f>SUBTOTAL(3,$B$16:B154)</f>
        <v>17</v>
      </c>
    </row>
    <row r="155" spans="1:1" x14ac:dyDescent="0.2">
      <c r="A155" s="2">
        <f>SUBTOTAL(3,$B$16:B155)</f>
        <v>17</v>
      </c>
    </row>
    <row r="156" spans="1:1" x14ac:dyDescent="0.2">
      <c r="A156" s="2">
        <f>SUBTOTAL(3,$B$16:B156)</f>
        <v>17</v>
      </c>
    </row>
    <row r="157" spans="1:1" x14ac:dyDescent="0.2">
      <c r="A157" s="2">
        <f>SUBTOTAL(3,$B$16:B157)</f>
        <v>17</v>
      </c>
    </row>
    <row r="158" spans="1:1" x14ac:dyDescent="0.2">
      <c r="A158" s="2">
        <f>SUBTOTAL(3,$B$16:B158)</f>
        <v>17</v>
      </c>
    </row>
    <row r="159" spans="1:1" x14ac:dyDescent="0.2">
      <c r="A159" s="2">
        <f>SUBTOTAL(3,$B$16:B159)</f>
        <v>17</v>
      </c>
    </row>
    <row r="160" spans="1:1" x14ac:dyDescent="0.2">
      <c r="A160" s="2">
        <f>SUBTOTAL(3,$B$16:B160)</f>
        <v>17</v>
      </c>
    </row>
    <row r="161" spans="1:1" x14ac:dyDescent="0.2">
      <c r="A161" s="2">
        <f>SUBTOTAL(3,$B$16:B161)</f>
        <v>17</v>
      </c>
    </row>
    <row r="162" spans="1:1" x14ac:dyDescent="0.2">
      <c r="A162" s="2">
        <f>SUBTOTAL(3,$B$16:B162)</f>
        <v>17</v>
      </c>
    </row>
    <row r="163" spans="1:1" x14ac:dyDescent="0.2">
      <c r="A163" s="2">
        <f>SUBTOTAL(3,$B$16:B163)</f>
        <v>17</v>
      </c>
    </row>
    <row r="164" spans="1:1" x14ac:dyDescent="0.2">
      <c r="A164" s="2">
        <f>SUBTOTAL(3,$B$16:B164)</f>
        <v>17</v>
      </c>
    </row>
    <row r="165" spans="1:1" x14ac:dyDescent="0.2">
      <c r="A165" s="2">
        <f>SUBTOTAL(3,$B$16:B165)</f>
        <v>17</v>
      </c>
    </row>
    <row r="166" spans="1:1" x14ac:dyDescent="0.2">
      <c r="A166" s="2">
        <f>SUBTOTAL(3,$B$16:B166)</f>
        <v>17</v>
      </c>
    </row>
    <row r="167" spans="1:1" x14ac:dyDescent="0.2">
      <c r="A167" s="2">
        <f>SUBTOTAL(3,$B$16:B167)</f>
        <v>17</v>
      </c>
    </row>
    <row r="168" spans="1:1" x14ac:dyDescent="0.2">
      <c r="A168" s="2">
        <f>SUBTOTAL(3,$B$16:B168)</f>
        <v>17</v>
      </c>
    </row>
    <row r="169" spans="1:1" x14ac:dyDescent="0.2">
      <c r="A169" s="2">
        <f>SUBTOTAL(3,$B$16:B169)</f>
        <v>17</v>
      </c>
    </row>
    <row r="170" spans="1:1" x14ac:dyDescent="0.2">
      <c r="A170" s="2">
        <f>SUBTOTAL(3,$B$16:B170)</f>
        <v>17</v>
      </c>
    </row>
    <row r="171" spans="1:1" x14ac:dyDescent="0.2">
      <c r="A171" s="2">
        <f>SUBTOTAL(3,$B$16:B171)</f>
        <v>17</v>
      </c>
    </row>
    <row r="172" spans="1:1" x14ac:dyDescent="0.2">
      <c r="A172" s="2">
        <f>SUBTOTAL(3,$B$16:B172)</f>
        <v>17</v>
      </c>
    </row>
    <row r="173" spans="1:1" x14ac:dyDescent="0.2">
      <c r="A173" s="2">
        <f>SUBTOTAL(3,$B$16:B173)</f>
        <v>17</v>
      </c>
    </row>
    <row r="174" spans="1:1" x14ac:dyDescent="0.2">
      <c r="A174" s="2">
        <f>SUBTOTAL(3,$B$16:B174)</f>
        <v>17</v>
      </c>
    </row>
    <row r="175" spans="1:1" x14ac:dyDescent="0.2">
      <c r="A175" s="2">
        <f>SUBTOTAL(3,$B$16:B175)</f>
        <v>17</v>
      </c>
    </row>
    <row r="176" spans="1:1" x14ac:dyDescent="0.2">
      <c r="A176" s="2">
        <f>SUBTOTAL(3,$B$16:B176)</f>
        <v>17</v>
      </c>
    </row>
    <row r="177" spans="1:1" x14ac:dyDescent="0.2">
      <c r="A177" s="2">
        <f>SUBTOTAL(3,$B$16:B177)</f>
        <v>17</v>
      </c>
    </row>
    <row r="178" spans="1:1" x14ac:dyDescent="0.2">
      <c r="A178" s="2">
        <f>SUBTOTAL(3,$B$16:B178)</f>
        <v>17</v>
      </c>
    </row>
    <row r="179" spans="1:1" x14ac:dyDescent="0.2">
      <c r="A179" s="2">
        <f>SUBTOTAL(3,$B$16:B179)</f>
        <v>17</v>
      </c>
    </row>
    <row r="180" spans="1:1" x14ac:dyDescent="0.2">
      <c r="A180" s="2">
        <f>SUBTOTAL(3,$B$16:B180)</f>
        <v>17</v>
      </c>
    </row>
    <row r="181" spans="1:1" x14ac:dyDescent="0.2">
      <c r="A181" s="2">
        <f>SUBTOTAL(3,$B$16:B181)</f>
        <v>17</v>
      </c>
    </row>
    <row r="182" spans="1:1" x14ac:dyDescent="0.2">
      <c r="A182" s="2">
        <f>SUBTOTAL(3,$B$16:B182)</f>
        <v>17</v>
      </c>
    </row>
    <row r="183" spans="1:1" x14ac:dyDescent="0.2">
      <c r="A183" s="2">
        <f>SUBTOTAL(3,$B$16:B183)</f>
        <v>17</v>
      </c>
    </row>
    <row r="184" spans="1:1" x14ac:dyDescent="0.2">
      <c r="A184" s="2">
        <f>SUBTOTAL(3,$B$16:B184)</f>
        <v>17</v>
      </c>
    </row>
    <row r="185" spans="1:1" x14ac:dyDescent="0.2">
      <c r="A185" s="2">
        <f>SUBTOTAL(3,$B$16:B185)</f>
        <v>17</v>
      </c>
    </row>
    <row r="186" spans="1:1" x14ac:dyDescent="0.2">
      <c r="A186" s="2">
        <f>SUBTOTAL(3,$B$16:B186)</f>
        <v>17</v>
      </c>
    </row>
    <row r="187" spans="1:1" x14ac:dyDescent="0.2">
      <c r="A187" s="2">
        <f>SUBTOTAL(3,$B$16:B187)</f>
        <v>17</v>
      </c>
    </row>
    <row r="188" spans="1:1" x14ac:dyDescent="0.2">
      <c r="A188" s="2">
        <f>SUBTOTAL(3,$B$16:B188)</f>
        <v>17</v>
      </c>
    </row>
    <row r="189" spans="1:1" x14ac:dyDescent="0.2">
      <c r="A189" s="2">
        <f>SUBTOTAL(3,$B$16:B189)</f>
        <v>17</v>
      </c>
    </row>
    <row r="190" spans="1:1" x14ac:dyDescent="0.2">
      <c r="A190" s="2">
        <f>SUBTOTAL(3,$B$16:B190)</f>
        <v>17</v>
      </c>
    </row>
    <row r="191" spans="1:1" x14ac:dyDescent="0.2">
      <c r="A191" s="2">
        <f>SUBTOTAL(3,$B$16:B191)</f>
        <v>17</v>
      </c>
    </row>
    <row r="192" spans="1:1" x14ac:dyDescent="0.2">
      <c r="A192" s="2">
        <f>SUBTOTAL(3,$B$16:B192)</f>
        <v>17</v>
      </c>
    </row>
    <row r="193" spans="1:1" x14ac:dyDescent="0.2">
      <c r="A193" s="2">
        <f>SUBTOTAL(3,$B$16:B193)</f>
        <v>17</v>
      </c>
    </row>
    <row r="194" spans="1:1" x14ac:dyDescent="0.2">
      <c r="A194" s="2">
        <f>SUBTOTAL(3,$B$16:B194)</f>
        <v>17</v>
      </c>
    </row>
    <row r="195" spans="1:1" x14ac:dyDescent="0.2">
      <c r="A195" s="2">
        <f>SUBTOTAL(3,$B$16:B195)</f>
        <v>17</v>
      </c>
    </row>
    <row r="196" spans="1:1" x14ac:dyDescent="0.2">
      <c r="A196" s="2">
        <f>SUBTOTAL(3,$B$16:B196)</f>
        <v>17</v>
      </c>
    </row>
    <row r="197" spans="1:1" x14ac:dyDescent="0.2">
      <c r="A197" s="2">
        <f>SUBTOTAL(3,$B$16:B197)</f>
        <v>17</v>
      </c>
    </row>
    <row r="198" spans="1:1" x14ac:dyDescent="0.2">
      <c r="A198" s="2">
        <f>SUBTOTAL(3,$B$16:B198)</f>
        <v>17</v>
      </c>
    </row>
    <row r="199" spans="1:1" x14ac:dyDescent="0.2">
      <c r="A199" s="2">
        <f>SUBTOTAL(3,$B$16:B199)</f>
        <v>17</v>
      </c>
    </row>
    <row r="200" spans="1:1" x14ac:dyDescent="0.2">
      <c r="A200" s="2">
        <f>SUBTOTAL(3,$B$16:B200)</f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AE800"/>
  <sheetViews>
    <sheetView workbookViewId="0">
      <selection activeCell="B7" sqref="B7:AE409"/>
    </sheetView>
  </sheetViews>
  <sheetFormatPr defaultRowHeight="12.75" x14ac:dyDescent="0.2"/>
  <cols>
    <col min="2" max="2" width="11.85546875" customWidth="1"/>
    <col min="3" max="3" width="18.42578125" customWidth="1"/>
    <col min="4" max="5" width="11" bestFit="1" customWidth="1"/>
    <col min="6" max="6" width="12.42578125" customWidth="1"/>
    <col min="7" max="7" width="12" customWidth="1"/>
    <col min="8" max="8" width="11" bestFit="1" customWidth="1"/>
    <col min="9" max="9" width="12" bestFit="1" customWidth="1"/>
    <col min="10" max="10" width="12" customWidth="1"/>
    <col min="11" max="11" width="11" bestFit="1" customWidth="1"/>
    <col min="12" max="12" width="12" bestFit="1" customWidth="1"/>
    <col min="13" max="13" width="12" customWidth="1"/>
    <col min="14" max="14" width="11" bestFit="1" customWidth="1"/>
    <col min="15" max="15" width="12" bestFit="1" customWidth="1"/>
    <col min="16" max="16" width="10" customWidth="1"/>
    <col min="17" max="17" width="10" bestFit="1" customWidth="1"/>
    <col min="18" max="18" width="10" customWidth="1"/>
    <col min="19" max="19" width="11" bestFit="1" customWidth="1"/>
    <col min="20" max="20" width="10.5703125" bestFit="1" customWidth="1"/>
    <col min="21" max="21" width="11" bestFit="1" customWidth="1"/>
    <col min="22" max="22" width="9" bestFit="1" customWidth="1"/>
    <col min="23" max="27" width="8.140625" bestFit="1" customWidth="1"/>
    <col min="28" max="28" width="12" customWidth="1"/>
    <col min="29" max="29" width="11" customWidth="1"/>
    <col min="30" max="30" width="12" customWidth="1"/>
    <col min="31" max="31" width="12.5703125" customWidth="1"/>
  </cols>
  <sheetData>
    <row r="4" spans="1:31" x14ac:dyDescent="0.2">
      <c r="D4">
        <f>Selections!$F$9</f>
        <v>1</v>
      </c>
      <c r="E4">
        <f>Selections!$F$10</f>
        <v>1</v>
      </c>
      <c r="F4">
        <f>Selections!$F$11</f>
        <v>1</v>
      </c>
      <c r="G4">
        <f>Selections!$F$12</f>
        <v>1</v>
      </c>
      <c r="H4">
        <f>Selections!$F$13</f>
        <v>1</v>
      </c>
      <c r="I4">
        <f>Selections!$F$14</f>
        <v>1</v>
      </c>
      <c r="J4">
        <f>Selections!$F$15</f>
        <v>0</v>
      </c>
      <c r="K4">
        <f>Selections!$F$16</f>
        <v>0</v>
      </c>
      <c r="L4">
        <f>Selections!$F$17</f>
        <v>0</v>
      </c>
      <c r="M4">
        <f>Selections!$F$18</f>
        <v>0</v>
      </c>
      <c r="N4">
        <f>Selections!$F$19</f>
        <v>0</v>
      </c>
      <c r="O4">
        <f>Selections!$F$20</f>
        <v>0</v>
      </c>
      <c r="P4">
        <f>Selections!$F$9</f>
        <v>1</v>
      </c>
      <c r="Q4">
        <f>Selections!$F$10</f>
        <v>1</v>
      </c>
      <c r="R4">
        <f>Selections!$F$11</f>
        <v>1</v>
      </c>
      <c r="S4">
        <f>Selections!$F$12</f>
        <v>1</v>
      </c>
      <c r="T4">
        <f>Selections!$F$13</f>
        <v>1</v>
      </c>
      <c r="U4">
        <f>Selections!$F$14</f>
        <v>1</v>
      </c>
      <c r="V4">
        <f>Selections!$F$15</f>
        <v>0</v>
      </c>
      <c r="W4">
        <f>Selections!$F$16</f>
        <v>0</v>
      </c>
      <c r="X4">
        <f>Selections!$F$17</f>
        <v>0</v>
      </c>
      <c r="Y4">
        <f>Selections!$F$18</f>
        <v>0</v>
      </c>
      <c r="Z4">
        <f>Selections!$F$19</f>
        <v>0</v>
      </c>
      <c r="AA4">
        <f>Selections!$F$20</f>
        <v>0</v>
      </c>
    </row>
    <row r="5" spans="1:31" x14ac:dyDescent="0.2">
      <c r="A5" s="6" t="s">
        <v>42</v>
      </c>
      <c r="B5" t="s">
        <v>43</v>
      </c>
      <c r="C5" t="s">
        <v>44</v>
      </c>
      <c r="D5" t="s">
        <v>45</v>
      </c>
      <c r="E5" t="s">
        <v>46</v>
      </c>
      <c r="F5" t="s">
        <v>47</v>
      </c>
      <c r="G5" t="s">
        <v>48</v>
      </c>
      <c r="H5" t="s">
        <v>49</v>
      </c>
      <c r="I5" t="s">
        <v>50</v>
      </c>
      <c r="J5" t="s">
        <v>51</v>
      </c>
      <c r="K5" t="s">
        <v>52</v>
      </c>
      <c r="L5" t="s">
        <v>53</v>
      </c>
      <c r="M5" t="s">
        <v>54</v>
      </c>
      <c r="N5" t="s">
        <v>55</v>
      </c>
      <c r="O5" t="s">
        <v>56</v>
      </c>
      <c r="P5" t="s">
        <v>57</v>
      </c>
      <c r="Q5" t="s">
        <v>58</v>
      </c>
      <c r="R5" t="s">
        <v>59</v>
      </c>
      <c r="S5" t="s">
        <v>60</v>
      </c>
      <c r="T5" t="s">
        <v>61</v>
      </c>
      <c r="U5" t="s">
        <v>62</v>
      </c>
      <c r="V5" t="s">
        <v>63</v>
      </c>
      <c r="W5" t="s">
        <v>64</v>
      </c>
      <c r="X5" t="s">
        <v>65</v>
      </c>
      <c r="Y5" t="s">
        <v>66</v>
      </c>
      <c r="Z5" t="s">
        <v>67</v>
      </c>
      <c r="AA5" t="s">
        <v>68</v>
      </c>
      <c r="AB5" t="s">
        <v>35</v>
      </c>
      <c r="AC5" t="s">
        <v>34</v>
      </c>
      <c r="AD5" t="s">
        <v>31</v>
      </c>
      <c r="AE5" t="s">
        <v>30</v>
      </c>
    </row>
    <row r="6" spans="1:31" hidden="1" x14ac:dyDescent="0.2">
      <c r="A6">
        <f>SUBTOTAL(3,$B$6:B6)</f>
        <v>0</v>
      </c>
      <c r="B6" t="s">
        <v>347</v>
      </c>
      <c r="C6" t="s">
        <v>856</v>
      </c>
      <c r="D6">
        <v>187521.65600000013</v>
      </c>
      <c r="E6">
        <v>140291.323</v>
      </c>
      <c r="F6">
        <v>236742.48300000012</v>
      </c>
      <c r="G6">
        <v>1820269.2339999999</v>
      </c>
      <c r="H6">
        <v>275168.23099999997</v>
      </c>
      <c r="I6">
        <v>108211.06999999999</v>
      </c>
      <c r="J6">
        <v>1529477.442</v>
      </c>
      <c r="K6">
        <v>136094.48400000005</v>
      </c>
      <c r="L6">
        <v>136094.48400000003</v>
      </c>
      <c r="M6">
        <v>1373902.7699999998</v>
      </c>
      <c r="N6">
        <v>136094.48400000003</v>
      </c>
      <c r="O6">
        <v>1489602.3219999997</v>
      </c>
      <c r="P6">
        <v>102931.48</v>
      </c>
      <c r="Q6">
        <v>57106.299999999952</v>
      </c>
      <c r="R6">
        <v>151338.06000000008</v>
      </c>
      <c r="S6">
        <v>94896.88</v>
      </c>
      <c r="T6">
        <v>162444.39999999997</v>
      </c>
      <c r="U6">
        <v>2489155.5100000002</v>
      </c>
      <c r="V6">
        <v>5924.21</v>
      </c>
      <c r="W6">
        <v>0</v>
      </c>
      <c r="X6">
        <v>0</v>
      </c>
      <c r="Y6">
        <v>0</v>
      </c>
      <c r="Z6">
        <v>0</v>
      </c>
      <c r="AA6">
        <v>0</v>
      </c>
      <c r="AB6" s="34">
        <f>SUMPRODUCT(DB_HighSOF[[#This Row],[Plan01]:[Plan12]],$D$4:$O$4)/valUnits2</f>
        <v>2768.2039970000005</v>
      </c>
      <c r="AC6" s="34">
        <f>SUMPRODUCT(DB_HighSOF[[#This Row],[Act01]:[Act12]],$P$4:$AA$4)/valUnits2</f>
        <v>3057.8726300000003</v>
      </c>
      <c r="AD6" s="34">
        <f>DB_HighSOF[[#This Row],[Actual]]-DB_HighSOF[[#This Row],[Plan]]</f>
        <v>289.66863299999977</v>
      </c>
      <c r="AE6" s="34">
        <f>IF(DB_HighSOF[[#This Row],[Plan]]&lt;&gt;0,DB_HighSOF[[#This Row],[Actual]]/DB_HighSOF[[#This Row],[Plan]],1.000011000011)</f>
        <v>1.10464136072122</v>
      </c>
    </row>
    <row r="7" spans="1:31" x14ac:dyDescent="0.2">
      <c r="A7">
        <f>SUBTOTAL(3,$B$6:B7)</f>
        <v>1</v>
      </c>
      <c r="B7" t="s">
        <v>1</v>
      </c>
      <c r="C7" t="s">
        <v>917</v>
      </c>
      <c r="D7">
        <v>12775.856000000002</v>
      </c>
      <c r="E7">
        <v>41059.166000000005</v>
      </c>
      <c r="F7">
        <v>2449.77</v>
      </c>
      <c r="G7">
        <v>5211.3519999999999</v>
      </c>
      <c r="H7">
        <v>3092.8900000000003</v>
      </c>
      <c r="I7">
        <v>55231.491999999998</v>
      </c>
      <c r="J7">
        <v>37633.320999999996</v>
      </c>
      <c r="K7">
        <v>37633.320999999996</v>
      </c>
      <c r="L7">
        <v>37633.320999999996</v>
      </c>
      <c r="M7">
        <v>37633.320999999996</v>
      </c>
      <c r="N7">
        <v>37633.320999999996</v>
      </c>
      <c r="O7">
        <v>37633.320999999996</v>
      </c>
      <c r="P7">
        <v>12770.910000000002</v>
      </c>
      <c r="Q7">
        <v>40196.380000000005</v>
      </c>
      <c r="R7">
        <v>2433.71</v>
      </c>
      <c r="S7">
        <v>5209.8999999999996</v>
      </c>
      <c r="T7">
        <v>3107.66</v>
      </c>
      <c r="U7">
        <v>556046.84999999974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s="34">
        <f>SUMPRODUCT(DB_HighSOF[[#This Row],[Plan01]:[Plan12]],$D$4:$O$4)/valUnits2</f>
        <v>119.820526</v>
      </c>
      <c r="AC7" s="34">
        <f>SUMPRODUCT(DB_HighSOF[[#This Row],[Act01]:[Act12]],$P$4:$AA$4)/valUnits2</f>
        <v>619.76540999999975</v>
      </c>
      <c r="AD7" s="34">
        <f>DB_HighSOF[[#This Row],[Actual]]-DB_HighSOF[[#This Row],[Plan]]</f>
        <v>499.94488399999977</v>
      </c>
      <c r="AE7" s="34">
        <f>IF(DB_HighSOF[[#This Row],[Plan]]&lt;&gt;0,DB_HighSOF[[#This Row],[Actual]]/DB_HighSOF[[#This Row],[Plan]],1.000011000011)</f>
        <v>5.1724477490609555</v>
      </c>
    </row>
    <row r="8" spans="1:31" x14ac:dyDescent="0.2">
      <c r="A8">
        <f>SUBTOTAL(3,$B$6:B8)</f>
        <v>2</v>
      </c>
      <c r="B8" t="s">
        <v>1</v>
      </c>
      <c r="C8" t="s">
        <v>935</v>
      </c>
      <c r="D8">
        <v>207818.73099999985</v>
      </c>
      <c r="E8">
        <v>474166.32099999994</v>
      </c>
      <c r="F8">
        <v>265884.18300000008</v>
      </c>
      <c r="G8">
        <v>401760.49099999986</v>
      </c>
      <c r="H8">
        <v>216971.44200000021</v>
      </c>
      <c r="I8">
        <v>277370.97800000018</v>
      </c>
      <c r="J8">
        <v>277370.97800000018</v>
      </c>
      <c r="K8">
        <v>224493.5089999999</v>
      </c>
      <c r="L8">
        <v>224493.50899999999</v>
      </c>
      <c r="M8">
        <v>224493.50900000002</v>
      </c>
      <c r="N8">
        <v>224493.50900000002</v>
      </c>
      <c r="O8">
        <v>237646.59700000001</v>
      </c>
      <c r="P8">
        <v>210848.3</v>
      </c>
      <c r="Q8">
        <v>491263.2900000001</v>
      </c>
      <c r="R8">
        <v>265327.85999999993</v>
      </c>
      <c r="S8">
        <v>396752.99000000022</v>
      </c>
      <c r="T8">
        <v>216749.48000000013</v>
      </c>
      <c r="U8">
        <v>421679.16999999981</v>
      </c>
      <c r="V8">
        <v>3717</v>
      </c>
      <c r="W8">
        <v>0</v>
      </c>
      <c r="X8">
        <v>0</v>
      </c>
      <c r="Y8">
        <v>0</v>
      </c>
      <c r="Z8">
        <v>0</v>
      </c>
      <c r="AA8">
        <v>0</v>
      </c>
      <c r="AB8">
        <f>SUMPRODUCT(DB_HighSOF[[#This Row],[Plan01]:[Plan12]],$D$4:$O$4)/valUnits2</f>
        <v>1843.9721460000003</v>
      </c>
      <c r="AC8">
        <f>SUMPRODUCT(DB_HighSOF[[#This Row],[Act01]:[Act12]],$P$4:$AA$4)/valUnits2</f>
        <v>2002.6210900000003</v>
      </c>
      <c r="AD8">
        <f>DB_HighSOF[[#This Row],[Actual]]-DB_HighSOF[[#This Row],[Plan]]</f>
        <v>158.64894400000003</v>
      </c>
      <c r="AE8">
        <f>IF(DB_HighSOF[[#This Row],[Plan]]&lt;&gt;0,DB_HighSOF[[#This Row],[Actual]]/DB_HighSOF[[#This Row],[Plan]],1.000011000011)</f>
        <v>1.0860365186882817</v>
      </c>
    </row>
    <row r="9" spans="1:31" hidden="1" x14ac:dyDescent="0.2">
      <c r="A9">
        <f>SUBTOTAL(3,$B$6:B9)</f>
        <v>2</v>
      </c>
      <c r="B9" t="s">
        <v>349</v>
      </c>
      <c r="C9" t="s">
        <v>917</v>
      </c>
      <c r="D9">
        <v>563.91</v>
      </c>
      <c r="E9">
        <v>572.15499999999997</v>
      </c>
      <c r="F9">
        <v>760.29500000000007</v>
      </c>
      <c r="G9">
        <v>640.08000000000004</v>
      </c>
      <c r="H9">
        <v>577.91100000000006</v>
      </c>
      <c r="I9">
        <v>44093.161</v>
      </c>
      <c r="J9">
        <v>31785.089</v>
      </c>
      <c r="K9">
        <v>31785.089</v>
      </c>
      <c r="L9">
        <v>31785.089</v>
      </c>
      <c r="M9">
        <v>31785.089</v>
      </c>
      <c r="N9">
        <v>31785.089</v>
      </c>
      <c r="O9">
        <v>31785.089</v>
      </c>
      <c r="P9">
        <v>563.91</v>
      </c>
      <c r="Q9">
        <v>572.16</v>
      </c>
      <c r="R9">
        <v>755.20999999999992</v>
      </c>
      <c r="S9">
        <v>643.59999999999991</v>
      </c>
      <c r="T9">
        <v>580.65</v>
      </c>
      <c r="U9">
        <v>534812.2899999998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s="34">
        <f>SUMPRODUCT(DB_HighSOF[[#This Row],[Plan01]:[Plan12]],$D$4:$O$4)/valUnits2</f>
        <v>47.207512000000001</v>
      </c>
      <c r="AC9" s="34">
        <f>SUMPRODUCT(DB_HighSOF[[#This Row],[Act01]:[Act12]],$P$4:$AA$4)/valUnits2</f>
        <v>537.92781999999988</v>
      </c>
      <c r="AD9" s="34">
        <f>DB_HighSOF[[#This Row],[Actual]]-DB_HighSOF[[#This Row],[Plan]]</f>
        <v>490.72030799999987</v>
      </c>
      <c r="AE9" s="34">
        <f>IF(DB_HighSOF[[#This Row],[Plan]]&lt;&gt;0,DB_HighSOF[[#This Row],[Actual]]/DB_HighSOF[[#This Row],[Plan]],1.000011000011)</f>
        <v>11.394962310235707</v>
      </c>
    </row>
    <row r="10" spans="1:31" x14ac:dyDescent="0.2">
      <c r="A10">
        <f>SUBTOTAL(3,$B$6:B10)</f>
        <v>3</v>
      </c>
      <c r="B10" t="s">
        <v>1</v>
      </c>
      <c r="C10" t="s">
        <v>858</v>
      </c>
      <c r="D10">
        <v>133960.85999999999</v>
      </c>
      <c r="E10">
        <v>103760.67</v>
      </c>
      <c r="F10">
        <v>53003.299999999996</v>
      </c>
      <c r="G10">
        <v>188883.16</v>
      </c>
      <c r="H10">
        <v>144051.30000000002</v>
      </c>
      <c r="I10">
        <v>218096.842</v>
      </c>
      <c r="J10">
        <v>308363.50599999999</v>
      </c>
      <c r="K10">
        <v>270186.99700000003</v>
      </c>
      <c r="L10">
        <v>246082.67200000002</v>
      </c>
      <c r="M10">
        <v>346147.84500000003</v>
      </c>
      <c r="N10">
        <v>205149.34200000003</v>
      </c>
      <c r="O10">
        <v>282018.00199999998</v>
      </c>
      <c r="P10">
        <v>133960.85999999999</v>
      </c>
      <c r="Q10">
        <v>103927.93999999999</v>
      </c>
      <c r="R10">
        <v>53124.159999999982</v>
      </c>
      <c r="S10">
        <v>189485.6100000001</v>
      </c>
      <c r="T10">
        <v>145498.30000000002</v>
      </c>
      <c r="U10">
        <v>325659.3</v>
      </c>
      <c r="V10">
        <v>16391</v>
      </c>
      <c r="W10">
        <v>0</v>
      </c>
      <c r="X10">
        <v>0</v>
      </c>
      <c r="Y10">
        <v>0</v>
      </c>
      <c r="Z10">
        <v>0</v>
      </c>
      <c r="AA10">
        <v>0</v>
      </c>
      <c r="AB10">
        <f>SUMPRODUCT(DB_HighSOF[[#This Row],[Plan01]:[Plan12]],$D$4:$O$4)/valUnits2</f>
        <v>841.75613199999998</v>
      </c>
      <c r="AC10">
        <f>SUMPRODUCT(DB_HighSOF[[#This Row],[Act01]:[Act12]],$P$4:$AA$4)/valUnits2</f>
        <v>951.6561700000002</v>
      </c>
      <c r="AD10">
        <f>DB_HighSOF[[#This Row],[Actual]]-DB_HighSOF[[#This Row],[Plan]]</f>
        <v>109.90003800000022</v>
      </c>
      <c r="AE10">
        <f>IF(DB_HighSOF[[#This Row],[Plan]]&lt;&gt;0,DB_HighSOF[[#This Row],[Actual]]/DB_HighSOF[[#This Row],[Plan]],1.000011000011)</f>
        <v>1.1305604245957548</v>
      </c>
    </row>
    <row r="11" spans="1:31" hidden="1" x14ac:dyDescent="0.2">
      <c r="A11">
        <f>SUBTOTAL(3,$B$6:B11)</f>
        <v>3</v>
      </c>
      <c r="B11" t="s">
        <v>348</v>
      </c>
      <c r="C11" t="s">
        <v>935</v>
      </c>
      <c r="D11">
        <v>206122.92199999985</v>
      </c>
      <c r="E11">
        <v>466811.75699999993</v>
      </c>
      <c r="F11">
        <v>258729.29500000007</v>
      </c>
      <c r="G11">
        <v>379156.32899999985</v>
      </c>
      <c r="H11">
        <v>204923.70900000021</v>
      </c>
      <c r="I11">
        <v>268840.46800000017</v>
      </c>
      <c r="J11">
        <v>268840.46800000017</v>
      </c>
      <c r="K11">
        <v>215962.99899999992</v>
      </c>
      <c r="L11">
        <v>215962.99900000001</v>
      </c>
      <c r="M11">
        <v>215962.99900000004</v>
      </c>
      <c r="N11">
        <v>215962.99900000004</v>
      </c>
      <c r="O11">
        <v>228875.01800000001</v>
      </c>
      <c r="P11">
        <v>209143.62</v>
      </c>
      <c r="Q11">
        <v>483719.53000000009</v>
      </c>
      <c r="R11">
        <v>258212.7399999999</v>
      </c>
      <c r="S11">
        <v>374190.04000000021</v>
      </c>
      <c r="T11">
        <v>204641.57000000012</v>
      </c>
      <c r="U11">
        <v>411393.24999999983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f>SUMPRODUCT(DB_HighSOF[[#This Row],[Plan01]:[Plan12]],$D$4:$O$4)/valUnits2</f>
        <v>1784.58448</v>
      </c>
      <c r="AC11">
        <f>SUMPRODUCT(DB_HighSOF[[#This Row],[Act01]:[Act12]],$P$4:$AA$4)/valUnits2</f>
        <v>1941.3007500000001</v>
      </c>
      <c r="AD11">
        <f>DB_HighSOF[[#This Row],[Actual]]-DB_HighSOF[[#This Row],[Plan]]</f>
        <v>156.71627000000012</v>
      </c>
      <c r="AE11">
        <f>IF(DB_HighSOF[[#This Row],[Plan]]&lt;&gt;0,DB_HighSOF[[#This Row],[Actual]]/DB_HighSOF[[#This Row],[Plan]],1.000011000011)</f>
        <v>1.0878166720356104</v>
      </c>
    </row>
    <row r="12" spans="1:31" hidden="1" x14ac:dyDescent="0.2">
      <c r="A12">
        <f>SUBTOTAL(3,$B$6:B12)</f>
        <v>3</v>
      </c>
      <c r="B12" t="s">
        <v>349</v>
      </c>
      <c r="C12" t="s">
        <v>909</v>
      </c>
      <c r="D12">
        <v>15917.770000000002</v>
      </c>
      <c r="E12">
        <v>265642.05000000005</v>
      </c>
      <c r="F12">
        <v>18729.619999999988</v>
      </c>
      <c r="G12">
        <v>246894.31</v>
      </c>
      <c r="H12">
        <v>145953.11000000002</v>
      </c>
      <c r="I12">
        <v>62522.002</v>
      </c>
      <c r="J12">
        <v>68147.002000000008</v>
      </c>
      <c r="K12">
        <v>62522.002</v>
      </c>
      <c r="L12">
        <v>62522.002</v>
      </c>
      <c r="M12">
        <v>68147.002000000008</v>
      </c>
      <c r="N12">
        <v>62522.002</v>
      </c>
      <c r="O12">
        <v>62522.002</v>
      </c>
      <c r="P12">
        <v>15917.770000000002</v>
      </c>
      <c r="Q12">
        <v>265642.0500000001</v>
      </c>
      <c r="R12">
        <v>18729.620000000003</v>
      </c>
      <c r="S12">
        <v>246894.31</v>
      </c>
      <c r="T12">
        <v>146005.81999999995</v>
      </c>
      <c r="U12">
        <v>173156.93999999994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f>SUMPRODUCT(DB_HighSOF[[#This Row],[Plan01]:[Plan12]],$D$4:$O$4)/valUnits2</f>
        <v>755.658862</v>
      </c>
      <c r="AC12">
        <f>SUMPRODUCT(DB_HighSOF[[#This Row],[Act01]:[Act12]],$P$4:$AA$4)/valUnits2</f>
        <v>866.34650999999997</v>
      </c>
      <c r="AD12">
        <f>DB_HighSOF[[#This Row],[Actual]]-DB_HighSOF[[#This Row],[Plan]]</f>
        <v>110.68764799999997</v>
      </c>
      <c r="AE12">
        <f>IF(DB_HighSOF[[#This Row],[Plan]]&lt;&gt;0,DB_HighSOF[[#This Row],[Actual]]/DB_HighSOF[[#This Row],[Plan]],1.000011000011)</f>
        <v>1.1464783297942716</v>
      </c>
    </row>
    <row r="13" spans="1:31" x14ac:dyDescent="0.2">
      <c r="A13">
        <f>SUBTOTAL(3,$B$6:B13)</f>
        <v>4</v>
      </c>
      <c r="B13" t="s">
        <v>1</v>
      </c>
      <c r="C13" t="s">
        <v>856</v>
      </c>
      <c r="D13">
        <v>240888.10100000014</v>
      </c>
      <c r="E13">
        <v>197930.742</v>
      </c>
      <c r="F13">
        <v>298393.69300000009</v>
      </c>
      <c r="G13">
        <v>1932706.76</v>
      </c>
      <c r="H13">
        <v>343966.89199999999</v>
      </c>
      <c r="I13">
        <v>146708.76799999998</v>
      </c>
      <c r="J13">
        <v>1567975.1400000001</v>
      </c>
      <c r="K13">
        <v>174592.18200000006</v>
      </c>
      <c r="L13">
        <v>174592.18200000003</v>
      </c>
      <c r="M13">
        <v>1412400.4679999999</v>
      </c>
      <c r="N13">
        <v>174592.18200000003</v>
      </c>
      <c r="O13">
        <v>1528099.9599999997</v>
      </c>
      <c r="P13">
        <v>117107.87999999999</v>
      </c>
      <c r="Q13">
        <v>75538.51999999996</v>
      </c>
      <c r="R13">
        <v>173635.18000000011</v>
      </c>
      <c r="S13">
        <v>166174.55000000002</v>
      </c>
      <c r="T13">
        <v>191941.11999999997</v>
      </c>
      <c r="U13">
        <v>2515275.3400000003</v>
      </c>
      <c r="V13">
        <v>9022.2099999999991</v>
      </c>
      <c r="W13">
        <v>0</v>
      </c>
      <c r="X13">
        <v>0</v>
      </c>
      <c r="Y13">
        <v>0</v>
      </c>
      <c r="Z13">
        <v>0</v>
      </c>
      <c r="AA13">
        <v>0</v>
      </c>
      <c r="AB13">
        <f>SUMPRODUCT(DB_HighSOF[[#This Row],[Plan01]:[Plan12]],$D$4:$O$4)/valUnits2</f>
        <v>3160.5949560000004</v>
      </c>
      <c r="AC13">
        <f>SUMPRODUCT(DB_HighSOF[[#This Row],[Act01]:[Act12]],$P$4:$AA$4)/valUnits2</f>
        <v>3239.6725900000001</v>
      </c>
      <c r="AD13">
        <f>DB_HighSOF[[#This Row],[Actual]]-DB_HighSOF[[#This Row],[Plan]]</f>
        <v>79.077633999999762</v>
      </c>
      <c r="AE13">
        <f>IF(DB_HighSOF[[#This Row],[Plan]]&lt;&gt;0,DB_HighSOF[[#This Row],[Actual]]/DB_HighSOF[[#This Row],[Plan]],1.000011000011)</f>
        <v>1.0250198570525086</v>
      </c>
    </row>
    <row r="14" spans="1:31" hidden="1" x14ac:dyDescent="0.2">
      <c r="A14">
        <f>SUBTOTAL(3,$B$6:B14)</f>
        <v>4</v>
      </c>
      <c r="B14" t="s">
        <v>342</v>
      </c>
      <c r="C14" t="s">
        <v>858</v>
      </c>
      <c r="D14">
        <v>35391.089999999989</v>
      </c>
      <c r="E14">
        <v>45934.560000000005</v>
      </c>
      <c r="F14">
        <v>73780.570000000007</v>
      </c>
      <c r="G14">
        <v>111615.25000000001</v>
      </c>
      <c r="H14">
        <v>82321.809999999983</v>
      </c>
      <c r="I14">
        <v>141134.777</v>
      </c>
      <c r="J14">
        <v>214734.77499999997</v>
      </c>
      <c r="K14">
        <v>183398.69000000003</v>
      </c>
      <c r="L14">
        <v>167120.60700000002</v>
      </c>
      <c r="M14">
        <v>229780.32199999999</v>
      </c>
      <c r="N14">
        <v>128187.27700000002</v>
      </c>
      <c r="O14">
        <v>171722.60699999999</v>
      </c>
      <c r="P14">
        <v>35391.089999999989</v>
      </c>
      <c r="Q14">
        <v>45963.169999999984</v>
      </c>
      <c r="R14">
        <v>73974.179999999993</v>
      </c>
      <c r="S14">
        <v>111984.6700000001</v>
      </c>
      <c r="T14">
        <v>83694.689999999973</v>
      </c>
      <c r="U14">
        <v>215752.09999999998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f>SUMPRODUCT(DB_HighSOF[[#This Row],[Plan01]:[Plan12]],$D$4:$O$4)/valUnits2</f>
        <v>490.17805700000002</v>
      </c>
      <c r="AC14">
        <f>SUMPRODUCT(DB_HighSOF[[#This Row],[Act01]:[Act12]],$P$4:$AA$4)/valUnits2</f>
        <v>566.75990000000002</v>
      </c>
      <c r="AD14">
        <f>DB_HighSOF[[#This Row],[Actual]]-DB_HighSOF[[#This Row],[Plan]]</f>
        <v>76.581842999999992</v>
      </c>
      <c r="AE14">
        <f>IF(DB_HighSOF[[#This Row],[Plan]]&lt;&gt;0,DB_HighSOF[[#This Row],[Actual]]/DB_HighSOF[[#This Row],[Plan]],1.000011000011)</f>
        <v>1.1562327034153632</v>
      </c>
    </row>
    <row r="15" spans="1:31" hidden="1" x14ac:dyDescent="0.2">
      <c r="A15">
        <f>SUBTOTAL(3,$B$6:B15)</f>
        <v>4</v>
      </c>
      <c r="B15" t="s">
        <v>349</v>
      </c>
      <c r="C15" t="s">
        <v>843</v>
      </c>
      <c r="G15">
        <v>460.18400000000003</v>
      </c>
      <c r="H15">
        <v>418.95699999999999</v>
      </c>
      <c r="I15">
        <v>24559.218000000001</v>
      </c>
      <c r="J15">
        <v>24559.218000000001</v>
      </c>
      <c r="K15">
        <v>24559.217999999997</v>
      </c>
      <c r="L15">
        <v>24559.217999999997</v>
      </c>
      <c r="M15">
        <v>24559.217999999997</v>
      </c>
      <c r="N15">
        <v>24559.217999999997</v>
      </c>
      <c r="O15">
        <v>24559.217999999993</v>
      </c>
      <c r="S15">
        <v>445.75</v>
      </c>
      <c r="T15">
        <v>413.97999999999996</v>
      </c>
      <c r="U15">
        <v>88187.769999999975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f>SUMPRODUCT(DB_HighSOF[[#This Row],[Plan01]:[Plan12]],$D$4:$O$4)/valUnits2</f>
        <v>25.438359000000002</v>
      </c>
      <c r="AC15">
        <f>SUMPRODUCT(DB_HighSOF[[#This Row],[Act01]:[Act12]],$P$4:$AA$4)/valUnits2</f>
        <v>89.047499999999971</v>
      </c>
      <c r="AD15">
        <f>DB_HighSOF[[#This Row],[Actual]]-DB_HighSOF[[#This Row],[Plan]]</f>
        <v>63.609140999999966</v>
      </c>
      <c r="AE15">
        <f>IF(DB_HighSOF[[#This Row],[Plan]]&lt;&gt;0,DB_HighSOF[[#This Row],[Actual]]/DB_HighSOF[[#This Row],[Plan]],1.000011000011)</f>
        <v>3.500520611412079</v>
      </c>
    </row>
    <row r="16" spans="1:31" hidden="1" x14ac:dyDescent="0.2">
      <c r="A16">
        <f>SUBTOTAL(3,$B$6:B16)</f>
        <v>4</v>
      </c>
      <c r="B16" t="s">
        <v>343</v>
      </c>
      <c r="C16" t="s">
        <v>357</v>
      </c>
      <c r="D16">
        <v>866.66</v>
      </c>
      <c r="E16">
        <v>949.67999999999938</v>
      </c>
      <c r="F16">
        <v>39692.370000000003</v>
      </c>
      <c r="G16">
        <v>925.32</v>
      </c>
      <c r="H16">
        <v>5159.9799999999996</v>
      </c>
      <c r="I16">
        <v>5297.402</v>
      </c>
      <c r="J16">
        <v>0</v>
      </c>
      <c r="P16">
        <v>866.66</v>
      </c>
      <c r="Q16">
        <v>949.67999999999938</v>
      </c>
      <c r="R16">
        <v>39692.370000000003</v>
      </c>
      <c r="S16">
        <v>925.32</v>
      </c>
      <c r="T16">
        <v>5159.9799999999996</v>
      </c>
      <c r="U16">
        <v>63372.459999999992</v>
      </c>
      <c r="V16">
        <v>-3.19</v>
      </c>
      <c r="AB16">
        <f>SUMPRODUCT(DB_HighSOF[[#This Row],[Plan01]:[Plan12]],$D$4:$O$4)/valUnits2</f>
        <v>52.891411999999995</v>
      </c>
      <c r="AC16">
        <f>SUMPRODUCT(DB_HighSOF[[#This Row],[Act01]:[Act12]],$P$4:$AA$4)/valUnits2</f>
        <v>110.96646999999999</v>
      </c>
      <c r="AD16">
        <f>DB_HighSOF[[#This Row],[Actual]]-DB_HighSOF[[#This Row],[Plan]]</f>
        <v>58.075057999999991</v>
      </c>
      <c r="AE16">
        <f>IF(DB_HighSOF[[#This Row],[Plan]]&lt;&gt;0,DB_HighSOF[[#This Row],[Actual]]/DB_HighSOF[[#This Row],[Plan]],1.000011000011)</f>
        <v>2.0980054380094826</v>
      </c>
    </row>
    <row r="17" spans="1:31" x14ac:dyDescent="0.2">
      <c r="A17">
        <f>SUBTOTAL(3,$B$6:B17)</f>
        <v>5</v>
      </c>
      <c r="B17" t="s">
        <v>1</v>
      </c>
      <c r="C17" t="s">
        <v>357</v>
      </c>
      <c r="D17">
        <v>866.66</v>
      </c>
      <c r="E17">
        <v>992.55999999999938</v>
      </c>
      <c r="F17">
        <v>39738.18</v>
      </c>
      <c r="G17">
        <v>1065.95</v>
      </c>
      <c r="H17">
        <v>5339.3099999999995</v>
      </c>
      <c r="I17">
        <v>5758.9740000000002</v>
      </c>
      <c r="J17">
        <v>0</v>
      </c>
      <c r="P17">
        <v>866.66</v>
      </c>
      <c r="Q17">
        <v>992.55999999999938</v>
      </c>
      <c r="R17">
        <v>39738.18</v>
      </c>
      <c r="S17">
        <v>1065.95</v>
      </c>
      <c r="T17">
        <v>5339.73</v>
      </c>
      <c r="U17">
        <v>63525.049999999988</v>
      </c>
      <c r="V17">
        <v>-3.19</v>
      </c>
      <c r="AB17">
        <f>SUMPRODUCT(DB_HighSOF[[#This Row],[Plan01]:[Plan12]],$D$4:$O$4)/valUnits2</f>
        <v>53.761634000000001</v>
      </c>
      <c r="AC17">
        <f>SUMPRODUCT(DB_HighSOF[[#This Row],[Act01]:[Act12]],$P$4:$AA$4)/valUnits2</f>
        <v>111.52812999999999</v>
      </c>
      <c r="AD17">
        <f>DB_HighSOF[[#This Row],[Actual]]-DB_HighSOF[[#This Row],[Plan]]</f>
        <v>57.766495999999989</v>
      </c>
      <c r="AE17">
        <f>IF(DB_HighSOF[[#This Row],[Plan]]&lt;&gt;0,DB_HighSOF[[#This Row],[Actual]]/DB_HighSOF[[#This Row],[Plan]],1.000011000011)</f>
        <v>2.0744929367288201</v>
      </c>
    </row>
    <row r="18" spans="1:31" hidden="1" x14ac:dyDescent="0.2">
      <c r="A18">
        <f>SUBTOTAL(3,$B$6:B18)</f>
        <v>5</v>
      </c>
      <c r="B18" t="s">
        <v>346</v>
      </c>
      <c r="C18" t="s">
        <v>362</v>
      </c>
      <c r="D18">
        <v>0</v>
      </c>
      <c r="G18">
        <v>773.56600000000003</v>
      </c>
      <c r="H18">
        <v>11320.175999999999</v>
      </c>
      <c r="I18">
        <v>9854.0660000000025</v>
      </c>
      <c r="P18">
        <v>0</v>
      </c>
      <c r="S18">
        <v>762.01</v>
      </c>
      <c r="T18">
        <v>11343.030000000002</v>
      </c>
      <c r="U18">
        <v>62096.54</v>
      </c>
      <c r="AB18">
        <f>SUMPRODUCT(DB_HighSOF[[#This Row],[Plan01]:[Plan12]],$D$4:$O$4)/valUnits2</f>
        <v>21.947808000000006</v>
      </c>
      <c r="AC18">
        <f>SUMPRODUCT(DB_HighSOF[[#This Row],[Act01]:[Act12]],$P$4:$AA$4)/valUnits2</f>
        <v>74.201580000000007</v>
      </c>
      <c r="AD18">
        <f>DB_HighSOF[[#This Row],[Actual]]-DB_HighSOF[[#This Row],[Plan]]</f>
        <v>52.253771999999998</v>
      </c>
      <c r="AE18">
        <f>IF(DB_HighSOF[[#This Row],[Plan]]&lt;&gt;0,DB_HighSOF[[#This Row],[Actual]]/DB_HighSOF[[#This Row],[Plan]],1.000011000011)</f>
        <v>3.3808196244472337</v>
      </c>
    </row>
    <row r="19" spans="1:31" x14ac:dyDescent="0.2">
      <c r="A19">
        <f>SUBTOTAL(3,$B$6:B19)</f>
        <v>6</v>
      </c>
      <c r="B19" t="s">
        <v>1</v>
      </c>
      <c r="C19" t="s">
        <v>362</v>
      </c>
      <c r="D19">
        <v>0</v>
      </c>
      <c r="G19">
        <v>1637.6579999999999</v>
      </c>
      <c r="H19">
        <v>11710.977999999999</v>
      </c>
      <c r="I19">
        <v>10185.135000000002</v>
      </c>
      <c r="P19">
        <v>0</v>
      </c>
      <c r="S19">
        <v>1626.88</v>
      </c>
      <c r="T19">
        <v>11736.820000000003</v>
      </c>
      <c r="U19">
        <v>62393.31</v>
      </c>
      <c r="AB19">
        <f>SUMPRODUCT(DB_HighSOF[[#This Row],[Plan01]:[Plan12]],$D$4:$O$4)/valUnits2</f>
        <v>23.533771000000002</v>
      </c>
      <c r="AC19">
        <f>SUMPRODUCT(DB_HighSOF[[#This Row],[Act01]:[Act12]],$P$4:$AA$4)/valUnits2</f>
        <v>75.757010000000008</v>
      </c>
      <c r="AD19">
        <f>DB_HighSOF[[#This Row],[Actual]]-DB_HighSOF[[#This Row],[Plan]]</f>
        <v>52.223239000000007</v>
      </c>
      <c r="AE19">
        <f>IF(DB_HighSOF[[#This Row],[Plan]]&lt;&gt;0,DB_HighSOF[[#This Row],[Actual]]/DB_HighSOF[[#This Row],[Plan]],1.000011000011)</f>
        <v>3.2190765347381007</v>
      </c>
    </row>
    <row r="20" spans="1:31" hidden="1" x14ac:dyDescent="0.2">
      <c r="A20">
        <f>SUBTOTAL(3,$B$6:B20)</f>
        <v>6</v>
      </c>
      <c r="B20" t="s">
        <v>346</v>
      </c>
      <c r="C20" t="s">
        <v>358</v>
      </c>
      <c r="D20">
        <v>1612.9280000000001</v>
      </c>
      <c r="E20">
        <v>2464.7570000000001</v>
      </c>
      <c r="F20">
        <v>2427.3879999999999</v>
      </c>
      <c r="G20">
        <v>37145.898000000001</v>
      </c>
      <c r="H20">
        <v>7729.2829999999976</v>
      </c>
      <c r="I20">
        <v>28963.57</v>
      </c>
      <c r="J20">
        <v>31603.297000000002</v>
      </c>
      <c r="K20">
        <v>33861.678</v>
      </c>
      <c r="L20">
        <v>37505.089</v>
      </c>
      <c r="M20">
        <v>37362.668999999994</v>
      </c>
      <c r="N20">
        <v>37564.241999999998</v>
      </c>
      <c r="P20">
        <v>1645.5099999999998</v>
      </c>
      <c r="Q20">
        <v>2491.69</v>
      </c>
      <c r="R20">
        <v>2454.5100000000002</v>
      </c>
      <c r="S20">
        <v>36971.22</v>
      </c>
      <c r="T20">
        <v>7857.8000000000011</v>
      </c>
      <c r="U20">
        <v>78227.62999999999</v>
      </c>
      <c r="V20">
        <v>0</v>
      </c>
      <c r="W20">
        <v>0</v>
      </c>
      <c r="X20">
        <v>0</v>
      </c>
      <c r="Y20">
        <v>0</v>
      </c>
      <c r="Z20">
        <v>0</v>
      </c>
      <c r="AB20">
        <f>SUMPRODUCT(DB_HighSOF[[#This Row],[Plan01]:[Plan12]],$D$4:$O$4)/valUnits2</f>
        <v>80.343823999999998</v>
      </c>
      <c r="AC20">
        <f>SUMPRODUCT(DB_HighSOF[[#This Row],[Act01]:[Act12]],$P$4:$AA$4)/valUnits2</f>
        <v>129.64836</v>
      </c>
      <c r="AD20">
        <f>DB_HighSOF[[#This Row],[Actual]]-DB_HighSOF[[#This Row],[Plan]]</f>
        <v>49.304535999999999</v>
      </c>
      <c r="AE20">
        <f>IF(DB_HighSOF[[#This Row],[Plan]]&lt;&gt;0,DB_HighSOF[[#This Row],[Actual]]/DB_HighSOF[[#This Row],[Plan]],1.000011000011)</f>
        <v>1.6136692722019306</v>
      </c>
    </row>
    <row r="21" spans="1:31" x14ac:dyDescent="0.2">
      <c r="A21">
        <f>SUBTOTAL(3,$B$6:B21)</f>
        <v>7</v>
      </c>
      <c r="B21" t="s">
        <v>1</v>
      </c>
      <c r="C21" t="s">
        <v>867</v>
      </c>
      <c r="H21">
        <v>103.25999999999999</v>
      </c>
      <c r="I21">
        <v>0</v>
      </c>
      <c r="T21">
        <v>103.25999999999999</v>
      </c>
      <c r="U21">
        <v>46032.149999999994</v>
      </c>
      <c r="AB21">
        <f>SUMPRODUCT(DB_HighSOF[[#This Row],[Plan01]:[Plan12]],$D$4:$O$4)/valUnits2</f>
        <v>0.10325999999999999</v>
      </c>
      <c r="AC21">
        <f>SUMPRODUCT(DB_HighSOF[[#This Row],[Act01]:[Act12]],$P$4:$AA$4)/valUnits2</f>
        <v>46.135409999999993</v>
      </c>
      <c r="AD21">
        <f>DB_HighSOF[[#This Row],[Actual]]-DB_HighSOF[[#This Row],[Plan]]</f>
        <v>46.032149999999994</v>
      </c>
      <c r="AE21">
        <f>IF(DB_HighSOF[[#This Row],[Plan]]&lt;&gt;0,DB_HighSOF[[#This Row],[Actual]]/DB_HighSOF[[#This Row],[Plan]],1.000011000011)</f>
        <v>446.78878558977334</v>
      </c>
    </row>
    <row r="22" spans="1:31" x14ac:dyDescent="0.2">
      <c r="A22">
        <f>SUBTOTAL(3,$B$6:B22)</f>
        <v>8</v>
      </c>
      <c r="B22" t="s">
        <v>1</v>
      </c>
      <c r="C22" t="s">
        <v>358</v>
      </c>
      <c r="D22">
        <v>1612.9280000000001</v>
      </c>
      <c r="E22">
        <v>2464.7570000000001</v>
      </c>
      <c r="F22">
        <v>2427.3879999999999</v>
      </c>
      <c r="G22">
        <v>38088.933000000005</v>
      </c>
      <c r="H22">
        <v>8545.7479999999978</v>
      </c>
      <c r="I22">
        <v>34004.396000000001</v>
      </c>
      <c r="J22">
        <v>36644.123</v>
      </c>
      <c r="K22">
        <v>38902.504000000001</v>
      </c>
      <c r="L22">
        <v>42545.915000000001</v>
      </c>
      <c r="M22">
        <v>42403.494999999995</v>
      </c>
      <c r="N22">
        <v>42605.067999999999</v>
      </c>
      <c r="P22">
        <v>1645.5099999999998</v>
      </c>
      <c r="Q22">
        <v>2491.69</v>
      </c>
      <c r="R22">
        <v>2454.5100000000002</v>
      </c>
      <c r="S22">
        <v>37925.56</v>
      </c>
      <c r="T22">
        <v>8681.8700000000008</v>
      </c>
      <c r="U22">
        <v>78905.819999999992</v>
      </c>
      <c r="V22">
        <v>0</v>
      </c>
      <c r="W22">
        <v>0</v>
      </c>
      <c r="X22">
        <v>0</v>
      </c>
      <c r="Y22">
        <v>0</v>
      </c>
      <c r="Z22">
        <v>0</v>
      </c>
      <c r="AB22">
        <f>SUMPRODUCT(DB_HighSOF[[#This Row],[Plan01]:[Plan12]],$D$4:$O$4)/valUnits2</f>
        <v>87.14415000000001</v>
      </c>
      <c r="AC22">
        <f>SUMPRODUCT(DB_HighSOF[[#This Row],[Act01]:[Act12]],$P$4:$AA$4)/valUnits2</f>
        <v>132.10496000000001</v>
      </c>
      <c r="AD22">
        <f>DB_HighSOF[[#This Row],[Actual]]-DB_HighSOF[[#This Row],[Plan]]</f>
        <v>44.960809999999995</v>
      </c>
      <c r="AE22">
        <f>IF(DB_HighSOF[[#This Row],[Plan]]&lt;&gt;0,DB_HighSOF[[#This Row],[Actual]]/DB_HighSOF[[#This Row],[Plan]],1.000011000011)</f>
        <v>1.5159360668501556</v>
      </c>
    </row>
    <row r="23" spans="1:31" hidden="1" x14ac:dyDescent="0.2">
      <c r="A23">
        <f>SUBTOTAL(3,$B$6:B23)</f>
        <v>8</v>
      </c>
      <c r="B23" t="s">
        <v>349</v>
      </c>
      <c r="C23" t="s">
        <v>867</v>
      </c>
      <c r="H23">
        <v>103.25999999999999</v>
      </c>
      <c r="I23">
        <v>0</v>
      </c>
      <c r="T23">
        <v>103.25999999999999</v>
      </c>
      <c r="U23">
        <v>43629.989999999991</v>
      </c>
      <c r="AB23">
        <f>SUMPRODUCT(DB_HighSOF[[#This Row],[Plan01]:[Plan12]],$D$4:$O$4)/valUnits2</f>
        <v>0.10325999999999999</v>
      </c>
      <c r="AC23">
        <f>SUMPRODUCT(DB_HighSOF[[#This Row],[Act01]:[Act12]],$P$4:$AA$4)/valUnits2</f>
        <v>43.733249999999991</v>
      </c>
      <c r="AD23">
        <f>DB_HighSOF[[#This Row],[Actual]]-DB_HighSOF[[#This Row],[Plan]]</f>
        <v>43.629989999999992</v>
      </c>
      <c r="AE23">
        <f>IF(DB_HighSOF[[#This Row],[Plan]]&lt;&gt;0,DB_HighSOF[[#This Row],[Actual]]/DB_HighSOF[[#This Row],[Plan]],1.000011000011)</f>
        <v>423.52556653108655</v>
      </c>
    </row>
    <row r="24" spans="1:31" hidden="1" x14ac:dyDescent="0.2">
      <c r="A24">
        <f>SUBTOTAL(3,$B$6:B24)</f>
        <v>8</v>
      </c>
      <c r="B24" t="s">
        <v>343</v>
      </c>
      <c r="C24" t="s">
        <v>858</v>
      </c>
      <c r="D24">
        <v>7855.18</v>
      </c>
      <c r="E24">
        <v>11163.539999999999</v>
      </c>
      <c r="F24">
        <v>18728.96</v>
      </c>
      <c r="G24">
        <v>16707.73</v>
      </c>
      <c r="H24">
        <v>13666.100000000002</v>
      </c>
      <c r="I24">
        <v>34528.481</v>
      </c>
      <c r="J24">
        <v>51195.147000000004</v>
      </c>
      <c r="K24">
        <v>38476.39</v>
      </c>
      <c r="L24">
        <v>36528.481</v>
      </c>
      <c r="M24">
        <v>73933.938999999998</v>
      </c>
      <c r="N24">
        <v>34528.481</v>
      </c>
      <c r="O24">
        <v>67861.811000000002</v>
      </c>
      <c r="P24">
        <v>7855.18</v>
      </c>
      <c r="Q24">
        <v>11229.45</v>
      </c>
      <c r="R24">
        <v>18728.96</v>
      </c>
      <c r="S24">
        <v>16761.440000000002</v>
      </c>
      <c r="T24">
        <v>13726.420000000002</v>
      </c>
      <c r="U24">
        <v>64857.440000000002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f>SUMPRODUCT(DB_HighSOF[[#This Row],[Plan01]:[Plan12]],$D$4:$O$4)/valUnits2</f>
        <v>102.64999100000001</v>
      </c>
      <c r="AC24">
        <f>SUMPRODUCT(DB_HighSOF[[#This Row],[Act01]:[Act12]],$P$4:$AA$4)/valUnits2</f>
        <v>133.15889000000001</v>
      </c>
      <c r="AD24">
        <f>DB_HighSOF[[#This Row],[Actual]]-DB_HighSOF[[#This Row],[Plan]]</f>
        <v>30.508899</v>
      </c>
      <c r="AE24">
        <f>IF(DB_HighSOF[[#This Row],[Plan]]&lt;&gt;0,DB_HighSOF[[#This Row],[Actual]]/DB_HighSOF[[#This Row],[Plan]],1.000011000011)</f>
        <v>1.297212875547159</v>
      </c>
    </row>
    <row r="25" spans="1:31" x14ac:dyDescent="0.2">
      <c r="A25">
        <f>SUBTOTAL(3,$B$6:B25)</f>
        <v>9</v>
      </c>
      <c r="B25" t="s">
        <v>1</v>
      </c>
      <c r="C25" t="s">
        <v>909</v>
      </c>
      <c r="D25">
        <v>144097.82999999999</v>
      </c>
      <c r="E25">
        <v>292208.00000000006</v>
      </c>
      <c r="F25">
        <v>266078.23</v>
      </c>
      <c r="G25">
        <v>510623.68000000011</v>
      </c>
      <c r="H25">
        <v>381188.04000000004</v>
      </c>
      <c r="I25">
        <v>279039.33399999997</v>
      </c>
      <c r="J25">
        <v>284664.33400000003</v>
      </c>
      <c r="K25">
        <v>279039.33399999997</v>
      </c>
      <c r="L25">
        <v>328297.33399999997</v>
      </c>
      <c r="M25">
        <v>334664.33399999992</v>
      </c>
      <c r="N25">
        <v>346774.33399999997</v>
      </c>
      <c r="O25">
        <v>279039.33399999997</v>
      </c>
      <c r="P25">
        <v>144097.82999999999</v>
      </c>
      <c r="Q25">
        <v>292208.00000000017</v>
      </c>
      <c r="R25">
        <v>266140.12</v>
      </c>
      <c r="S25">
        <v>512183.0400000001</v>
      </c>
      <c r="T25">
        <v>381260.34</v>
      </c>
      <c r="U25">
        <v>302230.53999999998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f>SUMPRODUCT(DB_HighSOF[[#This Row],[Plan01]:[Plan12]],$D$4:$O$4)/valUnits2</f>
        <v>1873.2351140000003</v>
      </c>
      <c r="AC25">
        <f>SUMPRODUCT(DB_HighSOF[[#This Row],[Act01]:[Act12]],$P$4:$AA$4)/valUnits2</f>
        <v>1898.1198700000004</v>
      </c>
      <c r="AD25">
        <f>DB_HighSOF[[#This Row],[Actual]]-DB_HighSOF[[#This Row],[Plan]]</f>
        <v>24.884756000000152</v>
      </c>
      <c r="AE25">
        <f>IF(DB_HighSOF[[#This Row],[Plan]]&lt;&gt;0,DB_HighSOF[[#This Row],[Actual]]/DB_HighSOF[[#This Row],[Plan]],1.000011000011)</f>
        <v>1.0132843740831137</v>
      </c>
    </row>
    <row r="26" spans="1:31" x14ac:dyDescent="0.2">
      <c r="A26">
        <f>SUBTOTAL(3,$B$6:B26)</f>
        <v>10</v>
      </c>
      <c r="B26" t="s">
        <v>1</v>
      </c>
      <c r="C26" t="s">
        <v>366</v>
      </c>
      <c r="D26">
        <v>0</v>
      </c>
      <c r="E26">
        <v>0</v>
      </c>
      <c r="F26">
        <v>0</v>
      </c>
      <c r="G26">
        <v>524.08600000000001</v>
      </c>
      <c r="H26">
        <v>162.79200000000003</v>
      </c>
      <c r="I26">
        <v>1356.4160000000002</v>
      </c>
      <c r="J26">
        <v>678.20900000000006</v>
      </c>
      <c r="K26">
        <v>1356.4160000000002</v>
      </c>
      <c r="P26">
        <v>0</v>
      </c>
      <c r="Q26">
        <v>0</v>
      </c>
      <c r="R26">
        <v>0</v>
      </c>
      <c r="S26">
        <v>532.14</v>
      </c>
      <c r="T26">
        <v>164.35</v>
      </c>
      <c r="U26">
        <v>23812.010000000002</v>
      </c>
      <c r="V26">
        <v>0</v>
      </c>
      <c r="W26">
        <v>0</v>
      </c>
      <c r="AB26">
        <f>SUMPRODUCT(DB_HighSOF[[#This Row],[Plan01]:[Plan12]],$D$4:$O$4)/valUnits2</f>
        <v>2.0432940000000004</v>
      </c>
      <c r="AC26">
        <f>SUMPRODUCT(DB_HighSOF[[#This Row],[Act01]:[Act12]],$P$4:$AA$4)/valUnits2</f>
        <v>24.508500000000005</v>
      </c>
      <c r="AD26">
        <f>DB_HighSOF[[#This Row],[Actual]]-DB_HighSOF[[#This Row],[Plan]]</f>
        <v>22.465206000000006</v>
      </c>
      <c r="AE26">
        <f>IF(DB_HighSOF[[#This Row],[Plan]]&lt;&gt;0,DB_HighSOF[[#This Row],[Actual]]/DB_HighSOF[[#This Row],[Plan]],1.000011000011)</f>
        <v>11.994602832485194</v>
      </c>
    </row>
    <row r="27" spans="1:31" hidden="1" x14ac:dyDescent="0.2">
      <c r="A27">
        <f>SUBTOTAL(3,$B$6:B27)</f>
        <v>10</v>
      </c>
      <c r="B27" t="s">
        <v>343</v>
      </c>
      <c r="C27" t="s">
        <v>366</v>
      </c>
      <c r="D27">
        <v>0</v>
      </c>
      <c r="E27">
        <v>0</v>
      </c>
      <c r="F27">
        <v>0</v>
      </c>
      <c r="G27">
        <v>0</v>
      </c>
      <c r="H27">
        <v>0</v>
      </c>
      <c r="I27">
        <v>1356.4160000000002</v>
      </c>
      <c r="J27">
        <v>678.20900000000006</v>
      </c>
      <c r="K27">
        <v>1356.4160000000002</v>
      </c>
      <c r="P27">
        <v>0</v>
      </c>
      <c r="Q27">
        <v>0</v>
      </c>
      <c r="R27">
        <v>0</v>
      </c>
      <c r="S27">
        <v>0</v>
      </c>
      <c r="T27">
        <v>0</v>
      </c>
      <c r="U27">
        <v>23634.82</v>
      </c>
      <c r="V27">
        <v>0</v>
      </c>
      <c r="W27">
        <v>0</v>
      </c>
      <c r="AB27">
        <f>SUMPRODUCT(DB_HighSOF[[#This Row],[Plan01]:[Plan12]],$D$4:$O$4)/valUnits2</f>
        <v>1.3564160000000001</v>
      </c>
      <c r="AC27">
        <f>SUMPRODUCT(DB_HighSOF[[#This Row],[Act01]:[Act12]],$P$4:$AA$4)/valUnits2</f>
        <v>23.634820000000001</v>
      </c>
      <c r="AD27">
        <f>DB_HighSOF[[#This Row],[Actual]]-DB_HighSOF[[#This Row],[Plan]]</f>
        <v>22.278404000000002</v>
      </c>
      <c r="AE27">
        <f>IF(DB_HighSOF[[#This Row],[Plan]]&lt;&gt;0,DB_HighSOF[[#This Row],[Actual]]/DB_HighSOF[[#This Row],[Plan]],1.000011000011)</f>
        <v>17.42446270170803</v>
      </c>
    </row>
    <row r="28" spans="1:31" x14ac:dyDescent="0.2">
      <c r="A28">
        <f>SUBTOTAL(3,$B$6:B28)</f>
        <v>11</v>
      </c>
      <c r="B28" t="s">
        <v>1</v>
      </c>
      <c r="C28" t="s">
        <v>845</v>
      </c>
      <c r="H28">
        <v>12135.929999999998</v>
      </c>
      <c r="I28">
        <v>0</v>
      </c>
      <c r="T28">
        <v>12136.91</v>
      </c>
      <c r="U28">
        <v>21186</v>
      </c>
      <c r="AB28">
        <f>SUMPRODUCT(DB_HighSOF[[#This Row],[Plan01]:[Plan12]],$D$4:$O$4)/valUnits2</f>
        <v>12.135929999999998</v>
      </c>
      <c r="AC28">
        <f>SUMPRODUCT(DB_HighSOF[[#This Row],[Act01]:[Act12]],$P$4:$AA$4)/valUnits2</f>
        <v>33.32291</v>
      </c>
      <c r="AD28">
        <f>DB_HighSOF[[#This Row],[Actual]]-DB_HighSOF[[#This Row],[Plan]]</f>
        <v>21.186980000000002</v>
      </c>
      <c r="AE28">
        <f>IF(DB_HighSOF[[#This Row],[Plan]]&lt;&gt;0,DB_HighSOF[[#This Row],[Actual]]/DB_HighSOF[[#This Row],[Plan]],1.000011000011)</f>
        <v>2.7458060486505778</v>
      </c>
    </row>
    <row r="29" spans="1:31" hidden="1" x14ac:dyDescent="0.2">
      <c r="A29">
        <f>SUBTOTAL(3,$B$6:B29)</f>
        <v>11</v>
      </c>
      <c r="B29" t="s">
        <v>342</v>
      </c>
      <c r="C29" t="s">
        <v>892</v>
      </c>
      <c r="D29">
        <v>5376.0830000000014</v>
      </c>
      <c r="E29">
        <v>4652.4819999999991</v>
      </c>
      <c r="F29">
        <v>18096.314999999999</v>
      </c>
      <c r="G29">
        <v>6621.1709999999994</v>
      </c>
      <c r="H29">
        <v>13775.653</v>
      </c>
      <c r="I29">
        <v>8212.83</v>
      </c>
      <c r="J29">
        <v>9836.7749999999996</v>
      </c>
      <c r="K29">
        <v>8579.4689999999991</v>
      </c>
      <c r="L29">
        <v>12971.638000000001</v>
      </c>
      <c r="M29">
        <v>6193.9000000000005</v>
      </c>
      <c r="N29">
        <v>6250.5070000000005</v>
      </c>
      <c r="O29">
        <v>6193.9000000000005</v>
      </c>
      <c r="P29">
        <v>791.93000000000018</v>
      </c>
      <c r="Q29">
        <v>234.95000000000067</v>
      </c>
      <c r="R29">
        <v>9104.01</v>
      </c>
      <c r="S29">
        <v>235.13999999999973</v>
      </c>
      <c r="T29">
        <v>1051.0000000000005</v>
      </c>
      <c r="U29">
        <v>29124.48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f>SUMPRODUCT(DB_HighSOF[[#This Row],[Plan01]:[Plan12]],$D$4:$O$4)/valUnits2</f>
        <v>56.734533999999996</v>
      </c>
      <c r="AC29">
        <f>SUMPRODUCT(DB_HighSOF[[#This Row],[Act01]:[Act12]],$P$4:$AA$4)/valUnits2</f>
        <v>40.541510000000002</v>
      </c>
      <c r="AD29">
        <f>DB_HighSOF[[#This Row],[Actual]]-DB_HighSOF[[#This Row],[Plan]]</f>
        <v>-16.193023999999994</v>
      </c>
      <c r="AE29">
        <f>IF(DB_HighSOF[[#This Row],[Plan]]&lt;&gt;0,DB_HighSOF[[#This Row],[Actual]]/DB_HighSOF[[#This Row],[Plan]],1.000011000011)</f>
        <v>0.71458258562589061</v>
      </c>
    </row>
    <row r="30" spans="1:31" x14ac:dyDescent="0.2">
      <c r="A30">
        <f>SUBTOTAL(3,$B$6:B30)</f>
        <v>12</v>
      </c>
      <c r="B30" t="s">
        <v>1</v>
      </c>
      <c r="C30" t="s">
        <v>869</v>
      </c>
      <c r="D30">
        <v>131796.56</v>
      </c>
      <c r="E30">
        <v>189697.30000000002</v>
      </c>
      <c r="F30">
        <v>154826.40999999997</v>
      </c>
      <c r="G30">
        <v>174904.44</v>
      </c>
      <c r="H30">
        <v>235995.74999999997</v>
      </c>
      <c r="I30">
        <v>27184</v>
      </c>
      <c r="J30">
        <v>27185</v>
      </c>
      <c r="K30">
        <v>27186</v>
      </c>
      <c r="L30">
        <v>27187</v>
      </c>
      <c r="M30">
        <v>42416</v>
      </c>
      <c r="N30">
        <v>27189</v>
      </c>
      <c r="O30">
        <v>27190</v>
      </c>
      <c r="P30">
        <v>131796.56000000003</v>
      </c>
      <c r="Q30">
        <v>189697.30000000002</v>
      </c>
      <c r="R30">
        <v>154826.41000000003</v>
      </c>
      <c r="S30">
        <v>174904.44000000003</v>
      </c>
      <c r="T30">
        <v>235999.47</v>
      </c>
      <c r="U30">
        <v>43275.15</v>
      </c>
      <c r="V30">
        <v>8630</v>
      </c>
      <c r="W30">
        <v>0</v>
      </c>
      <c r="X30">
        <v>0</v>
      </c>
      <c r="Y30">
        <v>0</v>
      </c>
      <c r="Z30">
        <v>0</v>
      </c>
      <c r="AA30">
        <v>0</v>
      </c>
      <c r="AB30">
        <f>SUMPRODUCT(DB_HighSOF[[#This Row],[Plan01]:[Plan12]],$D$4:$O$4)/valUnits2</f>
        <v>914.40445999999997</v>
      </c>
      <c r="AC30">
        <f>SUMPRODUCT(DB_HighSOF[[#This Row],[Act01]:[Act12]],$P$4:$AA$4)/valUnits2</f>
        <v>930.4993300000001</v>
      </c>
      <c r="AD30">
        <f>DB_HighSOF[[#This Row],[Actual]]-DB_HighSOF[[#This Row],[Plan]]</f>
        <v>16.094870000000128</v>
      </c>
      <c r="AE30">
        <f>IF(DB_HighSOF[[#This Row],[Plan]]&lt;&gt;0,DB_HighSOF[[#This Row],[Actual]]/DB_HighSOF[[#This Row],[Plan]],1.000011000011)</f>
        <v>1.0176014780155382</v>
      </c>
    </row>
    <row r="31" spans="1:31" x14ac:dyDescent="0.2">
      <c r="A31">
        <f>SUBTOTAL(3,$B$6:B31)</f>
        <v>13</v>
      </c>
      <c r="B31" t="s">
        <v>1</v>
      </c>
      <c r="C31" t="s">
        <v>843</v>
      </c>
      <c r="E31">
        <v>4458.7359999999999</v>
      </c>
      <c r="F31">
        <v>2390.5330000000004</v>
      </c>
      <c r="G31">
        <v>86928.647999999986</v>
      </c>
      <c r="H31">
        <v>56687.087</v>
      </c>
      <c r="I31">
        <v>76170.999000000011</v>
      </c>
      <c r="J31">
        <v>76170.999000000011</v>
      </c>
      <c r="K31">
        <v>76170.998999999996</v>
      </c>
      <c r="L31">
        <v>76170.998999999996</v>
      </c>
      <c r="M31">
        <v>76170.999000000011</v>
      </c>
      <c r="N31">
        <v>76170.999000000011</v>
      </c>
      <c r="O31">
        <v>76170.998999999996</v>
      </c>
      <c r="Q31">
        <v>4481.1400000000003</v>
      </c>
      <c r="R31">
        <v>2420.54</v>
      </c>
      <c r="S31">
        <v>88352.440000000017</v>
      </c>
      <c r="T31">
        <v>56617.700000000004</v>
      </c>
      <c r="U31">
        <v>89591.589999999982</v>
      </c>
      <c r="V31">
        <v>681</v>
      </c>
      <c r="W31">
        <v>0</v>
      </c>
      <c r="X31">
        <v>0</v>
      </c>
      <c r="Y31">
        <v>0</v>
      </c>
      <c r="Z31">
        <v>0</v>
      </c>
      <c r="AA31">
        <v>0</v>
      </c>
      <c r="AB31">
        <f>SUMPRODUCT(DB_HighSOF[[#This Row],[Plan01]:[Plan12]],$D$4:$O$4)/valUnits2</f>
        <v>226.63600299999999</v>
      </c>
      <c r="AC31">
        <f>SUMPRODUCT(DB_HighSOF[[#This Row],[Act01]:[Act12]],$P$4:$AA$4)/valUnits2</f>
        <v>241.46341000000004</v>
      </c>
      <c r="AD31">
        <f>DB_HighSOF[[#This Row],[Actual]]-DB_HighSOF[[#This Row],[Plan]]</f>
        <v>14.827407000000051</v>
      </c>
      <c r="AE31">
        <f>IF(DB_HighSOF[[#This Row],[Plan]]&lt;&gt;0,DB_HighSOF[[#This Row],[Actual]]/DB_HighSOF[[#This Row],[Plan]],1.000011000011)</f>
        <v>1.065423881482767</v>
      </c>
    </row>
    <row r="32" spans="1:31" x14ac:dyDescent="0.2">
      <c r="A32">
        <f>SUBTOTAL(3,$B$6:B32)</f>
        <v>14</v>
      </c>
      <c r="B32" t="s">
        <v>1</v>
      </c>
      <c r="C32" t="s">
        <v>908</v>
      </c>
      <c r="D32">
        <v>23436.929</v>
      </c>
      <c r="E32">
        <v>165.84599999999949</v>
      </c>
      <c r="F32">
        <v>507.72200000000004</v>
      </c>
      <c r="G32">
        <v>6639.49</v>
      </c>
      <c r="H32">
        <v>7111.6569999999992</v>
      </c>
      <c r="I32">
        <v>27895.143000000004</v>
      </c>
      <c r="J32">
        <v>32643.388999999996</v>
      </c>
      <c r="K32">
        <v>10846.309999999998</v>
      </c>
      <c r="L32">
        <v>10937.69</v>
      </c>
      <c r="M32">
        <v>10846.31</v>
      </c>
      <c r="N32">
        <v>10846.31</v>
      </c>
      <c r="O32">
        <v>69021.573999999993</v>
      </c>
      <c r="P32">
        <v>23911.99</v>
      </c>
      <c r="Q32">
        <v>171.54000000000011</v>
      </c>
      <c r="R32">
        <v>501.67000000000007</v>
      </c>
      <c r="S32">
        <v>6582.5699999999988</v>
      </c>
      <c r="T32">
        <v>7188.8499999999985</v>
      </c>
      <c r="U32">
        <v>38349.310000000012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f>SUMPRODUCT(DB_HighSOF[[#This Row],[Plan01]:[Plan12]],$D$4:$O$4)/valUnits2</f>
        <v>65.756787000000017</v>
      </c>
      <c r="AC32">
        <f>SUMPRODUCT(DB_HighSOF[[#This Row],[Act01]:[Act12]],$P$4:$AA$4)/valUnits2</f>
        <v>76.705930000000023</v>
      </c>
      <c r="AD32">
        <f>DB_HighSOF[[#This Row],[Actual]]-DB_HighSOF[[#This Row],[Plan]]</f>
        <v>10.949143000000007</v>
      </c>
      <c r="AE32">
        <f>IF(DB_HighSOF[[#This Row],[Plan]]&lt;&gt;0,DB_HighSOF[[#This Row],[Actual]]/DB_HighSOF[[#This Row],[Plan]],1.000011000011)</f>
        <v>1.1665097018806592</v>
      </c>
    </row>
    <row r="33" spans="1:31" hidden="1" x14ac:dyDescent="0.2">
      <c r="A33">
        <f>SUBTOTAL(3,$B$6:B33)</f>
        <v>14</v>
      </c>
      <c r="B33" t="s">
        <v>349</v>
      </c>
      <c r="C33" t="s">
        <v>845</v>
      </c>
      <c r="H33">
        <v>6959.3499999999995</v>
      </c>
      <c r="I33">
        <v>0</v>
      </c>
      <c r="T33">
        <v>6959.35</v>
      </c>
      <c r="U33">
        <v>12845.84</v>
      </c>
      <c r="AB33">
        <f>SUMPRODUCT(DB_HighSOF[[#This Row],[Plan01]:[Plan12]],$D$4:$O$4)/valUnits2</f>
        <v>6.9593499999999997</v>
      </c>
      <c r="AC33">
        <f>SUMPRODUCT(DB_HighSOF[[#This Row],[Act01]:[Act12]],$P$4:$AA$4)/valUnits2</f>
        <v>19.805190000000003</v>
      </c>
      <c r="AD33">
        <f>DB_HighSOF[[#This Row],[Actual]]-DB_HighSOF[[#This Row],[Plan]]</f>
        <v>12.845840000000003</v>
      </c>
      <c r="AE33">
        <f>IF(DB_HighSOF[[#This Row],[Plan]]&lt;&gt;0,DB_HighSOF[[#This Row],[Actual]]/DB_HighSOF[[#This Row],[Plan]],1.000011000011)</f>
        <v>2.8458390510608038</v>
      </c>
    </row>
    <row r="34" spans="1:31" hidden="1" x14ac:dyDescent="0.2">
      <c r="A34">
        <f>SUBTOTAL(3,$B$6:B34)</f>
        <v>14</v>
      </c>
      <c r="B34" t="s">
        <v>351</v>
      </c>
      <c r="C34" t="s">
        <v>909</v>
      </c>
      <c r="D34">
        <v>16415.780000000002</v>
      </c>
      <c r="E34">
        <v>26494.859999999993</v>
      </c>
      <c r="F34">
        <v>34334.979999999996</v>
      </c>
      <c r="G34">
        <v>68127.860000000059</v>
      </c>
      <c r="H34">
        <v>36005.910000000011</v>
      </c>
      <c r="I34">
        <v>26532.502</v>
      </c>
      <c r="J34">
        <v>26532.502</v>
      </c>
      <c r="K34">
        <v>26532.502</v>
      </c>
      <c r="L34">
        <v>26532.502000000004</v>
      </c>
      <c r="M34">
        <v>26532.502</v>
      </c>
      <c r="N34">
        <v>26532.502</v>
      </c>
      <c r="O34">
        <v>26532.502000000004</v>
      </c>
      <c r="P34">
        <v>16415.780000000002</v>
      </c>
      <c r="Q34">
        <v>26494.86</v>
      </c>
      <c r="R34">
        <v>34396.87000000001</v>
      </c>
      <c r="S34">
        <v>69687.22000000003</v>
      </c>
      <c r="T34">
        <v>36025.5</v>
      </c>
      <c r="U34">
        <v>38324.380000000012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f>SUMPRODUCT(DB_HighSOF[[#This Row],[Plan01]:[Plan12]],$D$4:$O$4)/valUnits2</f>
        <v>207.91189200000005</v>
      </c>
      <c r="AC34">
        <f>SUMPRODUCT(DB_HighSOF[[#This Row],[Act01]:[Act12]],$P$4:$AA$4)/valUnits2</f>
        <v>221.34461000000005</v>
      </c>
      <c r="AD34">
        <f>DB_HighSOF[[#This Row],[Actual]]-DB_HighSOF[[#This Row],[Plan]]</f>
        <v>13.432717999999994</v>
      </c>
      <c r="AE34">
        <f>IF(DB_HighSOF[[#This Row],[Plan]]&lt;&gt;0,DB_HighSOF[[#This Row],[Actual]]/DB_HighSOF[[#This Row],[Plan]],1.000011000011)</f>
        <v>1.0646077425912703</v>
      </c>
    </row>
    <row r="35" spans="1:31" x14ac:dyDescent="0.2">
      <c r="A35">
        <f>SUBTOTAL(3,$B$6:B35)</f>
        <v>15</v>
      </c>
      <c r="B35" t="s">
        <v>1</v>
      </c>
      <c r="C35" t="s">
        <v>868</v>
      </c>
      <c r="F35">
        <v>0</v>
      </c>
      <c r="G35">
        <v>52.31</v>
      </c>
      <c r="H35">
        <v>101.98999999999998</v>
      </c>
      <c r="I35">
        <v>0</v>
      </c>
      <c r="R35">
        <v>0</v>
      </c>
      <c r="S35">
        <v>52.31</v>
      </c>
      <c r="T35">
        <v>102.27</v>
      </c>
      <c r="U35">
        <v>10788.199999999999</v>
      </c>
      <c r="AB35">
        <f>SUMPRODUCT(DB_HighSOF[[#This Row],[Plan01]:[Plan12]],$D$4:$O$4)/valUnits2</f>
        <v>0.15429999999999999</v>
      </c>
      <c r="AC35">
        <f>SUMPRODUCT(DB_HighSOF[[#This Row],[Act01]:[Act12]],$P$4:$AA$4)/valUnits2</f>
        <v>10.942779999999999</v>
      </c>
      <c r="AD35">
        <f>DB_HighSOF[[#This Row],[Actual]]-DB_HighSOF[[#This Row],[Plan]]</f>
        <v>10.78848</v>
      </c>
      <c r="AE35">
        <f>IF(DB_HighSOF[[#This Row],[Plan]]&lt;&gt;0,DB_HighSOF[[#This Row],[Actual]]/DB_HighSOF[[#This Row],[Plan]],1.000011000011)</f>
        <v>70.918859364873626</v>
      </c>
    </row>
    <row r="36" spans="1:31" hidden="1" x14ac:dyDescent="0.2">
      <c r="A36">
        <f>SUBTOTAL(3,$B$6:B36)</f>
        <v>15</v>
      </c>
      <c r="B36" t="s">
        <v>343</v>
      </c>
      <c r="C36" t="s">
        <v>868</v>
      </c>
      <c r="F36">
        <v>0</v>
      </c>
      <c r="I36">
        <v>0</v>
      </c>
      <c r="R36">
        <v>0</v>
      </c>
      <c r="U36">
        <v>10715.31</v>
      </c>
      <c r="AB36">
        <f>SUMPRODUCT(DB_HighSOF[[#This Row],[Plan01]:[Plan12]],$D$4:$O$4)/valUnits2</f>
        <v>0</v>
      </c>
      <c r="AC36">
        <f>SUMPRODUCT(DB_HighSOF[[#This Row],[Act01]:[Act12]],$P$4:$AA$4)/valUnits2</f>
        <v>10.715309999999999</v>
      </c>
      <c r="AD36">
        <f>DB_HighSOF[[#This Row],[Actual]]-DB_HighSOF[[#This Row],[Plan]]</f>
        <v>10.715309999999999</v>
      </c>
      <c r="AE36">
        <f>IF(DB_HighSOF[[#This Row],[Plan]]&lt;&gt;0,DB_HighSOF[[#This Row],[Actual]]/DB_HighSOF[[#This Row],[Plan]],1.000011000011)</f>
        <v>1.0000110000110001</v>
      </c>
    </row>
    <row r="37" spans="1:31" hidden="1" x14ac:dyDescent="0.2">
      <c r="A37">
        <f>SUBTOTAL(3,$B$6:B37)</f>
        <v>15</v>
      </c>
      <c r="B37" t="s">
        <v>348</v>
      </c>
      <c r="C37" t="s">
        <v>908</v>
      </c>
      <c r="D37">
        <v>23436.929</v>
      </c>
      <c r="E37">
        <v>165.84599999999949</v>
      </c>
      <c r="F37">
        <v>507.72200000000004</v>
      </c>
      <c r="G37">
        <v>5520.0909999999994</v>
      </c>
      <c r="H37">
        <v>8047.4319999999989</v>
      </c>
      <c r="I37">
        <v>27771.098000000005</v>
      </c>
      <c r="J37">
        <v>32519.343999999997</v>
      </c>
      <c r="K37">
        <v>10722.264999999998</v>
      </c>
      <c r="L37">
        <v>10813.645</v>
      </c>
      <c r="M37">
        <v>10722.264999999999</v>
      </c>
      <c r="N37">
        <v>10722.264999999999</v>
      </c>
      <c r="O37">
        <v>68897.528999999995</v>
      </c>
      <c r="P37">
        <v>23911.99</v>
      </c>
      <c r="Q37">
        <v>171.54000000000011</v>
      </c>
      <c r="R37">
        <v>501.67000000000007</v>
      </c>
      <c r="S37">
        <v>5446.8499999999985</v>
      </c>
      <c r="T37">
        <v>8159.2399999999989</v>
      </c>
      <c r="U37">
        <v>38301.560000000012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f>SUMPRODUCT(DB_HighSOF[[#This Row],[Plan01]:[Plan12]],$D$4:$O$4)/valUnits2</f>
        <v>65.449117999999999</v>
      </c>
      <c r="AC37">
        <f>SUMPRODUCT(DB_HighSOF[[#This Row],[Act01]:[Act12]],$P$4:$AA$4)/valUnits2</f>
        <v>76.492850000000004</v>
      </c>
      <c r="AD37">
        <f>DB_HighSOF[[#This Row],[Actual]]-DB_HighSOF[[#This Row],[Plan]]</f>
        <v>11.043732000000006</v>
      </c>
      <c r="AE37">
        <f>IF(DB_HighSOF[[#This Row],[Plan]]&lt;&gt;0,DB_HighSOF[[#This Row],[Actual]]/DB_HighSOF[[#This Row],[Plan]],1.000011000011)</f>
        <v>1.1687376749675986</v>
      </c>
    </row>
    <row r="38" spans="1:31" x14ac:dyDescent="0.2">
      <c r="A38">
        <f>SUBTOTAL(3,$B$6:B38)</f>
        <v>16</v>
      </c>
      <c r="B38" t="s">
        <v>1</v>
      </c>
      <c r="C38" t="s">
        <v>851</v>
      </c>
      <c r="F38">
        <v>0</v>
      </c>
      <c r="G38">
        <v>403.30500000000001</v>
      </c>
      <c r="H38">
        <v>6206.9159999999993</v>
      </c>
      <c r="I38">
        <v>4750.6329999999998</v>
      </c>
      <c r="J38">
        <v>4750.6329999999998</v>
      </c>
      <c r="K38">
        <v>4750.6329999999998</v>
      </c>
      <c r="L38">
        <v>4750.6329999999998</v>
      </c>
      <c r="M38">
        <v>4750.6329999999998</v>
      </c>
      <c r="N38">
        <v>4750.6329999999998</v>
      </c>
      <c r="O38">
        <v>4750.6329999999998</v>
      </c>
      <c r="R38">
        <v>0</v>
      </c>
      <c r="S38">
        <v>400.34999999999997</v>
      </c>
      <c r="T38">
        <v>6247.6799999999994</v>
      </c>
      <c r="U38">
        <v>13505.090000000002</v>
      </c>
      <c r="V38">
        <v>453</v>
      </c>
      <c r="W38">
        <v>0</v>
      </c>
      <c r="X38">
        <v>0</v>
      </c>
      <c r="Y38">
        <v>0</v>
      </c>
      <c r="Z38">
        <v>0</v>
      </c>
      <c r="AA38">
        <v>0</v>
      </c>
      <c r="AB38">
        <f>SUMPRODUCT(DB_HighSOF[[#This Row],[Plan01]:[Plan12]],$D$4:$O$4)/valUnits2</f>
        <v>11.360854</v>
      </c>
      <c r="AC38">
        <f>SUMPRODUCT(DB_HighSOF[[#This Row],[Act01]:[Act12]],$P$4:$AA$4)/valUnits2</f>
        <v>20.153120000000001</v>
      </c>
      <c r="AD38">
        <f>DB_HighSOF[[#This Row],[Actual]]-DB_HighSOF[[#This Row],[Plan]]</f>
        <v>8.7922660000000015</v>
      </c>
      <c r="AE38">
        <f>IF(DB_HighSOF[[#This Row],[Plan]]&lt;&gt;0,DB_HighSOF[[#This Row],[Actual]]/DB_HighSOF[[#This Row],[Plan]],1.000011000011)</f>
        <v>1.7739088980458688</v>
      </c>
    </row>
    <row r="39" spans="1:31" x14ac:dyDescent="0.2">
      <c r="A39">
        <f>SUBTOTAL(3,$B$6:B39)</f>
        <v>17</v>
      </c>
      <c r="B39" t="s">
        <v>1</v>
      </c>
      <c r="C39" t="s">
        <v>895</v>
      </c>
      <c r="D39">
        <v>58258.629000000015</v>
      </c>
      <c r="E39">
        <v>1615.8480000000054</v>
      </c>
      <c r="F39">
        <v>71746.027000000016</v>
      </c>
      <c r="G39">
        <v>7011.6769999999779</v>
      </c>
      <c r="H39">
        <v>50370.348000000005</v>
      </c>
      <c r="I39">
        <v>41731.041000000019</v>
      </c>
      <c r="J39">
        <v>28687.99200000002</v>
      </c>
      <c r="K39">
        <v>31350.078000000016</v>
      </c>
      <c r="L39">
        <v>28687.992000000013</v>
      </c>
      <c r="M39">
        <v>28687.992000000013</v>
      </c>
      <c r="N39">
        <v>33480.008000000016</v>
      </c>
      <c r="O39">
        <v>28687.992000000013</v>
      </c>
      <c r="P39">
        <v>57405.319999999992</v>
      </c>
      <c r="Q39">
        <v>1650.0399999999963</v>
      </c>
      <c r="R39">
        <v>72395.479999999981</v>
      </c>
      <c r="S39">
        <v>7000.2299999999868</v>
      </c>
      <c r="T39">
        <v>50484.659999999989</v>
      </c>
      <c r="U39">
        <v>47180.89999999998</v>
      </c>
      <c r="V39">
        <v>57</v>
      </c>
      <c r="W39">
        <v>0</v>
      </c>
      <c r="X39">
        <v>0</v>
      </c>
      <c r="Y39">
        <v>0</v>
      </c>
      <c r="Z39">
        <v>0</v>
      </c>
      <c r="AA39">
        <v>0</v>
      </c>
      <c r="AB39">
        <f>SUMPRODUCT(DB_HighSOF[[#This Row],[Plan01]:[Plan12]],$D$4:$O$4)/valUnits2</f>
        <v>230.73357000000004</v>
      </c>
      <c r="AC39">
        <f>SUMPRODUCT(DB_HighSOF[[#This Row],[Act01]:[Act12]],$P$4:$AA$4)/valUnits2</f>
        <v>236.1166299999999</v>
      </c>
      <c r="AD39">
        <f>DB_HighSOF[[#This Row],[Actual]]-DB_HighSOF[[#This Row],[Plan]]</f>
        <v>5.3830599999998583</v>
      </c>
      <c r="AE39">
        <f>IF(DB_HighSOF[[#This Row],[Plan]]&lt;&gt;0,DB_HighSOF[[#This Row],[Actual]]/DB_HighSOF[[#This Row],[Plan]],1.000011000011)</f>
        <v>1.0233301985489145</v>
      </c>
    </row>
    <row r="40" spans="1:31" hidden="1" x14ac:dyDescent="0.2">
      <c r="A40">
        <f>SUBTOTAL(3,$B$6:B40)</f>
        <v>17</v>
      </c>
      <c r="B40" t="s">
        <v>345</v>
      </c>
      <c r="C40" t="s">
        <v>851</v>
      </c>
      <c r="F40">
        <v>0</v>
      </c>
      <c r="G40">
        <v>403.30500000000001</v>
      </c>
      <c r="H40">
        <v>6206.9159999999993</v>
      </c>
      <c r="I40">
        <v>4750.6329999999998</v>
      </c>
      <c r="J40">
        <v>4750.6329999999998</v>
      </c>
      <c r="K40">
        <v>4750.6329999999998</v>
      </c>
      <c r="L40">
        <v>4750.6329999999998</v>
      </c>
      <c r="M40">
        <v>4750.6329999999998</v>
      </c>
      <c r="N40">
        <v>4750.6329999999998</v>
      </c>
      <c r="O40">
        <v>4750.6329999999998</v>
      </c>
      <c r="R40">
        <v>0</v>
      </c>
      <c r="S40">
        <v>400.34999999999997</v>
      </c>
      <c r="T40">
        <v>6247.6799999999994</v>
      </c>
      <c r="U40">
        <v>13505.090000000002</v>
      </c>
      <c r="V40">
        <v>453</v>
      </c>
      <c r="W40">
        <v>0</v>
      </c>
      <c r="X40">
        <v>0</v>
      </c>
      <c r="Y40">
        <v>0</v>
      </c>
      <c r="Z40">
        <v>0</v>
      </c>
      <c r="AA40">
        <v>0</v>
      </c>
      <c r="AB40">
        <f>SUMPRODUCT(DB_HighSOF[[#This Row],[Plan01]:[Plan12]],$D$4:$O$4)/valUnits2</f>
        <v>11.360854</v>
      </c>
      <c r="AC40">
        <f>SUMPRODUCT(DB_HighSOF[[#This Row],[Act01]:[Act12]],$P$4:$AA$4)/valUnits2</f>
        <v>20.153120000000001</v>
      </c>
      <c r="AD40">
        <f>DB_HighSOF[[#This Row],[Actual]]-DB_HighSOF[[#This Row],[Plan]]</f>
        <v>8.7922660000000015</v>
      </c>
      <c r="AE40">
        <f>IF(DB_HighSOF[[#This Row],[Plan]]&lt;&gt;0,DB_HighSOF[[#This Row],[Actual]]/DB_HighSOF[[#This Row],[Plan]],1.000011000011)</f>
        <v>1.7739088980458688</v>
      </c>
    </row>
    <row r="41" spans="1:31" hidden="1" x14ac:dyDescent="0.2">
      <c r="A41">
        <f>SUBTOTAL(3,$B$6:B41)</f>
        <v>17</v>
      </c>
      <c r="B41" t="s">
        <v>348</v>
      </c>
      <c r="C41" t="s">
        <v>845</v>
      </c>
      <c r="H41">
        <v>4802.6399999999994</v>
      </c>
      <c r="I41">
        <v>0</v>
      </c>
      <c r="T41">
        <v>4802.6399999999994</v>
      </c>
      <c r="U41">
        <v>7889.6</v>
      </c>
      <c r="AB41">
        <f>SUMPRODUCT(DB_HighSOF[[#This Row],[Plan01]:[Plan12]],$D$4:$O$4)/valUnits2</f>
        <v>4.8026399999999994</v>
      </c>
      <c r="AC41">
        <f>SUMPRODUCT(DB_HighSOF[[#This Row],[Act01]:[Act12]],$P$4:$AA$4)/valUnits2</f>
        <v>12.69224</v>
      </c>
      <c r="AD41">
        <f>DB_HighSOF[[#This Row],[Actual]]-DB_HighSOF[[#This Row],[Plan]]</f>
        <v>7.8896000000000006</v>
      </c>
      <c r="AE41">
        <f>IF(DB_HighSOF[[#This Row],[Plan]]&lt;&gt;0,DB_HighSOF[[#This Row],[Actual]]/DB_HighSOF[[#This Row],[Plan]],1.000011000011)</f>
        <v>2.6427631469358523</v>
      </c>
    </row>
    <row r="42" spans="1:31" hidden="1" x14ac:dyDescent="0.2">
      <c r="A42">
        <f>SUBTOTAL(3,$B$6:B42)</f>
        <v>17</v>
      </c>
      <c r="B42" t="s">
        <v>345</v>
      </c>
      <c r="C42" t="s">
        <v>895</v>
      </c>
      <c r="D42">
        <v>57408.741000000016</v>
      </c>
      <c r="E42">
        <v>407.6140000000056</v>
      </c>
      <c r="F42">
        <v>70415.628000000012</v>
      </c>
      <c r="G42">
        <v>1744.2539999999788</v>
      </c>
      <c r="H42">
        <v>47011.361000000004</v>
      </c>
      <c r="I42">
        <v>37403.968000000015</v>
      </c>
      <c r="J42">
        <v>24360.919000000016</v>
      </c>
      <c r="K42">
        <v>27023.005000000016</v>
      </c>
      <c r="L42">
        <v>24360.919000000013</v>
      </c>
      <c r="M42">
        <v>24360.919000000013</v>
      </c>
      <c r="N42">
        <v>29152.935000000012</v>
      </c>
      <c r="O42">
        <v>24360.919000000009</v>
      </c>
      <c r="P42">
        <v>56567.999999999993</v>
      </c>
      <c r="Q42">
        <v>416.46999999999628</v>
      </c>
      <c r="R42">
        <v>71053.039999999979</v>
      </c>
      <c r="S42">
        <v>1734.9799999999868</v>
      </c>
      <c r="T42">
        <v>47117.709999999992</v>
      </c>
      <c r="U42">
        <v>44895.39999999998</v>
      </c>
      <c r="V42">
        <v>57</v>
      </c>
      <c r="W42">
        <v>0</v>
      </c>
      <c r="X42">
        <v>0</v>
      </c>
      <c r="Y42">
        <v>0</v>
      </c>
      <c r="Z42">
        <v>0</v>
      </c>
      <c r="AA42">
        <v>0</v>
      </c>
      <c r="AB42" s="34">
        <f>SUMPRODUCT(DB_HighSOF[[#This Row],[Plan01]:[Plan12]],$D$4:$O$4)/valUnits2</f>
        <v>214.39156600000001</v>
      </c>
      <c r="AC42" s="34">
        <f>SUMPRODUCT(DB_HighSOF[[#This Row],[Act01]:[Act12]],$P$4:$AA$4)/valUnits2</f>
        <v>221.78559999999993</v>
      </c>
      <c r="AD42" s="34">
        <f>DB_HighSOF[[#This Row],[Actual]]-DB_HighSOF[[#This Row],[Plan]]</f>
        <v>7.3940339999999196</v>
      </c>
      <c r="AE42" s="34">
        <f>IF(DB_HighSOF[[#This Row],[Plan]]&lt;&gt;0,DB_HighSOF[[#This Row],[Actual]]/DB_HighSOF[[#This Row],[Plan]],1.000011000011)</f>
        <v>1.0344884555766523</v>
      </c>
    </row>
    <row r="43" spans="1:31" hidden="1" x14ac:dyDescent="0.2">
      <c r="A43">
        <f>SUBTOTAL(3,$B$6:B43)</f>
        <v>17</v>
      </c>
      <c r="B43" t="s">
        <v>348</v>
      </c>
      <c r="C43" t="s">
        <v>917</v>
      </c>
      <c r="D43">
        <v>12.03</v>
      </c>
      <c r="E43">
        <v>35635.363000000005</v>
      </c>
      <c r="F43">
        <v>1484.577</v>
      </c>
      <c r="G43">
        <v>562.78399999999999</v>
      </c>
      <c r="H43">
        <v>435.65499999999997</v>
      </c>
      <c r="I43">
        <v>10713.347999999998</v>
      </c>
      <c r="J43">
        <v>4214.2910000000002</v>
      </c>
      <c r="K43">
        <v>4214.2910000000002</v>
      </c>
      <c r="L43">
        <v>4214.2910000000002</v>
      </c>
      <c r="M43">
        <v>4214.2910000000002</v>
      </c>
      <c r="N43">
        <v>4214.2910000000002</v>
      </c>
      <c r="O43">
        <v>4214.2910000000002</v>
      </c>
      <c r="P43">
        <v>12.02</v>
      </c>
      <c r="Q43">
        <v>34787.82</v>
      </c>
      <c r="R43">
        <v>1474.94</v>
      </c>
      <c r="S43">
        <v>565.65</v>
      </c>
      <c r="T43">
        <v>437.77</v>
      </c>
      <c r="U43">
        <v>17375.8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f>SUMPRODUCT(DB_HighSOF[[#This Row],[Plan01]:[Plan12]],$D$4:$O$4)/valUnits2</f>
        <v>48.843756999999997</v>
      </c>
      <c r="AC43">
        <f>SUMPRODUCT(DB_HighSOF[[#This Row],[Act01]:[Act12]],$P$4:$AA$4)/valUnits2</f>
        <v>54.654000000000003</v>
      </c>
      <c r="AD43">
        <f>DB_HighSOF[[#This Row],[Actual]]-DB_HighSOF[[#This Row],[Plan]]</f>
        <v>5.8102430000000069</v>
      </c>
      <c r="AE43">
        <f>IF(DB_HighSOF[[#This Row],[Plan]]&lt;&gt;0,DB_HighSOF[[#This Row],[Actual]]/DB_HighSOF[[#This Row],[Plan]],1.000011000011)</f>
        <v>1.1189556937645073</v>
      </c>
    </row>
    <row r="44" spans="1:31" hidden="1" x14ac:dyDescent="0.2">
      <c r="A44">
        <f>SUBTOTAL(3,$B$6:B44)</f>
        <v>17</v>
      </c>
      <c r="B44" t="s">
        <v>349</v>
      </c>
      <c r="C44" t="s">
        <v>933</v>
      </c>
      <c r="D44">
        <v>5769.2499999999982</v>
      </c>
      <c r="E44">
        <v>18081.419999999998</v>
      </c>
      <c r="F44">
        <v>11407.939999999999</v>
      </c>
      <c r="G44">
        <v>1311.41</v>
      </c>
      <c r="H44">
        <v>21406.23</v>
      </c>
      <c r="I44">
        <v>11339.251</v>
      </c>
      <c r="J44">
        <v>11339.251</v>
      </c>
      <c r="K44">
        <v>11339.251</v>
      </c>
      <c r="L44">
        <v>11339.251</v>
      </c>
      <c r="M44">
        <v>11339.251</v>
      </c>
      <c r="N44">
        <v>11339.251</v>
      </c>
      <c r="O44">
        <v>11339.251</v>
      </c>
      <c r="P44">
        <v>5769.25</v>
      </c>
      <c r="Q44">
        <v>18081.419999999998</v>
      </c>
      <c r="R44">
        <v>11407.940000000002</v>
      </c>
      <c r="S44">
        <v>1311.41</v>
      </c>
      <c r="T44">
        <v>21406.230000000003</v>
      </c>
      <c r="U44">
        <v>17613.559999999998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f>SUMPRODUCT(DB_HighSOF[[#This Row],[Plan01]:[Plan12]],$D$4:$O$4)/valUnits2</f>
        <v>69.315500999999998</v>
      </c>
      <c r="AC44">
        <f>SUMPRODUCT(DB_HighSOF[[#This Row],[Act01]:[Act12]],$P$4:$AA$4)/valUnits2</f>
        <v>75.58981</v>
      </c>
      <c r="AD44">
        <f>DB_HighSOF[[#This Row],[Actual]]-DB_HighSOF[[#This Row],[Plan]]</f>
        <v>6.2743090000000024</v>
      </c>
      <c r="AE44">
        <f>IF(DB_HighSOF[[#This Row],[Plan]]&lt;&gt;0,DB_HighSOF[[#This Row],[Actual]]/DB_HighSOF[[#This Row],[Plan]],1.000011000011)</f>
        <v>1.0905181223461113</v>
      </c>
    </row>
    <row r="45" spans="1:31" hidden="1" x14ac:dyDescent="0.2">
      <c r="A45">
        <f>SUBTOTAL(3,$B$6:B45)</f>
        <v>17</v>
      </c>
      <c r="B45" t="s">
        <v>351</v>
      </c>
      <c r="C45" t="s">
        <v>869</v>
      </c>
      <c r="D45">
        <v>7174.4</v>
      </c>
      <c r="E45">
        <v>17556.05</v>
      </c>
      <c r="F45">
        <v>22320.260000000002</v>
      </c>
      <c r="G45">
        <v>27198.619999999992</v>
      </c>
      <c r="H45">
        <v>19877.340000000004</v>
      </c>
      <c r="I45">
        <v>8453</v>
      </c>
      <c r="J45">
        <v>8453</v>
      </c>
      <c r="K45">
        <v>8453</v>
      </c>
      <c r="L45">
        <v>8453</v>
      </c>
      <c r="M45">
        <v>8453</v>
      </c>
      <c r="N45">
        <v>8453</v>
      </c>
      <c r="O45">
        <v>8453</v>
      </c>
      <c r="P45">
        <v>7174.4000000000005</v>
      </c>
      <c r="Q45">
        <v>17556.050000000003</v>
      </c>
      <c r="R45">
        <v>22320.260000000002</v>
      </c>
      <c r="S45">
        <v>27198.619999999984</v>
      </c>
      <c r="T45">
        <v>19881.060000000005</v>
      </c>
      <c r="U45">
        <v>14101.309999999998</v>
      </c>
      <c r="V45">
        <v>8630</v>
      </c>
      <c r="W45">
        <v>0</v>
      </c>
      <c r="X45">
        <v>0</v>
      </c>
      <c r="Y45">
        <v>0</v>
      </c>
      <c r="Z45">
        <v>0</v>
      </c>
      <c r="AA45">
        <v>0</v>
      </c>
      <c r="AB45">
        <f>SUMPRODUCT(DB_HighSOF[[#This Row],[Plan01]:[Plan12]],$D$4:$O$4)/valUnits2</f>
        <v>102.57966999999998</v>
      </c>
      <c r="AC45">
        <f>SUMPRODUCT(DB_HighSOF[[#This Row],[Act01]:[Act12]],$P$4:$AA$4)/valUnits2</f>
        <v>108.23169999999999</v>
      </c>
      <c r="AD45">
        <f>DB_HighSOF[[#This Row],[Actual]]-DB_HighSOF[[#This Row],[Plan]]</f>
        <v>5.6520300000000105</v>
      </c>
      <c r="AE45">
        <f>IF(DB_HighSOF[[#This Row],[Plan]]&lt;&gt;0,DB_HighSOF[[#This Row],[Actual]]/DB_HighSOF[[#This Row],[Plan]],1.000011000011)</f>
        <v>1.0550989294467414</v>
      </c>
    </row>
    <row r="46" spans="1:31" hidden="1" x14ac:dyDescent="0.2">
      <c r="A46">
        <f>SUBTOTAL(3,$B$6:B46)</f>
        <v>17</v>
      </c>
      <c r="B46" t="s">
        <v>351</v>
      </c>
      <c r="C46" t="s">
        <v>891</v>
      </c>
      <c r="E46">
        <v>146.07000000000002</v>
      </c>
      <c r="G46">
        <v>6585.1679999999997</v>
      </c>
      <c r="H46">
        <v>9445.5240000000013</v>
      </c>
      <c r="I46">
        <v>2376.2260000000001</v>
      </c>
      <c r="J46">
        <v>2376.2260000000001</v>
      </c>
      <c r="K46">
        <v>2376.2260000000001</v>
      </c>
      <c r="L46">
        <v>2376.2260000000001</v>
      </c>
      <c r="M46">
        <v>2376.2260000000001</v>
      </c>
      <c r="N46">
        <v>2376.2260000000001</v>
      </c>
      <c r="O46">
        <v>2376.2260000000001</v>
      </c>
      <c r="Q46">
        <v>149.93</v>
      </c>
      <c r="S46">
        <v>6579.4900000000007</v>
      </c>
      <c r="T46">
        <v>9481.1200000000008</v>
      </c>
      <c r="U46">
        <v>7974.62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f>SUMPRODUCT(DB_HighSOF[[#This Row],[Plan01]:[Plan12]],$D$4:$O$4)/valUnits2</f>
        <v>18.552988000000003</v>
      </c>
      <c r="AC46">
        <f>SUMPRODUCT(DB_HighSOF[[#This Row],[Act01]:[Act12]],$P$4:$AA$4)/valUnits2</f>
        <v>24.18516</v>
      </c>
      <c r="AD46">
        <f>DB_HighSOF[[#This Row],[Actual]]-DB_HighSOF[[#This Row],[Plan]]</f>
        <v>5.6321719999999971</v>
      </c>
      <c r="AE46">
        <f>IF(DB_HighSOF[[#This Row],[Plan]]&lt;&gt;0,DB_HighSOF[[#This Row],[Actual]]/DB_HighSOF[[#This Row],[Plan]],1.000011000011)</f>
        <v>1.3035722332165578</v>
      </c>
    </row>
    <row r="47" spans="1:31" hidden="1" x14ac:dyDescent="0.2">
      <c r="A47">
        <f>SUBTOTAL(3,$B$6:B47)</f>
        <v>17</v>
      </c>
      <c r="B47" t="s">
        <v>349</v>
      </c>
      <c r="C47" t="s">
        <v>869</v>
      </c>
      <c r="D47">
        <v>5424.07</v>
      </c>
      <c r="E47">
        <v>21944.58</v>
      </c>
      <c r="F47">
        <v>19597.27</v>
      </c>
      <c r="G47">
        <v>6234.47</v>
      </c>
      <c r="H47">
        <v>27362.36</v>
      </c>
      <c r="I47">
        <v>3393.5</v>
      </c>
      <c r="J47">
        <v>3394.5</v>
      </c>
      <c r="K47">
        <v>3395.5</v>
      </c>
      <c r="L47">
        <v>3396.5</v>
      </c>
      <c r="M47">
        <v>18625.5</v>
      </c>
      <c r="N47">
        <v>3398.5</v>
      </c>
      <c r="O47">
        <v>3399.5</v>
      </c>
      <c r="P47">
        <v>5424.0700000000015</v>
      </c>
      <c r="Q47">
        <v>21944.580000000005</v>
      </c>
      <c r="R47">
        <v>19597.269999999997</v>
      </c>
      <c r="S47">
        <v>6234.4699999999993</v>
      </c>
      <c r="T47">
        <v>27362.36</v>
      </c>
      <c r="U47">
        <v>6033.5099999999993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f>SUMPRODUCT(DB_HighSOF[[#This Row],[Plan01]:[Plan12]],$D$4:$O$4)/valUnits2</f>
        <v>83.956249999999997</v>
      </c>
      <c r="AC47">
        <f>SUMPRODUCT(DB_HighSOF[[#This Row],[Act01]:[Act12]],$P$4:$AA$4)/valUnits2</f>
        <v>86.596260000000001</v>
      </c>
      <c r="AD47">
        <f>DB_HighSOF[[#This Row],[Actual]]-DB_HighSOF[[#This Row],[Plan]]</f>
        <v>2.6400100000000037</v>
      </c>
      <c r="AE47">
        <f>IF(DB_HighSOF[[#This Row],[Plan]]&lt;&gt;0,DB_HighSOF[[#This Row],[Actual]]/DB_HighSOF[[#This Row],[Plan]],1.000011000011)</f>
        <v>1.0314450681158343</v>
      </c>
    </row>
    <row r="48" spans="1:31" x14ac:dyDescent="0.2">
      <c r="A48">
        <f>SUBTOTAL(3,$B$6:B48)</f>
        <v>18</v>
      </c>
      <c r="B48" t="s">
        <v>1</v>
      </c>
      <c r="C48" t="s">
        <v>849</v>
      </c>
      <c r="G48">
        <v>10.608000000000001</v>
      </c>
      <c r="H48">
        <v>19.908000000000001</v>
      </c>
      <c r="I48">
        <v>0</v>
      </c>
      <c r="S48">
        <v>10.27</v>
      </c>
      <c r="T48">
        <v>20.059999999999999</v>
      </c>
      <c r="U48">
        <v>4718.5499999999993</v>
      </c>
      <c r="AB48">
        <f>SUMPRODUCT(DB_HighSOF[[#This Row],[Plan01]:[Plan12]],$D$4:$O$4)/valUnits2</f>
        <v>3.0516000000000001E-2</v>
      </c>
      <c r="AC48">
        <f>SUMPRODUCT(DB_HighSOF[[#This Row],[Act01]:[Act12]],$P$4:$AA$4)/valUnits2</f>
        <v>4.7488799999999989</v>
      </c>
      <c r="AD48">
        <f>DB_HighSOF[[#This Row],[Actual]]-DB_HighSOF[[#This Row],[Plan]]</f>
        <v>4.7183639999999984</v>
      </c>
      <c r="AE48">
        <f>IF(DB_HighSOF[[#This Row],[Plan]]&lt;&gt;0,DB_HighSOF[[#This Row],[Actual]]/DB_HighSOF[[#This Row],[Plan]],1.000011000011)</f>
        <v>155.61934722768379</v>
      </c>
    </row>
    <row r="49" spans="1:31" x14ac:dyDescent="0.2">
      <c r="A49">
        <f>SUBTOTAL(3,$B$6:B49)</f>
        <v>19</v>
      </c>
      <c r="B49" t="s">
        <v>1</v>
      </c>
      <c r="C49" t="s">
        <v>922</v>
      </c>
      <c r="D49">
        <v>5479.2379999999994</v>
      </c>
      <c r="E49">
        <v>8564.607</v>
      </c>
      <c r="F49">
        <v>12786.399999999996</v>
      </c>
      <c r="G49">
        <v>8058.7039999999997</v>
      </c>
      <c r="H49">
        <v>8985.8509999999987</v>
      </c>
      <c r="I49">
        <v>10464.804</v>
      </c>
      <c r="J49">
        <v>10464.804</v>
      </c>
      <c r="K49">
        <v>10464.803999999998</v>
      </c>
      <c r="L49">
        <v>10464.804</v>
      </c>
      <c r="M49">
        <v>10464.803999999998</v>
      </c>
      <c r="N49">
        <v>10464.803999999998</v>
      </c>
      <c r="O49">
        <v>10464.803999999998</v>
      </c>
      <c r="P49">
        <v>5382.4000000000005</v>
      </c>
      <c r="Q49">
        <v>8776.34</v>
      </c>
      <c r="R49">
        <v>12937.470000000003</v>
      </c>
      <c r="S49">
        <v>8068.0599999999995</v>
      </c>
      <c r="T49">
        <v>8936.31</v>
      </c>
      <c r="U49">
        <v>14370.849999999999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f>SUMPRODUCT(DB_HighSOF[[#This Row],[Plan01]:[Plan12]],$D$4:$O$4)/valUnits2</f>
        <v>54.339603999999994</v>
      </c>
      <c r="AC49">
        <f>SUMPRODUCT(DB_HighSOF[[#This Row],[Act01]:[Act12]],$P$4:$AA$4)/valUnits2</f>
        <v>58.471429999999998</v>
      </c>
      <c r="AD49">
        <f>DB_HighSOF[[#This Row],[Actual]]-DB_HighSOF[[#This Row],[Plan]]</f>
        <v>4.1318260000000038</v>
      </c>
      <c r="AE49">
        <f>IF(DB_HighSOF[[#This Row],[Plan]]&lt;&gt;0,DB_HighSOF[[#This Row],[Actual]]/DB_HighSOF[[#This Row],[Plan]],1.000011000011)</f>
        <v>1.0760371017793948</v>
      </c>
    </row>
    <row r="50" spans="1:31" hidden="1" x14ac:dyDescent="0.2">
      <c r="A50">
        <f>SUBTOTAL(3,$B$6:B50)</f>
        <v>19</v>
      </c>
      <c r="B50" t="s">
        <v>351</v>
      </c>
      <c r="C50" t="s">
        <v>920</v>
      </c>
      <c r="I50">
        <v>0</v>
      </c>
      <c r="U50">
        <v>3898.23</v>
      </c>
      <c r="AB50">
        <f>SUMPRODUCT(DB_HighSOF[[#This Row],[Plan01]:[Plan12]],$D$4:$O$4)/valUnits2</f>
        <v>0</v>
      </c>
      <c r="AC50">
        <f>SUMPRODUCT(DB_HighSOF[[#This Row],[Act01]:[Act12]],$P$4:$AA$4)/valUnits2</f>
        <v>3.8982299999999999</v>
      </c>
      <c r="AD50">
        <f>DB_HighSOF[[#This Row],[Actual]]-DB_HighSOF[[#This Row],[Plan]]</f>
        <v>3.8982299999999999</v>
      </c>
      <c r="AE50">
        <f>IF(DB_HighSOF[[#This Row],[Plan]]&lt;&gt;0,DB_HighSOF[[#This Row],[Actual]]/DB_HighSOF[[#This Row],[Plan]],1.000011000011)</f>
        <v>1.0000110000110001</v>
      </c>
    </row>
    <row r="51" spans="1:31" hidden="1" x14ac:dyDescent="0.2">
      <c r="A51">
        <f>SUBTOTAL(3,$B$6:B51)</f>
        <v>19</v>
      </c>
      <c r="B51" t="s">
        <v>344</v>
      </c>
      <c r="C51" t="s">
        <v>922</v>
      </c>
      <c r="D51">
        <v>4938.1909999999998</v>
      </c>
      <c r="E51">
        <v>8108.5540000000001</v>
      </c>
      <c r="F51">
        <v>12100.385999999997</v>
      </c>
      <c r="G51">
        <v>6925.5629999999992</v>
      </c>
      <c r="H51">
        <v>8256.0329999999994</v>
      </c>
      <c r="I51">
        <v>8802.25</v>
      </c>
      <c r="J51">
        <v>8802.25</v>
      </c>
      <c r="K51">
        <v>8802.2499999999982</v>
      </c>
      <c r="L51">
        <v>8802.25</v>
      </c>
      <c r="M51">
        <v>8802.2499999999982</v>
      </c>
      <c r="N51">
        <v>8802.2499999999982</v>
      </c>
      <c r="O51">
        <v>8802.2499999999982</v>
      </c>
      <c r="P51">
        <v>4850.2700000000004</v>
      </c>
      <c r="Q51">
        <v>8309.869999999999</v>
      </c>
      <c r="R51">
        <v>12241.170000000004</v>
      </c>
      <c r="S51">
        <v>6880.1399999999994</v>
      </c>
      <c r="T51">
        <v>8210.0500000000011</v>
      </c>
      <c r="U51">
        <v>13599.839999999998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f>SUMPRODUCT(DB_HighSOF[[#This Row],[Plan01]:[Plan12]],$D$4:$O$4)/valUnits2</f>
        <v>49.130976999999994</v>
      </c>
      <c r="AC51">
        <f>SUMPRODUCT(DB_HighSOF[[#This Row],[Act01]:[Act12]],$P$4:$AA$4)/valUnits2</f>
        <v>54.091340000000002</v>
      </c>
      <c r="AD51">
        <f>DB_HighSOF[[#This Row],[Actual]]-DB_HighSOF[[#This Row],[Plan]]</f>
        <v>4.9603630000000081</v>
      </c>
      <c r="AE51">
        <f>IF(DB_HighSOF[[#This Row],[Plan]]&lt;&gt;0,DB_HighSOF[[#This Row],[Actual]]/DB_HighSOF[[#This Row],[Plan]],1.000011000011)</f>
        <v>1.1009620264624498</v>
      </c>
    </row>
    <row r="52" spans="1:31" x14ac:dyDescent="0.2">
      <c r="A52">
        <f>SUBTOTAL(3,$B$6:B52)</f>
        <v>20</v>
      </c>
      <c r="B52" t="s">
        <v>1</v>
      </c>
      <c r="C52" t="s">
        <v>920</v>
      </c>
      <c r="H52">
        <v>774.19</v>
      </c>
      <c r="I52">
        <v>0</v>
      </c>
      <c r="T52">
        <v>774.19</v>
      </c>
      <c r="U52">
        <v>3898.23</v>
      </c>
      <c r="AB52">
        <f>SUMPRODUCT(DB_HighSOF[[#This Row],[Plan01]:[Plan12]],$D$4:$O$4)/valUnits2</f>
        <v>0.77419000000000004</v>
      </c>
      <c r="AC52">
        <f>SUMPRODUCT(DB_HighSOF[[#This Row],[Act01]:[Act12]],$P$4:$AA$4)/valUnits2</f>
        <v>4.6724199999999998</v>
      </c>
      <c r="AD52">
        <f>DB_HighSOF[[#This Row],[Actual]]-DB_HighSOF[[#This Row],[Plan]]</f>
        <v>3.8982299999999999</v>
      </c>
      <c r="AE52">
        <f>IF(DB_HighSOF[[#This Row],[Plan]]&lt;&gt;0,DB_HighSOF[[#This Row],[Actual]]/DB_HighSOF[[#This Row],[Plan]],1.000011000011)</f>
        <v>6.0352368281687951</v>
      </c>
    </row>
    <row r="53" spans="1:31" hidden="1" x14ac:dyDescent="0.2">
      <c r="A53">
        <f>SUBTOTAL(3,$B$6:B53)</f>
        <v>20</v>
      </c>
      <c r="B53" t="s">
        <v>346</v>
      </c>
      <c r="C53" t="s">
        <v>361</v>
      </c>
      <c r="D53">
        <v>29175.424999999999</v>
      </c>
      <c r="E53">
        <v>5391.5889999999999</v>
      </c>
      <c r="F53">
        <v>3659.3919999999985</v>
      </c>
      <c r="G53">
        <v>15298.188000000002</v>
      </c>
      <c r="H53">
        <v>5988.0909999999985</v>
      </c>
      <c r="I53">
        <v>14621.733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29736.309999999998</v>
      </c>
      <c r="Q53">
        <v>5419.88</v>
      </c>
      <c r="R53">
        <v>3689.6900000000023</v>
      </c>
      <c r="S53">
        <v>14909.33</v>
      </c>
      <c r="T53">
        <v>6076.8099999999986</v>
      </c>
      <c r="U53">
        <v>19202.489999999998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f>SUMPRODUCT(DB_HighSOF[[#This Row],[Plan01]:[Plan12]],$D$4:$O$4)/valUnits2</f>
        <v>74.134418000000011</v>
      </c>
      <c r="AC53">
        <f>SUMPRODUCT(DB_HighSOF[[#This Row],[Act01]:[Act12]],$P$4:$AA$4)/valUnits2</f>
        <v>79.034509999999997</v>
      </c>
      <c r="AD53">
        <f>DB_HighSOF[[#This Row],[Actual]]-DB_HighSOF[[#This Row],[Plan]]</f>
        <v>4.9000919999999866</v>
      </c>
      <c r="AE53">
        <f>IF(DB_HighSOF[[#This Row],[Plan]]&lt;&gt;0,DB_HighSOF[[#This Row],[Actual]]/DB_HighSOF[[#This Row],[Plan]],1.000011000011)</f>
        <v>1.0660973962188518</v>
      </c>
    </row>
    <row r="54" spans="1:31" hidden="1" x14ac:dyDescent="0.2">
      <c r="A54">
        <f>SUBTOTAL(3,$B$6:B54)</f>
        <v>20</v>
      </c>
      <c r="B54" t="s">
        <v>348</v>
      </c>
      <c r="C54" t="s">
        <v>869</v>
      </c>
      <c r="D54">
        <v>6657.1099999999969</v>
      </c>
      <c r="E54">
        <v>136997.63</v>
      </c>
      <c r="F54">
        <v>87911.99</v>
      </c>
      <c r="G54">
        <v>5121.0699999999943</v>
      </c>
      <c r="H54">
        <v>156116.84</v>
      </c>
      <c r="I54">
        <v>5042.5</v>
      </c>
      <c r="J54">
        <v>5042.5</v>
      </c>
      <c r="K54">
        <v>5042.5</v>
      </c>
      <c r="L54">
        <v>5042.5</v>
      </c>
      <c r="M54">
        <v>5042.5</v>
      </c>
      <c r="N54">
        <v>5042.5</v>
      </c>
      <c r="O54">
        <v>5042.5</v>
      </c>
      <c r="P54">
        <v>6657.1100000000006</v>
      </c>
      <c r="Q54">
        <v>136997.63</v>
      </c>
      <c r="R54">
        <v>87911.990000000034</v>
      </c>
      <c r="S54">
        <v>5121.0700000000006</v>
      </c>
      <c r="T54">
        <v>156116.84</v>
      </c>
      <c r="U54">
        <v>9420.43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f>SUMPRODUCT(DB_HighSOF[[#This Row],[Plan01]:[Plan12]],$D$4:$O$4)/valUnits2</f>
        <v>397.84714000000002</v>
      </c>
      <c r="AC54">
        <f>SUMPRODUCT(DB_HighSOF[[#This Row],[Act01]:[Act12]],$P$4:$AA$4)/valUnits2</f>
        <v>402.22507000000002</v>
      </c>
      <c r="AD54">
        <f>DB_HighSOF[[#This Row],[Actual]]-DB_HighSOF[[#This Row],[Plan]]</f>
        <v>4.3779299999999921</v>
      </c>
      <c r="AE54">
        <f>IF(DB_HighSOF[[#This Row],[Plan]]&lt;&gt;0,DB_HighSOF[[#This Row],[Actual]]/DB_HighSOF[[#This Row],[Plan]],1.000011000011)</f>
        <v>1.0110040504501301</v>
      </c>
    </row>
    <row r="55" spans="1:31" hidden="1" x14ac:dyDescent="0.2">
      <c r="A55">
        <f>SUBTOTAL(3,$B$6:B55)</f>
        <v>20</v>
      </c>
      <c r="B55" t="s">
        <v>350</v>
      </c>
      <c r="C55" t="s">
        <v>869</v>
      </c>
      <c r="D55">
        <v>906.89</v>
      </c>
      <c r="E55">
        <v>5202.9599999999991</v>
      </c>
      <c r="F55">
        <v>5569.579999999999</v>
      </c>
      <c r="G55">
        <v>4203.3500000000004</v>
      </c>
      <c r="H55">
        <v>2468.5900000000006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906.89</v>
      </c>
      <c r="Q55">
        <v>5202.9599999999991</v>
      </c>
      <c r="R55">
        <v>5569.579999999999</v>
      </c>
      <c r="S55">
        <v>4203.3500000000004</v>
      </c>
      <c r="T55">
        <v>2468.59</v>
      </c>
      <c r="U55">
        <v>4344.22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f>SUMPRODUCT(DB_HighSOF[[#This Row],[Plan01]:[Plan12]],$D$4:$O$4)/valUnits2</f>
        <v>18.351369999999999</v>
      </c>
      <c r="AC55">
        <f>SUMPRODUCT(DB_HighSOF[[#This Row],[Act01]:[Act12]],$P$4:$AA$4)/valUnits2</f>
        <v>22.695589999999999</v>
      </c>
      <c r="AD55">
        <f>DB_HighSOF[[#This Row],[Actual]]-DB_HighSOF[[#This Row],[Plan]]</f>
        <v>4.34422</v>
      </c>
      <c r="AE55">
        <f>IF(DB_HighSOF[[#This Row],[Plan]]&lt;&gt;0,DB_HighSOF[[#This Row],[Actual]]/DB_HighSOF[[#This Row],[Plan]],1.000011000011)</f>
        <v>1.236724560618635</v>
      </c>
    </row>
    <row r="56" spans="1:31" hidden="1" x14ac:dyDescent="0.2">
      <c r="A56">
        <f>SUBTOTAL(3,$B$6:B56)</f>
        <v>20</v>
      </c>
      <c r="B56" t="s">
        <v>350</v>
      </c>
      <c r="C56" t="s">
        <v>858</v>
      </c>
      <c r="E56">
        <v>4734.6399999999994</v>
      </c>
      <c r="F56">
        <v>2513.9099999999994</v>
      </c>
      <c r="G56">
        <v>4584.4300000000012</v>
      </c>
      <c r="H56">
        <v>3285.32</v>
      </c>
      <c r="I56">
        <v>0</v>
      </c>
      <c r="Q56">
        <v>4734.6399999999985</v>
      </c>
      <c r="R56">
        <v>2513.9099999999994</v>
      </c>
      <c r="S56">
        <v>4584.5700000000006</v>
      </c>
      <c r="T56">
        <v>3285.32</v>
      </c>
      <c r="U56">
        <v>4095.6200000000003</v>
      </c>
      <c r="AB56" s="34">
        <f>SUMPRODUCT(DB_HighSOF[[#This Row],[Plan01]:[Plan12]],$D$4:$O$4)/valUnits2</f>
        <v>15.1183</v>
      </c>
      <c r="AC56" s="34">
        <f>SUMPRODUCT(DB_HighSOF[[#This Row],[Act01]:[Act12]],$P$4:$AA$4)/valUnits2</f>
        <v>19.214059999999996</v>
      </c>
      <c r="AD56" s="34">
        <f>DB_HighSOF[[#This Row],[Actual]]-DB_HighSOF[[#This Row],[Plan]]</f>
        <v>4.0957599999999967</v>
      </c>
      <c r="AE56" s="34">
        <f>IF(DB_HighSOF[[#This Row],[Plan]]&lt;&gt;0,DB_HighSOF[[#This Row],[Actual]]/DB_HighSOF[[#This Row],[Plan]],1.000011000011)</f>
        <v>1.2709140577975035</v>
      </c>
    </row>
    <row r="57" spans="1:31" hidden="1" x14ac:dyDescent="0.2">
      <c r="A57">
        <f>SUBTOTAL(3,$B$6:B57)</f>
        <v>20</v>
      </c>
      <c r="B57" t="s">
        <v>351</v>
      </c>
      <c r="C57" t="s">
        <v>842</v>
      </c>
      <c r="D57">
        <v>0</v>
      </c>
      <c r="E57">
        <v>0</v>
      </c>
      <c r="F57">
        <v>0</v>
      </c>
      <c r="G57">
        <v>6568.3650000000007</v>
      </c>
      <c r="H57">
        <v>15049.647999999999</v>
      </c>
      <c r="I57">
        <v>4308.8690000000006</v>
      </c>
      <c r="J57">
        <v>4308.8690000000006</v>
      </c>
      <c r="K57">
        <v>4308.8690000000006</v>
      </c>
      <c r="L57">
        <v>4308.8690000000006</v>
      </c>
      <c r="M57">
        <v>4308.8690000000006</v>
      </c>
      <c r="N57">
        <v>4308.8690000000006</v>
      </c>
      <c r="O57">
        <v>4308.8690000000006</v>
      </c>
      <c r="P57">
        <v>0</v>
      </c>
      <c r="Q57">
        <v>0</v>
      </c>
      <c r="R57">
        <v>0</v>
      </c>
      <c r="S57">
        <v>6608.53</v>
      </c>
      <c r="T57">
        <v>15037.320000000002</v>
      </c>
      <c r="U57">
        <v>7789.76</v>
      </c>
      <c r="V57">
        <v>3097</v>
      </c>
      <c r="W57">
        <v>0</v>
      </c>
      <c r="X57">
        <v>0</v>
      </c>
      <c r="Y57">
        <v>0</v>
      </c>
      <c r="Z57">
        <v>0</v>
      </c>
      <c r="AA57">
        <v>0</v>
      </c>
      <c r="AB57">
        <f>SUMPRODUCT(DB_HighSOF[[#This Row],[Plan01]:[Plan12]],$D$4:$O$4)/valUnits2</f>
        <v>25.926881999999999</v>
      </c>
      <c r="AC57">
        <f>SUMPRODUCT(DB_HighSOF[[#This Row],[Act01]:[Act12]],$P$4:$AA$4)/valUnits2</f>
        <v>29.43561</v>
      </c>
      <c r="AD57">
        <f>DB_HighSOF[[#This Row],[Actual]]-DB_HighSOF[[#This Row],[Plan]]</f>
        <v>3.5087280000000014</v>
      </c>
      <c r="AE57">
        <f>IF(DB_HighSOF[[#This Row],[Plan]]&lt;&gt;0,DB_HighSOF[[#This Row],[Actual]]/DB_HighSOF[[#This Row],[Plan]],1.000011000011)</f>
        <v>1.1353316607835837</v>
      </c>
    </row>
    <row r="58" spans="1:31" x14ac:dyDescent="0.2">
      <c r="A58">
        <f>SUBTOTAL(3,$B$6:B58)</f>
        <v>21</v>
      </c>
      <c r="B58" t="s">
        <v>1</v>
      </c>
      <c r="C58" t="s">
        <v>361</v>
      </c>
      <c r="D58">
        <v>29175.424999999999</v>
      </c>
      <c r="E58">
        <v>5391.5889999999999</v>
      </c>
      <c r="F58">
        <v>3659.3919999999985</v>
      </c>
      <c r="G58">
        <v>15700.725000000002</v>
      </c>
      <c r="H58">
        <v>8148.735999999999</v>
      </c>
      <c r="I58">
        <v>16049.362999999999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29736.309999999998</v>
      </c>
      <c r="Q58">
        <v>5419.88</v>
      </c>
      <c r="R58">
        <v>3689.6900000000023</v>
      </c>
      <c r="S58">
        <v>15319.59</v>
      </c>
      <c r="T58">
        <v>8271.23</v>
      </c>
      <c r="U58">
        <v>19320.499999999996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f>SUMPRODUCT(DB_HighSOF[[#This Row],[Plan01]:[Plan12]],$D$4:$O$4)/valUnits2</f>
        <v>78.125230000000002</v>
      </c>
      <c r="AC58">
        <f>SUMPRODUCT(DB_HighSOF[[#This Row],[Act01]:[Act12]],$P$4:$AA$4)/valUnits2</f>
        <v>81.757199999999997</v>
      </c>
      <c r="AD58">
        <f>DB_HighSOF[[#This Row],[Actual]]-DB_HighSOF[[#This Row],[Plan]]</f>
        <v>3.6319699999999955</v>
      </c>
      <c r="AE58">
        <f>IF(DB_HighSOF[[#This Row],[Plan]]&lt;&gt;0,DB_HighSOF[[#This Row],[Actual]]/DB_HighSOF[[#This Row],[Plan]],1.000011000011)</f>
        <v>1.046489079136151</v>
      </c>
    </row>
    <row r="59" spans="1:31" x14ac:dyDescent="0.2">
      <c r="A59">
        <f>SUBTOTAL(3,$B$6:B59)</f>
        <v>22</v>
      </c>
      <c r="B59" t="s">
        <v>1</v>
      </c>
      <c r="C59" t="s">
        <v>915</v>
      </c>
      <c r="D59">
        <v>880.13199999999847</v>
      </c>
      <c r="E59">
        <v>1441.981999999997</v>
      </c>
      <c r="F59">
        <v>18976.839</v>
      </c>
      <c r="G59">
        <v>2612.8969999999999</v>
      </c>
      <c r="H59">
        <v>7049.7320000000018</v>
      </c>
      <c r="I59">
        <v>8621.3840000000018</v>
      </c>
      <c r="J59">
        <v>9366.5570000000007</v>
      </c>
      <c r="K59">
        <v>10773.963</v>
      </c>
      <c r="L59">
        <v>9489.8450000000012</v>
      </c>
      <c r="M59">
        <v>9305.0670000000009</v>
      </c>
      <c r="N59">
        <v>9142.3990000000031</v>
      </c>
      <c r="O59">
        <v>8681.2300000000014</v>
      </c>
      <c r="P59">
        <v>884.57000000000028</v>
      </c>
      <c r="Q59">
        <v>1476.3400000000026</v>
      </c>
      <c r="R59">
        <v>18796.16</v>
      </c>
      <c r="S59">
        <v>2549.13</v>
      </c>
      <c r="T59">
        <v>7195.7999999999993</v>
      </c>
      <c r="U59">
        <v>12128.260000000002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f>SUMPRODUCT(DB_HighSOF[[#This Row],[Plan01]:[Plan12]],$D$4:$O$4)/valUnits2</f>
        <v>39.582965999999999</v>
      </c>
      <c r="AC59">
        <f>SUMPRODUCT(DB_HighSOF[[#This Row],[Act01]:[Act12]],$P$4:$AA$4)/valUnits2</f>
        <v>43.030260000000013</v>
      </c>
      <c r="AD59">
        <f>DB_HighSOF[[#This Row],[Actual]]-DB_HighSOF[[#This Row],[Plan]]</f>
        <v>3.4472940000000136</v>
      </c>
      <c r="AE59">
        <f>IF(DB_HighSOF[[#This Row],[Plan]]&lt;&gt;0,DB_HighSOF[[#This Row],[Actual]]/DB_HighSOF[[#This Row],[Plan]],1.000011000011)</f>
        <v>1.0870903408299422</v>
      </c>
    </row>
    <row r="60" spans="1:31" hidden="1" x14ac:dyDescent="0.2">
      <c r="A60">
        <f>SUBTOTAL(3,$B$6:B60)</f>
        <v>22</v>
      </c>
      <c r="B60" t="s">
        <v>351</v>
      </c>
      <c r="C60" t="s">
        <v>915</v>
      </c>
      <c r="D60">
        <v>0</v>
      </c>
      <c r="E60">
        <v>286.40100000000001</v>
      </c>
      <c r="F60">
        <v>324.58999999999997</v>
      </c>
      <c r="G60">
        <v>1237.4110000000001</v>
      </c>
      <c r="H60">
        <v>6124.0410000000011</v>
      </c>
      <c r="I60">
        <v>373.60599999999999</v>
      </c>
      <c r="J60">
        <v>373.60599999999999</v>
      </c>
      <c r="K60">
        <v>373.60599999999999</v>
      </c>
      <c r="L60">
        <v>373.60599999999999</v>
      </c>
      <c r="M60">
        <v>373.60599999999999</v>
      </c>
      <c r="N60">
        <v>373.60599999999999</v>
      </c>
      <c r="O60">
        <v>373.60599999999999</v>
      </c>
      <c r="P60">
        <v>0</v>
      </c>
      <c r="Q60">
        <v>293.54000000000002</v>
      </c>
      <c r="R60">
        <v>320.03999999999996</v>
      </c>
      <c r="S60">
        <v>1202.77</v>
      </c>
      <c r="T60">
        <v>6258.4699999999993</v>
      </c>
      <c r="U60">
        <v>3756.6200000000003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f>SUMPRODUCT(DB_HighSOF[[#This Row],[Plan01]:[Plan12]],$D$4:$O$4)/valUnits2</f>
        <v>8.3460490000000007</v>
      </c>
      <c r="AC60">
        <f>SUMPRODUCT(DB_HighSOF[[#This Row],[Act01]:[Act12]],$P$4:$AA$4)/valUnits2</f>
        <v>11.831440000000001</v>
      </c>
      <c r="AD60">
        <f>DB_HighSOF[[#This Row],[Actual]]-DB_HighSOF[[#This Row],[Plan]]</f>
        <v>3.4853909999999999</v>
      </c>
      <c r="AE60">
        <f>IF(DB_HighSOF[[#This Row],[Plan]]&lt;&gt;0,DB_HighSOF[[#This Row],[Actual]]/DB_HighSOF[[#This Row],[Plan]],1.000011000011)</f>
        <v>1.4176096977144514</v>
      </c>
    </row>
    <row r="61" spans="1:31" x14ac:dyDescent="0.2">
      <c r="A61">
        <f>SUBTOTAL(3,$B$6:B61)</f>
        <v>23</v>
      </c>
      <c r="B61" t="s">
        <v>1</v>
      </c>
      <c r="C61" t="s">
        <v>363</v>
      </c>
      <c r="I61">
        <v>0</v>
      </c>
      <c r="U61">
        <v>2877.3</v>
      </c>
      <c r="AB61">
        <f>SUMPRODUCT(DB_HighSOF[[#This Row],[Plan01]:[Plan12]],$D$4:$O$4)/valUnits2</f>
        <v>0</v>
      </c>
      <c r="AC61">
        <f>SUMPRODUCT(DB_HighSOF[[#This Row],[Act01]:[Act12]],$P$4:$AA$4)/valUnits2</f>
        <v>2.8773</v>
      </c>
      <c r="AD61">
        <f>DB_HighSOF[[#This Row],[Actual]]-DB_HighSOF[[#This Row],[Plan]]</f>
        <v>2.8773</v>
      </c>
      <c r="AE61">
        <f>IF(DB_HighSOF[[#This Row],[Plan]]&lt;&gt;0,DB_HighSOF[[#This Row],[Actual]]/DB_HighSOF[[#This Row],[Plan]],1.000011000011)</f>
        <v>1.0000110000110001</v>
      </c>
    </row>
    <row r="62" spans="1:31" hidden="1" x14ac:dyDescent="0.2">
      <c r="A62">
        <f>SUBTOTAL(3,$B$6:B62)</f>
        <v>23</v>
      </c>
      <c r="B62" t="s">
        <v>351</v>
      </c>
      <c r="C62" t="s">
        <v>890</v>
      </c>
      <c r="E62">
        <v>0</v>
      </c>
      <c r="F62">
        <v>0</v>
      </c>
      <c r="G62">
        <v>2763.7729999999997</v>
      </c>
      <c r="H62">
        <v>1628.095</v>
      </c>
      <c r="I62">
        <v>562.83600000000001</v>
      </c>
      <c r="J62">
        <v>562.83600000000001</v>
      </c>
      <c r="K62">
        <v>562.83600000000001</v>
      </c>
      <c r="L62">
        <v>562.83600000000001</v>
      </c>
      <c r="M62">
        <v>562.83600000000001</v>
      </c>
      <c r="N62">
        <v>562.83600000000001</v>
      </c>
      <c r="O62">
        <v>562.83600000000001</v>
      </c>
      <c r="Q62">
        <v>0</v>
      </c>
      <c r="R62">
        <v>0</v>
      </c>
      <c r="S62">
        <v>2784.2000000000007</v>
      </c>
      <c r="T62">
        <v>1639.22</v>
      </c>
      <c r="U62">
        <v>3333.85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f>SUMPRODUCT(DB_HighSOF[[#This Row],[Plan01]:[Plan12]],$D$4:$O$4)/valUnits2</f>
        <v>4.9547039999999996</v>
      </c>
      <c r="AC62">
        <f>SUMPRODUCT(DB_HighSOF[[#This Row],[Act01]:[Act12]],$P$4:$AA$4)/valUnits2</f>
        <v>7.7572700000000001</v>
      </c>
      <c r="AD62">
        <f>DB_HighSOF[[#This Row],[Actual]]-DB_HighSOF[[#This Row],[Plan]]</f>
        <v>2.8025660000000006</v>
      </c>
      <c r="AE62">
        <f>IF(DB_HighSOF[[#This Row],[Plan]]&lt;&gt;0,DB_HighSOF[[#This Row],[Actual]]/DB_HighSOF[[#This Row],[Plan]],1.000011000011)</f>
        <v>1.5656374225382588</v>
      </c>
    </row>
    <row r="63" spans="1:31" hidden="1" x14ac:dyDescent="0.2">
      <c r="A63">
        <f>SUBTOTAL(3,$B$6:B63)</f>
        <v>23</v>
      </c>
      <c r="B63" t="s">
        <v>351</v>
      </c>
      <c r="C63" t="s">
        <v>867</v>
      </c>
      <c r="I63">
        <v>0</v>
      </c>
      <c r="U63">
        <v>2402.1600000000003</v>
      </c>
      <c r="AB63" s="34">
        <f>SUMPRODUCT(DB_HighSOF[[#This Row],[Plan01]:[Plan12]],$D$4:$O$4)/valUnits2</f>
        <v>0</v>
      </c>
      <c r="AC63" s="34">
        <f>SUMPRODUCT(DB_HighSOF[[#This Row],[Act01]:[Act12]],$P$4:$AA$4)/valUnits2</f>
        <v>2.4021600000000003</v>
      </c>
      <c r="AD63" s="34">
        <f>DB_HighSOF[[#This Row],[Actual]]-DB_HighSOF[[#This Row],[Plan]]</f>
        <v>2.4021600000000003</v>
      </c>
      <c r="AE63" s="34">
        <f>IF(DB_HighSOF[[#This Row],[Plan]]&lt;&gt;0,DB_HighSOF[[#This Row],[Actual]]/DB_HighSOF[[#This Row],[Plan]],1.000011000011)</f>
        <v>1.0000110000110001</v>
      </c>
    </row>
    <row r="64" spans="1:31" x14ac:dyDescent="0.2">
      <c r="A64">
        <f>SUBTOTAL(3,$B$6:B64)</f>
        <v>24</v>
      </c>
      <c r="B64" t="s">
        <v>1</v>
      </c>
      <c r="C64" t="s">
        <v>897</v>
      </c>
      <c r="I64">
        <v>0</v>
      </c>
      <c r="U64">
        <v>2165.89</v>
      </c>
      <c r="AB64">
        <f>SUMPRODUCT(DB_HighSOF[[#This Row],[Plan01]:[Plan12]],$D$4:$O$4)/valUnits2</f>
        <v>0</v>
      </c>
      <c r="AC64">
        <f>SUMPRODUCT(DB_HighSOF[[#This Row],[Act01]:[Act12]],$P$4:$AA$4)/valUnits2</f>
        <v>2.1658900000000001</v>
      </c>
      <c r="AD64">
        <f>DB_HighSOF[[#This Row],[Actual]]-DB_HighSOF[[#This Row],[Plan]]</f>
        <v>2.1658900000000001</v>
      </c>
      <c r="AE64">
        <f>IF(DB_HighSOF[[#This Row],[Plan]]&lt;&gt;0,DB_HighSOF[[#This Row],[Actual]]/DB_HighSOF[[#This Row],[Plan]],1.000011000011)</f>
        <v>1.0000110000110001</v>
      </c>
    </row>
    <row r="65" spans="1:31" x14ac:dyDescent="0.2">
      <c r="A65">
        <f>SUBTOTAL(3,$B$6:B65)</f>
        <v>25</v>
      </c>
      <c r="B65" t="s">
        <v>1</v>
      </c>
      <c r="C65" t="s">
        <v>929</v>
      </c>
      <c r="D65">
        <v>100429.58600000002</v>
      </c>
      <c r="E65">
        <v>4862.5889999999927</v>
      </c>
      <c r="F65">
        <v>4520.7889999999998</v>
      </c>
      <c r="G65">
        <v>8208.2209999999977</v>
      </c>
      <c r="H65">
        <v>29778.160999999993</v>
      </c>
      <c r="I65">
        <v>0</v>
      </c>
      <c r="P65">
        <v>97391.64</v>
      </c>
      <c r="Q65">
        <v>4973.7900000000009</v>
      </c>
      <c r="R65">
        <v>4562.5299999999988</v>
      </c>
      <c r="S65">
        <v>8142.8599999999979</v>
      </c>
      <c r="T65">
        <v>29445.670000000006</v>
      </c>
      <c r="U65">
        <v>5213.4699999999993</v>
      </c>
      <c r="AB65">
        <f>SUMPRODUCT(DB_HighSOF[[#This Row],[Plan01]:[Plan12]],$D$4:$O$4)/valUnits2</f>
        <v>147.79934600000001</v>
      </c>
      <c r="AC65">
        <f>SUMPRODUCT(DB_HighSOF[[#This Row],[Act01]:[Act12]],$P$4:$AA$4)/valUnits2</f>
        <v>149.72996000000001</v>
      </c>
      <c r="AD65">
        <f>DB_HighSOF[[#This Row],[Actual]]-DB_HighSOF[[#This Row],[Plan]]</f>
        <v>1.9306139999999914</v>
      </c>
      <c r="AE65">
        <f>IF(DB_HighSOF[[#This Row],[Plan]]&lt;&gt;0,DB_HighSOF[[#This Row],[Actual]]/DB_HighSOF[[#This Row],[Plan]],1.000011000011)</f>
        <v>1.0130623988011422</v>
      </c>
    </row>
    <row r="66" spans="1:31" hidden="1" x14ac:dyDescent="0.2">
      <c r="A66">
        <f>SUBTOTAL(3,$B$6:B66)</f>
        <v>25</v>
      </c>
      <c r="B66" t="s">
        <v>342</v>
      </c>
      <c r="C66" t="s">
        <v>363</v>
      </c>
      <c r="I66">
        <v>0</v>
      </c>
      <c r="U66">
        <v>2877.3</v>
      </c>
      <c r="AB66">
        <f>SUMPRODUCT(DB_HighSOF[[#This Row],[Plan01]:[Plan12]],$D$4:$O$4)/valUnits2</f>
        <v>0</v>
      </c>
      <c r="AC66">
        <f>SUMPRODUCT(DB_HighSOF[[#This Row],[Act01]:[Act12]],$P$4:$AA$4)/valUnits2</f>
        <v>2.8773</v>
      </c>
      <c r="AD66">
        <f>DB_HighSOF[[#This Row],[Actual]]-DB_HighSOF[[#This Row],[Plan]]</f>
        <v>2.8773</v>
      </c>
      <c r="AE66">
        <f>IF(DB_HighSOF[[#This Row],[Plan]]&lt;&gt;0,DB_HighSOF[[#This Row],[Actual]]/DB_HighSOF[[#This Row],[Plan]],1.000011000011)</f>
        <v>1.0000110000110001</v>
      </c>
    </row>
    <row r="67" spans="1:31" hidden="1" x14ac:dyDescent="0.2">
      <c r="A67">
        <f>SUBTOTAL(3,$B$6:B67)</f>
        <v>25</v>
      </c>
      <c r="B67" t="s">
        <v>351</v>
      </c>
      <c r="C67" t="s">
        <v>849</v>
      </c>
      <c r="G67">
        <v>10.608000000000001</v>
      </c>
      <c r="H67">
        <v>19.908000000000001</v>
      </c>
      <c r="I67">
        <v>0</v>
      </c>
      <c r="S67">
        <v>10.27</v>
      </c>
      <c r="T67">
        <v>20.059999999999999</v>
      </c>
      <c r="U67">
        <v>2191.9499999999998</v>
      </c>
      <c r="AB67">
        <f>SUMPRODUCT(DB_HighSOF[[#This Row],[Plan01]:[Plan12]],$D$4:$O$4)/valUnits2</f>
        <v>3.0516000000000001E-2</v>
      </c>
      <c r="AC67">
        <f>SUMPRODUCT(DB_HighSOF[[#This Row],[Act01]:[Act12]],$P$4:$AA$4)/valUnits2</f>
        <v>2.2222799999999996</v>
      </c>
      <c r="AD67">
        <f>DB_HighSOF[[#This Row],[Actual]]-DB_HighSOF[[#This Row],[Plan]]</f>
        <v>2.1917639999999996</v>
      </c>
      <c r="AE67">
        <f>IF(DB_HighSOF[[#This Row],[Plan]]&lt;&gt;0,DB_HighSOF[[#This Row],[Actual]]/DB_HighSOF[[#This Row],[Plan]],1.000011000011)</f>
        <v>72.823436885568213</v>
      </c>
    </row>
    <row r="68" spans="1:31" hidden="1" x14ac:dyDescent="0.2">
      <c r="A68">
        <f>SUBTOTAL(3,$B$6:B68)</f>
        <v>25</v>
      </c>
      <c r="B68" t="s">
        <v>349</v>
      </c>
      <c r="C68" t="s">
        <v>929</v>
      </c>
      <c r="D68">
        <v>100429.58600000002</v>
      </c>
      <c r="E68">
        <v>4660.8649999999934</v>
      </c>
      <c r="F68">
        <v>4463.3589999999995</v>
      </c>
      <c r="G68">
        <v>7926.9449999999988</v>
      </c>
      <c r="H68">
        <v>29293.170999999991</v>
      </c>
      <c r="I68">
        <v>0</v>
      </c>
      <c r="P68">
        <v>97391.64</v>
      </c>
      <c r="Q68">
        <v>4769.920000000001</v>
      </c>
      <c r="R68">
        <v>4504.579999999999</v>
      </c>
      <c r="S68">
        <v>7863.3499999999976</v>
      </c>
      <c r="T68">
        <v>28966.140000000003</v>
      </c>
      <c r="U68">
        <v>5481.8099999999995</v>
      </c>
      <c r="AB68">
        <f>SUMPRODUCT(DB_HighSOF[[#This Row],[Plan01]:[Plan12]],$D$4:$O$4)/valUnits2</f>
        <v>146.77392600000002</v>
      </c>
      <c r="AC68">
        <f>SUMPRODUCT(DB_HighSOF[[#This Row],[Act01]:[Act12]],$P$4:$AA$4)/valUnits2</f>
        <v>148.97744</v>
      </c>
      <c r="AD68">
        <f>DB_HighSOF[[#This Row],[Actual]]-DB_HighSOF[[#This Row],[Plan]]</f>
        <v>2.2035139999999842</v>
      </c>
      <c r="AE68">
        <f>IF(DB_HighSOF[[#This Row],[Plan]]&lt;&gt;0,DB_HighSOF[[#This Row],[Actual]]/DB_HighSOF[[#This Row],[Plan]],1.000011000011)</f>
        <v>1.01501297989399</v>
      </c>
    </row>
    <row r="69" spans="1:31" hidden="1" x14ac:dyDescent="0.2">
      <c r="A69">
        <f>SUBTOTAL(3,$B$6:B69)</f>
        <v>25</v>
      </c>
      <c r="B69" t="s">
        <v>342</v>
      </c>
      <c r="C69" t="s">
        <v>849</v>
      </c>
      <c r="I69">
        <v>0</v>
      </c>
      <c r="U69">
        <v>2522.2399999999998</v>
      </c>
      <c r="AB69">
        <f>SUMPRODUCT(DB_HighSOF[[#This Row],[Plan01]:[Plan12]],$D$4:$O$4)/valUnits2</f>
        <v>0</v>
      </c>
      <c r="AC69">
        <f>SUMPRODUCT(DB_HighSOF[[#This Row],[Act01]:[Act12]],$P$4:$AA$4)/valUnits2</f>
        <v>2.5222399999999996</v>
      </c>
      <c r="AD69">
        <f>DB_HighSOF[[#This Row],[Actual]]-DB_HighSOF[[#This Row],[Plan]]</f>
        <v>2.5222399999999996</v>
      </c>
      <c r="AE69">
        <f>IF(DB_HighSOF[[#This Row],[Plan]]&lt;&gt;0,DB_HighSOF[[#This Row],[Actual]]/DB_HighSOF[[#This Row],[Plan]],1.000011000011)</f>
        <v>1.0000110000110001</v>
      </c>
    </row>
    <row r="70" spans="1:31" hidden="1" x14ac:dyDescent="0.2">
      <c r="A70">
        <f>SUBTOTAL(3,$B$6:B70)</f>
        <v>25</v>
      </c>
      <c r="B70" t="s">
        <v>351</v>
      </c>
      <c r="C70" t="s">
        <v>896</v>
      </c>
      <c r="D70">
        <v>22.581</v>
      </c>
      <c r="E70">
        <v>5095.3450000000003</v>
      </c>
      <c r="F70">
        <v>1146.2570000000001</v>
      </c>
      <c r="G70">
        <v>13912.989999999998</v>
      </c>
      <c r="H70">
        <v>10671.215</v>
      </c>
      <c r="I70">
        <v>3397.9030000000002</v>
      </c>
      <c r="J70">
        <v>3397.9030000000002</v>
      </c>
      <c r="K70">
        <v>3397.9030000000002</v>
      </c>
      <c r="L70">
        <v>3397.9030000000002</v>
      </c>
      <c r="M70">
        <v>3397.9030000000002</v>
      </c>
      <c r="N70">
        <v>3397.9030000000002</v>
      </c>
      <c r="O70">
        <v>3397.9030000000002</v>
      </c>
      <c r="P70">
        <v>22.58</v>
      </c>
      <c r="Q70">
        <v>5079.55</v>
      </c>
      <c r="R70">
        <v>1138.79</v>
      </c>
      <c r="S70">
        <v>13857.630000000001</v>
      </c>
      <c r="T70">
        <v>10655.3</v>
      </c>
      <c r="U70">
        <v>5584.85</v>
      </c>
      <c r="V70">
        <v>9292</v>
      </c>
      <c r="W70">
        <v>0</v>
      </c>
      <c r="X70">
        <v>0</v>
      </c>
      <c r="Y70">
        <v>0</v>
      </c>
      <c r="Z70">
        <v>0</v>
      </c>
      <c r="AA70">
        <v>0</v>
      </c>
      <c r="AB70">
        <f>SUMPRODUCT(DB_HighSOF[[#This Row],[Plan01]:[Plan12]],$D$4:$O$4)/valUnits2</f>
        <v>34.246290999999999</v>
      </c>
      <c r="AC70">
        <f>SUMPRODUCT(DB_HighSOF[[#This Row],[Act01]:[Act12]],$P$4:$AA$4)/valUnits2</f>
        <v>36.338700000000003</v>
      </c>
      <c r="AD70">
        <f>DB_HighSOF[[#This Row],[Actual]]-DB_HighSOF[[#This Row],[Plan]]</f>
        <v>2.0924090000000035</v>
      </c>
      <c r="AE70">
        <f>IF(DB_HighSOF[[#This Row],[Plan]]&lt;&gt;0,DB_HighSOF[[#This Row],[Actual]]/DB_HighSOF[[#This Row],[Plan]],1.000011000011)</f>
        <v>1.0610988500915326</v>
      </c>
    </row>
    <row r="71" spans="1:31" hidden="1" x14ac:dyDescent="0.2">
      <c r="A71">
        <f>SUBTOTAL(3,$B$6:B71)</f>
        <v>25</v>
      </c>
      <c r="B71" t="s">
        <v>351</v>
      </c>
      <c r="C71" t="s">
        <v>935</v>
      </c>
      <c r="D71">
        <v>1695.809</v>
      </c>
      <c r="E71">
        <v>6957.4940000000006</v>
      </c>
      <c r="F71">
        <v>6971.6539999999986</v>
      </c>
      <c r="G71">
        <v>22230.314999999999</v>
      </c>
      <c r="H71">
        <v>11853.857000000004</v>
      </c>
      <c r="I71">
        <v>8214.0689999999995</v>
      </c>
      <c r="J71">
        <v>8214.0689999999995</v>
      </c>
      <c r="K71">
        <v>8214.0689999999995</v>
      </c>
      <c r="L71">
        <v>8214.0689999999995</v>
      </c>
      <c r="M71">
        <v>8214.0689999999995</v>
      </c>
      <c r="N71">
        <v>8214.0689999999995</v>
      </c>
      <c r="O71">
        <v>8455.137999999999</v>
      </c>
      <c r="P71">
        <v>1704.6799999999998</v>
      </c>
      <c r="Q71">
        <v>7134.3100000000013</v>
      </c>
      <c r="R71">
        <v>6932.9099999999989</v>
      </c>
      <c r="S71">
        <v>22195.500000000004</v>
      </c>
      <c r="T71">
        <v>11914.34</v>
      </c>
      <c r="U71">
        <v>9924.16</v>
      </c>
      <c r="V71">
        <v>3717</v>
      </c>
      <c r="W71">
        <v>0</v>
      </c>
      <c r="X71">
        <v>0</v>
      </c>
      <c r="Y71">
        <v>0</v>
      </c>
      <c r="Z71">
        <v>0</v>
      </c>
      <c r="AA71">
        <v>0</v>
      </c>
      <c r="AB71">
        <f>SUMPRODUCT(DB_HighSOF[[#This Row],[Plan01]:[Plan12]],$D$4:$O$4)/valUnits2</f>
        <v>57.923198000000006</v>
      </c>
      <c r="AC71">
        <f>SUMPRODUCT(DB_HighSOF[[#This Row],[Act01]:[Act12]],$P$4:$AA$4)/valUnits2</f>
        <v>59.805900000000008</v>
      </c>
      <c r="AD71">
        <f>DB_HighSOF[[#This Row],[Actual]]-DB_HighSOF[[#This Row],[Plan]]</f>
        <v>1.8827020000000019</v>
      </c>
      <c r="AE71">
        <f>IF(DB_HighSOF[[#This Row],[Plan]]&lt;&gt;0,DB_HighSOF[[#This Row],[Actual]]/DB_HighSOF[[#This Row],[Plan]],1.000011000011)</f>
        <v>1.0325034194417235</v>
      </c>
    </row>
    <row r="72" spans="1:31" hidden="1" x14ac:dyDescent="0.2">
      <c r="A72">
        <f>SUBTOTAL(3,$B$6:B72)</f>
        <v>25</v>
      </c>
      <c r="B72" t="s">
        <v>351</v>
      </c>
      <c r="C72" t="s">
        <v>883</v>
      </c>
      <c r="D72">
        <v>61.866999999999997</v>
      </c>
      <c r="E72">
        <v>4252.03</v>
      </c>
      <c r="F72">
        <v>134.13900000000001</v>
      </c>
      <c r="G72">
        <v>12626.182999999999</v>
      </c>
      <c r="H72">
        <v>7002.6720000000005</v>
      </c>
      <c r="I72">
        <v>2633.6320000000001</v>
      </c>
      <c r="J72">
        <v>2633.6320000000001</v>
      </c>
      <c r="K72">
        <v>2633.6320000000001</v>
      </c>
      <c r="L72">
        <v>2615.712</v>
      </c>
      <c r="M72">
        <v>2615.712</v>
      </c>
      <c r="N72">
        <v>2615.712</v>
      </c>
      <c r="O72">
        <v>2615.712</v>
      </c>
      <c r="P72">
        <v>62.19</v>
      </c>
      <c r="Q72">
        <v>4346.71</v>
      </c>
      <c r="R72">
        <v>133.39000000000001</v>
      </c>
      <c r="S72">
        <v>12529.009999999998</v>
      </c>
      <c r="T72">
        <v>7042.35</v>
      </c>
      <c r="U72">
        <v>4477.3999999999996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f>SUMPRODUCT(DB_HighSOF[[#This Row],[Plan01]:[Plan12]],$D$4:$O$4)/valUnits2</f>
        <v>26.710522999999998</v>
      </c>
      <c r="AC72">
        <f>SUMPRODUCT(DB_HighSOF[[#This Row],[Act01]:[Act12]],$P$4:$AA$4)/valUnits2</f>
        <v>28.591050000000003</v>
      </c>
      <c r="AD72">
        <f>DB_HighSOF[[#This Row],[Actual]]-DB_HighSOF[[#This Row],[Plan]]</f>
        <v>1.8805270000000043</v>
      </c>
      <c r="AE72">
        <f>IF(DB_HighSOF[[#This Row],[Plan]]&lt;&gt;0,DB_HighSOF[[#This Row],[Actual]]/DB_HighSOF[[#This Row],[Plan]],1.000011000011)</f>
        <v>1.0704039752422669</v>
      </c>
    </row>
    <row r="73" spans="1:31" x14ac:dyDescent="0.2">
      <c r="A73">
        <f>SUBTOTAL(3,$B$6:B73)</f>
        <v>26</v>
      </c>
      <c r="B73" t="s">
        <v>1</v>
      </c>
      <c r="C73" t="s">
        <v>864</v>
      </c>
      <c r="D73">
        <v>0</v>
      </c>
      <c r="F73">
        <v>22651.826999999997</v>
      </c>
      <c r="G73">
        <v>-63.133000000000003</v>
      </c>
      <c r="P73">
        <v>0</v>
      </c>
      <c r="R73">
        <v>23984.86</v>
      </c>
      <c r="S73">
        <v>-65.539999999999992</v>
      </c>
      <c r="AB73">
        <f>SUMPRODUCT(DB_HighSOF[[#This Row],[Plan01]:[Plan12]],$D$4:$O$4)/valUnits2</f>
        <v>22.588693999999997</v>
      </c>
      <c r="AC73">
        <f>SUMPRODUCT(DB_HighSOF[[#This Row],[Act01]:[Act12]],$P$4:$AA$4)/valUnits2</f>
        <v>23.919319999999999</v>
      </c>
      <c r="AD73">
        <f>DB_HighSOF[[#This Row],[Actual]]-DB_HighSOF[[#This Row],[Plan]]</f>
        <v>1.3306260000000023</v>
      </c>
      <c r="AE73">
        <f>IF(DB_HighSOF[[#This Row],[Plan]]&lt;&gt;0,DB_HighSOF[[#This Row],[Actual]]/DB_HighSOF[[#This Row],[Plan]],1.000011000011)</f>
        <v>1.0589067256389415</v>
      </c>
    </row>
    <row r="74" spans="1:31" hidden="1" x14ac:dyDescent="0.2">
      <c r="A74">
        <f>SUBTOTAL(3,$B$6:B74)</f>
        <v>26</v>
      </c>
      <c r="B74" t="s">
        <v>350</v>
      </c>
      <c r="C74" t="s">
        <v>897</v>
      </c>
      <c r="I74">
        <v>0</v>
      </c>
      <c r="U74">
        <v>2165.89</v>
      </c>
      <c r="AB74">
        <f>SUMPRODUCT(DB_HighSOF[[#This Row],[Plan01]:[Plan12]],$D$4:$O$4)/valUnits2</f>
        <v>0</v>
      </c>
      <c r="AC74">
        <f>SUMPRODUCT(DB_HighSOF[[#This Row],[Act01]:[Act12]],$P$4:$AA$4)/valUnits2</f>
        <v>2.1658900000000001</v>
      </c>
      <c r="AD74">
        <f>DB_HighSOF[[#This Row],[Actual]]-DB_HighSOF[[#This Row],[Plan]]</f>
        <v>2.1658900000000001</v>
      </c>
      <c r="AE74">
        <f>IF(DB_HighSOF[[#This Row],[Plan]]&lt;&gt;0,DB_HighSOF[[#This Row],[Actual]]/DB_HighSOF[[#This Row],[Plan]],1.000011000011)</f>
        <v>1.0000110000110001</v>
      </c>
    </row>
    <row r="75" spans="1:31" hidden="1" x14ac:dyDescent="0.2">
      <c r="A75">
        <f>SUBTOTAL(3,$B$6:B75)</f>
        <v>26</v>
      </c>
      <c r="B75" t="s">
        <v>344</v>
      </c>
      <c r="C75" t="s">
        <v>917</v>
      </c>
      <c r="D75">
        <v>10948.574000000001</v>
      </c>
      <c r="E75">
        <v>4768.2910000000002</v>
      </c>
      <c r="F75">
        <v>0</v>
      </c>
      <c r="G75">
        <v>1073.396</v>
      </c>
      <c r="H75">
        <v>1077.5340000000001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10943.62</v>
      </c>
      <c r="Q75">
        <v>4753.18</v>
      </c>
      <c r="R75">
        <v>0</v>
      </c>
      <c r="S75">
        <v>1079.42</v>
      </c>
      <c r="T75">
        <v>1082.6299999999999</v>
      </c>
      <c r="U75">
        <v>2036.4499999999998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f>SUMPRODUCT(DB_HighSOF[[#This Row],[Plan01]:[Plan12]],$D$4:$O$4)/valUnits2</f>
        <v>17.867795000000001</v>
      </c>
      <c r="AC75">
        <f>SUMPRODUCT(DB_HighSOF[[#This Row],[Act01]:[Act12]],$P$4:$AA$4)/valUnits2</f>
        <v>19.895300000000002</v>
      </c>
      <c r="AD75">
        <f>DB_HighSOF[[#This Row],[Actual]]-DB_HighSOF[[#This Row],[Plan]]</f>
        <v>2.0275050000000014</v>
      </c>
      <c r="AE75">
        <f>IF(DB_HighSOF[[#This Row],[Plan]]&lt;&gt;0,DB_HighSOF[[#This Row],[Actual]]/DB_HighSOF[[#This Row],[Plan]],1.000011000011)</f>
        <v>1.11347259132982</v>
      </c>
    </row>
    <row r="76" spans="1:31" hidden="1" x14ac:dyDescent="0.2">
      <c r="A76">
        <f>SUBTOTAL(3,$B$6:B76)</f>
        <v>26</v>
      </c>
      <c r="B76" t="s">
        <v>351</v>
      </c>
      <c r="C76" t="s">
        <v>843</v>
      </c>
      <c r="G76">
        <v>9781.1070000000018</v>
      </c>
      <c r="H76">
        <v>11151.615</v>
      </c>
      <c r="I76">
        <v>5586.3899999999994</v>
      </c>
      <c r="J76">
        <v>5586.3899999999994</v>
      </c>
      <c r="K76">
        <v>5586.3899999999994</v>
      </c>
      <c r="L76">
        <v>5586.3899999999994</v>
      </c>
      <c r="M76">
        <v>5586.3899999999994</v>
      </c>
      <c r="N76">
        <v>5586.3899999999994</v>
      </c>
      <c r="O76">
        <v>5586.3899999999994</v>
      </c>
      <c r="S76">
        <v>9799.02</v>
      </c>
      <c r="T76">
        <v>11205.630000000001</v>
      </c>
      <c r="U76">
        <v>6933.5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f>SUMPRODUCT(DB_HighSOF[[#This Row],[Plan01]:[Plan12]],$D$4:$O$4)/valUnits2</f>
        <v>26.519112</v>
      </c>
      <c r="AC76">
        <f>SUMPRODUCT(DB_HighSOF[[#This Row],[Act01]:[Act12]],$P$4:$AA$4)/valUnits2</f>
        <v>27.93815</v>
      </c>
      <c r="AD76">
        <f>DB_HighSOF[[#This Row],[Actual]]-DB_HighSOF[[#This Row],[Plan]]</f>
        <v>1.4190380000000005</v>
      </c>
      <c r="AE76">
        <f>IF(DB_HighSOF[[#This Row],[Plan]]&lt;&gt;0,DB_HighSOF[[#This Row],[Actual]]/DB_HighSOF[[#This Row],[Plan]],1.000011000011)</f>
        <v>1.0535100119491181</v>
      </c>
    </row>
    <row r="77" spans="1:31" hidden="1" x14ac:dyDescent="0.2">
      <c r="A77">
        <f>SUBTOTAL(3,$B$6:B77)</f>
        <v>26</v>
      </c>
      <c r="B77" t="s">
        <v>351</v>
      </c>
      <c r="C77" t="s">
        <v>858</v>
      </c>
      <c r="D77">
        <v>89182.61</v>
      </c>
      <c r="E77">
        <v>39860.379999999997</v>
      </c>
      <c r="F77">
        <v>-44295.790000000008</v>
      </c>
      <c r="G77">
        <v>53223.869999999988</v>
      </c>
      <c r="H77">
        <v>37310.080000000009</v>
      </c>
      <c r="I77">
        <v>34876.834999999992</v>
      </c>
      <c r="J77">
        <v>34876.834999999999</v>
      </c>
      <c r="K77">
        <v>39796.834999999992</v>
      </c>
      <c r="L77">
        <v>34876.834999999992</v>
      </c>
      <c r="M77">
        <v>34876.834999999999</v>
      </c>
      <c r="N77">
        <v>34876.834999999992</v>
      </c>
      <c r="O77">
        <v>34876.834999999992</v>
      </c>
      <c r="P77">
        <v>89182.609999999986</v>
      </c>
      <c r="Q77">
        <v>39933.130000000005</v>
      </c>
      <c r="R77">
        <v>-44368.540000000008</v>
      </c>
      <c r="S77">
        <v>53403.05</v>
      </c>
      <c r="T77">
        <v>37323.880000000012</v>
      </c>
      <c r="U77">
        <v>35959.740000000005</v>
      </c>
      <c r="V77">
        <v>16391</v>
      </c>
      <c r="W77">
        <v>0</v>
      </c>
      <c r="X77">
        <v>0</v>
      </c>
      <c r="Y77">
        <v>0</v>
      </c>
      <c r="Z77">
        <v>0</v>
      </c>
      <c r="AA77">
        <v>0</v>
      </c>
      <c r="AB77">
        <f>SUMPRODUCT(DB_HighSOF[[#This Row],[Plan01]:[Plan12]],$D$4:$O$4)/valUnits2</f>
        <v>210.157985</v>
      </c>
      <c r="AC77">
        <f>SUMPRODUCT(DB_HighSOF[[#This Row],[Act01]:[Act12]],$P$4:$AA$4)/valUnits2</f>
        <v>211.43386999999998</v>
      </c>
      <c r="AD77">
        <f>DB_HighSOF[[#This Row],[Actual]]-DB_HighSOF[[#This Row],[Plan]]</f>
        <v>1.2758849999999882</v>
      </c>
      <c r="AE77">
        <f>IF(DB_HighSOF[[#This Row],[Plan]]&lt;&gt;0,DB_HighSOF[[#This Row],[Actual]]/DB_HighSOF[[#This Row],[Plan]],1.000011000011)</f>
        <v>1.0060710755292024</v>
      </c>
    </row>
    <row r="78" spans="1:31" hidden="1" x14ac:dyDescent="0.2">
      <c r="A78">
        <f>SUBTOTAL(3,$B$6:B78)</f>
        <v>26</v>
      </c>
      <c r="B78" t="s">
        <v>350</v>
      </c>
      <c r="C78" t="s">
        <v>874</v>
      </c>
      <c r="D78">
        <v>0</v>
      </c>
      <c r="E78">
        <v>2045.9449999999999</v>
      </c>
      <c r="F78">
        <v>1033.742</v>
      </c>
      <c r="G78">
        <v>2128.6370000000002</v>
      </c>
      <c r="H78">
        <v>1121.423</v>
      </c>
      <c r="I78">
        <v>371.988</v>
      </c>
      <c r="J78">
        <v>371.988</v>
      </c>
      <c r="K78">
        <v>371.988</v>
      </c>
      <c r="L78">
        <v>371.988</v>
      </c>
      <c r="M78">
        <v>371.988</v>
      </c>
      <c r="N78">
        <v>371.988</v>
      </c>
      <c r="O78">
        <v>371.988</v>
      </c>
      <c r="P78">
        <v>0</v>
      </c>
      <c r="Q78">
        <v>2086.1999999999998</v>
      </c>
      <c r="R78">
        <v>1043.0999999999999</v>
      </c>
      <c r="S78">
        <v>2103.85</v>
      </c>
      <c r="T78">
        <v>1108.18</v>
      </c>
      <c r="U78">
        <v>2029.99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f>SUMPRODUCT(DB_HighSOF[[#This Row],[Plan01]:[Plan12]],$D$4:$O$4)/valUnits2</f>
        <v>6.7017350000000002</v>
      </c>
      <c r="AC78">
        <f>SUMPRODUCT(DB_HighSOF[[#This Row],[Act01]:[Act12]],$P$4:$AA$4)/valUnits2</f>
        <v>8.371319999999999</v>
      </c>
      <c r="AD78">
        <f>DB_HighSOF[[#This Row],[Actual]]-DB_HighSOF[[#This Row],[Plan]]</f>
        <v>1.6695849999999988</v>
      </c>
      <c r="AE78">
        <f>IF(DB_HighSOF[[#This Row],[Plan]]&lt;&gt;0,DB_HighSOF[[#This Row],[Actual]]/DB_HighSOF[[#This Row],[Plan]],1.000011000011)</f>
        <v>1.2491272782346658</v>
      </c>
    </row>
    <row r="79" spans="1:31" hidden="1" x14ac:dyDescent="0.2">
      <c r="A79">
        <f>SUBTOTAL(3,$B$6:B79)</f>
        <v>26</v>
      </c>
      <c r="B79" t="s">
        <v>351</v>
      </c>
      <c r="C79" t="s">
        <v>353</v>
      </c>
      <c r="F79">
        <v>0</v>
      </c>
      <c r="G79">
        <v>441.84699999999998</v>
      </c>
      <c r="H79">
        <v>861.21</v>
      </c>
      <c r="I79">
        <v>0</v>
      </c>
      <c r="R79">
        <v>0</v>
      </c>
      <c r="S79">
        <v>440.36</v>
      </c>
      <c r="T79">
        <v>860.59</v>
      </c>
      <c r="U79">
        <v>1277.29</v>
      </c>
      <c r="AB79">
        <f>SUMPRODUCT(DB_HighSOF[[#This Row],[Plan01]:[Plan12]],$D$4:$O$4)/valUnits2</f>
        <v>1.3030569999999999</v>
      </c>
      <c r="AC79">
        <f>SUMPRODUCT(DB_HighSOF[[#This Row],[Act01]:[Act12]],$P$4:$AA$4)/valUnits2</f>
        <v>2.5782399999999996</v>
      </c>
      <c r="AD79">
        <f>DB_HighSOF[[#This Row],[Actual]]-DB_HighSOF[[#This Row],[Plan]]</f>
        <v>1.2751829999999997</v>
      </c>
      <c r="AE79">
        <f>IF(DB_HighSOF[[#This Row],[Plan]]&lt;&gt;0,DB_HighSOF[[#This Row],[Actual]]/DB_HighSOF[[#This Row],[Plan]],1.000011000011)</f>
        <v>1.978608763853001</v>
      </c>
    </row>
    <row r="80" spans="1:31" hidden="1" x14ac:dyDescent="0.2">
      <c r="A80">
        <f>SUBTOTAL(3,$B$6:B80)</f>
        <v>26</v>
      </c>
      <c r="B80" t="s">
        <v>351</v>
      </c>
      <c r="C80" t="s">
        <v>917</v>
      </c>
      <c r="D80">
        <v>1251.3420000000001</v>
      </c>
      <c r="E80">
        <v>83.357000000000028</v>
      </c>
      <c r="F80">
        <v>204.89800000000002</v>
      </c>
      <c r="G80">
        <v>2935.0920000000001</v>
      </c>
      <c r="H80">
        <v>1001.79</v>
      </c>
      <c r="I80">
        <v>424.983</v>
      </c>
      <c r="J80">
        <v>1633.941</v>
      </c>
      <c r="K80">
        <v>1633.941</v>
      </c>
      <c r="L80">
        <v>1633.941</v>
      </c>
      <c r="M80">
        <v>1633.941</v>
      </c>
      <c r="N80">
        <v>1633.941</v>
      </c>
      <c r="O80">
        <v>1633.941</v>
      </c>
      <c r="P80">
        <v>1251.3600000000001</v>
      </c>
      <c r="Q80">
        <v>83.220000000000013</v>
      </c>
      <c r="R80">
        <v>203.56</v>
      </c>
      <c r="S80">
        <v>2921.2299999999996</v>
      </c>
      <c r="T80">
        <v>1006.6099999999999</v>
      </c>
      <c r="U80">
        <v>1358.24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f>SUMPRODUCT(DB_HighSOF[[#This Row],[Plan01]:[Plan12]],$D$4:$O$4)/valUnits2</f>
        <v>5.9014620000000004</v>
      </c>
      <c r="AC80">
        <f>SUMPRODUCT(DB_HighSOF[[#This Row],[Act01]:[Act12]],$P$4:$AA$4)/valUnits2</f>
        <v>6.8242199999999995</v>
      </c>
      <c r="AD80">
        <f>DB_HighSOF[[#This Row],[Actual]]-DB_HighSOF[[#This Row],[Plan]]</f>
        <v>0.92275799999999908</v>
      </c>
      <c r="AE80">
        <f>IF(DB_HighSOF[[#This Row],[Plan]]&lt;&gt;0,DB_HighSOF[[#This Row],[Actual]]/DB_HighSOF[[#This Row],[Plan]],1.000011000011)</f>
        <v>1.1563609153121717</v>
      </c>
    </row>
    <row r="81" spans="1:31" hidden="1" x14ac:dyDescent="0.2">
      <c r="A81">
        <f>SUBTOTAL(3,$B$6:B81)</f>
        <v>26</v>
      </c>
      <c r="B81" t="s">
        <v>348</v>
      </c>
      <c r="C81" t="s">
        <v>909</v>
      </c>
      <c r="D81">
        <v>7561.5900000000038</v>
      </c>
      <c r="E81">
        <v>-12364.119999999994</v>
      </c>
      <c r="F81">
        <v>196305.82000000004</v>
      </c>
      <c r="G81">
        <v>60318.259999999987</v>
      </c>
      <c r="H81">
        <v>10084.1</v>
      </c>
      <c r="I81">
        <v>80681</v>
      </c>
      <c r="J81">
        <v>80681</v>
      </c>
      <c r="K81">
        <v>80681</v>
      </c>
      <c r="L81">
        <v>80681</v>
      </c>
      <c r="M81">
        <v>80681</v>
      </c>
      <c r="N81">
        <v>80681</v>
      </c>
      <c r="O81">
        <v>80681</v>
      </c>
      <c r="P81">
        <v>7561.59</v>
      </c>
      <c r="Q81">
        <v>-12364.119999999999</v>
      </c>
      <c r="R81">
        <v>196305.82</v>
      </c>
      <c r="S81">
        <v>60318.259999999995</v>
      </c>
      <c r="T81">
        <v>10084.100000000004</v>
      </c>
      <c r="U81">
        <v>81911.770000000019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f>SUMPRODUCT(DB_HighSOF[[#This Row],[Plan01]:[Plan12]],$D$4:$O$4)/valUnits2</f>
        <v>342.58665000000002</v>
      </c>
      <c r="AC81">
        <f>SUMPRODUCT(DB_HighSOF[[#This Row],[Act01]:[Act12]],$P$4:$AA$4)/valUnits2</f>
        <v>343.81742000000003</v>
      </c>
      <c r="AD81">
        <f>DB_HighSOF[[#This Row],[Actual]]-DB_HighSOF[[#This Row],[Plan]]</f>
        <v>1.2307700000000068</v>
      </c>
      <c r="AE81">
        <f>IF(DB_HighSOF[[#This Row],[Plan]]&lt;&gt;0,DB_HighSOF[[#This Row],[Actual]]/DB_HighSOF[[#This Row],[Plan]],1.000011000011)</f>
        <v>1.0035925801545391</v>
      </c>
    </row>
    <row r="82" spans="1:31" hidden="1" x14ac:dyDescent="0.2">
      <c r="A82">
        <f>SUBTOTAL(3,$B$6:B82)</f>
        <v>26</v>
      </c>
      <c r="B82" t="s">
        <v>351</v>
      </c>
      <c r="C82" t="s">
        <v>930</v>
      </c>
      <c r="D82">
        <v>1544.9599999999998</v>
      </c>
      <c r="E82">
        <v>6685.73</v>
      </c>
      <c r="F82">
        <v>6584.7500000000009</v>
      </c>
      <c r="G82">
        <v>1910.9499999999996</v>
      </c>
      <c r="H82">
        <v>3102.4399999999996</v>
      </c>
      <c r="I82">
        <v>2559.1979999999999</v>
      </c>
      <c r="J82">
        <v>2559.1979999999999</v>
      </c>
      <c r="K82">
        <v>2559.1979999999999</v>
      </c>
      <c r="L82">
        <v>2559.1979999999999</v>
      </c>
      <c r="M82">
        <v>2559.1979999999999</v>
      </c>
      <c r="N82">
        <v>2559.1979999999999</v>
      </c>
      <c r="O82">
        <v>2559.1979999999999</v>
      </c>
      <c r="P82">
        <v>1544.96</v>
      </c>
      <c r="Q82">
        <v>6685.73</v>
      </c>
      <c r="R82">
        <v>6586.8499999999995</v>
      </c>
      <c r="S82">
        <v>2022.71</v>
      </c>
      <c r="T82">
        <v>3105.4599999999996</v>
      </c>
      <c r="U82">
        <v>3290.7800000000011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f>SUMPRODUCT(DB_HighSOF[[#This Row],[Plan01]:[Plan12]],$D$4:$O$4)/valUnits2</f>
        <v>22.388027999999998</v>
      </c>
      <c r="AC82">
        <f>SUMPRODUCT(DB_HighSOF[[#This Row],[Act01]:[Act12]],$P$4:$AA$4)/valUnits2</f>
        <v>23.236489999999996</v>
      </c>
      <c r="AD82">
        <f>DB_HighSOF[[#This Row],[Actual]]-DB_HighSOF[[#This Row],[Plan]]</f>
        <v>0.84846199999999783</v>
      </c>
      <c r="AE82">
        <f>IF(DB_HighSOF[[#This Row],[Plan]]&lt;&gt;0,DB_HighSOF[[#This Row],[Actual]]/DB_HighSOF[[#This Row],[Plan]],1.000011000011)</f>
        <v>1.0378980229969339</v>
      </c>
    </row>
    <row r="83" spans="1:31" hidden="1" x14ac:dyDescent="0.2">
      <c r="A83">
        <f>SUBTOTAL(3,$B$6:B83)</f>
        <v>26</v>
      </c>
      <c r="B83" t="s">
        <v>351</v>
      </c>
      <c r="C83" t="s">
        <v>862</v>
      </c>
      <c r="G83">
        <v>5563.1830000000009</v>
      </c>
      <c r="H83">
        <v>8780.4209999999985</v>
      </c>
      <c r="I83">
        <v>3255.145</v>
      </c>
      <c r="J83">
        <v>3255.145</v>
      </c>
      <c r="K83">
        <v>3255.145</v>
      </c>
      <c r="L83">
        <v>3255.145</v>
      </c>
      <c r="M83">
        <v>3255.145</v>
      </c>
      <c r="N83">
        <v>3255.145</v>
      </c>
      <c r="O83">
        <v>3255.145</v>
      </c>
      <c r="S83">
        <v>5582.36</v>
      </c>
      <c r="T83">
        <v>8865.3900000000012</v>
      </c>
      <c r="U83">
        <v>3944.14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f>SUMPRODUCT(DB_HighSOF[[#This Row],[Plan01]:[Plan12]],$D$4:$O$4)/valUnits2</f>
        <v>17.598749000000002</v>
      </c>
      <c r="AC83">
        <f>SUMPRODUCT(DB_HighSOF[[#This Row],[Act01]:[Act12]],$P$4:$AA$4)/valUnits2</f>
        <v>18.39189</v>
      </c>
      <c r="AD83">
        <f>DB_HighSOF[[#This Row],[Actual]]-DB_HighSOF[[#This Row],[Plan]]</f>
        <v>0.79314099999999854</v>
      </c>
      <c r="AE83">
        <f>IF(DB_HighSOF[[#This Row],[Plan]]&lt;&gt;0,DB_HighSOF[[#This Row],[Actual]]/DB_HighSOF[[#This Row],[Plan]],1.000011000011)</f>
        <v>1.0450680329607518</v>
      </c>
    </row>
    <row r="84" spans="1:31" hidden="1" x14ac:dyDescent="0.2">
      <c r="A84">
        <f>SUBTOTAL(3,$B$6:B84)</f>
        <v>26</v>
      </c>
      <c r="B84" t="s">
        <v>350</v>
      </c>
      <c r="C84" t="s">
        <v>856</v>
      </c>
      <c r="D84">
        <v>3311.8880000000004</v>
      </c>
      <c r="E84">
        <v>3356.1280000000002</v>
      </c>
      <c r="F84">
        <v>2629.1320000000005</v>
      </c>
      <c r="G84">
        <v>12016.588000000002</v>
      </c>
      <c r="H84">
        <v>2280.1729999999998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3131.25</v>
      </c>
      <c r="Q84">
        <v>3245.46</v>
      </c>
      <c r="R84">
        <v>2539.64</v>
      </c>
      <c r="S84">
        <v>11663.650000000001</v>
      </c>
      <c r="T84">
        <v>2221.94</v>
      </c>
      <c r="U84">
        <v>835.66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f>SUMPRODUCT(DB_HighSOF[[#This Row],[Plan01]:[Plan12]],$D$4:$O$4)/valUnits2</f>
        <v>23.593909000000004</v>
      </c>
      <c r="AC84">
        <f>SUMPRODUCT(DB_HighSOF[[#This Row],[Act01]:[Act12]],$P$4:$AA$4)/valUnits2</f>
        <v>23.637599999999999</v>
      </c>
      <c r="AD84">
        <f>DB_HighSOF[[#This Row],[Actual]]-DB_HighSOF[[#This Row],[Plan]]</f>
        <v>4.3690999999995483E-2</v>
      </c>
      <c r="AE84">
        <f>IF(DB_HighSOF[[#This Row],[Plan]]&lt;&gt;0,DB_HighSOF[[#This Row],[Actual]]/DB_HighSOF[[#This Row],[Plan]],1.000011000011)</f>
        <v>1.001851791494152</v>
      </c>
    </row>
    <row r="85" spans="1:31" hidden="1" x14ac:dyDescent="0.2">
      <c r="A85">
        <f>SUBTOTAL(3,$B$6:B85)</f>
        <v>26</v>
      </c>
      <c r="B85" t="s">
        <v>351</v>
      </c>
      <c r="C85" t="s">
        <v>354</v>
      </c>
      <c r="D85">
        <v>0</v>
      </c>
      <c r="E85">
        <v>0</v>
      </c>
      <c r="F85">
        <v>0</v>
      </c>
      <c r="G85">
        <v>3241.7870000000003</v>
      </c>
      <c r="H85">
        <v>4473.4059999999999</v>
      </c>
      <c r="I85">
        <v>2399.002</v>
      </c>
      <c r="P85">
        <v>0</v>
      </c>
      <c r="Q85">
        <v>0</v>
      </c>
      <c r="R85">
        <v>0</v>
      </c>
      <c r="S85">
        <v>3202.12</v>
      </c>
      <c r="T85">
        <v>4588.7900000000009</v>
      </c>
      <c r="U85">
        <v>3111.4</v>
      </c>
      <c r="AB85">
        <f>SUMPRODUCT(DB_HighSOF[[#This Row],[Plan01]:[Plan12]],$D$4:$O$4)/valUnits2</f>
        <v>10.114195</v>
      </c>
      <c r="AC85">
        <f>SUMPRODUCT(DB_HighSOF[[#This Row],[Act01]:[Act12]],$P$4:$AA$4)/valUnits2</f>
        <v>10.902310000000002</v>
      </c>
      <c r="AD85">
        <f>DB_HighSOF[[#This Row],[Actual]]-DB_HighSOF[[#This Row],[Plan]]</f>
        <v>0.78811500000000123</v>
      </c>
      <c r="AE85">
        <f>IF(DB_HighSOF[[#This Row],[Plan]]&lt;&gt;0,DB_HighSOF[[#This Row],[Actual]]/DB_HighSOF[[#This Row],[Plan]],1.000011000011)</f>
        <v>1.0779216734500374</v>
      </c>
    </row>
    <row r="86" spans="1:31" x14ac:dyDescent="0.2">
      <c r="A86">
        <f>SUBTOTAL(3,$B$6:B86)</f>
        <v>27</v>
      </c>
      <c r="B86" t="s">
        <v>1</v>
      </c>
      <c r="C86" t="s">
        <v>853</v>
      </c>
      <c r="F86">
        <v>336.26799999999997</v>
      </c>
      <c r="G86">
        <v>775.202</v>
      </c>
      <c r="H86">
        <v>637.11500000000001</v>
      </c>
      <c r="I86">
        <v>695.50000000000011</v>
      </c>
      <c r="J86">
        <v>2066.194</v>
      </c>
      <c r="K86">
        <v>2066.194</v>
      </c>
      <c r="L86">
        <v>695.5</v>
      </c>
      <c r="M86">
        <v>2066.194</v>
      </c>
      <c r="N86">
        <v>2066.194</v>
      </c>
      <c r="O86">
        <v>695.5</v>
      </c>
      <c r="R86">
        <v>335.14</v>
      </c>
      <c r="S86">
        <v>762.45</v>
      </c>
      <c r="T86">
        <v>637.24</v>
      </c>
      <c r="U86">
        <v>1465.8799999999999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f>SUMPRODUCT(DB_HighSOF[[#This Row],[Plan01]:[Plan12]],$D$4:$O$4)/valUnits2</f>
        <v>2.4440849999999998</v>
      </c>
      <c r="AC86">
        <f>SUMPRODUCT(DB_HighSOF[[#This Row],[Act01]:[Act12]],$P$4:$AA$4)/valUnits2</f>
        <v>3.2007099999999999</v>
      </c>
      <c r="AD86">
        <f>DB_HighSOF[[#This Row],[Actual]]-DB_HighSOF[[#This Row],[Plan]]</f>
        <v>0.7566250000000001</v>
      </c>
      <c r="AE86">
        <f>IF(DB_HighSOF[[#This Row],[Plan]]&lt;&gt;0,DB_HighSOF[[#This Row],[Actual]]/DB_HighSOF[[#This Row],[Plan]],1.000011000011)</f>
        <v>1.3095739305302394</v>
      </c>
    </row>
    <row r="87" spans="1:31" hidden="1" x14ac:dyDescent="0.2">
      <c r="A87">
        <f>SUBTOTAL(3,$B$6:B87)</f>
        <v>27</v>
      </c>
      <c r="B87" t="s">
        <v>351</v>
      </c>
      <c r="C87" t="s">
        <v>367</v>
      </c>
      <c r="D87">
        <v>0</v>
      </c>
      <c r="G87">
        <v>782.64699999999993</v>
      </c>
      <c r="H87">
        <v>1051.2530000000002</v>
      </c>
      <c r="I87">
        <v>0</v>
      </c>
      <c r="J87">
        <v>0</v>
      </c>
      <c r="M87">
        <v>0</v>
      </c>
      <c r="P87">
        <v>0</v>
      </c>
      <c r="S87">
        <v>781.95</v>
      </c>
      <c r="T87">
        <v>1050.52</v>
      </c>
      <c r="U87">
        <v>781.87999999999988</v>
      </c>
      <c r="V87">
        <v>0</v>
      </c>
      <c r="Y87">
        <v>0</v>
      </c>
      <c r="AB87">
        <f>SUMPRODUCT(DB_HighSOF[[#This Row],[Plan01]:[Plan12]],$D$4:$O$4)/valUnits2</f>
        <v>1.8339000000000001</v>
      </c>
      <c r="AC87">
        <f>SUMPRODUCT(DB_HighSOF[[#This Row],[Act01]:[Act12]],$P$4:$AA$4)/valUnits2</f>
        <v>2.61435</v>
      </c>
      <c r="AD87">
        <f>DB_HighSOF[[#This Row],[Actual]]-DB_HighSOF[[#This Row],[Plan]]</f>
        <v>0.78044999999999987</v>
      </c>
      <c r="AE87">
        <f>IF(DB_HighSOF[[#This Row],[Plan]]&lt;&gt;0,DB_HighSOF[[#This Row],[Actual]]/DB_HighSOF[[#This Row],[Plan]],1.000011000011)</f>
        <v>1.4255684606576149</v>
      </c>
    </row>
    <row r="88" spans="1:31" hidden="1" x14ac:dyDescent="0.2">
      <c r="A88">
        <f>SUBTOTAL(3,$B$6:B88)</f>
        <v>27</v>
      </c>
      <c r="B88" t="s">
        <v>350</v>
      </c>
      <c r="C88" t="s">
        <v>853</v>
      </c>
      <c r="G88">
        <v>441.58699999999999</v>
      </c>
      <c r="H88">
        <v>437.142</v>
      </c>
      <c r="I88">
        <v>0</v>
      </c>
      <c r="S88">
        <v>434.99</v>
      </c>
      <c r="T88">
        <v>436.28000000000003</v>
      </c>
      <c r="U88">
        <v>726.68999999999994</v>
      </c>
      <c r="AB88">
        <f>SUMPRODUCT(DB_HighSOF[[#This Row],[Plan01]:[Plan12]],$D$4:$O$4)/valUnits2</f>
        <v>0.87872900000000009</v>
      </c>
      <c r="AC88">
        <f>SUMPRODUCT(DB_HighSOF[[#This Row],[Act01]:[Act12]],$P$4:$AA$4)/valUnits2</f>
        <v>1.59796</v>
      </c>
      <c r="AD88">
        <f>DB_HighSOF[[#This Row],[Actual]]-DB_HighSOF[[#This Row],[Plan]]</f>
        <v>0.71923099999999995</v>
      </c>
      <c r="AE88">
        <f>IF(DB_HighSOF[[#This Row],[Plan]]&lt;&gt;0,DB_HighSOF[[#This Row],[Actual]]/DB_HighSOF[[#This Row],[Plan]],1.000011000011)</f>
        <v>1.8184901146997536</v>
      </c>
    </row>
    <row r="89" spans="1:31" hidden="1" x14ac:dyDescent="0.2">
      <c r="A89">
        <f>SUBTOTAL(3,$B$6:B89)</f>
        <v>27</v>
      </c>
      <c r="B89" t="s">
        <v>351</v>
      </c>
      <c r="C89" t="s">
        <v>933</v>
      </c>
      <c r="D89">
        <v>291.33</v>
      </c>
      <c r="E89">
        <v>3317.81</v>
      </c>
      <c r="F89">
        <v>2329.71</v>
      </c>
      <c r="G89">
        <v>1082.8300000000002</v>
      </c>
      <c r="H89">
        <v>7.55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  <c r="P89">
        <v>291.33</v>
      </c>
      <c r="Q89">
        <v>3317.8099999999995</v>
      </c>
      <c r="R89">
        <v>2427.6099999999997</v>
      </c>
      <c r="S89">
        <v>1082.83</v>
      </c>
      <c r="T89">
        <v>7.5500000000000007</v>
      </c>
      <c r="U89">
        <v>605.75999999999988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f>SUMPRODUCT(DB_HighSOF[[#This Row],[Plan01]:[Plan12]],$D$4:$O$4)/valUnits2</f>
        <v>7.0392300000000008</v>
      </c>
      <c r="AC89">
        <f>SUMPRODUCT(DB_HighSOF[[#This Row],[Act01]:[Act12]],$P$4:$AA$4)/valUnits2</f>
        <v>7.7328899999999994</v>
      </c>
      <c r="AD89">
        <f>DB_HighSOF[[#This Row],[Actual]]-DB_HighSOF[[#This Row],[Plan]]</f>
        <v>0.69365999999999861</v>
      </c>
      <c r="AE89">
        <f>IF(DB_HighSOF[[#This Row],[Plan]]&lt;&gt;0,DB_HighSOF[[#This Row],[Actual]]/DB_HighSOF[[#This Row],[Plan]],1.000011000011)</f>
        <v>1.0985420280343161</v>
      </c>
    </row>
    <row r="90" spans="1:31" hidden="1" x14ac:dyDescent="0.2">
      <c r="A90">
        <f>SUBTOTAL(3,$B$6:B90)</f>
        <v>27</v>
      </c>
      <c r="B90" t="s">
        <v>342</v>
      </c>
      <c r="C90" t="s">
        <v>915</v>
      </c>
      <c r="D90">
        <v>880.13199999999847</v>
      </c>
      <c r="E90">
        <v>1155.5809999999969</v>
      </c>
      <c r="F90">
        <v>18652.249</v>
      </c>
      <c r="G90">
        <v>1375.4860000000001</v>
      </c>
      <c r="H90">
        <v>925.69100000000037</v>
      </c>
      <c r="I90">
        <v>7672.5240000000022</v>
      </c>
      <c r="J90">
        <v>8417.6970000000001</v>
      </c>
      <c r="K90">
        <v>9825.1029999999992</v>
      </c>
      <c r="L90">
        <v>8540.9850000000006</v>
      </c>
      <c r="M90">
        <v>8356.2070000000003</v>
      </c>
      <c r="N90">
        <v>8193.5390000000025</v>
      </c>
      <c r="O90">
        <v>7732.3700000000017</v>
      </c>
      <c r="P90">
        <v>884.57000000000028</v>
      </c>
      <c r="Q90">
        <v>1182.8000000000027</v>
      </c>
      <c r="R90">
        <v>18476.12</v>
      </c>
      <c r="S90">
        <v>1346.3600000000001</v>
      </c>
      <c r="T90">
        <v>937.32999999999993</v>
      </c>
      <c r="U90">
        <v>8371.35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f>SUMPRODUCT(DB_HighSOF[[#This Row],[Plan01]:[Plan12]],$D$4:$O$4)/valUnits2</f>
        <v>30.661662999999997</v>
      </c>
      <c r="AC90">
        <f>SUMPRODUCT(DB_HighSOF[[#This Row],[Act01]:[Act12]],$P$4:$AA$4)/valUnits2</f>
        <v>31.198529999999998</v>
      </c>
      <c r="AD90">
        <f>DB_HighSOF[[#This Row],[Actual]]-DB_HighSOF[[#This Row],[Plan]]</f>
        <v>0.53686700000000087</v>
      </c>
      <c r="AE90">
        <f>IF(DB_HighSOF[[#This Row],[Plan]]&lt;&gt;0,DB_HighSOF[[#This Row],[Actual]]/DB_HighSOF[[#This Row],[Plan]],1.000011000011)</f>
        <v>1.0175093894939751</v>
      </c>
    </row>
    <row r="91" spans="1:31" hidden="1" x14ac:dyDescent="0.2">
      <c r="A91">
        <f>SUBTOTAL(3,$B$6:B91)</f>
        <v>27</v>
      </c>
      <c r="B91" t="s">
        <v>351</v>
      </c>
      <c r="C91" t="s">
        <v>841</v>
      </c>
      <c r="D91">
        <v>0</v>
      </c>
      <c r="E91">
        <v>0</v>
      </c>
      <c r="F91">
        <v>0</v>
      </c>
      <c r="I91">
        <v>0</v>
      </c>
      <c r="P91">
        <v>0</v>
      </c>
      <c r="Q91">
        <v>0</v>
      </c>
      <c r="R91">
        <v>0</v>
      </c>
      <c r="U91">
        <v>610.80999999999995</v>
      </c>
      <c r="AB91">
        <f>SUMPRODUCT(DB_HighSOF[[#This Row],[Plan01]:[Plan12]],$D$4:$O$4)/valUnits2</f>
        <v>0</v>
      </c>
      <c r="AC91">
        <f>SUMPRODUCT(DB_HighSOF[[#This Row],[Act01]:[Act12]],$P$4:$AA$4)/valUnits2</f>
        <v>0.61080999999999996</v>
      </c>
      <c r="AD91">
        <f>DB_HighSOF[[#This Row],[Actual]]-DB_HighSOF[[#This Row],[Plan]]</f>
        <v>0.61080999999999996</v>
      </c>
      <c r="AE91">
        <f>IF(DB_HighSOF[[#This Row],[Plan]]&lt;&gt;0,DB_HighSOF[[#This Row],[Actual]]/DB_HighSOF[[#This Row],[Plan]],1.000011000011)</f>
        <v>1.0000110000110001</v>
      </c>
    </row>
    <row r="92" spans="1:31" x14ac:dyDescent="0.2">
      <c r="A92">
        <f>SUBTOTAL(3,$B$6:B92)</f>
        <v>28</v>
      </c>
      <c r="B92" t="s">
        <v>1</v>
      </c>
      <c r="C92" t="s">
        <v>841</v>
      </c>
      <c r="D92">
        <v>242.49</v>
      </c>
      <c r="E92">
        <v>3022.9</v>
      </c>
      <c r="F92">
        <v>2635.7200000000003</v>
      </c>
      <c r="G92">
        <v>1532.25</v>
      </c>
      <c r="H92">
        <v>1635.31</v>
      </c>
      <c r="I92">
        <v>0</v>
      </c>
      <c r="P92">
        <v>242.49</v>
      </c>
      <c r="Q92">
        <v>3022.8999999999996</v>
      </c>
      <c r="R92">
        <v>2635.7200000000003</v>
      </c>
      <c r="S92">
        <v>1532.2499999999998</v>
      </c>
      <c r="T92">
        <v>1635.31</v>
      </c>
      <c r="U92">
        <v>610.80999999999995</v>
      </c>
      <c r="AB92">
        <f>SUMPRODUCT(DB_HighSOF[[#This Row],[Plan01]:[Plan12]],$D$4:$O$4)/valUnits2</f>
        <v>9.0686700000000009</v>
      </c>
      <c r="AC92">
        <f>SUMPRODUCT(DB_HighSOF[[#This Row],[Act01]:[Act12]],$P$4:$AA$4)/valUnits2</f>
        <v>9.6794799999999999</v>
      </c>
      <c r="AD92">
        <f>DB_HighSOF[[#This Row],[Actual]]-DB_HighSOF[[#This Row],[Plan]]</f>
        <v>0.61080999999999896</v>
      </c>
      <c r="AE92">
        <f>IF(DB_HighSOF[[#This Row],[Plan]]&lt;&gt;0,DB_HighSOF[[#This Row],[Actual]]/DB_HighSOF[[#This Row],[Plan]],1.000011000011)</f>
        <v>1.0673538677667176</v>
      </c>
    </row>
    <row r="93" spans="1:31" hidden="1" x14ac:dyDescent="0.2">
      <c r="A93">
        <f>SUBTOTAL(3,$B$6:B93)</f>
        <v>28</v>
      </c>
      <c r="B93" t="s">
        <v>351</v>
      </c>
      <c r="C93" t="s">
        <v>875</v>
      </c>
      <c r="D93">
        <v>0</v>
      </c>
      <c r="E93">
        <v>0</v>
      </c>
      <c r="F93">
        <v>0</v>
      </c>
      <c r="G93">
        <v>2635.9280000000008</v>
      </c>
      <c r="H93">
        <v>4308.3189999999995</v>
      </c>
      <c r="I93">
        <v>2759.14</v>
      </c>
      <c r="J93">
        <v>2759.14</v>
      </c>
      <c r="K93">
        <v>2759.14</v>
      </c>
      <c r="L93">
        <v>2759.14</v>
      </c>
      <c r="M93">
        <v>2759.14</v>
      </c>
      <c r="N93">
        <v>2759.14</v>
      </c>
      <c r="O93">
        <v>2759.14</v>
      </c>
      <c r="P93">
        <v>0</v>
      </c>
      <c r="Q93">
        <v>0</v>
      </c>
      <c r="R93">
        <v>0</v>
      </c>
      <c r="S93">
        <v>2625.190000000001</v>
      </c>
      <c r="T93">
        <v>4388.83</v>
      </c>
      <c r="U93">
        <v>3260.6499999999996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f>SUMPRODUCT(DB_HighSOF[[#This Row],[Plan01]:[Plan12]],$D$4:$O$4)/valUnits2</f>
        <v>9.7033870000000011</v>
      </c>
      <c r="AC93">
        <f>SUMPRODUCT(DB_HighSOF[[#This Row],[Act01]:[Act12]],$P$4:$AA$4)/valUnits2</f>
        <v>10.27467</v>
      </c>
      <c r="AD93">
        <f>DB_HighSOF[[#This Row],[Actual]]-DB_HighSOF[[#This Row],[Plan]]</f>
        <v>0.57128299999999932</v>
      </c>
      <c r="AE93">
        <f>IF(DB_HighSOF[[#This Row],[Plan]]&lt;&gt;0,DB_HighSOF[[#This Row],[Actual]]/DB_HighSOF[[#This Row],[Plan]],1.000011000011)</f>
        <v>1.0588745970865636</v>
      </c>
    </row>
    <row r="94" spans="1:31" hidden="1" x14ac:dyDescent="0.2">
      <c r="A94">
        <f>SUBTOTAL(3,$B$6:B94)</f>
        <v>28</v>
      </c>
      <c r="B94" t="s">
        <v>351</v>
      </c>
      <c r="C94" t="s">
        <v>845</v>
      </c>
      <c r="I94">
        <v>0</v>
      </c>
      <c r="U94">
        <v>247.09</v>
      </c>
      <c r="AB94">
        <f>SUMPRODUCT(DB_HighSOF[[#This Row],[Plan01]:[Plan12]],$D$4:$O$4)/valUnits2</f>
        <v>0</v>
      </c>
      <c r="AC94">
        <f>SUMPRODUCT(DB_HighSOF[[#This Row],[Act01]:[Act12]],$P$4:$AA$4)/valUnits2</f>
        <v>0.24709</v>
      </c>
      <c r="AD94">
        <f>DB_HighSOF[[#This Row],[Actual]]-DB_HighSOF[[#This Row],[Plan]]</f>
        <v>0.24709</v>
      </c>
      <c r="AE94">
        <f>IF(DB_HighSOF[[#This Row],[Plan]]&lt;&gt;0,DB_HighSOF[[#This Row],[Actual]]/DB_HighSOF[[#This Row],[Plan]],1.000011000011)</f>
        <v>1.0000110000110001</v>
      </c>
    </row>
    <row r="95" spans="1:31" hidden="1" x14ac:dyDescent="0.2">
      <c r="A95">
        <f>SUBTOTAL(3,$B$6:B95)</f>
        <v>28</v>
      </c>
      <c r="B95" t="s">
        <v>350</v>
      </c>
      <c r="C95" t="s">
        <v>911</v>
      </c>
      <c r="D95">
        <v>186.72399999999999</v>
      </c>
      <c r="E95">
        <v>1891.0430000000001</v>
      </c>
      <c r="F95">
        <v>2075.7509999999997</v>
      </c>
      <c r="G95">
        <v>2139.8609999999999</v>
      </c>
      <c r="H95">
        <v>2092.701</v>
      </c>
      <c r="I95">
        <v>775.13099999999997</v>
      </c>
      <c r="J95">
        <v>775.13099999999997</v>
      </c>
      <c r="K95">
        <v>775.13099999999997</v>
      </c>
      <c r="L95">
        <v>775.13099999999997</v>
      </c>
      <c r="M95">
        <v>775.13099999999997</v>
      </c>
      <c r="P95">
        <v>0</v>
      </c>
      <c r="Q95">
        <v>1593.38</v>
      </c>
      <c r="R95">
        <v>1300.6199999999999</v>
      </c>
      <c r="S95">
        <v>1364.73</v>
      </c>
      <c r="T95">
        <v>1317.57</v>
      </c>
      <c r="U95">
        <v>1354.4</v>
      </c>
      <c r="V95">
        <v>0</v>
      </c>
      <c r="W95">
        <v>0</v>
      </c>
      <c r="X95">
        <v>0</v>
      </c>
      <c r="Y95">
        <v>0</v>
      </c>
      <c r="AB95">
        <f>SUMPRODUCT(DB_HighSOF[[#This Row],[Plan01]:[Plan12]],$D$4:$O$4)/valUnits2</f>
        <v>9.1612109999999998</v>
      </c>
      <c r="AC95">
        <f>SUMPRODUCT(DB_HighSOF[[#This Row],[Act01]:[Act12]],$P$4:$AA$4)/valUnits2</f>
        <v>6.930699999999999</v>
      </c>
      <c r="AD95">
        <f>DB_HighSOF[[#This Row],[Actual]]-DB_HighSOF[[#This Row],[Plan]]</f>
        <v>-2.2305110000000008</v>
      </c>
      <c r="AE95">
        <f>IF(DB_HighSOF[[#This Row],[Plan]]&lt;&gt;0,DB_HighSOF[[#This Row],[Actual]]/DB_HighSOF[[#This Row],[Plan]],1.000011000011)</f>
        <v>0.75652662077098753</v>
      </c>
    </row>
    <row r="96" spans="1:31" hidden="1" x14ac:dyDescent="0.2">
      <c r="A96">
        <f>SUBTOTAL(3,$B$6:B96)</f>
        <v>28</v>
      </c>
      <c r="B96" t="s">
        <v>351</v>
      </c>
      <c r="C96" t="s">
        <v>904</v>
      </c>
      <c r="D96">
        <v>703.10799999999995</v>
      </c>
      <c r="E96">
        <v>409.16700000000003</v>
      </c>
      <c r="F96">
        <v>686.28300000000002</v>
      </c>
      <c r="G96">
        <v>1046.57</v>
      </c>
      <c r="H96">
        <v>718.34099999999978</v>
      </c>
      <c r="I96">
        <v>990.74499999999989</v>
      </c>
      <c r="J96">
        <v>990.74499999999989</v>
      </c>
      <c r="K96">
        <v>990.74499999999989</v>
      </c>
      <c r="L96">
        <v>990.74499999999989</v>
      </c>
      <c r="M96">
        <v>990.74499999999989</v>
      </c>
      <c r="N96">
        <v>990.74499999999989</v>
      </c>
      <c r="O96">
        <v>990.74499999999989</v>
      </c>
      <c r="P96">
        <v>703.05</v>
      </c>
      <c r="Q96">
        <v>408.16</v>
      </c>
      <c r="R96">
        <v>683.64</v>
      </c>
      <c r="S96">
        <v>1168.4100000000001</v>
      </c>
      <c r="T96">
        <v>721.37000000000012</v>
      </c>
      <c r="U96">
        <v>1080.33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f>SUMPRODUCT(DB_HighSOF[[#This Row],[Plan01]:[Plan12]],$D$4:$O$4)/valUnits2</f>
        <v>4.554214</v>
      </c>
      <c r="AC96">
        <f>SUMPRODUCT(DB_HighSOF[[#This Row],[Act01]:[Act12]],$P$4:$AA$4)/valUnits2</f>
        <v>4.7649600000000003</v>
      </c>
      <c r="AD96">
        <f>DB_HighSOF[[#This Row],[Actual]]-DB_HighSOF[[#This Row],[Plan]]</f>
        <v>0.21074600000000032</v>
      </c>
      <c r="AE96">
        <f>IF(DB_HighSOF[[#This Row],[Plan]]&lt;&gt;0,DB_HighSOF[[#This Row],[Actual]]/DB_HighSOF[[#This Row],[Plan]],1.000011000011)</f>
        <v>1.0462749444799915</v>
      </c>
    </row>
    <row r="97" spans="1:31" hidden="1" x14ac:dyDescent="0.2">
      <c r="A97">
        <f>SUBTOTAL(3,$B$6:B97)</f>
        <v>28</v>
      </c>
      <c r="B97" t="s">
        <v>350</v>
      </c>
      <c r="C97" t="s">
        <v>917</v>
      </c>
      <c r="I97">
        <v>0</v>
      </c>
      <c r="U97">
        <v>464.07</v>
      </c>
      <c r="AB97">
        <f>SUMPRODUCT(DB_HighSOF[[#This Row],[Plan01]:[Plan12]],$D$4:$O$4)/valUnits2</f>
        <v>0</v>
      </c>
      <c r="AC97">
        <f>SUMPRODUCT(DB_HighSOF[[#This Row],[Act01]:[Act12]],$P$4:$AA$4)/valUnits2</f>
        <v>0.46406999999999998</v>
      </c>
      <c r="AD97">
        <f>DB_HighSOF[[#This Row],[Actual]]-DB_HighSOF[[#This Row],[Plan]]</f>
        <v>0.46406999999999998</v>
      </c>
      <c r="AE97">
        <f>IF(DB_HighSOF[[#This Row],[Plan]]&lt;&gt;0,DB_HighSOF[[#This Row],[Actual]]/DB_HighSOF[[#This Row],[Plan]],1.000011000011)</f>
        <v>1.0000110000110001</v>
      </c>
    </row>
    <row r="98" spans="1:31" hidden="1" x14ac:dyDescent="0.2">
      <c r="A98">
        <f>SUBTOTAL(3,$B$6:B98)</f>
        <v>28</v>
      </c>
      <c r="B98" t="s">
        <v>350</v>
      </c>
      <c r="C98" t="s">
        <v>891</v>
      </c>
      <c r="I98">
        <v>0</v>
      </c>
      <c r="U98">
        <v>361.49</v>
      </c>
      <c r="AB98">
        <f>SUMPRODUCT(DB_HighSOF[[#This Row],[Plan01]:[Plan12]],$D$4:$O$4)/valUnits2</f>
        <v>0</v>
      </c>
      <c r="AC98">
        <f>SUMPRODUCT(DB_HighSOF[[#This Row],[Act01]:[Act12]],$P$4:$AA$4)/valUnits2</f>
        <v>0.36149000000000003</v>
      </c>
      <c r="AD98">
        <f>DB_HighSOF[[#This Row],[Actual]]-DB_HighSOF[[#This Row],[Plan]]</f>
        <v>0.36149000000000003</v>
      </c>
      <c r="AE98">
        <f>IF(DB_HighSOF[[#This Row],[Plan]]&lt;&gt;0,DB_HighSOF[[#This Row],[Actual]]/DB_HighSOF[[#This Row],[Plan]],1.000011000011)</f>
        <v>1.0000110000110001</v>
      </c>
    </row>
    <row r="99" spans="1:31" hidden="1" x14ac:dyDescent="0.2">
      <c r="A99">
        <f>SUBTOTAL(3,$B$6:B99)</f>
        <v>28</v>
      </c>
      <c r="B99" t="s">
        <v>350</v>
      </c>
      <c r="C99" t="s">
        <v>930</v>
      </c>
      <c r="E99">
        <v>371.23</v>
      </c>
      <c r="F99">
        <v>513.32000000000005</v>
      </c>
      <c r="G99">
        <v>267.85000000000002</v>
      </c>
      <c r="H99">
        <v>990.74</v>
      </c>
      <c r="I99">
        <v>0</v>
      </c>
      <c r="Q99">
        <v>371.23</v>
      </c>
      <c r="R99">
        <v>513.32000000000005</v>
      </c>
      <c r="S99">
        <v>267.84999999999997</v>
      </c>
      <c r="T99">
        <v>990.74</v>
      </c>
      <c r="U99">
        <v>329.76000000000005</v>
      </c>
      <c r="AB99">
        <f>SUMPRODUCT(DB_HighSOF[[#This Row],[Plan01]:[Plan12]],$D$4:$O$4)/valUnits2</f>
        <v>2.1431400000000003</v>
      </c>
      <c r="AC99">
        <f>SUMPRODUCT(DB_HighSOF[[#This Row],[Act01]:[Act12]],$P$4:$AA$4)/valUnits2</f>
        <v>2.4729000000000005</v>
      </c>
      <c r="AD99">
        <f>DB_HighSOF[[#This Row],[Actual]]-DB_HighSOF[[#This Row],[Plan]]</f>
        <v>0.32976000000000028</v>
      </c>
      <c r="AE99">
        <f>IF(DB_HighSOF[[#This Row],[Plan]]&lt;&gt;0,DB_HighSOF[[#This Row],[Actual]]/DB_HighSOF[[#This Row],[Plan]],1.000011000011)</f>
        <v>1.1538676894649906</v>
      </c>
    </row>
    <row r="100" spans="1:31" hidden="1" x14ac:dyDescent="0.2">
      <c r="A100">
        <f>SUBTOTAL(3,$B$6:B100)</f>
        <v>28</v>
      </c>
      <c r="B100" t="s">
        <v>350</v>
      </c>
      <c r="C100" t="s">
        <v>877</v>
      </c>
      <c r="H100">
        <v>294.43900000000002</v>
      </c>
      <c r="I100">
        <v>0</v>
      </c>
      <c r="T100">
        <v>290.87</v>
      </c>
      <c r="U100">
        <v>293.03000000000003</v>
      </c>
      <c r="AB100">
        <f>SUMPRODUCT(DB_HighSOF[[#This Row],[Plan01]:[Plan12]],$D$4:$O$4)/valUnits2</f>
        <v>0.29443900000000001</v>
      </c>
      <c r="AC100">
        <f>SUMPRODUCT(DB_HighSOF[[#This Row],[Act01]:[Act12]],$P$4:$AA$4)/valUnits2</f>
        <v>0.58390000000000009</v>
      </c>
      <c r="AD100">
        <f>DB_HighSOF[[#This Row],[Actual]]-DB_HighSOF[[#This Row],[Plan]]</f>
        <v>0.28946100000000008</v>
      </c>
      <c r="AE100">
        <f>IF(DB_HighSOF[[#This Row],[Plan]]&lt;&gt;0,DB_HighSOF[[#This Row],[Actual]]/DB_HighSOF[[#This Row],[Plan]],1.000011000011)</f>
        <v>1.9830932722906955</v>
      </c>
    </row>
    <row r="101" spans="1:31" x14ac:dyDescent="0.2">
      <c r="A101">
        <f>SUBTOTAL(3,$B$6:B101)</f>
        <v>29</v>
      </c>
      <c r="B101" t="s">
        <v>1</v>
      </c>
      <c r="C101" t="s">
        <v>863</v>
      </c>
      <c r="D101">
        <v>-2877.63</v>
      </c>
      <c r="E101">
        <v>168.67</v>
      </c>
      <c r="F101">
        <v>1033.82</v>
      </c>
      <c r="G101">
        <v>7245.52</v>
      </c>
      <c r="H101">
        <v>994.98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-2877.6300000000019</v>
      </c>
      <c r="Q101">
        <v>168.67</v>
      </c>
      <c r="R101">
        <v>1033.82</v>
      </c>
      <c r="S101">
        <v>7245.52</v>
      </c>
      <c r="T101">
        <v>995.80000000000007</v>
      </c>
      <c r="U101">
        <v>271.08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f>SUMPRODUCT(DB_HighSOF[[#This Row],[Plan01]:[Plan12]],$D$4:$O$4)/valUnits2</f>
        <v>6.565360000000001</v>
      </c>
      <c r="AC101">
        <f>SUMPRODUCT(DB_HighSOF[[#This Row],[Act01]:[Act12]],$P$4:$AA$4)/valUnits2</f>
        <v>6.8372599999999988</v>
      </c>
      <c r="AD101">
        <f>DB_HighSOF[[#This Row],[Actual]]-DB_HighSOF[[#This Row],[Plan]]</f>
        <v>0.27189999999999781</v>
      </c>
      <c r="AE101">
        <f>IF(DB_HighSOF[[#This Row],[Plan]]&lt;&gt;0,DB_HighSOF[[#This Row],[Actual]]/DB_HighSOF[[#This Row],[Plan]],1.000011000011)</f>
        <v>1.0414143321919891</v>
      </c>
    </row>
    <row r="102" spans="1:31" hidden="1" x14ac:dyDescent="0.2">
      <c r="A102">
        <f>SUBTOTAL(3,$B$6:B102)</f>
        <v>29</v>
      </c>
      <c r="B102" t="s">
        <v>343</v>
      </c>
      <c r="C102" t="s">
        <v>863</v>
      </c>
      <c r="D102">
        <v>-2877.63</v>
      </c>
      <c r="E102">
        <v>168.67</v>
      </c>
      <c r="F102">
        <v>1033.82</v>
      </c>
      <c r="G102">
        <v>6467.68</v>
      </c>
      <c r="H102">
        <v>703.97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-2877.6300000000019</v>
      </c>
      <c r="Q102">
        <v>168.67</v>
      </c>
      <c r="R102">
        <v>1033.82</v>
      </c>
      <c r="S102">
        <v>6467.68</v>
      </c>
      <c r="T102">
        <v>703.97</v>
      </c>
      <c r="U102">
        <v>271.08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f>SUMPRODUCT(DB_HighSOF[[#This Row],[Plan01]:[Plan12]],$D$4:$O$4)/valUnits2</f>
        <v>5.4965099999999998</v>
      </c>
      <c r="AC102">
        <f>SUMPRODUCT(DB_HighSOF[[#This Row],[Act01]:[Act12]],$P$4:$AA$4)/valUnits2</f>
        <v>5.7675899999999984</v>
      </c>
      <c r="AD102">
        <f>DB_HighSOF[[#This Row],[Actual]]-DB_HighSOF[[#This Row],[Plan]]</f>
        <v>0.27107999999999866</v>
      </c>
      <c r="AE102">
        <f>IF(DB_HighSOF[[#This Row],[Plan]]&lt;&gt;0,DB_HighSOF[[#This Row],[Actual]]/DB_HighSOF[[#This Row],[Plan]],1.000011000011)</f>
        <v>1.049318567600168</v>
      </c>
    </row>
    <row r="103" spans="1:31" hidden="1" x14ac:dyDescent="0.2">
      <c r="A103">
        <f>SUBTOTAL(3,$B$6:B103)</f>
        <v>29</v>
      </c>
      <c r="B103" t="s">
        <v>342</v>
      </c>
      <c r="C103" t="s">
        <v>847</v>
      </c>
      <c r="H103">
        <v>9318.1869999999999</v>
      </c>
      <c r="I103">
        <v>0</v>
      </c>
      <c r="T103">
        <v>9526.64</v>
      </c>
      <c r="U103">
        <v>261.21999999999986</v>
      </c>
      <c r="AB103">
        <f>SUMPRODUCT(DB_HighSOF[[#This Row],[Plan01]:[Plan12]],$D$4:$O$4)/valUnits2</f>
        <v>9.318187</v>
      </c>
      <c r="AC103">
        <f>SUMPRODUCT(DB_HighSOF[[#This Row],[Act01]:[Act12]],$P$4:$AA$4)/valUnits2</f>
        <v>9.7878599999999985</v>
      </c>
      <c r="AD103">
        <f>DB_HighSOF[[#This Row],[Actual]]-DB_HighSOF[[#This Row],[Plan]]</f>
        <v>0.46967299999999845</v>
      </c>
      <c r="AE103">
        <f>IF(DB_HighSOF[[#This Row],[Plan]]&lt;&gt;0,DB_HighSOF[[#This Row],[Actual]]/DB_HighSOF[[#This Row],[Plan]],1.000011000011)</f>
        <v>1.050403903677829</v>
      </c>
    </row>
    <row r="104" spans="1:31" hidden="1" x14ac:dyDescent="0.2">
      <c r="A104">
        <f>SUBTOTAL(3,$B$6:B104)</f>
        <v>29</v>
      </c>
      <c r="B104" t="s">
        <v>351</v>
      </c>
      <c r="C104" t="s">
        <v>881</v>
      </c>
      <c r="G104">
        <v>3693.3300000000004</v>
      </c>
      <c r="H104">
        <v>2723.5499999999997</v>
      </c>
      <c r="I104">
        <v>1798.6769999999997</v>
      </c>
      <c r="J104">
        <v>3597.3599999999992</v>
      </c>
      <c r="K104">
        <v>1798.6769999999997</v>
      </c>
      <c r="L104">
        <v>1798.6769999999997</v>
      </c>
      <c r="M104">
        <v>1798.6769999999997</v>
      </c>
      <c r="N104">
        <v>1798.6769999999997</v>
      </c>
      <c r="O104">
        <v>3597.3599999999992</v>
      </c>
      <c r="S104">
        <v>3693.3300000000004</v>
      </c>
      <c r="T104">
        <v>2725.8500000000004</v>
      </c>
      <c r="U104">
        <v>1994.0300000000002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f>SUMPRODUCT(DB_HighSOF[[#This Row],[Plan01]:[Plan12]],$D$4:$O$4)/valUnits2</f>
        <v>8.2155570000000004</v>
      </c>
      <c r="AC104">
        <f>SUMPRODUCT(DB_HighSOF[[#This Row],[Act01]:[Act12]],$P$4:$AA$4)/valUnits2</f>
        <v>8.4132100000000012</v>
      </c>
      <c r="AD104">
        <f>DB_HighSOF[[#This Row],[Actual]]-DB_HighSOF[[#This Row],[Plan]]</f>
        <v>0.19765300000000074</v>
      </c>
      <c r="AE104">
        <f>IF(DB_HighSOF[[#This Row],[Plan]]&lt;&gt;0,DB_HighSOF[[#This Row],[Actual]]/DB_HighSOF[[#This Row],[Plan]],1.000011000011)</f>
        <v>1.0240583809472688</v>
      </c>
    </row>
    <row r="105" spans="1:31" hidden="1" x14ac:dyDescent="0.2">
      <c r="A105">
        <f>SUBTOTAL(3,$B$6:B105)</f>
        <v>29</v>
      </c>
      <c r="B105" t="s">
        <v>342</v>
      </c>
      <c r="C105" t="s">
        <v>903</v>
      </c>
      <c r="G105">
        <v>3529.5940000000001</v>
      </c>
      <c r="H105">
        <v>13558.859</v>
      </c>
      <c r="I105">
        <v>1565.962</v>
      </c>
      <c r="J105">
        <v>1163.0519999999999</v>
      </c>
      <c r="K105">
        <v>1997.4759999999999</v>
      </c>
      <c r="L105">
        <v>961.59799999999996</v>
      </c>
      <c r="M105">
        <v>8804.2480000000014</v>
      </c>
      <c r="N105">
        <v>8094.7259999999997</v>
      </c>
      <c r="O105">
        <v>8083.1230000000014</v>
      </c>
      <c r="S105">
        <v>3490.79</v>
      </c>
      <c r="T105">
        <v>13713.25</v>
      </c>
      <c r="U105">
        <v>1776.06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f>SUMPRODUCT(DB_HighSOF[[#This Row],[Plan01]:[Plan12]],$D$4:$O$4)/valUnits2</f>
        <v>18.654415</v>
      </c>
      <c r="AC105">
        <f>SUMPRODUCT(DB_HighSOF[[#This Row],[Act01]:[Act12]],$P$4:$AA$4)/valUnits2</f>
        <v>18.980100000000004</v>
      </c>
      <c r="AD105">
        <f>DB_HighSOF[[#This Row],[Actual]]-DB_HighSOF[[#This Row],[Plan]]</f>
        <v>0.32568500000000355</v>
      </c>
      <c r="AE105">
        <f>IF(DB_HighSOF[[#This Row],[Plan]]&lt;&gt;0,DB_HighSOF[[#This Row],[Actual]]/DB_HighSOF[[#This Row],[Plan]],1.000011000011)</f>
        <v>1.0174588696563256</v>
      </c>
    </row>
    <row r="106" spans="1:31" hidden="1" x14ac:dyDescent="0.2">
      <c r="A106">
        <f>SUBTOTAL(3,$B$6:B106)</f>
        <v>29</v>
      </c>
      <c r="B106" t="s">
        <v>342</v>
      </c>
      <c r="C106" t="s">
        <v>845</v>
      </c>
      <c r="H106">
        <v>151.71</v>
      </c>
      <c r="I106">
        <v>0</v>
      </c>
      <c r="T106">
        <v>152.69</v>
      </c>
      <c r="U106">
        <v>203.47</v>
      </c>
      <c r="AB106">
        <f>SUMPRODUCT(DB_HighSOF[[#This Row],[Plan01]:[Plan12]],$D$4:$O$4)/valUnits2</f>
        <v>0.15171000000000001</v>
      </c>
      <c r="AC106">
        <f>SUMPRODUCT(DB_HighSOF[[#This Row],[Act01]:[Act12]],$P$4:$AA$4)/valUnits2</f>
        <v>0.35615999999999998</v>
      </c>
      <c r="AD106">
        <f>DB_HighSOF[[#This Row],[Actual]]-DB_HighSOF[[#This Row],[Plan]]</f>
        <v>0.20444999999999997</v>
      </c>
      <c r="AE106">
        <f>IF(DB_HighSOF[[#This Row],[Plan]]&lt;&gt;0,DB_HighSOF[[#This Row],[Actual]]/DB_HighSOF[[#This Row],[Plan]],1.000011000011)</f>
        <v>2.3476369388965788</v>
      </c>
    </row>
    <row r="107" spans="1:31" hidden="1" x14ac:dyDescent="0.2">
      <c r="A107">
        <f>SUBTOTAL(3,$B$6:B107)</f>
        <v>29</v>
      </c>
      <c r="B107" t="s">
        <v>351</v>
      </c>
      <c r="C107" t="s">
        <v>366</v>
      </c>
      <c r="D107">
        <v>0</v>
      </c>
      <c r="E107">
        <v>0</v>
      </c>
      <c r="F107">
        <v>0</v>
      </c>
      <c r="G107">
        <v>524.08600000000001</v>
      </c>
      <c r="H107">
        <v>162.79200000000003</v>
      </c>
      <c r="I107">
        <v>0</v>
      </c>
      <c r="J107">
        <v>0</v>
      </c>
      <c r="K107">
        <v>0</v>
      </c>
      <c r="P107">
        <v>0</v>
      </c>
      <c r="Q107">
        <v>0</v>
      </c>
      <c r="R107">
        <v>0</v>
      </c>
      <c r="S107">
        <v>532.14</v>
      </c>
      <c r="T107">
        <v>164.35</v>
      </c>
      <c r="U107">
        <v>176.83</v>
      </c>
      <c r="V107">
        <v>0</v>
      </c>
      <c r="W107">
        <v>0</v>
      </c>
      <c r="AB107">
        <f>SUMPRODUCT(DB_HighSOF[[#This Row],[Plan01]:[Plan12]],$D$4:$O$4)/valUnits2</f>
        <v>0.68687799999999999</v>
      </c>
      <c r="AC107">
        <f>SUMPRODUCT(DB_HighSOF[[#This Row],[Act01]:[Act12]],$P$4:$AA$4)/valUnits2</f>
        <v>0.8733200000000001</v>
      </c>
      <c r="AD107">
        <f>DB_HighSOF[[#This Row],[Actual]]-DB_HighSOF[[#This Row],[Plan]]</f>
        <v>0.18644200000000011</v>
      </c>
      <c r="AE107">
        <f>IF(DB_HighSOF[[#This Row],[Plan]]&lt;&gt;0,DB_HighSOF[[#This Row],[Actual]]/DB_HighSOF[[#This Row],[Plan]],1.000011000011)</f>
        <v>1.271433937322203</v>
      </c>
    </row>
    <row r="108" spans="1:31" hidden="1" x14ac:dyDescent="0.2">
      <c r="A108">
        <f>SUBTOTAL(3,$B$6:B108)</f>
        <v>29</v>
      </c>
      <c r="B108" t="s">
        <v>351</v>
      </c>
      <c r="C108" t="s">
        <v>893</v>
      </c>
      <c r="F108">
        <v>2673.3850000000002</v>
      </c>
      <c r="R108">
        <v>2756.69</v>
      </c>
      <c r="AB108">
        <f>SUMPRODUCT(DB_HighSOF[[#This Row],[Plan01]:[Plan12]],$D$4:$O$4)/valUnits2</f>
        <v>2.6733850000000001</v>
      </c>
      <c r="AC108">
        <f>SUMPRODUCT(DB_HighSOF[[#This Row],[Act01]:[Act12]],$P$4:$AA$4)/valUnits2</f>
        <v>2.7566899999999999</v>
      </c>
      <c r="AD108">
        <f>DB_HighSOF[[#This Row],[Actual]]-DB_HighSOF[[#This Row],[Plan]]</f>
        <v>8.330499999999974E-2</v>
      </c>
      <c r="AE108">
        <f>IF(DB_HighSOF[[#This Row],[Plan]]&lt;&gt;0,DB_HighSOF[[#This Row],[Actual]]/DB_HighSOF[[#This Row],[Plan]],1.000011000011)</f>
        <v>1.0311608690854477</v>
      </c>
    </row>
    <row r="109" spans="1:31" hidden="1" x14ac:dyDescent="0.2">
      <c r="A109">
        <f>SUBTOTAL(3,$B$6:B109)</f>
        <v>29</v>
      </c>
      <c r="B109" t="s">
        <v>351</v>
      </c>
      <c r="C109" t="s">
        <v>868</v>
      </c>
      <c r="G109">
        <v>52.31</v>
      </c>
      <c r="H109">
        <v>101.98999999999998</v>
      </c>
      <c r="I109">
        <v>0</v>
      </c>
      <c r="S109">
        <v>52.31</v>
      </c>
      <c r="T109">
        <v>102.27</v>
      </c>
      <c r="U109">
        <v>72.75</v>
      </c>
      <c r="AB109">
        <f>SUMPRODUCT(DB_HighSOF[[#This Row],[Plan01]:[Plan12]],$D$4:$O$4)/valUnits2</f>
        <v>0.15429999999999999</v>
      </c>
      <c r="AC109">
        <f>SUMPRODUCT(DB_HighSOF[[#This Row],[Act01]:[Act12]],$P$4:$AA$4)/valUnits2</f>
        <v>0.22732999999999998</v>
      </c>
      <c r="AD109">
        <f>DB_HighSOF[[#This Row],[Actual]]-DB_HighSOF[[#This Row],[Plan]]</f>
        <v>7.3029999999999984E-2</v>
      </c>
      <c r="AE109">
        <f>IF(DB_HighSOF[[#This Row],[Plan]]&lt;&gt;0,DB_HighSOF[[#This Row],[Actual]]/DB_HighSOF[[#This Row],[Plan]],1.000011000011)</f>
        <v>1.4732987686325338</v>
      </c>
    </row>
    <row r="110" spans="1:31" hidden="1" x14ac:dyDescent="0.2">
      <c r="A110">
        <f>SUBTOTAL(3,$B$6:B110)</f>
        <v>29</v>
      </c>
      <c r="B110" t="s">
        <v>351</v>
      </c>
      <c r="C110" t="s">
        <v>852</v>
      </c>
      <c r="D110">
        <v>851.36099999999999</v>
      </c>
      <c r="P110">
        <v>868.58</v>
      </c>
      <c r="AB110">
        <f>SUMPRODUCT(DB_HighSOF[[#This Row],[Plan01]:[Plan12]],$D$4:$O$4)/valUnits2</f>
        <v>0.85136100000000003</v>
      </c>
      <c r="AC110">
        <f>SUMPRODUCT(DB_HighSOF[[#This Row],[Act01]:[Act12]],$P$4:$AA$4)/valUnits2</f>
        <v>0.86858000000000002</v>
      </c>
      <c r="AD110">
        <f>DB_HighSOF[[#This Row],[Actual]]-DB_HighSOF[[#This Row],[Plan]]</f>
        <v>1.7218999999999984E-2</v>
      </c>
      <c r="AE110">
        <f>IF(DB_HighSOF[[#This Row],[Plan]]&lt;&gt;0,DB_HighSOF[[#This Row],[Actual]]/DB_HighSOF[[#This Row],[Plan]],1.000011000011)</f>
        <v>1.0202252628438464</v>
      </c>
    </row>
    <row r="111" spans="1:31" hidden="1" x14ac:dyDescent="0.2">
      <c r="A111">
        <f>SUBTOTAL(3,$B$6:B111)</f>
        <v>29</v>
      </c>
      <c r="B111" t="s">
        <v>350</v>
      </c>
      <c r="C111" t="s">
        <v>935</v>
      </c>
      <c r="D111">
        <v>0</v>
      </c>
      <c r="E111">
        <v>397.07</v>
      </c>
      <c r="F111">
        <v>183.23400000000001</v>
      </c>
      <c r="G111">
        <v>373.84699999999998</v>
      </c>
      <c r="H111">
        <v>193.87599999999998</v>
      </c>
      <c r="I111">
        <v>316.44100000000003</v>
      </c>
      <c r="J111">
        <v>316.44100000000003</v>
      </c>
      <c r="K111">
        <v>316.44100000000003</v>
      </c>
      <c r="L111">
        <v>316.44100000000003</v>
      </c>
      <c r="M111">
        <v>316.44100000000003</v>
      </c>
      <c r="N111">
        <v>316.44100000000003</v>
      </c>
      <c r="O111">
        <v>316.44100000000003</v>
      </c>
      <c r="P111">
        <v>0</v>
      </c>
      <c r="Q111">
        <v>409.45000000000005</v>
      </c>
      <c r="R111">
        <v>182.21</v>
      </c>
      <c r="S111">
        <v>367.45</v>
      </c>
      <c r="T111">
        <v>193.57</v>
      </c>
      <c r="U111">
        <v>361.76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f>SUMPRODUCT(DB_HighSOF[[#This Row],[Plan01]:[Plan12]],$D$4:$O$4)/valUnits2</f>
        <v>1.4644680000000001</v>
      </c>
      <c r="AC111">
        <f>SUMPRODUCT(DB_HighSOF[[#This Row],[Act01]:[Act12]],$P$4:$AA$4)/valUnits2</f>
        <v>1.51444</v>
      </c>
      <c r="AD111">
        <f>DB_HighSOF[[#This Row],[Actual]]-DB_HighSOF[[#This Row],[Plan]]</f>
        <v>4.9971999999999905E-2</v>
      </c>
      <c r="AE111">
        <f>IF(DB_HighSOF[[#This Row],[Plan]]&lt;&gt;0,DB_HighSOF[[#This Row],[Actual]]/DB_HighSOF[[#This Row],[Plan]],1.000011000011)</f>
        <v>1.0341229716183624</v>
      </c>
    </row>
    <row r="112" spans="1:31" hidden="1" x14ac:dyDescent="0.2">
      <c r="A112">
        <f>SUBTOTAL(3,$B$6:B112)</f>
        <v>29</v>
      </c>
      <c r="B112" t="s">
        <v>346</v>
      </c>
      <c r="C112" t="s">
        <v>853</v>
      </c>
      <c r="F112">
        <v>336.26799999999997</v>
      </c>
      <c r="G112">
        <v>320.65600000000001</v>
      </c>
      <c r="H112">
        <v>175.089</v>
      </c>
      <c r="I112">
        <v>554.19900000000007</v>
      </c>
      <c r="J112">
        <v>1924.893</v>
      </c>
      <c r="K112">
        <v>1924.893</v>
      </c>
      <c r="L112">
        <v>554.19899999999996</v>
      </c>
      <c r="M112">
        <v>1924.893</v>
      </c>
      <c r="N112">
        <v>1924.893</v>
      </c>
      <c r="O112">
        <v>554.19899999999996</v>
      </c>
      <c r="R112">
        <v>335.14</v>
      </c>
      <c r="S112">
        <v>314.67</v>
      </c>
      <c r="T112">
        <v>175.92000000000002</v>
      </c>
      <c r="U112">
        <v>597.64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f>SUMPRODUCT(DB_HighSOF[[#This Row],[Plan01]:[Plan12]],$D$4:$O$4)/valUnits2</f>
        <v>1.386212</v>
      </c>
      <c r="AC112">
        <f>SUMPRODUCT(DB_HighSOF[[#This Row],[Act01]:[Act12]],$P$4:$AA$4)/valUnits2</f>
        <v>1.4233699999999998</v>
      </c>
      <c r="AD112">
        <f>DB_HighSOF[[#This Row],[Actual]]-DB_HighSOF[[#This Row],[Plan]]</f>
        <v>3.7157999999999802E-2</v>
      </c>
      <c r="AE112">
        <f>IF(DB_HighSOF[[#This Row],[Plan]]&lt;&gt;0,DB_HighSOF[[#This Row],[Actual]]/DB_HighSOF[[#This Row],[Plan]],1.000011000011)</f>
        <v>1.026805423701425</v>
      </c>
    </row>
    <row r="113" spans="1:31" hidden="1" x14ac:dyDescent="0.2">
      <c r="A113">
        <f>SUBTOTAL(3,$B$6:B113)</f>
        <v>29</v>
      </c>
      <c r="B113" t="s">
        <v>350</v>
      </c>
      <c r="C113" t="s">
        <v>929</v>
      </c>
      <c r="E113">
        <v>113.663</v>
      </c>
      <c r="F113">
        <v>57.43</v>
      </c>
      <c r="G113">
        <v>117.58499999999999</v>
      </c>
      <c r="H113">
        <v>62.041000000000004</v>
      </c>
      <c r="I113">
        <v>0</v>
      </c>
      <c r="Q113">
        <v>115.9</v>
      </c>
      <c r="R113">
        <v>57.95</v>
      </c>
      <c r="S113">
        <v>116.36999999999999</v>
      </c>
      <c r="T113">
        <v>61.309999999999995</v>
      </c>
      <c r="U113">
        <v>41.99</v>
      </c>
      <c r="AB113">
        <f>SUMPRODUCT(DB_HighSOF[[#This Row],[Plan01]:[Plan12]],$D$4:$O$4)/valUnits2</f>
        <v>0.350719</v>
      </c>
      <c r="AC113">
        <f>SUMPRODUCT(DB_HighSOF[[#This Row],[Act01]:[Act12]],$P$4:$AA$4)/valUnits2</f>
        <v>0.39352000000000004</v>
      </c>
      <c r="AD113">
        <f>DB_HighSOF[[#This Row],[Actual]]-DB_HighSOF[[#This Row],[Plan]]</f>
        <v>4.2801000000000033E-2</v>
      </c>
      <c r="AE113">
        <f>IF(DB_HighSOF[[#This Row],[Plan]]&lt;&gt;0,DB_HighSOF[[#This Row],[Actual]]/DB_HighSOF[[#This Row],[Plan]],1.000011000011)</f>
        <v>1.1220378707740386</v>
      </c>
    </row>
    <row r="114" spans="1:31" hidden="1" x14ac:dyDescent="0.2">
      <c r="A114">
        <f>SUBTOTAL(3,$B$6:B114)</f>
        <v>29</v>
      </c>
      <c r="B114" t="s">
        <v>350</v>
      </c>
      <c r="C114" t="s">
        <v>860</v>
      </c>
      <c r="E114">
        <v>34.010000000000005</v>
      </c>
      <c r="F114">
        <v>6.99</v>
      </c>
      <c r="H114">
        <v>641.34999999999991</v>
      </c>
      <c r="I114">
        <v>0</v>
      </c>
      <c r="Q114">
        <v>34.010000000000005</v>
      </c>
      <c r="R114">
        <v>6.99</v>
      </c>
      <c r="T114">
        <v>641.34999999999991</v>
      </c>
      <c r="U114">
        <v>27.2</v>
      </c>
      <c r="AB114">
        <f>SUMPRODUCT(DB_HighSOF[[#This Row],[Plan01]:[Plan12]],$D$4:$O$4)/valUnits2</f>
        <v>0.6823499999999999</v>
      </c>
      <c r="AC114">
        <f>SUMPRODUCT(DB_HighSOF[[#This Row],[Act01]:[Act12]],$P$4:$AA$4)/valUnits2</f>
        <v>0.7095499999999999</v>
      </c>
      <c r="AD114">
        <f>DB_HighSOF[[#This Row],[Actual]]-DB_HighSOF[[#This Row],[Plan]]</f>
        <v>2.7200000000000002E-2</v>
      </c>
      <c r="AE114">
        <f>IF(DB_HighSOF[[#This Row],[Plan]]&lt;&gt;0,DB_HighSOF[[#This Row],[Actual]]/DB_HighSOF[[#This Row],[Plan]],1.000011000011)</f>
        <v>1.0398622407855207</v>
      </c>
    </row>
    <row r="115" spans="1:31" hidden="1" x14ac:dyDescent="0.2">
      <c r="A115">
        <f>SUBTOTAL(3,$B$6:B115)</f>
        <v>29</v>
      </c>
      <c r="B115" t="s">
        <v>350</v>
      </c>
      <c r="C115" t="s">
        <v>904</v>
      </c>
      <c r="E115">
        <v>5.5940000000000003</v>
      </c>
      <c r="F115">
        <v>8.6920000000000002</v>
      </c>
      <c r="H115">
        <v>310.351</v>
      </c>
      <c r="I115">
        <v>0</v>
      </c>
      <c r="Q115">
        <v>5.58</v>
      </c>
      <c r="R115">
        <v>8.620000000000001</v>
      </c>
      <c r="T115">
        <v>306.38</v>
      </c>
      <c r="U115">
        <v>21.740000000000002</v>
      </c>
      <c r="AB115">
        <f>SUMPRODUCT(DB_HighSOF[[#This Row],[Plan01]:[Plan12]],$D$4:$O$4)/valUnits2</f>
        <v>0.32463700000000001</v>
      </c>
      <c r="AC115">
        <f>SUMPRODUCT(DB_HighSOF[[#This Row],[Act01]:[Act12]],$P$4:$AA$4)/valUnits2</f>
        <v>0.34232000000000001</v>
      </c>
      <c r="AD115">
        <f>DB_HighSOF[[#This Row],[Actual]]-DB_HighSOF[[#This Row],[Plan]]</f>
        <v>1.7683000000000004E-2</v>
      </c>
      <c r="AE115">
        <f>IF(DB_HighSOF[[#This Row],[Plan]]&lt;&gt;0,DB_HighSOF[[#This Row],[Actual]]/DB_HighSOF[[#This Row],[Plan]],1.000011000011)</f>
        <v>1.0544700696470211</v>
      </c>
    </row>
    <row r="116" spans="1:31" hidden="1" x14ac:dyDescent="0.2">
      <c r="A116">
        <f>SUBTOTAL(3,$B$6:B116)</f>
        <v>29</v>
      </c>
      <c r="B116" t="s">
        <v>350</v>
      </c>
      <c r="C116" t="s">
        <v>368</v>
      </c>
      <c r="I116">
        <v>0</v>
      </c>
      <c r="U116">
        <v>10.37</v>
      </c>
      <c r="AB116">
        <f>SUMPRODUCT(DB_HighSOF[[#This Row],[Plan01]:[Plan12]],$D$4:$O$4)/valUnits2</f>
        <v>0</v>
      </c>
      <c r="AC116">
        <f>SUMPRODUCT(DB_HighSOF[[#This Row],[Act01]:[Act12]],$P$4:$AA$4)/valUnits2</f>
        <v>1.0369999999999999E-2</v>
      </c>
      <c r="AD116">
        <f>DB_HighSOF[[#This Row],[Actual]]-DB_HighSOF[[#This Row],[Plan]]</f>
        <v>1.0369999999999999E-2</v>
      </c>
      <c r="AE116">
        <f>IF(DB_HighSOF[[#This Row],[Plan]]&lt;&gt;0,DB_HighSOF[[#This Row],[Actual]]/DB_HighSOF[[#This Row],[Plan]],1.000011000011)</f>
        <v>1.0000110000110001</v>
      </c>
    </row>
    <row r="117" spans="1:31" hidden="1" x14ac:dyDescent="0.2">
      <c r="A117">
        <f>SUBTOTAL(3,$B$6:B117)</f>
        <v>29</v>
      </c>
      <c r="B117" t="s">
        <v>350</v>
      </c>
      <c r="C117" t="s">
        <v>885</v>
      </c>
      <c r="D117">
        <v>0</v>
      </c>
      <c r="E117">
        <v>0</v>
      </c>
      <c r="F117">
        <v>531.928</v>
      </c>
      <c r="G117">
        <v>1.2789999999999999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508.89</v>
      </c>
      <c r="S117">
        <v>1.29</v>
      </c>
      <c r="T117">
        <v>0</v>
      </c>
      <c r="U117">
        <v>9.07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f>SUMPRODUCT(DB_HighSOF[[#This Row],[Plan01]:[Plan12]],$D$4:$O$4)/valUnits2</f>
        <v>0.53320699999999999</v>
      </c>
      <c r="AC117">
        <f>SUMPRODUCT(DB_HighSOF[[#This Row],[Act01]:[Act12]],$P$4:$AA$4)/valUnits2</f>
        <v>0.51924999999999999</v>
      </c>
      <c r="AD117">
        <f>DB_HighSOF[[#This Row],[Actual]]-DB_HighSOF[[#This Row],[Plan]]</f>
        <v>-1.3956999999999997E-2</v>
      </c>
      <c r="AE117">
        <f>IF(DB_HighSOF[[#This Row],[Plan]]&lt;&gt;0,DB_HighSOF[[#This Row],[Actual]]/DB_HighSOF[[#This Row],[Plan]],1.000011000011)</f>
        <v>0.97382442466059149</v>
      </c>
    </row>
    <row r="118" spans="1:31" hidden="1" x14ac:dyDescent="0.2">
      <c r="A118">
        <f>SUBTOTAL(3,$B$6:B118)</f>
        <v>29</v>
      </c>
      <c r="B118" t="s">
        <v>350</v>
      </c>
      <c r="C118" t="s">
        <v>922</v>
      </c>
      <c r="E118">
        <v>2.448</v>
      </c>
      <c r="F118">
        <v>3.3439999999999999</v>
      </c>
      <c r="H118">
        <v>2.4</v>
      </c>
      <c r="I118">
        <v>0</v>
      </c>
      <c r="Q118">
        <v>2.5299999999999998</v>
      </c>
      <c r="R118">
        <v>3.3900000000000006</v>
      </c>
      <c r="T118">
        <v>2.38</v>
      </c>
      <c r="U118">
        <v>8.9500000000000011</v>
      </c>
      <c r="AB118">
        <f>SUMPRODUCT(DB_HighSOF[[#This Row],[Plan01]:[Plan12]],$D$4:$O$4)/valUnits2</f>
        <v>8.1919999999999996E-3</v>
      </c>
      <c r="AC118">
        <f>SUMPRODUCT(DB_HighSOF[[#This Row],[Act01]:[Act12]],$P$4:$AA$4)/valUnits2</f>
        <v>1.7250000000000001E-2</v>
      </c>
      <c r="AD118">
        <f>DB_HighSOF[[#This Row],[Actual]]-DB_HighSOF[[#This Row],[Plan]]</f>
        <v>9.0580000000000018E-3</v>
      </c>
      <c r="AE118">
        <f>IF(DB_HighSOF[[#This Row],[Plan]]&lt;&gt;0,DB_HighSOF[[#This Row],[Actual]]/DB_HighSOF[[#This Row],[Plan]],1.000011000011)</f>
        <v>2.1057128906250004</v>
      </c>
    </row>
    <row r="119" spans="1:31" hidden="1" x14ac:dyDescent="0.2">
      <c r="A119">
        <f>SUBTOTAL(3,$B$6:B119)</f>
        <v>29</v>
      </c>
      <c r="B119" t="s">
        <v>350</v>
      </c>
      <c r="C119" t="s">
        <v>849</v>
      </c>
      <c r="I119">
        <v>0</v>
      </c>
      <c r="U119">
        <v>4.3600000000000003</v>
      </c>
      <c r="AB119">
        <f>SUMPRODUCT(DB_HighSOF[[#This Row],[Plan01]:[Plan12]],$D$4:$O$4)/valUnits2</f>
        <v>0</v>
      </c>
      <c r="AC119">
        <f>SUMPRODUCT(DB_HighSOF[[#This Row],[Act01]:[Act12]],$P$4:$AA$4)/valUnits2</f>
        <v>4.3600000000000002E-3</v>
      </c>
      <c r="AD119">
        <f>DB_HighSOF[[#This Row],[Actual]]-DB_HighSOF[[#This Row],[Plan]]</f>
        <v>4.3600000000000002E-3</v>
      </c>
      <c r="AE119">
        <f>IF(DB_HighSOF[[#This Row],[Plan]]&lt;&gt;0,DB_HighSOF[[#This Row],[Actual]]/DB_HighSOF[[#This Row],[Plan]],1.000011000011)</f>
        <v>1.0000110000110001</v>
      </c>
    </row>
    <row r="120" spans="1:31" hidden="1" x14ac:dyDescent="0.2">
      <c r="A120">
        <f>SUBTOTAL(3,$B$6:B120)</f>
        <v>29</v>
      </c>
      <c r="B120" t="s">
        <v>350</v>
      </c>
      <c r="C120" t="s">
        <v>360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4.32</v>
      </c>
      <c r="AB120">
        <f>SUMPRODUCT(DB_HighSOF[[#This Row],[Plan01]:[Plan12]],$D$4:$O$4)/valUnits2</f>
        <v>0</v>
      </c>
      <c r="AC120">
        <f>SUMPRODUCT(DB_HighSOF[[#This Row],[Act01]:[Act12]],$P$4:$AA$4)/valUnits2</f>
        <v>4.3200000000000001E-3</v>
      </c>
      <c r="AD120">
        <f>DB_HighSOF[[#This Row],[Actual]]-DB_HighSOF[[#This Row],[Plan]]</f>
        <v>4.3200000000000001E-3</v>
      </c>
      <c r="AE120">
        <f>IF(DB_HighSOF[[#This Row],[Plan]]&lt;&gt;0,DB_HighSOF[[#This Row],[Actual]]/DB_HighSOF[[#This Row],[Plan]],1.000011000011)</f>
        <v>1.0000110000110001</v>
      </c>
    </row>
    <row r="121" spans="1:31" hidden="1" x14ac:dyDescent="0.2">
      <c r="A121">
        <f>SUBTOTAL(3,$B$6:B121)</f>
        <v>29</v>
      </c>
      <c r="B121" t="s">
        <v>350</v>
      </c>
      <c r="C121" t="s">
        <v>855</v>
      </c>
      <c r="I121">
        <v>0</v>
      </c>
      <c r="U121">
        <v>1.4500000000000455</v>
      </c>
      <c r="AB121">
        <f>SUMPRODUCT(DB_HighSOF[[#This Row],[Plan01]:[Plan12]],$D$4:$O$4)/valUnits2</f>
        <v>0</v>
      </c>
      <c r="AC121">
        <f>SUMPRODUCT(DB_HighSOF[[#This Row],[Act01]:[Act12]],$P$4:$AA$4)/valUnits2</f>
        <v>1.4500000000000454E-3</v>
      </c>
      <c r="AD121">
        <f>DB_HighSOF[[#This Row],[Actual]]-DB_HighSOF[[#This Row],[Plan]]</f>
        <v>1.4500000000000454E-3</v>
      </c>
      <c r="AE121">
        <f>IF(DB_HighSOF[[#This Row],[Plan]]&lt;&gt;0,DB_HighSOF[[#This Row],[Actual]]/DB_HighSOF[[#This Row],[Plan]],1.000011000011)</f>
        <v>1.0000110000110001</v>
      </c>
    </row>
    <row r="122" spans="1:31" hidden="1" x14ac:dyDescent="0.2">
      <c r="A122">
        <f>SUBTOTAL(3,$B$6:B122)</f>
        <v>29</v>
      </c>
      <c r="B122" t="s">
        <v>350</v>
      </c>
      <c r="C122" t="s">
        <v>353</v>
      </c>
      <c r="F122">
        <v>0</v>
      </c>
      <c r="G122">
        <v>0</v>
      </c>
      <c r="I122">
        <v>0</v>
      </c>
      <c r="R122">
        <v>0</v>
      </c>
      <c r="S122">
        <v>0</v>
      </c>
      <c r="U122">
        <v>1.23</v>
      </c>
      <c r="AB122">
        <f>SUMPRODUCT(DB_HighSOF[[#This Row],[Plan01]:[Plan12]],$D$4:$O$4)/valUnits2</f>
        <v>0</v>
      </c>
      <c r="AC122">
        <f>SUMPRODUCT(DB_HighSOF[[#This Row],[Act01]:[Act12]],$P$4:$AA$4)/valUnits2</f>
        <v>1.23E-3</v>
      </c>
      <c r="AD122">
        <f>DB_HighSOF[[#This Row],[Actual]]-DB_HighSOF[[#This Row],[Plan]]</f>
        <v>1.23E-3</v>
      </c>
      <c r="AE122">
        <f>IF(DB_HighSOF[[#This Row],[Plan]]&lt;&gt;0,DB_HighSOF[[#This Row],[Actual]]/DB_HighSOF[[#This Row],[Plan]],1.000011000011)</f>
        <v>1.0000110000110001</v>
      </c>
    </row>
    <row r="123" spans="1:31" hidden="1" x14ac:dyDescent="0.2">
      <c r="A123">
        <f>SUBTOTAL(3,$B$6:B123)</f>
        <v>29</v>
      </c>
      <c r="B123" t="s">
        <v>350</v>
      </c>
      <c r="C123" t="s">
        <v>881</v>
      </c>
      <c r="I123">
        <v>0</v>
      </c>
      <c r="U123">
        <v>1.1599999999999999</v>
      </c>
      <c r="AB123">
        <f>SUMPRODUCT(DB_HighSOF[[#This Row],[Plan01]:[Plan12]],$D$4:$O$4)/valUnits2</f>
        <v>0</v>
      </c>
      <c r="AC123">
        <f>SUMPRODUCT(DB_HighSOF[[#This Row],[Act01]:[Act12]],$P$4:$AA$4)/valUnits2</f>
        <v>1.16E-3</v>
      </c>
      <c r="AD123">
        <f>DB_HighSOF[[#This Row],[Actual]]-DB_HighSOF[[#This Row],[Plan]]</f>
        <v>1.16E-3</v>
      </c>
      <c r="AE123">
        <f>IF(DB_HighSOF[[#This Row],[Plan]]&lt;&gt;0,DB_HighSOF[[#This Row],[Actual]]/DB_HighSOF[[#This Row],[Plan]],1.000011000011)</f>
        <v>1.0000110000110001</v>
      </c>
    </row>
    <row r="124" spans="1:31" hidden="1" x14ac:dyDescent="0.2">
      <c r="A124">
        <f>SUBTOTAL(3,$B$6:B124)</f>
        <v>29</v>
      </c>
      <c r="B124" t="s">
        <v>350</v>
      </c>
      <c r="C124" t="s">
        <v>358</v>
      </c>
      <c r="I124">
        <v>0</v>
      </c>
      <c r="U124">
        <v>0.86</v>
      </c>
      <c r="AB124">
        <f>SUMPRODUCT(DB_HighSOF[[#This Row],[Plan01]:[Plan12]],$D$4:$O$4)/valUnits2</f>
        <v>0</v>
      </c>
      <c r="AC124">
        <f>SUMPRODUCT(DB_HighSOF[[#This Row],[Act01]:[Act12]],$P$4:$AA$4)/valUnits2</f>
        <v>8.5999999999999998E-4</v>
      </c>
      <c r="AD124">
        <f>DB_HighSOF[[#This Row],[Actual]]-DB_HighSOF[[#This Row],[Plan]]</f>
        <v>8.5999999999999998E-4</v>
      </c>
      <c r="AE124">
        <f>IF(DB_HighSOF[[#This Row],[Plan]]&lt;&gt;0,DB_HighSOF[[#This Row],[Actual]]/DB_HighSOF[[#This Row],[Plan]],1.000011000011)</f>
        <v>1.0000110000110001</v>
      </c>
    </row>
    <row r="125" spans="1:31" hidden="1" x14ac:dyDescent="0.2">
      <c r="A125">
        <f>SUBTOTAL(3,$B$6:B125)</f>
        <v>29</v>
      </c>
      <c r="B125" t="s">
        <v>350</v>
      </c>
      <c r="C125" t="s">
        <v>875</v>
      </c>
      <c r="F125">
        <v>10.256</v>
      </c>
      <c r="I125">
        <v>0</v>
      </c>
      <c r="R125">
        <v>10.32</v>
      </c>
      <c r="U125">
        <v>0.85</v>
      </c>
      <c r="AB125">
        <f>SUMPRODUCT(DB_HighSOF[[#This Row],[Plan01]:[Plan12]],$D$4:$O$4)/valUnits2</f>
        <v>1.0255999999999999E-2</v>
      </c>
      <c r="AC125">
        <f>SUMPRODUCT(DB_HighSOF[[#This Row],[Act01]:[Act12]],$P$4:$AA$4)/valUnits2</f>
        <v>1.1169999999999999E-2</v>
      </c>
      <c r="AD125">
        <f>DB_HighSOF[[#This Row],[Actual]]-DB_HighSOF[[#This Row],[Plan]]</f>
        <v>9.1399999999999988E-4</v>
      </c>
      <c r="AE125">
        <f>IF(DB_HighSOF[[#This Row],[Plan]]&lt;&gt;0,DB_HighSOF[[#This Row],[Actual]]/DB_HighSOF[[#This Row],[Plan]],1.000011000011)</f>
        <v>1.0891185647425896</v>
      </c>
    </row>
    <row r="126" spans="1:31" hidden="1" x14ac:dyDescent="0.2">
      <c r="A126">
        <f>SUBTOTAL(3,$B$6:B126)</f>
        <v>29</v>
      </c>
      <c r="B126" t="s">
        <v>350</v>
      </c>
      <c r="C126" t="s">
        <v>872</v>
      </c>
      <c r="H126">
        <v>88.274000000000001</v>
      </c>
      <c r="I126">
        <v>0</v>
      </c>
      <c r="T126">
        <v>88.1</v>
      </c>
      <c r="U126">
        <v>0.77</v>
      </c>
      <c r="AB126">
        <f>SUMPRODUCT(DB_HighSOF[[#This Row],[Plan01]:[Plan12]],$D$4:$O$4)/valUnits2</f>
        <v>8.8274000000000005E-2</v>
      </c>
      <c r="AC126">
        <f>SUMPRODUCT(DB_HighSOF[[#This Row],[Act01]:[Act12]],$P$4:$AA$4)/valUnits2</f>
        <v>8.8869999999999991E-2</v>
      </c>
      <c r="AD126">
        <f>DB_HighSOF[[#This Row],[Actual]]-DB_HighSOF[[#This Row],[Plan]]</f>
        <v>5.9599999999998543E-4</v>
      </c>
      <c r="AE126">
        <f>IF(DB_HighSOF[[#This Row],[Plan]]&lt;&gt;0,DB_HighSOF[[#This Row],[Actual]]/DB_HighSOF[[#This Row],[Plan]],1.000011000011)</f>
        <v>1.0067517049187755</v>
      </c>
    </row>
    <row r="127" spans="1:31" hidden="1" x14ac:dyDescent="0.2">
      <c r="A127">
        <f>SUBTOTAL(3,$B$6:B127)</f>
        <v>29</v>
      </c>
      <c r="B127" t="s">
        <v>350</v>
      </c>
      <c r="C127" t="s">
        <v>367</v>
      </c>
      <c r="D127">
        <v>0</v>
      </c>
      <c r="E127">
        <v>1844.6279999999999</v>
      </c>
      <c r="F127">
        <v>2216.7730000000001</v>
      </c>
      <c r="G127">
        <v>0</v>
      </c>
      <c r="H127">
        <v>152.49199999999999</v>
      </c>
      <c r="I127">
        <v>0</v>
      </c>
      <c r="J127">
        <v>0</v>
      </c>
      <c r="M127">
        <v>0</v>
      </c>
      <c r="P127">
        <v>0</v>
      </c>
      <c r="Q127">
        <v>1883.31</v>
      </c>
      <c r="R127">
        <v>2236.8399999999997</v>
      </c>
      <c r="S127">
        <v>0</v>
      </c>
      <c r="T127">
        <v>153.27000000000001</v>
      </c>
      <c r="U127">
        <v>0.69</v>
      </c>
      <c r="V127">
        <v>0</v>
      </c>
      <c r="Y127">
        <v>0</v>
      </c>
      <c r="AB127">
        <f>SUMPRODUCT(DB_HighSOF[[#This Row],[Plan01]:[Plan12]],$D$4:$O$4)/valUnits2</f>
        <v>4.2138929999999997</v>
      </c>
      <c r="AC127">
        <f>SUMPRODUCT(DB_HighSOF[[#This Row],[Act01]:[Act12]],$P$4:$AA$4)/valUnits2</f>
        <v>4.2741099999999994</v>
      </c>
      <c r="AD127">
        <f>DB_HighSOF[[#This Row],[Actual]]-DB_HighSOF[[#This Row],[Plan]]</f>
        <v>6.0216999999999743E-2</v>
      </c>
      <c r="AE127">
        <f>IF(DB_HighSOF[[#This Row],[Plan]]&lt;&gt;0,DB_HighSOF[[#This Row],[Actual]]/DB_HighSOF[[#This Row],[Plan]],1.000011000011)</f>
        <v>1.0142901113056264</v>
      </c>
    </row>
    <row r="128" spans="1:31" hidden="1" x14ac:dyDescent="0.2">
      <c r="A128">
        <f>SUBTOTAL(3,$B$6:B128)</f>
        <v>29</v>
      </c>
      <c r="B128" t="s">
        <v>350</v>
      </c>
      <c r="C128" t="s">
        <v>847</v>
      </c>
      <c r="I128">
        <v>0</v>
      </c>
      <c r="U128">
        <v>0.6</v>
      </c>
      <c r="AB128">
        <f>SUMPRODUCT(DB_HighSOF[[#This Row],[Plan01]:[Plan12]],$D$4:$O$4)/valUnits2</f>
        <v>0</v>
      </c>
      <c r="AC128">
        <f>SUMPRODUCT(DB_HighSOF[[#This Row],[Act01]:[Act12]],$P$4:$AA$4)/valUnits2</f>
        <v>5.9999999999999995E-4</v>
      </c>
      <c r="AD128">
        <f>DB_HighSOF[[#This Row],[Actual]]-DB_HighSOF[[#This Row],[Plan]]</f>
        <v>5.9999999999999995E-4</v>
      </c>
      <c r="AE128">
        <f>IF(DB_HighSOF[[#This Row],[Plan]]&lt;&gt;0,DB_HighSOF[[#This Row],[Actual]]/DB_HighSOF[[#This Row],[Plan]],1.000011000011)</f>
        <v>1.0000110000110001</v>
      </c>
    </row>
    <row r="129" spans="1:31" hidden="1" x14ac:dyDescent="0.2">
      <c r="A129">
        <f>SUBTOTAL(3,$B$6:B129)</f>
        <v>29</v>
      </c>
      <c r="B129" t="s">
        <v>350</v>
      </c>
      <c r="C129" t="s">
        <v>362</v>
      </c>
      <c r="D129">
        <v>0</v>
      </c>
      <c r="I129">
        <v>0</v>
      </c>
      <c r="P129">
        <v>0</v>
      </c>
      <c r="U129">
        <v>0.59</v>
      </c>
      <c r="AB129">
        <f>SUMPRODUCT(DB_HighSOF[[#This Row],[Plan01]:[Plan12]],$D$4:$O$4)/valUnits2</f>
        <v>0</v>
      </c>
      <c r="AC129">
        <f>SUMPRODUCT(DB_HighSOF[[#This Row],[Act01]:[Act12]],$P$4:$AA$4)/valUnits2</f>
        <v>5.8999999999999992E-4</v>
      </c>
      <c r="AD129">
        <f>DB_HighSOF[[#This Row],[Actual]]-DB_HighSOF[[#This Row],[Plan]]</f>
        <v>5.8999999999999992E-4</v>
      </c>
      <c r="AE129">
        <f>IF(DB_HighSOF[[#This Row],[Plan]]&lt;&gt;0,DB_HighSOF[[#This Row],[Actual]]/DB_HighSOF[[#This Row],[Plan]],1.000011000011)</f>
        <v>1.0000110000110001</v>
      </c>
    </row>
    <row r="130" spans="1:31" hidden="1" x14ac:dyDescent="0.2">
      <c r="A130">
        <f>SUBTOTAL(3,$B$6:B130)</f>
        <v>29</v>
      </c>
      <c r="B130" t="s">
        <v>350</v>
      </c>
      <c r="C130" t="s">
        <v>854</v>
      </c>
      <c r="I130">
        <v>0</v>
      </c>
      <c r="U130">
        <v>0.56000000000000005</v>
      </c>
      <c r="AB130">
        <f>SUMPRODUCT(DB_HighSOF[[#This Row],[Plan01]:[Plan12]],$D$4:$O$4)/valUnits2</f>
        <v>0</v>
      </c>
      <c r="AC130">
        <f>SUMPRODUCT(DB_HighSOF[[#This Row],[Act01]:[Act12]],$P$4:$AA$4)/valUnits2</f>
        <v>5.6000000000000006E-4</v>
      </c>
      <c r="AD130">
        <f>DB_HighSOF[[#This Row],[Actual]]-DB_HighSOF[[#This Row],[Plan]]</f>
        <v>5.6000000000000006E-4</v>
      </c>
      <c r="AE130">
        <f>IF(DB_HighSOF[[#This Row],[Plan]]&lt;&gt;0,DB_HighSOF[[#This Row],[Actual]]/DB_HighSOF[[#This Row],[Plan]],1.000011000011)</f>
        <v>1.0000110000110001</v>
      </c>
    </row>
    <row r="131" spans="1:31" hidden="1" x14ac:dyDescent="0.2">
      <c r="A131">
        <f>SUBTOTAL(3,$B$6:B131)</f>
        <v>29</v>
      </c>
      <c r="B131" t="s">
        <v>350</v>
      </c>
      <c r="C131" t="s">
        <v>850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0.55000000000000004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f>SUMPRODUCT(DB_HighSOF[[#This Row],[Plan01]:[Plan12]],$D$4:$O$4)/valUnits2</f>
        <v>0</v>
      </c>
      <c r="AC131">
        <f>SUMPRODUCT(DB_HighSOF[[#This Row],[Act01]:[Act12]],$P$4:$AA$4)/valUnits2</f>
        <v>5.5000000000000003E-4</v>
      </c>
      <c r="AD131">
        <f>DB_HighSOF[[#This Row],[Actual]]-DB_HighSOF[[#This Row],[Plan]]</f>
        <v>5.5000000000000003E-4</v>
      </c>
      <c r="AE131">
        <f>IF(DB_HighSOF[[#This Row],[Plan]]&lt;&gt;0,DB_HighSOF[[#This Row],[Actual]]/DB_HighSOF[[#This Row],[Plan]],1.000011000011)</f>
        <v>1.0000110000110001</v>
      </c>
    </row>
    <row r="132" spans="1:31" hidden="1" x14ac:dyDescent="0.2">
      <c r="A132">
        <f>SUBTOTAL(3,$B$6:B132)</f>
        <v>29</v>
      </c>
      <c r="B132" t="s">
        <v>350</v>
      </c>
      <c r="C132" t="s">
        <v>918</v>
      </c>
      <c r="D132">
        <v>0</v>
      </c>
      <c r="G132">
        <v>0</v>
      </c>
      <c r="H132">
        <v>115.01900000000001</v>
      </c>
      <c r="I132">
        <v>0</v>
      </c>
      <c r="J132">
        <v>0</v>
      </c>
      <c r="M132">
        <v>0</v>
      </c>
      <c r="P132">
        <v>0</v>
      </c>
      <c r="S132">
        <v>0</v>
      </c>
      <c r="T132">
        <v>114.08</v>
      </c>
      <c r="U132">
        <v>0.53</v>
      </c>
      <c r="V132">
        <v>0</v>
      </c>
      <c r="Y132">
        <v>0</v>
      </c>
      <c r="AB132">
        <f>SUMPRODUCT(DB_HighSOF[[#This Row],[Plan01]:[Plan12]],$D$4:$O$4)/valUnits2</f>
        <v>0.11501900000000001</v>
      </c>
      <c r="AC132">
        <f>SUMPRODUCT(DB_HighSOF[[#This Row],[Act01]:[Act12]],$P$4:$AA$4)/valUnits2</f>
        <v>0.11461</v>
      </c>
      <c r="AD132">
        <f>DB_HighSOF[[#This Row],[Actual]]-DB_HighSOF[[#This Row],[Plan]]</f>
        <v>-4.0900000000000658E-4</v>
      </c>
      <c r="AE132">
        <f>IF(DB_HighSOF[[#This Row],[Plan]]&lt;&gt;0,DB_HighSOF[[#This Row],[Actual]]/DB_HighSOF[[#This Row],[Plan]],1.000011000011)</f>
        <v>0.99644406576304778</v>
      </c>
    </row>
    <row r="133" spans="1:31" hidden="1" x14ac:dyDescent="0.2">
      <c r="A133">
        <f>SUBTOTAL(3,$B$6:B133)</f>
        <v>29</v>
      </c>
      <c r="B133" t="s">
        <v>350</v>
      </c>
      <c r="C133" t="s">
        <v>924</v>
      </c>
      <c r="I133">
        <v>0</v>
      </c>
      <c r="U133">
        <v>0.53</v>
      </c>
      <c r="AB133">
        <f>SUMPRODUCT(DB_HighSOF[[#This Row],[Plan01]:[Plan12]],$D$4:$O$4)/valUnits2</f>
        <v>0</v>
      </c>
      <c r="AC133">
        <f>SUMPRODUCT(DB_HighSOF[[#This Row],[Act01]:[Act12]],$P$4:$AA$4)/valUnits2</f>
        <v>5.2999999999999998E-4</v>
      </c>
      <c r="AD133">
        <f>DB_HighSOF[[#This Row],[Actual]]-DB_HighSOF[[#This Row],[Plan]]</f>
        <v>5.2999999999999998E-4</v>
      </c>
      <c r="AE133">
        <f>IF(DB_HighSOF[[#This Row],[Plan]]&lt;&gt;0,DB_HighSOF[[#This Row],[Actual]]/DB_HighSOF[[#This Row],[Plan]],1.000011000011)</f>
        <v>1.0000110000110001</v>
      </c>
    </row>
    <row r="134" spans="1:31" hidden="1" x14ac:dyDescent="0.2">
      <c r="A134">
        <f>SUBTOTAL(3,$B$6:B134)</f>
        <v>29</v>
      </c>
      <c r="B134" t="s">
        <v>350</v>
      </c>
      <c r="C134" t="s">
        <v>356</v>
      </c>
      <c r="D134">
        <v>0</v>
      </c>
      <c r="E134">
        <v>22.425999999999998</v>
      </c>
      <c r="F134">
        <v>0</v>
      </c>
      <c r="G134">
        <v>0</v>
      </c>
      <c r="H134">
        <v>0</v>
      </c>
      <c r="I134">
        <v>0</v>
      </c>
      <c r="P134">
        <v>0</v>
      </c>
      <c r="Q134">
        <v>22.52</v>
      </c>
      <c r="R134">
        <v>0</v>
      </c>
      <c r="S134">
        <v>0</v>
      </c>
      <c r="T134">
        <v>0</v>
      </c>
      <c r="U134">
        <v>0.4</v>
      </c>
      <c r="AB134">
        <f>SUMPRODUCT(DB_HighSOF[[#This Row],[Plan01]:[Plan12]],$D$4:$O$4)/valUnits2</f>
        <v>2.2425999999999998E-2</v>
      </c>
      <c r="AC134">
        <f>SUMPRODUCT(DB_HighSOF[[#This Row],[Act01]:[Act12]],$P$4:$AA$4)/valUnits2</f>
        <v>2.2919999999999999E-2</v>
      </c>
      <c r="AD134">
        <f>DB_HighSOF[[#This Row],[Actual]]-DB_HighSOF[[#This Row],[Plan]]</f>
        <v>4.9400000000000138E-4</v>
      </c>
      <c r="AE134">
        <f>IF(DB_HighSOF[[#This Row],[Plan]]&lt;&gt;0,DB_HighSOF[[#This Row],[Actual]]/DB_HighSOF[[#This Row],[Plan]],1.000011000011)</f>
        <v>1.0220280032105593</v>
      </c>
    </row>
    <row r="135" spans="1:31" hidden="1" x14ac:dyDescent="0.2">
      <c r="A135">
        <f>SUBTOTAL(3,$B$6:B135)</f>
        <v>29</v>
      </c>
      <c r="B135" t="s">
        <v>350</v>
      </c>
      <c r="C135" t="s">
        <v>366</v>
      </c>
      <c r="I135">
        <v>0</v>
      </c>
      <c r="U135">
        <v>0.36</v>
      </c>
      <c r="AB135">
        <f>SUMPRODUCT(DB_HighSOF[[#This Row],[Plan01]:[Plan12]],$D$4:$O$4)/valUnits2</f>
        <v>0</v>
      </c>
      <c r="AC135">
        <f>SUMPRODUCT(DB_HighSOF[[#This Row],[Act01]:[Act12]],$P$4:$AA$4)/valUnits2</f>
        <v>3.5999999999999997E-4</v>
      </c>
      <c r="AD135">
        <f>DB_HighSOF[[#This Row],[Actual]]-DB_HighSOF[[#This Row],[Plan]]</f>
        <v>3.5999999999999997E-4</v>
      </c>
      <c r="AE135">
        <f>IF(DB_HighSOF[[#This Row],[Plan]]&lt;&gt;0,DB_HighSOF[[#This Row],[Actual]]/DB_HighSOF[[#This Row],[Plan]],1.000011000011)</f>
        <v>1.0000110000110001</v>
      </c>
    </row>
    <row r="136" spans="1:31" hidden="1" x14ac:dyDescent="0.2">
      <c r="A136">
        <f>SUBTOTAL(3,$B$6:B136)</f>
        <v>29</v>
      </c>
      <c r="B136" t="s">
        <v>350</v>
      </c>
      <c r="C136" t="s">
        <v>892</v>
      </c>
      <c r="I136">
        <v>0</v>
      </c>
      <c r="U136">
        <v>0.31</v>
      </c>
      <c r="AB136">
        <f>SUMPRODUCT(DB_HighSOF[[#This Row],[Plan01]:[Plan12]],$D$4:$O$4)/valUnits2</f>
        <v>0</v>
      </c>
      <c r="AC136">
        <f>SUMPRODUCT(DB_HighSOF[[#This Row],[Act01]:[Act12]],$P$4:$AA$4)/valUnits2</f>
        <v>3.1E-4</v>
      </c>
      <c r="AD136">
        <f>DB_HighSOF[[#This Row],[Actual]]-DB_HighSOF[[#This Row],[Plan]]</f>
        <v>3.1E-4</v>
      </c>
      <c r="AE136">
        <f>IF(DB_HighSOF[[#This Row],[Plan]]&lt;&gt;0,DB_HighSOF[[#This Row],[Actual]]/DB_HighSOF[[#This Row],[Plan]],1.000011000011)</f>
        <v>1.0000110000110001</v>
      </c>
    </row>
    <row r="137" spans="1:31" hidden="1" x14ac:dyDescent="0.2">
      <c r="A137">
        <f>SUBTOTAL(3,$B$6:B137)</f>
        <v>29</v>
      </c>
      <c r="B137" t="s">
        <v>351</v>
      </c>
      <c r="C137" t="s">
        <v>921</v>
      </c>
      <c r="D137">
        <v>137.381</v>
      </c>
      <c r="E137">
        <v>845.428</v>
      </c>
      <c r="F137">
        <v>887.40000000000009</v>
      </c>
      <c r="G137">
        <v>251.39700000000002</v>
      </c>
      <c r="H137">
        <v>369.14600000000002</v>
      </c>
      <c r="P137">
        <v>137.34</v>
      </c>
      <c r="Q137">
        <v>843.26999999999987</v>
      </c>
      <c r="R137">
        <v>881.90000000000009</v>
      </c>
      <c r="S137">
        <v>273.99999999999994</v>
      </c>
      <c r="T137">
        <v>370.89</v>
      </c>
      <c r="AB137">
        <f>SUMPRODUCT(DB_HighSOF[[#This Row],[Plan01]:[Plan12]],$D$4:$O$4)/valUnits2</f>
        <v>2.4907520000000005</v>
      </c>
      <c r="AC137">
        <f>SUMPRODUCT(DB_HighSOF[[#This Row],[Act01]:[Act12]],$P$4:$AA$4)/valUnits2</f>
        <v>2.5073999999999996</v>
      </c>
      <c r="AD137">
        <f>DB_HighSOF[[#This Row],[Actual]]-DB_HighSOF[[#This Row],[Plan]]</f>
        <v>1.6647999999999108E-2</v>
      </c>
      <c r="AE137">
        <f>IF(DB_HighSOF[[#This Row],[Plan]]&lt;&gt;0,DB_HighSOF[[#This Row],[Actual]]/DB_HighSOF[[#This Row],[Plan]],1.000011000011)</f>
        <v>1.0066839251760107</v>
      </c>
    </row>
    <row r="138" spans="1:31" hidden="1" x14ac:dyDescent="0.2">
      <c r="A138">
        <f>SUBTOTAL(3,$B$6:B138)</f>
        <v>29</v>
      </c>
      <c r="B138" t="s">
        <v>350</v>
      </c>
      <c r="C138" t="s">
        <v>361</v>
      </c>
      <c r="I138">
        <v>0</v>
      </c>
      <c r="U138">
        <v>0.23</v>
      </c>
      <c r="AB138">
        <f>SUMPRODUCT(DB_HighSOF[[#This Row],[Plan01]:[Plan12]],$D$4:$O$4)/valUnits2</f>
        <v>0</v>
      </c>
      <c r="AC138">
        <f>SUMPRODUCT(DB_HighSOF[[#This Row],[Act01]:[Act12]],$P$4:$AA$4)/valUnits2</f>
        <v>2.3000000000000001E-4</v>
      </c>
      <c r="AD138">
        <f>DB_HighSOF[[#This Row],[Actual]]-DB_HighSOF[[#This Row],[Plan]]</f>
        <v>2.3000000000000001E-4</v>
      </c>
      <c r="AE138">
        <f>IF(DB_HighSOF[[#This Row],[Plan]]&lt;&gt;0,DB_HighSOF[[#This Row],[Actual]]/DB_HighSOF[[#This Row],[Plan]],1.000011000011)</f>
        <v>1.0000110000110001</v>
      </c>
    </row>
    <row r="139" spans="1:31" hidden="1" x14ac:dyDescent="0.2">
      <c r="A139">
        <f>SUBTOTAL(3,$B$6:B139)</f>
        <v>29</v>
      </c>
      <c r="B139" t="s">
        <v>350</v>
      </c>
      <c r="C139" t="s">
        <v>357</v>
      </c>
      <c r="I139">
        <v>0</v>
      </c>
      <c r="U139">
        <v>0.21</v>
      </c>
      <c r="AB139">
        <f>SUMPRODUCT(DB_HighSOF[[#This Row],[Plan01]:[Plan12]],$D$4:$O$4)/valUnits2</f>
        <v>0</v>
      </c>
      <c r="AC139">
        <f>SUMPRODUCT(DB_HighSOF[[#This Row],[Act01]:[Act12]],$P$4:$AA$4)/valUnits2</f>
        <v>2.0999999999999998E-4</v>
      </c>
      <c r="AD139">
        <f>DB_HighSOF[[#This Row],[Actual]]-DB_HighSOF[[#This Row],[Plan]]</f>
        <v>2.0999999999999998E-4</v>
      </c>
      <c r="AE139">
        <f>IF(DB_HighSOF[[#This Row],[Plan]]&lt;&gt;0,DB_HighSOF[[#This Row],[Actual]]/DB_HighSOF[[#This Row],[Plan]],1.000011000011)</f>
        <v>1.0000110000110001</v>
      </c>
    </row>
    <row r="140" spans="1:31" hidden="1" x14ac:dyDescent="0.2">
      <c r="A140">
        <f>SUBTOTAL(3,$B$6:B140)</f>
        <v>29</v>
      </c>
      <c r="B140" t="s">
        <v>350</v>
      </c>
      <c r="C140" t="s">
        <v>903</v>
      </c>
      <c r="I140">
        <v>0</v>
      </c>
      <c r="U140">
        <v>0.17</v>
      </c>
      <c r="AB140">
        <f>SUMPRODUCT(DB_HighSOF[[#This Row],[Plan01]:[Plan12]],$D$4:$O$4)/valUnits2</f>
        <v>0</v>
      </c>
      <c r="AC140">
        <f>SUMPRODUCT(DB_HighSOF[[#This Row],[Act01]:[Act12]],$P$4:$AA$4)/valUnits2</f>
        <v>1.7000000000000001E-4</v>
      </c>
      <c r="AD140">
        <f>DB_HighSOF[[#This Row],[Actual]]-DB_HighSOF[[#This Row],[Plan]]</f>
        <v>1.7000000000000001E-4</v>
      </c>
      <c r="AE140">
        <f>IF(DB_HighSOF[[#This Row],[Plan]]&lt;&gt;0,DB_HighSOF[[#This Row],[Actual]]/DB_HighSOF[[#This Row],[Plan]],1.000011000011)</f>
        <v>1.0000110000110001</v>
      </c>
    </row>
    <row r="141" spans="1:31" hidden="1" x14ac:dyDescent="0.2">
      <c r="A141">
        <f>SUBTOTAL(3,$B$6:B141)</f>
        <v>29</v>
      </c>
      <c r="B141" t="s">
        <v>350</v>
      </c>
      <c r="C141" t="s">
        <v>354</v>
      </c>
      <c r="I141">
        <v>0</v>
      </c>
      <c r="U141">
        <v>0.17</v>
      </c>
      <c r="AB141">
        <f>SUMPRODUCT(DB_HighSOF[[#This Row],[Plan01]:[Plan12]],$D$4:$O$4)/valUnits2</f>
        <v>0</v>
      </c>
      <c r="AC141">
        <f>SUMPRODUCT(DB_HighSOF[[#This Row],[Act01]:[Act12]],$P$4:$AA$4)/valUnits2</f>
        <v>1.7000000000000001E-4</v>
      </c>
      <c r="AD141">
        <f>DB_HighSOF[[#This Row],[Actual]]-DB_HighSOF[[#This Row],[Plan]]</f>
        <v>1.7000000000000001E-4</v>
      </c>
      <c r="AE141">
        <f>IF(DB_HighSOF[[#This Row],[Plan]]&lt;&gt;0,DB_HighSOF[[#This Row],[Actual]]/DB_HighSOF[[#This Row],[Plan]],1.000011000011)</f>
        <v>1.0000110000110001</v>
      </c>
    </row>
    <row r="142" spans="1:31" hidden="1" x14ac:dyDescent="0.2">
      <c r="A142">
        <f>SUBTOTAL(3,$B$6:B142)</f>
        <v>29</v>
      </c>
      <c r="B142" t="s">
        <v>350</v>
      </c>
      <c r="C142" t="s">
        <v>846</v>
      </c>
      <c r="I142">
        <v>0</v>
      </c>
      <c r="U142">
        <v>0.15</v>
      </c>
      <c r="AB142">
        <f>SUMPRODUCT(DB_HighSOF[[#This Row],[Plan01]:[Plan12]],$D$4:$O$4)/valUnits2</f>
        <v>0</v>
      </c>
      <c r="AC142">
        <f>SUMPRODUCT(DB_HighSOF[[#This Row],[Act01]:[Act12]],$P$4:$AA$4)/valUnits2</f>
        <v>1.4999999999999999E-4</v>
      </c>
      <c r="AD142">
        <f>DB_HighSOF[[#This Row],[Actual]]-DB_HighSOF[[#This Row],[Plan]]</f>
        <v>1.4999999999999999E-4</v>
      </c>
      <c r="AE142">
        <f>IF(DB_HighSOF[[#This Row],[Plan]]&lt;&gt;0,DB_HighSOF[[#This Row],[Actual]]/DB_HighSOF[[#This Row],[Plan]],1.000011000011)</f>
        <v>1.0000110000110001</v>
      </c>
    </row>
    <row r="143" spans="1:31" hidden="1" x14ac:dyDescent="0.2">
      <c r="A143">
        <f>SUBTOTAL(3,$B$6:B143)</f>
        <v>29</v>
      </c>
      <c r="B143" t="s">
        <v>350</v>
      </c>
      <c r="C143" t="s">
        <v>868</v>
      </c>
      <c r="I143">
        <v>0</v>
      </c>
      <c r="U143">
        <v>0.14000000000000001</v>
      </c>
      <c r="AB143">
        <f>SUMPRODUCT(DB_HighSOF[[#This Row],[Plan01]:[Plan12]],$D$4:$O$4)/valUnits2</f>
        <v>0</v>
      </c>
      <c r="AC143">
        <f>SUMPRODUCT(DB_HighSOF[[#This Row],[Act01]:[Act12]],$P$4:$AA$4)/valUnits2</f>
        <v>1.4000000000000001E-4</v>
      </c>
      <c r="AD143">
        <f>DB_HighSOF[[#This Row],[Actual]]-DB_HighSOF[[#This Row],[Plan]]</f>
        <v>1.4000000000000001E-4</v>
      </c>
      <c r="AE143">
        <f>IF(DB_HighSOF[[#This Row],[Plan]]&lt;&gt;0,DB_HighSOF[[#This Row],[Actual]]/DB_HighSOF[[#This Row],[Plan]],1.000011000011)</f>
        <v>1.0000110000110001</v>
      </c>
    </row>
    <row r="144" spans="1:31" hidden="1" x14ac:dyDescent="0.2">
      <c r="A144">
        <f>SUBTOTAL(3,$B$6:B144)</f>
        <v>29</v>
      </c>
      <c r="B144" t="s">
        <v>350</v>
      </c>
      <c r="C144" t="s">
        <v>359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0.05</v>
      </c>
      <c r="AB144">
        <f>SUMPRODUCT(DB_HighSOF[[#This Row],[Plan01]:[Plan12]],$D$4:$O$4)/valUnits2</f>
        <v>0</v>
      </c>
      <c r="AC144">
        <f>SUMPRODUCT(DB_HighSOF[[#This Row],[Act01]:[Act12]],$P$4:$AA$4)/valUnits2</f>
        <v>5.0000000000000002E-5</v>
      </c>
      <c r="AD144">
        <f>DB_HighSOF[[#This Row],[Actual]]-DB_HighSOF[[#This Row],[Plan]]</f>
        <v>5.0000000000000002E-5</v>
      </c>
      <c r="AE144">
        <f>IF(DB_HighSOF[[#This Row],[Plan]]&lt;&gt;0,DB_HighSOF[[#This Row],[Actual]]/DB_HighSOF[[#This Row],[Plan]],1.000011000011)</f>
        <v>1.0000110000110001</v>
      </c>
    </row>
    <row r="145" spans="1:31" x14ac:dyDescent="0.2">
      <c r="A145">
        <f>SUBTOTAL(3,$B$6:B145)</f>
        <v>30</v>
      </c>
      <c r="B145" t="s">
        <v>1</v>
      </c>
      <c r="C145" t="s">
        <v>873</v>
      </c>
      <c r="F145">
        <v>-34974.351000000002</v>
      </c>
      <c r="R145">
        <v>-34749.879999999997</v>
      </c>
      <c r="AB145">
        <f>SUMPRODUCT(DB_HighSOF[[#This Row],[Plan01]:[Plan12]],$D$4:$O$4)/valUnits2</f>
        <v>-34.974351000000006</v>
      </c>
      <c r="AC145">
        <f>SUMPRODUCT(DB_HighSOF[[#This Row],[Act01]:[Act12]],$P$4:$AA$4)/valUnits2</f>
        <v>-34.749879999999997</v>
      </c>
      <c r="AD145">
        <f>DB_HighSOF[[#This Row],[Actual]]-DB_HighSOF[[#This Row],[Plan]]</f>
        <v>0.2244710000000083</v>
      </c>
      <c r="AE145">
        <f>IF(DB_HighSOF[[#This Row],[Plan]]&lt;&gt;0,DB_HighSOF[[#This Row],[Actual]]/DB_HighSOF[[#This Row],[Plan]],1.000011000011)</f>
        <v>0.99358183944571243</v>
      </c>
    </row>
    <row r="146" spans="1:31" x14ac:dyDescent="0.2">
      <c r="A146">
        <f>SUBTOTAL(3,$B$6:B146)</f>
        <v>31</v>
      </c>
      <c r="B146" t="s">
        <v>1</v>
      </c>
      <c r="C146" t="s">
        <v>893</v>
      </c>
      <c r="D146">
        <v>437.839</v>
      </c>
      <c r="E146">
        <v>0</v>
      </c>
      <c r="F146">
        <v>3743.1790000000001</v>
      </c>
      <c r="P146">
        <v>436.6</v>
      </c>
      <c r="Q146">
        <v>0</v>
      </c>
      <c r="R146">
        <v>3867.18</v>
      </c>
      <c r="AB146">
        <f>SUMPRODUCT(DB_HighSOF[[#This Row],[Plan01]:[Plan12]],$D$4:$O$4)/valUnits2</f>
        <v>4.1810179999999999</v>
      </c>
      <c r="AC146">
        <f>SUMPRODUCT(DB_HighSOF[[#This Row],[Act01]:[Act12]],$P$4:$AA$4)/valUnits2</f>
        <v>4.3037799999999997</v>
      </c>
      <c r="AD146">
        <f>DB_HighSOF[[#This Row],[Actual]]-DB_HighSOF[[#This Row],[Plan]]</f>
        <v>0.12276199999999982</v>
      </c>
      <c r="AE146">
        <f>IF(DB_HighSOF[[#This Row],[Plan]]&lt;&gt;0,DB_HighSOF[[#This Row],[Actual]]/DB_HighSOF[[#This Row],[Plan]],1.000011000011)</f>
        <v>1.0293617487415743</v>
      </c>
    </row>
    <row r="147" spans="1:31" x14ac:dyDescent="0.2">
      <c r="A147">
        <f>SUBTOTAL(3,$B$6:B147)</f>
        <v>32</v>
      </c>
      <c r="B147" t="s">
        <v>1</v>
      </c>
      <c r="C147" t="s">
        <v>901</v>
      </c>
      <c r="F147">
        <v>-48.728999999999999</v>
      </c>
      <c r="R147">
        <v>71.91</v>
      </c>
      <c r="AB147" s="34">
        <f>SUMPRODUCT(DB_HighSOF[[#This Row],[Plan01]:[Plan12]],$D$4:$O$4)/valUnits2</f>
        <v>-4.8729000000000001E-2</v>
      </c>
      <c r="AC147" s="34">
        <f>SUMPRODUCT(DB_HighSOF[[#This Row],[Act01]:[Act12]],$P$4:$AA$4)/valUnits2</f>
        <v>7.1910000000000002E-2</v>
      </c>
      <c r="AD147" s="34">
        <f>DB_HighSOF[[#This Row],[Actual]]-DB_HighSOF[[#This Row],[Plan]]</f>
        <v>0.120639</v>
      </c>
      <c r="AE147" s="34">
        <f>IF(DB_HighSOF[[#This Row],[Plan]]&lt;&gt;0,DB_HighSOF[[#This Row],[Actual]]/DB_HighSOF[[#This Row],[Plan]],1.000011000011)</f>
        <v>-1.4757126146647788</v>
      </c>
    </row>
    <row r="148" spans="1:31" x14ac:dyDescent="0.2">
      <c r="A148">
        <f>SUBTOTAL(3,$B$6:B148)</f>
        <v>33</v>
      </c>
      <c r="B148" t="s">
        <v>1</v>
      </c>
      <c r="C148" t="s">
        <v>907</v>
      </c>
      <c r="D148">
        <v>1912.7839999999999</v>
      </c>
      <c r="E148">
        <v>1267.8650000000009</v>
      </c>
      <c r="F148">
        <v>0</v>
      </c>
      <c r="G148">
        <v>-97.852000000000004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1889.92</v>
      </c>
      <c r="Q148">
        <v>1315.29</v>
      </c>
      <c r="R148">
        <v>0</v>
      </c>
      <c r="S148">
        <v>-100.25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f>SUMPRODUCT(DB_HighSOF[[#This Row],[Plan01]:[Plan12]],$D$4:$O$4)/valUnits2</f>
        <v>3.0827970000000011</v>
      </c>
      <c r="AC148">
        <f>SUMPRODUCT(DB_HighSOF[[#This Row],[Act01]:[Act12]],$P$4:$AA$4)/valUnits2</f>
        <v>3.1049600000000002</v>
      </c>
      <c r="AD148">
        <f>DB_HighSOF[[#This Row],[Actual]]-DB_HighSOF[[#This Row],[Plan]]</f>
        <v>2.2162999999999045E-2</v>
      </c>
      <c r="AE148">
        <f>IF(DB_HighSOF[[#This Row],[Plan]]&lt;&gt;0,DB_HighSOF[[#This Row],[Actual]]/DB_HighSOF[[#This Row],[Plan]],1.000011000011)</f>
        <v>1.0071892505409856</v>
      </c>
    </row>
    <row r="149" spans="1:31" x14ac:dyDescent="0.2">
      <c r="A149">
        <f>SUBTOTAL(3,$B$6:B149)</f>
        <v>34</v>
      </c>
      <c r="B149" t="s">
        <v>1</v>
      </c>
      <c r="C149" t="s">
        <v>926</v>
      </c>
      <c r="D149">
        <v>642.59699999999998</v>
      </c>
      <c r="P149">
        <v>654.08000000000004</v>
      </c>
      <c r="AB149">
        <f>SUMPRODUCT(DB_HighSOF[[#This Row],[Plan01]:[Plan12]],$D$4:$O$4)/valUnits2</f>
        <v>0.64259699999999997</v>
      </c>
      <c r="AC149">
        <f>SUMPRODUCT(DB_HighSOF[[#This Row],[Act01]:[Act12]],$P$4:$AA$4)/valUnits2</f>
        <v>0.65407999999999999</v>
      </c>
      <c r="AD149">
        <f>DB_HighSOF[[#This Row],[Actual]]-DB_HighSOF[[#This Row],[Plan]]</f>
        <v>1.1483000000000021E-2</v>
      </c>
      <c r="AE149">
        <f>IF(DB_HighSOF[[#This Row],[Plan]]&lt;&gt;0,DB_HighSOF[[#This Row],[Actual]]/DB_HighSOF[[#This Row],[Plan]],1.000011000011)</f>
        <v>1.0178696757065471</v>
      </c>
    </row>
    <row r="150" spans="1:31" x14ac:dyDescent="0.2">
      <c r="A150">
        <f>SUBTOTAL(3,$B$6:B150)</f>
        <v>35</v>
      </c>
      <c r="B150" t="s">
        <v>1</v>
      </c>
      <c r="C150" t="s">
        <v>844</v>
      </c>
      <c r="D150">
        <v>0</v>
      </c>
      <c r="E150">
        <v>0</v>
      </c>
      <c r="F150">
        <v>47542.697999999997</v>
      </c>
      <c r="P150">
        <v>0</v>
      </c>
      <c r="Q150">
        <v>0</v>
      </c>
      <c r="R150">
        <v>47549.440000000002</v>
      </c>
      <c r="AB150">
        <f>SUMPRODUCT(DB_HighSOF[[#This Row],[Plan01]:[Plan12]],$D$4:$O$4)/valUnits2</f>
        <v>47.542697999999994</v>
      </c>
      <c r="AC150">
        <f>SUMPRODUCT(DB_HighSOF[[#This Row],[Act01]:[Act12]],$P$4:$AA$4)/valUnits2</f>
        <v>47.549440000000004</v>
      </c>
      <c r="AD150">
        <f>DB_HighSOF[[#This Row],[Actual]]-DB_HighSOF[[#This Row],[Plan]]</f>
        <v>6.7420000000097957E-3</v>
      </c>
      <c r="AE150">
        <f>IF(DB_HighSOF[[#This Row],[Plan]]&lt;&gt;0,DB_HighSOF[[#This Row],[Actual]]/DB_HighSOF[[#This Row],[Plan]],1.000011000011)</f>
        <v>1.0001418093689174</v>
      </c>
    </row>
    <row r="151" spans="1:31" x14ac:dyDescent="0.2">
      <c r="A151">
        <f>SUBTOTAL(3,$B$6:B151)</f>
        <v>36</v>
      </c>
      <c r="B151" t="s">
        <v>1</v>
      </c>
      <c r="C151" t="s">
        <v>910</v>
      </c>
      <c r="D151">
        <v>12264.900000000001</v>
      </c>
      <c r="E151">
        <v>3018.4499999999935</v>
      </c>
      <c r="F151">
        <v>5924.82</v>
      </c>
      <c r="H151">
        <v>-79532.280000000013</v>
      </c>
      <c r="P151">
        <v>12264.900000000005</v>
      </c>
      <c r="Q151">
        <v>3023.5900000000011</v>
      </c>
      <c r="R151">
        <v>5924.82</v>
      </c>
      <c r="T151">
        <v>-79532.28</v>
      </c>
      <c r="AB151">
        <f>SUMPRODUCT(DB_HighSOF[[#This Row],[Plan01]:[Plan12]],$D$4:$O$4)/valUnits2</f>
        <v>-58.324110000000012</v>
      </c>
      <c r="AC151">
        <f>SUMPRODUCT(DB_HighSOF[[#This Row],[Act01]:[Act12]],$P$4:$AA$4)/valUnits2</f>
        <v>-58.318969999999993</v>
      </c>
      <c r="AD151">
        <f>DB_HighSOF[[#This Row],[Actual]]-DB_HighSOF[[#This Row],[Plan]]</f>
        <v>5.1400000000185742E-3</v>
      </c>
      <c r="AE151">
        <f>IF(DB_HighSOF[[#This Row],[Plan]]&lt;&gt;0,DB_HighSOF[[#This Row],[Actual]]/DB_HighSOF[[#This Row],[Plan]],1.000011000011)</f>
        <v>0.99991187177995489</v>
      </c>
    </row>
    <row r="152" spans="1:31" x14ac:dyDescent="0.2">
      <c r="A152">
        <f>SUBTOTAL(3,$B$6:B152)</f>
        <v>37</v>
      </c>
      <c r="B152" t="s">
        <v>1</v>
      </c>
      <c r="C152" t="s">
        <v>852</v>
      </c>
      <c r="D152">
        <v>-387.26499999999999</v>
      </c>
      <c r="E152">
        <v>268.34199999999998</v>
      </c>
      <c r="P152">
        <v>-395.20000000000005</v>
      </c>
      <c r="Q152">
        <v>279.02</v>
      </c>
      <c r="AB152">
        <f>SUMPRODUCT(DB_HighSOF[[#This Row],[Plan01]:[Plan12]],$D$4:$O$4)/valUnits2</f>
        <v>-0.118923</v>
      </c>
      <c r="AC152">
        <f>SUMPRODUCT(DB_HighSOF[[#This Row],[Act01]:[Act12]],$P$4:$AA$4)/valUnits2</f>
        <v>-0.11618000000000006</v>
      </c>
      <c r="AD152">
        <f>DB_HighSOF[[#This Row],[Actual]]-DB_HighSOF[[#This Row],[Plan]]</f>
        <v>2.7429999999999399E-3</v>
      </c>
      <c r="AE152">
        <f>IF(DB_HighSOF[[#This Row],[Plan]]&lt;&gt;0,DB_HighSOF[[#This Row],[Actual]]/DB_HighSOF[[#This Row],[Plan]],1.000011000011)</f>
        <v>0.9769346551970608</v>
      </c>
    </row>
    <row r="153" spans="1:31" x14ac:dyDescent="0.2">
      <c r="A153">
        <f>SUBTOTAL(3,$B$6:B153)</f>
        <v>38</v>
      </c>
      <c r="B153" t="s">
        <v>1</v>
      </c>
      <c r="C153" t="s">
        <v>900</v>
      </c>
      <c r="F153">
        <v>-9.4999999996630891E-2</v>
      </c>
      <c r="R153">
        <v>-9.000000000730779E-2</v>
      </c>
      <c r="AB153">
        <f>SUMPRODUCT(DB_HighSOF[[#This Row],[Plan01]:[Plan12]],$D$4:$O$4)/valUnits2</f>
        <v>-9.4999999996630888E-5</v>
      </c>
      <c r="AC153">
        <f>SUMPRODUCT(DB_HighSOF[[#This Row],[Act01]:[Act12]],$P$4:$AA$4)/valUnits2</f>
        <v>-9.0000000007307786E-5</v>
      </c>
      <c r="AD153">
        <f>DB_HighSOF[[#This Row],[Actual]]-DB_HighSOF[[#This Row],[Plan]]</f>
        <v>4.9999999893231018E-6</v>
      </c>
      <c r="AE153">
        <f>IF(DB_HighSOF[[#This Row],[Plan]]&lt;&gt;0,DB_HighSOF[[#This Row],[Actual]]/DB_HighSOF[[#This Row],[Plan]],1.000011000011)</f>
        <v>0.94736842116315345</v>
      </c>
    </row>
    <row r="154" spans="1:31" x14ac:dyDescent="0.2">
      <c r="A154">
        <f>SUBTOTAL(3,$B$6:B154)</f>
        <v>39</v>
      </c>
      <c r="B154" t="s">
        <v>1</v>
      </c>
      <c r="C154" t="s">
        <v>857</v>
      </c>
      <c r="D154">
        <v>-1354.71</v>
      </c>
      <c r="E154">
        <v>20341.91</v>
      </c>
      <c r="F154">
        <v>1892.3</v>
      </c>
      <c r="H154">
        <v>-22216.02</v>
      </c>
      <c r="P154">
        <v>-1354.71</v>
      </c>
      <c r="Q154">
        <v>20341.91</v>
      </c>
      <c r="R154">
        <v>1892.3</v>
      </c>
      <c r="T154">
        <v>-22216.019999999997</v>
      </c>
      <c r="AB154">
        <f>SUMPRODUCT(DB_HighSOF[[#This Row],[Plan01]:[Plan12]],$D$4:$O$4)/valUnits2</f>
        <v>-1.3365200000000004</v>
      </c>
      <c r="AC154">
        <f>SUMPRODUCT(DB_HighSOF[[#This Row],[Act01]:[Act12]],$P$4:$AA$4)/valUnits2</f>
        <v>-1.3365199999999968</v>
      </c>
      <c r="AD154">
        <f>DB_HighSOF[[#This Row],[Actual]]-DB_HighSOF[[#This Row],[Plan]]</f>
        <v>3.5527136788005009E-15</v>
      </c>
      <c r="AE154">
        <f>IF(DB_HighSOF[[#This Row],[Plan]]&lt;&gt;0,DB_HighSOF[[#This Row],[Actual]]/DB_HighSOF[[#This Row],[Plan]],1.000011000011)</f>
        <v>0.99999999999999734</v>
      </c>
    </row>
    <row r="155" spans="1:31" x14ac:dyDescent="0.2">
      <c r="A155">
        <f>SUBTOTAL(3,$B$6:B155)</f>
        <v>40</v>
      </c>
      <c r="B155" t="s">
        <v>1</v>
      </c>
      <c r="C155" t="s">
        <v>870</v>
      </c>
      <c r="D155">
        <v>0</v>
      </c>
      <c r="G155">
        <v>0</v>
      </c>
      <c r="J155">
        <v>0</v>
      </c>
      <c r="M155">
        <v>0</v>
      </c>
      <c r="P155">
        <v>0</v>
      </c>
      <c r="S155">
        <v>0</v>
      </c>
      <c r="V155">
        <v>0</v>
      </c>
      <c r="Y155">
        <v>0</v>
      </c>
      <c r="AB155">
        <f>SUMPRODUCT(DB_HighSOF[[#This Row],[Plan01]:[Plan12]],$D$4:$O$4)/valUnits2</f>
        <v>0</v>
      </c>
      <c r="AC155">
        <f>SUMPRODUCT(DB_HighSOF[[#This Row],[Act01]:[Act12]],$P$4:$AA$4)/valUnits2</f>
        <v>0</v>
      </c>
      <c r="AD155">
        <f>DB_HighSOF[[#This Row],[Actual]]-DB_HighSOF[[#This Row],[Plan]]</f>
        <v>0</v>
      </c>
      <c r="AE155">
        <f>IF(DB_HighSOF[[#This Row],[Plan]]&lt;&gt;0,DB_HighSOF[[#This Row],[Actual]]/DB_HighSOF[[#This Row],[Plan]],1.000011000011)</f>
        <v>1.0000110000110001</v>
      </c>
    </row>
    <row r="156" spans="1:31" x14ac:dyDescent="0.2">
      <c r="A156">
        <f>SUBTOTAL(3,$B$6:B156)</f>
        <v>41</v>
      </c>
      <c r="B156" t="s">
        <v>1</v>
      </c>
      <c r="C156" t="s">
        <v>871</v>
      </c>
      <c r="D156">
        <v>308.12</v>
      </c>
      <c r="P156">
        <v>308.12</v>
      </c>
      <c r="AB156">
        <f>SUMPRODUCT(DB_HighSOF[[#This Row],[Plan01]:[Plan12]],$D$4:$O$4)/valUnits2</f>
        <v>0.30812</v>
      </c>
      <c r="AC156">
        <f>SUMPRODUCT(DB_HighSOF[[#This Row],[Act01]:[Act12]],$P$4:$AA$4)/valUnits2</f>
        <v>0.30812</v>
      </c>
      <c r="AD156">
        <f>DB_HighSOF[[#This Row],[Actual]]-DB_HighSOF[[#This Row],[Plan]]</f>
        <v>0</v>
      </c>
      <c r="AE156">
        <f>IF(DB_HighSOF[[#This Row],[Plan]]&lt;&gt;0,DB_HighSOF[[#This Row],[Actual]]/DB_HighSOF[[#This Row],[Plan]],1.000011000011)</f>
        <v>1</v>
      </c>
    </row>
    <row r="157" spans="1:31" x14ac:dyDescent="0.2">
      <c r="A157">
        <f>SUBTOTAL(3,$B$6:B157)</f>
        <v>42</v>
      </c>
      <c r="B157" t="s">
        <v>1</v>
      </c>
      <c r="C157" t="s">
        <v>889</v>
      </c>
      <c r="F157">
        <v>0</v>
      </c>
      <c r="R157">
        <v>0</v>
      </c>
      <c r="AB157">
        <f>SUMPRODUCT(DB_HighSOF[[#This Row],[Plan01]:[Plan12]],$D$4:$O$4)/valUnits2</f>
        <v>0</v>
      </c>
      <c r="AC157">
        <f>SUMPRODUCT(DB_HighSOF[[#This Row],[Act01]:[Act12]],$P$4:$AA$4)/valUnits2</f>
        <v>0</v>
      </c>
      <c r="AD157">
        <f>DB_HighSOF[[#This Row],[Actual]]-DB_HighSOF[[#This Row],[Plan]]</f>
        <v>0</v>
      </c>
      <c r="AE157">
        <f>IF(DB_HighSOF[[#This Row],[Plan]]&lt;&gt;0,DB_HighSOF[[#This Row],[Actual]]/DB_HighSOF[[#This Row],[Plan]],1.000011000011)</f>
        <v>1.0000110000110001</v>
      </c>
    </row>
    <row r="158" spans="1:31" x14ac:dyDescent="0.2">
      <c r="A158">
        <f>SUBTOTAL(3,$B$6:B158)</f>
        <v>43</v>
      </c>
      <c r="B158" t="s">
        <v>1</v>
      </c>
      <c r="C158" t="s">
        <v>352</v>
      </c>
      <c r="G158">
        <v>0</v>
      </c>
      <c r="H158">
        <v>0</v>
      </c>
      <c r="S158">
        <v>0</v>
      </c>
      <c r="T158">
        <v>0</v>
      </c>
      <c r="AB158">
        <f>SUMPRODUCT(DB_HighSOF[[#This Row],[Plan01]:[Plan12]],$D$4:$O$4)/valUnits2</f>
        <v>0</v>
      </c>
      <c r="AC158">
        <f>SUMPRODUCT(DB_HighSOF[[#This Row],[Act01]:[Act12]],$P$4:$AA$4)/valUnits2</f>
        <v>0</v>
      </c>
      <c r="AD158">
        <f>DB_HighSOF[[#This Row],[Actual]]-DB_HighSOF[[#This Row],[Plan]]</f>
        <v>0</v>
      </c>
      <c r="AE158">
        <f>IF(DB_HighSOF[[#This Row],[Plan]]&lt;&gt;0,DB_HighSOF[[#This Row],[Actual]]/DB_HighSOF[[#This Row],[Plan]],1.000011000011)</f>
        <v>1.0000110000110001</v>
      </c>
    </row>
    <row r="159" spans="1:31" x14ac:dyDescent="0.2">
      <c r="A159">
        <f>SUBTOTAL(3,$B$6:B159)</f>
        <v>44</v>
      </c>
      <c r="B159" t="s">
        <v>1</v>
      </c>
      <c r="C159" t="s">
        <v>912</v>
      </c>
      <c r="D159">
        <v>5619.34</v>
      </c>
      <c r="E159">
        <v>-5065.7400000000007</v>
      </c>
      <c r="G159">
        <v>-4740.87</v>
      </c>
      <c r="P159">
        <v>5619.3400000000011</v>
      </c>
      <c r="Q159">
        <v>-5065.7400000000007</v>
      </c>
      <c r="S159">
        <v>-4740.87</v>
      </c>
      <c r="AB159">
        <f>SUMPRODUCT(DB_HighSOF[[#This Row],[Plan01]:[Plan12]],$D$4:$O$4)/valUnits2</f>
        <v>-4.1872700000000007</v>
      </c>
      <c r="AC159">
        <f>SUMPRODUCT(DB_HighSOF[[#This Row],[Act01]:[Act12]],$P$4:$AA$4)/valUnits2</f>
        <v>-4.1872699999999998</v>
      </c>
      <c r="AD159">
        <f>DB_HighSOF[[#This Row],[Actual]]-DB_HighSOF[[#This Row],[Plan]]</f>
        <v>0</v>
      </c>
      <c r="AE159">
        <f>IF(DB_HighSOF[[#This Row],[Plan]]&lt;&gt;0,DB_HighSOF[[#This Row],[Actual]]/DB_HighSOF[[#This Row],[Plan]],1.000011000011)</f>
        <v>0.99999999999999978</v>
      </c>
    </row>
    <row r="160" spans="1:31" x14ac:dyDescent="0.2">
      <c r="A160">
        <f>SUBTOTAL(3,$B$6:B160)</f>
        <v>45</v>
      </c>
      <c r="B160" t="s">
        <v>1</v>
      </c>
      <c r="C160" t="s">
        <v>914</v>
      </c>
      <c r="F160">
        <v>559.72</v>
      </c>
      <c r="R160">
        <v>559.72</v>
      </c>
      <c r="AB160">
        <f>SUMPRODUCT(DB_HighSOF[[#This Row],[Plan01]:[Plan12]],$D$4:$O$4)/valUnits2</f>
        <v>0.55972</v>
      </c>
      <c r="AC160">
        <f>SUMPRODUCT(DB_HighSOF[[#This Row],[Act01]:[Act12]],$P$4:$AA$4)/valUnits2</f>
        <v>0.55972</v>
      </c>
      <c r="AD160">
        <f>DB_HighSOF[[#This Row],[Actual]]-DB_HighSOF[[#This Row],[Plan]]</f>
        <v>0</v>
      </c>
      <c r="AE160">
        <f>IF(DB_HighSOF[[#This Row],[Plan]]&lt;&gt;0,DB_HighSOF[[#This Row],[Actual]]/DB_HighSOF[[#This Row],[Plan]],1.000011000011)</f>
        <v>1</v>
      </c>
    </row>
    <row r="161" spans="1:31" x14ac:dyDescent="0.2">
      <c r="A161">
        <f>SUBTOTAL(3,$B$6:B161)</f>
        <v>46</v>
      </c>
      <c r="B161" t="s">
        <v>1</v>
      </c>
      <c r="C161" t="s">
        <v>861</v>
      </c>
      <c r="F161">
        <v>7.2759576141834259E-12</v>
      </c>
      <c r="R161">
        <v>0</v>
      </c>
      <c r="AB161">
        <f>SUMPRODUCT(DB_HighSOF[[#This Row],[Plan01]:[Plan12]],$D$4:$O$4)/valUnits2</f>
        <v>7.2759576141834261E-15</v>
      </c>
      <c r="AC161">
        <f>SUMPRODUCT(DB_HighSOF[[#This Row],[Act01]:[Act12]],$P$4:$AA$4)/valUnits2</f>
        <v>0</v>
      </c>
      <c r="AD161">
        <f>DB_HighSOF[[#This Row],[Actual]]-DB_HighSOF[[#This Row],[Plan]]</f>
        <v>-7.2759576141834261E-15</v>
      </c>
      <c r="AE161">
        <f>IF(DB_HighSOF[[#This Row],[Plan]]&lt;&gt;0,DB_HighSOF[[#This Row],[Actual]]/DB_HighSOF[[#This Row],[Plan]],1.000011000011)</f>
        <v>0</v>
      </c>
    </row>
    <row r="162" spans="1:31" x14ac:dyDescent="0.2">
      <c r="A162">
        <f>SUBTOTAL(3,$B$6:B162)</f>
        <v>47</v>
      </c>
      <c r="B162" t="s">
        <v>1</v>
      </c>
      <c r="C162" t="s">
        <v>899</v>
      </c>
      <c r="D162">
        <v>-12.531000000000001</v>
      </c>
      <c r="E162">
        <v>153.03300000000002</v>
      </c>
      <c r="F162">
        <v>1065.2560000000001</v>
      </c>
      <c r="G162">
        <v>252.79300000000001</v>
      </c>
      <c r="H162">
        <v>816.20299999999997</v>
      </c>
      <c r="P162">
        <v>-12.53</v>
      </c>
      <c r="Q162">
        <v>152.54999999999998</v>
      </c>
      <c r="R162">
        <v>1057.58</v>
      </c>
      <c r="S162">
        <v>254.21</v>
      </c>
      <c r="T162">
        <v>820.17</v>
      </c>
      <c r="AB162">
        <f>SUMPRODUCT(DB_HighSOF[[#This Row],[Plan01]:[Plan12]],$D$4:$O$4)/valUnits2</f>
        <v>2.2747539999999997</v>
      </c>
      <c r="AC162">
        <f>SUMPRODUCT(DB_HighSOF[[#This Row],[Act01]:[Act12]],$P$4:$AA$4)/valUnits2</f>
        <v>2.2719800000000001</v>
      </c>
      <c r="AD162">
        <f>DB_HighSOF[[#This Row],[Actual]]-DB_HighSOF[[#This Row],[Plan]]</f>
        <v>-2.7739999999996101E-3</v>
      </c>
      <c r="AE162">
        <f>IF(DB_HighSOF[[#This Row],[Plan]]&lt;&gt;0,DB_HighSOF[[#This Row],[Actual]]/DB_HighSOF[[#This Row],[Plan]],1.000011000011)</f>
        <v>0.99878052747681745</v>
      </c>
    </row>
    <row r="163" spans="1:31" x14ac:dyDescent="0.2">
      <c r="A163">
        <f>SUBTOTAL(3,$B$6:B163)</f>
        <v>48</v>
      </c>
      <c r="B163" t="s">
        <v>1</v>
      </c>
      <c r="C163" t="s">
        <v>898</v>
      </c>
      <c r="D163">
        <v>-197.101</v>
      </c>
      <c r="E163">
        <v>-108.33</v>
      </c>
      <c r="P163">
        <v>-204.70000000000002</v>
      </c>
      <c r="Q163">
        <v>-115.53</v>
      </c>
      <c r="AB163">
        <f>SUMPRODUCT(DB_HighSOF[[#This Row],[Plan01]:[Plan12]],$D$4:$O$4)/valUnits2</f>
        <v>-0.30543100000000001</v>
      </c>
      <c r="AC163">
        <f>SUMPRODUCT(DB_HighSOF[[#This Row],[Act01]:[Act12]],$P$4:$AA$4)/valUnits2</f>
        <v>-0.32023000000000001</v>
      </c>
      <c r="AD163">
        <f>DB_HighSOF[[#This Row],[Actual]]-DB_HighSOF[[#This Row],[Plan]]</f>
        <v>-1.4799000000000007E-2</v>
      </c>
      <c r="AE163">
        <f>IF(DB_HighSOF[[#This Row],[Plan]]&lt;&gt;0,DB_HighSOF[[#This Row],[Actual]]/DB_HighSOF[[#This Row],[Plan]],1.000011000011)</f>
        <v>1.0484528420494319</v>
      </c>
    </row>
    <row r="164" spans="1:31" x14ac:dyDescent="0.2">
      <c r="A164">
        <f>SUBTOTAL(3,$B$6:B164)</f>
        <v>49</v>
      </c>
      <c r="B164" t="s">
        <v>1</v>
      </c>
      <c r="C164" t="s">
        <v>880</v>
      </c>
      <c r="F164">
        <v>1740.1639999999998</v>
      </c>
      <c r="R164">
        <v>1719.5</v>
      </c>
      <c r="AB164">
        <f>SUMPRODUCT(DB_HighSOF[[#This Row],[Plan01]:[Plan12]],$D$4:$O$4)/valUnits2</f>
        <v>1.7401639999999998</v>
      </c>
      <c r="AC164">
        <f>SUMPRODUCT(DB_HighSOF[[#This Row],[Act01]:[Act12]],$P$4:$AA$4)/valUnits2</f>
        <v>1.7195</v>
      </c>
      <c r="AD164">
        <f>DB_HighSOF[[#This Row],[Actual]]-DB_HighSOF[[#This Row],[Plan]]</f>
        <v>-2.0663999999999794E-2</v>
      </c>
      <c r="AE164">
        <f>IF(DB_HighSOF[[#This Row],[Plan]]&lt;&gt;0,DB_HighSOF[[#This Row],[Actual]]/DB_HighSOF[[#This Row],[Plan]],1.000011000011)</f>
        <v>0.98812525715967015</v>
      </c>
    </row>
    <row r="165" spans="1:31" x14ac:dyDescent="0.2">
      <c r="A165">
        <f>SUBTOTAL(3,$B$6:B165)</f>
        <v>50</v>
      </c>
      <c r="B165" t="s">
        <v>1</v>
      </c>
      <c r="C165" t="s">
        <v>936</v>
      </c>
      <c r="F165">
        <v>664</v>
      </c>
      <c r="R165">
        <v>638.44000000000005</v>
      </c>
      <c r="AB165">
        <f>SUMPRODUCT(DB_HighSOF[[#This Row],[Plan01]:[Plan12]],$D$4:$O$4)/valUnits2</f>
        <v>0.66400000000000003</v>
      </c>
      <c r="AC165">
        <f>SUMPRODUCT(DB_HighSOF[[#This Row],[Act01]:[Act12]],$P$4:$AA$4)/valUnits2</f>
        <v>0.63844000000000001</v>
      </c>
      <c r="AD165">
        <f>DB_HighSOF[[#This Row],[Actual]]-DB_HighSOF[[#This Row],[Plan]]</f>
        <v>-2.5560000000000027E-2</v>
      </c>
      <c r="AE165">
        <f>IF(DB_HighSOF[[#This Row],[Plan]]&lt;&gt;0,DB_HighSOF[[#This Row],[Actual]]/DB_HighSOF[[#This Row],[Plan]],1.000011000011)</f>
        <v>0.96150602409638553</v>
      </c>
    </row>
    <row r="166" spans="1:31" x14ac:dyDescent="0.2">
      <c r="A166">
        <f>SUBTOTAL(3,$B$6:B166)</f>
        <v>51</v>
      </c>
      <c r="B166" t="s">
        <v>1</v>
      </c>
      <c r="C166" t="s">
        <v>905</v>
      </c>
      <c r="D166">
        <v>3704.0100000000007</v>
      </c>
      <c r="E166">
        <v>3006.0299999999997</v>
      </c>
      <c r="F166">
        <v>99.719999999999573</v>
      </c>
      <c r="G166">
        <v>1221.29</v>
      </c>
      <c r="H166">
        <v>-10087.529999999999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3704.0100000000007</v>
      </c>
      <c r="Q166">
        <v>2977.42</v>
      </c>
      <c r="R166">
        <v>99.719999999999459</v>
      </c>
      <c r="S166">
        <v>1221.29</v>
      </c>
      <c r="T166">
        <v>-10087.529999999999</v>
      </c>
      <c r="U166">
        <v>-19.079999999999998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f>SUMPRODUCT(DB_HighSOF[[#This Row],[Plan01]:[Plan12]],$D$4:$O$4)/valUnits2</f>
        <v>-2.0564799999999988</v>
      </c>
      <c r="AC166">
        <f>SUMPRODUCT(DB_HighSOF[[#This Row],[Act01]:[Act12]],$P$4:$AA$4)/valUnits2</f>
        <v>-2.104169999999999</v>
      </c>
      <c r="AD166">
        <f>DB_HighSOF[[#This Row],[Actual]]-DB_HighSOF[[#This Row],[Plan]]</f>
        <v>-4.7690000000000232E-2</v>
      </c>
      <c r="AE166">
        <f>IF(DB_HighSOF[[#This Row],[Plan]]&lt;&gt;0,DB_HighSOF[[#This Row],[Actual]]/DB_HighSOF[[#This Row],[Plan]],1.000011000011)</f>
        <v>1.0231901112580721</v>
      </c>
    </row>
    <row r="167" spans="1:31" x14ac:dyDescent="0.2">
      <c r="A167">
        <f>SUBTOTAL(3,$B$6:B167)</f>
        <v>52</v>
      </c>
      <c r="B167" t="s">
        <v>1</v>
      </c>
      <c r="C167" t="s">
        <v>925</v>
      </c>
      <c r="D167">
        <v>6819.9470000000001</v>
      </c>
      <c r="E167">
        <v>-3413.87</v>
      </c>
      <c r="F167">
        <v>0</v>
      </c>
      <c r="G167">
        <v>-3348.2700000000004</v>
      </c>
      <c r="H167">
        <v>580.32799999999997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6736.45</v>
      </c>
      <c r="Q167">
        <v>-3322.34</v>
      </c>
      <c r="R167">
        <v>0</v>
      </c>
      <c r="S167">
        <v>-3411.53</v>
      </c>
      <c r="T167">
        <v>583.55000000000007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f>SUMPRODUCT(DB_HighSOF[[#This Row],[Plan01]:[Plan12]],$D$4:$O$4)/valUnits2</f>
        <v>0.63813499999999979</v>
      </c>
      <c r="AC167">
        <f>SUMPRODUCT(DB_HighSOF[[#This Row],[Act01]:[Act12]],$P$4:$AA$4)/valUnits2</f>
        <v>0.5861299999999996</v>
      </c>
      <c r="AD167">
        <f>DB_HighSOF[[#This Row],[Actual]]-DB_HighSOF[[#This Row],[Plan]]</f>
        <v>-5.200500000000019E-2</v>
      </c>
      <c r="AE167">
        <f>IF(DB_HighSOF[[#This Row],[Plan]]&lt;&gt;0,DB_HighSOF[[#This Row],[Actual]]/DB_HighSOF[[#This Row],[Plan]],1.000011000011)</f>
        <v>0.91850470511725546</v>
      </c>
    </row>
    <row r="168" spans="1:31" x14ac:dyDescent="0.2">
      <c r="A168">
        <f>SUBTOTAL(3,$B$6:B168)</f>
        <v>53</v>
      </c>
      <c r="B168" t="s">
        <v>1</v>
      </c>
      <c r="C168" t="s">
        <v>888</v>
      </c>
      <c r="D168">
        <v>7181.5839999999998</v>
      </c>
      <c r="E168">
        <v>-7864.9250000000002</v>
      </c>
      <c r="F168">
        <v>750.12400000000002</v>
      </c>
      <c r="P168">
        <v>7176.88</v>
      </c>
      <c r="Q168">
        <v>-7955.51</v>
      </c>
      <c r="R168">
        <v>782.23</v>
      </c>
      <c r="AB168">
        <f>SUMPRODUCT(DB_HighSOF[[#This Row],[Plan01]:[Plan12]],$D$4:$O$4)/valUnits2</f>
        <v>6.6782999999999676E-2</v>
      </c>
      <c r="AC168">
        <f>SUMPRODUCT(DB_HighSOF[[#This Row],[Act01]:[Act12]],$P$4:$AA$4)/valUnits2</f>
        <v>3.5999999999999093E-3</v>
      </c>
      <c r="AD168">
        <f>DB_HighSOF[[#This Row],[Actual]]-DB_HighSOF[[#This Row],[Plan]]</f>
        <v>-6.3182999999999767E-2</v>
      </c>
      <c r="AE168">
        <f>IF(DB_HighSOF[[#This Row],[Plan]]&lt;&gt;0,DB_HighSOF[[#This Row],[Actual]]/DB_HighSOF[[#This Row],[Plan]],1.000011000011)</f>
        <v>5.3905934144916019E-2</v>
      </c>
    </row>
    <row r="169" spans="1:31" x14ac:dyDescent="0.2">
      <c r="A169">
        <f>SUBTOTAL(3,$B$6:B169)</f>
        <v>54</v>
      </c>
      <c r="B169" t="s">
        <v>1</v>
      </c>
      <c r="C169" t="s">
        <v>887</v>
      </c>
      <c r="D169">
        <v>383.459</v>
      </c>
      <c r="E169">
        <v>1555.423</v>
      </c>
      <c r="F169">
        <v>5800.7929999999988</v>
      </c>
      <c r="G169">
        <v>6732.0520000000006</v>
      </c>
      <c r="H169">
        <v>-972.90999999999985</v>
      </c>
      <c r="P169">
        <v>383.46</v>
      </c>
      <c r="Q169">
        <v>1555.41</v>
      </c>
      <c r="R169">
        <v>5774.93</v>
      </c>
      <c r="S169">
        <v>6668.04</v>
      </c>
      <c r="T169">
        <v>-961.04000000000019</v>
      </c>
      <c r="AB169">
        <f>SUMPRODUCT(DB_HighSOF[[#This Row],[Plan01]:[Plan12]],$D$4:$O$4)/valUnits2</f>
        <v>13.498816999999999</v>
      </c>
      <c r="AC169">
        <f>SUMPRODUCT(DB_HighSOF[[#This Row],[Act01]:[Act12]],$P$4:$AA$4)/valUnits2</f>
        <v>13.4208</v>
      </c>
      <c r="AD169">
        <f>DB_HighSOF[[#This Row],[Actual]]-DB_HighSOF[[#This Row],[Plan]]</f>
        <v>-7.8016999999999115E-2</v>
      </c>
      <c r="AE169">
        <f>IF(DB_HighSOF[[#This Row],[Plan]]&lt;&gt;0,DB_HighSOF[[#This Row],[Actual]]/DB_HighSOF[[#This Row],[Plan]],1.000011000011)</f>
        <v>0.99422045650370705</v>
      </c>
    </row>
    <row r="170" spans="1:31" x14ac:dyDescent="0.2">
      <c r="A170">
        <f>SUBTOTAL(3,$B$6:B170)</f>
        <v>55</v>
      </c>
      <c r="B170" t="s">
        <v>1</v>
      </c>
      <c r="C170" t="s">
        <v>886</v>
      </c>
      <c r="D170">
        <v>6272.8189999999995</v>
      </c>
      <c r="E170">
        <v>-3296.5239999999999</v>
      </c>
      <c r="G170">
        <v>155.24</v>
      </c>
      <c r="P170">
        <v>6208.16</v>
      </c>
      <c r="Q170">
        <v>-3324.29</v>
      </c>
      <c r="S170">
        <v>154.38</v>
      </c>
      <c r="AB170">
        <f>SUMPRODUCT(DB_HighSOF[[#This Row],[Plan01]:[Plan12]],$D$4:$O$4)/valUnits2</f>
        <v>3.131535</v>
      </c>
      <c r="AC170">
        <f>SUMPRODUCT(DB_HighSOF[[#This Row],[Act01]:[Act12]],$P$4:$AA$4)/valUnits2</f>
        <v>3.0382500000000001</v>
      </c>
      <c r="AD170">
        <f>DB_HighSOF[[#This Row],[Actual]]-DB_HighSOF[[#This Row],[Plan]]</f>
        <v>-9.328499999999984E-2</v>
      </c>
      <c r="AE170">
        <f>IF(DB_HighSOF[[#This Row],[Plan]]&lt;&gt;0,DB_HighSOF[[#This Row],[Actual]]/DB_HighSOF[[#This Row],[Plan]],1.000011000011)</f>
        <v>0.97021109455905818</v>
      </c>
    </row>
    <row r="171" spans="1:31" x14ac:dyDescent="0.2">
      <c r="A171">
        <f>SUBTOTAL(3,$B$6:B171)</f>
        <v>56</v>
      </c>
      <c r="B171" t="s">
        <v>1</v>
      </c>
      <c r="C171" t="s">
        <v>916</v>
      </c>
      <c r="F171">
        <v>0</v>
      </c>
      <c r="G171">
        <v>0</v>
      </c>
      <c r="H171">
        <v>0</v>
      </c>
      <c r="I171">
        <v>125</v>
      </c>
      <c r="J171">
        <v>41.667000000000002</v>
      </c>
      <c r="K171">
        <v>41.667000000000002</v>
      </c>
      <c r="L171">
        <v>41.667000000000002</v>
      </c>
      <c r="M171">
        <v>41.667000000000002</v>
      </c>
      <c r="N171">
        <v>41.667000000000002</v>
      </c>
      <c r="O171">
        <v>41.667000000000002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f>SUMPRODUCT(DB_HighSOF[[#This Row],[Plan01]:[Plan12]],$D$4:$O$4)/valUnits2</f>
        <v>0.125</v>
      </c>
      <c r="AC171">
        <f>SUMPRODUCT(DB_HighSOF[[#This Row],[Act01]:[Act12]],$P$4:$AA$4)/valUnits2</f>
        <v>0</v>
      </c>
      <c r="AD171">
        <f>DB_HighSOF[[#This Row],[Actual]]-DB_HighSOF[[#This Row],[Plan]]</f>
        <v>-0.125</v>
      </c>
      <c r="AE171">
        <f>IF(DB_HighSOF[[#This Row],[Plan]]&lt;&gt;0,DB_HighSOF[[#This Row],[Actual]]/DB_HighSOF[[#This Row],[Plan]],1.000011000011)</f>
        <v>0</v>
      </c>
    </row>
    <row r="172" spans="1:31" x14ac:dyDescent="0.2">
      <c r="A172">
        <f>SUBTOTAL(3,$B$6:B172)</f>
        <v>57</v>
      </c>
      <c r="B172" t="s">
        <v>1</v>
      </c>
      <c r="C172" t="s">
        <v>906</v>
      </c>
      <c r="D172">
        <v>149.51</v>
      </c>
      <c r="E172">
        <v>-1449.3440000000001</v>
      </c>
      <c r="P172">
        <v>112.57000000000016</v>
      </c>
      <c r="Q172">
        <v>-1545.67</v>
      </c>
      <c r="AB172">
        <f>SUMPRODUCT(DB_HighSOF[[#This Row],[Plan01]:[Plan12]],$D$4:$O$4)/valUnits2</f>
        <v>-1.2998340000000002</v>
      </c>
      <c r="AC172">
        <f>SUMPRODUCT(DB_HighSOF[[#This Row],[Act01]:[Act12]],$P$4:$AA$4)/valUnits2</f>
        <v>-1.4330999999999998</v>
      </c>
      <c r="AD172">
        <f>DB_HighSOF[[#This Row],[Actual]]-DB_HighSOF[[#This Row],[Plan]]</f>
        <v>-0.13326599999999966</v>
      </c>
      <c r="AE172">
        <f>IF(DB_HighSOF[[#This Row],[Plan]]&lt;&gt;0,DB_HighSOF[[#This Row],[Actual]]/DB_HighSOF[[#This Row],[Plan]],1.000011000011)</f>
        <v>1.1025253993971535</v>
      </c>
    </row>
    <row r="173" spans="1:31" x14ac:dyDescent="0.2">
      <c r="A173">
        <f>SUBTOTAL(3,$B$6:B173)</f>
        <v>58</v>
      </c>
      <c r="B173" t="s">
        <v>1</v>
      </c>
      <c r="C173" t="s">
        <v>921</v>
      </c>
      <c r="D173">
        <v>3803.2449999999999</v>
      </c>
      <c r="E173">
        <v>5403.1639999999989</v>
      </c>
      <c r="F173">
        <v>4783.4640000000009</v>
      </c>
      <c r="G173">
        <v>10824.709000000003</v>
      </c>
      <c r="H173">
        <v>5615.6509999999998</v>
      </c>
      <c r="P173">
        <v>3802.98</v>
      </c>
      <c r="Q173">
        <v>5393.5</v>
      </c>
      <c r="R173">
        <v>4752.3100000000004</v>
      </c>
      <c r="S173">
        <v>10708.46</v>
      </c>
      <c r="T173">
        <v>5632.0700000000006</v>
      </c>
      <c r="AB173">
        <f>SUMPRODUCT(DB_HighSOF[[#This Row],[Plan01]:[Plan12]],$D$4:$O$4)/valUnits2</f>
        <v>30.430233000000001</v>
      </c>
      <c r="AC173">
        <f>SUMPRODUCT(DB_HighSOF[[#This Row],[Act01]:[Act12]],$P$4:$AA$4)/valUnits2</f>
        <v>30.28932</v>
      </c>
      <c r="AD173">
        <f>DB_HighSOF[[#This Row],[Actual]]-DB_HighSOF[[#This Row],[Plan]]</f>
        <v>-0.14091300000000118</v>
      </c>
      <c r="AE173">
        <f>IF(DB_HighSOF[[#This Row],[Plan]]&lt;&gt;0,DB_HighSOF[[#This Row],[Actual]]/DB_HighSOF[[#This Row],[Plan]],1.000011000011)</f>
        <v>0.99536930919983424</v>
      </c>
    </row>
    <row r="174" spans="1:31" x14ac:dyDescent="0.2">
      <c r="A174">
        <f>SUBTOTAL(3,$B$6:B174)</f>
        <v>59</v>
      </c>
      <c r="B174" t="s">
        <v>1</v>
      </c>
      <c r="C174" t="s">
        <v>931</v>
      </c>
      <c r="D174">
        <v>14371.314</v>
      </c>
      <c r="E174">
        <v>-13696.876</v>
      </c>
      <c r="F174">
        <v>-750.12400000000002</v>
      </c>
      <c r="P174">
        <v>14358.650000000001</v>
      </c>
      <c r="Q174">
        <v>-13854.63</v>
      </c>
      <c r="R174">
        <v>-782.23</v>
      </c>
      <c r="AB174">
        <f>SUMPRODUCT(DB_HighSOF[[#This Row],[Plan01]:[Plan12]],$D$4:$O$4)/valUnits2</f>
        <v>-7.568599999999992E-2</v>
      </c>
      <c r="AC174">
        <f>SUMPRODUCT(DB_HighSOF[[#This Row],[Act01]:[Act12]],$P$4:$AA$4)/valUnits2</f>
        <v>-0.27820999999999774</v>
      </c>
      <c r="AD174">
        <f>DB_HighSOF[[#This Row],[Actual]]-DB_HighSOF[[#This Row],[Plan]]</f>
        <v>-0.20252399999999782</v>
      </c>
      <c r="AE174">
        <f>IF(DB_HighSOF[[#This Row],[Plan]]&lt;&gt;0,DB_HighSOF[[#This Row],[Actual]]/DB_HighSOF[[#This Row],[Plan]],1.000011000011)</f>
        <v>3.6758449382976774</v>
      </c>
    </row>
    <row r="175" spans="1:31" hidden="1" x14ac:dyDescent="0.2">
      <c r="A175">
        <f>SUBTOTAL(3,$B$6:B175)</f>
        <v>59</v>
      </c>
      <c r="B175" t="s">
        <v>342</v>
      </c>
      <c r="C175" t="s">
        <v>841</v>
      </c>
      <c r="D175">
        <v>242.49</v>
      </c>
      <c r="E175">
        <v>3022.9</v>
      </c>
      <c r="F175">
        <v>2635.7200000000003</v>
      </c>
      <c r="G175">
        <v>1532.25</v>
      </c>
      <c r="H175">
        <v>1635.31</v>
      </c>
      <c r="P175">
        <v>242.49</v>
      </c>
      <c r="Q175">
        <v>3022.8999999999996</v>
      </c>
      <c r="R175">
        <v>2635.7200000000003</v>
      </c>
      <c r="S175">
        <v>1532.2499999999998</v>
      </c>
      <c r="T175">
        <v>1635.31</v>
      </c>
      <c r="AB175">
        <f>SUMPRODUCT(DB_HighSOF[[#This Row],[Plan01]:[Plan12]],$D$4:$O$4)/valUnits2</f>
        <v>9.0686700000000009</v>
      </c>
      <c r="AC175">
        <f>SUMPRODUCT(DB_HighSOF[[#This Row],[Act01]:[Act12]],$P$4:$AA$4)/valUnits2</f>
        <v>9.0686700000000009</v>
      </c>
      <c r="AD175">
        <f>DB_HighSOF[[#This Row],[Actual]]-DB_HighSOF[[#This Row],[Plan]]</f>
        <v>0</v>
      </c>
      <c r="AE175">
        <f>IF(DB_HighSOF[[#This Row],[Plan]]&lt;&gt;0,DB_HighSOF[[#This Row],[Actual]]/DB_HighSOF[[#This Row],[Plan]],1.000011000011)</f>
        <v>1</v>
      </c>
    </row>
    <row r="176" spans="1:31" hidden="1" x14ac:dyDescent="0.2">
      <c r="A176">
        <f>SUBTOTAL(3,$B$6:B176)</f>
        <v>59</v>
      </c>
      <c r="B176" t="s">
        <v>342</v>
      </c>
      <c r="C176" t="s">
        <v>852</v>
      </c>
      <c r="D176">
        <v>-1037.548</v>
      </c>
      <c r="P176">
        <v>-1061.6500000000001</v>
      </c>
      <c r="AB176">
        <f>SUMPRODUCT(DB_HighSOF[[#This Row],[Plan01]:[Plan12]],$D$4:$O$4)/valUnits2</f>
        <v>-1.0375479999999999</v>
      </c>
      <c r="AC176">
        <f>SUMPRODUCT(DB_HighSOF[[#This Row],[Act01]:[Act12]],$P$4:$AA$4)/valUnits2</f>
        <v>-1.06165</v>
      </c>
      <c r="AD176">
        <f>DB_HighSOF[[#This Row],[Actual]]-DB_HighSOF[[#This Row],[Plan]]</f>
        <v>-2.4102000000000068E-2</v>
      </c>
      <c r="AE176">
        <f>IF(DB_HighSOF[[#This Row],[Plan]]&lt;&gt;0,DB_HighSOF[[#This Row],[Actual]]/DB_HighSOF[[#This Row],[Plan]],1.000011000011)</f>
        <v>1.0232297686468481</v>
      </c>
    </row>
    <row r="177" spans="1:31" hidden="1" x14ac:dyDescent="0.2">
      <c r="A177">
        <f>SUBTOTAL(3,$B$6:B177)</f>
        <v>59</v>
      </c>
      <c r="B177" t="s">
        <v>342</v>
      </c>
      <c r="C177" t="s">
        <v>861</v>
      </c>
      <c r="F177">
        <v>7.2759576141834259E-12</v>
      </c>
      <c r="R177">
        <v>0</v>
      </c>
      <c r="AB177">
        <f>SUMPRODUCT(DB_HighSOF[[#This Row],[Plan01]:[Plan12]],$D$4:$O$4)/valUnits2</f>
        <v>7.2759576141834261E-15</v>
      </c>
      <c r="AC177">
        <f>SUMPRODUCT(DB_HighSOF[[#This Row],[Act01]:[Act12]],$P$4:$AA$4)/valUnits2</f>
        <v>0</v>
      </c>
      <c r="AD177">
        <f>DB_HighSOF[[#This Row],[Actual]]-DB_HighSOF[[#This Row],[Plan]]</f>
        <v>-7.2759576141834261E-15</v>
      </c>
      <c r="AE177">
        <f>IF(DB_HighSOF[[#This Row],[Plan]]&lt;&gt;0,DB_HighSOF[[#This Row],[Actual]]/DB_HighSOF[[#This Row],[Plan]],1.000011000011)</f>
        <v>0</v>
      </c>
    </row>
    <row r="178" spans="1:31" hidden="1" x14ac:dyDescent="0.2">
      <c r="A178">
        <f>SUBTOTAL(3,$B$6:B178)</f>
        <v>59</v>
      </c>
      <c r="B178" t="s">
        <v>342</v>
      </c>
      <c r="C178" t="s">
        <v>880</v>
      </c>
      <c r="F178">
        <v>1740.1639999999998</v>
      </c>
      <c r="R178">
        <v>1719.5</v>
      </c>
      <c r="AB178" s="34">
        <f>SUMPRODUCT(DB_HighSOF[[#This Row],[Plan01]:[Plan12]],$D$4:$O$4)/valUnits2</f>
        <v>1.7401639999999998</v>
      </c>
      <c r="AC178" s="34">
        <f>SUMPRODUCT(DB_HighSOF[[#This Row],[Act01]:[Act12]],$P$4:$AA$4)/valUnits2</f>
        <v>1.7195</v>
      </c>
      <c r="AD178" s="34">
        <f>DB_HighSOF[[#This Row],[Actual]]-DB_HighSOF[[#This Row],[Plan]]</f>
        <v>-2.0663999999999794E-2</v>
      </c>
      <c r="AE178" s="34">
        <f>IF(DB_HighSOF[[#This Row],[Plan]]&lt;&gt;0,DB_HighSOF[[#This Row],[Actual]]/DB_HighSOF[[#This Row],[Plan]],1.000011000011)</f>
        <v>0.98812525715967015</v>
      </c>
    </row>
    <row r="179" spans="1:31" hidden="1" x14ac:dyDescent="0.2">
      <c r="A179">
        <f>SUBTOTAL(3,$B$6:B179)</f>
        <v>59</v>
      </c>
      <c r="B179" t="s">
        <v>342</v>
      </c>
      <c r="C179" t="s">
        <v>886</v>
      </c>
      <c r="D179">
        <v>6272.8189999999995</v>
      </c>
      <c r="E179">
        <v>-3296.5239999999999</v>
      </c>
      <c r="P179">
        <v>6208.16</v>
      </c>
      <c r="Q179">
        <v>-3324.29</v>
      </c>
      <c r="AB179">
        <f>SUMPRODUCT(DB_HighSOF[[#This Row],[Plan01]:[Plan12]],$D$4:$O$4)/valUnits2</f>
        <v>2.9762949999999995</v>
      </c>
      <c r="AC179">
        <f>SUMPRODUCT(DB_HighSOF[[#This Row],[Act01]:[Act12]],$P$4:$AA$4)/valUnits2</f>
        <v>2.8838699999999999</v>
      </c>
      <c r="AD179">
        <f>DB_HighSOF[[#This Row],[Actual]]-DB_HighSOF[[#This Row],[Plan]]</f>
        <v>-9.2424999999999535E-2</v>
      </c>
      <c r="AE179">
        <f>IF(DB_HighSOF[[#This Row],[Plan]]&lt;&gt;0,DB_HighSOF[[#This Row],[Actual]]/DB_HighSOF[[#This Row],[Plan]],1.000011000011)</f>
        <v>0.96894629060627402</v>
      </c>
    </row>
    <row r="180" spans="1:31" hidden="1" x14ac:dyDescent="0.2">
      <c r="A180">
        <f>SUBTOTAL(3,$B$6:B180)</f>
        <v>59</v>
      </c>
      <c r="B180" t="s">
        <v>342</v>
      </c>
      <c r="C180" t="s">
        <v>889</v>
      </c>
      <c r="F180">
        <v>0</v>
      </c>
      <c r="R180">
        <v>0</v>
      </c>
      <c r="AB180">
        <f>SUMPRODUCT(DB_HighSOF[[#This Row],[Plan01]:[Plan12]],$D$4:$O$4)/valUnits2</f>
        <v>0</v>
      </c>
      <c r="AC180">
        <f>SUMPRODUCT(DB_HighSOF[[#This Row],[Act01]:[Act12]],$P$4:$AA$4)/valUnits2</f>
        <v>0</v>
      </c>
      <c r="AD180">
        <f>DB_HighSOF[[#This Row],[Actual]]-DB_HighSOF[[#This Row],[Plan]]</f>
        <v>0</v>
      </c>
      <c r="AE180">
        <f>IF(DB_HighSOF[[#This Row],[Plan]]&lt;&gt;0,DB_HighSOF[[#This Row],[Actual]]/DB_HighSOF[[#This Row],[Plan]],1.000011000011)</f>
        <v>1.0000110000110001</v>
      </c>
    </row>
    <row r="181" spans="1:31" hidden="1" x14ac:dyDescent="0.2">
      <c r="A181">
        <f>SUBTOTAL(3,$B$6:B181)</f>
        <v>59</v>
      </c>
      <c r="B181" t="s">
        <v>342</v>
      </c>
      <c r="C181" t="s">
        <v>898</v>
      </c>
      <c r="D181">
        <v>-197.101</v>
      </c>
      <c r="E181">
        <v>-108.33</v>
      </c>
      <c r="P181">
        <v>-204.70000000000002</v>
      </c>
      <c r="Q181">
        <v>-115.53</v>
      </c>
      <c r="AB181">
        <f>SUMPRODUCT(DB_HighSOF[[#This Row],[Plan01]:[Plan12]],$D$4:$O$4)/valUnits2</f>
        <v>-0.30543100000000001</v>
      </c>
      <c r="AC181">
        <f>SUMPRODUCT(DB_HighSOF[[#This Row],[Act01]:[Act12]],$P$4:$AA$4)/valUnits2</f>
        <v>-0.32023000000000001</v>
      </c>
      <c r="AD181">
        <f>DB_HighSOF[[#This Row],[Actual]]-DB_HighSOF[[#This Row],[Plan]]</f>
        <v>-1.4799000000000007E-2</v>
      </c>
      <c r="AE181">
        <f>IF(DB_HighSOF[[#This Row],[Plan]]&lt;&gt;0,DB_HighSOF[[#This Row],[Actual]]/DB_HighSOF[[#This Row],[Plan]],1.000011000011)</f>
        <v>1.0484528420494319</v>
      </c>
    </row>
    <row r="182" spans="1:31" hidden="1" x14ac:dyDescent="0.2">
      <c r="A182">
        <f>SUBTOTAL(3,$B$6:B182)</f>
        <v>59</v>
      </c>
      <c r="B182" t="s">
        <v>342</v>
      </c>
      <c r="C182" t="s">
        <v>899</v>
      </c>
      <c r="D182">
        <v>-12.531000000000001</v>
      </c>
      <c r="E182">
        <v>2.5430000000000001</v>
      </c>
      <c r="G182">
        <v>252.79300000000001</v>
      </c>
      <c r="H182">
        <v>816.20299999999997</v>
      </c>
      <c r="P182">
        <v>-12.53</v>
      </c>
      <c r="Q182">
        <v>2.54</v>
      </c>
      <c r="S182">
        <v>254.21</v>
      </c>
      <c r="T182">
        <v>820.17</v>
      </c>
      <c r="AB182">
        <f>SUMPRODUCT(DB_HighSOF[[#This Row],[Plan01]:[Plan12]],$D$4:$O$4)/valUnits2</f>
        <v>1.0590079999999999</v>
      </c>
      <c r="AC182">
        <f>SUMPRODUCT(DB_HighSOF[[#This Row],[Act01]:[Act12]],$P$4:$AA$4)/valUnits2</f>
        <v>1.0643899999999999</v>
      </c>
      <c r="AD182">
        <f>DB_HighSOF[[#This Row],[Actual]]-DB_HighSOF[[#This Row],[Plan]]</f>
        <v>5.3819999999999979E-3</v>
      </c>
      <c r="AE182">
        <f>IF(DB_HighSOF[[#This Row],[Plan]]&lt;&gt;0,DB_HighSOF[[#This Row],[Actual]]/DB_HighSOF[[#This Row],[Plan]],1.000011000011)</f>
        <v>1.0050821145827038</v>
      </c>
    </row>
    <row r="183" spans="1:31" hidden="1" x14ac:dyDescent="0.2">
      <c r="A183">
        <f>SUBTOTAL(3,$B$6:B183)</f>
        <v>59</v>
      </c>
      <c r="B183" t="s">
        <v>342</v>
      </c>
      <c r="C183" t="s">
        <v>905</v>
      </c>
      <c r="D183">
        <v>5856.8200000000006</v>
      </c>
      <c r="E183">
        <v>607.26</v>
      </c>
      <c r="F183">
        <v>-564.65000000000043</v>
      </c>
      <c r="G183">
        <v>844.52</v>
      </c>
      <c r="H183">
        <v>-9410.2899999999991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5856.8200000000006</v>
      </c>
      <c r="Q183">
        <v>578.65</v>
      </c>
      <c r="R183">
        <v>-564.65000000000055</v>
      </c>
      <c r="S183">
        <v>844.52</v>
      </c>
      <c r="T183">
        <v>-9410.2899999999991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f>SUMPRODUCT(DB_HighSOF[[#This Row],[Plan01]:[Plan12]],$D$4:$O$4)/valUnits2</f>
        <v>-2.6663399999999982</v>
      </c>
      <c r="AC183">
        <f>SUMPRODUCT(DB_HighSOF[[#This Row],[Act01]:[Act12]],$P$4:$AA$4)/valUnits2</f>
        <v>-2.6949499999999991</v>
      </c>
      <c r="AD183">
        <f>DB_HighSOF[[#This Row],[Actual]]-DB_HighSOF[[#This Row],[Plan]]</f>
        <v>-2.8610000000000912E-2</v>
      </c>
      <c r="AE183">
        <f>IF(DB_HighSOF[[#This Row],[Plan]]&lt;&gt;0,DB_HighSOF[[#This Row],[Actual]]/DB_HighSOF[[#This Row],[Plan]],1.000011000011)</f>
        <v>1.0107300644328934</v>
      </c>
    </row>
    <row r="184" spans="1:31" hidden="1" x14ac:dyDescent="0.2">
      <c r="A184">
        <f>SUBTOTAL(3,$B$6:B184)</f>
        <v>59</v>
      </c>
      <c r="B184" t="s">
        <v>342</v>
      </c>
      <c r="C184" t="s">
        <v>910</v>
      </c>
      <c r="D184">
        <v>12264.900000000001</v>
      </c>
      <c r="E184">
        <v>2436.9799999999937</v>
      </c>
      <c r="F184">
        <v>5403.4299999999994</v>
      </c>
      <c r="H184">
        <v>-79532.280000000013</v>
      </c>
      <c r="P184">
        <v>12264.900000000005</v>
      </c>
      <c r="Q184">
        <v>2442.1200000000008</v>
      </c>
      <c r="R184">
        <v>5403.4299999999994</v>
      </c>
      <c r="T184">
        <v>-79532.28</v>
      </c>
      <c r="AB184">
        <f>SUMPRODUCT(DB_HighSOF[[#This Row],[Plan01]:[Plan12]],$D$4:$O$4)/valUnits2</f>
        <v>-59.426970000000019</v>
      </c>
      <c r="AC184">
        <f>SUMPRODUCT(DB_HighSOF[[#This Row],[Act01]:[Act12]],$P$4:$AA$4)/valUnits2</f>
        <v>-59.421829999999993</v>
      </c>
      <c r="AD184">
        <f>DB_HighSOF[[#This Row],[Actual]]-DB_HighSOF[[#This Row],[Plan]]</f>
        <v>5.1400000000256796E-3</v>
      </c>
      <c r="AE184">
        <f>IF(DB_HighSOF[[#This Row],[Plan]]&lt;&gt;0,DB_HighSOF[[#This Row],[Actual]]/DB_HighSOF[[#This Row],[Plan]],1.000011000011)</f>
        <v>0.999913507284655</v>
      </c>
    </row>
    <row r="185" spans="1:31" hidden="1" x14ac:dyDescent="0.2">
      <c r="A185">
        <f>SUBTOTAL(3,$B$6:B185)</f>
        <v>59</v>
      </c>
      <c r="B185" t="s">
        <v>342</v>
      </c>
      <c r="C185" t="s">
        <v>912</v>
      </c>
      <c r="D185">
        <v>5207.9000000000005</v>
      </c>
      <c r="E185">
        <v>-3143.130000000001</v>
      </c>
      <c r="G185">
        <v>-4329.43</v>
      </c>
      <c r="P185">
        <v>5207.9000000000015</v>
      </c>
      <c r="Q185">
        <v>-3143.130000000001</v>
      </c>
      <c r="S185">
        <v>-4329.43</v>
      </c>
      <c r="AB185">
        <f>SUMPRODUCT(DB_HighSOF[[#This Row],[Plan01]:[Plan12]],$D$4:$O$4)/valUnits2</f>
        <v>-2.2646600000000006</v>
      </c>
      <c r="AC185">
        <f>SUMPRODUCT(DB_HighSOF[[#This Row],[Act01]:[Act12]],$P$4:$AA$4)/valUnits2</f>
        <v>-2.2646599999999997</v>
      </c>
      <c r="AD185">
        <f>DB_HighSOF[[#This Row],[Actual]]-DB_HighSOF[[#This Row],[Plan]]</f>
        <v>0</v>
      </c>
      <c r="AE185">
        <f>IF(DB_HighSOF[[#This Row],[Plan]]&lt;&gt;0,DB_HighSOF[[#This Row],[Actual]]/DB_HighSOF[[#This Row],[Plan]],1.000011000011)</f>
        <v>0.99999999999999956</v>
      </c>
    </row>
    <row r="186" spans="1:31" hidden="1" x14ac:dyDescent="0.2">
      <c r="A186">
        <f>SUBTOTAL(3,$B$6:B186)</f>
        <v>59</v>
      </c>
      <c r="B186" t="s">
        <v>351</v>
      </c>
      <c r="C186" t="s">
        <v>926</v>
      </c>
      <c r="D186">
        <v>642.59699999999998</v>
      </c>
      <c r="P186">
        <v>654.08000000000004</v>
      </c>
      <c r="AB186">
        <f>SUMPRODUCT(DB_HighSOF[[#This Row],[Plan01]:[Plan12]],$D$4:$O$4)/valUnits2</f>
        <v>0.64259699999999997</v>
      </c>
      <c r="AC186">
        <f>SUMPRODUCT(DB_HighSOF[[#This Row],[Act01]:[Act12]],$P$4:$AA$4)/valUnits2</f>
        <v>0.65407999999999999</v>
      </c>
      <c r="AD186">
        <f>DB_HighSOF[[#This Row],[Actual]]-DB_HighSOF[[#This Row],[Plan]]</f>
        <v>1.1483000000000021E-2</v>
      </c>
      <c r="AE186">
        <f>IF(DB_HighSOF[[#This Row],[Plan]]&lt;&gt;0,DB_HighSOF[[#This Row],[Actual]]/DB_HighSOF[[#This Row],[Plan]],1.000011000011)</f>
        <v>1.0178696757065471</v>
      </c>
    </row>
    <row r="187" spans="1:31" hidden="1" x14ac:dyDescent="0.2">
      <c r="A187">
        <f>SUBTOTAL(3,$B$6:B187)</f>
        <v>59</v>
      </c>
      <c r="B187" t="s">
        <v>351</v>
      </c>
      <c r="C187" t="s">
        <v>894</v>
      </c>
      <c r="F187">
        <v>-270.34500000000003</v>
      </c>
      <c r="H187">
        <v>40.877999999999993</v>
      </c>
      <c r="R187">
        <v>-263.09000000000003</v>
      </c>
      <c r="T187">
        <v>42.73</v>
      </c>
      <c r="AB187">
        <f>SUMPRODUCT(DB_HighSOF[[#This Row],[Plan01]:[Plan12]],$D$4:$O$4)/valUnits2</f>
        <v>-0.22946700000000003</v>
      </c>
      <c r="AC187">
        <f>SUMPRODUCT(DB_HighSOF[[#This Row],[Act01]:[Act12]],$P$4:$AA$4)/valUnits2</f>
        <v>-0.22036000000000006</v>
      </c>
      <c r="AD187">
        <f>DB_HighSOF[[#This Row],[Actual]]-DB_HighSOF[[#This Row],[Plan]]</f>
        <v>9.1069999999999762E-3</v>
      </c>
      <c r="AE187">
        <f>IF(DB_HighSOF[[#This Row],[Plan]]&lt;&gt;0,DB_HighSOF[[#This Row],[Actual]]/DB_HighSOF[[#This Row],[Plan]],1.000011000011)</f>
        <v>0.96031237607150499</v>
      </c>
    </row>
    <row r="188" spans="1:31" hidden="1" x14ac:dyDescent="0.2">
      <c r="A188">
        <f>SUBTOTAL(3,$B$6:B188)</f>
        <v>59</v>
      </c>
      <c r="B188" t="s">
        <v>351</v>
      </c>
      <c r="C188" t="s">
        <v>355</v>
      </c>
      <c r="G188">
        <v>84.13000000000001</v>
      </c>
      <c r="S188">
        <v>85.25</v>
      </c>
      <c r="AB188">
        <f>SUMPRODUCT(DB_HighSOF[[#This Row],[Plan01]:[Plan12]],$D$4:$O$4)/valUnits2</f>
        <v>8.413000000000001E-2</v>
      </c>
      <c r="AC188">
        <f>SUMPRODUCT(DB_HighSOF[[#This Row],[Act01]:[Act12]],$P$4:$AA$4)/valUnits2</f>
        <v>8.5250000000000006E-2</v>
      </c>
      <c r="AD188">
        <f>DB_HighSOF[[#This Row],[Actual]]-DB_HighSOF[[#This Row],[Plan]]</f>
        <v>1.119999999999996E-3</v>
      </c>
      <c r="AE188">
        <f>IF(DB_HighSOF[[#This Row],[Plan]]&lt;&gt;0,DB_HighSOF[[#This Row],[Actual]]/DB_HighSOF[[#This Row],[Plan]],1.000011000011)</f>
        <v>1.0133127302983478</v>
      </c>
    </row>
    <row r="189" spans="1:31" hidden="1" x14ac:dyDescent="0.2">
      <c r="A189">
        <f>SUBTOTAL(3,$B$6:B189)</f>
        <v>59</v>
      </c>
      <c r="B189" t="s">
        <v>351</v>
      </c>
      <c r="C189" t="s">
        <v>863</v>
      </c>
      <c r="G189">
        <v>777.83999999999992</v>
      </c>
      <c r="H189">
        <v>291.01000000000005</v>
      </c>
      <c r="S189">
        <v>777.83999999999992</v>
      </c>
      <c r="T189">
        <v>291.83000000000004</v>
      </c>
      <c r="AB189" s="34">
        <f>SUMPRODUCT(DB_HighSOF[[#This Row],[Plan01]:[Plan12]],$D$4:$O$4)/valUnits2</f>
        <v>1.0688499999999999</v>
      </c>
      <c r="AC189" s="34">
        <f>SUMPRODUCT(DB_HighSOF[[#This Row],[Act01]:[Act12]],$P$4:$AA$4)/valUnits2</f>
        <v>1.0696700000000001</v>
      </c>
      <c r="AD189" s="34">
        <f>DB_HighSOF[[#This Row],[Actual]]-DB_HighSOF[[#This Row],[Plan]]</f>
        <v>8.2000000000026496E-4</v>
      </c>
      <c r="AE189" s="34">
        <f>IF(DB_HighSOF[[#This Row],[Plan]]&lt;&gt;0,DB_HighSOF[[#This Row],[Actual]]/DB_HighSOF[[#This Row],[Plan]],1.000011000011)</f>
        <v>1.0007671796790947</v>
      </c>
    </row>
    <row r="190" spans="1:31" hidden="1" x14ac:dyDescent="0.2">
      <c r="A190">
        <f>SUBTOTAL(3,$B$6:B190)</f>
        <v>59</v>
      </c>
      <c r="B190" t="s">
        <v>351</v>
      </c>
      <c r="C190" t="s">
        <v>853</v>
      </c>
      <c r="G190">
        <v>12.959</v>
      </c>
      <c r="H190">
        <v>24.883999999999997</v>
      </c>
      <c r="I190">
        <v>141.30100000000002</v>
      </c>
      <c r="J190">
        <v>141.30099999999999</v>
      </c>
      <c r="K190">
        <v>141.30100000000002</v>
      </c>
      <c r="L190">
        <v>141.30099999999999</v>
      </c>
      <c r="M190">
        <v>141.30099999999999</v>
      </c>
      <c r="N190">
        <v>141.30099999999999</v>
      </c>
      <c r="O190">
        <v>141.30100000000002</v>
      </c>
      <c r="S190">
        <v>12.79</v>
      </c>
      <c r="T190">
        <v>25.04</v>
      </c>
      <c r="U190">
        <v>141.54999999999998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f>SUMPRODUCT(DB_HighSOF[[#This Row],[Plan01]:[Plan12]],$D$4:$O$4)/valUnits2</f>
        <v>0.179144</v>
      </c>
      <c r="AC190">
        <f>SUMPRODUCT(DB_HighSOF[[#This Row],[Act01]:[Act12]],$P$4:$AA$4)/valUnits2</f>
        <v>0.17937999999999998</v>
      </c>
      <c r="AD190">
        <f>DB_HighSOF[[#This Row],[Actual]]-DB_HighSOF[[#This Row],[Plan]]</f>
        <v>2.3599999999998622E-4</v>
      </c>
      <c r="AE190">
        <f>IF(DB_HighSOF[[#This Row],[Plan]]&lt;&gt;0,DB_HighSOF[[#This Row],[Actual]]/DB_HighSOF[[#This Row],[Plan]],1.000011000011)</f>
        <v>1.0013173759657035</v>
      </c>
    </row>
    <row r="191" spans="1:31" hidden="1" x14ac:dyDescent="0.2">
      <c r="A191">
        <f>SUBTOTAL(3,$B$6:B191)</f>
        <v>59</v>
      </c>
      <c r="B191" t="s">
        <v>351</v>
      </c>
      <c r="C191" t="s">
        <v>857</v>
      </c>
      <c r="D191">
        <v>-1354.71</v>
      </c>
      <c r="E191">
        <v>14552.349999999999</v>
      </c>
      <c r="F191">
        <v>1310.3</v>
      </c>
      <c r="H191">
        <v>-15262.46</v>
      </c>
      <c r="P191">
        <v>-1354.71</v>
      </c>
      <c r="Q191">
        <v>14552.35</v>
      </c>
      <c r="R191">
        <v>1310.3</v>
      </c>
      <c r="T191">
        <v>-15262.46</v>
      </c>
      <c r="AB191">
        <f>SUMPRODUCT(DB_HighSOF[[#This Row],[Plan01]:[Plan12]],$D$4:$O$4)/valUnits2</f>
        <v>-0.75452000000000041</v>
      </c>
      <c r="AC191">
        <f>SUMPRODUCT(DB_HighSOF[[#This Row],[Act01]:[Act12]],$P$4:$AA$4)/valUnits2</f>
        <v>-0.75452000000000041</v>
      </c>
      <c r="AD191">
        <f>DB_HighSOF[[#This Row],[Actual]]-DB_HighSOF[[#This Row],[Plan]]</f>
        <v>0</v>
      </c>
      <c r="AE191">
        <f>IF(DB_HighSOF[[#This Row],[Plan]]&lt;&gt;0,DB_HighSOF[[#This Row],[Actual]]/DB_HighSOF[[#This Row],[Plan]],1.000011000011)</f>
        <v>1</v>
      </c>
    </row>
    <row r="192" spans="1:31" hidden="1" x14ac:dyDescent="0.2">
      <c r="A192">
        <f>SUBTOTAL(3,$B$6:B192)</f>
        <v>59</v>
      </c>
      <c r="B192" t="s">
        <v>351</v>
      </c>
      <c r="C192" t="s">
        <v>870</v>
      </c>
      <c r="D192">
        <v>0</v>
      </c>
      <c r="G192">
        <v>0</v>
      </c>
      <c r="J192">
        <v>0</v>
      </c>
      <c r="M192">
        <v>0</v>
      </c>
      <c r="P192">
        <v>0</v>
      </c>
      <c r="S192">
        <v>0</v>
      </c>
      <c r="V192">
        <v>0</v>
      </c>
      <c r="Y192">
        <v>0</v>
      </c>
      <c r="AB192">
        <f>SUMPRODUCT(DB_HighSOF[[#This Row],[Plan01]:[Plan12]],$D$4:$O$4)/valUnits2</f>
        <v>0</v>
      </c>
      <c r="AC192">
        <f>SUMPRODUCT(DB_HighSOF[[#This Row],[Act01]:[Act12]],$P$4:$AA$4)/valUnits2</f>
        <v>0</v>
      </c>
      <c r="AD192">
        <f>DB_HighSOF[[#This Row],[Actual]]-DB_HighSOF[[#This Row],[Plan]]</f>
        <v>0</v>
      </c>
      <c r="AE192">
        <f>IF(DB_HighSOF[[#This Row],[Plan]]&lt;&gt;0,DB_HighSOF[[#This Row],[Actual]]/DB_HighSOF[[#This Row],[Plan]],1.000011000011)</f>
        <v>1.0000110000110001</v>
      </c>
    </row>
    <row r="193" spans="1:31" hidden="1" x14ac:dyDescent="0.2">
      <c r="A193">
        <f>SUBTOTAL(3,$B$6:B193)</f>
        <v>59</v>
      </c>
      <c r="B193" t="s">
        <v>351</v>
      </c>
      <c r="C193" t="s">
        <v>905</v>
      </c>
      <c r="D193">
        <v>123.82</v>
      </c>
      <c r="E193">
        <v>1354.9</v>
      </c>
      <c r="F193">
        <v>0</v>
      </c>
      <c r="G193">
        <v>5.53</v>
      </c>
      <c r="H193">
        <v>-1484.25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123.82</v>
      </c>
      <c r="Q193">
        <v>1354.9</v>
      </c>
      <c r="R193">
        <v>0</v>
      </c>
      <c r="S193">
        <v>5.53</v>
      </c>
      <c r="T193">
        <v>-1484.25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f>SUMPRODUCT(DB_HighSOF[[#This Row],[Plan01]:[Plan12]],$D$4:$O$4)/valUnits2</f>
        <v>0</v>
      </c>
      <c r="AC193">
        <f>SUMPRODUCT(DB_HighSOF[[#This Row],[Act01]:[Act12]],$P$4:$AA$4)/valUnits2</f>
        <v>0</v>
      </c>
      <c r="AD193">
        <f>DB_HighSOF[[#This Row],[Actual]]-DB_HighSOF[[#This Row],[Plan]]</f>
        <v>0</v>
      </c>
      <c r="AE193">
        <f>IF(DB_HighSOF[[#This Row],[Plan]]&lt;&gt;0,DB_HighSOF[[#This Row],[Actual]]/DB_HighSOF[[#This Row],[Plan]],1.000011000011)</f>
        <v>1.0000110000110001</v>
      </c>
    </row>
    <row r="194" spans="1:31" hidden="1" x14ac:dyDescent="0.2">
      <c r="A194">
        <f>SUBTOTAL(3,$B$6:B194)</f>
        <v>59</v>
      </c>
      <c r="B194" t="s">
        <v>351</v>
      </c>
      <c r="C194" t="s">
        <v>907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f>SUMPRODUCT(DB_HighSOF[[#This Row],[Plan01]:[Plan12]],$D$4:$O$4)/valUnits2</f>
        <v>0</v>
      </c>
      <c r="AC194">
        <f>SUMPRODUCT(DB_HighSOF[[#This Row],[Act01]:[Act12]],$P$4:$AA$4)/valUnits2</f>
        <v>0</v>
      </c>
      <c r="AD194">
        <f>DB_HighSOF[[#This Row],[Actual]]-DB_HighSOF[[#This Row],[Plan]]</f>
        <v>0</v>
      </c>
      <c r="AE194">
        <f>IF(DB_HighSOF[[#This Row],[Plan]]&lt;&gt;0,DB_HighSOF[[#This Row],[Actual]]/DB_HighSOF[[#This Row],[Plan]],1.000011000011)</f>
        <v>1.0000110000110001</v>
      </c>
    </row>
    <row r="195" spans="1:31" hidden="1" x14ac:dyDescent="0.2">
      <c r="A195">
        <f>SUBTOTAL(3,$B$6:B195)</f>
        <v>59</v>
      </c>
      <c r="B195" t="s">
        <v>351</v>
      </c>
      <c r="C195" t="s">
        <v>910</v>
      </c>
      <c r="E195">
        <v>581.47</v>
      </c>
      <c r="F195">
        <v>521.39</v>
      </c>
      <c r="Q195">
        <v>581.47</v>
      </c>
      <c r="R195">
        <v>521.39</v>
      </c>
      <c r="AB195">
        <f>SUMPRODUCT(DB_HighSOF[[#This Row],[Plan01]:[Plan12]],$D$4:$O$4)/valUnits2</f>
        <v>1.1028600000000002</v>
      </c>
      <c r="AC195">
        <f>SUMPRODUCT(DB_HighSOF[[#This Row],[Act01]:[Act12]],$P$4:$AA$4)/valUnits2</f>
        <v>1.1028600000000002</v>
      </c>
      <c r="AD195">
        <f>DB_HighSOF[[#This Row],[Actual]]-DB_HighSOF[[#This Row],[Plan]]</f>
        <v>0</v>
      </c>
      <c r="AE195">
        <f>IF(DB_HighSOF[[#This Row],[Plan]]&lt;&gt;0,DB_HighSOF[[#This Row],[Actual]]/DB_HighSOF[[#This Row],[Plan]],1.000011000011)</f>
        <v>1</v>
      </c>
    </row>
    <row r="196" spans="1:31" hidden="1" x14ac:dyDescent="0.2">
      <c r="A196">
        <f>SUBTOTAL(3,$B$6:B196)</f>
        <v>59</v>
      </c>
      <c r="B196" t="s">
        <v>351</v>
      </c>
      <c r="C196" t="s">
        <v>912</v>
      </c>
      <c r="D196">
        <v>411.44</v>
      </c>
      <c r="E196">
        <v>-1922.61</v>
      </c>
      <c r="G196">
        <v>-411.44</v>
      </c>
      <c r="P196">
        <v>411.44</v>
      </c>
      <c r="Q196">
        <v>-1922.61</v>
      </c>
      <c r="S196">
        <v>-411.44</v>
      </c>
      <c r="AB196">
        <f>SUMPRODUCT(DB_HighSOF[[#This Row],[Plan01]:[Plan12]],$D$4:$O$4)/valUnits2</f>
        <v>-1.9226099999999999</v>
      </c>
      <c r="AC196">
        <f>SUMPRODUCT(DB_HighSOF[[#This Row],[Act01]:[Act12]],$P$4:$AA$4)/valUnits2</f>
        <v>-1.9226099999999999</v>
      </c>
      <c r="AD196">
        <f>DB_HighSOF[[#This Row],[Actual]]-DB_HighSOF[[#This Row],[Plan]]</f>
        <v>0</v>
      </c>
      <c r="AE196">
        <f>IF(DB_HighSOF[[#This Row],[Plan]]&lt;&gt;0,DB_HighSOF[[#This Row],[Actual]]/DB_HighSOF[[#This Row],[Plan]],1.000011000011)</f>
        <v>1</v>
      </c>
    </row>
    <row r="197" spans="1:31" hidden="1" x14ac:dyDescent="0.2">
      <c r="A197">
        <f>SUBTOTAL(3,$B$6:B197)</f>
        <v>59</v>
      </c>
      <c r="B197" t="s">
        <v>351</v>
      </c>
      <c r="C197" t="s">
        <v>925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f>SUMPRODUCT(DB_HighSOF[[#This Row],[Plan01]:[Plan12]],$D$4:$O$4)/valUnits2</f>
        <v>0</v>
      </c>
      <c r="AC197">
        <f>SUMPRODUCT(DB_HighSOF[[#This Row],[Act01]:[Act12]],$P$4:$AA$4)/valUnits2</f>
        <v>0</v>
      </c>
      <c r="AD197">
        <f>DB_HighSOF[[#This Row],[Actual]]-DB_HighSOF[[#This Row],[Plan]]</f>
        <v>0</v>
      </c>
      <c r="AE197">
        <f>IF(DB_HighSOF[[#This Row],[Plan]]&lt;&gt;0,DB_HighSOF[[#This Row],[Actual]]/DB_HighSOF[[#This Row],[Plan]],1.000011000011)</f>
        <v>1.0000110000110001</v>
      </c>
    </row>
    <row r="198" spans="1:31" hidden="1" x14ac:dyDescent="0.2">
      <c r="A198">
        <f>SUBTOTAL(3,$B$6:B198)</f>
        <v>59</v>
      </c>
      <c r="B198" t="s">
        <v>351</v>
      </c>
      <c r="C198" t="s">
        <v>865</v>
      </c>
      <c r="D198">
        <v>0</v>
      </c>
      <c r="E198">
        <v>0</v>
      </c>
      <c r="F198">
        <v>0</v>
      </c>
      <c r="G198">
        <v>122.04299999999999</v>
      </c>
      <c r="H198">
        <v>42.975000000000001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121.11000000000001</v>
      </c>
      <c r="T198">
        <v>43.199999999999996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f>SUMPRODUCT(DB_HighSOF[[#This Row],[Plan01]:[Plan12]],$D$4:$O$4)/valUnits2</f>
        <v>0.165018</v>
      </c>
      <c r="AC198">
        <f>SUMPRODUCT(DB_HighSOF[[#This Row],[Act01]:[Act12]],$P$4:$AA$4)/valUnits2</f>
        <v>0.16431000000000001</v>
      </c>
      <c r="AD198">
        <f>DB_HighSOF[[#This Row],[Actual]]-DB_HighSOF[[#This Row],[Plan]]</f>
        <v>-7.0799999999998642E-4</v>
      </c>
      <c r="AE198">
        <f>IF(DB_HighSOF[[#This Row],[Plan]]&lt;&gt;0,DB_HighSOF[[#This Row],[Actual]]/DB_HighSOF[[#This Row],[Plan]],1.000011000011)</f>
        <v>0.9957095589572047</v>
      </c>
    </row>
    <row r="199" spans="1:31" hidden="1" x14ac:dyDescent="0.2">
      <c r="A199">
        <f>SUBTOTAL(3,$B$6:B199)</f>
        <v>59</v>
      </c>
      <c r="B199" t="s">
        <v>351</v>
      </c>
      <c r="C199" t="s">
        <v>886</v>
      </c>
      <c r="G199">
        <v>155.24</v>
      </c>
      <c r="S199">
        <v>154.38</v>
      </c>
      <c r="AB199">
        <f>SUMPRODUCT(DB_HighSOF[[#This Row],[Plan01]:[Plan12]],$D$4:$O$4)/valUnits2</f>
        <v>0.15524000000000002</v>
      </c>
      <c r="AC199">
        <f>SUMPRODUCT(DB_HighSOF[[#This Row],[Act01]:[Act12]],$P$4:$AA$4)/valUnits2</f>
        <v>0.15437999999999999</v>
      </c>
      <c r="AD199">
        <f>DB_HighSOF[[#This Row],[Actual]]-DB_HighSOF[[#This Row],[Plan]]</f>
        <v>-8.6000000000002741E-4</v>
      </c>
      <c r="AE199">
        <f>IF(DB_HighSOF[[#This Row],[Plan]]&lt;&gt;0,DB_HighSOF[[#This Row],[Actual]]/DB_HighSOF[[#This Row],[Plan]],1.000011000011)</f>
        <v>0.99446019067250691</v>
      </c>
    </row>
    <row r="200" spans="1:31" hidden="1" x14ac:dyDescent="0.2">
      <c r="A200">
        <f>SUBTOTAL(3,$B$6:B200)</f>
        <v>59</v>
      </c>
      <c r="B200" t="s">
        <v>351</v>
      </c>
      <c r="C200" t="s">
        <v>848</v>
      </c>
      <c r="G200">
        <v>582.07600000000002</v>
      </c>
      <c r="H200">
        <v>0</v>
      </c>
      <c r="S200">
        <v>576.66999999999996</v>
      </c>
      <c r="T200">
        <v>0</v>
      </c>
      <c r="AB200">
        <f>SUMPRODUCT(DB_HighSOF[[#This Row],[Plan01]:[Plan12]],$D$4:$O$4)/valUnits2</f>
        <v>0.58207600000000004</v>
      </c>
      <c r="AC200">
        <f>SUMPRODUCT(DB_HighSOF[[#This Row],[Act01]:[Act12]],$P$4:$AA$4)/valUnits2</f>
        <v>0.5766699999999999</v>
      </c>
      <c r="AD200">
        <f>DB_HighSOF[[#This Row],[Actual]]-DB_HighSOF[[#This Row],[Plan]]</f>
        <v>-5.4060000000001329E-3</v>
      </c>
      <c r="AE200">
        <f>IF(DB_HighSOF[[#This Row],[Plan]]&lt;&gt;0,DB_HighSOF[[#This Row],[Actual]]/DB_HighSOF[[#This Row],[Plan]],1.000011000011)</f>
        <v>0.99071255299995165</v>
      </c>
    </row>
    <row r="201" spans="1:31" hidden="1" x14ac:dyDescent="0.2">
      <c r="A201">
        <f>SUBTOTAL(3,$B$6:B201)</f>
        <v>59</v>
      </c>
      <c r="B201" t="s">
        <v>351</v>
      </c>
      <c r="C201" t="s">
        <v>887</v>
      </c>
      <c r="D201">
        <v>0</v>
      </c>
      <c r="E201">
        <v>0</v>
      </c>
      <c r="F201">
        <v>0</v>
      </c>
      <c r="G201">
        <v>377.01400000000001</v>
      </c>
      <c r="H201">
        <v>0</v>
      </c>
      <c r="P201">
        <v>0</v>
      </c>
      <c r="Q201">
        <v>0</v>
      </c>
      <c r="R201">
        <v>0</v>
      </c>
      <c r="S201">
        <v>369.3</v>
      </c>
      <c r="T201">
        <v>0</v>
      </c>
      <c r="AB201">
        <f>SUMPRODUCT(DB_HighSOF[[#This Row],[Plan01]:[Plan12]],$D$4:$O$4)/valUnits2</f>
        <v>0.37701400000000002</v>
      </c>
      <c r="AC201">
        <f>SUMPRODUCT(DB_HighSOF[[#This Row],[Act01]:[Act12]],$P$4:$AA$4)/valUnits2</f>
        <v>0.36930000000000002</v>
      </c>
      <c r="AD201">
        <f>DB_HighSOF[[#This Row],[Actual]]-DB_HighSOF[[#This Row],[Plan]]</f>
        <v>-7.7139999999999986E-3</v>
      </c>
      <c r="AE201">
        <f>IF(DB_HighSOF[[#This Row],[Plan]]&lt;&gt;0,DB_HighSOF[[#This Row],[Actual]]/DB_HighSOF[[#This Row],[Plan]],1.000011000011)</f>
        <v>0.97953922135517513</v>
      </c>
    </row>
    <row r="202" spans="1:31" hidden="1" x14ac:dyDescent="0.2">
      <c r="A202">
        <f>SUBTOTAL(3,$B$6:B202)</f>
        <v>59</v>
      </c>
      <c r="B202" t="s">
        <v>351</v>
      </c>
      <c r="C202" t="s">
        <v>362</v>
      </c>
      <c r="D202">
        <v>0</v>
      </c>
      <c r="G202">
        <v>864.09199999999987</v>
      </c>
      <c r="H202">
        <v>390.80200000000002</v>
      </c>
      <c r="I202">
        <v>331.06899999999996</v>
      </c>
      <c r="P202">
        <v>0</v>
      </c>
      <c r="S202">
        <v>864.87000000000012</v>
      </c>
      <c r="T202">
        <v>393.79</v>
      </c>
      <c r="U202">
        <v>296.18</v>
      </c>
      <c r="AB202">
        <f>SUMPRODUCT(DB_HighSOF[[#This Row],[Plan01]:[Plan12]],$D$4:$O$4)/valUnits2</f>
        <v>1.5859629999999998</v>
      </c>
      <c r="AC202">
        <f>SUMPRODUCT(DB_HighSOF[[#This Row],[Act01]:[Act12]],$P$4:$AA$4)/valUnits2</f>
        <v>1.5548400000000002</v>
      </c>
      <c r="AD202">
        <f>DB_HighSOF[[#This Row],[Actual]]-DB_HighSOF[[#This Row],[Plan]]</f>
        <v>-3.1122999999999568E-2</v>
      </c>
      <c r="AE202">
        <f>IF(DB_HighSOF[[#This Row],[Plan]]&lt;&gt;0,DB_HighSOF[[#This Row],[Actual]]/DB_HighSOF[[#This Row],[Plan]],1.000011000011)</f>
        <v>0.98037596085154599</v>
      </c>
    </row>
    <row r="203" spans="1:31" hidden="1" x14ac:dyDescent="0.2">
      <c r="A203">
        <f>SUBTOTAL(3,$B$6:B203)</f>
        <v>59</v>
      </c>
      <c r="B203" t="s">
        <v>351</v>
      </c>
      <c r="C203" t="s">
        <v>908</v>
      </c>
      <c r="D203">
        <v>0</v>
      </c>
      <c r="E203">
        <v>0</v>
      </c>
      <c r="F203">
        <v>0</v>
      </c>
      <c r="G203">
        <v>1119.3989999999999</v>
      </c>
      <c r="H203">
        <v>-935.77499999999986</v>
      </c>
      <c r="I203">
        <v>89.064999999999998</v>
      </c>
      <c r="J203">
        <v>89.064999999999998</v>
      </c>
      <c r="K203">
        <v>89.064999999999998</v>
      </c>
      <c r="L203">
        <v>89.064999999999998</v>
      </c>
      <c r="M203">
        <v>89.064999999999998</v>
      </c>
      <c r="N203">
        <v>89.064999999999998</v>
      </c>
      <c r="O203">
        <v>89.064999999999998</v>
      </c>
      <c r="P203">
        <v>0</v>
      </c>
      <c r="Q203">
        <v>0</v>
      </c>
      <c r="R203">
        <v>0</v>
      </c>
      <c r="S203">
        <v>1135.72</v>
      </c>
      <c r="T203">
        <v>-970.39</v>
      </c>
      <c r="U203">
        <v>47.169999999999995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f>SUMPRODUCT(DB_HighSOF[[#This Row],[Plan01]:[Plan12]],$D$4:$O$4)/valUnits2</f>
        <v>0.27268900000000001</v>
      </c>
      <c r="AC203">
        <f>SUMPRODUCT(DB_HighSOF[[#This Row],[Act01]:[Act12]],$P$4:$AA$4)/valUnits2</f>
        <v>0.21250000000000002</v>
      </c>
      <c r="AD203">
        <f>DB_HighSOF[[#This Row],[Actual]]-DB_HighSOF[[#This Row],[Plan]]</f>
        <v>-6.0188999999999993E-2</v>
      </c>
      <c r="AE203">
        <f>IF(DB_HighSOF[[#This Row],[Plan]]&lt;&gt;0,DB_HighSOF[[#This Row],[Actual]]/DB_HighSOF[[#This Row],[Plan]],1.000011000011)</f>
        <v>0.77927602506885141</v>
      </c>
    </row>
    <row r="204" spans="1:31" hidden="1" x14ac:dyDescent="0.2">
      <c r="A204">
        <f>SUBTOTAL(3,$B$6:B204)</f>
        <v>59</v>
      </c>
      <c r="B204" t="s">
        <v>343</v>
      </c>
      <c r="C204" t="s">
        <v>873</v>
      </c>
      <c r="F204">
        <v>-34974.351000000002</v>
      </c>
      <c r="R204">
        <v>-34749.879999999997</v>
      </c>
      <c r="AB204">
        <f>SUMPRODUCT(DB_HighSOF[[#This Row],[Plan01]:[Plan12]],$D$4:$O$4)/valUnits2</f>
        <v>-34.974351000000006</v>
      </c>
      <c r="AC204">
        <f>SUMPRODUCT(DB_HighSOF[[#This Row],[Act01]:[Act12]],$P$4:$AA$4)/valUnits2</f>
        <v>-34.749879999999997</v>
      </c>
      <c r="AD204">
        <f>DB_HighSOF[[#This Row],[Actual]]-DB_HighSOF[[#This Row],[Plan]]</f>
        <v>0.2244710000000083</v>
      </c>
      <c r="AE204">
        <f>IF(DB_HighSOF[[#This Row],[Plan]]&lt;&gt;0,DB_HighSOF[[#This Row],[Actual]]/DB_HighSOF[[#This Row],[Plan]],1.000011000011)</f>
        <v>0.99358183944571243</v>
      </c>
    </row>
    <row r="205" spans="1:31" hidden="1" x14ac:dyDescent="0.2">
      <c r="A205">
        <f>SUBTOTAL(3,$B$6:B205)</f>
        <v>59</v>
      </c>
      <c r="B205" t="s">
        <v>343</v>
      </c>
      <c r="C205" t="s">
        <v>871</v>
      </c>
      <c r="D205">
        <v>308.12</v>
      </c>
      <c r="P205">
        <v>308.12</v>
      </c>
      <c r="AB205">
        <f>SUMPRODUCT(DB_HighSOF[[#This Row],[Plan01]:[Plan12]],$D$4:$O$4)/valUnits2</f>
        <v>0.30812</v>
      </c>
      <c r="AC205">
        <f>SUMPRODUCT(DB_HighSOF[[#This Row],[Act01]:[Act12]],$P$4:$AA$4)/valUnits2</f>
        <v>0.30812</v>
      </c>
      <c r="AD205">
        <f>DB_HighSOF[[#This Row],[Actual]]-DB_HighSOF[[#This Row],[Plan]]</f>
        <v>0</v>
      </c>
      <c r="AE205">
        <f>IF(DB_HighSOF[[#This Row],[Plan]]&lt;&gt;0,DB_HighSOF[[#This Row],[Actual]]/DB_HighSOF[[#This Row],[Plan]],1.000011000011)</f>
        <v>1</v>
      </c>
    </row>
    <row r="206" spans="1:31" hidden="1" x14ac:dyDescent="0.2">
      <c r="A206">
        <f>SUBTOTAL(3,$B$6:B206)</f>
        <v>59</v>
      </c>
      <c r="B206" t="s">
        <v>343</v>
      </c>
      <c r="C206" t="s">
        <v>905</v>
      </c>
      <c r="D206">
        <v>182.39</v>
      </c>
      <c r="E206">
        <v>428.47999999999996</v>
      </c>
      <c r="F206">
        <v>664.37</v>
      </c>
      <c r="G206">
        <v>371.24</v>
      </c>
      <c r="H206">
        <v>-1110.8599999999999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182.39</v>
      </c>
      <c r="Q206">
        <v>428.47999999999996</v>
      </c>
      <c r="R206">
        <v>664.37</v>
      </c>
      <c r="S206">
        <v>371.24</v>
      </c>
      <c r="T206">
        <v>-1110.8600000000001</v>
      </c>
      <c r="U206">
        <v>-19.079999999999998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f>SUMPRODUCT(DB_HighSOF[[#This Row],[Plan01]:[Plan12]],$D$4:$O$4)/valUnits2</f>
        <v>0.53561999999999987</v>
      </c>
      <c r="AC206">
        <f>SUMPRODUCT(DB_HighSOF[[#This Row],[Act01]:[Act12]],$P$4:$AA$4)/valUnits2</f>
        <v>0.51653999999999967</v>
      </c>
      <c r="AD206">
        <f>DB_HighSOF[[#This Row],[Actual]]-DB_HighSOF[[#This Row],[Plan]]</f>
        <v>-1.9080000000000208E-2</v>
      </c>
      <c r="AE206">
        <f>IF(DB_HighSOF[[#This Row],[Plan]]&lt;&gt;0,DB_HighSOF[[#This Row],[Actual]]/DB_HighSOF[[#This Row],[Plan]],1.000011000011)</f>
        <v>0.96437773048056419</v>
      </c>
    </row>
    <row r="207" spans="1:31" hidden="1" x14ac:dyDescent="0.2">
      <c r="A207">
        <f>SUBTOTAL(3,$B$6:B207)</f>
        <v>59</v>
      </c>
      <c r="B207" t="s">
        <v>343</v>
      </c>
      <c r="C207" t="s">
        <v>888</v>
      </c>
      <c r="D207">
        <v>7181.5839999999998</v>
      </c>
      <c r="E207">
        <v>-7864.9250000000002</v>
      </c>
      <c r="F207">
        <v>750.12400000000002</v>
      </c>
      <c r="P207">
        <v>7176.88</v>
      </c>
      <c r="Q207">
        <v>-7955.51</v>
      </c>
      <c r="R207">
        <v>782.23</v>
      </c>
      <c r="AB207">
        <f>SUMPRODUCT(DB_HighSOF[[#This Row],[Plan01]:[Plan12]],$D$4:$O$4)/valUnits2</f>
        <v>6.6782999999999676E-2</v>
      </c>
      <c r="AC207">
        <f>SUMPRODUCT(DB_HighSOF[[#This Row],[Act01]:[Act12]],$P$4:$AA$4)/valUnits2</f>
        <v>3.5999999999999093E-3</v>
      </c>
      <c r="AD207">
        <f>DB_HighSOF[[#This Row],[Actual]]-DB_HighSOF[[#This Row],[Plan]]</f>
        <v>-6.3182999999999767E-2</v>
      </c>
      <c r="AE207">
        <f>IF(DB_HighSOF[[#This Row],[Plan]]&lt;&gt;0,DB_HighSOF[[#This Row],[Actual]]/DB_HighSOF[[#This Row],[Plan]],1.000011000011)</f>
        <v>5.3905934144916019E-2</v>
      </c>
    </row>
    <row r="208" spans="1:31" hidden="1" x14ac:dyDescent="0.2">
      <c r="A208">
        <f>SUBTOTAL(3,$B$6:B208)</f>
        <v>59</v>
      </c>
      <c r="B208" t="s">
        <v>344</v>
      </c>
      <c r="C208" t="s">
        <v>906</v>
      </c>
      <c r="D208">
        <v>149.51</v>
      </c>
      <c r="E208">
        <v>-1449.3440000000001</v>
      </c>
      <c r="P208">
        <v>112.57000000000016</v>
      </c>
      <c r="Q208">
        <v>-1545.67</v>
      </c>
      <c r="AB208">
        <f>SUMPRODUCT(DB_HighSOF[[#This Row],[Plan01]:[Plan12]],$D$4:$O$4)/valUnits2</f>
        <v>-1.2998340000000002</v>
      </c>
      <c r="AC208">
        <f>SUMPRODUCT(DB_HighSOF[[#This Row],[Act01]:[Act12]],$P$4:$AA$4)/valUnits2</f>
        <v>-1.4330999999999998</v>
      </c>
      <c r="AD208">
        <f>DB_HighSOF[[#This Row],[Actual]]-DB_HighSOF[[#This Row],[Plan]]</f>
        <v>-0.13326599999999966</v>
      </c>
      <c r="AE208">
        <f>IF(DB_HighSOF[[#This Row],[Plan]]&lt;&gt;0,DB_HighSOF[[#This Row],[Actual]]/DB_HighSOF[[#This Row],[Plan]],1.000011000011)</f>
        <v>1.1025253993971535</v>
      </c>
    </row>
    <row r="209" spans="1:31" hidden="1" x14ac:dyDescent="0.2">
      <c r="A209">
        <f>SUBTOTAL(3,$B$6:B209)</f>
        <v>59</v>
      </c>
      <c r="B209" t="s">
        <v>345</v>
      </c>
      <c r="C209" t="s">
        <v>848</v>
      </c>
      <c r="D209">
        <v>83.542000000000002</v>
      </c>
      <c r="E209">
        <v>84.763000000000005</v>
      </c>
      <c r="F209">
        <v>544.44200000000001</v>
      </c>
      <c r="G209">
        <v>7541.7800000000007</v>
      </c>
      <c r="H209">
        <v>1660.3120000000001</v>
      </c>
      <c r="P209">
        <v>0</v>
      </c>
      <c r="Q209">
        <v>0</v>
      </c>
      <c r="R209">
        <v>459.67999999999995</v>
      </c>
      <c r="S209">
        <v>3876.5599999999995</v>
      </c>
      <c r="T209">
        <v>1642.5200000000002</v>
      </c>
      <c r="AB209">
        <f>SUMPRODUCT(DB_HighSOF[[#This Row],[Plan01]:[Plan12]],$D$4:$O$4)/valUnits2</f>
        <v>9.9148390000000006</v>
      </c>
      <c r="AC209">
        <f>SUMPRODUCT(DB_HighSOF[[#This Row],[Act01]:[Act12]],$P$4:$AA$4)/valUnits2</f>
        <v>5.9787600000000003</v>
      </c>
      <c r="AD209">
        <f>DB_HighSOF[[#This Row],[Actual]]-DB_HighSOF[[#This Row],[Plan]]</f>
        <v>-3.9360790000000003</v>
      </c>
      <c r="AE209">
        <f>IF(DB_HighSOF[[#This Row],[Plan]]&lt;&gt;0,DB_HighSOF[[#This Row],[Actual]]/DB_HighSOF[[#This Row],[Plan]],1.000011000011)</f>
        <v>0.60301130457085583</v>
      </c>
    </row>
    <row r="210" spans="1:31" hidden="1" x14ac:dyDescent="0.2">
      <c r="A210">
        <f>SUBTOTAL(3,$B$6:B210)</f>
        <v>59</v>
      </c>
      <c r="B210" t="s">
        <v>345</v>
      </c>
      <c r="C210" t="s">
        <v>887</v>
      </c>
      <c r="D210">
        <v>383.459</v>
      </c>
      <c r="E210">
        <v>1555.423</v>
      </c>
      <c r="F210">
        <v>5800.7929999999988</v>
      </c>
      <c r="G210">
        <v>6355.0380000000005</v>
      </c>
      <c r="H210">
        <v>-972.90999999999985</v>
      </c>
      <c r="P210">
        <v>383.46</v>
      </c>
      <c r="Q210">
        <v>1555.41</v>
      </c>
      <c r="R210">
        <v>5774.93</v>
      </c>
      <c r="S210">
        <v>6298.74</v>
      </c>
      <c r="T210">
        <v>-961.04000000000019</v>
      </c>
      <c r="AB210">
        <f>SUMPRODUCT(DB_HighSOF[[#This Row],[Plan01]:[Plan12]],$D$4:$O$4)/valUnits2</f>
        <v>13.121803</v>
      </c>
      <c r="AC210">
        <f>SUMPRODUCT(DB_HighSOF[[#This Row],[Act01]:[Act12]],$P$4:$AA$4)/valUnits2</f>
        <v>13.051500000000001</v>
      </c>
      <c r="AD210">
        <f>DB_HighSOF[[#This Row],[Actual]]-DB_HighSOF[[#This Row],[Plan]]</f>
        <v>-7.0302999999999116E-2</v>
      </c>
      <c r="AE210">
        <f>IF(DB_HighSOF[[#This Row],[Plan]]&lt;&gt;0,DB_HighSOF[[#This Row],[Actual]]/DB_HighSOF[[#This Row],[Plan]],1.000011000011)</f>
        <v>0.99464227591284526</v>
      </c>
    </row>
    <row r="211" spans="1:31" hidden="1" x14ac:dyDescent="0.2">
      <c r="A211">
        <f>SUBTOTAL(3,$B$6:B211)</f>
        <v>59</v>
      </c>
      <c r="B211" t="s">
        <v>345</v>
      </c>
      <c r="C211" t="s">
        <v>907</v>
      </c>
      <c r="D211">
        <v>2101.1689999999999</v>
      </c>
      <c r="E211">
        <v>1132.094000000001</v>
      </c>
      <c r="F211">
        <v>0</v>
      </c>
      <c r="G211">
        <v>-97.852000000000004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2072.52</v>
      </c>
      <c r="Q211">
        <v>1098.71</v>
      </c>
      <c r="R211">
        <v>0</v>
      </c>
      <c r="S211">
        <v>-100.25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f>SUMPRODUCT(DB_HighSOF[[#This Row],[Plan01]:[Plan12]],$D$4:$O$4)/valUnits2</f>
        <v>3.1354110000000008</v>
      </c>
      <c r="AC211">
        <f>SUMPRODUCT(DB_HighSOF[[#This Row],[Act01]:[Act12]],$P$4:$AA$4)/valUnits2</f>
        <v>3.07098</v>
      </c>
      <c r="AD211">
        <f>DB_HighSOF[[#This Row],[Actual]]-DB_HighSOF[[#This Row],[Plan]]</f>
        <v>-6.4431000000000793E-2</v>
      </c>
      <c r="AE211">
        <f>IF(DB_HighSOF[[#This Row],[Plan]]&lt;&gt;0,DB_HighSOF[[#This Row],[Actual]]/DB_HighSOF[[#This Row],[Plan]],1.000011000011)</f>
        <v>0.97945054093386774</v>
      </c>
    </row>
    <row r="212" spans="1:31" hidden="1" x14ac:dyDescent="0.2">
      <c r="A212">
        <f>SUBTOTAL(3,$B$6:B212)</f>
        <v>59</v>
      </c>
      <c r="B212" t="s">
        <v>345</v>
      </c>
      <c r="C212" t="s">
        <v>932</v>
      </c>
      <c r="G212">
        <v>14942.26</v>
      </c>
      <c r="H212">
        <v>1721.943</v>
      </c>
      <c r="S212">
        <v>14988.399999999998</v>
      </c>
      <c r="T212">
        <v>1855.28</v>
      </c>
      <c r="AB212">
        <f>SUMPRODUCT(DB_HighSOF[[#This Row],[Plan01]:[Plan12]],$D$4:$O$4)/valUnits2</f>
        <v>16.664203000000001</v>
      </c>
      <c r="AC212">
        <f>SUMPRODUCT(DB_HighSOF[[#This Row],[Act01]:[Act12]],$P$4:$AA$4)/valUnits2</f>
        <v>16.843679999999996</v>
      </c>
      <c r="AD212">
        <f>DB_HighSOF[[#This Row],[Actual]]-DB_HighSOF[[#This Row],[Plan]]</f>
        <v>0.179476999999995</v>
      </c>
      <c r="AE212">
        <f>IF(DB_HighSOF[[#This Row],[Plan]]&lt;&gt;0,DB_HighSOF[[#This Row],[Actual]]/DB_HighSOF[[#This Row],[Plan]],1.000011000011)</f>
        <v>1.0107702120527453</v>
      </c>
    </row>
    <row r="213" spans="1:31" hidden="1" x14ac:dyDescent="0.2">
      <c r="A213">
        <f>SUBTOTAL(3,$B$6:B213)</f>
        <v>59</v>
      </c>
      <c r="B213" t="s">
        <v>346</v>
      </c>
      <c r="C213" t="s">
        <v>900</v>
      </c>
      <c r="F213">
        <v>-9.4999999996630891E-2</v>
      </c>
      <c r="R213">
        <v>-9.000000000730779E-2</v>
      </c>
      <c r="AB213">
        <f>SUMPRODUCT(DB_HighSOF[[#This Row],[Plan01]:[Plan12]],$D$4:$O$4)/valUnits2</f>
        <v>-9.4999999996630888E-5</v>
      </c>
      <c r="AC213">
        <f>SUMPRODUCT(DB_HighSOF[[#This Row],[Act01]:[Act12]],$P$4:$AA$4)/valUnits2</f>
        <v>-9.0000000007307786E-5</v>
      </c>
      <c r="AD213">
        <f>DB_HighSOF[[#This Row],[Actual]]-DB_HighSOF[[#This Row],[Plan]]</f>
        <v>4.9999999893231018E-6</v>
      </c>
      <c r="AE213">
        <f>IF(DB_HighSOF[[#This Row],[Plan]]&lt;&gt;0,DB_HighSOF[[#This Row],[Actual]]/DB_HighSOF[[#This Row],[Plan]],1.000011000011)</f>
        <v>0.94736842116315345</v>
      </c>
    </row>
    <row r="214" spans="1:31" hidden="1" x14ac:dyDescent="0.2">
      <c r="A214">
        <f>SUBTOTAL(3,$B$6:B214)</f>
        <v>59</v>
      </c>
      <c r="B214" t="s">
        <v>346</v>
      </c>
      <c r="C214" t="s">
        <v>905</v>
      </c>
      <c r="D214">
        <v>-2459.02</v>
      </c>
      <c r="E214">
        <v>615.39</v>
      </c>
      <c r="F214">
        <v>0</v>
      </c>
      <c r="G214">
        <v>0</v>
      </c>
      <c r="H214">
        <v>1917.8700000000003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-2459.02</v>
      </c>
      <c r="Q214">
        <v>615.39</v>
      </c>
      <c r="R214">
        <v>0</v>
      </c>
      <c r="S214">
        <v>0</v>
      </c>
      <c r="T214">
        <v>1917.8700000000003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f>SUMPRODUCT(DB_HighSOF[[#This Row],[Plan01]:[Plan12]],$D$4:$O$4)/valUnits2</f>
        <v>7.4240000000000236E-2</v>
      </c>
      <c r="AC214">
        <f>SUMPRODUCT(DB_HighSOF[[#This Row],[Act01]:[Act12]],$P$4:$AA$4)/valUnits2</f>
        <v>7.4240000000000236E-2</v>
      </c>
      <c r="AD214">
        <f>DB_HighSOF[[#This Row],[Actual]]-DB_HighSOF[[#This Row],[Plan]]</f>
        <v>0</v>
      </c>
      <c r="AE214">
        <f>IF(DB_HighSOF[[#This Row],[Plan]]&lt;&gt;0,DB_HighSOF[[#This Row],[Actual]]/DB_HighSOF[[#This Row],[Plan]],1.000011000011)</f>
        <v>1</v>
      </c>
    </row>
    <row r="215" spans="1:31" hidden="1" x14ac:dyDescent="0.2">
      <c r="A215">
        <f>SUBTOTAL(3,$B$6:B215)</f>
        <v>59</v>
      </c>
      <c r="B215" t="s">
        <v>346</v>
      </c>
      <c r="C215" t="s">
        <v>925</v>
      </c>
      <c r="D215">
        <v>6819.9470000000001</v>
      </c>
      <c r="E215">
        <v>-3413.87</v>
      </c>
      <c r="F215">
        <v>0</v>
      </c>
      <c r="G215">
        <v>-3348.2700000000004</v>
      </c>
      <c r="H215">
        <v>580.32799999999997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6736.45</v>
      </c>
      <c r="Q215">
        <v>-3322.34</v>
      </c>
      <c r="R215">
        <v>0</v>
      </c>
      <c r="S215">
        <v>-3411.53</v>
      </c>
      <c r="T215">
        <v>583.55000000000007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f>SUMPRODUCT(DB_HighSOF[[#This Row],[Plan01]:[Plan12]],$D$4:$O$4)/valUnits2</f>
        <v>0.63813499999999979</v>
      </c>
      <c r="AC215">
        <f>SUMPRODUCT(DB_HighSOF[[#This Row],[Act01]:[Act12]],$P$4:$AA$4)/valUnits2</f>
        <v>0.5861299999999996</v>
      </c>
      <c r="AD215">
        <f>DB_HighSOF[[#This Row],[Actual]]-DB_HighSOF[[#This Row],[Plan]]</f>
        <v>-5.200500000000019E-2</v>
      </c>
      <c r="AE215">
        <f>IF(DB_HighSOF[[#This Row],[Plan]]&lt;&gt;0,DB_HighSOF[[#This Row],[Actual]]/DB_HighSOF[[#This Row],[Plan]],1.000011000011)</f>
        <v>0.91850470511725546</v>
      </c>
    </row>
    <row r="216" spans="1:31" hidden="1" x14ac:dyDescent="0.2">
      <c r="A216">
        <f>SUBTOTAL(3,$B$6:B216)</f>
        <v>59</v>
      </c>
      <c r="B216" t="s">
        <v>348</v>
      </c>
      <c r="C216" t="s">
        <v>870</v>
      </c>
      <c r="D216">
        <v>0</v>
      </c>
      <c r="G216">
        <v>0</v>
      </c>
      <c r="J216">
        <v>0</v>
      </c>
      <c r="M216">
        <v>0</v>
      </c>
      <c r="P216">
        <v>0</v>
      </c>
      <c r="S216">
        <v>0</v>
      </c>
      <c r="V216">
        <v>0</v>
      </c>
      <c r="Y216">
        <v>0</v>
      </c>
      <c r="AB216">
        <f>SUMPRODUCT(DB_HighSOF[[#This Row],[Plan01]:[Plan12]],$D$4:$O$4)/valUnits2</f>
        <v>0</v>
      </c>
      <c r="AC216">
        <f>SUMPRODUCT(DB_HighSOF[[#This Row],[Act01]:[Act12]],$P$4:$AA$4)/valUnits2</f>
        <v>0</v>
      </c>
      <c r="AD216">
        <f>DB_HighSOF[[#This Row],[Actual]]-DB_HighSOF[[#This Row],[Plan]]</f>
        <v>0</v>
      </c>
      <c r="AE216">
        <f>IF(DB_HighSOF[[#This Row],[Plan]]&lt;&gt;0,DB_HighSOF[[#This Row],[Actual]]/DB_HighSOF[[#This Row],[Plan]],1.000011000011)</f>
        <v>1.0000110000110001</v>
      </c>
    </row>
    <row r="217" spans="1:31" hidden="1" x14ac:dyDescent="0.2">
      <c r="A217">
        <f>SUBTOTAL(3,$B$6:B217)</f>
        <v>59</v>
      </c>
      <c r="B217" t="s">
        <v>348</v>
      </c>
      <c r="C217" t="s">
        <v>905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f>SUMPRODUCT(DB_HighSOF[[#This Row],[Plan01]:[Plan12]],$D$4:$O$4)/valUnits2</f>
        <v>0</v>
      </c>
      <c r="AC217">
        <f>SUMPRODUCT(DB_HighSOF[[#This Row],[Act01]:[Act12]],$P$4:$AA$4)/valUnits2</f>
        <v>0</v>
      </c>
      <c r="AD217">
        <f>DB_HighSOF[[#This Row],[Actual]]-DB_HighSOF[[#This Row],[Plan]]</f>
        <v>0</v>
      </c>
      <c r="AE217">
        <f>IF(DB_HighSOF[[#This Row],[Plan]]&lt;&gt;0,DB_HighSOF[[#This Row],[Actual]]/DB_HighSOF[[#This Row],[Plan]],1.000011000011)</f>
        <v>1.0000110000110001</v>
      </c>
    </row>
    <row r="218" spans="1:31" hidden="1" x14ac:dyDescent="0.2">
      <c r="A218">
        <f>SUBTOTAL(3,$B$6:B218)</f>
        <v>59</v>
      </c>
      <c r="B218" t="s">
        <v>348</v>
      </c>
      <c r="C218" t="s">
        <v>352</v>
      </c>
      <c r="G218">
        <v>0</v>
      </c>
      <c r="H218">
        <v>0</v>
      </c>
      <c r="S218">
        <v>0</v>
      </c>
      <c r="T218">
        <v>0</v>
      </c>
      <c r="AB218">
        <f>SUMPRODUCT(DB_HighSOF[[#This Row],[Plan01]:[Plan12]],$D$4:$O$4)/valUnits2</f>
        <v>0</v>
      </c>
      <c r="AC218">
        <f>SUMPRODUCT(DB_HighSOF[[#This Row],[Act01]:[Act12]],$P$4:$AA$4)/valUnits2</f>
        <v>0</v>
      </c>
      <c r="AD218">
        <f>DB_HighSOF[[#This Row],[Actual]]-DB_HighSOF[[#This Row],[Plan]]</f>
        <v>0</v>
      </c>
      <c r="AE218">
        <f>IF(DB_HighSOF[[#This Row],[Plan]]&lt;&gt;0,DB_HighSOF[[#This Row],[Actual]]/DB_HighSOF[[#This Row],[Plan]],1.000011000011)</f>
        <v>1.0000110000110001</v>
      </c>
    </row>
    <row r="219" spans="1:31" hidden="1" x14ac:dyDescent="0.2">
      <c r="A219">
        <f>SUBTOTAL(3,$B$6:B219)</f>
        <v>59</v>
      </c>
      <c r="B219" t="s">
        <v>348</v>
      </c>
      <c r="C219" t="s">
        <v>914</v>
      </c>
      <c r="F219">
        <v>559.72</v>
      </c>
      <c r="R219">
        <v>559.72</v>
      </c>
      <c r="AB219">
        <f>SUMPRODUCT(DB_HighSOF[[#This Row],[Plan01]:[Plan12]],$D$4:$O$4)/valUnits2</f>
        <v>0.55972</v>
      </c>
      <c r="AC219">
        <f>SUMPRODUCT(DB_HighSOF[[#This Row],[Act01]:[Act12]],$P$4:$AA$4)/valUnits2</f>
        <v>0.55972</v>
      </c>
      <c r="AD219">
        <f>DB_HighSOF[[#This Row],[Actual]]-DB_HighSOF[[#This Row],[Plan]]</f>
        <v>0</v>
      </c>
      <c r="AE219">
        <f>IF(DB_HighSOF[[#This Row],[Plan]]&lt;&gt;0,DB_HighSOF[[#This Row],[Actual]]/DB_HighSOF[[#This Row],[Plan]],1.000011000011)</f>
        <v>1</v>
      </c>
    </row>
    <row r="220" spans="1:31" hidden="1" x14ac:dyDescent="0.2">
      <c r="A220">
        <f>SUBTOTAL(3,$B$6:B220)</f>
        <v>59</v>
      </c>
      <c r="B220" t="s">
        <v>348</v>
      </c>
      <c r="C220" t="s">
        <v>920</v>
      </c>
      <c r="H220">
        <v>774.19</v>
      </c>
      <c r="T220">
        <v>774.19</v>
      </c>
      <c r="AB220">
        <f>SUMPRODUCT(DB_HighSOF[[#This Row],[Plan01]:[Plan12]],$D$4:$O$4)/valUnits2</f>
        <v>0.77419000000000004</v>
      </c>
      <c r="AC220">
        <f>SUMPRODUCT(DB_HighSOF[[#This Row],[Act01]:[Act12]],$P$4:$AA$4)/valUnits2</f>
        <v>0.77419000000000004</v>
      </c>
      <c r="AD220">
        <f>DB_HighSOF[[#This Row],[Actual]]-DB_HighSOF[[#This Row],[Plan]]</f>
        <v>0</v>
      </c>
      <c r="AE220">
        <f>IF(DB_HighSOF[[#This Row],[Plan]]&lt;&gt;0,DB_HighSOF[[#This Row],[Actual]]/DB_HighSOF[[#This Row],[Plan]],1.000011000011)</f>
        <v>1</v>
      </c>
    </row>
    <row r="221" spans="1:31" hidden="1" x14ac:dyDescent="0.2">
      <c r="A221">
        <f>SUBTOTAL(3,$B$6:B221)</f>
        <v>59</v>
      </c>
      <c r="B221" t="s">
        <v>348</v>
      </c>
      <c r="C221" t="s">
        <v>921</v>
      </c>
      <c r="D221">
        <v>3501.5160000000001</v>
      </c>
      <c r="E221">
        <v>4336.1219999999994</v>
      </c>
      <c r="F221">
        <v>3894.692</v>
      </c>
      <c r="G221">
        <v>10573.312000000002</v>
      </c>
      <c r="H221">
        <v>4979.51</v>
      </c>
      <c r="P221">
        <v>3501.2799999999997</v>
      </c>
      <c r="Q221">
        <v>4329.84</v>
      </c>
      <c r="R221">
        <v>3869.04</v>
      </c>
      <c r="S221">
        <v>10434.459999999999</v>
      </c>
      <c r="T221">
        <v>4997.68</v>
      </c>
      <c r="AB221">
        <f>SUMPRODUCT(DB_HighSOF[[#This Row],[Plan01]:[Plan12]],$D$4:$O$4)/valUnits2</f>
        <v>27.285152000000004</v>
      </c>
      <c r="AC221">
        <f>SUMPRODUCT(DB_HighSOF[[#This Row],[Act01]:[Act12]],$P$4:$AA$4)/valUnits2</f>
        <v>27.132300000000001</v>
      </c>
      <c r="AD221">
        <f>DB_HighSOF[[#This Row],[Actual]]-DB_HighSOF[[#This Row],[Plan]]</f>
        <v>-0.15285200000000287</v>
      </c>
      <c r="AE221">
        <f>IF(DB_HighSOF[[#This Row],[Plan]]&lt;&gt;0,DB_HighSOF[[#This Row],[Actual]]/DB_HighSOF[[#This Row],[Plan]],1.000011000011)</f>
        <v>0.99439797879813885</v>
      </c>
    </row>
    <row r="222" spans="1:31" hidden="1" x14ac:dyDescent="0.2">
      <c r="A222">
        <f>SUBTOTAL(3,$B$6:B222)</f>
        <v>59</v>
      </c>
      <c r="B222" t="s">
        <v>349</v>
      </c>
      <c r="C222" t="s">
        <v>864</v>
      </c>
      <c r="D222">
        <v>0</v>
      </c>
      <c r="F222">
        <v>22651.826999999997</v>
      </c>
      <c r="G222">
        <v>-63.133000000000003</v>
      </c>
      <c r="P222">
        <v>0</v>
      </c>
      <c r="R222">
        <v>23984.86</v>
      </c>
      <c r="S222">
        <v>-65.539999999999992</v>
      </c>
      <c r="AB222">
        <f>SUMPRODUCT(DB_HighSOF[[#This Row],[Plan01]:[Plan12]],$D$4:$O$4)/valUnits2</f>
        <v>22.588693999999997</v>
      </c>
      <c r="AC222">
        <f>SUMPRODUCT(DB_HighSOF[[#This Row],[Act01]:[Act12]],$P$4:$AA$4)/valUnits2</f>
        <v>23.919319999999999</v>
      </c>
      <c r="AD222">
        <f>DB_HighSOF[[#This Row],[Actual]]-DB_HighSOF[[#This Row],[Plan]]</f>
        <v>1.3306260000000023</v>
      </c>
      <c r="AE222">
        <f>IF(DB_HighSOF[[#This Row],[Plan]]&lt;&gt;0,DB_HighSOF[[#This Row],[Actual]]/DB_HighSOF[[#This Row],[Plan]],1.000011000011)</f>
        <v>1.0589067256389415</v>
      </c>
    </row>
    <row r="223" spans="1:31" hidden="1" x14ac:dyDescent="0.2">
      <c r="A223">
        <f>SUBTOTAL(3,$B$6:B223)</f>
        <v>59</v>
      </c>
      <c r="B223" t="s">
        <v>349</v>
      </c>
      <c r="C223" t="s">
        <v>901</v>
      </c>
      <c r="F223">
        <v>-48.728999999999999</v>
      </c>
      <c r="R223">
        <v>71.91</v>
      </c>
      <c r="AB223">
        <f>SUMPRODUCT(DB_HighSOF[[#This Row],[Plan01]:[Plan12]],$D$4:$O$4)/valUnits2</f>
        <v>-4.8729000000000001E-2</v>
      </c>
      <c r="AC223">
        <f>SUMPRODUCT(DB_HighSOF[[#This Row],[Act01]:[Act12]],$P$4:$AA$4)/valUnits2</f>
        <v>7.1910000000000002E-2</v>
      </c>
      <c r="AD223">
        <f>DB_HighSOF[[#This Row],[Actual]]-DB_HighSOF[[#This Row],[Plan]]</f>
        <v>0.120639</v>
      </c>
      <c r="AE223">
        <f>IF(DB_HighSOF[[#This Row],[Plan]]&lt;&gt;0,DB_HighSOF[[#This Row],[Actual]]/DB_HighSOF[[#This Row],[Plan]],1.000011000011)</f>
        <v>-1.4757126146647788</v>
      </c>
    </row>
    <row r="224" spans="1:31" hidden="1" x14ac:dyDescent="0.2">
      <c r="A224">
        <f>SUBTOTAL(3,$B$6:B224)</f>
        <v>59</v>
      </c>
      <c r="B224" t="s">
        <v>349</v>
      </c>
      <c r="C224" t="s">
        <v>907</v>
      </c>
      <c r="D224">
        <v>-188.38499999999999</v>
      </c>
      <c r="E224">
        <v>135.77099999999999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-182.6</v>
      </c>
      <c r="Q224">
        <v>216.58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f>SUMPRODUCT(DB_HighSOF[[#This Row],[Plan01]:[Plan12]],$D$4:$O$4)/valUnits2</f>
        <v>-5.2614000000000001E-2</v>
      </c>
      <c r="AC224">
        <f>SUMPRODUCT(DB_HighSOF[[#This Row],[Act01]:[Act12]],$P$4:$AA$4)/valUnits2</f>
        <v>3.3980000000000017E-2</v>
      </c>
      <c r="AD224">
        <f>DB_HighSOF[[#This Row],[Actual]]-DB_HighSOF[[#This Row],[Plan]]</f>
        <v>8.6594000000000018E-2</v>
      </c>
      <c r="AE224">
        <f>IF(DB_HighSOF[[#This Row],[Plan]]&lt;&gt;0,DB_HighSOF[[#This Row],[Actual]]/DB_HighSOF[[#This Row],[Plan]],1.000011000011)</f>
        <v>-0.64583570912684873</v>
      </c>
    </row>
    <row r="225" spans="1:31" hidden="1" x14ac:dyDescent="0.2">
      <c r="A225">
        <f>SUBTOTAL(3,$B$6:B225)</f>
        <v>59</v>
      </c>
      <c r="B225" t="s">
        <v>349</v>
      </c>
      <c r="C225" t="s">
        <v>893</v>
      </c>
      <c r="D225">
        <v>437.839</v>
      </c>
      <c r="E225">
        <v>0</v>
      </c>
      <c r="F225">
        <v>1069.7939999999999</v>
      </c>
      <c r="P225">
        <v>436.6</v>
      </c>
      <c r="Q225">
        <v>0</v>
      </c>
      <c r="R225">
        <v>1110.4899999999998</v>
      </c>
      <c r="AB225">
        <f>SUMPRODUCT(DB_HighSOF[[#This Row],[Plan01]:[Plan12]],$D$4:$O$4)/valUnits2</f>
        <v>1.5076329999999998</v>
      </c>
      <c r="AC225">
        <f>SUMPRODUCT(DB_HighSOF[[#This Row],[Act01]:[Act12]],$P$4:$AA$4)/valUnits2</f>
        <v>1.5470899999999996</v>
      </c>
      <c r="AD225">
        <f>DB_HighSOF[[#This Row],[Actual]]-DB_HighSOF[[#This Row],[Plan]]</f>
        <v>3.9456999999999853E-2</v>
      </c>
      <c r="AE225">
        <f>IF(DB_HighSOF[[#This Row],[Plan]]&lt;&gt;0,DB_HighSOF[[#This Row],[Actual]]/DB_HighSOF[[#This Row],[Plan]],1.000011000011)</f>
        <v>1.0261714886845803</v>
      </c>
    </row>
    <row r="226" spans="1:31" hidden="1" x14ac:dyDescent="0.2">
      <c r="A226">
        <f>SUBTOTAL(3,$B$6:B226)</f>
        <v>59</v>
      </c>
      <c r="B226" t="s">
        <v>349</v>
      </c>
      <c r="C226" t="s">
        <v>844</v>
      </c>
      <c r="D226">
        <v>0</v>
      </c>
      <c r="E226">
        <v>0</v>
      </c>
      <c r="F226">
        <v>47542.697999999997</v>
      </c>
      <c r="P226">
        <v>0</v>
      </c>
      <c r="Q226">
        <v>0</v>
      </c>
      <c r="R226">
        <v>47549.440000000002</v>
      </c>
      <c r="AB226">
        <f>SUMPRODUCT(DB_HighSOF[[#This Row],[Plan01]:[Plan12]],$D$4:$O$4)/valUnits2</f>
        <v>47.542697999999994</v>
      </c>
      <c r="AC226">
        <f>SUMPRODUCT(DB_HighSOF[[#This Row],[Act01]:[Act12]],$P$4:$AA$4)/valUnits2</f>
        <v>47.549440000000004</v>
      </c>
      <c r="AD226">
        <f>DB_HighSOF[[#This Row],[Actual]]-DB_HighSOF[[#This Row],[Plan]]</f>
        <v>6.7420000000097957E-3</v>
      </c>
      <c r="AE226">
        <f>IF(DB_HighSOF[[#This Row],[Plan]]&lt;&gt;0,DB_HighSOF[[#This Row],[Actual]]/DB_HighSOF[[#This Row],[Plan]],1.000011000011)</f>
        <v>1.0001418093689174</v>
      </c>
    </row>
    <row r="227" spans="1:31" hidden="1" x14ac:dyDescent="0.2">
      <c r="A227">
        <f>SUBTOTAL(3,$B$6:B227)</f>
        <v>59</v>
      </c>
      <c r="B227" t="s">
        <v>349</v>
      </c>
      <c r="C227" t="s">
        <v>936</v>
      </c>
      <c r="F227">
        <v>664</v>
      </c>
      <c r="R227">
        <v>638.44000000000005</v>
      </c>
      <c r="AB227">
        <f>SUMPRODUCT(DB_HighSOF[[#This Row],[Plan01]:[Plan12]],$D$4:$O$4)/valUnits2</f>
        <v>0.66400000000000003</v>
      </c>
      <c r="AC227">
        <f>SUMPRODUCT(DB_HighSOF[[#This Row],[Act01]:[Act12]],$P$4:$AA$4)/valUnits2</f>
        <v>0.63844000000000001</v>
      </c>
      <c r="AD227">
        <f>DB_HighSOF[[#This Row],[Actual]]-DB_HighSOF[[#This Row],[Plan]]</f>
        <v>-2.5560000000000027E-2</v>
      </c>
      <c r="AE227">
        <f>IF(DB_HighSOF[[#This Row],[Plan]]&lt;&gt;0,DB_HighSOF[[#This Row],[Actual]]/DB_HighSOF[[#This Row],[Plan]],1.000011000011)</f>
        <v>0.96150602409638553</v>
      </c>
    </row>
    <row r="228" spans="1:31" hidden="1" x14ac:dyDescent="0.2">
      <c r="A228">
        <f>SUBTOTAL(3,$B$6:B228)</f>
        <v>59</v>
      </c>
      <c r="B228" t="s">
        <v>350</v>
      </c>
      <c r="C228" t="s">
        <v>845</v>
      </c>
      <c r="H228">
        <v>222.23000000000002</v>
      </c>
      <c r="T228">
        <v>222.23</v>
      </c>
      <c r="AB228">
        <f>SUMPRODUCT(DB_HighSOF[[#This Row],[Plan01]:[Plan12]],$D$4:$O$4)/valUnits2</f>
        <v>0.22223000000000001</v>
      </c>
      <c r="AC228">
        <f>SUMPRODUCT(DB_HighSOF[[#This Row],[Act01]:[Act12]],$P$4:$AA$4)/valUnits2</f>
        <v>0.22222999999999998</v>
      </c>
      <c r="AD228">
        <f>DB_HighSOF[[#This Row],[Actual]]-DB_HighSOF[[#This Row],[Plan]]</f>
        <v>0</v>
      </c>
      <c r="AE228">
        <f>IF(DB_HighSOF[[#This Row],[Plan]]&lt;&gt;0,DB_HighSOF[[#This Row],[Actual]]/DB_HighSOF[[#This Row],[Plan]],1.000011000011)</f>
        <v>0.99999999999999989</v>
      </c>
    </row>
    <row r="229" spans="1:31" hidden="1" x14ac:dyDescent="0.2">
      <c r="A229">
        <f>SUBTOTAL(3,$B$6:B229)</f>
        <v>59</v>
      </c>
      <c r="B229" t="s">
        <v>350</v>
      </c>
      <c r="C229" t="s">
        <v>848</v>
      </c>
      <c r="G229">
        <v>93.325999999999993</v>
      </c>
      <c r="S229">
        <v>92.75</v>
      </c>
      <c r="AB229">
        <f>SUMPRODUCT(DB_HighSOF[[#This Row],[Plan01]:[Plan12]],$D$4:$O$4)/valUnits2</f>
        <v>9.3325999999999992E-2</v>
      </c>
      <c r="AC229">
        <f>SUMPRODUCT(DB_HighSOF[[#This Row],[Act01]:[Act12]],$P$4:$AA$4)/valUnits2</f>
        <v>9.2749999999999999E-2</v>
      </c>
      <c r="AD229">
        <f>DB_HighSOF[[#This Row],[Actual]]-DB_HighSOF[[#This Row],[Plan]]</f>
        <v>-5.7599999999999318E-4</v>
      </c>
      <c r="AE229">
        <f>IF(DB_HighSOF[[#This Row],[Plan]]&lt;&gt;0,DB_HighSOF[[#This Row],[Actual]]/DB_HighSOF[[#This Row],[Plan]],1.000011000011)</f>
        <v>0.9938280864925102</v>
      </c>
    </row>
    <row r="230" spans="1:31" hidden="1" x14ac:dyDescent="0.2">
      <c r="A230">
        <f>SUBTOTAL(3,$B$6:B230)</f>
        <v>59</v>
      </c>
      <c r="B230" t="s">
        <v>350</v>
      </c>
      <c r="C230" t="s">
        <v>852</v>
      </c>
      <c r="D230">
        <v>-201.078</v>
      </c>
      <c r="E230">
        <v>268.34199999999998</v>
      </c>
      <c r="P230">
        <v>-202.13</v>
      </c>
      <c r="Q230">
        <v>279.02</v>
      </c>
      <c r="AB230">
        <f>SUMPRODUCT(DB_HighSOF[[#This Row],[Plan01]:[Plan12]],$D$4:$O$4)/valUnits2</f>
        <v>6.7263999999999977E-2</v>
      </c>
      <c r="AC230">
        <f>SUMPRODUCT(DB_HighSOF[[#This Row],[Act01]:[Act12]],$P$4:$AA$4)/valUnits2</f>
        <v>7.6889999999999986E-2</v>
      </c>
      <c r="AD230">
        <f>DB_HighSOF[[#This Row],[Actual]]-DB_HighSOF[[#This Row],[Plan]]</f>
        <v>9.6260000000000095E-3</v>
      </c>
      <c r="AE230">
        <f>IF(DB_HighSOF[[#This Row],[Plan]]&lt;&gt;0,DB_HighSOF[[#This Row],[Actual]]/DB_HighSOF[[#This Row],[Plan]],1.000011000011)</f>
        <v>1.1431077545195054</v>
      </c>
    </row>
    <row r="231" spans="1:31" hidden="1" x14ac:dyDescent="0.2">
      <c r="A231">
        <f>SUBTOTAL(3,$B$6:B231)</f>
        <v>59</v>
      </c>
      <c r="B231" t="s">
        <v>350</v>
      </c>
      <c r="C231" t="s">
        <v>857</v>
      </c>
      <c r="D231">
        <v>0</v>
      </c>
      <c r="E231">
        <v>5789.56</v>
      </c>
      <c r="F231">
        <v>582</v>
      </c>
      <c r="H231">
        <v>-6953.56</v>
      </c>
      <c r="P231">
        <v>0</v>
      </c>
      <c r="Q231">
        <v>5789.56</v>
      </c>
      <c r="R231">
        <v>582</v>
      </c>
      <c r="T231">
        <v>-6953.5599999999995</v>
      </c>
      <c r="AB231">
        <f>SUMPRODUCT(DB_HighSOF[[#This Row],[Plan01]:[Plan12]],$D$4:$O$4)/valUnits2</f>
        <v>-0.58199999999999996</v>
      </c>
      <c r="AC231">
        <f>SUMPRODUCT(DB_HighSOF[[#This Row],[Act01]:[Act12]],$P$4:$AA$4)/valUnits2</f>
        <v>-0.58199999999999907</v>
      </c>
      <c r="AD231">
        <f>DB_HighSOF[[#This Row],[Actual]]-DB_HighSOF[[#This Row],[Plan]]</f>
        <v>8.8817841970012523E-16</v>
      </c>
      <c r="AE231">
        <f>IF(DB_HighSOF[[#This Row],[Plan]]&lt;&gt;0,DB_HighSOF[[#This Row],[Actual]]/DB_HighSOF[[#This Row],[Plan]],1.000011000011)</f>
        <v>0.99999999999999845</v>
      </c>
    </row>
    <row r="232" spans="1:31" hidden="1" x14ac:dyDescent="0.2">
      <c r="A232">
        <f>SUBTOTAL(3,$B$6:B232)</f>
        <v>59</v>
      </c>
      <c r="B232" t="s">
        <v>350</v>
      </c>
      <c r="C232" t="s">
        <v>865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f>SUMPRODUCT(DB_HighSOF[[#This Row],[Plan01]:[Plan12]],$D$4:$O$4)/valUnits2</f>
        <v>0</v>
      </c>
      <c r="AC232">
        <f>SUMPRODUCT(DB_HighSOF[[#This Row],[Act01]:[Act12]],$P$4:$AA$4)/valUnits2</f>
        <v>0</v>
      </c>
      <c r="AD232">
        <f>DB_HighSOF[[#This Row],[Actual]]-DB_HighSOF[[#This Row],[Plan]]</f>
        <v>0</v>
      </c>
      <c r="AE232">
        <f>IF(DB_HighSOF[[#This Row],[Plan]]&lt;&gt;0,DB_HighSOF[[#This Row],[Actual]]/DB_HighSOF[[#This Row],[Plan]],1.000011000011)</f>
        <v>1.0000110000110001</v>
      </c>
    </row>
    <row r="233" spans="1:31" hidden="1" x14ac:dyDescent="0.2">
      <c r="A233">
        <f>SUBTOTAL(3,$B$6:B233)</f>
        <v>59</v>
      </c>
      <c r="B233" t="s">
        <v>350</v>
      </c>
      <c r="C233" t="s">
        <v>355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AB233">
        <f>SUMPRODUCT(DB_HighSOF[[#This Row],[Plan01]:[Plan12]],$D$4:$O$4)/valUnits2</f>
        <v>0</v>
      </c>
      <c r="AC233">
        <f>SUMPRODUCT(DB_HighSOF[[#This Row],[Act01]:[Act12]],$P$4:$AA$4)/valUnits2</f>
        <v>0</v>
      </c>
      <c r="AD233">
        <f>DB_HighSOF[[#This Row],[Actual]]-DB_HighSOF[[#This Row],[Plan]]</f>
        <v>0</v>
      </c>
      <c r="AE233">
        <f>IF(DB_HighSOF[[#This Row],[Plan]]&lt;&gt;0,DB_HighSOF[[#This Row],[Actual]]/DB_HighSOF[[#This Row],[Plan]],1.000011000011)</f>
        <v>1.0000110000110001</v>
      </c>
    </row>
    <row r="234" spans="1:31" hidden="1" x14ac:dyDescent="0.2">
      <c r="A234">
        <f>SUBTOTAL(3,$B$6:B234)</f>
        <v>59</v>
      </c>
      <c r="B234" t="s">
        <v>350</v>
      </c>
      <c r="C234" t="s">
        <v>878</v>
      </c>
      <c r="D234">
        <v>0</v>
      </c>
      <c r="E234">
        <v>0</v>
      </c>
      <c r="P234">
        <v>0</v>
      </c>
      <c r="Q234">
        <v>0</v>
      </c>
      <c r="AB234">
        <f>SUMPRODUCT(DB_HighSOF[[#This Row],[Plan01]:[Plan12]],$D$4:$O$4)/valUnits2</f>
        <v>0</v>
      </c>
      <c r="AC234">
        <f>SUMPRODUCT(DB_HighSOF[[#This Row],[Act01]:[Act12]],$P$4:$AA$4)/valUnits2</f>
        <v>0</v>
      </c>
      <c r="AD234">
        <f>DB_HighSOF[[#This Row],[Actual]]-DB_HighSOF[[#This Row],[Plan]]</f>
        <v>0</v>
      </c>
      <c r="AE234">
        <f>IF(DB_HighSOF[[#This Row],[Plan]]&lt;&gt;0,DB_HighSOF[[#This Row],[Actual]]/DB_HighSOF[[#This Row],[Plan]],1.000011000011)</f>
        <v>1.0000110000110001</v>
      </c>
    </row>
    <row r="235" spans="1:31" hidden="1" x14ac:dyDescent="0.2">
      <c r="A235">
        <f>SUBTOTAL(3,$B$6:B235)</f>
        <v>59</v>
      </c>
      <c r="B235" t="s">
        <v>350</v>
      </c>
      <c r="C235" t="s">
        <v>883</v>
      </c>
      <c r="D235">
        <v>1227.6289999999999</v>
      </c>
      <c r="G235">
        <v>3255.2069999999999</v>
      </c>
      <c r="P235">
        <v>1252.51</v>
      </c>
      <c r="S235">
        <v>3212.95</v>
      </c>
      <c r="AB235">
        <f>SUMPRODUCT(DB_HighSOF[[#This Row],[Plan01]:[Plan12]],$D$4:$O$4)/valUnits2</f>
        <v>4.4828359999999989</v>
      </c>
      <c r="AC235">
        <f>SUMPRODUCT(DB_HighSOF[[#This Row],[Act01]:[Act12]],$P$4:$AA$4)/valUnits2</f>
        <v>4.4654600000000002</v>
      </c>
      <c r="AD235">
        <f>DB_HighSOF[[#This Row],[Actual]]-DB_HighSOF[[#This Row],[Plan]]</f>
        <v>-1.7375999999998726E-2</v>
      </c>
      <c r="AE235">
        <f>IF(DB_HighSOF[[#This Row],[Plan]]&lt;&gt;0,DB_HighSOF[[#This Row],[Actual]]/DB_HighSOF[[#This Row],[Plan]],1.000011000011)</f>
        <v>0.99612388229237059</v>
      </c>
    </row>
    <row r="236" spans="1:31" hidden="1" x14ac:dyDescent="0.2">
      <c r="A236">
        <f>SUBTOTAL(3,$B$6:B236)</f>
        <v>59</v>
      </c>
      <c r="B236" t="s">
        <v>350</v>
      </c>
      <c r="C236" t="s">
        <v>899</v>
      </c>
      <c r="E236">
        <v>150.49</v>
      </c>
      <c r="F236">
        <v>1065.2560000000001</v>
      </c>
      <c r="Q236">
        <v>150.01</v>
      </c>
      <c r="R236">
        <v>1057.58</v>
      </c>
      <c r="AB236">
        <f>SUMPRODUCT(DB_HighSOF[[#This Row],[Plan01]:[Plan12]],$D$4:$O$4)/valUnits2</f>
        <v>1.215746</v>
      </c>
      <c r="AC236">
        <f>SUMPRODUCT(DB_HighSOF[[#This Row],[Act01]:[Act12]],$P$4:$AA$4)/valUnits2</f>
        <v>1.2075899999999999</v>
      </c>
      <c r="AD236">
        <f>DB_HighSOF[[#This Row],[Actual]]-DB_HighSOF[[#This Row],[Plan]]</f>
        <v>-8.1560000000000521E-3</v>
      </c>
      <c r="AE236">
        <f>IF(DB_HighSOF[[#This Row],[Plan]]&lt;&gt;0,DB_HighSOF[[#This Row],[Actual]]/DB_HighSOF[[#This Row],[Plan]],1.000011000011)</f>
        <v>0.99329136184696465</v>
      </c>
    </row>
    <row r="237" spans="1:31" hidden="1" x14ac:dyDescent="0.2">
      <c r="A237">
        <f>SUBTOTAL(3,$B$6:B237)</f>
        <v>59</v>
      </c>
      <c r="B237" t="s">
        <v>350</v>
      </c>
      <c r="C237" t="s">
        <v>921</v>
      </c>
      <c r="D237">
        <v>164.34799999999998</v>
      </c>
      <c r="E237">
        <v>221.614</v>
      </c>
      <c r="F237">
        <v>1.3719999999999999</v>
      </c>
      <c r="H237">
        <v>266.995</v>
      </c>
      <c r="P237">
        <v>164.36</v>
      </c>
      <c r="Q237">
        <v>220.39</v>
      </c>
      <c r="R237">
        <v>1.3699999999999999</v>
      </c>
      <c r="T237">
        <v>263.5</v>
      </c>
      <c r="AB237">
        <f>SUMPRODUCT(DB_HighSOF[[#This Row],[Plan01]:[Plan12]],$D$4:$O$4)/valUnits2</f>
        <v>0.65432899999999994</v>
      </c>
      <c r="AC237">
        <f>SUMPRODUCT(DB_HighSOF[[#This Row],[Act01]:[Act12]],$P$4:$AA$4)/valUnits2</f>
        <v>0.64961999999999998</v>
      </c>
      <c r="AD237">
        <f>DB_HighSOF[[#This Row],[Actual]]-DB_HighSOF[[#This Row],[Plan]]</f>
        <v>-4.7089999999999632E-3</v>
      </c>
      <c r="AE237">
        <f>IF(DB_HighSOF[[#This Row],[Plan]]&lt;&gt;0,DB_HighSOF[[#This Row],[Actual]]/DB_HighSOF[[#This Row],[Plan]],1.000011000011)</f>
        <v>0.9928033145405446</v>
      </c>
    </row>
    <row r="238" spans="1:31" hidden="1" x14ac:dyDescent="0.2">
      <c r="A238">
        <f>SUBTOTAL(3,$B$6:B238)</f>
        <v>59</v>
      </c>
      <c r="B238" t="s">
        <v>350</v>
      </c>
      <c r="C238" t="s">
        <v>928</v>
      </c>
      <c r="D238">
        <v>0</v>
      </c>
      <c r="P238">
        <v>0</v>
      </c>
      <c r="AB238">
        <f>SUMPRODUCT(DB_HighSOF[[#This Row],[Plan01]:[Plan12]],$D$4:$O$4)/valUnits2</f>
        <v>0</v>
      </c>
      <c r="AC238">
        <f>SUMPRODUCT(DB_HighSOF[[#This Row],[Act01]:[Act12]],$P$4:$AA$4)/valUnits2</f>
        <v>0</v>
      </c>
      <c r="AD238">
        <f>DB_HighSOF[[#This Row],[Actual]]-DB_HighSOF[[#This Row],[Plan]]</f>
        <v>0</v>
      </c>
      <c r="AE238">
        <f>IF(DB_HighSOF[[#This Row],[Plan]]&lt;&gt;0,DB_HighSOF[[#This Row],[Actual]]/DB_HighSOF[[#This Row],[Plan]],1.000011000011)</f>
        <v>1.0000110000110001</v>
      </c>
    </row>
    <row r="239" spans="1:31" hidden="1" x14ac:dyDescent="0.2">
      <c r="A239">
        <f>SUBTOTAL(3,$B$6:B239)</f>
        <v>59</v>
      </c>
      <c r="B239" t="s">
        <v>350</v>
      </c>
      <c r="C239" t="s">
        <v>933</v>
      </c>
      <c r="D239">
        <v>0</v>
      </c>
      <c r="E239">
        <v>0</v>
      </c>
      <c r="F239">
        <v>0</v>
      </c>
      <c r="G239">
        <v>0</v>
      </c>
      <c r="H239">
        <v>706.89</v>
      </c>
      <c r="I239">
        <v>0</v>
      </c>
      <c r="P239">
        <v>0</v>
      </c>
      <c r="Q239">
        <v>0</v>
      </c>
      <c r="R239">
        <v>0</v>
      </c>
      <c r="S239">
        <v>0</v>
      </c>
      <c r="T239">
        <v>706.89</v>
      </c>
      <c r="U239">
        <v>0</v>
      </c>
      <c r="AB239">
        <f>SUMPRODUCT(DB_HighSOF[[#This Row],[Plan01]:[Plan12]],$D$4:$O$4)/valUnits2</f>
        <v>0.70689000000000002</v>
      </c>
      <c r="AC239">
        <f>SUMPRODUCT(DB_HighSOF[[#This Row],[Act01]:[Act12]],$P$4:$AA$4)/valUnits2</f>
        <v>0.70689000000000002</v>
      </c>
      <c r="AD239">
        <f>DB_HighSOF[[#This Row],[Actual]]-DB_HighSOF[[#This Row],[Plan]]</f>
        <v>0</v>
      </c>
      <c r="AE239">
        <f>IF(DB_HighSOF[[#This Row],[Plan]]&lt;&gt;0,DB_HighSOF[[#This Row],[Actual]]/DB_HighSOF[[#This Row],[Plan]],1.000011000011)</f>
        <v>1</v>
      </c>
    </row>
    <row r="240" spans="1:31" x14ac:dyDescent="0.2">
      <c r="A240">
        <f>SUBTOTAL(3,$B$6:B240)</f>
        <v>60</v>
      </c>
      <c r="B240" t="s">
        <v>1</v>
      </c>
      <c r="C240" t="s">
        <v>367</v>
      </c>
      <c r="D240">
        <v>1909.7419999999997</v>
      </c>
      <c r="E240">
        <v>64419.615999999995</v>
      </c>
      <c r="F240">
        <v>27810.746000000003</v>
      </c>
      <c r="G240">
        <v>34509.28899999999</v>
      </c>
      <c r="H240">
        <v>74811.926999999996</v>
      </c>
      <c r="I240">
        <v>8130.2859999999991</v>
      </c>
      <c r="J240">
        <v>7500.8200000000006</v>
      </c>
      <c r="K240">
        <v>7226.7739999999994</v>
      </c>
      <c r="L240">
        <v>7338.9439999999995</v>
      </c>
      <c r="M240">
        <v>0</v>
      </c>
      <c r="P240">
        <v>1877.9800000000002</v>
      </c>
      <c r="Q240">
        <v>66015.76999999999</v>
      </c>
      <c r="R240">
        <v>28203.75</v>
      </c>
      <c r="S240">
        <v>34231.129999999997</v>
      </c>
      <c r="T240">
        <v>74403.510000000009</v>
      </c>
      <c r="U240">
        <v>6629.3300000000027</v>
      </c>
      <c r="V240">
        <v>0</v>
      </c>
      <c r="W240">
        <v>0</v>
      </c>
      <c r="X240">
        <v>0</v>
      </c>
      <c r="Y240">
        <v>0</v>
      </c>
      <c r="AB240">
        <f>SUMPRODUCT(DB_HighSOF[[#This Row],[Plan01]:[Plan12]],$D$4:$O$4)/valUnits2</f>
        <v>211.59160599999998</v>
      </c>
      <c r="AC240">
        <f>SUMPRODUCT(DB_HighSOF[[#This Row],[Act01]:[Act12]],$P$4:$AA$4)/valUnits2</f>
        <v>211.36147</v>
      </c>
      <c r="AD240">
        <f>DB_HighSOF[[#This Row],[Actual]]-DB_HighSOF[[#This Row],[Plan]]</f>
        <v>-0.23013599999998746</v>
      </c>
      <c r="AE240">
        <f>IF(DB_HighSOF[[#This Row],[Plan]]&lt;&gt;0,DB_HighSOF[[#This Row],[Actual]]/DB_HighSOF[[#This Row],[Plan]],1.000011000011)</f>
        <v>0.99891235761025421</v>
      </c>
    </row>
    <row r="241" spans="1:31" hidden="1" x14ac:dyDescent="0.2">
      <c r="A241">
        <f>SUBTOTAL(3,$B$6:B241)</f>
        <v>60</v>
      </c>
      <c r="B241" t="s">
        <v>343</v>
      </c>
      <c r="C241" t="s">
        <v>931</v>
      </c>
      <c r="D241">
        <v>14371.314</v>
      </c>
      <c r="E241">
        <v>-13696.876</v>
      </c>
      <c r="F241">
        <v>-750.12400000000002</v>
      </c>
      <c r="P241">
        <v>14358.650000000001</v>
      </c>
      <c r="Q241">
        <v>-13854.63</v>
      </c>
      <c r="R241">
        <v>-782.23</v>
      </c>
      <c r="AB241">
        <f>SUMPRODUCT(DB_HighSOF[[#This Row],[Plan01]:[Plan12]],$D$4:$O$4)/valUnits2</f>
        <v>-7.568599999999992E-2</v>
      </c>
      <c r="AC241">
        <f>SUMPRODUCT(DB_HighSOF[[#This Row],[Act01]:[Act12]],$P$4:$AA$4)/valUnits2</f>
        <v>-0.27820999999999774</v>
      </c>
      <c r="AD241">
        <f>DB_HighSOF[[#This Row],[Actual]]-DB_HighSOF[[#This Row],[Plan]]</f>
        <v>-0.20252399999999782</v>
      </c>
      <c r="AE241">
        <f>IF(DB_HighSOF[[#This Row],[Plan]]&lt;&gt;0,DB_HighSOF[[#This Row],[Actual]]/DB_HighSOF[[#This Row],[Plan]],1.000011000011)</f>
        <v>3.6758449382976774</v>
      </c>
    </row>
    <row r="242" spans="1:31" hidden="1" x14ac:dyDescent="0.2">
      <c r="A242">
        <f>SUBTOTAL(3,$B$6:B242)</f>
        <v>60</v>
      </c>
      <c r="B242" t="s">
        <v>350</v>
      </c>
      <c r="C242" t="s">
        <v>895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31.491</v>
      </c>
      <c r="J242">
        <v>31.491</v>
      </c>
      <c r="K242">
        <v>31.491</v>
      </c>
      <c r="L242">
        <v>31.491</v>
      </c>
      <c r="M242">
        <v>31.491</v>
      </c>
      <c r="N242">
        <v>31.491</v>
      </c>
      <c r="O242">
        <v>31.491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1.05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f>SUMPRODUCT(DB_HighSOF[[#This Row],[Plan01]:[Plan12]],$D$4:$O$4)/valUnits2</f>
        <v>3.1490999999999998E-2</v>
      </c>
      <c r="AC242">
        <f>SUMPRODUCT(DB_HighSOF[[#This Row],[Act01]:[Act12]],$P$4:$AA$4)/valUnits2</f>
        <v>1.0500000000000002E-3</v>
      </c>
      <c r="AD242">
        <f>DB_HighSOF[[#This Row],[Actual]]-DB_HighSOF[[#This Row],[Plan]]</f>
        <v>-3.0440999999999999E-2</v>
      </c>
      <c r="AE242">
        <f>IF(DB_HighSOF[[#This Row],[Plan]]&lt;&gt;0,DB_HighSOF[[#This Row],[Actual]]/DB_HighSOF[[#This Row],[Plan]],1.000011000011)</f>
        <v>3.3342859864723261E-2</v>
      </c>
    </row>
    <row r="243" spans="1:31" hidden="1" x14ac:dyDescent="0.2">
      <c r="A243">
        <f>SUBTOTAL(3,$B$6:B243)</f>
        <v>60</v>
      </c>
      <c r="B243" t="s">
        <v>351</v>
      </c>
      <c r="C243" t="s">
        <v>916</v>
      </c>
      <c r="F243">
        <v>0</v>
      </c>
      <c r="G243">
        <v>0</v>
      </c>
      <c r="H243">
        <v>0</v>
      </c>
      <c r="I243">
        <v>125</v>
      </c>
      <c r="J243">
        <v>41.667000000000002</v>
      </c>
      <c r="K243">
        <v>41.667000000000002</v>
      </c>
      <c r="L243">
        <v>41.667000000000002</v>
      </c>
      <c r="M243">
        <v>41.667000000000002</v>
      </c>
      <c r="N243">
        <v>41.667000000000002</v>
      </c>
      <c r="O243">
        <v>41.667000000000002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f>SUMPRODUCT(DB_HighSOF[[#This Row],[Plan01]:[Plan12]],$D$4:$O$4)/valUnits2</f>
        <v>0.125</v>
      </c>
      <c r="AC243">
        <f>SUMPRODUCT(DB_HighSOF[[#This Row],[Act01]:[Act12]],$P$4:$AA$4)/valUnits2</f>
        <v>0</v>
      </c>
      <c r="AD243">
        <f>DB_HighSOF[[#This Row],[Actual]]-DB_HighSOF[[#This Row],[Plan]]</f>
        <v>-0.125</v>
      </c>
      <c r="AE243">
        <f>IF(DB_HighSOF[[#This Row],[Plan]]&lt;&gt;0,DB_HighSOF[[#This Row],[Actual]]/DB_HighSOF[[#This Row],[Plan]],1.000011000011)</f>
        <v>0</v>
      </c>
    </row>
    <row r="244" spans="1:31" hidden="1" x14ac:dyDescent="0.2">
      <c r="A244">
        <f>SUBTOTAL(3,$B$6:B244)</f>
        <v>60</v>
      </c>
      <c r="B244" t="s">
        <v>350</v>
      </c>
      <c r="C244" t="s">
        <v>908</v>
      </c>
      <c r="F244">
        <v>0</v>
      </c>
      <c r="G244">
        <v>0</v>
      </c>
      <c r="H244">
        <v>0</v>
      </c>
      <c r="I244">
        <v>34.979999999999997</v>
      </c>
      <c r="J244">
        <v>34.979999999999997</v>
      </c>
      <c r="K244">
        <v>34.979999999999997</v>
      </c>
      <c r="L244">
        <v>34.979999999999997</v>
      </c>
      <c r="M244">
        <v>34.979999999999997</v>
      </c>
      <c r="N244">
        <v>34.979999999999997</v>
      </c>
      <c r="O244">
        <v>34.979999999999997</v>
      </c>
      <c r="R244">
        <v>0</v>
      </c>
      <c r="S244">
        <v>0</v>
      </c>
      <c r="T244">
        <v>0</v>
      </c>
      <c r="U244">
        <v>0.57999999999999996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f>SUMPRODUCT(DB_HighSOF[[#This Row],[Plan01]:[Plan12]],$D$4:$O$4)/valUnits2</f>
        <v>3.4979999999999997E-2</v>
      </c>
      <c r="AC244">
        <f>SUMPRODUCT(DB_HighSOF[[#This Row],[Act01]:[Act12]],$P$4:$AA$4)/valUnits2</f>
        <v>5.8E-4</v>
      </c>
      <c r="AD244">
        <f>DB_HighSOF[[#This Row],[Actual]]-DB_HighSOF[[#This Row],[Plan]]</f>
        <v>-3.44E-2</v>
      </c>
      <c r="AE244">
        <f>IF(DB_HighSOF[[#This Row],[Plan]]&lt;&gt;0,DB_HighSOF[[#This Row],[Actual]]/DB_HighSOF[[#This Row],[Plan]],1.000011000011)</f>
        <v>1.6580903373356205E-2</v>
      </c>
    </row>
    <row r="245" spans="1:31" hidden="1" x14ac:dyDescent="0.2">
      <c r="A245">
        <f>SUBTOTAL(3,$B$6:B245)</f>
        <v>60</v>
      </c>
      <c r="B245" t="s">
        <v>351</v>
      </c>
      <c r="C245" t="s">
        <v>924</v>
      </c>
      <c r="D245">
        <v>0</v>
      </c>
      <c r="E245">
        <v>0</v>
      </c>
      <c r="F245">
        <v>0</v>
      </c>
      <c r="G245">
        <v>1277.789</v>
      </c>
      <c r="H245">
        <v>1084.578</v>
      </c>
      <c r="I245">
        <v>1540.9730000000002</v>
      </c>
      <c r="J245">
        <v>1540.9730000000002</v>
      </c>
      <c r="K245">
        <v>1540.9730000000002</v>
      </c>
      <c r="L245">
        <v>1540.9730000000002</v>
      </c>
      <c r="M245">
        <v>1540.9730000000002</v>
      </c>
      <c r="N245">
        <v>1540.9730000000002</v>
      </c>
      <c r="O245">
        <v>1540.9730000000002</v>
      </c>
      <c r="P245">
        <v>0</v>
      </c>
      <c r="Q245">
        <v>0</v>
      </c>
      <c r="R245">
        <v>0</v>
      </c>
      <c r="S245">
        <v>1286.55</v>
      </c>
      <c r="T245">
        <v>1081.3399999999999</v>
      </c>
      <c r="U245">
        <v>1338.8700000000001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f>SUMPRODUCT(DB_HighSOF[[#This Row],[Plan01]:[Plan12]],$D$4:$O$4)/valUnits2</f>
        <v>3.90334</v>
      </c>
      <c r="AC245">
        <f>SUMPRODUCT(DB_HighSOF[[#This Row],[Act01]:[Act12]],$P$4:$AA$4)/valUnits2</f>
        <v>3.7067600000000001</v>
      </c>
      <c r="AD245">
        <f>DB_HighSOF[[#This Row],[Actual]]-DB_HighSOF[[#This Row],[Plan]]</f>
        <v>-0.19657999999999998</v>
      </c>
      <c r="AE245">
        <f>IF(DB_HighSOF[[#This Row],[Plan]]&lt;&gt;0,DB_HighSOF[[#This Row],[Actual]]/DB_HighSOF[[#This Row],[Plan]],1.000011000011)</f>
        <v>0.94963800232621298</v>
      </c>
    </row>
    <row r="246" spans="1:31" hidden="1" x14ac:dyDescent="0.2">
      <c r="A246">
        <f>SUBTOTAL(3,$B$6:B246)</f>
        <v>60</v>
      </c>
      <c r="B246" t="s">
        <v>351</v>
      </c>
      <c r="C246" t="s">
        <v>356</v>
      </c>
      <c r="D246">
        <v>0</v>
      </c>
      <c r="E246">
        <v>0</v>
      </c>
      <c r="F246">
        <v>0</v>
      </c>
      <c r="G246">
        <v>1332.9189999999999</v>
      </c>
      <c r="H246">
        <v>913.18700000000013</v>
      </c>
      <c r="I246">
        <v>3240.2379999999998</v>
      </c>
      <c r="P246">
        <v>0</v>
      </c>
      <c r="Q246">
        <v>0</v>
      </c>
      <c r="R246">
        <v>0</v>
      </c>
      <c r="S246">
        <v>1335.7200000000003</v>
      </c>
      <c r="T246">
        <v>948.31</v>
      </c>
      <c r="U246">
        <v>2957.0499999999997</v>
      </c>
      <c r="AB246">
        <f>SUMPRODUCT(DB_HighSOF[[#This Row],[Plan01]:[Plan12]],$D$4:$O$4)/valUnits2</f>
        <v>5.486343999999999</v>
      </c>
      <c r="AC246">
        <f>SUMPRODUCT(DB_HighSOF[[#This Row],[Act01]:[Act12]],$P$4:$AA$4)/valUnits2</f>
        <v>5.2410800000000002</v>
      </c>
      <c r="AD246">
        <f>DB_HighSOF[[#This Row],[Actual]]-DB_HighSOF[[#This Row],[Plan]]</f>
        <v>-0.24526399999999882</v>
      </c>
      <c r="AE246">
        <f>IF(DB_HighSOF[[#This Row],[Plan]]&lt;&gt;0,DB_HighSOF[[#This Row],[Actual]]/DB_HighSOF[[#This Row],[Plan]],1.000011000011)</f>
        <v>0.95529554836517749</v>
      </c>
    </row>
    <row r="247" spans="1:31" hidden="1" x14ac:dyDescent="0.2">
      <c r="A247">
        <f>SUBTOTAL(3,$B$6:B247)</f>
        <v>60</v>
      </c>
      <c r="B247" t="s">
        <v>350</v>
      </c>
      <c r="C247" t="s">
        <v>909</v>
      </c>
      <c r="D247">
        <v>1104.94</v>
      </c>
      <c r="E247">
        <v>1819.4399999999998</v>
      </c>
      <c r="F247">
        <v>1903.72</v>
      </c>
      <c r="G247">
        <v>218.34000000000003</v>
      </c>
      <c r="H247">
        <v>1833.5300000000002</v>
      </c>
      <c r="I247">
        <v>250</v>
      </c>
      <c r="J247">
        <v>250</v>
      </c>
      <c r="K247">
        <v>250</v>
      </c>
      <c r="L247">
        <v>250</v>
      </c>
      <c r="M247">
        <v>250</v>
      </c>
      <c r="N247">
        <v>250</v>
      </c>
      <c r="O247">
        <v>250</v>
      </c>
      <c r="P247">
        <v>1104.94</v>
      </c>
      <c r="Q247">
        <v>1819.4399999999998</v>
      </c>
      <c r="R247">
        <v>1903.7200000000003</v>
      </c>
      <c r="S247">
        <v>218.34000000000003</v>
      </c>
      <c r="T247">
        <v>1833.53</v>
      </c>
      <c r="U247">
        <v>170.59000000000003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f>SUMPRODUCT(DB_HighSOF[[#This Row],[Plan01]:[Plan12]],$D$4:$O$4)/valUnits2</f>
        <v>7.129970000000001</v>
      </c>
      <c r="AC247">
        <f>SUMPRODUCT(DB_HighSOF[[#This Row],[Act01]:[Act12]],$P$4:$AA$4)/valUnits2</f>
        <v>7.0505600000000008</v>
      </c>
      <c r="AD247">
        <f>DB_HighSOF[[#This Row],[Actual]]-DB_HighSOF[[#This Row],[Plan]]</f>
        <v>-7.9410000000000203E-2</v>
      </c>
      <c r="AE247">
        <f>IF(DB_HighSOF[[#This Row],[Plan]]&lt;&gt;0,DB_HighSOF[[#This Row],[Actual]]/DB_HighSOF[[#This Row],[Plan]],1.000011000011)</f>
        <v>0.98886250573284318</v>
      </c>
    </row>
    <row r="248" spans="1:31" hidden="1" x14ac:dyDescent="0.2">
      <c r="A248">
        <f>SUBTOTAL(3,$B$6:B248)</f>
        <v>60</v>
      </c>
      <c r="B248" t="s">
        <v>350</v>
      </c>
      <c r="C248" t="s">
        <v>365</v>
      </c>
      <c r="G248">
        <v>0</v>
      </c>
      <c r="H248">
        <v>0</v>
      </c>
      <c r="I248">
        <v>104.051</v>
      </c>
      <c r="J248">
        <v>104.051</v>
      </c>
      <c r="K248">
        <v>104.051</v>
      </c>
      <c r="S248">
        <v>0</v>
      </c>
      <c r="T248">
        <v>0</v>
      </c>
      <c r="U248">
        <v>0.13</v>
      </c>
      <c r="V248">
        <v>0</v>
      </c>
      <c r="W248">
        <v>0</v>
      </c>
      <c r="AB248">
        <f>SUMPRODUCT(DB_HighSOF[[#This Row],[Plan01]:[Plan12]],$D$4:$O$4)/valUnits2</f>
        <v>0.104051</v>
      </c>
      <c r="AC248">
        <f>SUMPRODUCT(DB_HighSOF[[#This Row],[Act01]:[Act12]],$P$4:$AA$4)/valUnits2</f>
        <v>1.3000000000000002E-4</v>
      </c>
      <c r="AD248">
        <f>DB_HighSOF[[#This Row],[Actual]]-DB_HighSOF[[#This Row],[Plan]]</f>
        <v>-0.103921</v>
      </c>
      <c r="AE248">
        <f>IF(DB_HighSOF[[#This Row],[Plan]]&lt;&gt;0,DB_HighSOF[[#This Row],[Actual]]/DB_HighSOF[[#This Row],[Plan]],1.000011000011)</f>
        <v>1.2493873196797725E-3</v>
      </c>
    </row>
    <row r="249" spans="1:31" x14ac:dyDescent="0.2">
      <c r="A249">
        <f>SUBTOTAL(3,$B$6:B249)</f>
        <v>61</v>
      </c>
      <c r="B249" t="s">
        <v>1</v>
      </c>
      <c r="C249" t="s">
        <v>847</v>
      </c>
      <c r="H249">
        <v>12423.094000000001</v>
      </c>
      <c r="I249">
        <v>0</v>
      </c>
      <c r="T249">
        <v>12714.929999999998</v>
      </c>
      <c r="U249">
        <v>-688.88000000000022</v>
      </c>
      <c r="AB249">
        <f>SUMPRODUCT(DB_HighSOF[[#This Row],[Plan01]:[Plan12]],$D$4:$O$4)/valUnits2</f>
        <v>12.423094000000001</v>
      </c>
      <c r="AC249">
        <f>SUMPRODUCT(DB_HighSOF[[#This Row],[Act01]:[Act12]],$P$4:$AA$4)/valUnits2</f>
        <v>12.026049999999998</v>
      </c>
      <c r="AD249">
        <f>DB_HighSOF[[#This Row],[Actual]]-DB_HighSOF[[#This Row],[Plan]]</f>
        <v>-0.39704400000000284</v>
      </c>
      <c r="AE249">
        <f>IF(DB_HighSOF[[#This Row],[Plan]]&lt;&gt;0,DB_HighSOF[[#This Row],[Actual]]/DB_HighSOF[[#This Row],[Plan]],1.000011000011)</f>
        <v>0.96803984579042845</v>
      </c>
    </row>
    <row r="250" spans="1:31" hidden="1" x14ac:dyDescent="0.2">
      <c r="A250">
        <f>SUBTOTAL(3,$B$6:B250)</f>
        <v>61</v>
      </c>
      <c r="B250" t="s">
        <v>351</v>
      </c>
      <c r="C250" t="s">
        <v>365</v>
      </c>
      <c r="E250">
        <v>316.14999999999998</v>
      </c>
      <c r="F250">
        <v>506.702</v>
      </c>
      <c r="G250">
        <v>182.70299999999997</v>
      </c>
      <c r="H250">
        <v>98.053000000000011</v>
      </c>
      <c r="I250">
        <v>330.36099999999999</v>
      </c>
      <c r="J250">
        <v>330.36099999999999</v>
      </c>
      <c r="K250">
        <v>330.36099999999999</v>
      </c>
      <c r="Q250">
        <v>317.56</v>
      </c>
      <c r="R250">
        <v>509.88</v>
      </c>
      <c r="S250">
        <v>185.39</v>
      </c>
      <c r="T250">
        <v>98.879999999999967</v>
      </c>
      <c r="U250">
        <v>70.36</v>
      </c>
      <c r="V250">
        <v>0</v>
      </c>
      <c r="W250">
        <v>0</v>
      </c>
      <c r="AB250">
        <f>SUMPRODUCT(DB_HighSOF[[#This Row],[Plan01]:[Plan12]],$D$4:$O$4)/valUnits2</f>
        <v>1.433969</v>
      </c>
      <c r="AC250">
        <f>SUMPRODUCT(DB_HighSOF[[#This Row],[Act01]:[Act12]],$P$4:$AA$4)/valUnits2</f>
        <v>1.18207</v>
      </c>
      <c r="AD250">
        <f>DB_HighSOF[[#This Row],[Actual]]-DB_HighSOF[[#This Row],[Plan]]</f>
        <v>-0.2518990000000001</v>
      </c>
      <c r="AE250">
        <f>IF(DB_HighSOF[[#This Row],[Plan]]&lt;&gt;0,DB_HighSOF[[#This Row],[Actual]]/DB_HighSOF[[#This Row],[Plan]],1.000011000011)</f>
        <v>0.82433441727122403</v>
      </c>
    </row>
    <row r="251" spans="1:31" hidden="1" x14ac:dyDescent="0.2">
      <c r="A251">
        <f>SUBTOTAL(3,$B$6:B251)</f>
        <v>61</v>
      </c>
      <c r="B251" t="s">
        <v>350</v>
      </c>
      <c r="C251" t="s">
        <v>876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142.07999999999998</v>
      </c>
      <c r="J251">
        <v>142.07999999999998</v>
      </c>
      <c r="K251">
        <v>142.07999999999998</v>
      </c>
      <c r="L251">
        <v>142.07999999999998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0.91</v>
      </c>
      <c r="V251">
        <v>0</v>
      </c>
      <c r="W251">
        <v>0</v>
      </c>
      <c r="X251">
        <v>0</v>
      </c>
      <c r="AB251">
        <f>SUMPRODUCT(DB_HighSOF[[#This Row],[Plan01]:[Plan12]],$D$4:$O$4)/valUnits2</f>
        <v>0.14207999999999998</v>
      </c>
      <c r="AC251">
        <f>SUMPRODUCT(DB_HighSOF[[#This Row],[Act01]:[Act12]],$P$4:$AA$4)/valUnits2</f>
        <v>9.1E-4</v>
      </c>
      <c r="AD251">
        <f>DB_HighSOF[[#This Row],[Actual]]-DB_HighSOF[[#This Row],[Plan]]</f>
        <v>-0.14116999999999999</v>
      </c>
      <c r="AE251">
        <f>IF(DB_HighSOF[[#This Row],[Plan]]&lt;&gt;0,DB_HighSOF[[#This Row],[Actual]]/DB_HighSOF[[#This Row],[Plan]],1.000011000011)</f>
        <v>6.4048423423423428E-3</v>
      </c>
    </row>
    <row r="252" spans="1:31" hidden="1" x14ac:dyDescent="0.2">
      <c r="A252">
        <f>SUBTOTAL(3,$B$6:B252)</f>
        <v>61</v>
      </c>
      <c r="B252" t="s">
        <v>351</v>
      </c>
      <c r="C252" t="s">
        <v>846</v>
      </c>
      <c r="D252">
        <v>0</v>
      </c>
      <c r="E252">
        <v>0</v>
      </c>
      <c r="F252">
        <v>0</v>
      </c>
      <c r="G252">
        <v>206.8</v>
      </c>
      <c r="H252">
        <v>70.69</v>
      </c>
      <c r="I252">
        <v>358.09000000000003</v>
      </c>
      <c r="J252">
        <v>358.09000000000003</v>
      </c>
      <c r="K252">
        <v>358.08999999999992</v>
      </c>
      <c r="L252">
        <v>358.09000000000003</v>
      </c>
      <c r="M252">
        <v>358.08999999999992</v>
      </c>
      <c r="N252">
        <v>358.09000000000003</v>
      </c>
      <c r="O252">
        <v>358.08999999999992</v>
      </c>
      <c r="P252">
        <v>0</v>
      </c>
      <c r="Q252">
        <v>0</v>
      </c>
      <c r="R252">
        <v>0</v>
      </c>
      <c r="S252">
        <v>206.79999999999998</v>
      </c>
      <c r="T252">
        <v>71</v>
      </c>
      <c r="U252">
        <v>76.41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f>SUMPRODUCT(DB_HighSOF[[#This Row],[Plan01]:[Plan12]],$D$4:$O$4)/valUnits2</f>
        <v>0.63558000000000003</v>
      </c>
      <c r="AC252">
        <f>SUMPRODUCT(DB_HighSOF[[#This Row],[Act01]:[Act12]],$P$4:$AA$4)/valUnits2</f>
        <v>0.35420999999999991</v>
      </c>
      <c r="AD252">
        <f>DB_HighSOF[[#This Row],[Actual]]-DB_HighSOF[[#This Row],[Plan]]</f>
        <v>-0.28137000000000012</v>
      </c>
      <c r="AE252">
        <f>IF(DB_HighSOF[[#This Row],[Plan]]&lt;&gt;0,DB_HighSOF[[#This Row],[Actual]]/DB_HighSOF[[#This Row],[Plan]],1.000011000011)</f>
        <v>0.55730199188143092</v>
      </c>
    </row>
    <row r="253" spans="1:31" hidden="1" x14ac:dyDescent="0.2">
      <c r="A253">
        <f>SUBTOTAL(3,$B$6:B253)</f>
        <v>61</v>
      </c>
      <c r="B253" t="s">
        <v>350</v>
      </c>
      <c r="C253" t="s">
        <v>859</v>
      </c>
      <c r="G253">
        <v>0</v>
      </c>
      <c r="H253">
        <v>0</v>
      </c>
      <c r="I253">
        <v>260.86</v>
      </c>
      <c r="J253">
        <v>260.86</v>
      </c>
      <c r="K253">
        <v>260.86</v>
      </c>
      <c r="L253">
        <v>260.86</v>
      </c>
      <c r="M253">
        <v>260.86</v>
      </c>
      <c r="N253">
        <v>260.86</v>
      </c>
      <c r="O253">
        <v>260.86</v>
      </c>
      <c r="S253">
        <v>0</v>
      </c>
      <c r="T253">
        <v>0</v>
      </c>
      <c r="U253">
        <v>1.77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f>SUMPRODUCT(DB_HighSOF[[#This Row],[Plan01]:[Plan12]],$D$4:$O$4)/valUnits2</f>
        <v>0.26086000000000004</v>
      </c>
      <c r="AC253">
        <f>SUMPRODUCT(DB_HighSOF[[#This Row],[Act01]:[Act12]],$P$4:$AA$4)/valUnits2</f>
        <v>1.7700000000000001E-3</v>
      </c>
      <c r="AD253">
        <f>DB_HighSOF[[#This Row],[Actual]]-DB_HighSOF[[#This Row],[Plan]]</f>
        <v>-0.25909000000000004</v>
      </c>
      <c r="AE253">
        <f>IF(DB_HighSOF[[#This Row],[Plan]]&lt;&gt;0,DB_HighSOF[[#This Row],[Actual]]/DB_HighSOF[[#This Row],[Plan]],1.000011000011)</f>
        <v>6.7852487924557224E-3</v>
      </c>
    </row>
    <row r="254" spans="1:31" hidden="1" x14ac:dyDescent="0.2">
      <c r="A254">
        <f>SUBTOTAL(3,$B$6:B254)</f>
        <v>61</v>
      </c>
      <c r="B254" t="s">
        <v>351</v>
      </c>
      <c r="C254" t="s">
        <v>878</v>
      </c>
      <c r="D254">
        <v>0</v>
      </c>
      <c r="E254">
        <v>252.773</v>
      </c>
      <c r="F254">
        <v>1440.463</v>
      </c>
      <c r="G254">
        <v>1530.327</v>
      </c>
      <c r="H254">
        <v>1688.9580000000001</v>
      </c>
      <c r="I254">
        <v>1440.463</v>
      </c>
      <c r="J254">
        <v>1440.463</v>
      </c>
      <c r="K254">
        <v>1440.463</v>
      </c>
      <c r="L254">
        <v>1440.463</v>
      </c>
      <c r="M254">
        <v>1440.463</v>
      </c>
      <c r="N254">
        <v>1440.463</v>
      </c>
      <c r="O254">
        <v>1440.463</v>
      </c>
      <c r="P254">
        <v>0</v>
      </c>
      <c r="Q254">
        <v>253.9</v>
      </c>
      <c r="R254">
        <v>0</v>
      </c>
      <c r="S254">
        <v>92.860000000000014</v>
      </c>
      <c r="T254">
        <v>263.16000000000003</v>
      </c>
      <c r="U254">
        <v>5441.89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f>SUMPRODUCT(DB_HighSOF[[#This Row],[Plan01]:[Plan12]],$D$4:$O$4)/valUnits2</f>
        <v>6.3529840000000002</v>
      </c>
      <c r="AC254">
        <f>SUMPRODUCT(DB_HighSOF[[#This Row],[Act01]:[Act12]],$P$4:$AA$4)/valUnits2</f>
        <v>6.0518100000000006</v>
      </c>
      <c r="AD254">
        <f>DB_HighSOF[[#This Row],[Actual]]-DB_HighSOF[[#This Row],[Plan]]</f>
        <v>-0.30117399999999961</v>
      </c>
      <c r="AE254">
        <f>IF(DB_HighSOF[[#This Row],[Plan]]&lt;&gt;0,DB_HighSOF[[#This Row],[Actual]]/DB_HighSOF[[#This Row],[Plan]],1.000011000011)</f>
        <v>0.95259330103774864</v>
      </c>
    </row>
    <row r="255" spans="1:31" hidden="1" x14ac:dyDescent="0.2">
      <c r="A255">
        <f>SUBTOTAL(3,$B$6:B255)</f>
        <v>61</v>
      </c>
      <c r="B255" t="s">
        <v>351</v>
      </c>
      <c r="C255" t="s">
        <v>357</v>
      </c>
      <c r="E255">
        <v>42.879999999999995</v>
      </c>
      <c r="F255">
        <v>45.81</v>
      </c>
      <c r="G255">
        <v>140.63</v>
      </c>
      <c r="H255">
        <v>179.32999999999998</v>
      </c>
      <c r="I255">
        <v>461.57200000000006</v>
      </c>
      <c r="Q255">
        <v>42.879999999999995</v>
      </c>
      <c r="R255">
        <v>45.81</v>
      </c>
      <c r="S255">
        <v>140.63</v>
      </c>
      <c r="T255">
        <v>179.75</v>
      </c>
      <c r="U255">
        <v>152.38000000000002</v>
      </c>
      <c r="AB255">
        <f>SUMPRODUCT(DB_HighSOF[[#This Row],[Plan01]:[Plan12]],$D$4:$O$4)/valUnits2</f>
        <v>0.87022199999999994</v>
      </c>
      <c r="AC255">
        <f>SUMPRODUCT(DB_HighSOF[[#This Row],[Act01]:[Act12]],$P$4:$AA$4)/valUnits2</f>
        <v>0.56145</v>
      </c>
      <c r="AD255">
        <f>DB_HighSOF[[#This Row],[Actual]]-DB_HighSOF[[#This Row],[Plan]]</f>
        <v>-0.30877199999999994</v>
      </c>
      <c r="AE255">
        <f>IF(DB_HighSOF[[#This Row],[Plan]]&lt;&gt;0,DB_HighSOF[[#This Row],[Actual]]/DB_HighSOF[[#This Row],[Plan]],1.000011000011)</f>
        <v>0.64518019539841565</v>
      </c>
    </row>
    <row r="256" spans="1:31" hidden="1" x14ac:dyDescent="0.2">
      <c r="A256">
        <f>SUBTOTAL(3,$B$6:B256)</f>
        <v>61</v>
      </c>
      <c r="B256" t="s">
        <v>351</v>
      </c>
      <c r="C256" t="s">
        <v>850</v>
      </c>
      <c r="D256">
        <v>21.917000000000002</v>
      </c>
      <c r="E256">
        <v>2681.54</v>
      </c>
      <c r="F256">
        <v>0</v>
      </c>
      <c r="G256">
        <v>4624.7159999999994</v>
      </c>
      <c r="H256">
        <v>3136.55</v>
      </c>
      <c r="I256">
        <v>1235.0629999999999</v>
      </c>
      <c r="J256">
        <v>1235.0629999999999</v>
      </c>
      <c r="K256">
        <v>1235.0629999999999</v>
      </c>
      <c r="L256">
        <v>1235.0629999999999</v>
      </c>
      <c r="M256">
        <v>1235.0629999999999</v>
      </c>
      <c r="N256">
        <v>1235.0629999999999</v>
      </c>
      <c r="O256">
        <v>1235.0629999999999</v>
      </c>
      <c r="P256">
        <v>21.92</v>
      </c>
      <c r="Q256">
        <v>2681.5400000000004</v>
      </c>
      <c r="R256">
        <v>0</v>
      </c>
      <c r="S256">
        <v>4615.9600000000009</v>
      </c>
      <c r="T256">
        <v>3129.4799999999996</v>
      </c>
      <c r="U256">
        <v>937.98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f>SUMPRODUCT(DB_HighSOF[[#This Row],[Plan01]:[Plan12]],$D$4:$O$4)/valUnits2</f>
        <v>11.699785999999998</v>
      </c>
      <c r="AC256">
        <f>SUMPRODUCT(DB_HighSOF[[#This Row],[Act01]:[Act12]],$P$4:$AA$4)/valUnits2</f>
        <v>11.386880000000001</v>
      </c>
      <c r="AD256">
        <f>DB_HighSOF[[#This Row],[Actual]]-DB_HighSOF[[#This Row],[Plan]]</f>
        <v>-0.31290599999999635</v>
      </c>
      <c r="AE256">
        <f>IF(DB_HighSOF[[#This Row],[Plan]]&lt;&gt;0,DB_HighSOF[[#This Row],[Actual]]/DB_HighSOF[[#This Row],[Plan]],1.000011000011)</f>
        <v>0.97325540826131385</v>
      </c>
    </row>
    <row r="257" spans="1:31" hidden="1" x14ac:dyDescent="0.2">
      <c r="A257">
        <f>SUBTOTAL(3,$B$6:B257)</f>
        <v>61</v>
      </c>
      <c r="B257" t="s">
        <v>351</v>
      </c>
      <c r="C257" t="s">
        <v>929</v>
      </c>
      <c r="D257">
        <v>0</v>
      </c>
      <c r="E257">
        <v>88.061000000000007</v>
      </c>
      <c r="F257">
        <v>0</v>
      </c>
      <c r="G257">
        <v>163.691</v>
      </c>
      <c r="H257">
        <v>422.94899999999996</v>
      </c>
      <c r="I257">
        <v>0</v>
      </c>
      <c r="P257">
        <v>0</v>
      </c>
      <c r="Q257">
        <v>87.97</v>
      </c>
      <c r="R257">
        <v>0</v>
      </c>
      <c r="S257">
        <v>163.13999999999999</v>
      </c>
      <c r="T257">
        <v>418.21999999999997</v>
      </c>
      <c r="U257">
        <v>-310.33</v>
      </c>
      <c r="AB257">
        <f>SUMPRODUCT(DB_HighSOF[[#This Row],[Plan01]:[Plan12]],$D$4:$O$4)/valUnits2</f>
        <v>0.674701</v>
      </c>
      <c r="AC257">
        <f>SUMPRODUCT(DB_HighSOF[[#This Row],[Act01]:[Act12]],$P$4:$AA$4)/valUnits2</f>
        <v>0.35899999999999993</v>
      </c>
      <c r="AD257">
        <f>DB_HighSOF[[#This Row],[Actual]]-DB_HighSOF[[#This Row],[Plan]]</f>
        <v>-0.31570100000000006</v>
      </c>
      <c r="AE257">
        <f>IF(DB_HighSOF[[#This Row],[Plan]]&lt;&gt;0,DB_HighSOF[[#This Row],[Actual]]/DB_HighSOF[[#This Row],[Plan]],1.000011000011)</f>
        <v>0.53208754692819471</v>
      </c>
    </row>
    <row r="258" spans="1:31" hidden="1" x14ac:dyDescent="0.2">
      <c r="A258">
        <f>SUBTOTAL(3,$B$6:B258)</f>
        <v>61</v>
      </c>
      <c r="B258" t="s">
        <v>351</v>
      </c>
      <c r="C258" t="s">
        <v>876</v>
      </c>
      <c r="D258">
        <v>386.56</v>
      </c>
      <c r="E258">
        <v>423.59</v>
      </c>
      <c r="F258">
        <v>815.32999999999993</v>
      </c>
      <c r="G258">
        <v>4599.49</v>
      </c>
      <c r="H258">
        <v>626.59999999999991</v>
      </c>
      <c r="I258">
        <v>824.32</v>
      </c>
      <c r="J258">
        <v>824.32</v>
      </c>
      <c r="K258">
        <v>824.32</v>
      </c>
      <c r="L258">
        <v>824.32</v>
      </c>
      <c r="P258">
        <v>386.56</v>
      </c>
      <c r="Q258">
        <v>423.59</v>
      </c>
      <c r="R258">
        <v>815.32999999999993</v>
      </c>
      <c r="S258">
        <v>4599.49</v>
      </c>
      <c r="T258">
        <v>628.37000000000012</v>
      </c>
      <c r="U258">
        <v>447.12</v>
      </c>
      <c r="V258">
        <v>0</v>
      </c>
      <c r="W258">
        <v>0</v>
      </c>
      <c r="X258">
        <v>0</v>
      </c>
      <c r="AB258">
        <f>SUMPRODUCT(DB_HighSOF[[#This Row],[Plan01]:[Plan12]],$D$4:$O$4)/valUnits2</f>
        <v>7.675889999999999</v>
      </c>
      <c r="AC258">
        <f>SUMPRODUCT(DB_HighSOF[[#This Row],[Act01]:[Act12]],$P$4:$AA$4)/valUnits2</f>
        <v>7.3004599999999993</v>
      </c>
      <c r="AD258">
        <f>DB_HighSOF[[#This Row],[Actual]]-DB_HighSOF[[#This Row],[Plan]]</f>
        <v>-0.37542999999999971</v>
      </c>
      <c r="AE258">
        <f>IF(DB_HighSOF[[#This Row],[Plan]]&lt;&gt;0,DB_HighSOF[[#This Row],[Actual]]/DB_HighSOF[[#This Row],[Plan]],1.000011000011)</f>
        <v>0.95108971076969584</v>
      </c>
    </row>
    <row r="259" spans="1:31" hidden="1" x14ac:dyDescent="0.2">
      <c r="A259">
        <f>SUBTOTAL(3,$B$6:B259)</f>
        <v>61</v>
      </c>
      <c r="B259" t="s">
        <v>351</v>
      </c>
      <c r="C259" t="s">
        <v>913</v>
      </c>
      <c r="D259">
        <v>0</v>
      </c>
      <c r="E259">
        <v>0</v>
      </c>
      <c r="F259">
        <v>11.228999999999999</v>
      </c>
      <c r="G259">
        <v>3647.761</v>
      </c>
      <c r="H259">
        <v>8656.9969999999994</v>
      </c>
      <c r="I259">
        <v>703.35300000000007</v>
      </c>
      <c r="J259">
        <v>703.35300000000007</v>
      </c>
      <c r="K259">
        <v>703.35300000000007</v>
      </c>
      <c r="L259">
        <v>703.35300000000007</v>
      </c>
      <c r="M259">
        <v>703.35300000000007</v>
      </c>
      <c r="N259">
        <v>703.35300000000007</v>
      </c>
      <c r="O259">
        <v>703.35300000000007</v>
      </c>
      <c r="P259">
        <v>0</v>
      </c>
      <c r="Q259">
        <v>0</v>
      </c>
      <c r="R259">
        <v>11.45</v>
      </c>
      <c r="S259">
        <v>3634.3499999999995</v>
      </c>
      <c r="T259">
        <v>8688.02</v>
      </c>
      <c r="U259">
        <v>161.17000000000056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f>SUMPRODUCT(DB_HighSOF[[#This Row],[Plan01]:[Plan12]],$D$4:$O$4)/valUnits2</f>
        <v>13.01934</v>
      </c>
      <c r="AC259">
        <f>SUMPRODUCT(DB_HighSOF[[#This Row],[Act01]:[Act12]],$P$4:$AA$4)/valUnits2</f>
        <v>12.49499</v>
      </c>
      <c r="AD259">
        <f>DB_HighSOF[[#This Row],[Actual]]-DB_HighSOF[[#This Row],[Plan]]</f>
        <v>-0.52435000000000009</v>
      </c>
      <c r="AE259">
        <f>IF(DB_HighSOF[[#This Row],[Plan]]&lt;&gt;0,DB_HighSOF[[#This Row],[Actual]]/DB_HighSOF[[#This Row],[Plan]],1.000011000011)</f>
        <v>0.95972530097531827</v>
      </c>
    </row>
    <row r="260" spans="1:31" hidden="1" x14ac:dyDescent="0.2">
      <c r="A260">
        <f>SUBTOTAL(3,$B$6:B260)</f>
        <v>61</v>
      </c>
      <c r="B260" t="s">
        <v>351</v>
      </c>
      <c r="C260" t="s">
        <v>874</v>
      </c>
      <c r="D260">
        <v>2571.6719999999996</v>
      </c>
      <c r="E260">
        <v>3184.8140000000003</v>
      </c>
      <c r="F260">
        <v>4007.5530000000003</v>
      </c>
      <c r="G260">
        <v>9559.784999999998</v>
      </c>
      <c r="H260">
        <v>5177.6109999999999</v>
      </c>
      <c r="I260">
        <v>5926.7340000000004</v>
      </c>
      <c r="J260">
        <v>5600.6580000000013</v>
      </c>
      <c r="K260">
        <v>5600.6580000000013</v>
      </c>
      <c r="L260">
        <v>5926.7340000000013</v>
      </c>
      <c r="M260">
        <v>5600.6580000000013</v>
      </c>
      <c r="N260">
        <v>5926.7340000000013</v>
      </c>
      <c r="O260">
        <v>5600.6580000000013</v>
      </c>
      <c r="P260">
        <v>2533.6400000000003</v>
      </c>
      <c r="Q260">
        <v>3251.6000000000004</v>
      </c>
      <c r="R260">
        <v>4043.7499999999991</v>
      </c>
      <c r="S260">
        <v>9590.4500000000007</v>
      </c>
      <c r="T260">
        <v>5138.53</v>
      </c>
      <c r="U260">
        <v>5297.55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f>SUMPRODUCT(DB_HighSOF[[#This Row],[Plan01]:[Plan12]],$D$4:$O$4)/valUnits2</f>
        <v>30.428169</v>
      </c>
      <c r="AC260">
        <f>SUMPRODUCT(DB_HighSOF[[#This Row],[Act01]:[Act12]],$P$4:$AA$4)/valUnits2</f>
        <v>29.855520000000002</v>
      </c>
      <c r="AD260">
        <f>DB_HighSOF[[#This Row],[Actual]]-DB_HighSOF[[#This Row],[Plan]]</f>
        <v>-0.57264899999999841</v>
      </c>
      <c r="AE260">
        <f>IF(DB_HighSOF[[#This Row],[Plan]]&lt;&gt;0,DB_HighSOF[[#This Row],[Actual]]/DB_HighSOF[[#This Row],[Plan]],1.000011000011)</f>
        <v>0.98118030039862081</v>
      </c>
    </row>
    <row r="261" spans="1:31" x14ac:dyDescent="0.2">
      <c r="A261">
        <f>SUBTOTAL(3,$B$6:B261)</f>
        <v>62</v>
      </c>
      <c r="B261" t="s">
        <v>1</v>
      </c>
      <c r="C261" t="s">
        <v>902</v>
      </c>
      <c r="E261">
        <v>1657.84</v>
      </c>
      <c r="G261">
        <v>0</v>
      </c>
      <c r="I261">
        <v>409.24</v>
      </c>
      <c r="L261">
        <v>409.24</v>
      </c>
      <c r="O261">
        <v>409.24</v>
      </c>
      <c r="Q261">
        <v>1657.84</v>
      </c>
      <c r="S261">
        <v>0</v>
      </c>
      <c r="U261">
        <v>0</v>
      </c>
      <c r="X261">
        <v>0</v>
      </c>
      <c r="AA261">
        <v>0</v>
      </c>
      <c r="AB261">
        <f>SUMPRODUCT(DB_HighSOF[[#This Row],[Plan01]:[Plan12]],$D$4:$O$4)/valUnits2</f>
        <v>2.0670799999999998</v>
      </c>
      <c r="AC261">
        <f>SUMPRODUCT(DB_HighSOF[[#This Row],[Act01]:[Act12]],$P$4:$AA$4)/valUnits2</f>
        <v>1.65784</v>
      </c>
      <c r="AD261">
        <f>DB_HighSOF[[#This Row],[Actual]]-DB_HighSOF[[#This Row],[Plan]]</f>
        <v>-0.40923999999999983</v>
      </c>
      <c r="AE261">
        <f>IF(DB_HighSOF[[#This Row],[Plan]]&lt;&gt;0,DB_HighSOF[[#This Row],[Actual]]/DB_HighSOF[[#This Row],[Plan]],1.000011000011)</f>
        <v>0.8020202411130678</v>
      </c>
    </row>
    <row r="262" spans="1:31" hidden="1" x14ac:dyDescent="0.2">
      <c r="A262">
        <f>SUBTOTAL(3,$B$6:B262)</f>
        <v>62</v>
      </c>
      <c r="B262" t="s">
        <v>347</v>
      </c>
      <c r="C262" t="s">
        <v>902</v>
      </c>
      <c r="E262">
        <v>1657.84</v>
      </c>
      <c r="G262">
        <v>0</v>
      </c>
      <c r="I262">
        <v>409.24</v>
      </c>
      <c r="L262">
        <v>409.24</v>
      </c>
      <c r="O262">
        <v>409.24</v>
      </c>
      <c r="Q262">
        <v>1657.84</v>
      </c>
      <c r="S262">
        <v>0</v>
      </c>
      <c r="U262">
        <v>0</v>
      </c>
      <c r="X262">
        <v>0</v>
      </c>
      <c r="AA262">
        <v>0</v>
      </c>
      <c r="AB262">
        <f>SUMPRODUCT(DB_HighSOF[[#This Row],[Plan01]:[Plan12]],$D$4:$O$4)/valUnits2</f>
        <v>2.0670799999999998</v>
      </c>
      <c r="AC262">
        <f>SUMPRODUCT(DB_HighSOF[[#This Row],[Act01]:[Act12]],$P$4:$AA$4)/valUnits2</f>
        <v>1.65784</v>
      </c>
      <c r="AD262">
        <f>DB_HighSOF[[#This Row],[Actual]]-DB_HighSOF[[#This Row],[Plan]]</f>
        <v>-0.40923999999999983</v>
      </c>
      <c r="AE262">
        <f>IF(DB_HighSOF[[#This Row],[Plan]]&lt;&gt;0,DB_HighSOF[[#This Row],[Actual]]/DB_HighSOF[[#This Row],[Plan]],1.000011000011)</f>
        <v>0.8020202411130678</v>
      </c>
    </row>
    <row r="263" spans="1:31" hidden="1" x14ac:dyDescent="0.2">
      <c r="A263">
        <f>SUBTOTAL(3,$B$6:B263)</f>
        <v>62</v>
      </c>
      <c r="B263" t="s">
        <v>350</v>
      </c>
      <c r="C263" t="s">
        <v>890</v>
      </c>
      <c r="E263">
        <v>0</v>
      </c>
      <c r="F263">
        <v>0</v>
      </c>
      <c r="G263">
        <v>0</v>
      </c>
      <c r="H263">
        <v>0</v>
      </c>
      <c r="I263">
        <v>534.71100000000001</v>
      </c>
      <c r="J263">
        <v>534.71100000000001</v>
      </c>
      <c r="K263">
        <v>534.71100000000001</v>
      </c>
      <c r="L263">
        <v>534.71100000000001</v>
      </c>
      <c r="M263">
        <v>534.71100000000001</v>
      </c>
      <c r="N263">
        <v>534.71100000000001</v>
      </c>
      <c r="O263">
        <v>534.71100000000001</v>
      </c>
      <c r="Q263">
        <v>0</v>
      </c>
      <c r="R263">
        <v>0</v>
      </c>
      <c r="S263">
        <v>0</v>
      </c>
      <c r="T263">
        <v>0</v>
      </c>
      <c r="U263">
        <v>1.27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f>SUMPRODUCT(DB_HighSOF[[#This Row],[Plan01]:[Plan12]],$D$4:$O$4)/valUnits2</f>
        <v>0.53471100000000005</v>
      </c>
      <c r="AC263">
        <f>SUMPRODUCT(DB_HighSOF[[#This Row],[Act01]:[Act12]],$P$4:$AA$4)/valUnits2</f>
        <v>1.2700000000000001E-3</v>
      </c>
      <c r="AD263">
        <f>DB_HighSOF[[#This Row],[Actual]]-DB_HighSOF[[#This Row],[Plan]]</f>
        <v>-0.53344100000000005</v>
      </c>
      <c r="AE263">
        <f>IF(DB_HighSOF[[#This Row],[Plan]]&lt;&gt;0,DB_HighSOF[[#This Row],[Actual]]/DB_HighSOF[[#This Row],[Plan]],1.000011000011)</f>
        <v>2.3751147816297026E-3</v>
      </c>
    </row>
    <row r="264" spans="1:31" hidden="1" x14ac:dyDescent="0.2">
      <c r="A264">
        <f>SUBTOTAL(3,$B$6:B264)</f>
        <v>62</v>
      </c>
      <c r="B264" t="s">
        <v>351</v>
      </c>
      <c r="C264" t="s">
        <v>919</v>
      </c>
      <c r="D264">
        <v>597.99300000000005</v>
      </c>
      <c r="E264">
        <v>6056.0060000000003</v>
      </c>
      <c r="F264">
        <v>7363.5710000000008</v>
      </c>
      <c r="G264">
        <v>37580.612999999998</v>
      </c>
      <c r="H264">
        <v>12706.236999999999</v>
      </c>
      <c r="I264">
        <v>11724.390000000001</v>
      </c>
      <c r="J264">
        <v>13988.427</v>
      </c>
      <c r="K264">
        <v>11724.390000000001</v>
      </c>
      <c r="L264">
        <v>11724.390000000001</v>
      </c>
      <c r="M264">
        <v>13988.427</v>
      </c>
      <c r="N264">
        <v>11724.390000000001</v>
      </c>
      <c r="O264">
        <v>11724.390000000001</v>
      </c>
      <c r="P264">
        <v>589.15</v>
      </c>
      <c r="Q264">
        <v>6182.14</v>
      </c>
      <c r="R264">
        <v>7429.47</v>
      </c>
      <c r="S264">
        <v>37813.810000000005</v>
      </c>
      <c r="T264">
        <v>12670.220000000001</v>
      </c>
      <c r="U264">
        <v>10763.650000000001</v>
      </c>
      <c r="V264">
        <v>1895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f>SUMPRODUCT(DB_HighSOF[[#This Row],[Plan01]:[Plan12]],$D$4:$O$4)/valUnits2</f>
        <v>76.028809999999993</v>
      </c>
      <c r="AC264">
        <f>SUMPRODUCT(DB_HighSOF[[#This Row],[Act01]:[Act12]],$P$4:$AA$4)/valUnits2</f>
        <v>75.448440000000005</v>
      </c>
      <c r="AD264">
        <f>DB_HighSOF[[#This Row],[Actual]]-DB_HighSOF[[#This Row],[Plan]]</f>
        <v>-0.58036999999998784</v>
      </c>
      <c r="AE264">
        <f>IF(DB_HighSOF[[#This Row],[Plan]]&lt;&gt;0,DB_HighSOF[[#This Row],[Actual]]/DB_HighSOF[[#This Row],[Plan]],1.000011000011)</f>
        <v>0.99236644635106108</v>
      </c>
    </row>
    <row r="265" spans="1:31" hidden="1" x14ac:dyDescent="0.2">
      <c r="A265">
        <f>SUBTOTAL(3,$B$6:B265)</f>
        <v>62</v>
      </c>
      <c r="B265" t="s">
        <v>346</v>
      </c>
      <c r="C265" t="s">
        <v>918</v>
      </c>
      <c r="D265">
        <v>70933.031000000003</v>
      </c>
      <c r="E265">
        <v>21.822999999999873</v>
      </c>
      <c r="F265">
        <v>41.058000000000902</v>
      </c>
      <c r="G265">
        <v>14378.822000000002</v>
      </c>
      <c r="H265">
        <v>1913.9569999999981</v>
      </c>
      <c r="I265">
        <v>17263.381999999998</v>
      </c>
      <c r="J265">
        <v>18152.124999999996</v>
      </c>
      <c r="K265">
        <v>16340.862000000003</v>
      </c>
      <c r="L265">
        <v>15073.969000000003</v>
      </c>
      <c r="M265">
        <v>20780.716000000015</v>
      </c>
      <c r="N265">
        <v>14654.361000000001</v>
      </c>
      <c r="O265">
        <v>13990.392</v>
      </c>
      <c r="P265">
        <v>68741.8</v>
      </c>
      <c r="Q265">
        <v>22.559999999991703</v>
      </c>
      <c r="R265">
        <v>41.739999999997963</v>
      </c>
      <c r="S265">
        <v>14296.000000000004</v>
      </c>
      <c r="T265">
        <v>1899.6300000000083</v>
      </c>
      <c r="U265">
        <v>16703.549999999996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f>SUMPRODUCT(DB_HighSOF[[#This Row],[Plan01]:[Plan12]],$D$4:$O$4)/valUnits2</f>
        <v>104.55207300000001</v>
      </c>
      <c r="AC265">
        <f>SUMPRODUCT(DB_HighSOF[[#This Row],[Act01]:[Act12]],$P$4:$AA$4)/valUnits2</f>
        <v>101.70528</v>
      </c>
      <c r="AD265">
        <f>DB_HighSOF[[#This Row],[Actual]]-DB_HighSOF[[#This Row],[Plan]]</f>
        <v>-2.8467930000000052</v>
      </c>
      <c r="AE265">
        <f>IF(DB_HighSOF[[#This Row],[Plan]]&lt;&gt;0,DB_HighSOF[[#This Row],[Actual]]/DB_HighSOF[[#This Row],[Plan]],1.000011000011)</f>
        <v>0.9727715298385331</v>
      </c>
    </row>
    <row r="266" spans="1:31" hidden="1" x14ac:dyDescent="0.2">
      <c r="A266">
        <f>SUBTOTAL(3,$B$6:B266)</f>
        <v>62</v>
      </c>
      <c r="B266" t="s">
        <v>350</v>
      </c>
      <c r="C266" t="s">
        <v>915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575.25400000000002</v>
      </c>
      <c r="J266">
        <v>575.25400000000002</v>
      </c>
      <c r="K266">
        <v>575.25400000000002</v>
      </c>
      <c r="L266">
        <v>575.25400000000002</v>
      </c>
      <c r="M266">
        <v>575.25400000000002</v>
      </c>
      <c r="N266">
        <v>575.25400000000002</v>
      </c>
      <c r="O266">
        <v>575.25400000000002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0.28999999999999998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f>SUMPRODUCT(DB_HighSOF[[#This Row],[Plan01]:[Plan12]],$D$4:$O$4)/valUnits2</f>
        <v>0.57525400000000004</v>
      </c>
      <c r="AC266">
        <f>SUMPRODUCT(DB_HighSOF[[#This Row],[Act01]:[Act12]],$P$4:$AA$4)/valUnits2</f>
        <v>2.9E-4</v>
      </c>
      <c r="AD266">
        <f>DB_HighSOF[[#This Row],[Actual]]-DB_HighSOF[[#This Row],[Plan]]</f>
        <v>-0.57496400000000003</v>
      </c>
      <c r="AE266">
        <f>IF(DB_HighSOF[[#This Row],[Plan]]&lt;&gt;0,DB_HighSOF[[#This Row],[Actual]]/DB_HighSOF[[#This Row],[Plan]],1.000011000011)</f>
        <v>5.0412513428850557E-4</v>
      </c>
    </row>
    <row r="267" spans="1:31" hidden="1" x14ac:dyDescent="0.2">
      <c r="A267">
        <f>SUBTOTAL(3,$B$6:B267)</f>
        <v>62</v>
      </c>
      <c r="B267" t="s">
        <v>351</v>
      </c>
      <c r="C267" t="s">
        <v>359</v>
      </c>
      <c r="G267">
        <v>86.268999999999991</v>
      </c>
      <c r="H267">
        <v>42.413999999999994</v>
      </c>
      <c r="I267">
        <v>706.09199999999998</v>
      </c>
      <c r="S267">
        <v>87.36</v>
      </c>
      <c r="T267">
        <v>45.339999999999996</v>
      </c>
      <c r="U267">
        <v>32.270000000000003</v>
      </c>
      <c r="AB267">
        <f>SUMPRODUCT(DB_HighSOF[[#This Row],[Plan01]:[Plan12]],$D$4:$O$4)/valUnits2</f>
        <v>0.83477499999999993</v>
      </c>
      <c r="AC267">
        <f>SUMPRODUCT(DB_HighSOF[[#This Row],[Act01]:[Act12]],$P$4:$AA$4)/valUnits2</f>
        <v>0.16497000000000001</v>
      </c>
      <c r="AD267">
        <f>DB_HighSOF[[#This Row],[Actual]]-DB_HighSOF[[#This Row],[Plan]]</f>
        <v>-0.66980499999999998</v>
      </c>
      <c r="AE267">
        <f>IF(DB_HighSOF[[#This Row],[Plan]]&lt;&gt;0,DB_HighSOF[[#This Row],[Actual]]/DB_HighSOF[[#This Row],[Plan]],1.000011000011)</f>
        <v>0.19762211374322425</v>
      </c>
    </row>
    <row r="268" spans="1:31" hidden="1" x14ac:dyDescent="0.2">
      <c r="A268">
        <f>SUBTOTAL(3,$B$6:B268)</f>
        <v>62</v>
      </c>
      <c r="B268" t="s">
        <v>351</v>
      </c>
      <c r="C268" t="s">
        <v>360</v>
      </c>
      <c r="F268">
        <v>0</v>
      </c>
      <c r="G268">
        <v>380.90299999999996</v>
      </c>
      <c r="H268">
        <v>172.05199999999999</v>
      </c>
      <c r="I268">
        <v>2480.0940000000001</v>
      </c>
      <c r="R268">
        <v>0</v>
      </c>
      <c r="S268">
        <v>385.74</v>
      </c>
      <c r="T268">
        <v>183.85000000000002</v>
      </c>
      <c r="U268">
        <v>1634.04</v>
      </c>
      <c r="AB268">
        <f>SUMPRODUCT(DB_HighSOF[[#This Row],[Plan01]:[Plan12]],$D$4:$O$4)/valUnits2</f>
        <v>3.0330490000000001</v>
      </c>
      <c r="AC268">
        <f>SUMPRODUCT(DB_HighSOF[[#This Row],[Act01]:[Act12]],$P$4:$AA$4)/valUnits2</f>
        <v>2.20363</v>
      </c>
      <c r="AD268">
        <f>DB_HighSOF[[#This Row],[Actual]]-DB_HighSOF[[#This Row],[Plan]]</f>
        <v>-0.82941900000000013</v>
      </c>
      <c r="AE268">
        <f>IF(DB_HighSOF[[#This Row],[Plan]]&lt;&gt;0,DB_HighSOF[[#This Row],[Actual]]/DB_HighSOF[[#This Row],[Plan]],1.000011000011)</f>
        <v>0.72653953167258423</v>
      </c>
    </row>
    <row r="269" spans="1:31" x14ac:dyDescent="0.2">
      <c r="A269">
        <f>SUBTOTAL(3,$B$6:B269)</f>
        <v>63</v>
      </c>
      <c r="B269" t="s">
        <v>1</v>
      </c>
      <c r="C269" t="s">
        <v>903</v>
      </c>
      <c r="G269">
        <v>3594.3850000000002</v>
      </c>
      <c r="H269">
        <v>13683.057000000001</v>
      </c>
      <c r="I269">
        <v>2696.3609999999999</v>
      </c>
      <c r="J269">
        <v>2293.451</v>
      </c>
      <c r="K269">
        <v>3127.875</v>
      </c>
      <c r="L269">
        <v>2091.9970000000003</v>
      </c>
      <c r="M269">
        <v>9934.6470000000008</v>
      </c>
      <c r="N269">
        <v>9225.125</v>
      </c>
      <c r="O269">
        <v>9213.5220000000008</v>
      </c>
      <c r="S269">
        <v>3554.74</v>
      </c>
      <c r="T269">
        <v>13838.24</v>
      </c>
      <c r="U269">
        <v>1865.17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f>SUMPRODUCT(DB_HighSOF[[#This Row],[Plan01]:[Plan12]],$D$4:$O$4)/valUnits2</f>
        <v>19.973803000000004</v>
      </c>
      <c r="AC269">
        <f>SUMPRODUCT(DB_HighSOF[[#This Row],[Act01]:[Act12]],$P$4:$AA$4)/valUnits2</f>
        <v>19.258150000000001</v>
      </c>
      <c r="AD269">
        <f>DB_HighSOF[[#This Row],[Actual]]-DB_HighSOF[[#This Row],[Plan]]</f>
        <v>-0.7156530000000032</v>
      </c>
      <c r="AE269">
        <f>IF(DB_HighSOF[[#This Row],[Plan]]&lt;&gt;0,DB_HighSOF[[#This Row],[Actual]]/DB_HighSOF[[#This Row],[Plan]],1.000011000011)</f>
        <v>0.96417041862283293</v>
      </c>
    </row>
    <row r="270" spans="1:31" hidden="1" x14ac:dyDescent="0.2">
      <c r="A270">
        <f>SUBTOTAL(3,$B$6:B270)</f>
        <v>63</v>
      </c>
      <c r="B270" t="s">
        <v>350</v>
      </c>
      <c r="C270" t="s">
        <v>927</v>
      </c>
      <c r="D270">
        <v>0</v>
      </c>
      <c r="E270">
        <v>2484.96</v>
      </c>
      <c r="F270">
        <v>3793.84</v>
      </c>
      <c r="G270">
        <v>2410.69</v>
      </c>
      <c r="H270">
        <v>3283.81</v>
      </c>
      <c r="I270">
        <v>3474</v>
      </c>
      <c r="J270">
        <v>3474</v>
      </c>
      <c r="K270">
        <v>3474</v>
      </c>
      <c r="L270">
        <v>3474</v>
      </c>
      <c r="M270">
        <v>3474</v>
      </c>
      <c r="N270">
        <v>3474</v>
      </c>
      <c r="O270">
        <v>3474</v>
      </c>
      <c r="P270">
        <v>0</v>
      </c>
      <c r="Q270">
        <v>2484.9600000000005</v>
      </c>
      <c r="R270">
        <v>3818.3299999999995</v>
      </c>
      <c r="S270">
        <v>2410.69</v>
      </c>
      <c r="T270">
        <v>3283.81</v>
      </c>
      <c r="U270">
        <v>2769.33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f>SUMPRODUCT(DB_HighSOF[[#This Row],[Plan01]:[Plan12]],$D$4:$O$4)/valUnits2</f>
        <v>15.447299999999998</v>
      </c>
      <c r="AC270">
        <f>SUMPRODUCT(DB_HighSOF[[#This Row],[Act01]:[Act12]],$P$4:$AA$4)/valUnits2</f>
        <v>14.767119999999998</v>
      </c>
      <c r="AD270">
        <f>DB_HighSOF[[#This Row],[Actual]]-DB_HighSOF[[#This Row],[Plan]]</f>
        <v>-0.68018000000000001</v>
      </c>
      <c r="AE270">
        <f>IF(DB_HighSOF[[#This Row],[Plan]]&lt;&gt;0,DB_HighSOF[[#This Row],[Actual]]/DB_HighSOF[[#This Row],[Plan]],1.000011000011)</f>
        <v>0.95596770956736776</v>
      </c>
    </row>
    <row r="271" spans="1:31" hidden="1" x14ac:dyDescent="0.2">
      <c r="A271">
        <f>SUBTOTAL(3,$B$6:B271)</f>
        <v>63</v>
      </c>
      <c r="B271" t="s">
        <v>350</v>
      </c>
      <c r="C271" t="s">
        <v>866</v>
      </c>
      <c r="D271">
        <v>231.53</v>
      </c>
      <c r="E271">
        <v>111420.65</v>
      </c>
      <c r="F271">
        <v>84340.24</v>
      </c>
      <c r="G271">
        <v>-162083.85999999999</v>
      </c>
      <c r="H271">
        <v>11191.020000000002</v>
      </c>
      <c r="I271">
        <v>5555.5560000000005</v>
      </c>
      <c r="J271">
        <v>5555.5560000000005</v>
      </c>
      <c r="K271">
        <v>5555.5560000000005</v>
      </c>
      <c r="L271">
        <v>5555.5560000000005</v>
      </c>
      <c r="P271">
        <v>231.53</v>
      </c>
      <c r="Q271">
        <v>111420.65000000001</v>
      </c>
      <c r="R271">
        <v>84584.799999999988</v>
      </c>
      <c r="S271">
        <v>-162263.45000000001</v>
      </c>
      <c r="T271">
        <v>11380.250000000002</v>
      </c>
      <c r="U271">
        <v>4830.6299999999992</v>
      </c>
      <c r="V271">
        <v>0</v>
      </c>
      <c r="W271">
        <v>0</v>
      </c>
      <c r="X271">
        <v>0</v>
      </c>
      <c r="AB271">
        <f>SUMPRODUCT(DB_HighSOF[[#This Row],[Plan01]:[Plan12]],$D$4:$O$4)/valUnits2</f>
        <v>50.655135999999999</v>
      </c>
      <c r="AC271">
        <f>SUMPRODUCT(DB_HighSOF[[#This Row],[Act01]:[Act12]],$P$4:$AA$4)/valUnits2</f>
        <v>50.184409999999964</v>
      </c>
      <c r="AD271">
        <f>DB_HighSOF[[#This Row],[Actual]]-DB_HighSOF[[#This Row],[Plan]]</f>
        <v>-0.47072600000003462</v>
      </c>
      <c r="AE271">
        <f>IF(DB_HighSOF[[#This Row],[Plan]]&lt;&gt;0,DB_HighSOF[[#This Row],[Actual]]/DB_HighSOF[[#This Row],[Plan]],1.000011000011)</f>
        <v>0.99070724042671543</v>
      </c>
    </row>
    <row r="272" spans="1:31" x14ac:dyDescent="0.2">
      <c r="A272">
        <f>SUBTOTAL(3,$B$6:B272)</f>
        <v>64</v>
      </c>
      <c r="B272" t="s">
        <v>1</v>
      </c>
      <c r="C272" t="s">
        <v>846</v>
      </c>
      <c r="D272">
        <v>10113.969999999998</v>
      </c>
      <c r="E272">
        <v>86.5</v>
      </c>
      <c r="F272">
        <v>79.170000000000258</v>
      </c>
      <c r="G272">
        <v>2971.84</v>
      </c>
      <c r="H272">
        <v>2881.3</v>
      </c>
      <c r="I272">
        <v>4447.4170000000004</v>
      </c>
      <c r="J272">
        <v>4447.4170000000004</v>
      </c>
      <c r="K272">
        <v>4447.4170000000004</v>
      </c>
      <c r="L272">
        <v>4447.4170000000004</v>
      </c>
      <c r="M272">
        <v>4447.4170000000004</v>
      </c>
      <c r="N272">
        <v>4447.4170000000004</v>
      </c>
      <c r="O272">
        <v>4447.4170000000004</v>
      </c>
      <c r="P272">
        <v>10113.969999999999</v>
      </c>
      <c r="Q272">
        <v>86.5</v>
      </c>
      <c r="R272">
        <v>79.169999999999987</v>
      </c>
      <c r="S272">
        <v>2971.8400000000006</v>
      </c>
      <c r="T272">
        <v>2881.6099999999997</v>
      </c>
      <c r="U272">
        <v>2706.61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f>SUMPRODUCT(DB_HighSOF[[#This Row],[Plan01]:[Plan12]],$D$4:$O$4)/valUnits2</f>
        <v>20.580197000000002</v>
      </c>
      <c r="AC272">
        <f>SUMPRODUCT(DB_HighSOF[[#This Row],[Act01]:[Act12]],$P$4:$AA$4)/valUnits2</f>
        <v>18.839700000000001</v>
      </c>
      <c r="AD272">
        <f>DB_HighSOF[[#This Row],[Actual]]-DB_HighSOF[[#This Row],[Plan]]</f>
        <v>-1.7404970000000013</v>
      </c>
      <c r="AE272">
        <f>IF(DB_HighSOF[[#This Row],[Plan]]&lt;&gt;0,DB_HighSOF[[#This Row],[Actual]]/DB_HighSOF[[#This Row],[Plan]],1.000011000011)</f>
        <v>0.91542855493560138</v>
      </c>
    </row>
    <row r="273" spans="1:31" hidden="1" x14ac:dyDescent="0.2">
      <c r="A273">
        <f>SUBTOTAL(3,$B$6:B273)</f>
        <v>64</v>
      </c>
      <c r="B273" t="s">
        <v>351</v>
      </c>
      <c r="C273" t="s">
        <v>922</v>
      </c>
      <c r="D273">
        <v>541.04700000000003</v>
      </c>
      <c r="E273">
        <v>453.60499999999996</v>
      </c>
      <c r="F273">
        <v>682.67000000000007</v>
      </c>
      <c r="G273">
        <v>1133.1410000000001</v>
      </c>
      <c r="H273">
        <v>727.41800000000001</v>
      </c>
      <c r="I273">
        <v>1662.5540000000005</v>
      </c>
      <c r="J273">
        <v>1662.5540000000005</v>
      </c>
      <c r="K273">
        <v>1662.5540000000005</v>
      </c>
      <c r="L273">
        <v>1662.5540000000005</v>
      </c>
      <c r="M273">
        <v>1662.5540000000005</v>
      </c>
      <c r="N273">
        <v>1662.5540000000005</v>
      </c>
      <c r="O273">
        <v>1662.5540000000005</v>
      </c>
      <c r="P273">
        <v>532.13</v>
      </c>
      <c r="Q273">
        <v>463.94</v>
      </c>
      <c r="R273">
        <v>692.91000000000008</v>
      </c>
      <c r="S273">
        <v>1187.92</v>
      </c>
      <c r="T273">
        <v>723.88000000000011</v>
      </c>
      <c r="U273">
        <v>762.06000000000006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f>SUMPRODUCT(DB_HighSOF[[#This Row],[Plan01]:[Plan12]],$D$4:$O$4)/valUnits2</f>
        <v>5.2004350000000015</v>
      </c>
      <c r="AC273">
        <f>SUMPRODUCT(DB_HighSOF[[#This Row],[Act01]:[Act12]],$P$4:$AA$4)/valUnits2</f>
        <v>4.3628400000000003</v>
      </c>
      <c r="AD273">
        <f>DB_HighSOF[[#This Row],[Actual]]-DB_HighSOF[[#This Row],[Plan]]</f>
        <v>-0.8375950000000012</v>
      </c>
      <c r="AE273">
        <f>IF(DB_HighSOF[[#This Row],[Plan]]&lt;&gt;0,DB_HighSOF[[#This Row],[Actual]]/DB_HighSOF[[#This Row],[Plan]],1.000011000011)</f>
        <v>0.83893751195813404</v>
      </c>
    </row>
    <row r="274" spans="1:31" hidden="1" x14ac:dyDescent="0.2">
      <c r="A274">
        <f>SUBTOTAL(3,$B$6:B274)</f>
        <v>64</v>
      </c>
      <c r="B274" t="s">
        <v>351</v>
      </c>
      <c r="C274" t="s">
        <v>847</v>
      </c>
      <c r="H274">
        <v>3104.9070000000002</v>
      </c>
      <c r="I274">
        <v>0</v>
      </c>
      <c r="T274">
        <v>3188.2899999999995</v>
      </c>
      <c r="U274">
        <v>-950.7</v>
      </c>
      <c r="AB274">
        <f>SUMPRODUCT(DB_HighSOF[[#This Row],[Plan01]:[Plan12]],$D$4:$O$4)/valUnits2</f>
        <v>3.1049070000000003</v>
      </c>
      <c r="AC274">
        <f>SUMPRODUCT(DB_HighSOF[[#This Row],[Act01]:[Act12]],$P$4:$AA$4)/valUnits2</f>
        <v>2.2375899999999991</v>
      </c>
      <c r="AD274">
        <f>DB_HighSOF[[#This Row],[Actual]]-DB_HighSOF[[#This Row],[Plan]]</f>
        <v>-0.86731700000000123</v>
      </c>
      <c r="AE274">
        <f>IF(DB_HighSOF[[#This Row],[Plan]]&lt;&gt;0,DB_HighSOF[[#This Row],[Actual]]/DB_HighSOF[[#This Row],[Plan]],1.000011000011)</f>
        <v>0.72066248683132828</v>
      </c>
    </row>
    <row r="275" spans="1:31" hidden="1" x14ac:dyDescent="0.2">
      <c r="A275">
        <f>SUBTOTAL(3,$B$6:B275)</f>
        <v>64</v>
      </c>
      <c r="B275" t="s">
        <v>344</v>
      </c>
      <c r="C275" t="s">
        <v>869</v>
      </c>
      <c r="D275">
        <v>111634.09</v>
      </c>
      <c r="E275">
        <v>7996.0800000000017</v>
      </c>
      <c r="F275">
        <v>19427.309999999998</v>
      </c>
      <c r="G275">
        <v>132146.93</v>
      </c>
      <c r="H275">
        <v>30170.619999999995</v>
      </c>
      <c r="I275">
        <v>10295</v>
      </c>
      <c r="J275">
        <v>10295</v>
      </c>
      <c r="K275">
        <v>10295</v>
      </c>
      <c r="L275">
        <v>10295</v>
      </c>
      <c r="M275">
        <v>10295</v>
      </c>
      <c r="N275">
        <v>10295.000000000002</v>
      </c>
      <c r="O275">
        <v>10295</v>
      </c>
      <c r="P275">
        <v>111634.09000000001</v>
      </c>
      <c r="Q275">
        <v>7996.0799999999981</v>
      </c>
      <c r="R275">
        <v>19427.310000000001</v>
      </c>
      <c r="S275">
        <v>132146.93000000002</v>
      </c>
      <c r="T275">
        <v>30170.620000000003</v>
      </c>
      <c r="U275">
        <v>9375.68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f>SUMPRODUCT(DB_HighSOF[[#This Row],[Plan01]:[Plan12]],$D$4:$O$4)/valUnits2</f>
        <v>311.67003</v>
      </c>
      <c r="AC275">
        <f>SUMPRODUCT(DB_HighSOF[[#This Row],[Act01]:[Act12]],$P$4:$AA$4)/valUnits2</f>
        <v>310.75071000000003</v>
      </c>
      <c r="AD275">
        <f>DB_HighSOF[[#This Row],[Actual]]-DB_HighSOF[[#This Row],[Plan]]</f>
        <v>-0.91931999999997061</v>
      </c>
      <c r="AE275">
        <f>IF(DB_HighSOF[[#This Row],[Plan]]&lt;&gt;0,DB_HighSOF[[#This Row],[Actual]]/DB_HighSOF[[#This Row],[Plan]],1.000011000011)</f>
        <v>0.99705034199149667</v>
      </c>
    </row>
    <row r="276" spans="1:31" hidden="1" x14ac:dyDescent="0.2">
      <c r="A276">
        <f>SUBTOTAL(3,$B$6:B276)</f>
        <v>64</v>
      </c>
      <c r="B276" t="s">
        <v>351</v>
      </c>
      <c r="C276" t="s">
        <v>860</v>
      </c>
      <c r="D276">
        <v>3018.81</v>
      </c>
      <c r="E276">
        <v>3662.1399999999994</v>
      </c>
      <c r="F276">
        <v>6415.6</v>
      </c>
      <c r="G276">
        <v>11187.760000000004</v>
      </c>
      <c r="H276">
        <v>3660.3999999999996</v>
      </c>
      <c r="I276">
        <v>4280.2629999999999</v>
      </c>
      <c r="J276">
        <v>4280.2629999999999</v>
      </c>
      <c r="K276">
        <v>4280.2629999999999</v>
      </c>
      <c r="L276">
        <v>4280.2629999999999</v>
      </c>
      <c r="M276">
        <v>0</v>
      </c>
      <c r="N276">
        <v>0</v>
      </c>
      <c r="O276">
        <v>0</v>
      </c>
      <c r="P276">
        <v>3018.81</v>
      </c>
      <c r="Q276">
        <v>3662.1400000000003</v>
      </c>
      <c r="R276">
        <v>6427.6800000000012</v>
      </c>
      <c r="S276">
        <v>11220.27</v>
      </c>
      <c r="T276">
        <v>3667.5800000000022</v>
      </c>
      <c r="U276">
        <v>3265.1899999999991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f>SUMPRODUCT(DB_HighSOF[[#This Row],[Plan01]:[Plan12]],$D$4:$O$4)/valUnits2</f>
        <v>32.224973000000006</v>
      </c>
      <c r="AC276">
        <f>SUMPRODUCT(DB_HighSOF[[#This Row],[Act01]:[Act12]],$P$4:$AA$4)/valUnits2</f>
        <v>31.261670000000002</v>
      </c>
      <c r="AD276">
        <f>DB_HighSOF[[#This Row],[Actual]]-DB_HighSOF[[#This Row],[Plan]]</f>
        <v>-0.96330300000000335</v>
      </c>
      <c r="AE276">
        <f>IF(DB_HighSOF[[#This Row],[Plan]]&lt;&gt;0,DB_HighSOF[[#This Row],[Actual]]/DB_HighSOF[[#This Row],[Plan]],1.000011000011)</f>
        <v>0.9701069415946445</v>
      </c>
    </row>
    <row r="277" spans="1:31" hidden="1" x14ac:dyDescent="0.2">
      <c r="A277">
        <f>SUBTOTAL(3,$B$6:B277)</f>
        <v>64</v>
      </c>
      <c r="B277" t="s">
        <v>351</v>
      </c>
      <c r="C277" t="s">
        <v>854</v>
      </c>
      <c r="E277">
        <v>0</v>
      </c>
      <c r="F277">
        <v>0</v>
      </c>
      <c r="G277">
        <v>2665.0970000000002</v>
      </c>
      <c r="H277">
        <v>637.92599999999993</v>
      </c>
      <c r="I277">
        <v>2471.6570000000002</v>
      </c>
      <c r="J277">
        <v>2471.6570000000002</v>
      </c>
      <c r="K277">
        <v>2471.6570000000002</v>
      </c>
      <c r="L277">
        <v>2471.6570000000002</v>
      </c>
      <c r="M277">
        <v>2471.6570000000002</v>
      </c>
      <c r="N277">
        <v>2471.6570000000002</v>
      </c>
      <c r="O277">
        <v>2471.6570000000002</v>
      </c>
      <c r="Q277">
        <v>0</v>
      </c>
      <c r="R277">
        <v>0</v>
      </c>
      <c r="S277">
        <v>2682.84</v>
      </c>
      <c r="T277">
        <v>603.18999999999994</v>
      </c>
      <c r="U277">
        <v>1522.3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f>SUMPRODUCT(DB_HighSOF[[#This Row],[Plan01]:[Plan12]],$D$4:$O$4)/valUnits2</f>
        <v>5.77468</v>
      </c>
      <c r="AC277">
        <f>SUMPRODUCT(DB_HighSOF[[#This Row],[Act01]:[Act12]],$P$4:$AA$4)/valUnits2</f>
        <v>4.8083299999999998</v>
      </c>
      <c r="AD277">
        <f>DB_HighSOF[[#This Row],[Actual]]-DB_HighSOF[[#This Row],[Plan]]</f>
        <v>-0.96635000000000026</v>
      </c>
      <c r="AE277">
        <f>IF(DB_HighSOF[[#This Row],[Plan]]&lt;&gt;0,DB_HighSOF[[#This Row],[Actual]]/DB_HighSOF[[#This Row],[Plan]],1.000011000011)</f>
        <v>0.83265739400278449</v>
      </c>
    </row>
    <row r="278" spans="1:31" hidden="1" x14ac:dyDescent="0.2">
      <c r="A278">
        <f>SUBTOTAL(3,$B$6:B278)</f>
        <v>64</v>
      </c>
      <c r="B278" t="s">
        <v>351</v>
      </c>
      <c r="C278" t="s">
        <v>903</v>
      </c>
      <c r="G278">
        <v>64.790999999999997</v>
      </c>
      <c r="H278">
        <v>124.19800000000001</v>
      </c>
      <c r="I278">
        <v>1130.3990000000001</v>
      </c>
      <c r="J278">
        <v>1130.3990000000001</v>
      </c>
      <c r="K278">
        <v>1130.3990000000001</v>
      </c>
      <c r="L278">
        <v>1130.3990000000001</v>
      </c>
      <c r="M278">
        <v>1130.3990000000001</v>
      </c>
      <c r="N278">
        <v>1130.3990000000001</v>
      </c>
      <c r="O278">
        <v>1130.3990000000001</v>
      </c>
      <c r="S278">
        <v>63.95</v>
      </c>
      <c r="T278">
        <v>124.99000000000001</v>
      </c>
      <c r="U278">
        <v>88.94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f>SUMPRODUCT(DB_HighSOF[[#This Row],[Plan01]:[Plan12]],$D$4:$O$4)/valUnits2</f>
        <v>1.3193880000000002</v>
      </c>
      <c r="AC278">
        <f>SUMPRODUCT(DB_HighSOF[[#This Row],[Act01]:[Act12]],$P$4:$AA$4)/valUnits2</f>
        <v>0.27788000000000002</v>
      </c>
      <c r="AD278">
        <f>DB_HighSOF[[#This Row],[Actual]]-DB_HighSOF[[#This Row],[Plan]]</f>
        <v>-1.0415080000000003</v>
      </c>
      <c r="AE278">
        <f>IF(DB_HighSOF[[#This Row],[Plan]]&lt;&gt;0,DB_HighSOF[[#This Row],[Actual]]/DB_HighSOF[[#This Row],[Plan]],1.000011000011)</f>
        <v>0.21061279926753917</v>
      </c>
    </row>
    <row r="279" spans="1:31" x14ac:dyDescent="0.2">
      <c r="A279">
        <f>SUBTOTAL(3,$B$6:B279)</f>
        <v>65</v>
      </c>
      <c r="B279" t="s">
        <v>1</v>
      </c>
      <c r="C279" t="s">
        <v>932</v>
      </c>
      <c r="G279">
        <v>16639.052</v>
      </c>
      <c r="H279">
        <v>3919.6229999999996</v>
      </c>
      <c r="I279">
        <v>1013.4809999999999</v>
      </c>
      <c r="J279">
        <v>1013.4809999999999</v>
      </c>
      <c r="K279">
        <v>1013.4809999999999</v>
      </c>
      <c r="L279">
        <v>1013.4809999999999</v>
      </c>
      <c r="M279">
        <v>1013.4809999999999</v>
      </c>
      <c r="N279">
        <v>1013.4809999999999</v>
      </c>
      <c r="O279">
        <v>1013.4809999999999</v>
      </c>
      <c r="S279">
        <v>15675.639999999998</v>
      </c>
      <c r="T279">
        <v>3125.5699999999997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f>SUMPRODUCT(DB_HighSOF[[#This Row],[Plan01]:[Plan12]],$D$4:$O$4)/valUnits2</f>
        <v>21.572156</v>
      </c>
      <c r="AC279">
        <f>SUMPRODUCT(DB_HighSOF[[#This Row],[Act01]:[Act12]],$P$4:$AA$4)/valUnits2</f>
        <v>18.801209999999998</v>
      </c>
      <c r="AD279">
        <f>DB_HighSOF[[#This Row],[Actual]]-DB_HighSOF[[#This Row],[Plan]]</f>
        <v>-2.7709460000000021</v>
      </c>
      <c r="AE279">
        <f>IF(DB_HighSOF[[#This Row],[Plan]]&lt;&gt;0,DB_HighSOF[[#This Row],[Actual]]/DB_HighSOF[[#This Row],[Plan]],1.000011000011)</f>
        <v>0.87154988124506416</v>
      </c>
    </row>
    <row r="280" spans="1:31" hidden="1" x14ac:dyDescent="0.2">
      <c r="A280">
        <f>SUBTOTAL(3,$B$6:B280)</f>
        <v>65</v>
      </c>
      <c r="B280" t="s">
        <v>351</v>
      </c>
      <c r="C280" t="s">
        <v>855</v>
      </c>
      <c r="D280">
        <v>8.7799999999999994</v>
      </c>
      <c r="E280">
        <v>748.94499999999994</v>
      </c>
      <c r="F280">
        <v>831.78199999999993</v>
      </c>
      <c r="G280">
        <v>7243.1309999999994</v>
      </c>
      <c r="H280">
        <v>4836.1449999999995</v>
      </c>
      <c r="I280">
        <v>4230.96</v>
      </c>
      <c r="J280">
        <v>4230.96</v>
      </c>
      <c r="K280">
        <v>4230.96</v>
      </c>
      <c r="L280">
        <v>4230.96</v>
      </c>
      <c r="M280">
        <v>4230.96</v>
      </c>
      <c r="N280">
        <v>4230.96</v>
      </c>
      <c r="O280">
        <v>4230.96</v>
      </c>
      <c r="P280">
        <v>8.65</v>
      </c>
      <c r="Q280">
        <v>764.65</v>
      </c>
      <c r="R280">
        <v>839.31000000000006</v>
      </c>
      <c r="S280">
        <v>7295.9800000000005</v>
      </c>
      <c r="T280">
        <v>4829.93</v>
      </c>
      <c r="U280">
        <v>3080.9100000000008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f>SUMPRODUCT(DB_HighSOF[[#This Row],[Plan01]:[Plan12]],$D$4:$O$4)/valUnits2</f>
        <v>17.899742999999997</v>
      </c>
      <c r="AC280">
        <f>SUMPRODUCT(DB_HighSOF[[#This Row],[Act01]:[Act12]],$P$4:$AA$4)/valUnits2</f>
        <v>16.819430000000001</v>
      </c>
      <c r="AD280">
        <f>DB_HighSOF[[#This Row],[Actual]]-DB_HighSOF[[#This Row],[Plan]]</f>
        <v>-1.0803129999999967</v>
      </c>
      <c r="AE280">
        <f>IF(DB_HighSOF[[#This Row],[Plan]]&lt;&gt;0,DB_HighSOF[[#This Row],[Actual]]/DB_HighSOF[[#This Row],[Plan]],1.000011000011)</f>
        <v>0.93964645190715879</v>
      </c>
    </row>
    <row r="281" spans="1:31" hidden="1" x14ac:dyDescent="0.2">
      <c r="A281">
        <f>SUBTOTAL(3,$B$6:B281)</f>
        <v>65</v>
      </c>
      <c r="B281" t="s">
        <v>351</v>
      </c>
      <c r="C281" t="s">
        <v>361</v>
      </c>
      <c r="D281">
        <v>0</v>
      </c>
      <c r="E281">
        <v>0</v>
      </c>
      <c r="F281">
        <v>0</v>
      </c>
      <c r="G281">
        <v>402.53700000000003</v>
      </c>
      <c r="H281">
        <v>2160.645</v>
      </c>
      <c r="I281">
        <v>1427.6299999999999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410.26</v>
      </c>
      <c r="T281">
        <v>2194.42</v>
      </c>
      <c r="U281">
        <v>117.78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f>SUMPRODUCT(DB_HighSOF[[#This Row],[Plan01]:[Plan12]],$D$4:$O$4)/valUnits2</f>
        <v>3.990812</v>
      </c>
      <c r="AC281">
        <f>SUMPRODUCT(DB_HighSOF[[#This Row],[Act01]:[Act12]],$P$4:$AA$4)/valUnits2</f>
        <v>2.7224600000000003</v>
      </c>
      <c r="AD281">
        <f>DB_HighSOF[[#This Row],[Actual]]-DB_HighSOF[[#This Row],[Plan]]</f>
        <v>-1.2683519999999997</v>
      </c>
      <c r="AE281">
        <f>IF(DB_HighSOF[[#This Row],[Plan]]&lt;&gt;0,DB_HighSOF[[#This Row],[Actual]]/DB_HighSOF[[#This Row],[Plan]],1.000011000011)</f>
        <v>0.68218197198966035</v>
      </c>
    </row>
    <row r="282" spans="1:31" hidden="1" x14ac:dyDescent="0.2">
      <c r="A282">
        <f>SUBTOTAL(3,$B$6:B282)</f>
        <v>65</v>
      </c>
      <c r="B282" t="s">
        <v>350</v>
      </c>
      <c r="C282" t="s">
        <v>896</v>
      </c>
      <c r="D282">
        <v>0</v>
      </c>
      <c r="E282">
        <v>11.265000000000001</v>
      </c>
      <c r="F282">
        <v>0</v>
      </c>
      <c r="G282">
        <v>0</v>
      </c>
      <c r="H282">
        <v>177.86799999999999</v>
      </c>
      <c r="I282">
        <v>1070.2049999999999</v>
      </c>
      <c r="J282">
        <v>1070.2049999999999</v>
      </c>
      <c r="K282">
        <v>1070.2049999999999</v>
      </c>
      <c r="L282">
        <v>1070.2049999999999</v>
      </c>
      <c r="M282">
        <v>1070.2049999999999</v>
      </c>
      <c r="N282">
        <v>1070.2049999999999</v>
      </c>
      <c r="O282">
        <v>1070.2049999999999</v>
      </c>
      <c r="P282">
        <v>0</v>
      </c>
      <c r="Q282">
        <v>11.27</v>
      </c>
      <c r="R282">
        <v>0</v>
      </c>
      <c r="S282">
        <v>0</v>
      </c>
      <c r="T282">
        <v>178.73</v>
      </c>
      <c r="U282">
        <v>37.35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f>SUMPRODUCT(DB_HighSOF[[#This Row],[Plan01]:[Plan12]],$D$4:$O$4)/valUnits2</f>
        <v>1.2593380000000001</v>
      </c>
      <c r="AC282">
        <f>SUMPRODUCT(DB_HighSOF[[#This Row],[Act01]:[Act12]],$P$4:$AA$4)/valUnits2</f>
        <v>0.22735</v>
      </c>
      <c r="AD282">
        <f>DB_HighSOF[[#This Row],[Actual]]-DB_HighSOF[[#This Row],[Plan]]</f>
        <v>-1.0319880000000001</v>
      </c>
      <c r="AE282">
        <f>IF(DB_HighSOF[[#This Row],[Plan]]&lt;&gt;0,DB_HighSOF[[#This Row],[Actual]]/DB_HighSOF[[#This Row],[Plan]],1.000011000011)</f>
        <v>0.18053135853916899</v>
      </c>
    </row>
    <row r="283" spans="1:31" hidden="1" x14ac:dyDescent="0.2">
      <c r="A283">
        <f>SUBTOTAL(3,$B$6:B283)</f>
        <v>65</v>
      </c>
      <c r="B283" t="s">
        <v>351</v>
      </c>
      <c r="C283" t="s">
        <v>885</v>
      </c>
      <c r="D283">
        <v>21.917000000000002</v>
      </c>
      <c r="E283">
        <v>3134.826</v>
      </c>
      <c r="F283">
        <v>564.91800000000001</v>
      </c>
      <c r="G283">
        <v>12149.623000000001</v>
      </c>
      <c r="H283">
        <v>7251.8779999999997</v>
      </c>
      <c r="I283">
        <v>3613.5</v>
      </c>
      <c r="J283">
        <v>3613.5</v>
      </c>
      <c r="K283">
        <v>3613.5</v>
      </c>
      <c r="L283">
        <v>3613.5</v>
      </c>
      <c r="M283">
        <v>3613.5</v>
      </c>
      <c r="N283">
        <v>3613.5</v>
      </c>
      <c r="O283">
        <v>3613.5</v>
      </c>
      <c r="P283">
        <v>21.92</v>
      </c>
      <c r="Q283">
        <v>3126.9500000000003</v>
      </c>
      <c r="R283">
        <v>561.25</v>
      </c>
      <c r="S283">
        <v>12109.600000000002</v>
      </c>
      <c r="T283">
        <v>7248.0099999999993</v>
      </c>
      <c r="U283">
        <v>2369.33</v>
      </c>
      <c r="V283">
        <v>3097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f>SUMPRODUCT(DB_HighSOF[[#This Row],[Plan01]:[Plan12]],$D$4:$O$4)/valUnits2</f>
        <v>26.736661999999999</v>
      </c>
      <c r="AC283">
        <f>SUMPRODUCT(DB_HighSOF[[#This Row],[Act01]:[Act12]],$P$4:$AA$4)/valUnits2</f>
        <v>25.437060000000006</v>
      </c>
      <c r="AD283">
        <f>DB_HighSOF[[#This Row],[Actual]]-DB_HighSOF[[#This Row],[Plan]]</f>
        <v>-1.299601999999993</v>
      </c>
      <c r="AE283">
        <f>IF(DB_HighSOF[[#This Row],[Plan]]&lt;&gt;0,DB_HighSOF[[#This Row],[Actual]]/DB_HighSOF[[#This Row],[Plan]],1.000011000011)</f>
        <v>0.95139251115191592</v>
      </c>
    </row>
    <row r="284" spans="1:31" hidden="1" x14ac:dyDescent="0.2">
      <c r="A284">
        <f>SUBTOTAL(3,$B$6:B284)</f>
        <v>65</v>
      </c>
      <c r="B284" t="s">
        <v>346</v>
      </c>
      <c r="C284" t="s">
        <v>858</v>
      </c>
      <c r="D284">
        <v>1531.98</v>
      </c>
      <c r="E284">
        <v>2067.5500000000002</v>
      </c>
      <c r="F284">
        <v>2275.65</v>
      </c>
      <c r="G284">
        <v>2495.9199999999996</v>
      </c>
      <c r="H284">
        <v>6837.23</v>
      </c>
      <c r="I284">
        <v>6140.0830000000005</v>
      </c>
      <c r="J284">
        <v>6140.0830000000005</v>
      </c>
      <c r="K284">
        <v>7015.0829999999996</v>
      </c>
      <c r="L284">
        <v>6140.0830000000005</v>
      </c>
      <c r="M284">
        <v>6140.0830000000005</v>
      </c>
      <c r="N284">
        <v>6140.0830000000005</v>
      </c>
      <c r="O284">
        <v>6140.0829999999996</v>
      </c>
      <c r="P284">
        <v>1531.98</v>
      </c>
      <c r="Q284">
        <v>2067.5499999999997</v>
      </c>
      <c r="R284">
        <v>2275.65</v>
      </c>
      <c r="S284">
        <v>2495.92</v>
      </c>
      <c r="T284">
        <v>6837.23</v>
      </c>
      <c r="U284">
        <v>4994.3999999999996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f>SUMPRODUCT(DB_HighSOF[[#This Row],[Plan01]:[Plan12]],$D$4:$O$4)/valUnits2</f>
        <v>21.348413000000001</v>
      </c>
      <c r="AC284">
        <f>SUMPRODUCT(DB_HighSOF[[#This Row],[Act01]:[Act12]],$P$4:$AA$4)/valUnits2</f>
        <v>20.202729999999999</v>
      </c>
      <c r="AD284">
        <f>DB_HighSOF[[#This Row],[Actual]]-DB_HighSOF[[#This Row],[Plan]]</f>
        <v>-1.1456830000000018</v>
      </c>
      <c r="AE284">
        <f>IF(DB_HighSOF[[#This Row],[Plan]]&lt;&gt;0,DB_HighSOF[[#This Row],[Actual]]/DB_HighSOF[[#This Row],[Plan]],1.000011000011)</f>
        <v>0.94633404365935769</v>
      </c>
    </row>
    <row r="285" spans="1:31" hidden="1" x14ac:dyDescent="0.2">
      <c r="A285">
        <f>SUBTOTAL(3,$B$6:B285)</f>
        <v>65</v>
      </c>
      <c r="B285" t="s">
        <v>351</v>
      </c>
      <c r="C285" t="s">
        <v>877</v>
      </c>
      <c r="D285">
        <v>0</v>
      </c>
      <c r="E285">
        <v>2053.0590000000002</v>
      </c>
      <c r="F285">
        <v>2116.81</v>
      </c>
      <c r="G285">
        <v>7129.4940000000006</v>
      </c>
      <c r="H285">
        <v>4156.6039999999994</v>
      </c>
      <c r="I285">
        <v>4821.7010000000009</v>
      </c>
      <c r="J285">
        <v>4821.701</v>
      </c>
      <c r="K285">
        <v>4821.7010000000009</v>
      </c>
      <c r="L285">
        <v>4821.7010000000009</v>
      </c>
      <c r="M285">
        <v>4821.7010000000009</v>
      </c>
      <c r="N285">
        <v>4821.7010000000009</v>
      </c>
      <c r="O285">
        <v>4821.7010000000009</v>
      </c>
      <c r="P285">
        <v>0</v>
      </c>
      <c r="Q285">
        <v>2095.5700000000006</v>
      </c>
      <c r="R285">
        <v>2135.3300000000004</v>
      </c>
      <c r="S285">
        <v>7151.59</v>
      </c>
      <c r="T285">
        <v>4128.6800000000012</v>
      </c>
      <c r="U285">
        <v>3412.01</v>
      </c>
      <c r="V285">
        <v>1222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f>SUMPRODUCT(DB_HighSOF[[#This Row],[Plan01]:[Plan12]],$D$4:$O$4)/valUnits2</f>
        <v>20.277668000000002</v>
      </c>
      <c r="AC285">
        <f>SUMPRODUCT(DB_HighSOF[[#This Row],[Act01]:[Act12]],$P$4:$AA$4)/valUnits2</f>
        <v>18.923179999999999</v>
      </c>
      <c r="AD285">
        <f>DB_HighSOF[[#This Row],[Actual]]-DB_HighSOF[[#This Row],[Plan]]</f>
        <v>-1.3544880000000035</v>
      </c>
      <c r="AE285">
        <f>IF(DB_HighSOF[[#This Row],[Plan]]&lt;&gt;0,DB_HighSOF[[#This Row],[Actual]]/DB_HighSOF[[#This Row],[Plan]],1.000011000011)</f>
        <v>0.93320296988785878</v>
      </c>
    </row>
    <row r="286" spans="1:31" hidden="1" x14ac:dyDescent="0.2">
      <c r="A286">
        <f>SUBTOTAL(3,$B$6:B286)</f>
        <v>65</v>
      </c>
      <c r="B286" t="s">
        <v>351</v>
      </c>
      <c r="C286" t="s">
        <v>859</v>
      </c>
      <c r="D286">
        <v>1982.175</v>
      </c>
      <c r="E286">
        <v>2888.5659999999998</v>
      </c>
      <c r="F286">
        <v>3224.69</v>
      </c>
      <c r="G286">
        <v>4780.2919999999986</v>
      </c>
      <c r="H286">
        <v>4175.7380000000003</v>
      </c>
      <c r="I286">
        <v>2951.6419999999998</v>
      </c>
      <c r="J286">
        <v>2951.6419999999998</v>
      </c>
      <c r="K286">
        <v>2951.6419999999998</v>
      </c>
      <c r="L286">
        <v>2951.6420000000007</v>
      </c>
      <c r="M286">
        <v>2951.6419999999998</v>
      </c>
      <c r="N286">
        <v>2951.6420000000007</v>
      </c>
      <c r="O286">
        <v>4255.9470000000001</v>
      </c>
      <c r="P286">
        <v>1952.8600000000001</v>
      </c>
      <c r="Q286">
        <v>2949.1400000000003</v>
      </c>
      <c r="R286">
        <v>3253.8800000000006</v>
      </c>
      <c r="S286">
        <v>4807.51</v>
      </c>
      <c r="T286">
        <v>4143.6599999999989</v>
      </c>
      <c r="U286">
        <v>1475.37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f>SUMPRODUCT(DB_HighSOF[[#This Row],[Plan01]:[Plan12]],$D$4:$O$4)/valUnits2</f>
        <v>20.003102999999999</v>
      </c>
      <c r="AC286">
        <f>SUMPRODUCT(DB_HighSOF[[#This Row],[Act01]:[Act12]],$P$4:$AA$4)/valUnits2</f>
        <v>18.582419999999999</v>
      </c>
      <c r="AD286">
        <f>DB_HighSOF[[#This Row],[Actual]]-DB_HighSOF[[#This Row],[Plan]]</f>
        <v>-1.4206830000000004</v>
      </c>
      <c r="AE286">
        <f>IF(DB_HighSOF[[#This Row],[Plan]]&lt;&gt;0,DB_HighSOF[[#This Row],[Actual]]/DB_HighSOF[[#This Row],[Plan]],1.000011000011)</f>
        <v>0.92897686923873757</v>
      </c>
    </row>
    <row r="287" spans="1:31" hidden="1" x14ac:dyDescent="0.2">
      <c r="A287">
        <f>SUBTOTAL(3,$B$6:B287)</f>
        <v>65</v>
      </c>
      <c r="B287" t="s">
        <v>350</v>
      </c>
      <c r="C287" t="s">
        <v>919</v>
      </c>
      <c r="D287">
        <v>0</v>
      </c>
      <c r="E287">
        <v>807.78099999999995</v>
      </c>
      <c r="F287">
        <v>1252.502</v>
      </c>
      <c r="G287">
        <v>538.79200000000003</v>
      </c>
      <c r="H287">
        <v>731.83799999999997</v>
      </c>
      <c r="I287">
        <v>1917.348</v>
      </c>
      <c r="J287">
        <v>1917.3479999999997</v>
      </c>
      <c r="K287">
        <v>1917.348</v>
      </c>
      <c r="L287">
        <v>1917.348</v>
      </c>
      <c r="M287">
        <v>1917.348</v>
      </c>
      <c r="N287">
        <v>1917.348</v>
      </c>
      <c r="O287">
        <v>1917.348</v>
      </c>
      <c r="P287">
        <v>0</v>
      </c>
      <c r="Q287">
        <v>824.72</v>
      </c>
      <c r="R287">
        <v>1263.8400000000001</v>
      </c>
      <c r="S287">
        <v>535.72</v>
      </c>
      <c r="T287">
        <v>729.76</v>
      </c>
      <c r="U287">
        <v>625.91000000000008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f>SUMPRODUCT(DB_HighSOF[[#This Row],[Plan01]:[Plan12]],$D$4:$O$4)/valUnits2</f>
        <v>5.2482609999999994</v>
      </c>
      <c r="AC287">
        <f>SUMPRODUCT(DB_HighSOF[[#This Row],[Act01]:[Act12]],$P$4:$AA$4)/valUnits2</f>
        <v>3.9799500000000005</v>
      </c>
      <c r="AD287">
        <f>DB_HighSOF[[#This Row],[Actual]]-DB_HighSOF[[#This Row],[Plan]]</f>
        <v>-1.2683109999999989</v>
      </c>
      <c r="AE287">
        <f>IF(DB_HighSOF[[#This Row],[Plan]]&lt;&gt;0,DB_HighSOF[[#This Row],[Actual]]/DB_HighSOF[[#This Row],[Plan]],1.000011000011)</f>
        <v>0.75833690435746259</v>
      </c>
    </row>
    <row r="288" spans="1:31" hidden="1" x14ac:dyDescent="0.2">
      <c r="A288">
        <f>SUBTOTAL(3,$B$6:B288)</f>
        <v>65</v>
      </c>
      <c r="B288" t="s">
        <v>351</v>
      </c>
      <c r="C288" t="s">
        <v>918</v>
      </c>
      <c r="D288">
        <v>0</v>
      </c>
      <c r="G288">
        <v>963.07899999999995</v>
      </c>
      <c r="H288">
        <v>349.35700000000008</v>
      </c>
      <c r="I288">
        <v>1697.268</v>
      </c>
      <c r="J288">
        <v>1697.268</v>
      </c>
      <c r="K288">
        <v>1697.268</v>
      </c>
      <c r="L288">
        <v>1697.268</v>
      </c>
      <c r="M288">
        <v>1697.268</v>
      </c>
      <c r="N288">
        <v>1697.268</v>
      </c>
      <c r="O288">
        <v>1697.268</v>
      </c>
      <c r="P288">
        <v>0</v>
      </c>
      <c r="S288">
        <v>972.67</v>
      </c>
      <c r="T288">
        <v>349.78000000000003</v>
      </c>
      <c r="U288">
        <v>248.85999999999999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f>SUMPRODUCT(DB_HighSOF[[#This Row],[Plan01]:[Plan12]],$D$4:$O$4)/valUnits2</f>
        <v>3.0097040000000002</v>
      </c>
      <c r="AC288">
        <f>SUMPRODUCT(DB_HighSOF[[#This Row],[Act01]:[Act12]],$P$4:$AA$4)/valUnits2</f>
        <v>1.57131</v>
      </c>
      <c r="AD288">
        <f>DB_HighSOF[[#This Row],[Actual]]-DB_HighSOF[[#This Row],[Plan]]</f>
        <v>-1.4383940000000002</v>
      </c>
      <c r="AE288">
        <f>IF(DB_HighSOF[[#This Row],[Plan]]&lt;&gt;0,DB_HighSOF[[#This Row],[Actual]]/DB_HighSOF[[#This Row],[Plan]],1.000011000011)</f>
        <v>0.52208124121176036</v>
      </c>
    </row>
    <row r="289" spans="1:31" hidden="1" x14ac:dyDescent="0.2">
      <c r="A289">
        <f>SUBTOTAL(3,$B$6:B289)</f>
        <v>65</v>
      </c>
      <c r="B289" t="s">
        <v>351</v>
      </c>
      <c r="C289" t="s">
        <v>895</v>
      </c>
      <c r="D289">
        <v>849.88799999999992</v>
      </c>
      <c r="E289">
        <v>1208.2339999999999</v>
      </c>
      <c r="F289">
        <v>1330.3990000000001</v>
      </c>
      <c r="G289">
        <v>5267.4229999999989</v>
      </c>
      <c r="H289">
        <v>3358.9870000000005</v>
      </c>
      <c r="I289">
        <v>4295.5820000000003</v>
      </c>
      <c r="J289">
        <v>4295.5820000000003</v>
      </c>
      <c r="K289">
        <v>4295.5820000000003</v>
      </c>
      <c r="L289">
        <v>4295.5819999999994</v>
      </c>
      <c r="M289">
        <v>4295.5820000000003</v>
      </c>
      <c r="N289">
        <v>4295.5820000000003</v>
      </c>
      <c r="O289">
        <v>4295.5820000000003</v>
      </c>
      <c r="P289">
        <v>837.31999999999994</v>
      </c>
      <c r="Q289">
        <v>1233.57</v>
      </c>
      <c r="R289">
        <v>1342.44</v>
      </c>
      <c r="S289">
        <v>5265.25</v>
      </c>
      <c r="T289">
        <v>3366.95</v>
      </c>
      <c r="U289">
        <v>2284.4500000000003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f>SUMPRODUCT(DB_HighSOF[[#This Row],[Plan01]:[Plan12]],$D$4:$O$4)/valUnits2</f>
        <v>16.310513</v>
      </c>
      <c r="AC289">
        <f>SUMPRODUCT(DB_HighSOF[[#This Row],[Act01]:[Act12]],$P$4:$AA$4)/valUnits2</f>
        <v>14.329979999999999</v>
      </c>
      <c r="AD289">
        <f>DB_HighSOF[[#This Row],[Actual]]-DB_HighSOF[[#This Row],[Plan]]</f>
        <v>-1.9805330000000012</v>
      </c>
      <c r="AE289">
        <f>IF(DB_HighSOF[[#This Row],[Plan]]&lt;&gt;0,DB_HighSOF[[#This Row],[Actual]]/DB_HighSOF[[#This Row],[Plan]],1.000011000011)</f>
        <v>0.87857322452089637</v>
      </c>
    </row>
    <row r="290" spans="1:31" hidden="1" x14ac:dyDescent="0.2">
      <c r="A290">
        <f>SUBTOTAL(3,$B$6:B290)</f>
        <v>65</v>
      </c>
      <c r="B290" t="s">
        <v>348</v>
      </c>
      <c r="C290" t="s">
        <v>858</v>
      </c>
      <c r="D290">
        <v>0</v>
      </c>
      <c r="E290">
        <v>0</v>
      </c>
      <c r="F290">
        <v>0</v>
      </c>
      <c r="G290">
        <v>255.96</v>
      </c>
      <c r="H290">
        <v>630.76</v>
      </c>
      <c r="I290">
        <v>1416.6660000000002</v>
      </c>
      <c r="J290">
        <v>1416.6660000000002</v>
      </c>
      <c r="K290">
        <v>1499.999</v>
      </c>
      <c r="L290">
        <v>1416.6660000000002</v>
      </c>
      <c r="M290">
        <v>1416.6660000000002</v>
      </c>
      <c r="N290">
        <v>1416.6660000000002</v>
      </c>
      <c r="O290">
        <v>1416.6660000000002</v>
      </c>
      <c r="P290">
        <v>0</v>
      </c>
      <c r="Q290">
        <v>0</v>
      </c>
      <c r="R290">
        <v>0</v>
      </c>
      <c r="S290">
        <v>255.96</v>
      </c>
      <c r="T290">
        <v>630.76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f>SUMPRODUCT(DB_HighSOF[[#This Row],[Plan01]:[Plan12]],$D$4:$O$4)/valUnits2</f>
        <v>2.3033860000000006</v>
      </c>
      <c r="AC290">
        <f>SUMPRODUCT(DB_HighSOF[[#This Row],[Act01]:[Act12]],$P$4:$AA$4)/valUnits2</f>
        <v>0.88672000000000006</v>
      </c>
      <c r="AD290">
        <f>DB_HighSOF[[#This Row],[Actual]]-DB_HighSOF[[#This Row],[Plan]]</f>
        <v>-1.4166660000000006</v>
      </c>
      <c r="AE290">
        <f>IF(DB_HighSOF[[#This Row],[Plan]]&lt;&gt;0,DB_HighSOF[[#This Row],[Actual]]/DB_HighSOF[[#This Row],[Plan]],1.000011000011)</f>
        <v>0.38496370126413887</v>
      </c>
    </row>
    <row r="291" spans="1:31" hidden="1" x14ac:dyDescent="0.2">
      <c r="A291">
        <f>SUBTOTAL(3,$B$6:B291)</f>
        <v>65</v>
      </c>
      <c r="B291" t="s">
        <v>351</v>
      </c>
      <c r="C291" t="s">
        <v>872</v>
      </c>
      <c r="G291">
        <v>1531.8340000000001</v>
      </c>
      <c r="H291">
        <v>-1129.3790000000001</v>
      </c>
      <c r="I291">
        <v>2558.6289999999999</v>
      </c>
      <c r="J291">
        <v>2558.6289999999999</v>
      </c>
      <c r="K291">
        <v>2558.6289999999999</v>
      </c>
      <c r="L291">
        <v>2558.6289999999999</v>
      </c>
      <c r="M291">
        <v>2558.6289999999999</v>
      </c>
      <c r="N291">
        <v>2558.6289999999999</v>
      </c>
      <c r="O291">
        <v>2558.6289999999999</v>
      </c>
      <c r="S291">
        <v>1549.98</v>
      </c>
      <c r="T291">
        <v>-1169.7699999999998</v>
      </c>
      <c r="U291">
        <v>373.56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f>SUMPRODUCT(DB_HighSOF[[#This Row],[Plan01]:[Plan12]],$D$4:$O$4)/valUnits2</f>
        <v>2.961084</v>
      </c>
      <c r="AC291">
        <f>SUMPRODUCT(DB_HighSOF[[#This Row],[Act01]:[Act12]],$P$4:$AA$4)/valUnits2</f>
        <v>0.75377000000000016</v>
      </c>
      <c r="AD291">
        <f>DB_HighSOF[[#This Row],[Actual]]-DB_HighSOF[[#This Row],[Plan]]</f>
        <v>-2.2073139999999998</v>
      </c>
      <c r="AE291">
        <f>IF(DB_HighSOF[[#This Row],[Plan]]&lt;&gt;0,DB_HighSOF[[#This Row],[Actual]]/DB_HighSOF[[#This Row],[Plan]],1.000011000011)</f>
        <v>0.25455880346521753</v>
      </c>
    </row>
    <row r="292" spans="1:31" hidden="1" x14ac:dyDescent="0.2">
      <c r="A292">
        <f>SUBTOTAL(3,$B$6:B292)</f>
        <v>65</v>
      </c>
      <c r="B292" t="s">
        <v>343</v>
      </c>
      <c r="C292" t="s">
        <v>846</v>
      </c>
      <c r="D292">
        <v>10113.969999999998</v>
      </c>
      <c r="E292">
        <v>86.5</v>
      </c>
      <c r="F292">
        <v>79.170000000000258</v>
      </c>
      <c r="G292">
        <v>2765.04</v>
      </c>
      <c r="H292">
        <v>2810.61</v>
      </c>
      <c r="I292">
        <v>4089.3270000000002</v>
      </c>
      <c r="J292">
        <v>4089.3270000000002</v>
      </c>
      <c r="K292">
        <v>4089.3270000000002</v>
      </c>
      <c r="L292">
        <v>4089.3270000000002</v>
      </c>
      <c r="M292">
        <v>4089.3270000000002</v>
      </c>
      <c r="N292">
        <v>4089.3270000000002</v>
      </c>
      <c r="O292">
        <v>4089.3270000000002</v>
      </c>
      <c r="P292">
        <v>10113.969999999999</v>
      </c>
      <c r="Q292">
        <v>86.5</v>
      </c>
      <c r="R292">
        <v>79.169999999999987</v>
      </c>
      <c r="S292">
        <v>2765.0400000000004</v>
      </c>
      <c r="T292">
        <v>2810.6099999999997</v>
      </c>
      <c r="U292">
        <v>2630.05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f>SUMPRODUCT(DB_HighSOF[[#This Row],[Plan01]:[Plan12]],$D$4:$O$4)/valUnits2</f>
        <v>19.944616999999997</v>
      </c>
      <c r="AC292">
        <f>SUMPRODUCT(DB_HighSOF[[#This Row],[Act01]:[Act12]],$P$4:$AA$4)/valUnits2</f>
        <v>18.485340000000001</v>
      </c>
      <c r="AD292">
        <f>DB_HighSOF[[#This Row],[Actual]]-DB_HighSOF[[#This Row],[Plan]]</f>
        <v>-1.4592769999999966</v>
      </c>
      <c r="AE292">
        <f>IF(DB_HighSOF[[#This Row],[Plan]]&lt;&gt;0,DB_HighSOF[[#This Row],[Actual]]/DB_HighSOF[[#This Row],[Plan]],1.000011000011)</f>
        <v>0.92683354110033811</v>
      </c>
    </row>
    <row r="293" spans="1:31" hidden="1" x14ac:dyDescent="0.2">
      <c r="A293">
        <f>SUBTOTAL(3,$B$6:B293)</f>
        <v>65</v>
      </c>
      <c r="B293" t="s">
        <v>351</v>
      </c>
      <c r="C293" t="s">
        <v>932</v>
      </c>
      <c r="G293">
        <v>1696.7919999999997</v>
      </c>
      <c r="H293">
        <v>2197.6799999999998</v>
      </c>
      <c r="I293">
        <v>1013.4809999999999</v>
      </c>
      <c r="J293">
        <v>1013.4809999999999</v>
      </c>
      <c r="K293">
        <v>1013.4809999999999</v>
      </c>
      <c r="L293">
        <v>1013.4809999999999</v>
      </c>
      <c r="M293">
        <v>1013.4809999999999</v>
      </c>
      <c r="N293">
        <v>1013.4809999999999</v>
      </c>
      <c r="O293">
        <v>1013.4809999999999</v>
      </c>
      <c r="S293">
        <v>687.24</v>
      </c>
      <c r="T293">
        <v>1270.29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f>SUMPRODUCT(DB_HighSOF[[#This Row],[Plan01]:[Plan12]],$D$4:$O$4)/valUnits2</f>
        <v>4.9079529999999991</v>
      </c>
      <c r="AC293">
        <f>SUMPRODUCT(DB_HighSOF[[#This Row],[Act01]:[Act12]],$P$4:$AA$4)/valUnits2</f>
        <v>1.95753</v>
      </c>
      <c r="AD293">
        <f>DB_HighSOF[[#This Row],[Actual]]-DB_HighSOF[[#This Row],[Plan]]</f>
        <v>-2.9504229999999989</v>
      </c>
      <c r="AE293">
        <f>IF(DB_HighSOF[[#This Row],[Plan]]&lt;&gt;0,DB_HighSOF[[#This Row],[Actual]]/DB_HighSOF[[#This Row],[Plan]],1.000011000011)</f>
        <v>0.39884856273073527</v>
      </c>
    </row>
    <row r="294" spans="1:31" x14ac:dyDescent="0.2">
      <c r="A294">
        <f>SUBTOTAL(3,$B$6:B294)</f>
        <v>66</v>
      </c>
      <c r="B294" t="s">
        <v>1</v>
      </c>
      <c r="C294" t="s">
        <v>875</v>
      </c>
      <c r="D294">
        <v>1044.6479999999999</v>
      </c>
      <c r="E294">
        <v>692.01299999999992</v>
      </c>
      <c r="F294">
        <v>2494.0889999999999</v>
      </c>
      <c r="G294">
        <v>6447.8270000000011</v>
      </c>
      <c r="H294">
        <v>45328.12999999999</v>
      </c>
      <c r="I294">
        <v>11227.68</v>
      </c>
      <c r="J294">
        <v>11227.68</v>
      </c>
      <c r="K294">
        <v>11227.68</v>
      </c>
      <c r="L294">
        <v>11227.68</v>
      </c>
      <c r="M294">
        <v>11227.68</v>
      </c>
      <c r="N294">
        <v>11227.679999999998</v>
      </c>
      <c r="O294">
        <v>11227.679999999998</v>
      </c>
      <c r="P294">
        <v>1065.98</v>
      </c>
      <c r="Q294">
        <v>690.56999999999994</v>
      </c>
      <c r="R294">
        <v>2552.1999999999998</v>
      </c>
      <c r="S294">
        <v>6371.4800000000014</v>
      </c>
      <c r="T294">
        <v>46634.89</v>
      </c>
      <c r="U294">
        <v>7114.52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f>SUMPRODUCT(DB_HighSOF[[#This Row],[Plan01]:[Plan12]],$D$4:$O$4)/valUnits2</f>
        <v>67.234386999999984</v>
      </c>
      <c r="AC294">
        <f>SUMPRODUCT(DB_HighSOF[[#This Row],[Act01]:[Act12]],$P$4:$AA$4)/valUnits2</f>
        <v>64.429640000000006</v>
      </c>
      <c r="AD294">
        <f>DB_HighSOF[[#This Row],[Actual]]-DB_HighSOF[[#This Row],[Plan]]</f>
        <v>-2.8047469999999777</v>
      </c>
      <c r="AE294">
        <f>IF(DB_HighSOF[[#This Row],[Plan]]&lt;&gt;0,DB_HighSOF[[#This Row],[Actual]]/DB_HighSOF[[#This Row],[Plan]],1.000011000011)</f>
        <v>0.95828403998091072</v>
      </c>
    </row>
    <row r="295" spans="1:31" x14ac:dyDescent="0.2">
      <c r="A295">
        <f>SUBTOTAL(3,$B$6:B295)</f>
        <v>67</v>
      </c>
      <c r="B295" t="s">
        <v>1</v>
      </c>
      <c r="C295" t="s">
        <v>865</v>
      </c>
      <c r="D295">
        <v>865.33799999999997</v>
      </c>
      <c r="E295">
        <v>-877.99099999999999</v>
      </c>
      <c r="F295">
        <v>0</v>
      </c>
      <c r="G295">
        <v>122.04299999999999</v>
      </c>
      <c r="H295">
        <v>11338.200999999999</v>
      </c>
      <c r="I295">
        <v>2932.069</v>
      </c>
      <c r="J295">
        <v>2932.069</v>
      </c>
      <c r="K295">
        <v>2932.069</v>
      </c>
      <c r="L295">
        <v>2932.069</v>
      </c>
      <c r="M295">
        <v>2932.069</v>
      </c>
      <c r="N295">
        <v>2932.069</v>
      </c>
      <c r="O295">
        <v>2932.069</v>
      </c>
      <c r="P295">
        <v>865.34</v>
      </c>
      <c r="Q295">
        <v>-864.9</v>
      </c>
      <c r="R295">
        <v>0</v>
      </c>
      <c r="S295">
        <v>121.11000000000001</v>
      </c>
      <c r="T295">
        <v>11353.5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f>SUMPRODUCT(DB_HighSOF[[#This Row],[Plan01]:[Plan12]],$D$4:$O$4)/valUnits2</f>
        <v>14.379659999999998</v>
      </c>
      <c r="AC295">
        <f>SUMPRODUCT(DB_HighSOF[[#This Row],[Act01]:[Act12]],$P$4:$AA$4)/valUnits2</f>
        <v>11.47505</v>
      </c>
      <c r="AD295">
        <f>DB_HighSOF[[#This Row],[Actual]]-DB_HighSOF[[#This Row],[Plan]]</f>
        <v>-2.9046099999999981</v>
      </c>
      <c r="AE295">
        <f>IF(DB_HighSOF[[#This Row],[Plan]]&lt;&gt;0,DB_HighSOF[[#This Row],[Actual]]/DB_HighSOF[[#This Row],[Plan]],1.000011000011)</f>
        <v>0.79800565521020672</v>
      </c>
    </row>
    <row r="296" spans="1:31" x14ac:dyDescent="0.2">
      <c r="A296">
        <f>SUBTOTAL(3,$B$6:B296)</f>
        <v>68</v>
      </c>
      <c r="B296" t="s">
        <v>1</v>
      </c>
      <c r="C296" t="s">
        <v>842</v>
      </c>
      <c r="D296">
        <v>0</v>
      </c>
      <c r="E296">
        <v>0</v>
      </c>
      <c r="F296">
        <v>205.351</v>
      </c>
      <c r="G296">
        <v>7487.9770000000008</v>
      </c>
      <c r="H296">
        <v>56966.083000000006</v>
      </c>
      <c r="I296">
        <v>23893.074000000001</v>
      </c>
      <c r="J296">
        <v>45072.378000000004</v>
      </c>
      <c r="K296">
        <v>23893.074000000001</v>
      </c>
      <c r="L296">
        <v>23893.074000000001</v>
      </c>
      <c r="M296">
        <v>23893.074000000001</v>
      </c>
      <c r="N296">
        <v>23893.074000000001</v>
      </c>
      <c r="O296">
        <v>49574.838000000003</v>
      </c>
      <c r="P296">
        <v>0</v>
      </c>
      <c r="Q296">
        <v>0</v>
      </c>
      <c r="R296">
        <v>207.21</v>
      </c>
      <c r="S296">
        <v>7521.44</v>
      </c>
      <c r="T296">
        <v>56837.04</v>
      </c>
      <c r="U296">
        <v>20980.080000000002</v>
      </c>
      <c r="V296">
        <v>3097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f>SUMPRODUCT(DB_HighSOF[[#This Row],[Plan01]:[Plan12]],$D$4:$O$4)/valUnits2</f>
        <v>88.552485000000019</v>
      </c>
      <c r="AC296">
        <f>SUMPRODUCT(DB_HighSOF[[#This Row],[Act01]:[Act12]],$P$4:$AA$4)/valUnits2</f>
        <v>85.545770000000005</v>
      </c>
      <c r="AD296">
        <f>DB_HighSOF[[#This Row],[Actual]]-DB_HighSOF[[#This Row],[Plan]]</f>
        <v>-3.006715000000014</v>
      </c>
      <c r="AE296">
        <f>IF(DB_HighSOF[[#This Row],[Plan]]&lt;&gt;0,DB_HighSOF[[#This Row],[Actual]]/DB_HighSOF[[#This Row],[Plan]],1.000011000011)</f>
        <v>0.9660459556837957</v>
      </c>
    </row>
    <row r="297" spans="1:31" hidden="1" x14ac:dyDescent="0.2">
      <c r="A297">
        <f>SUBTOTAL(3,$B$6:B297)</f>
        <v>68</v>
      </c>
      <c r="B297" t="s">
        <v>351</v>
      </c>
      <c r="C297" t="s">
        <v>882</v>
      </c>
      <c r="D297">
        <v>1352.0840000000001</v>
      </c>
      <c r="E297">
        <v>1363.2240000000002</v>
      </c>
      <c r="F297">
        <v>1887.8979999999997</v>
      </c>
      <c r="G297">
        <v>4533.2669999999998</v>
      </c>
      <c r="H297">
        <v>3576.7540000000004</v>
      </c>
      <c r="I297">
        <v>5631.1980000000003</v>
      </c>
      <c r="J297">
        <v>5305.1220000000003</v>
      </c>
      <c r="K297">
        <v>5305.1220000000003</v>
      </c>
      <c r="L297">
        <v>5631.1980000000003</v>
      </c>
      <c r="M297">
        <v>5305.1220000000003</v>
      </c>
      <c r="N297">
        <v>5305.1220000000003</v>
      </c>
      <c r="O297">
        <v>5631.1980000000003</v>
      </c>
      <c r="P297">
        <v>1332.09</v>
      </c>
      <c r="Q297">
        <v>1391.81</v>
      </c>
      <c r="R297">
        <v>1904.99</v>
      </c>
      <c r="S297">
        <v>4506.17</v>
      </c>
      <c r="T297">
        <v>3569.5899999999997</v>
      </c>
      <c r="U297">
        <v>2452.8199999999997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f>SUMPRODUCT(DB_HighSOF[[#This Row],[Plan01]:[Plan12]],$D$4:$O$4)/valUnits2</f>
        <v>18.344425000000005</v>
      </c>
      <c r="AC297">
        <f>SUMPRODUCT(DB_HighSOF[[#This Row],[Act01]:[Act12]],$P$4:$AA$4)/valUnits2</f>
        <v>15.15747</v>
      </c>
      <c r="AD297">
        <f>DB_HighSOF[[#This Row],[Actual]]-DB_HighSOF[[#This Row],[Plan]]</f>
        <v>-3.1869550000000046</v>
      </c>
      <c r="AE297">
        <f>IF(DB_HighSOF[[#This Row],[Plan]]&lt;&gt;0,DB_HighSOF[[#This Row],[Actual]]/DB_HighSOF[[#This Row],[Plan]],1.000011000011)</f>
        <v>0.82627119683500549</v>
      </c>
    </row>
    <row r="298" spans="1:31" hidden="1" x14ac:dyDescent="0.2">
      <c r="A298">
        <f>SUBTOTAL(3,$B$6:B298)</f>
        <v>68</v>
      </c>
      <c r="B298" t="s">
        <v>349</v>
      </c>
      <c r="C298" t="s">
        <v>854</v>
      </c>
      <c r="D298">
        <v>10.851000000000001</v>
      </c>
      <c r="E298">
        <v>387.96699999999998</v>
      </c>
      <c r="F298">
        <v>140.29400000000001</v>
      </c>
      <c r="G298">
        <v>9715.5190000000002</v>
      </c>
      <c r="H298">
        <v>1785.4860000000001</v>
      </c>
      <c r="I298">
        <v>1880.8790000000001</v>
      </c>
      <c r="J298">
        <v>1880.8790000000001</v>
      </c>
      <c r="K298">
        <v>1880.8790000000001</v>
      </c>
      <c r="L298">
        <v>1880.8790000000001</v>
      </c>
      <c r="M298">
        <v>1880.8790000000001</v>
      </c>
      <c r="N298">
        <v>1880.8790000000001</v>
      </c>
      <c r="O298">
        <v>1880.8790000000001</v>
      </c>
      <c r="P298">
        <v>10.9</v>
      </c>
      <c r="Q298">
        <v>395.52</v>
      </c>
      <c r="R298">
        <v>139.77000000000001</v>
      </c>
      <c r="S298">
        <v>9751.92</v>
      </c>
      <c r="T298">
        <v>1809.73</v>
      </c>
      <c r="U298">
        <v>-250.13000000000008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f>SUMPRODUCT(DB_HighSOF[[#This Row],[Plan01]:[Plan12]],$D$4:$O$4)/valUnits2</f>
        <v>13.920996000000001</v>
      </c>
      <c r="AC298">
        <f>SUMPRODUCT(DB_HighSOF[[#This Row],[Act01]:[Act12]],$P$4:$AA$4)/valUnits2</f>
        <v>11.857710000000001</v>
      </c>
      <c r="AD298">
        <f>DB_HighSOF[[#This Row],[Actual]]-DB_HighSOF[[#This Row],[Plan]]</f>
        <v>-2.0632859999999997</v>
      </c>
      <c r="AE298">
        <f>IF(DB_HighSOF[[#This Row],[Plan]]&lt;&gt;0,DB_HighSOF[[#This Row],[Actual]]/DB_HighSOF[[#This Row],[Plan]],1.000011000011)</f>
        <v>0.85178603599914837</v>
      </c>
    </row>
    <row r="299" spans="1:31" hidden="1" x14ac:dyDescent="0.2">
      <c r="A299">
        <f>SUBTOTAL(3,$B$6:B299)</f>
        <v>68</v>
      </c>
      <c r="B299" t="s">
        <v>348</v>
      </c>
      <c r="C299" t="s">
        <v>842</v>
      </c>
      <c r="D299">
        <v>0</v>
      </c>
      <c r="E299">
        <v>0</v>
      </c>
      <c r="F299">
        <v>205.351</v>
      </c>
      <c r="G299">
        <v>16.495000000000001</v>
      </c>
      <c r="H299">
        <v>41168.827000000005</v>
      </c>
      <c r="I299">
        <v>13974.606000000002</v>
      </c>
      <c r="J299">
        <v>35153.910000000003</v>
      </c>
      <c r="K299">
        <v>13974.606000000002</v>
      </c>
      <c r="L299">
        <v>13974.606000000002</v>
      </c>
      <c r="M299">
        <v>13974.606000000002</v>
      </c>
      <c r="N299">
        <v>13974.606000000002</v>
      </c>
      <c r="O299">
        <v>39656.370000000003</v>
      </c>
      <c r="P299">
        <v>0</v>
      </c>
      <c r="Q299">
        <v>0</v>
      </c>
      <c r="R299">
        <v>207.21</v>
      </c>
      <c r="S299">
        <v>16.47</v>
      </c>
      <c r="T299">
        <v>41060.94</v>
      </c>
      <c r="U299">
        <v>11836.960000000003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f>SUMPRODUCT(DB_HighSOF[[#This Row],[Plan01]:[Plan12]],$D$4:$O$4)/valUnits2</f>
        <v>55.365279000000001</v>
      </c>
      <c r="AC299">
        <f>SUMPRODUCT(DB_HighSOF[[#This Row],[Act01]:[Act12]],$P$4:$AA$4)/valUnits2</f>
        <v>53.121580000000002</v>
      </c>
      <c r="AD299">
        <f>DB_HighSOF[[#This Row],[Actual]]-DB_HighSOF[[#This Row],[Plan]]</f>
        <v>-2.2436989999999994</v>
      </c>
      <c r="AE299">
        <f>IF(DB_HighSOF[[#This Row],[Plan]]&lt;&gt;0,DB_HighSOF[[#This Row],[Actual]]/DB_HighSOF[[#This Row],[Plan]],1.000011000011)</f>
        <v>0.95947461946321988</v>
      </c>
    </row>
    <row r="300" spans="1:31" hidden="1" x14ac:dyDescent="0.2">
      <c r="A300">
        <f>SUBTOTAL(3,$B$6:B300)</f>
        <v>68</v>
      </c>
      <c r="B300" t="s">
        <v>351</v>
      </c>
      <c r="C300" t="s">
        <v>928</v>
      </c>
      <c r="D300">
        <v>8.7899999999999991</v>
      </c>
      <c r="E300">
        <v>1004.303</v>
      </c>
      <c r="F300">
        <v>928.56899999999996</v>
      </c>
      <c r="G300">
        <v>1172.3599999999999</v>
      </c>
      <c r="H300">
        <v>241.041</v>
      </c>
      <c r="I300">
        <v>0</v>
      </c>
      <c r="P300">
        <v>8.66</v>
      </c>
      <c r="Q300">
        <v>1024.8300000000002</v>
      </c>
      <c r="R300">
        <v>936.33999999999992</v>
      </c>
      <c r="S300">
        <v>1169.8700000000001</v>
      </c>
      <c r="T300">
        <v>246.42000000000002</v>
      </c>
      <c r="U300">
        <v>-3377.46</v>
      </c>
      <c r="AB300">
        <f>SUMPRODUCT(DB_HighSOF[[#This Row],[Plan01]:[Plan12]],$D$4:$O$4)/valUnits2</f>
        <v>3.3550629999999999</v>
      </c>
      <c r="AC300">
        <f>SUMPRODUCT(DB_HighSOF[[#This Row],[Act01]:[Act12]],$P$4:$AA$4)/valUnits2</f>
        <v>8.6600000000003098E-3</v>
      </c>
      <c r="AD300">
        <f>DB_HighSOF[[#This Row],[Actual]]-DB_HighSOF[[#This Row],[Plan]]</f>
        <v>-3.3464029999999996</v>
      </c>
      <c r="AE300">
        <f>IF(DB_HighSOF[[#This Row],[Plan]]&lt;&gt;0,DB_HighSOF[[#This Row],[Actual]]/DB_HighSOF[[#This Row],[Plan]],1.000011000011)</f>
        <v>2.5811735875005356E-3</v>
      </c>
    </row>
    <row r="301" spans="1:31" hidden="1" x14ac:dyDescent="0.2">
      <c r="A301">
        <f>SUBTOTAL(3,$B$6:B301)</f>
        <v>68</v>
      </c>
      <c r="B301" t="s">
        <v>350</v>
      </c>
      <c r="C301" t="s">
        <v>884</v>
      </c>
      <c r="D301">
        <v>2269.3469999999998</v>
      </c>
      <c r="E301">
        <v>2270.8869999999997</v>
      </c>
      <c r="F301">
        <v>2324.0770000000002</v>
      </c>
      <c r="G301">
        <v>2241.6669999999999</v>
      </c>
      <c r="H301">
        <v>2019.4369999999999</v>
      </c>
      <c r="I301">
        <v>2241.6669999999999</v>
      </c>
      <c r="J301">
        <v>2241.6669999999999</v>
      </c>
      <c r="K301">
        <v>2241.6669999999999</v>
      </c>
      <c r="L301">
        <v>2241.6669999999999</v>
      </c>
      <c r="M301">
        <v>2241.6669999999999</v>
      </c>
      <c r="N301">
        <v>2241.6669999999999</v>
      </c>
      <c r="O301">
        <v>2241.6669999999999</v>
      </c>
      <c r="P301">
        <v>27.68</v>
      </c>
      <c r="Q301">
        <v>29.22</v>
      </c>
      <c r="R301">
        <v>82.41</v>
      </c>
      <c r="S301">
        <v>0</v>
      </c>
      <c r="T301">
        <v>-222.23000000000002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f>SUMPRODUCT(DB_HighSOF[[#This Row],[Plan01]:[Plan12]],$D$4:$O$4)/valUnits2</f>
        <v>13.367081999999998</v>
      </c>
      <c r="AC301">
        <f>SUMPRODUCT(DB_HighSOF[[#This Row],[Act01]:[Act12]],$P$4:$AA$4)/valUnits2</f>
        <v>-8.2920000000000021E-2</v>
      </c>
      <c r="AD301">
        <f>DB_HighSOF[[#This Row],[Actual]]-DB_HighSOF[[#This Row],[Plan]]</f>
        <v>-13.450001999999998</v>
      </c>
      <c r="AE301">
        <f>IF(DB_HighSOF[[#This Row],[Plan]]&lt;&gt;0,DB_HighSOF[[#This Row],[Actual]]/DB_HighSOF[[#This Row],[Plan]],1.000011000011)</f>
        <v>-6.2032985209487029E-3</v>
      </c>
    </row>
    <row r="302" spans="1:31" hidden="1" x14ac:dyDescent="0.2">
      <c r="A302">
        <f>SUBTOTAL(3,$B$6:B302)</f>
        <v>68</v>
      </c>
      <c r="B302" t="s">
        <v>342</v>
      </c>
      <c r="C302" t="s">
        <v>367</v>
      </c>
      <c r="D302">
        <v>1909.7419999999997</v>
      </c>
      <c r="E302">
        <v>62574.987999999998</v>
      </c>
      <c r="F302">
        <v>25593.973000000002</v>
      </c>
      <c r="G302">
        <v>33726.641999999993</v>
      </c>
      <c r="H302">
        <v>73608.182000000001</v>
      </c>
      <c r="I302">
        <v>8130.2859999999991</v>
      </c>
      <c r="J302">
        <v>7500.8200000000006</v>
      </c>
      <c r="K302">
        <v>7226.7739999999994</v>
      </c>
      <c r="L302">
        <v>7338.9439999999995</v>
      </c>
      <c r="M302">
        <v>0</v>
      </c>
      <c r="P302">
        <v>1877.9800000000002</v>
      </c>
      <c r="Q302">
        <v>64132.459999999992</v>
      </c>
      <c r="R302">
        <v>25966.91</v>
      </c>
      <c r="S302">
        <v>33449.18</v>
      </c>
      <c r="T302">
        <v>73199.72</v>
      </c>
      <c r="U302">
        <v>5846.7600000000029</v>
      </c>
      <c r="V302">
        <v>0</v>
      </c>
      <c r="W302">
        <v>0</v>
      </c>
      <c r="X302">
        <v>0</v>
      </c>
      <c r="Y302">
        <v>0</v>
      </c>
      <c r="AB302">
        <f>SUMPRODUCT(DB_HighSOF[[#This Row],[Plan01]:[Plan12]],$D$4:$O$4)/valUnits2</f>
        <v>205.543813</v>
      </c>
      <c r="AC302">
        <f>SUMPRODUCT(DB_HighSOF[[#This Row],[Act01]:[Act12]],$P$4:$AA$4)/valUnits2</f>
        <v>204.47301000000002</v>
      </c>
      <c r="AD302">
        <f>DB_HighSOF[[#This Row],[Actual]]-DB_HighSOF[[#This Row],[Plan]]</f>
        <v>-1.0708029999999837</v>
      </c>
      <c r="AE302">
        <f>IF(DB_HighSOF[[#This Row],[Plan]]&lt;&gt;0,DB_HighSOF[[#This Row],[Actual]]/DB_HighSOF[[#This Row],[Plan]],1.000011000011)</f>
        <v>0.99479039050423779</v>
      </c>
    </row>
    <row r="303" spans="1:31" hidden="1" x14ac:dyDescent="0.2">
      <c r="A303">
        <f>SUBTOTAL(3,$B$6:B303)</f>
        <v>68</v>
      </c>
      <c r="B303" t="s">
        <v>349</v>
      </c>
      <c r="C303" t="s">
        <v>866</v>
      </c>
      <c r="G303">
        <v>65.539999999999992</v>
      </c>
      <c r="H303">
        <v>2562.48</v>
      </c>
      <c r="I303">
        <v>0</v>
      </c>
      <c r="S303">
        <v>65.539999999999992</v>
      </c>
      <c r="T303">
        <v>2562.48</v>
      </c>
      <c r="U303">
        <v>-2398.81</v>
      </c>
      <c r="AB303">
        <f>SUMPRODUCT(DB_HighSOF[[#This Row],[Plan01]:[Plan12]],$D$4:$O$4)/valUnits2</f>
        <v>2.6280199999999998</v>
      </c>
      <c r="AC303">
        <f>SUMPRODUCT(DB_HighSOF[[#This Row],[Act01]:[Act12]],$P$4:$AA$4)/valUnits2</f>
        <v>0.22921000000000002</v>
      </c>
      <c r="AD303">
        <f>DB_HighSOF[[#This Row],[Actual]]-DB_HighSOF[[#This Row],[Plan]]</f>
        <v>-2.3988099999999997</v>
      </c>
      <c r="AE303">
        <f>IF(DB_HighSOF[[#This Row],[Plan]]&lt;&gt;0,DB_HighSOF[[#This Row],[Actual]]/DB_HighSOF[[#This Row],[Plan]],1.000011000011)</f>
        <v>8.7217753289548797E-2</v>
      </c>
    </row>
    <row r="304" spans="1:31" hidden="1" x14ac:dyDescent="0.2">
      <c r="A304">
        <f>SUBTOTAL(3,$B$6:B304)</f>
        <v>68</v>
      </c>
      <c r="B304" t="s">
        <v>349</v>
      </c>
      <c r="C304" t="s">
        <v>364</v>
      </c>
      <c r="D304">
        <v>61.42</v>
      </c>
      <c r="E304">
        <v>9.1999999999999993</v>
      </c>
      <c r="F304">
        <v>7.83</v>
      </c>
      <c r="G304">
        <v>0</v>
      </c>
      <c r="H304">
        <v>72.399999999999991</v>
      </c>
      <c r="I304">
        <v>3505.6389999999997</v>
      </c>
      <c r="J304">
        <v>3505.6389999999997</v>
      </c>
      <c r="K304">
        <v>1749.9290000000001</v>
      </c>
      <c r="P304">
        <v>61.42</v>
      </c>
      <c r="Q304">
        <v>9.1999999999999993</v>
      </c>
      <c r="R304">
        <v>7.83</v>
      </c>
      <c r="S304">
        <v>0</v>
      </c>
      <c r="T304">
        <v>72.400000000000006</v>
      </c>
      <c r="U304">
        <v>0</v>
      </c>
      <c r="V304">
        <v>0</v>
      </c>
      <c r="W304">
        <v>0</v>
      </c>
      <c r="AB304">
        <f>SUMPRODUCT(DB_HighSOF[[#This Row],[Plan01]:[Plan12]],$D$4:$O$4)/valUnits2</f>
        <v>3.6564889999999997</v>
      </c>
      <c r="AC304">
        <f>SUMPRODUCT(DB_HighSOF[[#This Row],[Act01]:[Act12]],$P$4:$AA$4)/valUnits2</f>
        <v>0.15085000000000001</v>
      </c>
      <c r="AD304">
        <f>DB_HighSOF[[#This Row],[Actual]]-DB_HighSOF[[#This Row],[Plan]]</f>
        <v>-3.5056389999999995</v>
      </c>
      <c r="AE304">
        <f>IF(DB_HighSOF[[#This Row],[Plan]]&lt;&gt;0,DB_HighSOF[[#This Row],[Actual]]/DB_HighSOF[[#This Row],[Plan]],1.000011000011)</f>
        <v>4.1255422893382153E-2</v>
      </c>
    </row>
    <row r="305" spans="1:31" x14ac:dyDescent="0.2">
      <c r="A305">
        <f>SUBTOTAL(3,$B$6:B305)</f>
        <v>69</v>
      </c>
      <c r="B305" t="s">
        <v>1</v>
      </c>
      <c r="C305" t="s">
        <v>854</v>
      </c>
      <c r="D305">
        <v>10.851000000000001</v>
      </c>
      <c r="E305">
        <v>387.96699999999998</v>
      </c>
      <c r="F305">
        <v>140.29400000000001</v>
      </c>
      <c r="G305">
        <v>12380.616</v>
      </c>
      <c r="H305">
        <v>2423.4120000000003</v>
      </c>
      <c r="I305">
        <v>4352.5360000000001</v>
      </c>
      <c r="J305">
        <v>4352.5360000000001</v>
      </c>
      <c r="K305">
        <v>4352.5360000000001</v>
      </c>
      <c r="L305">
        <v>4352.5360000000001</v>
      </c>
      <c r="M305">
        <v>4352.5360000000001</v>
      </c>
      <c r="N305">
        <v>4352.5360000000001</v>
      </c>
      <c r="O305">
        <v>4352.5360000000001</v>
      </c>
      <c r="P305">
        <v>10.9</v>
      </c>
      <c r="Q305">
        <v>395.52</v>
      </c>
      <c r="R305">
        <v>139.77000000000001</v>
      </c>
      <c r="S305">
        <v>12434.76</v>
      </c>
      <c r="T305">
        <v>2412.92</v>
      </c>
      <c r="U305">
        <v>1272.7299999999998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f>SUMPRODUCT(DB_HighSOF[[#This Row],[Plan01]:[Plan12]],$D$4:$O$4)/valUnits2</f>
        <v>19.695675999999999</v>
      </c>
      <c r="AC305">
        <f>SUMPRODUCT(DB_HighSOF[[#This Row],[Act01]:[Act12]],$P$4:$AA$4)/valUnits2</f>
        <v>16.666600000000003</v>
      </c>
      <c r="AD305">
        <f>DB_HighSOF[[#This Row],[Actual]]-DB_HighSOF[[#This Row],[Plan]]</f>
        <v>-3.0290759999999963</v>
      </c>
      <c r="AE305">
        <f>IF(DB_HighSOF[[#This Row],[Plan]]&lt;&gt;0,DB_HighSOF[[#This Row],[Actual]]/DB_HighSOF[[#This Row],[Plan]],1.000011000011)</f>
        <v>0.84620604035119196</v>
      </c>
    </row>
    <row r="306" spans="1:31" x14ac:dyDescent="0.2">
      <c r="A306">
        <f>SUBTOTAL(3,$B$6:B306)</f>
        <v>70</v>
      </c>
      <c r="B306" t="s">
        <v>1</v>
      </c>
      <c r="C306" t="s">
        <v>364</v>
      </c>
      <c r="D306">
        <v>61.42</v>
      </c>
      <c r="E306">
        <v>9.1999999999999993</v>
      </c>
      <c r="F306">
        <v>7.83</v>
      </c>
      <c r="G306">
        <v>0</v>
      </c>
      <c r="H306">
        <v>72.399999999999991</v>
      </c>
      <c r="I306">
        <v>3505.6389999999997</v>
      </c>
      <c r="J306">
        <v>3505.6389999999997</v>
      </c>
      <c r="K306">
        <v>1749.9290000000001</v>
      </c>
      <c r="P306">
        <v>61.42</v>
      </c>
      <c r="Q306">
        <v>9.1999999999999993</v>
      </c>
      <c r="R306">
        <v>7.83</v>
      </c>
      <c r="S306">
        <v>0</v>
      </c>
      <c r="T306">
        <v>72.400000000000006</v>
      </c>
      <c r="U306">
        <v>0</v>
      </c>
      <c r="V306">
        <v>0</v>
      </c>
      <c r="W306">
        <v>0</v>
      </c>
      <c r="AB306">
        <f>SUMPRODUCT(DB_HighSOF[[#This Row],[Plan01]:[Plan12]],$D$4:$O$4)/valUnits2</f>
        <v>3.6564889999999997</v>
      </c>
      <c r="AC306">
        <f>SUMPRODUCT(DB_HighSOF[[#This Row],[Act01]:[Act12]],$P$4:$AA$4)/valUnits2</f>
        <v>0.15085000000000001</v>
      </c>
      <c r="AD306">
        <f>DB_HighSOF[[#This Row],[Actual]]-DB_HighSOF[[#This Row],[Plan]]</f>
        <v>-3.5056389999999995</v>
      </c>
      <c r="AE306">
        <f>IF(DB_HighSOF[[#This Row],[Plan]]&lt;&gt;0,DB_HighSOF[[#This Row],[Actual]]/DB_HighSOF[[#This Row],[Plan]],1.000011000011)</f>
        <v>4.1255422893382153E-2</v>
      </c>
    </row>
    <row r="307" spans="1:31" hidden="1" x14ac:dyDescent="0.2">
      <c r="A307">
        <f>SUBTOTAL(3,$B$6:B307)</f>
        <v>70</v>
      </c>
      <c r="B307" t="s">
        <v>346</v>
      </c>
      <c r="C307" t="s">
        <v>865</v>
      </c>
      <c r="D307">
        <v>865.33799999999997</v>
      </c>
      <c r="E307">
        <v>-877.99099999999999</v>
      </c>
      <c r="F307">
        <v>0</v>
      </c>
      <c r="G307">
        <v>0</v>
      </c>
      <c r="H307">
        <v>11295.225999999999</v>
      </c>
      <c r="I307">
        <v>2932.069</v>
      </c>
      <c r="J307">
        <v>2932.069</v>
      </c>
      <c r="K307">
        <v>2932.069</v>
      </c>
      <c r="L307">
        <v>2932.069</v>
      </c>
      <c r="M307">
        <v>2932.069</v>
      </c>
      <c r="N307">
        <v>2932.069</v>
      </c>
      <c r="O307">
        <v>2932.069</v>
      </c>
      <c r="P307">
        <v>865.34</v>
      </c>
      <c r="Q307">
        <v>-864.9</v>
      </c>
      <c r="R307">
        <v>0</v>
      </c>
      <c r="S307">
        <v>0</v>
      </c>
      <c r="T307">
        <v>11310.3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f>SUMPRODUCT(DB_HighSOF[[#This Row],[Plan01]:[Plan12]],$D$4:$O$4)/valUnits2</f>
        <v>14.214641999999998</v>
      </c>
      <c r="AC307">
        <f>SUMPRODUCT(DB_HighSOF[[#This Row],[Act01]:[Act12]],$P$4:$AA$4)/valUnits2</f>
        <v>11.310739999999999</v>
      </c>
      <c r="AD307">
        <f>DB_HighSOF[[#This Row],[Actual]]-DB_HighSOF[[#This Row],[Plan]]</f>
        <v>-2.9039019999999987</v>
      </c>
      <c r="AE307">
        <f>IF(DB_HighSOF[[#This Row],[Plan]]&lt;&gt;0,DB_HighSOF[[#This Row],[Actual]]/DB_HighSOF[[#This Row],[Plan]],1.000011000011)</f>
        <v>0.79571050751753025</v>
      </c>
    </row>
    <row r="308" spans="1:31" x14ac:dyDescent="0.2">
      <c r="A308">
        <f>SUBTOTAL(3,$B$6:B308)</f>
        <v>71</v>
      </c>
      <c r="B308" t="s">
        <v>1</v>
      </c>
      <c r="C308" t="s">
        <v>894</v>
      </c>
      <c r="D308">
        <v>4243.8900000000003</v>
      </c>
      <c r="E308">
        <v>-4204.5349999999999</v>
      </c>
      <c r="F308">
        <v>-512.64599999999996</v>
      </c>
      <c r="G308">
        <v>9433.9760000000006</v>
      </c>
      <c r="H308">
        <v>9630.2960000000021</v>
      </c>
      <c r="I308">
        <v>4154.3329999999996</v>
      </c>
      <c r="J308">
        <v>4154.3329999999996</v>
      </c>
      <c r="K308">
        <v>4154.3329999999996</v>
      </c>
      <c r="L308">
        <v>4154.3329999999996</v>
      </c>
      <c r="M308">
        <v>4154.3329999999996</v>
      </c>
      <c r="N308">
        <v>4154.3329999999996</v>
      </c>
      <c r="O308">
        <v>4154.3329999999996</v>
      </c>
      <c r="P308">
        <v>4256.37</v>
      </c>
      <c r="Q308">
        <v>-4117</v>
      </c>
      <c r="R308">
        <v>-509.15000000000026</v>
      </c>
      <c r="S308">
        <v>9444.2000000000007</v>
      </c>
      <c r="T308">
        <v>10030.529999999999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f>SUMPRODUCT(DB_HighSOF[[#This Row],[Plan01]:[Plan12]],$D$4:$O$4)/valUnits2</f>
        <v>22.745314</v>
      </c>
      <c r="AC308">
        <f>SUMPRODUCT(DB_HighSOF[[#This Row],[Act01]:[Act12]],$P$4:$AA$4)/valUnits2</f>
        <v>19.104949999999999</v>
      </c>
      <c r="AD308">
        <f>DB_HighSOF[[#This Row],[Actual]]-DB_HighSOF[[#This Row],[Plan]]</f>
        <v>-3.6403640000000017</v>
      </c>
      <c r="AE308">
        <f>IF(DB_HighSOF[[#This Row],[Plan]]&lt;&gt;0,DB_HighSOF[[#This Row],[Actual]]/DB_HighSOF[[#This Row],[Plan]],1.000011000011)</f>
        <v>0.8399510334304463</v>
      </c>
    </row>
    <row r="309" spans="1:31" hidden="1" x14ac:dyDescent="0.2">
      <c r="A309">
        <f>SUBTOTAL(3,$B$6:B309)</f>
        <v>71</v>
      </c>
      <c r="B309" t="s">
        <v>351</v>
      </c>
      <c r="C309" t="s">
        <v>892</v>
      </c>
      <c r="D309">
        <v>766.28400000000011</v>
      </c>
      <c r="E309">
        <v>1470.2029999999997</v>
      </c>
      <c r="F309">
        <v>2155.6819999999998</v>
      </c>
      <c r="G309">
        <v>2928.8120000000008</v>
      </c>
      <c r="H309">
        <v>2956.9640000000004</v>
      </c>
      <c r="I309">
        <v>741.32400000000007</v>
      </c>
      <c r="J309">
        <v>741.32400000000007</v>
      </c>
      <c r="K309">
        <v>741.32400000000007</v>
      </c>
      <c r="L309">
        <v>741.32400000000007</v>
      </c>
      <c r="M309">
        <v>741.32400000000007</v>
      </c>
      <c r="N309">
        <v>741.32400000000007</v>
      </c>
      <c r="O309">
        <v>741.32400000000007</v>
      </c>
      <c r="P309">
        <v>0</v>
      </c>
      <c r="Q309">
        <v>764.9699999999998</v>
      </c>
      <c r="R309">
        <v>1425.53</v>
      </c>
      <c r="S309">
        <v>2184.44</v>
      </c>
      <c r="T309">
        <v>2197.83</v>
      </c>
      <c r="U309">
        <v>709.41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f>SUMPRODUCT(DB_HighSOF[[#This Row],[Plan01]:[Plan12]],$D$4:$O$4)/valUnits2</f>
        <v>11.019269000000001</v>
      </c>
      <c r="AC309">
        <f>SUMPRODUCT(DB_HighSOF[[#This Row],[Act01]:[Act12]],$P$4:$AA$4)/valUnits2</f>
        <v>7.2821800000000003</v>
      </c>
      <c r="AD309">
        <f>DB_HighSOF[[#This Row],[Actual]]-DB_HighSOF[[#This Row],[Plan]]</f>
        <v>-3.737089000000001</v>
      </c>
      <c r="AE309">
        <f>IF(DB_HighSOF[[#This Row],[Plan]]&lt;&gt;0,DB_HighSOF[[#This Row],[Actual]]/DB_HighSOF[[#This Row],[Plan]],1.000011000011)</f>
        <v>0.66085871939418117</v>
      </c>
    </row>
    <row r="310" spans="1:31" hidden="1" x14ac:dyDescent="0.2">
      <c r="A310">
        <f>SUBTOTAL(3,$B$6:B310)</f>
        <v>71</v>
      </c>
      <c r="B310" t="s">
        <v>351</v>
      </c>
      <c r="C310" t="s">
        <v>937</v>
      </c>
      <c r="F310">
        <v>0</v>
      </c>
      <c r="G310">
        <v>3932.77</v>
      </c>
      <c r="H310">
        <v>2772.9</v>
      </c>
      <c r="I310">
        <v>7145.7629999999999</v>
      </c>
      <c r="R310">
        <v>0</v>
      </c>
      <c r="S310">
        <v>3932.7699999999995</v>
      </c>
      <c r="T310">
        <v>2772.9</v>
      </c>
      <c r="U310">
        <v>2865.04</v>
      </c>
      <c r="AB310">
        <f>SUMPRODUCT(DB_HighSOF[[#This Row],[Plan01]:[Plan12]],$D$4:$O$4)/valUnits2</f>
        <v>13.851433</v>
      </c>
      <c r="AC310">
        <f>SUMPRODUCT(DB_HighSOF[[#This Row],[Act01]:[Act12]],$P$4:$AA$4)/valUnits2</f>
        <v>9.5707099999999983</v>
      </c>
      <c r="AD310">
        <f>DB_HighSOF[[#This Row],[Actual]]-DB_HighSOF[[#This Row],[Plan]]</f>
        <v>-4.2807230000000018</v>
      </c>
      <c r="AE310">
        <f>IF(DB_HighSOF[[#This Row],[Plan]]&lt;&gt;0,DB_HighSOF[[#This Row],[Actual]]/DB_HighSOF[[#This Row],[Plan]],1.000011000011)</f>
        <v>0.69095450268575087</v>
      </c>
    </row>
    <row r="311" spans="1:31" x14ac:dyDescent="0.2">
      <c r="A311">
        <f>SUBTOTAL(3,$B$6:B311)</f>
        <v>72</v>
      </c>
      <c r="B311" t="s">
        <v>1</v>
      </c>
      <c r="C311" t="s">
        <v>354</v>
      </c>
      <c r="D311">
        <v>1996.9120000000003</v>
      </c>
      <c r="E311">
        <v>3437.315000000001</v>
      </c>
      <c r="F311">
        <v>5048.5190000000002</v>
      </c>
      <c r="G311">
        <v>6758.92</v>
      </c>
      <c r="H311">
        <v>20269.927</v>
      </c>
      <c r="I311">
        <v>15147.556</v>
      </c>
      <c r="P311">
        <v>2037.2300000000002</v>
      </c>
      <c r="Q311">
        <v>3454.9299999999989</v>
      </c>
      <c r="R311">
        <v>5130.96</v>
      </c>
      <c r="S311">
        <v>6664.9500000000007</v>
      </c>
      <c r="T311">
        <v>20627.82</v>
      </c>
      <c r="U311">
        <v>10880.08</v>
      </c>
      <c r="AB311">
        <f>SUMPRODUCT(DB_HighSOF[[#This Row],[Plan01]:[Plan12]],$D$4:$O$4)/valUnits2</f>
        <v>52.659149000000006</v>
      </c>
      <c r="AC311">
        <f>SUMPRODUCT(DB_HighSOF[[#This Row],[Act01]:[Act12]],$P$4:$AA$4)/valUnits2</f>
        <v>48.795970000000004</v>
      </c>
      <c r="AD311">
        <f>DB_HighSOF[[#This Row],[Actual]]-DB_HighSOF[[#This Row],[Plan]]</f>
        <v>-3.8631790000000024</v>
      </c>
      <c r="AE311">
        <f>IF(DB_HighSOF[[#This Row],[Plan]]&lt;&gt;0,DB_HighSOF[[#This Row],[Actual]]/DB_HighSOF[[#This Row],[Plan]],1.000011000011)</f>
        <v>0.92663802827501063</v>
      </c>
    </row>
    <row r="312" spans="1:31" hidden="1" x14ac:dyDescent="0.2">
      <c r="A312">
        <f>SUBTOTAL(3,$B$6:B312)</f>
        <v>72</v>
      </c>
      <c r="B312" t="s">
        <v>349</v>
      </c>
      <c r="C312" t="s">
        <v>356</v>
      </c>
      <c r="D312">
        <v>21143.756000000001</v>
      </c>
      <c r="E312">
        <v>10724.469000000001</v>
      </c>
      <c r="F312">
        <v>7770.45</v>
      </c>
      <c r="G312">
        <v>18903.404000000002</v>
      </c>
      <c r="H312">
        <v>7165.6389999999992</v>
      </c>
      <c r="I312">
        <v>24140.097000000002</v>
      </c>
      <c r="P312">
        <v>21345.439999999995</v>
      </c>
      <c r="Q312">
        <v>10899.11</v>
      </c>
      <c r="R312">
        <v>7758.5899999999965</v>
      </c>
      <c r="S312">
        <v>19018.170000000002</v>
      </c>
      <c r="T312">
        <v>7388.9699999999948</v>
      </c>
      <c r="U312">
        <v>15887.609999999999</v>
      </c>
      <c r="AB312">
        <f>SUMPRODUCT(DB_HighSOF[[#This Row],[Plan01]:[Plan12]],$D$4:$O$4)/valUnits2</f>
        <v>89.847814999999997</v>
      </c>
      <c r="AC312">
        <f>SUMPRODUCT(DB_HighSOF[[#This Row],[Act01]:[Act12]],$P$4:$AA$4)/valUnits2</f>
        <v>82.297889999999995</v>
      </c>
      <c r="AD312">
        <f>DB_HighSOF[[#This Row],[Actual]]-DB_HighSOF[[#This Row],[Plan]]</f>
        <v>-7.5499250000000018</v>
      </c>
      <c r="AE312">
        <f>IF(DB_HighSOF[[#This Row],[Plan]]&lt;&gt;0,DB_HighSOF[[#This Row],[Actual]]/DB_HighSOF[[#This Row],[Plan]],1.000011000011)</f>
        <v>0.91596985413613008</v>
      </c>
    </row>
    <row r="313" spans="1:31" x14ac:dyDescent="0.2">
      <c r="A313">
        <f>SUBTOTAL(3,$B$6:B313)</f>
        <v>73</v>
      </c>
      <c r="B313" t="s">
        <v>1</v>
      </c>
      <c r="C313" t="s">
        <v>848</v>
      </c>
      <c r="D313">
        <v>83.542000000000002</v>
      </c>
      <c r="E313">
        <v>84.763000000000005</v>
      </c>
      <c r="F313">
        <v>544.44200000000001</v>
      </c>
      <c r="G313">
        <v>8217.1820000000007</v>
      </c>
      <c r="H313">
        <v>1660.3120000000001</v>
      </c>
      <c r="P313">
        <v>0</v>
      </c>
      <c r="Q313">
        <v>0</v>
      </c>
      <c r="R313">
        <v>459.67999999999995</v>
      </c>
      <c r="S313">
        <v>4545.9799999999996</v>
      </c>
      <c r="T313">
        <v>1642.5200000000002</v>
      </c>
      <c r="AB313">
        <f>SUMPRODUCT(DB_HighSOF[[#This Row],[Plan01]:[Plan12]],$D$4:$O$4)/valUnits2</f>
        <v>10.590241000000001</v>
      </c>
      <c r="AC313">
        <f>SUMPRODUCT(DB_HighSOF[[#This Row],[Act01]:[Act12]],$P$4:$AA$4)/valUnits2</f>
        <v>6.64818</v>
      </c>
      <c r="AD313">
        <f>DB_HighSOF[[#This Row],[Actual]]-DB_HighSOF[[#This Row],[Plan]]</f>
        <v>-3.9420610000000007</v>
      </c>
      <c r="AE313">
        <f>IF(DB_HighSOF[[#This Row],[Plan]]&lt;&gt;0,DB_HighSOF[[#This Row],[Actual]]/DB_HighSOF[[#This Row],[Plan]],1.000011000011)</f>
        <v>0.62776475058499603</v>
      </c>
    </row>
    <row r="314" spans="1:31" hidden="1" x14ac:dyDescent="0.2">
      <c r="A314">
        <f>SUBTOTAL(3,$B$6:B314)</f>
        <v>73</v>
      </c>
      <c r="B314" t="s">
        <v>346</v>
      </c>
      <c r="C314" t="s">
        <v>359</v>
      </c>
      <c r="D314">
        <v>0</v>
      </c>
      <c r="E314">
        <v>0</v>
      </c>
      <c r="F314">
        <v>2453.7269999999999</v>
      </c>
      <c r="G314">
        <v>4211.6930000000002</v>
      </c>
      <c r="H314">
        <v>348.37899999999996</v>
      </c>
      <c r="I314">
        <v>4348.7679999999991</v>
      </c>
      <c r="J314">
        <v>0</v>
      </c>
      <c r="P314">
        <v>0</v>
      </c>
      <c r="Q314">
        <v>0</v>
      </c>
      <c r="R314">
        <v>2425.6799999999998</v>
      </c>
      <c r="S314">
        <v>4242.33</v>
      </c>
      <c r="T314">
        <v>353.36999999999995</v>
      </c>
      <c r="U314">
        <v>534.29999999999905</v>
      </c>
      <c r="V314">
        <v>238.23</v>
      </c>
      <c r="AB314">
        <f>SUMPRODUCT(DB_HighSOF[[#This Row],[Plan01]:[Plan12]],$D$4:$O$4)/valUnits2</f>
        <v>11.362566999999999</v>
      </c>
      <c r="AC314">
        <f>SUMPRODUCT(DB_HighSOF[[#This Row],[Act01]:[Act12]],$P$4:$AA$4)/valUnits2</f>
        <v>7.5556799999999997</v>
      </c>
      <c r="AD314">
        <f>DB_HighSOF[[#This Row],[Actual]]-DB_HighSOF[[#This Row],[Plan]]</f>
        <v>-3.8068869999999988</v>
      </c>
      <c r="AE314">
        <f>IF(DB_HighSOF[[#This Row],[Plan]]&lt;&gt;0,DB_HighSOF[[#This Row],[Actual]]/DB_HighSOF[[#This Row],[Plan]],1.000011000011)</f>
        <v>0.66496241562315983</v>
      </c>
    </row>
    <row r="315" spans="1:31" x14ac:dyDescent="0.2">
      <c r="A315">
        <f>SUBTOTAL(3,$B$6:B315)</f>
        <v>74</v>
      </c>
      <c r="B315" t="s">
        <v>1</v>
      </c>
      <c r="C315" t="s">
        <v>891</v>
      </c>
      <c r="D315">
        <v>1201.345</v>
      </c>
      <c r="E315">
        <v>4012.3789999999999</v>
      </c>
      <c r="F315">
        <v>4404.1809999999996</v>
      </c>
      <c r="G315">
        <v>11769.310000000001</v>
      </c>
      <c r="H315">
        <v>15124.574000000001</v>
      </c>
      <c r="I315">
        <v>19936.089999999997</v>
      </c>
      <c r="J315">
        <v>18473.089999999997</v>
      </c>
      <c r="K315">
        <v>15301.241999999997</v>
      </c>
      <c r="L315">
        <v>15759.705</v>
      </c>
      <c r="M315">
        <v>15102.334999999997</v>
      </c>
      <c r="N315">
        <v>16145.778999999997</v>
      </c>
      <c r="O315">
        <v>16406.639999999996</v>
      </c>
      <c r="P315">
        <v>1182.8899999999999</v>
      </c>
      <c r="Q315">
        <v>4100.2800000000007</v>
      </c>
      <c r="R315">
        <v>4457.7599999999993</v>
      </c>
      <c r="S315">
        <v>11729.07</v>
      </c>
      <c r="T315">
        <v>15159.69</v>
      </c>
      <c r="U315">
        <v>15809.01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f>SUMPRODUCT(DB_HighSOF[[#This Row],[Plan01]:[Plan12]],$D$4:$O$4)/valUnits2</f>
        <v>56.447879</v>
      </c>
      <c r="AC315">
        <f>SUMPRODUCT(DB_HighSOF[[#This Row],[Act01]:[Act12]],$P$4:$AA$4)/valUnits2</f>
        <v>52.438700000000004</v>
      </c>
      <c r="AD315">
        <f>DB_HighSOF[[#This Row],[Actual]]-DB_HighSOF[[#This Row],[Plan]]</f>
        <v>-4.0091789999999961</v>
      </c>
      <c r="AE315">
        <f>IF(DB_HighSOF[[#This Row],[Plan]]&lt;&gt;0,DB_HighSOF[[#This Row],[Actual]]/DB_HighSOF[[#This Row],[Plan]],1.000011000011)</f>
        <v>0.92897555991430614</v>
      </c>
    </row>
    <row r="316" spans="1:31" x14ac:dyDescent="0.2">
      <c r="A316">
        <f>SUBTOTAL(3,$B$6:B316)</f>
        <v>75</v>
      </c>
      <c r="B316" t="s">
        <v>1</v>
      </c>
      <c r="C316" t="s">
        <v>918</v>
      </c>
      <c r="D316">
        <v>70933.031000000003</v>
      </c>
      <c r="E316">
        <v>21.822999999999873</v>
      </c>
      <c r="F316">
        <v>41.058000000000902</v>
      </c>
      <c r="G316">
        <v>15341.901000000002</v>
      </c>
      <c r="H316">
        <v>2378.3329999999978</v>
      </c>
      <c r="I316">
        <v>18960.649999999998</v>
      </c>
      <c r="J316">
        <v>19849.392999999996</v>
      </c>
      <c r="K316">
        <v>18038.130000000005</v>
      </c>
      <c r="L316">
        <v>16771.237000000001</v>
      </c>
      <c r="M316">
        <v>22477.984000000015</v>
      </c>
      <c r="N316">
        <v>16351.629000000001</v>
      </c>
      <c r="O316">
        <v>15687.66</v>
      </c>
      <c r="P316">
        <v>68741.8</v>
      </c>
      <c r="Q316">
        <v>22.559999999991703</v>
      </c>
      <c r="R316">
        <v>41.739999999997963</v>
      </c>
      <c r="S316">
        <v>15268.670000000004</v>
      </c>
      <c r="T316">
        <v>2363.4900000000084</v>
      </c>
      <c r="U316">
        <v>16952.939999999995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f>SUMPRODUCT(DB_HighSOF[[#This Row],[Plan01]:[Plan12]],$D$4:$O$4)/valUnits2</f>
        <v>107.676796</v>
      </c>
      <c r="AC316">
        <f>SUMPRODUCT(DB_HighSOF[[#This Row],[Act01]:[Act12]],$P$4:$AA$4)/valUnits2</f>
        <v>103.39120000000001</v>
      </c>
      <c r="AD316">
        <f>DB_HighSOF[[#This Row],[Actual]]-DB_HighSOF[[#This Row],[Plan]]</f>
        <v>-4.285595999999984</v>
      </c>
      <c r="AE316">
        <f>IF(DB_HighSOF[[#This Row],[Plan]]&lt;&gt;0,DB_HighSOF[[#This Row],[Actual]]/DB_HighSOF[[#This Row],[Plan]],1.000011000011)</f>
        <v>0.96019944724209672</v>
      </c>
    </row>
    <row r="317" spans="1:31" x14ac:dyDescent="0.2">
      <c r="A317">
        <f>SUBTOTAL(3,$B$6:B317)</f>
        <v>76</v>
      </c>
      <c r="B317" t="s">
        <v>1</v>
      </c>
      <c r="C317" t="s">
        <v>359</v>
      </c>
      <c r="D317">
        <v>0</v>
      </c>
      <c r="E317">
        <v>0</v>
      </c>
      <c r="F317">
        <v>2453.7269999999999</v>
      </c>
      <c r="G317">
        <v>4297.9620000000004</v>
      </c>
      <c r="H317">
        <v>390.79299999999995</v>
      </c>
      <c r="I317">
        <v>5054.8599999999988</v>
      </c>
      <c r="J317">
        <v>0</v>
      </c>
      <c r="P317">
        <v>0</v>
      </c>
      <c r="Q317">
        <v>0</v>
      </c>
      <c r="R317">
        <v>2425.6799999999998</v>
      </c>
      <c r="S317">
        <v>4329.6899999999996</v>
      </c>
      <c r="T317">
        <v>398.70999999999992</v>
      </c>
      <c r="U317">
        <v>566.61999999999898</v>
      </c>
      <c r="V317">
        <v>238.23</v>
      </c>
      <c r="AB317">
        <f>SUMPRODUCT(DB_HighSOF[[#This Row],[Plan01]:[Plan12]],$D$4:$O$4)/valUnits2</f>
        <v>12.197341999999999</v>
      </c>
      <c r="AC317">
        <f>SUMPRODUCT(DB_HighSOF[[#This Row],[Act01]:[Act12]],$P$4:$AA$4)/valUnits2</f>
        <v>7.7206999999999981</v>
      </c>
      <c r="AD317">
        <f>DB_HighSOF[[#This Row],[Actual]]-DB_HighSOF[[#This Row],[Plan]]</f>
        <v>-4.4766420000000009</v>
      </c>
      <c r="AE317">
        <f>IF(DB_HighSOF[[#This Row],[Plan]]&lt;&gt;0,DB_HighSOF[[#This Row],[Actual]]/DB_HighSOF[[#This Row],[Plan]],1.000011000011)</f>
        <v>0.6329821693939548</v>
      </c>
    </row>
    <row r="318" spans="1:31" hidden="1" x14ac:dyDescent="0.2">
      <c r="A318">
        <f>SUBTOTAL(3,$B$6:B318)</f>
        <v>76</v>
      </c>
      <c r="B318" t="s">
        <v>346</v>
      </c>
      <c r="C318" t="s">
        <v>894</v>
      </c>
      <c r="D318">
        <v>4243.8900000000003</v>
      </c>
      <c r="E318">
        <v>-4204.5349999999999</v>
      </c>
      <c r="F318">
        <v>-242.30099999999999</v>
      </c>
      <c r="G318">
        <v>9433.9760000000006</v>
      </c>
      <c r="H318">
        <v>9589.4180000000015</v>
      </c>
      <c r="I318">
        <v>4154.3329999999996</v>
      </c>
      <c r="J318">
        <v>4154.3329999999996</v>
      </c>
      <c r="K318">
        <v>4154.3329999999996</v>
      </c>
      <c r="L318">
        <v>4154.3329999999996</v>
      </c>
      <c r="M318">
        <v>4154.3329999999996</v>
      </c>
      <c r="N318">
        <v>4154.3329999999996</v>
      </c>
      <c r="O318">
        <v>4154.3329999999996</v>
      </c>
      <c r="P318">
        <v>4256.37</v>
      </c>
      <c r="Q318">
        <v>-4117</v>
      </c>
      <c r="R318">
        <v>-246.06000000000023</v>
      </c>
      <c r="S318">
        <v>9444.2000000000007</v>
      </c>
      <c r="T318">
        <v>9987.7999999999993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f>SUMPRODUCT(DB_HighSOF[[#This Row],[Plan01]:[Plan12]],$D$4:$O$4)/valUnits2</f>
        <v>22.974781000000004</v>
      </c>
      <c r="AC318">
        <f>SUMPRODUCT(DB_HighSOF[[#This Row],[Act01]:[Act12]],$P$4:$AA$4)/valUnits2</f>
        <v>19.325309999999998</v>
      </c>
      <c r="AD318">
        <f>DB_HighSOF[[#This Row],[Actual]]-DB_HighSOF[[#This Row],[Plan]]</f>
        <v>-3.6494710000000055</v>
      </c>
      <c r="AE318">
        <f>IF(DB_HighSOF[[#This Row],[Plan]]&lt;&gt;0,DB_HighSOF[[#This Row],[Actual]]/DB_HighSOF[[#This Row],[Plan]],1.000011000011)</f>
        <v>0.84115317573647364</v>
      </c>
    </row>
    <row r="319" spans="1:31" hidden="1" x14ac:dyDescent="0.2">
      <c r="A319">
        <f>SUBTOTAL(3,$B$6:B319)</f>
        <v>76</v>
      </c>
      <c r="B319" t="s">
        <v>350</v>
      </c>
      <c r="C319" t="s">
        <v>842</v>
      </c>
      <c r="D319">
        <v>0</v>
      </c>
      <c r="E319">
        <v>0</v>
      </c>
      <c r="F319">
        <v>0</v>
      </c>
      <c r="G319">
        <v>903.11699999999996</v>
      </c>
      <c r="H319">
        <v>747.60800000000006</v>
      </c>
      <c r="I319">
        <v>5609.5990000000002</v>
      </c>
      <c r="J319">
        <v>5609.5990000000002</v>
      </c>
      <c r="K319">
        <v>5609.5990000000002</v>
      </c>
      <c r="L319">
        <v>5609.5990000000002</v>
      </c>
      <c r="M319">
        <v>5609.5990000000002</v>
      </c>
      <c r="N319">
        <v>5609.5990000000002</v>
      </c>
      <c r="O319">
        <v>5609.5990000000002</v>
      </c>
      <c r="P319">
        <v>0</v>
      </c>
      <c r="Q319">
        <v>0</v>
      </c>
      <c r="R319">
        <v>0</v>
      </c>
      <c r="S319">
        <v>896.43999999999994</v>
      </c>
      <c r="T319">
        <v>738.78</v>
      </c>
      <c r="U319">
        <v>1353.36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f>SUMPRODUCT(DB_HighSOF[[#This Row],[Plan01]:[Plan12]],$D$4:$O$4)/valUnits2</f>
        <v>7.2603240000000007</v>
      </c>
      <c r="AC319">
        <f>SUMPRODUCT(DB_HighSOF[[#This Row],[Act01]:[Act12]],$P$4:$AA$4)/valUnits2</f>
        <v>2.9885799999999998</v>
      </c>
      <c r="AD319">
        <f>DB_HighSOF[[#This Row],[Actual]]-DB_HighSOF[[#This Row],[Plan]]</f>
        <v>-4.2717440000000009</v>
      </c>
      <c r="AE319">
        <f>IF(DB_HighSOF[[#This Row],[Plan]]&lt;&gt;0,DB_HighSOF[[#This Row],[Actual]]/DB_HighSOF[[#This Row],[Plan]],1.000011000011)</f>
        <v>0.41163176739770835</v>
      </c>
    </row>
    <row r="320" spans="1:31" x14ac:dyDescent="0.2">
      <c r="A320">
        <f>SUBTOTAL(3,$B$6:B320)</f>
        <v>77</v>
      </c>
      <c r="B320" t="s">
        <v>1</v>
      </c>
      <c r="C320" t="s">
        <v>923</v>
      </c>
      <c r="G320">
        <v>0</v>
      </c>
      <c r="H320">
        <v>0</v>
      </c>
      <c r="I320">
        <v>5075.4619999999995</v>
      </c>
      <c r="J320">
        <v>5075.4619999999995</v>
      </c>
      <c r="K320">
        <v>5075.4619999999995</v>
      </c>
      <c r="L320">
        <v>5075.4619999999995</v>
      </c>
      <c r="M320">
        <v>5075.4619999999995</v>
      </c>
      <c r="N320">
        <v>5075.4619999999995</v>
      </c>
      <c r="O320">
        <v>5075.4619999999995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f>SUMPRODUCT(DB_HighSOF[[#This Row],[Plan01]:[Plan12]],$D$4:$O$4)/valUnits2</f>
        <v>5.0754619999999999</v>
      </c>
      <c r="AC320">
        <f>SUMPRODUCT(DB_HighSOF[[#This Row],[Act01]:[Act12]],$P$4:$AA$4)/valUnits2</f>
        <v>0</v>
      </c>
      <c r="AD320">
        <f>DB_HighSOF[[#This Row],[Actual]]-DB_HighSOF[[#This Row],[Plan]]</f>
        <v>-5.0754619999999999</v>
      </c>
      <c r="AE320">
        <f>IF(DB_HighSOF[[#This Row],[Plan]]&lt;&gt;0,DB_HighSOF[[#This Row],[Actual]]/DB_HighSOF[[#This Row],[Plan]],1.000011000011)</f>
        <v>0</v>
      </c>
    </row>
    <row r="321" spans="1:31" hidden="1" x14ac:dyDescent="0.2">
      <c r="A321">
        <f>SUBTOTAL(3,$B$6:B321)</f>
        <v>77</v>
      </c>
      <c r="B321" t="s">
        <v>351</v>
      </c>
      <c r="C321" t="s">
        <v>358</v>
      </c>
      <c r="D321">
        <v>0</v>
      </c>
      <c r="E321">
        <v>0</v>
      </c>
      <c r="F321">
        <v>0</v>
      </c>
      <c r="G321">
        <v>943.03499999999997</v>
      </c>
      <c r="H321">
        <v>816.46500000000015</v>
      </c>
      <c r="I321">
        <v>5040.826</v>
      </c>
      <c r="J321">
        <v>5040.826</v>
      </c>
      <c r="K321">
        <v>5040.826</v>
      </c>
      <c r="L321">
        <v>5040.826</v>
      </c>
      <c r="M321">
        <v>5040.826</v>
      </c>
      <c r="N321">
        <v>5040.826</v>
      </c>
      <c r="P321">
        <v>0</v>
      </c>
      <c r="Q321">
        <v>0</v>
      </c>
      <c r="R321">
        <v>0</v>
      </c>
      <c r="S321">
        <v>954.34</v>
      </c>
      <c r="T321">
        <v>824.06999999999994</v>
      </c>
      <c r="U321">
        <v>677.33</v>
      </c>
      <c r="V321">
        <v>0</v>
      </c>
      <c r="W321">
        <v>0</v>
      </c>
      <c r="X321">
        <v>0</v>
      </c>
      <c r="Y321">
        <v>0</v>
      </c>
      <c r="Z321">
        <v>0</v>
      </c>
      <c r="AB321">
        <f>SUMPRODUCT(DB_HighSOF[[#This Row],[Plan01]:[Plan12]],$D$4:$O$4)/valUnits2</f>
        <v>6.8003260000000001</v>
      </c>
      <c r="AC321">
        <f>SUMPRODUCT(DB_HighSOF[[#This Row],[Act01]:[Act12]],$P$4:$AA$4)/valUnits2</f>
        <v>2.4557399999999996</v>
      </c>
      <c r="AD321">
        <f>DB_HighSOF[[#This Row],[Actual]]-DB_HighSOF[[#This Row],[Plan]]</f>
        <v>-4.3445860000000005</v>
      </c>
      <c r="AE321">
        <f>IF(DB_HighSOF[[#This Row],[Plan]]&lt;&gt;0,DB_HighSOF[[#This Row],[Actual]]/DB_HighSOF[[#This Row],[Plan]],1.000011000011)</f>
        <v>0.36112092273223367</v>
      </c>
    </row>
    <row r="322" spans="1:31" hidden="1" x14ac:dyDescent="0.2">
      <c r="A322">
        <f>SUBTOTAL(3,$B$6:B322)</f>
        <v>77</v>
      </c>
      <c r="B322" t="s">
        <v>351</v>
      </c>
      <c r="C322" t="s">
        <v>866</v>
      </c>
      <c r="D322">
        <v>183103.44</v>
      </c>
      <c r="E322">
        <v>97510.87000000001</v>
      </c>
      <c r="F322">
        <v>146496.21000000002</v>
      </c>
      <c r="G322">
        <v>-152757.20000000004</v>
      </c>
      <c r="H322">
        <v>-130480.71000000002</v>
      </c>
      <c r="I322">
        <v>42194.447999999989</v>
      </c>
      <c r="J322">
        <v>42194.447999999989</v>
      </c>
      <c r="K322">
        <v>42194.447999999989</v>
      </c>
      <c r="L322">
        <v>42194.447999999989</v>
      </c>
      <c r="P322">
        <v>183103.44000000003</v>
      </c>
      <c r="Q322">
        <v>97510.87</v>
      </c>
      <c r="R322">
        <v>146861.69</v>
      </c>
      <c r="S322">
        <v>-152778.25000000006</v>
      </c>
      <c r="T322">
        <v>-131079.34000000005</v>
      </c>
      <c r="U322">
        <v>30734.599999999991</v>
      </c>
      <c r="V322">
        <v>7223.65</v>
      </c>
      <c r="W322">
        <v>0</v>
      </c>
      <c r="X322">
        <v>0</v>
      </c>
      <c r="AB322">
        <f>SUMPRODUCT(DB_HighSOF[[#This Row],[Plan01]:[Plan12]],$D$4:$O$4)/valUnits2</f>
        <v>186.06705799999989</v>
      </c>
      <c r="AC322">
        <f>SUMPRODUCT(DB_HighSOF[[#This Row],[Act01]:[Act12]],$P$4:$AA$4)/valUnits2</f>
        <v>174.35300999999995</v>
      </c>
      <c r="AD322">
        <f>DB_HighSOF[[#This Row],[Actual]]-DB_HighSOF[[#This Row],[Plan]]</f>
        <v>-11.714047999999934</v>
      </c>
      <c r="AE322">
        <f>IF(DB_HighSOF[[#This Row],[Plan]]&lt;&gt;0,DB_HighSOF[[#This Row],[Actual]]/DB_HighSOF[[#This Row],[Plan]],1.000011000011)</f>
        <v>0.93704394466214469</v>
      </c>
    </row>
    <row r="323" spans="1:31" x14ac:dyDescent="0.2">
      <c r="A323">
        <f>SUBTOTAL(3,$B$6:B323)</f>
        <v>78</v>
      </c>
      <c r="B323" t="s">
        <v>1</v>
      </c>
      <c r="C323" t="s">
        <v>855</v>
      </c>
      <c r="D323">
        <v>24265.008999999998</v>
      </c>
      <c r="E323">
        <v>34510.915000000001</v>
      </c>
      <c r="F323">
        <v>13506.010000000009</v>
      </c>
      <c r="G323">
        <v>22031.364000000001</v>
      </c>
      <c r="H323">
        <v>37472.788999999982</v>
      </c>
      <c r="I323">
        <v>27863.66</v>
      </c>
      <c r="J323">
        <v>27863.66</v>
      </c>
      <c r="K323">
        <v>27863.66</v>
      </c>
      <c r="L323">
        <v>27863.660000000003</v>
      </c>
      <c r="M323">
        <v>27863.66</v>
      </c>
      <c r="N323">
        <v>27863.66</v>
      </c>
      <c r="O323">
        <v>27863.66</v>
      </c>
      <c r="P323">
        <v>23848.47</v>
      </c>
      <c r="Q323">
        <v>35559.229999999996</v>
      </c>
      <c r="R323">
        <v>13640.069999999951</v>
      </c>
      <c r="S323">
        <v>22023.61</v>
      </c>
      <c r="T323">
        <v>37102.459999999977</v>
      </c>
      <c r="U323">
        <v>20928.22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f>SUMPRODUCT(DB_HighSOF[[#This Row],[Plan01]:[Plan12]],$D$4:$O$4)/valUnits2</f>
        <v>159.64974699999999</v>
      </c>
      <c r="AC323">
        <f>SUMPRODUCT(DB_HighSOF[[#This Row],[Act01]:[Act12]],$P$4:$AA$4)/valUnits2</f>
        <v>153.10205999999991</v>
      </c>
      <c r="AD323">
        <f>DB_HighSOF[[#This Row],[Actual]]-DB_HighSOF[[#This Row],[Plan]]</f>
        <v>-6.5476870000000815</v>
      </c>
      <c r="AE323">
        <f>IF(DB_HighSOF[[#This Row],[Plan]]&lt;&gt;0,DB_HighSOF[[#This Row],[Actual]]/DB_HighSOF[[#This Row],[Plan]],1.000011000011)</f>
        <v>0.95898717584563364</v>
      </c>
    </row>
    <row r="324" spans="1:31" hidden="1" x14ac:dyDescent="0.2">
      <c r="A324">
        <f>SUBTOTAL(3,$B$6:B324)</f>
        <v>78</v>
      </c>
      <c r="B324" t="s">
        <v>344</v>
      </c>
      <c r="C324" t="s">
        <v>875</v>
      </c>
      <c r="D324">
        <v>1044.6479999999999</v>
      </c>
      <c r="E324">
        <v>692.01299999999992</v>
      </c>
      <c r="F324">
        <v>2483.8330000000001</v>
      </c>
      <c r="G324">
        <v>3811.8990000000003</v>
      </c>
      <c r="H324">
        <v>41019.810999999994</v>
      </c>
      <c r="I324">
        <v>8468.5400000000009</v>
      </c>
      <c r="J324">
        <v>8468.5400000000009</v>
      </c>
      <c r="K324">
        <v>8468.5400000000009</v>
      </c>
      <c r="L324">
        <v>8468.5400000000009</v>
      </c>
      <c r="M324">
        <v>8468.5400000000009</v>
      </c>
      <c r="N324">
        <v>8468.5399999999991</v>
      </c>
      <c r="O324">
        <v>8468.5399999999991</v>
      </c>
      <c r="P324">
        <v>1065.98</v>
      </c>
      <c r="Q324">
        <v>690.56999999999994</v>
      </c>
      <c r="R324">
        <v>2541.8799999999997</v>
      </c>
      <c r="S324">
        <v>3746.2900000000004</v>
      </c>
      <c r="T324">
        <v>42246.06</v>
      </c>
      <c r="U324">
        <v>3853.02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f>SUMPRODUCT(DB_HighSOF[[#This Row],[Plan01]:[Plan12]],$D$4:$O$4)/valUnits2</f>
        <v>57.520744000000001</v>
      </c>
      <c r="AC324">
        <f>SUMPRODUCT(DB_HighSOF[[#This Row],[Act01]:[Act12]],$P$4:$AA$4)/valUnits2</f>
        <v>54.143799999999999</v>
      </c>
      <c r="AD324">
        <f>DB_HighSOF[[#This Row],[Actual]]-DB_HighSOF[[#This Row],[Plan]]</f>
        <v>-3.3769440000000017</v>
      </c>
      <c r="AE324">
        <f>IF(DB_HighSOF[[#This Row],[Plan]]&lt;&gt;0,DB_HighSOF[[#This Row],[Actual]]/DB_HighSOF[[#This Row],[Plan]],1.000011000011)</f>
        <v>0.94129171903617936</v>
      </c>
    </row>
    <row r="325" spans="1:31" hidden="1" x14ac:dyDescent="0.2">
      <c r="A325">
        <f>SUBTOTAL(3,$B$6:B325)</f>
        <v>78</v>
      </c>
      <c r="B325" t="s">
        <v>350</v>
      </c>
      <c r="C325" t="s">
        <v>862</v>
      </c>
      <c r="E325">
        <v>1317.3430000000001</v>
      </c>
      <c r="F325">
        <v>656.83400000000006</v>
      </c>
      <c r="G325">
        <v>1510.954</v>
      </c>
      <c r="H325">
        <v>178.346</v>
      </c>
      <c r="I325">
        <v>1025.2429999999999</v>
      </c>
      <c r="J325">
        <v>1025.2429999999999</v>
      </c>
      <c r="K325">
        <v>1025.2429999999999</v>
      </c>
      <c r="L325">
        <v>1025.2429999999999</v>
      </c>
      <c r="M325">
        <v>1025.2429999999999</v>
      </c>
      <c r="N325">
        <v>1025.2429999999999</v>
      </c>
      <c r="O325">
        <v>1025.2429999999999</v>
      </c>
      <c r="Q325">
        <v>1322.56</v>
      </c>
      <c r="R325">
        <v>665.1</v>
      </c>
      <c r="S325">
        <v>1518.5700000000002</v>
      </c>
      <c r="T325">
        <v>179.4</v>
      </c>
      <c r="U325">
        <v>-3681.18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f>SUMPRODUCT(DB_HighSOF[[#This Row],[Plan01]:[Plan12]],$D$4:$O$4)/valUnits2</f>
        <v>4.68872</v>
      </c>
      <c r="AC325">
        <f>SUMPRODUCT(DB_HighSOF[[#This Row],[Act01]:[Act12]],$P$4:$AA$4)/valUnits2</f>
        <v>4.4500000000002732E-3</v>
      </c>
      <c r="AD325">
        <f>DB_HighSOF[[#This Row],[Actual]]-DB_HighSOF[[#This Row],[Plan]]</f>
        <v>-4.6842699999999997</v>
      </c>
      <c r="AE325">
        <f>IF(DB_HighSOF[[#This Row],[Plan]]&lt;&gt;0,DB_HighSOF[[#This Row],[Actual]]/DB_HighSOF[[#This Row],[Plan]],1.000011000011)</f>
        <v>9.4908631780107856E-4</v>
      </c>
    </row>
    <row r="326" spans="1:31" hidden="1" x14ac:dyDescent="0.2">
      <c r="A326">
        <f>SUBTOTAL(3,$B$6:B326)</f>
        <v>78</v>
      </c>
      <c r="B326" t="s">
        <v>343</v>
      </c>
      <c r="C326" t="s">
        <v>930</v>
      </c>
      <c r="D326">
        <v>20829.650000000001</v>
      </c>
      <c r="E326">
        <v>23579.479999999996</v>
      </c>
      <c r="F326">
        <v>35265.119999999995</v>
      </c>
      <c r="G326">
        <v>24690.97</v>
      </c>
      <c r="H326">
        <v>23585.780000000002</v>
      </c>
      <c r="I326">
        <v>62731.120999999999</v>
      </c>
      <c r="J326">
        <v>69731.120999999999</v>
      </c>
      <c r="K326">
        <v>39731.120999999999</v>
      </c>
      <c r="L326">
        <v>38851.120999999999</v>
      </c>
      <c r="M326">
        <v>32231.120999999999</v>
      </c>
      <c r="N326">
        <v>32231.120999999999</v>
      </c>
      <c r="O326">
        <v>25013.355</v>
      </c>
      <c r="P326">
        <v>20829.650000000001</v>
      </c>
      <c r="Q326">
        <v>23579.480000000003</v>
      </c>
      <c r="R326">
        <v>35265.119999999995</v>
      </c>
      <c r="S326">
        <v>24690.970000000005</v>
      </c>
      <c r="T326">
        <v>23585.780000000006</v>
      </c>
      <c r="U326">
        <v>41456.53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f>SUMPRODUCT(DB_HighSOF[[#This Row],[Plan01]:[Plan12]],$D$4:$O$4)/valUnits2</f>
        <v>190.682121</v>
      </c>
      <c r="AC326">
        <f>SUMPRODUCT(DB_HighSOF[[#This Row],[Act01]:[Act12]],$P$4:$AA$4)/valUnits2</f>
        <v>169.40753000000001</v>
      </c>
      <c r="AD326">
        <f>DB_HighSOF[[#This Row],[Actual]]-DB_HighSOF[[#This Row],[Plan]]</f>
        <v>-21.274590999999987</v>
      </c>
      <c r="AE326">
        <f>IF(DB_HighSOF[[#This Row],[Plan]]&lt;&gt;0,DB_HighSOF[[#This Row],[Actual]]/DB_HighSOF[[#This Row],[Plan]],1.000011000011)</f>
        <v>0.88842902056874018</v>
      </c>
    </row>
    <row r="327" spans="1:31" hidden="1" x14ac:dyDescent="0.2">
      <c r="A327">
        <f>SUBTOTAL(3,$B$6:B327)</f>
        <v>78</v>
      </c>
      <c r="B327" t="s">
        <v>346</v>
      </c>
      <c r="C327" t="s">
        <v>354</v>
      </c>
      <c r="D327">
        <v>1996.9120000000003</v>
      </c>
      <c r="E327">
        <v>3437.315000000001</v>
      </c>
      <c r="F327">
        <v>5048.5190000000002</v>
      </c>
      <c r="G327">
        <v>3517.1329999999998</v>
      </c>
      <c r="H327">
        <v>15796.520999999999</v>
      </c>
      <c r="I327">
        <v>12748.554</v>
      </c>
      <c r="P327">
        <v>2037.2300000000002</v>
      </c>
      <c r="Q327">
        <v>3454.9299999999989</v>
      </c>
      <c r="R327">
        <v>5130.96</v>
      </c>
      <c r="S327">
        <v>3462.8300000000004</v>
      </c>
      <c r="T327">
        <v>16039.03</v>
      </c>
      <c r="U327">
        <v>7768.51</v>
      </c>
      <c r="AB327">
        <f>SUMPRODUCT(DB_HighSOF[[#This Row],[Plan01]:[Plan12]],$D$4:$O$4)/valUnits2</f>
        <v>42.544953999999997</v>
      </c>
      <c r="AC327">
        <f>SUMPRODUCT(DB_HighSOF[[#This Row],[Act01]:[Act12]],$P$4:$AA$4)/valUnits2</f>
        <v>37.89349</v>
      </c>
      <c r="AD327">
        <f>DB_HighSOF[[#This Row],[Actual]]-DB_HighSOF[[#This Row],[Plan]]</f>
        <v>-4.6514639999999972</v>
      </c>
      <c r="AE327">
        <f>IF(DB_HighSOF[[#This Row],[Plan]]&lt;&gt;0,DB_HighSOF[[#This Row],[Actual]]/DB_HighSOF[[#This Row],[Plan]],1.000011000011)</f>
        <v>0.89066943167925394</v>
      </c>
    </row>
    <row r="328" spans="1:31" x14ac:dyDescent="0.2">
      <c r="A328">
        <f>SUBTOTAL(3,$B$6:B328)</f>
        <v>79</v>
      </c>
      <c r="B328" t="s">
        <v>1</v>
      </c>
      <c r="C328" t="s">
        <v>876</v>
      </c>
      <c r="D328">
        <v>5724.5899999999992</v>
      </c>
      <c r="E328">
        <v>76955.389999999985</v>
      </c>
      <c r="F328">
        <v>56528.47</v>
      </c>
      <c r="G328">
        <v>-1717.5599999999995</v>
      </c>
      <c r="H328">
        <v>31516.809999999998</v>
      </c>
      <c r="I328">
        <v>53926.798000000003</v>
      </c>
      <c r="J328">
        <v>15644.091999999999</v>
      </c>
      <c r="K328">
        <v>15644.091999999999</v>
      </c>
      <c r="L328">
        <v>15644.091999999999</v>
      </c>
      <c r="P328">
        <v>5724.59</v>
      </c>
      <c r="Q328">
        <v>76978.739999999991</v>
      </c>
      <c r="R328">
        <v>56528.47</v>
      </c>
      <c r="S328">
        <v>-1717.5599999999977</v>
      </c>
      <c r="T328">
        <v>31518.579999999994</v>
      </c>
      <c r="U328">
        <v>46877.44000000001</v>
      </c>
      <c r="V328">
        <v>449.41</v>
      </c>
      <c r="W328">
        <v>0</v>
      </c>
      <c r="X328">
        <v>0</v>
      </c>
      <c r="AB328">
        <f>SUMPRODUCT(DB_HighSOF[[#This Row],[Plan01]:[Plan12]],$D$4:$O$4)/valUnits2</f>
        <v>222.93449799999999</v>
      </c>
      <c r="AC328">
        <f>SUMPRODUCT(DB_HighSOF[[#This Row],[Act01]:[Act12]],$P$4:$AA$4)/valUnits2</f>
        <v>215.91025999999999</v>
      </c>
      <c r="AD328">
        <f>DB_HighSOF[[#This Row],[Actual]]-DB_HighSOF[[#This Row],[Plan]]</f>
        <v>-7.0242379999999969</v>
      </c>
      <c r="AE328">
        <f>IF(DB_HighSOF[[#This Row],[Plan]]&lt;&gt;0,DB_HighSOF[[#This Row],[Actual]]/DB_HighSOF[[#This Row],[Plan]],1.000011000011)</f>
        <v>0.96849191998987971</v>
      </c>
    </row>
    <row r="329" spans="1:31" hidden="1" x14ac:dyDescent="0.2">
      <c r="A329">
        <f>SUBTOTAL(3,$B$6:B329)</f>
        <v>79</v>
      </c>
      <c r="B329" t="s">
        <v>346</v>
      </c>
      <c r="C329" t="s">
        <v>923</v>
      </c>
      <c r="G329">
        <v>0</v>
      </c>
      <c r="H329">
        <v>0</v>
      </c>
      <c r="I329">
        <v>5075.4619999999995</v>
      </c>
      <c r="J329">
        <v>5075.4619999999995</v>
      </c>
      <c r="K329">
        <v>5075.4619999999995</v>
      </c>
      <c r="L329">
        <v>5075.4619999999995</v>
      </c>
      <c r="M329">
        <v>5075.4619999999995</v>
      </c>
      <c r="N329">
        <v>5075.4619999999995</v>
      </c>
      <c r="O329">
        <v>5075.4619999999995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f>SUMPRODUCT(DB_HighSOF[[#This Row],[Plan01]:[Plan12]],$D$4:$O$4)/valUnits2</f>
        <v>5.0754619999999999</v>
      </c>
      <c r="AC329">
        <f>SUMPRODUCT(DB_HighSOF[[#This Row],[Act01]:[Act12]],$P$4:$AA$4)/valUnits2</f>
        <v>0</v>
      </c>
      <c r="AD329">
        <f>DB_HighSOF[[#This Row],[Actual]]-DB_HighSOF[[#This Row],[Plan]]</f>
        <v>-5.0754619999999999</v>
      </c>
      <c r="AE329">
        <f>IF(DB_HighSOF[[#This Row],[Plan]]&lt;&gt;0,DB_HighSOF[[#This Row],[Actual]]/DB_HighSOF[[#This Row],[Plan]],1.000011000011)</f>
        <v>0</v>
      </c>
    </row>
    <row r="330" spans="1:31" hidden="1" x14ac:dyDescent="0.2">
      <c r="A330">
        <f>SUBTOTAL(3,$B$6:B330)</f>
        <v>79</v>
      </c>
      <c r="B330" t="s">
        <v>342</v>
      </c>
      <c r="C330" t="s">
        <v>855</v>
      </c>
      <c r="D330">
        <v>24256.228999999999</v>
      </c>
      <c r="E330">
        <v>33761.97</v>
      </c>
      <c r="F330">
        <v>12674.22800000001</v>
      </c>
      <c r="G330">
        <v>14788.233000000002</v>
      </c>
      <c r="H330">
        <v>32636.643999999982</v>
      </c>
      <c r="I330">
        <v>23632.7</v>
      </c>
      <c r="J330">
        <v>23632.7</v>
      </c>
      <c r="K330">
        <v>23632.7</v>
      </c>
      <c r="L330">
        <v>23632.700000000004</v>
      </c>
      <c r="M330">
        <v>23632.7</v>
      </c>
      <c r="N330">
        <v>23632.7</v>
      </c>
      <c r="O330">
        <v>23632.7</v>
      </c>
      <c r="P330">
        <v>23839.82</v>
      </c>
      <c r="Q330">
        <v>34794.579999999994</v>
      </c>
      <c r="R330">
        <v>12800.759999999951</v>
      </c>
      <c r="S330">
        <v>14727.63</v>
      </c>
      <c r="T330">
        <v>32272.529999999977</v>
      </c>
      <c r="U330">
        <v>17845.86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f>SUMPRODUCT(DB_HighSOF[[#This Row],[Plan01]:[Plan12]],$D$4:$O$4)/valUnits2</f>
        <v>141.75000400000002</v>
      </c>
      <c r="AC330">
        <f>SUMPRODUCT(DB_HighSOF[[#This Row],[Act01]:[Act12]],$P$4:$AA$4)/valUnits2</f>
        <v>136.28117999999992</v>
      </c>
      <c r="AD330">
        <f>DB_HighSOF[[#This Row],[Actual]]-DB_HighSOF[[#This Row],[Plan]]</f>
        <v>-5.4688240000000974</v>
      </c>
      <c r="AE330">
        <f>IF(DB_HighSOF[[#This Row],[Plan]]&lt;&gt;0,DB_HighSOF[[#This Row],[Actual]]/DB_HighSOF[[#This Row],[Plan]],1.000011000011)</f>
        <v>0.96141923212926261</v>
      </c>
    </row>
    <row r="331" spans="1:31" hidden="1" x14ac:dyDescent="0.2">
      <c r="A331">
        <f>SUBTOTAL(3,$B$6:B331)</f>
        <v>79</v>
      </c>
      <c r="B331" t="s">
        <v>344</v>
      </c>
      <c r="C331" t="s">
        <v>876</v>
      </c>
      <c r="D331">
        <v>5338.0299999999988</v>
      </c>
      <c r="E331">
        <v>76531.799999999988</v>
      </c>
      <c r="F331">
        <v>55713.14</v>
      </c>
      <c r="G331">
        <v>-6317.0499999999993</v>
      </c>
      <c r="H331">
        <v>30890.21</v>
      </c>
      <c r="I331">
        <v>52960.398000000001</v>
      </c>
      <c r="J331">
        <v>14677.691999999999</v>
      </c>
      <c r="K331">
        <v>14677.691999999999</v>
      </c>
      <c r="L331">
        <v>14677.691999999999</v>
      </c>
      <c r="P331">
        <v>5338.03</v>
      </c>
      <c r="Q331">
        <v>76555.149999999994</v>
      </c>
      <c r="R331">
        <v>55713.14</v>
      </c>
      <c r="S331">
        <v>-6317.0499999999975</v>
      </c>
      <c r="T331">
        <v>30890.209999999995</v>
      </c>
      <c r="U331">
        <v>46429.41</v>
      </c>
      <c r="V331">
        <v>449.41</v>
      </c>
      <c r="W331">
        <v>0</v>
      </c>
      <c r="X331">
        <v>0</v>
      </c>
      <c r="AB331">
        <f>SUMPRODUCT(DB_HighSOF[[#This Row],[Plan01]:[Plan12]],$D$4:$O$4)/valUnits2</f>
        <v>215.11652799999999</v>
      </c>
      <c r="AC331">
        <f>SUMPRODUCT(DB_HighSOF[[#This Row],[Act01]:[Act12]],$P$4:$AA$4)/valUnits2</f>
        <v>208.60889</v>
      </c>
      <c r="AD331">
        <f>DB_HighSOF[[#This Row],[Actual]]-DB_HighSOF[[#This Row],[Plan]]</f>
        <v>-6.5076379999999858</v>
      </c>
      <c r="AE331">
        <f>IF(DB_HighSOF[[#This Row],[Plan]]&lt;&gt;0,DB_HighSOF[[#This Row],[Actual]]/DB_HighSOF[[#This Row],[Plan]],1.000011000011)</f>
        <v>0.96974831241233128</v>
      </c>
    </row>
    <row r="332" spans="1:31" x14ac:dyDescent="0.2">
      <c r="A332">
        <f>SUBTOTAL(3,$B$6:B332)</f>
        <v>80</v>
      </c>
      <c r="B332" t="s">
        <v>1</v>
      </c>
      <c r="C332" t="s">
        <v>879</v>
      </c>
      <c r="E332">
        <v>1347.7660000000001</v>
      </c>
      <c r="F332">
        <v>26199.86</v>
      </c>
      <c r="G332">
        <v>0</v>
      </c>
      <c r="H332">
        <v>58059.58</v>
      </c>
      <c r="I332">
        <v>10048.280000000001</v>
      </c>
      <c r="J332">
        <v>10083.751</v>
      </c>
      <c r="K332">
        <v>10048.280000000001</v>
      </c>
      <c r="L332">
        <v>10048.280999999999</v>
      </c>
      <c r="M332">
        <v>10048.280999999999</v>
      </c>
      <c r="N332">
        <v>10048.280999999999</v>
      </c>
      <c r="O332">
        <v>10048.280999999999</v>
      </c>
      <c r="Q332">
        <v>1346.3</v>
      </c>
      <c r="R332">
        <v>26928.3</v>
      </c>
      <c r="S332">
        <v>0</v>
      </c>
      <c r="T332">
        <v>59748.4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f>SUMPRODUCT(DB_HighSOF[[#This Row],[Plan01]:[Plan12]],$D$4:$O$4)/valUnits2</f>
        <v>95.65548600000001</v>
      </c>
      <c r="AC332">
        <f>SUMPRODUCT(DB_HighSOF[[#This Row],[Act01]:[Act12]],$P$4:$AA$4)/valUnits2</f>
        <v>88.022999999999996</v>
      </c>
      <c r="AD332">
        <f>DB_HighSOF[[#This Row],[Actual]]-DB_HighSOF[[#This Row],[Plan]]</f>
        <v>-7.6324860000000143</v>
      </c>
      <c r="AE332">
        <f>IF(DB_HighSOF[[#This Row],[Plan]]&lt;&gt;0,DB_HighSOF[[#This Row],[Actual]]/DB_HighSOF[[#This Row],[Plan]],1.000011000011)</f>
        <v>0.92020859106815878</v>
      </c>
    </row>
    <row r="333" spans="1:31" x14ac:dyDescent="0.2">
      <c r="A333">
        <f>SUBTOTAL(3,$B$6:B333)</f>
        <v>81</v>
      </c>
      <c r="B333" t="s">
        <v>1</v>
      </c>
      <c r="C333" t="s">
        <v>365</v>
      </c>
      <c r="D333">
        <v>9656.07</v>
      </c>
      <c r="E333">
        <v>364.44599999999997</v>
      </c>
      <c r="F333">
        <v>532.87800000000004</v>
      </c>
      <c r="G333">
        <v>182.70299999999997</v>
      </c>
      <c r="H333">
        <v>16678.080000000002</v>
      </c>
      <c r="I333">
        <v>8387.1839999999993</v>
      </c>
      <c r="J333">
        <v>10620.018</v>
      </c>
      <c r="K333">
        <v>10620.018</v>
      </c>
      <c r="P333">
        <v>9651.16</v>
      </c>
      <c r="Q333">
        <v>365.52</v>
      </c>
      <c r="R333">
        <v>536.22</v>
      </c>
      <c r="S333">
        <v>185.39</v>
      </c>
      <c r="T333">
        <v>17138.29</v>
      </c>
      <c r="U333">
        <v>154.32</v>
      </c>
      <c r="V333">
        <v>0</v>
      </c>
      <c r="W333">
        <v>0</v>
      </c>
      <c r="AB333">
        <f>SUMPRODUCT(DB_HighSOF[[#This Row],[Plan01]:[Plan12]],$D$4:$O$4)/valUnits2</f>
        <v>35.801361000000007</v>
      </c>
      <c r="AC333">
        <f>SUMPRODUCT(DB_HighSOF[[#This Row],[Act01]:[Act12]],$P$4:$AA$4)/valUnits2</f>
        <v>28.030900000000003</v>
      </c>
      <c r="AD333">
        <f>DB_HighSOF[[#This Row],[Actual]]-DB_HighSOF[[#This Row],[Plan]]</f>
        <v>-7.7704610000000045</v>
      </c>
      <c r="AE333">
        <f>IF(DB_HighSOF[[#This Row],[Plan]]&lt;&gt;0,DB_HighSOF[[#This Row],[Actual]]/DB_HighSOF[[#This Row],[Plan]],1.000011000011)</f>
        <v>0.7829562680591946</v>
      </c>
    </row>
    <row r="334" spans="1:31" hidden="1" x14ac:dyDescent="0.2">
      <c r="A334">
        <f>SUBTOTAL(3,$B$6:B334)</f>
        <v>81</v>
      </c>
      <c r="B334" t="s">
        <v>342</v>
      </c>
      <c r="C334" t="s">
        <v>878</v>
      </c>
      <c r="D334">
        <v>4607.6589999999997</v>
      </c>
      <c r="E334">
        <v>9286.8229999999985</v>
      </c>
      <c r="F334">
        <v>11150.308000000001</v>
      </c>
      <c r="G334">
        <v>11737.118999999999</v>
      </c>
      <c r="H334">
        <v>11737.118999999999</v>
      </c>
      <c r="I334">
        <v>11737.118999999999</v>
      </c>
      <c r="J334">
        <v>11737.118999999999</v>
      </c>
      <c r="K334">
        <v>11737.118999999999</v>
      </c>
      <c r="L334">
        <v>11737.118999999999</v>
      </c>
      <c r="M334">
        <v>11737.118999999999</v>
      </c>
      <c r="N334">
        <v>11737.118999999999</v>
      </c>
      <c r="O334">
        <v>11737.118999999999</v>
      </c>
      <c r="P334">
        <v>4690.1800000000021</v>
      </c>
      <c r="Q334">
        <v>9261.76</v>
      </c>
      <c r="R334">
        <v>-695.09999999999991</v>
      </c>
      <c r="S334">
        <v>0</v>
      </c>
      <c r="T334">
        <v>0</v>
      </c>
      <c r="U334">
        <v>4060.4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f>SUMPRODUCT(DB_HighSOF[[#This Row],[Plan01]:[Plan12]],$D$4:$O$4)/valUnits2</f>
        <v>60.256146999999999</v>
      </c>
      <c r="AC334">
        <f>SUMPRODUCT(DB_HighSOF[[#This Row],[Act01]:[Act12]],$P$4:$AA$4)/valUnits2</f>
        <v>17.317240000000002</v>
      </c>
      <c r="AD334">
        <f>DB_HighSOF[[#This Row],[Actual]]-DB_HighSOF[[#This Row],[Plan]]</f>
        <v>-42.938907</v>
      </c>
      <c r="AE334">
        <f>IF(DB_HighSOF[[#This Row],[Plan]]&lt;&gt;0,DB_HighSOF[[#This Row],[Actual]]/DB_HighSOF[[#This Row],[Plan]],1.000011000011)</f>
        <v>0.28739374922196737</v>
      </c>
    </row>
    <row r="335" spans="1:31" hidden="1" x14ac:dyDescent="0.2">
      <c r="A335">
        <f>SUBTOTAL(3,$B$6:B335)</f>
        <v>81</v>
      </c>
      <c r="B335" t="s">
        <v>344</v>
      </c>
      <c r="C335" t="s">
        <v>365</v>
      </c>
      <c r="D335">
        <v>9656.07</v>
      </c>
      <c r="E335">
        <v>48.295999999999999</v>
      </c>
      <c r="F335">
        <v>26.175999999999998</v>
      </c>
      <c r="G335">
        <v>0</v>
      </c>
      <c r="H335">
        <v>16580.027000000002</v>
      </c>
      <c r="I335">
        <v>7952.7719999999999</v>
      </c>
      <c r="J335">
        <v>10185.606</v>
      </c>
      <c r="K335">
        <v>10185.606</v>
      </c>
      <c r="P335">
        <v>9651.16</v>
      </c>
      <c r="Q335">
        <v>47.96</v>
      </c>
      <c r="R335">
        <v>26.34</v>
      </c>
      <c r="S335">
        <v>0</v>
      </c>
      <c r="T335">
        <v>17039.41</v>
      </c>
      <c r="U335">
        <v>83.83</v>
      </c>
      <c r="V335">
        <v>0</v>
      </c>
      <c r="W335">
        <v>0</v>
      </c>
      <c r="AB335">
        <f>SUMPRODUCT(DB_HighSOF[[#This Row],[Plan01]:[Plan12]],$D$4:$O$4)/valUnits2</f>
        <v>34.263340999999997</v>
      </c>
      <c r="AC335">
        <f>SUMPRODUCT(DB_HighSOF[[#This Row],[Act01]:[Act12]],$P$4:$AA$4)/valUnits2</f>
        <v>26.848700000000001</v>
      </c>
      <c r="AD335">
        <f>DB_HighSOF[[#This Row],[Actual]]-DB_HighSOF[[#This Row],[Plan]]</f>
        <v>-7.414640999999996</v>
      </c>
      <c r="AE335">
        <f>IF(DB_HighSOF[[#This Row],[Plan]]&lt;&gt;0,DB_HighSOF[[#This Row],[Actual]]/DB_HighSOF[[#This Row],[Plan]],1.000011000011)</f>
        <v>0.78359842374974475</v>
      </c>
    </row>
    <row r="336" spans="1:31" x14ac:dyDescent="0.2">
      <c r="A336">
        <f>SUBTOTAL(3,$B$6:B336)</f>
        <v>82</v>
      </c>
      <c r="B336" t="s">
        <v>1</v>
      </c>
      <c r="C336" t="s">
        <v>356</v>
      </c>
      <c r="D336">
        <v>21143.756000000001</v>
      </c>
      <c r="E336">
        <v>10746.895</v>
      </c>
      <c r="F336">
        <v>7770.45</v>
      </c>
      <c r="G336">
        <v>20236.323000000004</v>
      </c>
      <c r="H336">
        <v>8078.8259999999991</v>
      </c>
      <c r="I336">
        <v>27380.335000000003</v>
      </c>
      <c r="P336">
        <v>21345.439999999995</v>
      </c>
      <c r="Q336">
        <v>10921.630000000001</v>
      </c>
      <c r="R336">
        <v>7758.5899999999965</v>
      </c>
      <c r="S336">
        <v>20353.890000000003</v>
      </c>
      <c r="T336">
        <v>8337.2799999999952</v>
      </c>
      <c r="U336">
        <v>18845.060000000001</v>
      </c>
      <c r="AB336">
        <f>SUMPRODUCT(DB_HighSOF[[#This Row],[Plan01]:[Plan12]],$D$4:$O$4)/valUnits2</f>
        <v>95.35658500000001</v>
      </c>
      <c r="AC336">
        <f>SUMPRODUCT(DB_HighSOF[[#This Row],[Act01]:[Act12]],$P$4:$AA$4)/valUnits2</f>
        <v>87.561889999999991</v>
      </c>
      <c r="AD336">
        <f>DB_HighSOF[[#This Row],[Actual]]-DB_HighSOF[[#This Row],[Plan]]</f>
        <v>-7.7946950000000186</v>
      </c>
      <c r="AE336">
        <f>IF(DB_HighSOF[[#This Row],[Plan]]&lt;&gt;0,DB_HighSOF[[#This Row],[Actual]]/DB_HighSOF[[#This Row],[Plan]],1.000011000011)</f>
        <v>0.91825740194030625</v>
      </c>
    </row>
    <row r="337" spans="1:31" hidden="1" x14ac:dyDescent="0.2">
      <c r="A337">
        <f>SUBTOTAL(3,$B$6:B337)</f>
        <v>82</v>
      </c>
      <c r="B337" t="s">
        <v>349</v>
      </c>
      <c r="C337" t="s">
        <v>355</v>
      </c>
      <c r="D337">
        <v>12091.820000000002</v>
      </c>
      <c r="E337">
        <v>8769.2499999999982</v>
      </c>
      <c r="F337">
        <v>349.80899999999895</v>
      </c>
      <c r="G337">
        <v>1522.309</v>
      </c>
      <c r="H337">
        <v>599.36400000000049</v>
      </c>
      <c r="I337">
        <v>10359.532999999999</v>
      </c>
      <c r="P337">
        <v>12206.119999999999</v>
      </c>
      <c r="Q337">
        <v>8939.9599999999991</v>
      </c>
      <c r="R337">
        <v>345.81</v>
      </c>
      <c r="S337">
        <v>1538.4500000000003</v>
      </c>
      <c r="T337">
        <v>641.72999999999956</v>
      </c>
      <c r="U337">
        <v>0</v>
      </c>
      <c r="AB337">
        <f>SUMPRODUCT(DB_HighSOF[[#This Row],[Plan01]:[Plan12]],$D$4:$O$4)/valUnits2</f>
        <v>33.692084999999999</v>
      </c>
      <c r="AC337">
        <f>SUMPRODUCT(DB_HighSOF[[#This Row],[Act01]:[Act12]],$P$4:$AA$4)/valUnits2</f>
        <v>23.672069999999998</v>
      </c>
      <c r="AD337">
        <f>DB_HighSOF[[#This Row],[Actual]]-DB_HighSOF[[#This Row],[Plan]]</f>
        <v>-10.020015000000001</v>
      </c>
      <c r="AE337">
        <f>IF(DB_HighSOF[[#This Row],[Plan]]&lt;&gt;0,DB_HighSOF[[#This Row],[Actual]]/DB_HighSOF[[#This Row],[Plan]],1.000011000011)</f>
        <v>0.70260032883094048</v>
      </c>
    </row>
    <row r="338" spans="1:31" x14ac:dyDescent="0.2">
      <c r="A338">
        <f>SUBTOTAL(3,$B$6:B338)</f>
        <v>83</v>
      </c>
      <c r="B338" t="s">
        <v>1</v>
      </c>
      <c r="C338" t="s">
        <v>850</v>
      </c>
      <c r="D338">
        <v>6231.6670000000004</v>
      </c>
      <c r="E338">
        <v>6352.0679999999993</v>
      </c>
      <c r="F338">
        <v>6615.0840000000007</v>
      </c>
      <c r="G338">
        <v>49266.033000000003</v>
      </c>
      <c r="H338">
        <v>23272.922000000002</v>
      </c>
      <c r="I338">
        <v>19642.595999999998</v>
      </c>
      <c r="J338">
        <v>19642.595999999994</v>
      </c>
      <c r="K338">
        <v>19642.595999999994</v>
      </c>
      <c r="L338">
        <v>19642.595999999994</v>
      </c>
      <c r="M338">
        <v>19642.595999999994</v>
      </c>
      <c r="N338">
        <v>19642.595999999994</v>
      </c>
      <c r="O338">
        <v>19642.595999999994</v>
      </c>
      <c r="P338">
        <v>6231.67</v>
      </c>
      <c r="Q338">
        <v>6420.4400000000014</v>
      </c>
      <c r="R338">
        <v>6613.77</v>
      </c>
      <c r="S338">
        <v>49479.44000000001</v>
      </c>
      <c r="T338">
        <v>23292.090000000004</v>
      </c>
      <c r="U338">
        <v>9666.130000000001</v>
      </c>
      <c r="V338">
        <v>1324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f>SUMPRODUCT(DB_HighSOF[[#This Row],[Plan01]:[Plan12]],$D$4:$O$4)/valUnits2</f>
        <v>111.38037000000003</v>
      </c>
      <c r="AC338">
        <f>SUMPRODUCT(DB_HighSOF[[#This Row],[Act01]:[Act12]],$P$4:$AA$4)/valUnits2</f>
        <v>101.70354</v>
      </c>
      <c r="AD338">
        <f>DB_HighSOF[[#This Row],[Actual]]-DB_HighSOF[[#This Row],[Plan]]</f>
        <v>-9.6768300000000238</v>
      </c>
      <c r="AE338">
        <f>IF(DB_HighSOF[[#This Row],[Plan]]&lt;&gt;0,DB_HighSOF[[#This Row],[Actual]]/DB_HighSOF[[#This Row],[Plan]],1.000011000011)</f>
        <v>0.91311907116128255</v>
      </c>
    </row>
    <row r="339" spans="1:31" hidden="1" x14ac:dyDescent="0.2">
      <c r="A339">
        <f>SUBTOTAL(3,$B$6:B339)</f>
        <v>83</v>
      </c>
      <c r="B339" t="s">
        <v>342</v>
      </c>
      <c r="C339" t="s">
        <v>882</v>
      </c>
      <c r="D339">
        <v>15815.819000000009</v>
      </c>
      <c r="E339">
        <v>8397.732</v>
      </c>
      <c r="F339">
        <v>4060.2589999999991</v>
      </c>
      <c r="G339">
        <v>15888.638000000003</v>
      </c>
      <c r="H339">
        <v>109945.58400000005</v>
      </c>
      <c r="I339">
        <v>24296.654999999999</v>
      </c>
      <c r="J339">
        <v>33011.420999999988</v>
      </c>
      <c r="K339">
        <v>25532.191000000003</v>
      </c>
      <c r="L339">
        <v>25022.501</v>
      </c>
      <c r="M339">
        <v>30657.285999999996</v>
      </c>
      <c r="N339">
        <v>33301.520999999986</v>
      </c>
      <c r="O339">
        <v>20042.27900000001</v>
      </c>
      <c r="P339">
        <v>15956.909999999989</v>
      </c>
      <c r="Q339">
        <v>8602.7200000000084</v>
      </c>
      <c r="R339">
        <v>4097.1999999999925</v>
      </c>
      <c r="S339">
        <v>15737.75</v>
      </c>
      <c r="T339">
        <v>109732.69000000003</v>
      </c>
      <c r="U339">
        <v>15682.210000000025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f>SUMPRODUCT(DB_HighSOF[[#This Row],[Plan01]:[Plan12]],$D$4:$O$4)/valUnits2</f>
        <v>178.40468700000005</v>
      </c>
      <c r="AC339">
        <f>SUMPRODUCT(DB_HighSOF[[#This Row],[Act01]:[Act12]],$P$4:$AA$4)/valUnits2</f>
        <v>169.80948000000004</v>
      </c>
      <c r="AD339">
        <f>DB_HighSOF[[#This Row],[Actual]]-DB_HighSOF[[#This Row],[Plan]]</f>
        <v>-8.5952070000000163</v>
      </c>
      <c r="AE339">
        <f>IF(DB_HighSOF[[#This Row],[Plan]]&lt;&gt;0,DB_HighSOF[[#This Row],[Actual]]/DB_HighSOF[[#This Row],[Plan]],1.000011000011)</f>
        <v>0.95182185432157385</v>
      </c>
    </row>
    <row r="340" spans="1:31" hidden="1" x14ac:dyDescent="0.2">
      <c r="A340">
        <f>SUBTOTAL(3,$B$6:B340)</f>
        <v>83</v>
      </c>
      <c r="B340" t="s">
        <v>345</v>
      </c>
      <c r="C340" t="s">
        <v>850</v>
      </c>
      <c r="D340">
        <v>6209.75</v>
      </c>
      <c r="E340">
        <v>3670.5279999999998</v>
      </c>
      <c r="F340">
        <v>6615.0840000000007</v>
      </c>
      <c r="G340">
        <v>44641.317000000003</v>
      </c>
      <c r="H340">
        <v>20136.372000000003</v>
      </c>
      <c r="I340">
        <v>18407.532999999999</v>
      </c>
      <c r="J340">
        <v>18407.532999999996</v>
      </c>
      <c r="K340">
        <v>18407.532999999996</v>
      </c>
      <c r="L340">
        <v>18407.532999999996</v>
      </c>
      <c r="M340">
        <v>18407.532999999996</v>
      </c>
      <c r="N340">
        <v>18407.532999999996</v>
      </c>
      <c r="O340">
        <v>18407.532999999996</v>
      </c>
      <c r="P340">
        <v>6209.75</v>
      </c>
      <c r="Q340">
        <v>3738.900000000001</v>
      </c>
      <c r="R340">
        <v>6613.77</v>
      </c>
      <c r="S340">
        <v>44863.48000000001</v>
      </c>
      <c r="T340">
        <v>20162.610000000004</v>
      </c>
      <c r="U340">
        <v>8727.6000000000022</v>
      </c>
      <c r="V340">
        <v>1324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f>SUMPRODUCT(DB_HighSOF[[#This Row],[Plan01]:[Plan12]],$D$4:$O$4)/valUnits2</f>
        <v>99.680583999999996</v>
      </c>
      <c r="AC340">
        <f>SUMPRODUCT(DB_HighSOF[[#This Row],[Act01]:[Act12]],$P$4:$AA$4)/valUnits2</f>
        <v>90.316110000000009</v>
      </c>
      <c r="AD340">
        <f>DB_HighSOF[[#This Row],[Actual]]-DB_HighSOF[[#This Row],[Plan]]</f>
        <v>-9.3644739999999871</v>
      </c>
      <c r="AE340">
        <f>IF(DB_HighSOF[[#This Row],[Plan]]&lt;&gt;0,DB_HighSOF[[#This Row],[Actual]]/DB_HighSOF[[#This Row],[Plan]],1.000011000011)</f>
        <v>0.90605518523045581</v>
      </c>
    </row>
    <row r="341" spans="1:31" x14ac:dyDescent="0.2">
      <c r="A341">
        <f>SUBTOTAL(3,$B$6:B341)</f>
        <v>84</v>
      </c>
      <c r="B341" t="s">
        <v>1</v>
      </c>
      <c r="C341" t="s">
        <v>355</v>
      </c>
      <c r="D341">
        <v>12091.820000000002</v>
      </c>
      <c r="E341">
        <v>8769.2499999999982</v>
      </c>
      <c r="F341">
        <v>349.80899999999895</v>
      </c>
      <c r="G341">
        <v>1606.4390000000001</v>
      </c>
      <c r="H341">
        <v>599.36400000000049</v>
      </c>
      <c r="I341">
        <v>10359.532999999999</v>
      </c>
      <c r="P341">
        <v>12206.119999999999</v>
      </c>
      <c r="Q341">
        <v>8939.9599999999991</v>
      </c>
      <c r="R341">
        <v>345.81</v>
      </c>
      <c r="S341">
        <v>1623.7000000000003</v>
      </c>
      <c r="T341">
        <v>641.72999999999956</v>
      </c>
      <c r="U341">
        <v>0</v>
      </c>
      <c r="AB341">
        <f>SUMPRODUCT(DB_HighSOF[[#This Row],[Plan01]:[Plan12]],$D$4:$O$4)/valUnits2</f>
        <v>33.776214999999993</v>
      </c>
      <c r="AC341">
        <f>SUMPRODUCT(DB_HighSOF[[#This Row],[Act01]:[Act12]],$P$4:$AA$4)/valUnits2</f>
        <v>23.75732</v>
      </c>
      <c r="AD341">
        <f>DB_HighSOF[[#This Row],[Actual]]-DB_HighSOF[[#This Row],[Plan]]</f>
        <v>-10.018894999999993</v>
      </c>
      <c r="AE341">
        <f>IF(DB_HighSOF[[#This Row],[Plan]]&lt;&gt;0,DB_HighSOF[[#This Row],[Actual]]/DB_HighSOF[[#This Row],[Plan]],1.000011000011)</f>
        <v>0.70337425315417978</v>
      </c>
    </row>
    <row r="342" spans="1:31" x14ac:dyDescent="0.2">
      <c r="A342">
        <f>SUBTOTAL(3,$B$6:B342)</f>
        <v>85</v>
      </c>
      <c r="B342" t="s">
        <v>1</v>
      </c>
      <c r="C342" t="s">
        <v>904</v>
      </c>
      <c r="D342">
        <v>4068.4479999999994</v>
      </c>
      <c r="E342">
        <v>13621.041999999998</v>
      </c>
      <c r="F342">
        <v>22670.533000000003</v>
      </c>
      <c r="G342">
        <v>9766.0490000000009</v>
      </c>
      <c r="H342">
        <v>18460.315000000002</v>
      </c>
      <c r="I342">
        <v>8104.8959999999997</v>
      </c>
      <c r="J342">
        <v>6308.5530000000008</v>
      </c>
      <c r="K342">
        <v>6308.5530000000008</v>
      </c>
      <c r="L342">
        <v>6505.0420000000004</v>
      </c>
      <c r="M342">
        <v>5797.1660000000002</v>
      </c>
      <c r="N342">
        <v>4557.7719999999999</v>
      </c>
      <c r="O342">
        <v>4361.2829999999994</v>
      </c>
      <c r="P342">
        <v>4068.33</v>
      </c>
      <c r="Q342">
        <v>13607.21</v>
      </c>
      <c r="R342">
        <v>22519.529999999992</v>
      </c>
      <c r="S342">
        <v>9930.1199999999972</v>
      </c>
      <c r="T342">
        <v>18499.259999999998</v>
      </c>
      <c r="U342">
        <v>-2303.69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f>SUMPRODUCT(DB_HighSOF[[#This Row],[Plan01]:[Plan12]],$D$4:$O$4)/valUnits2</f>
        <v>76.691282999999999</v>
      </c>
      <c r="AC342">
        <f>SUMPRODUCT(DB_HighSOF[[#This Row],[Act01]:[Act12]],$P$4:$AA$4)/valUnits2</f>
        <v>66.320759999999979</v>
      </c>
      <c r="AD342">
        <f>DB_HighSOF[[#This Row],[Actual]]-DB_HighSOF[[#This Row],[Plan]]</f>
        <v>-10.37052300000002</v>
      </c>
      <c r="AE342">
        <f>IF(DB_HighSOF[[#This Row],[Plan]]&lt;&gt;0,DB_HighSOF[[#This Row],[Actual]]/DB_HighSOF[[#This Row],[Plan]],1.000011000011)</f>
        <v>0.86477572685803128</v>
      </c>
    </row>
    <row r="343" spans="1:31" hidden="1" x14ac:dyDescent="0.2">
      <c r="A343">
        <f>SUBTOTAL(3,$B$6:B343)</f>
        <v>85</v>
      </c>
      <c r="B343" t="s">
        <v>344</v>
      </c>
      <c r="C343" t="s">
        <v>879</v>
      </c>
      <c r="E343">
        <v>1347.7660000000001</v>
      </c>
      <c r="F343">
        <v>26199.86</v>
      </c>
      <c r="G343">
        <v>0</v>
      </c>
      <c r="H343">
        <v>58059.58</v>
      </c>
      <c r="I343">
        <v>10048.280000000001</v>
      </c>
      <c r="J343">
        <v>10083.751</v>
      </c>
      <c r="K343">
        <v>10048.280000000001</v>
      </c>
      <c r="L343">
        <v>10048.280999999999</v>
      </c>
      <c r="M343">
        <v>10048.280999999999</v>
      </c>
      <c r="N343">
        <v>10048.280999999999</v>
      </c>
      <c r="O343">
        <v>10048.280999999999</v>
      </c>
      <c r="Q343">
        <v>1346.3</v>
      </c>
      <c r="R343">
        <v>26928.3</v>
      </c>
      <c r="S343">
        <v>0</v>
      </c>
      <c r="T343">
        <v>59748.4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f>SUMPRODUCT(DB_HighSOF[[#This Row],[Plan01]:[Plan12]],$D$4:$O$4)/valUnits2</f>
        <v>95.65548600000001</v>
      </c>
      <c r="AC343">
        <f>SUMPRODUCT(DB_HighSOF[[#This Row],[Act01]:[Act12]],$P$4:$AA$4)/valUnits2</f>
        <v>88.022999999999996</v>
      </c>
      <c r="AD343">
        <f>DB_HighSOF[[#This Row],[Actual]]-DB_HighSOF[[#This Row],[Plan]]</f>
        <v>-7.6324860000000143</v>
      </c>
      <c r="AE343">
        <f>IF(DB_HighSOF[[#This Row],[Plan]]&lt;&gt;0,DB_HighSOF[[#This Row],[Actual]]/DB_HighSOF[[#This Row],[Plan]],1.000011000011)</f>
        <v>0.92020859106815878</v>
      </c>
    </row>
    <row r="344" spans="1:31" hidden="1" x14ac:dyDescent="0.2">
      <c r="A344">
        <f>SUBTOTAL(3,$B$6:B344)</f>
        <v>85</v>
      </c>
      <c r="B344" t="s">
        <v>344</v>
      </c>
      <c r="C344" t="s">
        <v>891</v>
      </c>
      <c r="D344">
        <v>1201.345</v>
      </c>
      <c r="E344">
        <v>3866.3089999999997</v>
      </c>
      <c r="F344">
        <v>4404.1809999999996</v>
      </c>
      <c r="G344">
        <v>5184.1420000000007</v>
      </c>
      <c r="H344">
        <v>5679.0499999999993</v>
      </c>
      <c r="I344">
        <v>17559.863999999998</v>
      </c>
      <c r="J344">
        <v>16096.863999999998</v>
      </c>
      <c r="K344">
        <v>12925.015999999996</v>
      </c>
      <c r="L344">
        <v>13383.478999999999</v>
      </c>
      <c r="M344">
        <v>12726.108999999997</v>
      </c>
      <c r="N344">
        <v>13769.552999999996</v>
      </c>
      <c r="O344">
        <v>14030.413999999997</v>
      </c>
      <c r="P344">
        <v>1182.8899999999999</v>
      </c>
      <c r="Q344">
        <v>3950.3500000000004</v>
      </c>
      <c r="R344">
        <v>4457.7599999999993</v>
      </c>
      <c r="S344">
        <v>5149.58</v>
      </c>
      <c r="T344">
        <v>5678.57</v>
      </c>
      <c r="U344">
        <v>7472.9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f>SUMPRODUCT(DB_HighSOF[[#This Row],[Plan01]:[Plan12]],$D$4:$O$4)/valUnits2</f>
        <v>37.894890999999994</v>
      </c>
      <c r="AC344">
        <f>SUMPRODUCT(DB_HighSOF[[#This Row],[Act01]:[Act12]],$P$4:$AA$4)/valUnits2</f>
        <v>27.892050000000005</v>
      </c>
      <c r="AD344">
        <f>DB_HighSOF[[#This Row],[Actual]]-DB_HighSOF[[#This Row],[Plan]]</f>
        <v>-10.002840999999989</v>
      </c>
      <c r="AE344">
        <f>IF(DB_HighSOF[[#This Row],[Plan]]&lt;&gt;0,DB_HighSOF[[#This Row],[Actual]]/DB_HighSOF[[#This Row],[Plan]],1.000011000011)</f>
        <v>0.73603721409305567</v>
      </c>
    </row>
    <row r="345" spans="1:31" x14ac:dyDescent="0.2">
      <c r="A345">
        <f>SUBTOTAL(3,$B$6:B345)</f>
        <v>86</v>
      </c>
      <c r="B345" t="s">
        <v>1</v>
      </c>
      <c r="C345" t="s">
        <v>913</v>
      </c>
      <c r="D345">
        <v>4672.3689999999997</v>
      </c>
      <c r="E345">
        <v>-1181.952</v>
      </c>
      <c r="F345">
        <v>19514.457000000002</v>
      </c>
      <c r="G345">
        <v>5518.9989999999998</v>
      </c>
      <c r="H345">
        <v>27546.753999999997</v>
      </c>
      <c r="I345">
        <v>12905.422000000002</v>
      </c>
      <c r="J345">
        <v>5920.3759999999993</v>
      </c>
      <c r="K345">
        <v>6057.8379999999988</v>
      </c>
      <c r="L345">
        <v>7975.9329999999991</v>
      </c>
      <c r="M345">
        <v>6927.3739999999998</v>
      </c>
      <c r="N345">
        <v>5776.5169999999998</v>
      </c>
      <c r="O345">
        <v>5776.5169999999998</v>
      </c>
      <c r="P345">
        <v>4584.72</v>
      </c>
      <c r="Q345">
        <v>-1181.2900000000002</v>
      </c>
      <c r="R345">
        <v>19879.340000000004</v>
      </c>
      <c r="S345">
        <v>5480.3499999999985</v>
      </c>
      <c r="T345">
        <v>27611.710000000003</v>
      </c>
      <c r="U345">
        <v>1336.340000000002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f>SUMPRODUCT(DB_HighSOF[[#This Row],[Plan01]:[Plan12]],$D$4:$O$4)/valUnits2</f>
        <v>68.976049000000003</v>
      </c>
      <c r="AC345">
        <f>SUMPRODUCT(DB_HighSOF[[#This Row],[Act01]:[Act12]],$P$4:$AA$4)/valUnits2</f>
        <v>57.711170000000003</v>
      </c>
      <c r="AD345">
        <f>DB_HighSOF[[#This Row],[Actual]]-DB_HighSOF[[#This Row],[Plan]]</f>
        <v>-11.264879000000001</v>
      </c>
      <c r="AE345">
        <f>IF(DB_HighSOF[[#This Row],[Plan]]&lt;&gt;0,DB_HighSOF[[#This Row],[Actual]]/DB_HighSOF[[#This Row],[Plan]],1.000011000011)</f>
        <v>0.83668419453831</v>
      </c>
    </row>
    <row r="346" spans="1:31" hidden="1" x14ac:dyDescent="0.2">
      <c r="A346">
        <f>SUBTOTAL(3,$B$6:B346)</f>
        <v>86</v>
      </c>
      <c r="B346" t="s">
        <v>349</v>
      </c>
      <c r="C346" t="s">
        <v>913</v>
      </c>
      <c r="D346">
        <v>4672.3689999999997</v>
      </c>
      <c r="E346">
        <v>-1181.952</v>
      </c>
      <c r="F346">
        <v>19503.228000000003</v>
      </c>
      <c r="G346">
        <v>1871.2379999999994</v>
      </c>
      <c r="H346">
        <v>18889.756999999998</v>
      </c>
      <c r="I346">
        <v>12202.069000000001</v>
      </c>
      <c r="J346">
        <v>5217.0229999999992</v>
      </c>
      <c r="K346">
        <v>5354.4849999999988</v>
      </c>
      <c r="L346">
        <v>7272.579999999999</v>
      </c>
      <c r="M346">
        <v>6224.0209999999997</v>
      </c>
      <c r="N346">
        <v>5073.1639999999998</v>
      </c>
      <c r="O346">
        <v>5073.1639999999998</v>
      </c>
      <c r="P346">
        <v>4584.72</v>
      </c>
      <c r="Q346">
        <v>-1181.2900000000002</v>
      </c>
      <c r="R346">
        <v>19867.890000000003</v>
      </c>
      <c r="S346">
        <v>1845.9999999999989</v>
      </c>
      <c r="T346">
        <v>18923.690000000002</v>
      </c>
      <c r="U346">
        <v>1175.1700000000014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f>SUMPRODUCT(DB_HighSOF[[#This Row],[Plan01]:[Plan12]],$D$4:$O$4)/valUnits2</f>
        <v>55.956709000000004</v>
      </c>
      <c r="AC346">
        <f>SUMPRODUCT(DB_HighSOF[[#This Row],[Act01]:[Act12]],$P$4:$AA$4)/valUnits2</f>
        <v>45.216180000000008</v>
      </c>
      <c r="AD346">
        <f>DB_HighSOF[[#This Row],[Actual]]-DB_HighSOF[[#This Row],[Plan]]</f>
        <v>-10.740528999999995</v>
      </c>
      <c r="AE346">
        <f>IF(DB_HighSOF[[#This Row],[Plan]]&lt;&gt;0,DB_HighSOF[[#This Row],[Actual]]/DB_HighSOF[[#This Row],[Plan]],1.000011000011)</f>
        <v>0.80805645664401038</v>
      </c>
    </row>
    <row r="347" spans="1:31" x14ac:dyDescent="0.2">
      <c r="A347">
        <f>SUBTOTAL(3,$B$6:B347)</f>
        <v>87</v>
      </c>
      <c r="B347" t="s">
        <v>1</v>
      </c>
      <c r="C347" t="s">
        <v>882</v>
      </c>
      <c r="D347">
        <v>17167.903000000009</v>
      </c>
      <c r="E347">
        <v>9760.9560000000001</v>
      </c>
      <c r="F347">
        <v>5948.1569999999992</v>
      </c>
      <c r="G347">
        <v>20421.905000000002</v>
      </c>
      <c r="H347">
        <v>113522.33800000005</v>
      </c>
      <c r="I347">
        <v>29927.852999999999</v>
      </c>
      <c r="J347">
        <v>38316.542999999991</v>
      </c>
      <c r="K347">
        <v>30837.313000000002</v>
      </c>
      <c r="L347">
        <v>30653.699000000001</v>
      </c>
      <c r="M347">
        <v>35962.407999999996</v>
      </c>
      <c r="N347">
        <v>38606.642999999989</v>
      </c>
      <c r="O347">
        <v>25673.47700000001</v>
      </c>
      <c r="P347">
        <v>17288.999999999989</v>
      </c>
      <c r="Q347">
        <v>9994.5300000000079</v>
      </c>
      <c r="R347">
        <v>6002.1899999999923</v>
      </c>
      <c r="S347">
        <v>20243.919999999998</v>
      </c>
      <c r="T347">
        <v>113302.28000000003</v>
      </c>
      <c r="U347">
        <v>18135.030000000024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f>SUMPRODUCT(DB_HighSOF[[#This Row],[Plan01]:[Plan12]],$D$4:$O$4)/valUnits2</f>
        <v>196.74911200000008</v>
      </c>
      <c r="AC347">
        <f>SUMPRODUCT(DB_HighSOF[[#This Row],[Act01]:[Act12]],$P$4:$AA$4)/valUnits2</f>
        <v>184.96695000000005</v>
      </c>
      <c r="AD347">
        <f>DB_HighSOF[[#This Row],[Actual]]-DB_HighSOF[[#This Row],[Plan]]</f>
        <v>-11.782162000000028</v>
      </c>
      <c r="AE347">
        <f>IF(DB_HighSOF[[#This Row],[Plan]]&lt;&gt;0,DB_HighSOF[[#This Row],[Actual]]/DB_HighSOF[[#This Row],[Plan]],1.000011000011)</f>
        <v>0.94011580596104538</v>
      </c>
    </row>
    <row r="348" spans="1:31" hidden="1" x14ac:dyDescent="0.2">
      <c r="A348">
        <f>SUBTOTAL(3,$B$6:B348)</f>
        <v>87</v>
      </c>
      <c r="B348" t="s">
        <v>348</v>
      </c>
      <c r="C348" t="s">
        <v>904</v>
      </c>
      <c r="D348">
        <v>3365.3399999999997</v>
      </c>
      <c r="E348">
        <v>13206.280999999999</v>
      </c>
      <c r="F348">
        <v>21975.558000000005</v>
      </c>
      <c r="G348">
        <v>8719.4790000000012</v>
      </c>
      <c r="H348">
        <v>17431.623000000003</v>
      </c>
      <c r="I348">
        <v>7114.1509999999998</v>
      </c>
      <c r="J348">
        <v>5317.8080000000009</v>
      </c>
      <c r="K348">
        <v>5317.8080000000009</v>
      </c>
      <c r="L348">
        <v>5514.2970000000005</v>
      </c>
      <c r="M348">
        <v>4806.4210000000003</v>
      </c>
      <c r="N348">
        <v>3567.027</v>
      </c>
      <c r="O348">
        <v>3370.538</v>
      </c>
      <c r="P348">
        <v>3365.28</v>
      </c>
      <c r="Q348">
        <v>13193.47</v>
      </c>
      <c r="R348">
        <v>21827.269999999993</v>
      </c>
      <c r="S348">
        <v>8761.7099999999973</v>
      </c>
      <c r="T348">
        <v>17471.509999999998</v>
      </c>
      <c r="U348">
        <v>-3405.7599999999998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f>SUMPRODUCT(DB_HighSOF[[#This Row],[Plan01]:[Plan12]],$D$4:$O$4)/valUnits2</f>
        <v>71.812432000000001</v>
      </c>
      <c r="AC348">
        <f>SUMPRODUCT(DB_HighSOF[[#This Row],[Act01]:[Act12]],$P$4:$AA$4)/valUnits2</f>
        <v>61.21347999999999</v>
      </c>
      <c r="AD348">
        <f>DB_HighSOF[[#This Row],[Actual]]-DB_HighSOF[[#This Row],[Plan]]</f>
        <v>-10.598952000000011</v>
      </c>
      <c r="AE348">
        <f>IF(DB_HighSOF[[#This Row],[Plan]]&lt;&gt;0,DB_HighSOF[[#This Row],[Actual]]/DB_HighSOF[[#This Row],[Plan]],1.000011000011)</f>
        <v>0.85240783935572584</v>
      </c>
    </row>
    <row r="349" spans="1:31" hidden="1" x14ac:dyDescent="0.2">
      <c r="A349">
        <f>SUBTOTAL(3,$B$6:B349)</f>
        <v>87</v>
      </c>
      <c r="B349" t="s">
        <v>351</v>
      </c>
      <c r="C349" t="s">
        <v>927</v>
      </c>
      <c r="D349">
        <v>657.14</v>
      </c>
      <c r="E349">
        <v>10744.79</v>
      </c>
      <c r="F349">
        <v>11014.239999999998</v>
      </c>
      <c r="G349">
        <v>45309.660000000011</v>
      </c>
      <c r="H349">
        <v>23233.07</v>
      </c>
      <c r="I349">
        <v>28909.584999999999</v>
      </c>
      <c r="J349">
        <v>28909.584999999999</v>
      </c>
      <c r="K349">
        <v>28909.584999999999</v>
      </c>
      <c r="L349">
        <v>28909.584999999999</v>
      </c>
      <c r="M349">
        <v>28909.584999999999</v>
      </c>
      <c r="N349">
        <v>28909.584999999999</v>
      </c>
      <c r="O349">
        <v>28909.584999999999</v>
      </c>
      <c r="P349">
        <v>657.14</v>
      </c>
      <c r="Q349">
        <v>10744.790000000003</v>
      </c>
      <c r="R349">
        <v>11014.239999999998</v>
      </c>
      <c r="S349">
        <v>45309.660000000011</v>
      </c>
      <c r="T349">
        <v>23248.43</v>
      </c>
      <c r="U349">
        <v>14247.729999999998</v>
      </c>
      <c r="V349">
        <v>5935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f>SUMPRODUCT(DB_HighSOF[[#This Row],[Plan01]:[Plan12]],$D$4:$O$4)/valUnits2</f>
        <v>119.86848500000002</v>
      </c>
      <c r="AC349">
        <f>SUMPRODUCT(DB_HighSOF[[#This Row],[Act01]:[Act12]],$P$4:$AA$4)/valUnits2</f>
        <v>105.22199000000001</v>
      </c>
      <c r="AD349">
        <f>DB_HighSOF[[#This Row],[Actual]]-DB_HighSOF[[#This Row],[Plan]]</f>
        <v>-14.646495000000016</v>
      </c>
      <c r="AE349">
        <f>IF(DB_HighSOF[[#This Row],[Plan]]&lt;&gt;0,DB_HighSOF[[#This Row],[Actual]]/DB_HighSOF[[#This Row],[Plan]],1.000011000011)</f>
        <v>0.87781196200152178</v>
      </c>
    </row>
    <row r="350" spans="1:31" hidden="1" x14ac:dyDescent="0.2">
      <c r="A350">
        <f>SUBTOTAL(3,$B$6:B350)</f>
        <v>87</v>
      </c>
      <c r="B350" t="s">
        <v>349</v>
      </c>
      <c r="C350" t="s">
        <v>884</v>
      </c>
      <c r="D350">
        <v>3275.7400000000002</v>
      </c>
      <c r="E350">
        <v>5080.12</v>
      </c>
      <c r="F350">
        <v>3130.75</v>
      </c>
      <c r="G350">
        <v>2347</v>
      </c>
      <c r="H350">
        <v>-2098.6099999999997</v>
      </c>
      <c r="I350">
        <v>2347</v>
      </c>
      <c r="J350">
        <v>2347</v>
      </c>
      <c r="K350">
        <v>2347</v>
      </c>
      <c r="L350">
        <v>2347</v>
      </c>
      <c r="M350">
        <v>2347</v>
      </c>
      <c r="N350">
        <v>2347</v>
      </c>
      <c r="O350">
        <v>2350</v>
      </c>
      <c r="P350">
        <v>928.74</v>
      </c>
      <c r="Q350">
        <v>2733.12</v>
      </c>
      <c r="R350">
        <v>783.75</v>
      </c>
      <c r="S350">
        <v>0</v>
      </c>
      <c r="T350">
        <v>-4445.6099999999997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f>SUMPRODUCT(DB_HighSOF[[#This Row],[Plan01]:[Plan12]],$D$4:$O$4)/valUnits2</f>
        <v>14.082000000000001</v>
      </c>
      <c r="AC350">
        <f>SUMPRODUCT(DB_HighSOF[[#This Row],[Act01]:[Act12]],$P$4:$AA$4)/valUnits2</f>
        <v>0</v>
      </c>
      <c r="AD350">
        <f>DB_HighSOF[[#This Row],[Actual]]-DB_HighSOF[[#This Row],[Plan]]</f>
        <v>-14.082000000000001</v>
      </c>
      <c r="AE350">
        <f>IF(DB_HighSOF[[#This Row],[Plan]]&lt;&gt;0,DB_HighSOF[[#This Row],[Actual]]/DB_HighSOF[[#This Row],[Plan]],1.000011000011)</f>
        <v>0</v>
      </c>
    </row>
    <row r="351" spans="1:31" hidden="1" x14ac:dyDescent="0.2">
      <c r="A351">
        <f>SUBTOTAL(3,$B$6:B351)</f>
        <v>87</v>
      </c>
      <c r="B351" t="s">
        <v>351</v>
      </c>
      <c r="C351" t="s">
        <v>911</v>
      </c>
      <c r="D351">
        <v>8696.4220000000005</v>
      </c>
      <c r="E351">
        <v>17016.682000000001</v>
      </c>
      <c r="F351">
        <v>15200.973999999998</v>
      </c>
      <c r="G351">
        <v>29791.513999999996</v>
      </c>
      <c r="H351">
        <v>15097.734000000002</v>
      </c>
      <c r="I351">
        <v>4454.7439999999997</v>
      </c>
      <c r="J351">
        <v>4454.7439999999997</v>
      </c>
      <c r="K351">
        <v>4454.7439999999997</v>
      </c>
      <c r="L351">
        <v>4518.6390000000001</v>
      </c>
      <c r="M351">
        <v>4454.7439999999997</v>
      </c>
      <c r="P351">
        <v>4459.34</v>
      </c>
      <c r="Q351">
        <v>9393.0799999999981</v>
      </c>
      <c r="R351">
        <v>10746.230000000001</v>
      </c>
      <c r="S351">
        <v>25336.770000000008</v>
      </c>
      <c r="T351">
        <v>10655.170000000004</v>
      </c>
      <c r="U351">
        <v>9336.220000000003</v>
      </c>
      <c r="V351">
        <v>0</v>
      </c>
      <c r="W351">
        <v>0</v>
      </c>
      <c r="X351">
        <v>0</v>
      </c>
      <c r="Y351">
        <v>0</v>
      </c>
      <c r="AB351">
        <f>SUMPRODUCT(DB_HighSOF[[#This Row],[Plan01]:[Plan12]],$D$4:$O$4)/valUnits2</f>
        <v>90.258069999999989</v>
      </c>
      <c r="AC351">
        <f>SUMPRODUCT(DB_HighSOF[[#This Row],[Act01]:[Act12]],$P$4:$AA$4)/valUnits2</f>
        <v>69.926810000000032</v>
      </c>
      <c r="AD351">
        <f>DB_HighSOF[[#This Row],[Actual]]-DB_HighSOF[[#This Row],[Plan]]</f>
        <v>-20.331259999999958</v>
      </c>
      <c r="AE351">
        <f>IF(DB_HighSOF[[#This Row],[Plan]]&lt;&gt;0,DB_HighSOF[[#This Row],[Actual]]/DB_HighSOF[[#This Row],[Plan]],1.000011000011)</f>
        <v>0.77474302297844433</v>
      </c>
    </row>
    <row r="352" spans="1:31" x14ac:dyDescent="0.2">
      <c r="A352">
        <f>SUBTOTAL(3,$B$6:B352)</f>
        <v>88</v>
      </c>
      <c r="B352" t="s">
        <v>1</v>
      </c>
      <c r="C352" t="s">
        <v>360</v>
      </c>
      <c r="D352">
        <v>1081.4570000000001</v>
      </c>
      <c r="E352">
        <v>3682.498</v>
      </c>
      <c r="F352">
        <v>13794.330000000002</v>
      </c>
      <c r="G352">
        <v>19517.196</v>
      </c>
      <c r="H352">
        <v>2667.7050000000004</v>
      </c>
      <c r="I352">
        <v>18282.697999999997</v>
      </c>
      <c r="J352">
        <v>0</v>
      </c>
      <c r="P352">
        <v>1091.95</v>
      </c>
      <c r="Q352">
        <v>3753.04</v>
      </c>
      <c r="R352">
        <v>13656.68</v>
      </c>
      <c r="S352">
        <v>19667.740000000005</v>
      </c>
      <c r="T352">
        <v>2733.2599999999993</v>
      </c>
      <c r="U352">
        <v>4391.630000000001</v>
      </c>
      <c r="V352">
        <v>1085.23</v>
      </c>
      <c r="AB352">
        <f>SUMPRODUCT(DB_HighSOF[[#This Row],[Plan01]:[Plan12]],$D$4:$O$4)/valUnits2</f>
        <v>59.025883999999998</v>
      </c>
      <c r="AC352">
        <f>SUMPRODUCT(DB_HighSOF[[#This Row],[Act01]:[Act12]],$P$4:$AA$4)/valUnits2</f>
        <v>45.2943</v>
      </c>
      <c r="AD352">
        <f>DB_HighSOF[[#This Row],[Actual]]-DB_HighSOF[[#This Row],[Plan]]</f>
        <v>-13.731583999999998</v>
      </c>
      <c r="AE352">
        <f>IF(DB_HighSOF[[#This Row],[Plan]]&lt;&gt;0,DB_HighSOF[[#This Row],[Actual]]/DB_HighSOF[[#This Row],[Plan]],1.000011000011)</f>
        <v>0.7673633485946606</v>
      </c>
    </row>
    <row r="353" spans="1:31" x14ac:dyDescent="0.2">
      <c r="A353">
        <f>SUBTOTAL(3,$B$6:B353)</f>
        <v>89</v>
      </c>
      <c r="B353" t="s">
        <v>1</v>
      </c>
      <c r="C353" t="s">
        <v>866</v>
      </c>
      <c r="D353">
        <v>183334.97</v>
      </c>
      <c r="E353">
        <v>208931.52000000002</v>
      </c>
      <c r="F353">
        <v>230836.45</v>
      </c>
      <c r="G353">
        <v>-314775.52</v>
      </c>
      <c r="H353">
        <v>-116727.21000000002</v>
      </c>
      <c r="I353">
        <v>47750.003999999986</v>
      </c>
      <c r="J353">
        <v>47750.003999999986</v>
      </c>
      <c r="K353">
        <v>47750.003999999986</v>
      </c>
      <c r="L353">
        <v>47750.003999999986</v>
      </c>
      <c r="P353">
        <v>183334.97000000003</v>
      </c>
      <c r="Q353">
        <v>208931.52000000002</v>
      </c>
      <c r="R353">
        <v>231446.49</v>
      </c>
      <c r="S353">
        <v>-314976.16000000003</v>
      </c>
      <c r="T353">
        <v>-117136.61000000006</v>
      </c>
      <c r="U353">
        <v>33166.419999999991</v>
      </c>
      <c r="V353">
        <v>7223.65</v>
      </c>
      <c r="W353">
        <v>0</v>
      </c>
      <c r="X353">
        <v>0</v>
      </c>
      <c r="AB353">
        <f>SUMPRODUCT(DB_HighSOF[[#This Row],[Plan01]:[Plan12]],$D$4:$O$4)/valUnits2</f>
        <v>239.35021399999988</v>
      </c>
      <c r="AC353">
        <f>SUMPRODUCT(DB_HighSOF[[#This Row],[Act01]:[Act12]],$P$4:$AA$4)/valUnits2</f>
        <v>224.76662999999988</v>
      </c>
      <c r="AD353">
        <f>DB_HighSOF[[#This Row],[Actual]]-DB_HighSOF[[#This Row],[Plan]]</f>
        <v>-14.583584000000002</v>
      </c>
      <c r="AE353">
        <f>IF(DB_HighSOF[[#This Row],[Plan]]&lt;&gt;0,DB_HighSOF[[#This Row],[Actual]]/DB_HighSOF[[#This Row],[Plan]],1.000011000011)</f>
        <v>0.93907010252349299</v>
      </c>
    </row>
    <row r="354" spans="1:31" hidden="1" x14ac:dyDescent="0.2">
      <c r="A354">
        <f>SUBTOTAL(3,$B$6:B354)</f>
        <v>89</v>
      </c>
      <c r="B354" t="s">
        <v>346</v>
      </c>
      <c r="C354" t="s">
        <v>360</v>
      </c>
      <c r="D354">
        <v>1081.4570000000001</v>
      </c>
      <c r="E354">
        <v>3682.498</v>
      </c>
      <c r="F354">
        <v>13794.330000000002</v>
      </c>
      <c r="G354">
        <v>19136.293000000001</v>
      </c>
      <c r="H354">
        <v>2495.6530000000002</v>
      </c>
      <c r="I354">
        <v>15802.603999999998</v>
      </c>
      <c r="J354">
        <v>0</v>
      </c>
      <c r="P354">
        <v>1091.95</v>
      </c>
      <c r="Q354">
        <v>3753.04</v>
      </c>
      <c r="R354">
        <v>13656.68</v>
      </c>
      <c r="S354">
        <v>19282.000000000004</v>
      </c>
      <c r="T354">
        <v>2549.4099999999994</v>
      </c>
      <c r="U354">
        <v>2753.2700000000018</v>
      </c>
      <c r="V354">
        <v>1085.23</v>
      </c>
      <c r="AB354">
        <f>SUMPRODUCT(DB_HighSOF[[#This Row],[Plan01]:[Plan12]],$D$4:$O$4)/valUnits2</f>
        <v>55.992835000000007</v>
      </c>
      <c r="AC354">
        <f>SUMPRODUCT(DB_HighSOF[[#This Row],[Act01]:[Act12]],$P$4:$AA$4)/valUnits2</f>
        <v>43.086349999999996</v>
      </c>
      <c r="AD354">
        <f>DB_HighSOF[[#This Row],[Actual]]-DB_HighSOF[[#This Row],[Plan]]</f>
        <v>-12.906485000000011</v>
      </c>
      <c r="AE354">
        <f>IF(DB_HighSOF[[#This Row],[Plan]]&lt;&gt;0,DB_HighSOF[[#This Row],[Actual]]/DB_HighSOF[[#This Row],[Plan]],1.000011000011)</f>
        <v>0.76949756160765914</v>
      </c>
    </row>
    <row r="355" spans="1:31" hidden="1" x14ac:dyDescent="0.2">
      <c r="A355">
        <f>SUBTOTAL(3,$B$6:B355)</f>
        <v>89</v>
      </c>
      <c r="B355" t="s">
        <v>351</v>
      </c>
      <c r="C355" t="s">
        <v>368</v>
      </c>
      <c r="D355">
        <v>158.51000000000002</v>
      </c>
      <c r="E355">
        <v>0</v>
      </c>
      <c r="F355">
        <v>0</v>
      </c>
      <c r="G355">
        <v>10338.17</v>
      </c>
      <c r="H355">
        <v>59017.430000000008</v>
      </c>
      <c r="I355">
        <v>36096.840000000004</v>
      </c>
      <c r="J355">
        <v>36096.840000000004</v>
      </c>
      <c r="K355">
        <v>36096.840000000004</v>
      </c>
      <c r="L355">
        <v>36096.840000000004</v>
      </c>
      <c r="M355">
        <v>36096.840000000004</v>
      </c>
      <c r="N355">
        <v>36096.840000000004</v>
      </c>
      <c r="P355">
        <v>158.51000000000002</v>
      </c>
      <c r="Q355">
        <v>0</v>
      </c>
      <c r="R355">
        <v>0</v>
      </c>
      <c r="S355">
        <v>10338.169999999998</v>
      </c>
      <c r="T355">
        <v>22940.930000000004</v>
      </c>
      <c r="U355">
        <v>15234.079999999996</v>
      </c>
      <c r="V355">
        <v>0</v>
      </c>
      <c r="W355">
        <v>0</v>
      </c>
      <c r="X355">
        <v>0</v>
      </c>
      <c r="Y355">
        <v>0</v>
      </c>
      <c r="Z355">
        <v>0</v>
      </c>
      <c r="AB355" s="34">
        <f>SUMPRODUCT(DB_HighSOF[[#This Row],[Plan01]:[Plan12]],$D$4:$O$4)/valUnits2</f>
        <v>105.61095000000002</v>
      </c>
      <c r="AC355" s="34">
        <f>SUMPRODUCT(DB_HighSOF[[#This Row],[Act01]:[Act12]],$P$4:$AA$4)/valUnits2</f>
        <v>48.671689999999998</v>
      </c>
      <c r="AD355" s="34">
        <f>DB_HighSOF[[#This Row],[Actual]]-DB_HighSOF[[#This Row],[Plan]]</f>
        <v>-56.939260000000019</v>
      </c>
      <c r="AE355" s="34">
        <f>IF(DB_HighSOF[[#This Row],[Plan]]&lt;&gt;0,DB_HighSOF[[#This Row],[Actual]]/DB_HighSOF[[#This Row],[Plan]],1.000011000011)</f>
        <v>0.4608583674325436</v>
      </c>
    </row>
    <row r="356" spans="1:31" x14ac:dyDescent="0.2">
      <c r="A356">
        <f>SUBTOTAL(3,$B$6:B356)</f>
        <v>90</v>
      </c>
      <c r="B356" t="s">
        <v>1</v>
      </c>
      <c r="C356" t="s">
        <v>924</v>
      </c>
      <c r="D356">
        <v>1237.7170000000001</v>
      </c>
      <c r="E356">
        <v>35113.851999999999</v>
      </c>
      <c r="F356">
        <v>1396.4089999999999</v>
      </c>
      <c r="G356">
        <v>41180.709999999992</v>
      </c>
      <c r="H356">
        <v>3015.1060000000002</v>
      </c>
      <c r="I356">
        <v>19732.521000000001</v>
      </c>
      <c r="J356">
        <v>16552.727000000003</v>
      </c>
      <c r="K356">
        <v>14523.231</v>
      </c>
      <c r="L356">
        <v>17095.306</v>
      </c>
      <c r="M356">
        <v>13258.311000000002</v>
      </c>
      <c r="N356">
        <v>15607.016</v>
      </c>
      <c r="O356">
        <v>13016.628999999999</v>
      </c>
      <c r="P356">
        <v>1218.6500000000001</v>
      </c>
      <c r="Q356">
        <v>36087.75</v>
      </c>
      <c r="R356">
        <v>1409.0500000000006</v>
      </c>
      <c r="S356">
        <v>41049.630000000005</v>
      </c>
      <c r="T356">
        <v>2998.6800000000012</v>
      </c>
      <c r="U356">
        <v>2732.3900000000026</v>
      </c>
      <c r="V356">
        <v>37226.519999999997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f>SUMPRODUCT(DB_HighSOF[[#This Row],[Plan01]:[Plan12]],$D$4:$O$4)/valUnits2</f>
        <v>101.676315</v>
      </c>
      <c r="AC356">
        <f>SUMPRODUCT(DB_HighSOF[[#This Row],[Act01]:[Act12]],$P$4:$AA$4)/valUnits2</f>
        <v>85.496150000000029</v>
      </c>
      <c r="AD356">
        <f>DB_HighSOF[[#This Row],[Actual]]-DB_HighSOF[[#This Row],[Plan]]</f>
        <v>-16.180164999999974</v>
      </c>
      <c r="AE356">
        <f>IF(DB_HighSOF[[#This Row],[Plan]]&lt;&gt;0,DB_HighSOF[[#This Row],[Actual]]/DB_HighSOF[[#This Row],[Plan]],1.000011000011)</f>
        <v>0.84086593814891919</v>
      </c>
    </row>
    <row r="357" spans="1:31" hidden="1" x14ac:dyDescent="0.2">
      <c r="A357">
        <f>SUBTOTAL(3,$B$6:B357)</f>
        <v>90</v>
      </c>
      <c r="B357" t="s">
        <v>348</v>
      </c>
      <c r="C357" t="s">
        <v>933</v>
      </c>
      <c r="D357">
        <v>0</v>
      </c>
      <c r="E357">
        <v>11.280000000000001</v>
      </c>
      <c r="F357">
        <v>0</v>
      </c>
      <c r="G357">
        <v>1087.1799999999998</v>
      </c>
      <c r="H357">
        <v>1039.8500000000001</v>
      </c>
      <c r="I357">
        <v>15428.250999999998</v>
      </c>
      <c r="J357">
        <v>15428.250999999998</v>
      </c>
      <c r="K357">
        <v>15428.250999999998</v>
      </c>
      <c r="L357">
        <v>15428.250999999998</v>
      </c>
      <c r="M357">
        <v>15428.250999999998</v>
      </c>
      <c r="N357">
        <v>15428.250999999998</v>
      </c>
      <c r="O357">
        <v>15428.250999999998</v>
      </c>
      <c r="P357">
        <v>0</v>
      </c>
      <c r="Q357">
        <v>11.280000000000001</v>
      </c>
      <c r="R357">
        <v>0</v>
      </c>
      <c r="S357">
        <v>1087.18</v>
      </c>
      <c r="T357">
        <v>1039.8500000000001</v>
      </c>
      <c r="U357">
        <v>1159.47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f>SUMPRODUCT(DB_HighSOF[[#This Row],[Plan01]:[Plan12]],$D$4:$O$4)/valUnits2</f>
        <v>17.566560999999997</v>
      </c>
      <c r="AC357">
        <f>SUMPRODUCT(DB_HighSOF[[#This Row],[Act01]:[Act12]],$P$4:$AA$4)/valUnits2</f>
        <v>3.2977800000000008</v>
      </c>
      <c r="AD357">
        <f>DB_HighSOF[[#This Row],[Actual]]-DB_HighSOF[[#This Row],[Plan]]</f>
        <v>-14.268780999999995</v>
      </c>
      <c r="AE357">
        <f>IF(DB_HighSOF[[#This Row],[Plan]]&lt;&gt;0,DB_HighSOF[[#This Row],[Actual]]/DB_HighSOF[[#This Row],[Plan]],1.000011000011)</f>
        <v>0.18773054099775144</v>
      </c>
    </row>
    <row r="358" spans="1:31" hidden="1" x14ac:dyDescent="0.2">
      <c r="A358">
        <f>SUBTOTAL(3,$B$6:B358)</f>
        <v>90</v>
      </c>
      <c r="B358" t="s">
        <v>350</v>
      </c>
      <c r="C358" t="s">
        <v>843</v>
      </c>
      <c r="E358">
        <v>4458.7359999999999</v>
      </c>
      <c r="F358">
        <v>2390.5330000000004</v>
      </c>
      <c r="G358">
        <v>5272.5519999999997</v>
      </c>
      <c r="H358">
        <v>506.59300000000002</v>
      </c>
      <c r="I358">
        <v>1759.4940000000001</v>
      </c>
      <c r="J358">
        <v>1759.4940000000001</v>
      </c>
      <c r="K358">
        <v>1759.4940000000001</v>
      </c>
      <c r="L358">
        <v>1759.4940000000001</v>
      </c>
      <c r="M358">
        <v>1759.4940000000001</v>
      </c>
      <c r="N358">
        <v>1759.4940000000001</v>
      </c>
      <c r="O358">
        <v>1759.4940000000001</v>
      </c>
      <c r="Q358">
        <v>4481.1400000000003</v>
      </c>
      <c r="R358">
        <v>2420.54</v>
      </c>
      <c r="S358">
        <v>5263.23</v>
      </c>
      <c r="T358">
        <v>509.59</v>
      </c>
      <c r="U358">
        <v>-12669.23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f>SUMPRODUCT(DB_HighSOF[[#This Row],[Plan01]:[Plan12]],$D$4:$O$4)/valUnits2</f>
        <v>14.387908000000001</v>
      </c>
      <c r="AC358">
        <f>SUMPRODUCT(DB_HighSOF[[#This Row],[Act01]:[Act12]],$P$4:$AA$4)/valUnits2</f>
        <v>5.2700000000004367E-3</v>
      </c>
      <c r="AD358">
        <f>DB_HighSOF[[#This Row],[Actual]]-DB_HighSOF[[#This Row],[Plan]]</f>
        <v>-14.382638</v>
      </c>
      <c r="AE358">
        <f>IF(DB_HighSOF[[#This Row],[Plan]]&lt;&gt;0,DB_HighSOF[[#This Row],[Actual]]/DB_HighSOF[[#This Row],[Plan]],1.000011000011)</f>
        <v>3.6627979550608999E-4</v>
      </c>
    </row>
    <row r="359" spans="1:31" x14ac:dyDescent="0.2">
      <c r="A359">
        <f>SUBTOTAL(3,$B$6:B359)</f>
        <v>91</v>
      </c>
      <c r="B359" t="s">
        <v>1</v>
      </c>
      <c r="C359" t="s">
        <v>872</v>
      </c>
      <c r="E359">
        <v>509.88800000000003</v>
      </c>
      <c r="F359">
        <v>22256.657999999999</v>
      </c>
      <c r="G359">
        <v>11709.093000000001</v>
      </c>
      <c r="H359">
        <v>-33346.777999999991</v>
      </c>
      <c r="I359">
        <v>19215.662</v>
      </c>
      <c r="J359">
        <v>19215.662</v>
      </c>
      <c r="K359">
        <v>19215.662</v>
      </c>
      <c r="L359">
        <v>22363.18</v>
      </c>
      <c r="M359">
        <v>29978.146000000001</v>
      </c>
      <c r="N359">
        <v>22363.18</v>
      </c>
      <c r="O359">
        <v>19215.662</v>
      </c>
      <c r="Q359">
        <v>515.74</v>
      </c>
      <c r="R359">
        <v>22178.149999999994</v>
      </c>
      <c r="S359">
        <v>11571.820000000002</v>
      </c>
      <c r="T359">
        <v>-33264.29</v>
      </c>
      <c r="U359">
        <v>1820.4299999999998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f>SUMPRODUCT(DB_HighSOF[[#This Row],[Plan01]:[Plan12]],$D$4:$O$4)/valUnits2</f>
        <v>20.344523000000006</v>
      </c>
      <c r="AC359">
        <f>SUMPRODUCT(DB_HighSOF[[#This Row],[Act01]:[Act12]],$P$4:$AA$4)/valUnits2</f>
        <v>2.8218499999999982</v>
      </c>
      <c r="AD359">
        <f>DB_HighSOF[[#This Row],[Actual]]-DB_HighSOF[[#This Row],[Plan]]</f>
        <v>-17.522673000000008</v>
      </c>
      <c r="AE359">
        <f>IF(DB_HighSOF[[#This Row],[Plan]]&lt;&gt;0,DB_HighSOF[[#This Row],[Actual]]/DB_HighSOF[[#This Row],[Plan]],1.000011000011)</f>
        <v>0.13870317824605657</v>
      </c>
    </row>
    <row r="360" spans="1:31" hidden="1" x14ac:dyDescent="0.2">
      <c r="A360">
        <f>SUBTOTAL(3,$B$6:B360)</f>
        <v>91</v>
      </c>
      <c r="B360" t="s">
        <v>351</v>
      </c>
      <c r="C360" t="s">
        <v>884</v>
      </c>
      <c r="D360">
        <v>10833.333000000001</v>
      </c>
      <c r="E360">
        <v>10833.333000000001</v>
      </c>
      <c r="F360">
        <v>10833.333000000001</v>
      </c>
      <c r="G360">
        <v>10833.333000000001</v>
      </c>
      <c r="H360">
        <v>10833.333000000001</v>
      </c>
      <c r="I360">
        <v>10833.333000000001</v>
      </c>
      <c r="J360">
        <v>10833.333000000001</v>
      </c>
      <c r="K360">
        <v>10833.333000000001</v>
      </c>
      <c r="L360">
        <v>10833.333000000001</v>
      </c>
      <c r="M360">
        <v>10833.333000000001</v>
      </c>
      <c r="N360">
        <v>10833.333000000001</v>
      </c>
      <c r="O360">
        <v>10833.333000000001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f>SUMPRODUCT(DB_HighSOF[[#This Row],[Plan01]:[Plan12]],$D$4:$O$4)/valUnits2</f>
        <v>64.999998000000005</v>
      </c>
      <c r="AC360">
        <f>SUMPRODUCT(DB_HighSOF[[#This Row],[Act01]:[Act12]],$P$4:$AA$4)/valUnits2</f>
        <v>0</v>
      </c>
      <c r="AD360">
        <f>DB_HighSOF[[#This Row],[Actual]]-DB_HighSOF[[#This Row],[Plan]]</f>
        <v>-64.999998000000005</v>
      </c>
      <c r="AE360">
        <f>IF(DB_HighSOF[[#This Row],[Plan]]&lt;&gt;0,DB_HighSOF[[#This Row],[Actual]]/DB_HighSOF[[#This Row],[Plan]],1.000011000011)</f>
        <v>0</v>
      </c>
    </row>
    <row r="361" spans="1:31" hidden="1" x14ac:dyDescent="0.2">
      <c r="A361">
        <f>SUBTOTAL(3,$B$6:B361)</f>
        <v>91</v>
      </c>
      <c r="B361" t="s">
        <v>342</v>
      </c>
      <c r="C361" t="s">
        <v>884</v>
      </c>
      <c r="D361">
        <v>14927.57</v>
      </c>
      <c r="E361">
        <v>15151.71</v>
      </c>
      <c r="F361">
        <v>15000</v>
      </c>
      <c r="G361">
        <v>15000</v>
      </c>
      <c r="H361">
        <v>14848.29</v>
      </c>
      <c r="I361">
        <v>15000</v>
      </c>
      <c r="J361">
        <v>15000</v>
      </c>
      <c r="K361">
        <v>15000</v>
      </c>
      <c r="L361">
        <v>15000</v>
      </c>
      <c r="M361">
        <v>15000</v>
      </c>
      <c r="N361">
        <v>15000</v>
      </c>
      <c r="O361">
        <v>15000</v>
      </c>
      <c r="P361">
        <v>-72.430000000000007</v>
      </c>
      <c r="Q361">
        <v>151.70999999999998</v>
      </c>
      <c r="R361">
        <v>0.98</v>
      </c>
      <c r="S361">
        <v>0</v>
      </c>
      <c r="T361">
        <v>-152.69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f>SUMPRODUCT(DB_HighSOF[[#This Row],[Plan01]:[Plan12]],$D$4:$O$4)/valUnits2</f>
        <v>89.927570000000003</v>
      </c>
      <c r="AC361">
        <f>SUMPRODUCT(DB_HighSOF[[#This Row],[Act01]:[Act12]],$P$4:$AA$4)/valUnits2</f>
        <v>-7.2430000000000022E-2</v>
      </c>
      <c r="AD361">
        <f>DB_HighSOF[[#This Row],[Actual]]-DB_HighSOF[[#This Row],[Plan]]</f>
        <v>-90</v>
      </c>
      <c r="AE361">
        <f>IF(DB_HighSOF[[#This Row],[Plan]]&lt;&gt;0,DB_HighSOF[[#This Row],[Actual]]/DB_HighSOF[[#This Row],[Plan]],1.000011000011)</f>
        <v>-8.0542596669742124E-4</v>
      </c>
    </row>
    <row r="362" spans="1:31" hidden="1" x14ac:dyDescent="0.2">
      <c r="A362">
        <f>SUBTOTAL(3,$B$6:B362)</f>
        <v>91</v>
      </c>
      <c r="B362" t="s">
        <v>348</v>
      </c>
      <c r="C362" t="s">
        <v>872</v>
      </c>
      <c r="E362">
        <v>509.88800000000003</v>
      </c>
      <c r="F362">
        <v>22256.657999999999</v>
      </c>
      <c r="G362">
        <v>10177.259</v>
      </c>
      <c r="H362">
        <v>-32305.672999999992</v>
      </c>
      <c r="I362">
        <v>16657.032999999999</v>
      </c>
      <c r="J362">
        <v>16657.032999999999</v>
      </c>
      <c r="K362">
        <v>16657.032999999999</v>
      </c>
      <c r="L362">
        <v>19804.550999999999</v>
      </c>
      <c r="M362">
        <v>27419.517</v>
      </c>
      <c r="N362">
        <v>19804.550999999999</v>
      </c>
      <c r="O362">
        <v>16657.032999999999</v>
      </c>
      <c r="Q362">
        <v>515.74</v>
      </c>
      <c r="R362">
        <v>22178.149999999994</v>
      </c>
      <c r="S362">
        <v>10021.840000000002</v>
      </c>
      <c r="T362">
        <v>-32182.62</v>
      </c>
      <c r="U362">
        <v>1446.1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f>SUMPRODUCT(DB_HighSOF[[#This Row],[Plan01]:[Plan12]],$D$4:$O$4)/valUnits2</f>
        <v>17.295165000000008</v>
      </c>
      <c r="AC362">
        <f>SUMPRODUCT(DB_HighSOF[[#This Row],[Act01]:[Act12]],$P$4:$AA$4)/valUnits2</f>
        <v>1.9792099999999968</v>
      </c>
      <c r="AD362">
        <f>DB_HighSOF[[#This Row],[Actual]]-DB_HighSOF[[#This Row],[Plan]]</f>
        <v>-15.315955000000011</v>
      </c>
      <c r="AE362">
        <f>IF(DB_HighSOF[[#This Row],[Plan]]&lt;&gt;0,DB_HighSOF[[#This Row],[Actual]]/DB_HighSOF[[#This Row],[Plan]],1.000011000011)</f>
        <v>0.11443718519019598</v>
      </c>
    </row>
    <row r="363" spans="1:31" hidden="1" x14ac:dyDescent="0.2">
      <c r="A363">
        <f>SUBTOTAL(3,$B$6:B363)</f>
        <v>91</v>
      </c>
      <c r="B363" t="s">
        <v>344</v>
      </c>
      <c r="C363" t="s">
        <v>933</v>
      </c>
      <c r="D363">
        <v>54161.509999999995</v>
      </c>
      <c r="E363">
        <v>14573.82</v>
      </c>
      <c r="F363">
        <v>71841.47000000003</v>
      </c>
      <c r="G363">
        <v>86226.550000000032</v>
      </c>
      <c r="H363">
        <v>59762.14</v>
      </c>
      <c r="I363">
        <v>89542.5</v>
      </c>
      <c r="J363">
        <v>54115.5</v>
      </c>
      <c r="K363">
        <v>54114</v>
      </c>
      <c r="L363">
        <v>54114</v>
      </c>
      <c r="M363">
        <v>54114</v>
      </c>
      <c r="N363">
        <v>54114</v>
      </c>
      <c r="O363">
        <v>54114</v>
      </c>
      <c r="P363">
        <v>54161.510000000009</v>
      </c>
      <c r="Q363">
        <v>14573.820000000011</v>
      </c>
      <c r="R363">
        <v>71841.47</v>
      </c>
      <c r="S363">
        <v>86249.000000000058</v>
      </c>
      <c r="T363">
        <v>59762.140000000007</v>
      </c>
      <c r="U363">
        <v>74012.03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f>SUMPRODUCT(DB_HighSOF[[#This Row],[Plan01]:[Plan12]],$D$4:$O$4)/valUnits2</f>
        <v>376.10799000000003</v>
      </c>
      <c r="AC363">
        <f>SUMPRODUCT(DB_HighSOF[[#This Row],[Act01]:[Act12]],$P$4:$AA$4)/valUnits2</f>
        <v>360.5999700000001</v>
      </c>
      <c r="AD363">
        <f>DB_HighSOF[[#This Row],[Actual]]-DB_HighSOF[[#This Row],[Plan]]</f>
        <v>-15.508019999999931</v>
      </c>
      <c r="AE363">
        <f>IF(DB_HighSOF[[#This Row],[Plan]]&lt;&gt;0,DB_HighSOF[[#This Row],[Actual]]/DB_HighSOF[[#This Row],[Plan]],1.000011000011)</f>
        <v>0.958767108350982</v>
      </c>
    </row>
    <row r="364" spans="1:31" hidden="1" x14ac:dyDescent="0.2">
      <c r="A364">
        <f>SUBTOTAL(3,$B$6:B364)</f>
        <v>91</v>
      </c>
      <c r="B364" t="s">
        <v>348</v>
      </c>
      <c r="C364" t="s">
        <v>924</v>
      </c>
      <c r="D364">
        <v>1237.7170000000001</v>
      </c>
      <c r="E364">
        <v>35113.851999999999</v>
      </c>
      <c r="F364">
        <v>1396.4089999999999</v>
      </c>
      <c r="G364">
        <v>39902.920999999995</v>
      </c>
      <c r="H364">
        <v>1930.5280000000002</v>
      </c>
      <c r="I364">
        <v>18191.547999999999</v>
      </c>
      <c r="J364">
        <v>15011.754000000001</v>
      </c>
      <c r="K364">
        <v>12982.258</v>
      </c>
      <c r="L364">
        <v>15554.333000000001</v>
      </c>
      <c r="M364">
        <v>11717.338000000002</v>
      </c>
      <c r="N364">
        <v>14066.043</v>
      </c>
      <c r="O364">
        <v>11475.655999999999</v>
      </c>
      <c r="P364">
        <v>1218.6500000000001</v>
      </c>
      <c r="Q364">
        <v>36087.75</v>
      </c>
      <c r="R364">
        <v>1409.0500000000006</v>
      </c>
      <c r="S364">
        <v>39763.08</v>
      </c>
      <c r="T364">
        <v>1917.3400000000013</v>
      </c>
      <c r="U364">
        <v>1392.9900000000021</v>
      </c>
      <c r="V364">
        <v>37226.519999999997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f>SUMPRODUCT(DB_HighSOF[[#This Row],[Plan01]:[Plan12]],$D$4:$O$4)/valUnits2</f>
        <v>97.772974999999988</v>
      </c>
      <c r="AC364">
        <f>SUMPRODUCT(DB_HighSOF[[#This Row],[Act01]:[Act12]],$P$4:$AA$4)/valUnits2</f>
        <v>81.78886</v>
      </c>
      <c r="AD364">
        <f>DB_HighSOF[[#This Row],[Actual]]-DB_HighSOF[[#This Row],[Plan]]</f>
        <v>-15.984114999999989</v>
      </c>
      <c r="AE364">
        <f>IF(DB_HighSOF[[#This Row],[Plan]]&lt;&gt;0,DB_HighSOF[[#This Row],[Actual]]/DB_HighSOF[[#This Row],[Plan]],1.000011000011)</f>
        <v>0.83651806646979909</v>
      </c>
    </row>
    <row r="365" spans="1:31" x14ac:dyDescent="0.2">
      <c r="A365">
        <f>SUBTOTAL(3,$B$6:B365)</f>
        <v>92</v>
      </c>
      <c r="B365" t="s">
        <v>1</v>
      </c>
      <c r="C365" t="s">
        <v>892</v>
      </c>
      <c r="D365">
        <v>6142.367000000002</v>
      </c>
      <c r="E365">
        <v>6122.6849999999986</v>
      </c>
      <c r="F365">
        <v>20251.996999999999</v>
      </c>
      <c r="G365">
        <v>9549.9830000000002</v>
      </c>
      <c r="H365">
        <v>16732.617000000002</v>
      </c>
      <c r="I365">
        <v>8954.1540000000005</v>
      </c>
      <c r="J365">
        <v>10578.099</v>
      </c>
      <c r="K365">
        <v>9320.7929999999997</v>
      </c>
      <c r="L365">
        <v>13712.962000000001</v>
      </c>
      <c r="M365">
        <v>6935.2240000000002</v>
      </c>
      <c r="N365">
        <v>6991.8310000000001</v>
      </c>
      <c r="O365">
        <v>6935.2240000000002</v>
      </c>
      <c r="P365">
        <v>791.93000000000018</v>
      </c>
      <c r="Q365">
        <v>999.92000000000053</v>
      </c>
      <c r="R365">
        <v>10529.54</v>
      </c>
      <c r="S365">
        <v>2419.58</v>
      </c>
      <c r="T365">
        <v>3248.8300000000004</v>
      </c>
      <c r="U365">
        <v>29834.2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f>SUMPRODUCT(DB_HighSOF[[#This Row],[Plan01]:[Plan12]],$D$4:$O$4)/valUnits2</f>
        <v>67.753803000000005</v>
      </c>
      <c r="AC365">
        <f>SUMPRODUCT(DB_HighSOF[[#This Row],[Act01]:[Act12]],$P$4:$AA$4)/valUnits2</f>
        <v>47.823999999999998</v>
      </c>
      <c r="AD365">
        <f>DB_HighSOF[[#This Row],[Actual]]-DB_HighSOF[[#This Row],[Plan]]</f>
        <v>-19.929803000000007</v>
      </c>
      <c r="AE365">
        <f>IF(DB_HighSOF[[#This Row],[Plan]]&lt;&gt;0,DB_HighSOF[[#This Row],[Actual]]/DB_HighSOF[[#This Row],[Plan]],1.000011000011)</f>
        <v>0.70584967754503747</v>
      </c>
    </row>
    <row r="366" spans="1:31" x14ac:dyDescent="0.2">
      <c r="A366">
        <f>SUBTOTAL(3,$B$6:B366)</f>
        <v>93</v>
      </c>
      <c r="B366" t="s">
        <v>1</v>
      </c>
      <c r="C366" t="s">
        <v>930</v>
      </c>
      <c r="D366">
        <v>22374.61</v>
      </c>
      <c r="E366">
        <v>30636.439999999995</v>
      </c>
      <c r="F366">
        <v>42363.189999999995</v>
      </c>
      <c r="G366">
        <v>26869.77</v>
      </c>
      <c r="H366">
        <v>27678.960000000003</v>
      </c>
      <c r="I366">
        <v>65290.318999999996</v>
      </c>
      <c r="J366">
        <v>72290.319000000003</v>
      </c>
      <c r="K366">
        <v>42290.318999999996</v>
      </c>
      <c r="L366">
        <v>41410.318999999996</v>
      </c>
      <c r="M366">
        <v>34790.318999999996</v>
      </c>
      <c r="N366">
        <v>34790.318999999996</v>
      </c>
      <c r="O366">
        <v>27572.553</v>
      </c>
      <c r="P366">
        <v>22374.61</v>
      </c>
      <c r="Q366">
        <v>30636.440000000002</v>
      </c>
      <c r="R366">
        <v>42365.289999999994</v>
      </c>
      <c r="S366">
        <v>26981.530000000002</v>
      </c>
      <c r="T366">
        <v>27681.980000000007</v>
      </c>
      <c r="U366">
        <v>45077.07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f>SUMPRODUCT(DB_HighSOF[[#This Row],[Plan01]:[Plan12]],$D$4:$O$4)/valUnits2</f>
        <v>215.213289</v>
      </c>
      <c r="AC366">
        <f>SUMPRODUCT(DB_HighSOF[[#This Row],[Act01]:[Act12]],$P$4:$AA$4)/valUnits2</f>
        <v>195.11692000000002</v>
      </c>
      <c r="AD366">
        <f>DB_HighSOF[[#This Row],[Actual]]-DB_HighSOF[[#This Row],[Plan]]</f>
        <v>-20.096368999999981</v>
      </c>
      <c r="AE366">
        <f>IF(DB_HighSOF[[#This Row],[Plan]]&lt;&gt;0,DB_HighSOF[[#This Row],[Actual]]/DB_HighSOF[[#This Row],[Plan]],1.000011000011)</f>
        <v>0.90662115200516269</v>
      </c>
    </row>
    <row r="367" spans="1:31" hidden="1" x14ac:dyDescent="0.2">
      <c r="A367">
        <f>SUBTOTAL(3,$B$6:B367)</f>
        <v>93</v>
      </c>
      <c r="B367" t="s">
        <v>346</v>
      </c>
      <c r="C367" t="s">
        <v>862</v>
      </c>
      <c r="F367">
        <v>99.876999999999995</v>
      </c>
      <c r="G367">
        <v>6930.0259999999998</v>
      </c>
      <c r="H367">
        <v>80476.503000000012</v>
      </c>
      <c r="I367">
        <v>31600.264999999996</v>
      </c>
      <c r="J367">
        <v>31600.264999999999</v>
      </c>
      <c r="K367">
        <v>31600.264999999999</v>
      </c>
      <c r="L367">
        <v>31600.264999999999</v>
      </c>
      <c r="M367">
        <v>31600.264999999999</v>
      </c>
      <c r="N367">
        <v>31600.264999999996</v>
      </c>
      <c r="O367">
        <v>31600.264999999999</v>
      </c>
      <c r="R367">
        <v>101.13</v>
      </c>
      <c r="S367">
        <v>6973.49</v>
      </c>
      <c r="T367">
        <v>79531.429999999993</v>
      </c>
      <c r="U367">
        <v>13190.530000000006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f>SUMPRODUCT(DB_HighSOF[[#This Row],[Plan01]:[Plan12]],$D$4:$O$4)/valUnits2</f>
        <v>119.10667100000002</v>
      </c>
      <c r="AC367">
        <f>SUMPRODUCT(DB_HighSOF[[#This Row],[Act01]:[Act12]],$P$4:$AA$4)/valUnits2</f>
        <v>99.796579999999992</v>
      </c>
      <c r="AD367">
        <f>DB_HighSOF[[#This Row],[Actual]]-DB_HighSOF[[#This Row],[Plan]]</f>
        <v>-19.310091000000028</v>
      </c>
      <c r="AE367">
        <f>IF(DB_HighSOF[[#This Row],[Plan]]&lt;&gt;0,DB_HighSOF[[#This Row],[Actual]]/DB_HighSOF[[#This Row],[Plan]],1.000011000011)</f>
        <v>0.83787565517635842</v>
      </c>
    </row>
    <row r="368" spans="1:31" hidden="1" x14ac:dyDescent="0.2">
      <c r="A368">
        <f>SUBTOTAL(3,$B$6:B368)</f>
        <v>93</v>
      </c>
      <c r="B368" t="s">
        <v>348</v>
      </c>
      <c r="C368" t="s">
        <v>884</v>
      </c>
      <c r="D368">
        <v>21356.952999999998</v>
      </c>
      <c r="E368">
        <v>21962.223000000002</v>
      </c>
      <c r="F368">
        <v>20026.332999999999</v>
      </c>
      <c r="G368">
        <v>20026.332999999999</v>
      </c>
      <c r="H368">
        <v>16759.823</v>
      </c>
      <c r="I368">
        <v>20026.332999999999</v>
      </c>
      <c r="J368">
        <v>13531.332999999999</v>
      </c>
      <c r="K368">
        <v>13531.332999999999</v>
      </c>
      <c r="L368">
        <v>13531.332999999999</v>
      </c>
      <c r="M368">
        <v>13531.332999999999</v>
      </c>
      <c r="N368">
        <v>13531.332999999999</v>
      </c>
      <c r="O368">
        <v>13531.332999999999</v>
      </c>
      <c r="P368">
        <v>1330.6200000000001</v>
      </c>
      <c r="Q368">
        <v>1935.8899999999999</v>
      </c>
      <c r="R368">
        <v>0</v>
      </c>
      <c r="S368">
        <v>0</v>
      </c>
      <c r="T368">
        <v>-3266.5099999999998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f>SUMPRODUCT(DB_HighSOF[[#This Row],[Plan01]:[Plan12]],$D$4:$O$4)/valUnits2</f>
        <v>120.15799800000001</v>
      </c>
      <c r="AC368">
        <f>SUMPRODUCT(DB_HighSOF[[#This Row],[Act01]:[Act12]],$P$4:$AA$4)/valUnits2</f>
        <v>4.5474735088646413E-16</v>
      </c>
      <c r="AD368">
        <f>DB_HighSOF[[#This Row],[Actual]]-DB_HighSOF[[#This Row],[Plan]]</f>
        <v>-120.15799800000001</v>
      </c>
      <c r="AE368">
        <f>IF(DB_HighSOF[[#This Row],[Plan]]&lt;&gt;0,DB_HighSOF[[#This Row],[Actual]]/DB_HighSOF[[#This Row],[Plan]],1.000011000011)</f>
        <v>3.7845782923785408E-18</v>
      </c>
    </row>
    <row r="369" spans="1:31" x14ac:dyDescent="0.2">
      <c r="A369">
        <f>SUBTOTAL(3,$B$6:B369)</f>
        <v>94</v>
      </c>
      <c r="B369" t="s">
        <v>1</v>
      </c>
      <c r="C369" t="s">
        <v>933</v>
      </c>
      <c r="D369">
        <v>60222.09</v>
      </c>
      <c r="E369">
        <v>35984.33</v>
      </c>
      <c r="F369">
        <v>85579.120000000039</v>
      </c>
      <c r="G369">
        <v>89707.97000000003</v>
      </c>
      <c r="H369">
        <v>82922.66</v>
      </c>
      <c r="I369">
        <v>116320.00200000001</v>
      </c>
      <c r="J369">
        <v>80893.002000000008</v>
      </c>
      <c r="K369">
        <v>80891.502000000008</v>
      </c>
      <c r="L369">
        <v>80891.502000000008</v>
      </c>
      <c r="M369">
        <v>80891.502000000008</v>
      </c>
      <c r="N369">
        <v>80891.502000000008</v>
      </c>
      <c r="O369">
        <v>80891.502000000008</v>
      </c>
      <c r="P369">
        <v>60222.090000000011</v>
      </c>
      <c r="Q369">
        <v>35984.330000000009</v>
      </c>
      <c r="R369">
        <v>85677.02</v>
      </c>
      <c r="S369">
        <v>89730.420000000056</v>
      </c>
      <c r="T369">
        <v>82922.660000000018</v>
      </c>
      <c r="U369">
        <v>93390.819999999992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f>SUMPRODUCT(DB_HighSOF[[#This Row],[Plan01]:[Plan12]],$D$4:$O$4)/valUnits2</f>
        <v>470.73617200000001</v>
      </c>
      <c r="AC369">
        <f>SUMPRODUCT(DB_HighSOF[[#This Row],[Act01]:[Act12]],$P$4:$AA$4)/valUnits2</f>
        <v>447.92734000000007</v>
      </c>
      <c r="AD369">
        <f>DB_HighSOF[[#This Row],[Actual]]-DB_HighSOF[[#This Row],[Plan]]</f>
        <v>-22.808831999999938</v>
      </c>
      <c r="AE369">
        <f>IF(DB_HighSOF[[#This Row],[Plan]]&lt;&gt;0,DB_HighSOF[[#This Row],[Actual]]/DB_HighSOF[[#This Row],[Plan]],1.000011000011)</f>
        <v>0.95154646412003385</v>
      </c>
    </row>
    <row r="370" spans="1:31" hidden="1" x14ac:dyDescent="0.2">
      <c r="A370">
        <f>SUBTOTAL(3,$B$6:B370)</f>
        <v>94</v>
      </c>
      <c r="B370" t="s">
        <v>351</v>
      </c>
      <c r="C370" t="s">
        <v>856</v>
      </c>
      <c r="D370">
        <v>50054.557000000001</v>
      </c>
      <c r="E370">
        <v>54283.291000000005</v>
      </c>
      <c r="F370">
        <v>59022.078000000009</v>
      </c>
      <c r="G370">
        <v>100420.93800000001</v>
      </c>
      <c r="H370">
        <v>66518.488000000027</v>
      </c>
      <c r="I370">
        <v>38497.697999999997</v>
      </c>
      <c r="J370">
        <v>38497.697999999997</v>
      </c>
      <c r="K370">
        <v>38497.697999999997</v>
      </c>
      <c r="L370">
        <v>38497.697999999997</v>
      </c>
      <c r="M370">
        <v>38497.697999999997</v>
      </c>
      <c r="N370">
        <v>38497.697999999997</v>
      </c>
      <c r="O370">
        <v>38497.637999999999</v>
      </c>
      <c r="P370">
        <v>11045.15</v>
      </c>
      <c r="Q370">
        <v>15186.759999999998</v>
      </c>
      <c r="R370">
        <v>19757.479999999996</v>
      </c>
      <c r="S370">
        <v>59614.020000000004</v>
      </c>
      <c r="T370">
        <v>27274.78000000001</v>
      </c>
      <c r="U370">
        <v>25284.170000000006</v>
      </c>
      <c r="V370">
        <v>3098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f>SUMPRODUCT(DB_HighSOF[[#This Row],[Plan01]:[Plan12]],$D$4:$O$4)/valUnits2</f>
        <v>368.79705000000001</v>
      </c>
      <c r="AC370">
        <f>SUMPRODUCT(DB_HighSOF[[#This Row],[Act01]:[Act12]],$P$4:$AA$4)/valUnits2</f>
        <v>158.16236000000001</v>
      </c>
      <c r="AD370">
        <f>DB_HighSOF[[#This Row],[Actual]]-DB_HighSOF[[#This Row],[Plan]]</f>
        <v>-210.63469000000001</v>
      </c>
      <c r="AE370">
        <f>IF(DB_HighSOF[[#This Row],[Plan]]&lt;&gt;0,DB_HighSOF[[#This Row],[Actual]]/DB_HighSOF[[#This Row],[Plan]],1.000011000011)</f>
        <v>0.42886015492802887</v>
      </c>
    </row>
    <row r="371" spans="1:31" hidden="1" x14ac:dyDescent="0.2">
      <c r="A371">
        <f>SUBTOTAL(3,$B$6:B371)</f>
        <v>94</v>
      </c>
      <c r="B371" t="s">
        <v>343</v>
      </c>
      <c r="C371" t="s">
        <v>937</v>
      </c>
      <c r="G371">
        <v>39632.149999999994</v>
      </c>
      <c r="H371">
        <v>8378.82</v>
      </c>
      <c r="I371">
        <v>36789.993999999999</v>
      </c>
      <c r="S371">
        <v>39632.150000000009</v>
      </c>
      <c r="T371">
        <v>8378.8200000000015</v>
      </c>
      <c r="U371">
        <v>9232.1500000000015</v>
      </c>
      <c r="AB371" s="34">
        <f>SUMPRODUCT(DB_HighSOF[[#This Row],[Plan01]:[Plan12]],$D$4:$O$4)/valUnits2</f>
        <v>84.800963999999993</v>
      </c>
      <c r="AC371" s="34">
        <f>SUMPRODUCT(DB_HighSOF[[#This Row],[Act01]:[Act12]],$P$4:$AA$4)/valUnits2</f>
        <v>57.243120000000012</v>
      </c>
      <c r="AD371" s="34">
        <f>DB_HighSOF[[#This Row],[Actual]]-DB_HighSOF[[#This Row],[Plan]]</f>
        <v>-27.557843999999982</v>
      </c>
      <c r="AE371" s="34">
        <f>IF(DB_HighSOF[[#This Row],[Plan]]&lt;&gt;0,DB_HighSOF[[#This Row],[Actual]]/DB_HighSOF[[#This Row],[Plan]],1.000011000011)</f>
        <v>0.67502911877275373</v>
      </c>
    </row>
    <row r="372" spans="1:31" x14ac:dyDescent="0.2">
      <c r="A372">
        <f>SUBTOTAL(3,$B$6:B372)</f>
        <v>95</v>
      </c>
      <c r="B372" t="s">
        <v>1</v>
      </c>
      <c r="C372" t="s">
        <v>862</v>
      </c>
      <c r="E372">
        <v>1317.3430000000001</v>
      </c>
      <c r="F372">
        <v>756.71100000000001</v>
      </c>
      <c r="G372">
        <v>14004.163</v>
      </c>
      <c r="H372">
        <v>89435.270000000019</v>
      </c>
      <c r="I372">
        <v>35880.652999999998</v>
      </c>
      <c r="J372">
        <v>35880.652999999998</v>
      </c>
      <c r="K372">
        <v>35880.652999999998</v>
      </c>
      <c r="L372">
        <v>35880.652999999998</v>
      </c>
      <c r="M372">
        <v>35880.652999999998</v>
      </c>
      <c r="N372">
        <v>35880.652999999998</v>
      </c>
      <c r="O372">
        <v>35880.652999999998</v>
      </c>
      <c r="Q372">
        <v>1322.56</v>
      </c>
      <c r="R372">
        <v>766.23</v>
      </c>
      <c r="S372">
        <v>14074.419999999998</v>
      </c>
      <c r="T372">
        <v>88576.219999999987</v>
      </c>
      <c r="U372">
        <v>13453.490000000005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f>SUMPRODUCT(DB_HighSOF[[#This Row],[Plan01]:[Plan12]],$D$4:$O$4)/valUnits2</f>
        <v>141.39414000000002</v>
      </c>
      <c r="AC372">
        <f>SUMPRODUCT(DB_HighSOF[[#This Row],[Act01]:[Act12]],$P$4:$AA$4)/valUnits2</f>
        <v>118.19292</v>
      </c>
      <c r="AD372">
        <f>DB_HighSOF[[#This Row],[Actual]]-DB_HighSOF[[#This Row],[Plan]]</f>
        <v>-23.201220000000021</v>
      </c>
      <c r="AE372">
        <f>IF(DB_HighSOF[[#This Row],[Plan]]&lt;&gt;0,DB_HighSOF[[#This Row],[Actual]]/DB_HighSOF[[#This Row],[Plan]],1.000011000011)</f>
        <v>0.83591102148929219</v>
      </c>
    </row>
    <row r="373" spans="1:31" x14ac:dyDescent="0.2">
      <c r="A373">
        <f>SUBTOTAL(3,$B$6:B373)</f>
        <v>96</v>
      </c>
      <c r="B373" t="s">
        <v>1</v>
      </c>
      <c r="C373" t="s">
        <v>881</v>
      </c>
      <c r="F373">
        <v>0</v>
      </c>
      <c r="G373">
        <v>122437.60000000003</v>
      </c>
      <c r="H373">
        <v>13715.3</v>
      </c>
      <c r="I373">
        <v>86117.083999999988</v>
      </c>
      <c r="J373">
        <v>23092.564999999999</v>
      </c>
      <c r="K373">
        <v>13063.527</v>
      </c>
      <c r="L373">
        <v>86117.083999999988</v>
      </c>
      <c r="M373">
        <v>11930.527</v>
      </c>
      <c r="N373">
        <v>11930.527</v>
      </c>
      <c r="O373">
        <v>187161.95</v>
      </c>
      <c r="R373">
        <v>0</v>
      </c>
      <c r="S373">
        <v>122437.64000000001</v>
      </c>
      <c r="T373">
        <v>13717.600000000002</v>
      </c>
      <c r="U373">
        <v>55763.66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f>SUMPRODUCT(DB_HighSOF[[#This Row],[Plan01]:[Plan12]],$D$4:$O$4)/valUnits2</f>
        <v>222.26998399999999</v>
      </c>
      <c r="AC373">
        <f>SUMPRODUCT(DB_HighSOF[[#This Row],[Act01]:[Act12]],$P$4:$AA$4)/valUnits2</f>
        <v>191.91890000000004</v>
      </c>
      <c r="AD373">
        <f>DB_HighSOF[[#This Row],[Actual]]-DB_HighSOF[[#This Row],[Plan]]</f>
        <v>-30.351083999999958</v>
      </c>
      <c r="AE373">
        <f>IF(DB_HighSOF[[#This Row],[Plan]]&lt;&gt;0,DB_HighSOF[[#This Row],[Actual]]/DB_HighSOF[[#This Row],[Plan]],1.000011000011)</f>
        <v>0.86344947053219767</v>
      </c>
    </row>
    <row r="374" spans="1:31" hidden="1" x14ac:dyDescent="0.2">
      <c r="A374">
        <f>SUBTOTAL(3,$B$6:B374)</f>
        <v>96</v>
      </c>
      <c r="B374" t="s">
        <v>343</v>
      </c>
      <c r="C374" t="s">
        <v>884</v>
      </c>
      <c r="D374">
        <v>4750</v>
      </c>
      <c r="E374">
        <v>4750</v>
      </c>
      <c r="F374">
        <v>4750</v>
      </c>
      <c r="G374">
        <v>4750</v>
      </c>
      <c r="H374">
        <v>4750</v>
      </c>
      <c r="I374">
        <v>4750</v>
      </c>
      <c r="J374">
        <v>4750</v>
      </c>
      <c r="K374">
        <v>4750</v>
      </c>
      <c r="L374">
        <v>4750</v>
      </c>
      <c r="M374">
        <v>4750</v>
      </c>
      <c r="N374">
        <v>4750</v>
      </c>
      <c r="O374">
        <v>4750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f>SUMPRODUCT(DB_HighSOF[[#This Row],[Plan01]:[Plan12]],$D$4:$O$4)/valUnits2</f>
        <v>28.5</v>
      </c>
      <c r="AC374">
        <f>SUMPRODUCT(DB_HighSOF[[#This Row],[Act01]:[Act12]],$P$4:$AA$4)/valUnits2</f>
        <v>0</v>
      </c>
      <c r="AD374">
        <f>DB_HighSOF[[#This Row],[Actual]]-DB_HighSOF[[#This Row],[Plan]]</f>
        <v>-28.5</v>
      </c>
      <c r="AE374">
        <f>IF(DB_HighSOF[[#This Row],[Plan]]&lt;&gt;0,DB_HighSOF[[#This Row],[Actual]]/DB_HighSOF[[#This Row],[Plan]],1.000011000011)</f>
        <v>0</v>
      </c>
    </row>
    <row r="375" spans="1:31" x14ac:dyDescent="0.2">
      <c r="A375">
        <f>SUBTOTAL(3,$B$6:B375)</f>
        <v>97</v>
      </c>
      <c r="B375" t="s">
        <v>1</v>
      </c>
      <c r="C375" t="s">
        <v>353</v>
      </c>
      <c r="D375">
        <v>65548.173999999999</v>
      </c>
      <c r="E375">
        <v>1503.0729999999849</v>
      </c>
      <c r="F375">
        <v>171218.26500000004</v>
      </c>
      <c r="G375">
        <v>178691.24000000008</v>
      </c>
      <c r="H375">
        <v>13046.758000000045</v>
      </c>
      <c r="I375">
        <v>90653.274999999994</v>
      </c>
      <c r="P375">
        <v>63977.509999999987</v>
      </c>
      <c r="Q375">
        <v>1543.0999999999767</v>
      </c>
      <c r="R375">
        <v>174578.84999999998</v>
      </c>
      <c r="S375">
        <v>178700.98999999996</v>
      </c>
      <c r="T375">
        <v>13076.200000000015</v>
      </c>
      <c r="U375">
        <v>57626.750000000007</v>
      </c>
      <c r="AB375">
        <f>SUMPRODUCT(DB_HighSOF[[#This Row],[Plan01]:[Plan12]],$D$4:$O$4)/valUnits2</f>
        <v>520.66078500000015</v>
      </c>
      <c r="AC375">
        <f>SUMPRODUCT(DB_HighSOF[[#This Row],[Act01]:[Act12]],$P$4:$AA$4)/valUnits2</f>
        <v>489.50339999999989</v>
      </c>
      <c r="AD375">
        <f>DB_HighSOF[[#This Row],[Actual]]-DB_HighSOF[[#This Row],[Plan]]</f>
        <v>-31.157385000000261</v>
      </c>
      <c r="AE375">
        <f>IF(DB_HighSOF[[#This Row],[Plan]]&lt;&gt;0,DB_HighSOF[[#This Row],[Actual]]/DB_HighSOF[[#This Row],[Plan]],1.000011000011)</f>
        <v>0.94015799557479585</v>
      </c>
    </row>
    <row r="376" spans="1:31" hidden="1" x14ac:dyDescent="0.2">
      <c r="A376">
        <f>SUBTOTAL(3,$B$6:B376)</f>
        <v>97</v>
      </c>
      <c r="B376" t="s">
        <v>342</v>
      </c>
      <c r="C376" t="s">
        <v>881</v>
      </c>
      <c r="F376">
        <v>0</v>
      </c>
      <c r="G376">
        <v>118744.27000000003</v>
      </c>
      <c r="H376">
        <v>10991.75</v>
      </c>
      <c r="I376">
        <v>84318.406999999992</v>
      </c>
      <c r="J376">
        <v>19495.204999999998</v>
      </c>
      <c r="K376">
        <v>11264.85</v>
      </c>
      <c r="L376">
        <v>84318.406999999992</v>
      </c>
      <c r="M376">
        <v>10131.85</v>
      </c>
      <c r="N376">
        <v>10131.85</v>
      </c>
      <c r="O376">
        <v>183564.59000000003</v>
      </c>
      <c r="R376">
        <v>0</v>
      </c>
      <c r="S376">
        <v>118744.31000000001</v>
      </c>
      <c r="T376">
        <v>10991.750000000002</v>
      </c>
      <c r="U376">
        <v>53768.47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f>SUMPRODUCT(DB_HighSOF[[#This Row],[Plan01]:[Plan12]],$D$4:$O$4)/valUnits2</f>
        <v>214.05442700000003</v>
      </c>
      <c r="AC376">
        <f>SUMPRODUCT(DB_HighSOF[[#This Row],[Act01]:[Act12]],$P$4:$AA$4)/valUnits2</f>
        <v>183.50453000000002</v>
      </c>
      <c r="AD376">
        <f>DB_HighSOF[[#This Row],[Actual]]-DB_HighSOF[[#This Row],[Plan]]</f>
        <v>-30.549897000000016</v>
      </c>
      <c r="AE376">
        <f>IF(DB_HighSOF[[#This Row],[Plan]]&lt;&gt;0,DB_HighSOF[[#This Row],[Actual]]/DB_HighSOF[[#This Row],[Plan]],1.000011000011)</f>
        <v>0.85727977025207702</v>
      </c>
    </row>
    <row r="377" spans="1:31" x14ac:dyDescent="0.2">
      <c r="A377">
        <f>SUBTOTAL(3,$B$6:B377)</f>
        <v>98</v>
      </c>
      <c r="B377" t="s">
        <v>1</v>
      </c>
      <c r="C377" t="s">
        <v>937</v>
      </c>
      <c r="F377">
        <v>0</v>
      </c>
      <c r="G377">
        <v>43564.919999999991</v>
      </c>
      <c r="H377">
        <v>11151.72</v>
      </c>
      <c r="I377">
        <v>43935.756999999998</v>
      </c>
      <c r="R377">
        <v>0</v>
      </c>
      <c r="S377">
        <v>43564.920000000006</v>
      </c>
      <c r="T377">
        <v>11151.720000000001</v>
      </c>
      <c r="U377">
        <v>12097.190000000002</v>
      </c>
      <c r="AB377" s="34">
        <f>SUMPRODUCT(DB_HighSOF[[#This Row],[Plan01]:[Plan12]],$D$4:$O$4)/valUnits2</f>
        <v>98.652396999999993</v>
      </c>
      <c r="AC377" s="34">
        <f>SUMPRODUCT(DB_HighSOF[[#This Row],[Act01]:[Act12]],$P$4:$AA$4)/valUnits2</f>
        <v>66.81383000000001</v>
      </c>
      <c r="AD377" s="34">
        <f>DB_HighSOF[[#This Row],[Actual]]-DB_HighSOF[[#This Row],[Plan]]</f>
        <v>-31.838566999999983</v>
      </c>
      <c r="AE377" s="34">
        <f>IF(DB_HighSOF[[#This Row],[Plan]]&lt;&gt;0,DB_HighSOF[[#This Row],[Actual]]/DB_HighSOF[[#This Row],[Plan]],1.000011000011)</f>
        <v>0.67726514541760208</v>
      </c>
    </row>
    <row r="378" spans="1:31" x14ac:dyDescent="0.2">
      <c r="A378">
        <f>SUBTOTAL(3,$B$6:B378)</f>
        <v>99</v>
      </c>
      <c r="B378" t="s">
        <v>1</v>
      </c>
      <c r="C378" t="s">
        <v>885</v>
      </c>
      <c r="D378">
        <v>25911.971000000005</v>
      </c>
      <c r="E378">
        <v>-12426.77</v>
      </c>
      <c r="F378">
        <v>4075.5439999999999</v>
      </c>
      <c r="G378">
        <v>105477.62599999997</v>
      </c>
      <c r="H378">
        <v>80555.883999999976</v>
      </c>
      <c r="I378">
        <v>44235.007000000005</v>
      </c>
      <c r="J378">
        <v>44235.007000000005</v>
      </c>
      <c r="K378">
        <v>44235.007000000005</v>
      </c>
      <c r="L378">
        <v>44235.007000000005</v>
      </c>
      <c r="M378">
        <v>44235.007000000005</v>
      </c>
      <c r="N378">
        <v>44235.007000000005</v>
      </c>
      <c r="O378">
        <v>44235.007000000005</v>
      </c>
      <c r="P378">
        <v>25911.969999999998</v>
      </c>
      <c r="Q378">
        <v>-12108.969999999998</v>
      </c>
      <c r="R378">
        <v>4049</v>
      </c>
      <c r="S378">
        <v>105799.84000000003</v>
      </c>
      <c r="T378">
        <v>80878.310000000012</v>
      </c>
      <c r="U378">
        <v>9921.5099999999929</v>
      </c>
      <c r="V378">
        <v>14129.87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f>SUMPRODUCT(DB_HighSOF[[#This Row],[Plan01]:[Plan12]],$D$4:$O$4)/valUnits2</f>
        <v>247.82926199999997</v>
      </c>
      <c r="AC378">
        <f>SUMPRODUCT(DB_HighSOF[[#This Row],[Act01]:[Act12]],$P$4:$AA$4)/valUnits2</f>
        <v>214.45166</v>
      </c>
      <c r="AD378">
        <f>DB_HighSOF[[#This Row],[Actual]]-DB_HighSOF[[#This Row],[Plan]]</f>
        <v>-33.377601999999968</v>
      </c>
      <c r="AE378">
        <f>IF(DB_HighSOF[[#This Row],[Plan]]&lt;&gt;0,DB_HighSOF[[#This Row],[Actual]]/DB_HighSOF[[#This Row],[Plan]],1.000011000011)</f>
        <v>0.865320173531405</v>
      </c>
    </row>
    <row r="379" spans="1:31" hidden="1" x14ac:dyDescent="0.2">
      <c r="A379">
        <f>SUBTOTAL(3,$B$6:B379)</f>
        <v>99</v>
      </c>
      <c r="B379" t="s">
        <v>346</v>
      </c>
      <c r="C379" t="s">
        <v>885</v>
      </c>
      <c r="D379">
        <v>25890.054000000004</v>
      </c>
      <c r="E379">
        <v>-15561.596000000001</v>
      </c>
      <c r="F379">
        <v>2978.6979999999999</v>
      </c>
      <c r="G379">
        <v>93326.723999999973</v>
      </c>
      <c r="H379">
        <v>73304.005999999979</v>
      </c>
      <c r="I379">
        <v>40621.507000000005</v>
      </c>
      <c r="J379">
        <v>40621.507000000005</v>
      </c>
      <c r="K379">
        <v>40621.507000000005</v>
      </c>
      <c r="L379">
        <v>40621.507000000005</v>
      </c>
      <c r="M379">
        <v>40621.507000000005</v>
      </c>
      <c r="N379">
        <v>40621.507000000005</v>
      </c>
      <c r="O379">
        <v>40621.507000000005</v>
      </c>
      <c r="P379">
        <v>25890.05</v>
      </c>
      <c r="Q379">
        <v>-15235.919999999998</v>
      </c>
      <c r="R379">
        <v>2978.86</v>
      </c>
      <c r="S379">
        <v>93688.950000000026</v>
      </c>
      <c r="T379">
        <v>73630.300000000017</v>
      </c>
      <c r="U379">
        <v>7543.1099999999933</v>
      </c>
      <c r="V379">
        <v>11032.87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f>SUMPRODUCT(DB_HighSOF[[#This Row],[Plan01]:[Plan12]],$D$4:$O$4)/valUnits2</f>
        <v>220.55939299999994</v>
      </c>
      <c r="AC379">
        <f>SUMPRODUCT(DB_HighSOF[[#This Row],[Act01]:[Act12]],$P$4:$AA$4)/valUnits2</f>
        <v>188.49535000000003</v>
      </c>
      <c r="AD379">
        <f>DB_HighSOF[[#This Row],[Actual]]-DB_HighSOF[[#This Row],[Plan]]</f>
        <v>-32.064042999999913</v>
      </c>
      <c r="AE379">
        <f>IF(DB_HighSOF[[#This Row],[Plan]]&lt;&gt;0,DB_HighSOF[[#This Row],[Actual]]/DB_HighSOF[[#This Row],[Plan]],1.000011000011)</f>
        <v>0.85462399690227697</v>
      </c>
    </row>
    <row r="380" spans="1:31" x14ac:dyDescent="0.2">
      <c r="A380">
        <f>SUBTOTAL(3,$B$6:B380)</f>
        <v>100</v>
      </c>
      <c r="B380" t="s">
        <v>1</v>
      </c>
      <c r="C380" t="s">
        <v>890</v>
      </c>
      <c r="D380">
        <v>1652.0629999999987</v>
      </c>
      <c r="E380">
        <v>1579.1709999999987</v>
      </c>
      <c r="F380">
        <v>49885.458000000006</v>
      </c>
      <c r="G380">
        <v>171906.88399999996</v>
      </c>
      <c r="H380">
        <v>4857.7650000000021</v>
      </c>
      <c r="I380">
        <v>40373.932000000023</v>
      </c>
      <c r="J380">
        <v>38078.552000000011</v>
      </c>
      <c r="K380">
        <v>41553.68700000002</v>
      </c>
      <c r="L380">
        <v>40373.932000000008</v>
      </c>
      <c r="M380">
        <v>35794.062000000005</v>
      </c>
      <c r="N380">
        <v>77988.986999999965</v>
      </c>
      <c r="O380">
        <v>35794.062000000005</v>
      </c>
      <c r="P380">
        <v>1656.5900000000006</v>
      </c>
      <c r="Q380">
        <v>1615.7399999999998</v>
      </c>
      <c r="R380">
        <v>49802.929999999993</v>
      </c>
      <c r="S380">
        <v>169790.88999999998</v>
      </c>
      <c r="T380">
        <v>4917.0500000000047</v>
      </c>
      <c r="U380">
        <v>7224.7199999999957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f>SUMPRODUCT(DB_HighSOF[[#This Row],[Plan01]:[Plan12]],$D$4:$O$4)/valUnits2</f>
        <v>270.25527299999999</v>
      </c>
      <c r="AC380">
        <f>SUMPRODUCT(DB_HighSOF[[#This Row],[Act01]:[Act12]],$P$4:$AA$4)/valUnits2</f>
        <v>235.00791999999998</v>
      </c>
      <c r="AD380">
        <f>DB_HighSOF[[#This Row],[Actual]]-DB_HighSOF[[#This Row],[Plan]]</f>
        <v>-35.247353000000004</v>
      </c>
      <c r="AE380">
        <f>IF(DB_HighSOF[[#This Row],[Plan]]&lt;&gt;0,DB_HighSOF[[#This Row],[Actual]]/DB_HighSOF[[#This Row],[Plan]],1.000011000011)</f>
        <v>0.86957755677166748</v>
      </c>
    </row>
    <row r="381" spans="1:31" hidden="1" x14ac:dyDescent="0.2">
      <c r="A381">
        <f>SUBTOTAL(3,$B$6:B381)</f>
        <v>100</v>
      </c>
      <c r="B381" t="s">
        <v>349</v>
      </c>
      <c r="C381" t="s">
        <v>353</v>
      </c>
      <c r="D381">
        <v>65548.173999999999</v>
      </c>
      <c r="E381">
        <v>1503.0729999999849</v>
      </c>
      <c r="F381">
        <v>171218.26500000004</v>
      </c>
      <c r="G381">
        <v>178249.39300000007</v>
      </c>
      <c r="H381">
        <v>12185.548000000046</v>
      </c>
      <c r="I381">
        <v>90653.274999999994</v>
      </c>
      <c r="P381">
        <v>63977.509999999987</v>
      </c>
      <c r="Q381">
        <v>1543.0999999999767</v>
      </c>
      <c r="R381">
        <v>174578.84999999998</v>
      </c>
      <c r="S381">
        <v>178260.62999999998</v>
      </c>
      <c r="T381">
        <v>12215.610000000015</v>
      </c>
      <c r="U381">
        <v>56348.23</v>
      </c>
      <c r="AB381">
        <f>SUMPRODUCT(DB_HighSOF[[#This Row],[Plan01]:[Plan12]],$D$4:$O$4)/valUnits2</f>
        <v>519.35772800000018</v>
      </c>
      <c r="AC381">
        <f>SUMPRODUCT(DB_HighSOF[[#This Row],[Act01]:[Act12]],$P$4:$AA$4)/valUnits2</f>
        <v>486.92392999999993</v>
      </c>
      <c r="AD381">
        <f>DB_HighSOF[[#This Row],[Actual]]-DB_HighSOF[[#This Row],[Plan]]</f>
        <v>-32.433798000000252</v>
      </c>
      <c r="AE381">
        <f>IF(DB_HighSOF[[#This Row],[Plan]]&lt;&gt;0,DB_HighSOF[[#This Row],[Actual]]/DB_HighSOF[[#This Row],[Plan]],1.000011000011)</f>
        <v>0.93755017736060287</v>
      </c>
    </row>
    <row r="382" spans="1:31" x14ac:dyDescent="0.2">
      <c r="A382">
        <f>SUBTOTAL(3,$B$6:B382)</f>
        <v>101</v>
      </c>
      <c r="B382" t="s">
        <v>1</v>
      </c>
      <c r="C382" t="s">
        <v>896</v>
      </c>
      <c r="D382">
        <v>35898.299999999996</v>
      </c>
      <c r="E382">
        <v>-24058.025999999994</v>
      </c>
      <c r="F382">
        <v>140058.17300000001</v>
      </c>
      <c r="G382">
        <v>83834.34599999999</v>
      </c>
      <c r="H382">
        <v>73189.566999999995</v>
      </c>
      <c r="I382">
        <v>47743.544999999991</v>
      </c>
      <c r="J382">
        <v>53991.189999999995</v>
      </c>
      <c r="K382">
        <v>53991.189999999988</v>
      </c>
      <c r="L382">
        <v>53991.189999999995</v>
      </c>
      <c r="M382">
        <v>50527.291999999994</v>
      </c>
      <c r="N382">
        <v>50527.291999999994</v>
      </c>
      <c r="O382">
        <v>50527.291999999994</v>
      </c>
      <c r="P382">
        <v>35898.170000000006</v>
      </c>
      <c r="Q382">
        <v>-23580.890000000003</v>
      </c>
      <c r="R382">
        <v>139049.30000000002</v>
      </c>
      <c r="S382">
        <v>84115.800000000017</v>
      </c>
      <c r="T382">
        <v>73430.389999999985</v>
      </c>
      <c r="U382">
        <v>9577.29000000001</v>
      </c>
      <c r="V382">
        <v>10049</v>
      </c>
      <c r="W382">
        <v>0</v>
      </c>
      <c r="X382">
        <v>0</v>
      </c>
      <c r="Y382">
        <v>0</v>
      </c>
      <c r="Z382">
        <v>0</v>
      </c>
      <c r="AA382">
        <v>0</v>
      </c>
      <c r="AB382" s="34">
        <f>SUMPRODUCT(DB_HighSOF[[#This Row],[Plan01]:[Plan12]],$D$4:$O$4)/valUnits2</f>
        <v>356.66590499999995</v>
      </c>
      <c r="AC382" s="34">
        <f>SUMPRODUCT(DB_HighSOF[[#This Row],[Act01]:[Act12]],$P$4:$AA$4)/valUnits2</f>
        <v>318.49006000000003</v>
      </c>
      <c r="AD382" s="34">
        <f>DB_HighSOF[[#This Row],[Actual]]-DB_HighSOF[[#This Row],[Plan]]</f>
        <v>-38.175844999999924</v>
      </c>
      <c r="AE382" s="34">
        <f>IF(DB_HighSOF[[#This Row],[Plan]]&lt;&gt;0,DB_HighSOF[[#This Row],[Actual]]/DB_HighSOF[[#This Row],[Plan]],1.000011000011)</f>
        <v>0.89296469198534711</v>
      </c>
    </row>
    <row r="383" spans="1:31" hidden="1" x14ac:dyDescent="0.2">
      <c r="A383">
        <f>SUBTOTAL(3,$B$6:B383)</f>
        <v>101</v>
      </c>
      <c r="B383" t="s">
        <v>346</v>
      </c>
      <c r="C383" t="s">
        <v>928</v>
      </c>
      <c r="D383">
        <v>17989.092000000004</v>
      </c>
      <c r="E383">
        <v>8548.8449999999975</v>
      </c>
      <c r="F383">
        <v>7884.9189999999999</v>
      </c>
      <c r="G383">
        <v>27508.258999999995</v>
      </c>
      <c r="H383">
        <v>386.22800000000001</v>
      </c>
      <c r="I383">
        <v>0</v>
      </c>
      <c r="P383">
        <v>17579.419999999991</v>
      </c>
      <c r="Q383">
        <v>8733.42</v>
      </c>
      <c r="R383">
        <v>7969.41</v>
      </c>
      <c r="S383">
        <v>27284.76</v>
      </c>
      <c r="T383">
        <v>385.57000000000005</v>
      </c>
      <c r="U383">
        <v>-34726.239999999998</v>
      </c>
      <c r="AB383">
        <f>SUMPRODUCT(DB_HighSOF[[#This Row],[Plan01]:[Plan12]],$D$4:$O$4)/valUnits2</f>
        <v>62.317342999999994</v>
      </c>
      <c r="AC383">
        <f>SUMPRODUCT(DB_HighSOF[[#This Row],[Act01]:[Act12]],$P$4:$AA$4)/valUnits2</f>
        <v>27.226339999999983</v>
      </c>
      <c r="AD383">
        <f>DB_HighSOF[[#This Row],[Actual]]-DB_HighSOF[[#This Row],[Plan]]</f>
        <v>-35.091003000000015</v>
      </c>
      <c r="AE383">
        <f>IF(DB_HighSOF[[#This Row],[Plan]]&lt;&gt;0,DB_HighSOF[[#This Row],[Actual]]/DB_HighSOF[[#This Row],[Plan]],1.000011000011)</f>
        <v>0.43689828046744522</v>
      </c>
    </row>
    <row r="384" spans="1:31" hidden="1" x14ac:dyDescent="0.2">
      <c r="A384">
        <f>SUBTOTAL(3,$B$6:B384)</f>
        <v>101</v>
      </c>
      <c r="B384" t="s">
        <v>342</v>
      </c>
      <c r="C384" t="s">
        <v>890</v>
      </c>
      <c r="D384">
        <v>1652.0629999999987</v>
      </c>
      <c r="E384">
        <v>1579.1709999999987</v>
      </c>
      <c r="F384">
        <v>49885.458000000006</v>
      </c>
      <c r="G384">
        <v>169143.11099999998</v>
      </c>
      <c r="H384">
        <v>3229.6700000000023</v>
      </c>
      <c r="I384">
        <v>39276.385000000017</v>
      </c>
      <c r="J384">
        <v>36981.005000000005</v>
      </c>
      <c r="K384">
        <v>40456.140000000014</v>
      </c>
      <c r="L384">
        <v>39276.385000000002</v>
      </c>
      <c r="M384">
        <v>34696.514999999999</v>
      </c>
      <c r="N384">
        <v>76891.439999999973</v>
      </c>
      <c r="O384">
        <v>34696.514999999999</v>
      </c>
      <c r="P384">
        <v>1656.5900000000006</v>
      </c>
      <c r="Q384">
        <v>1615.7399999999998</v>
      </c>
      <c r="R384">
        <v>49802.929999999993</v>
      </c>
      <c r="S384">
        <v>167006.68999999997</v>
      </c>
      <c r="T384">
        <v>3277.8300000000049</v>
      </c>
      <c r="U384">
        <v>3889.5999999999949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f>SUMPRODUCT(DB_HighSOF[[#This Row],[Plan01]:[Plan12]],$D$4:$O$4)/valUnits2</f>
        <v>264.76585799999998</v>
      </c>
      <c r="AC384">
        <f>SUMPRODUCT(DB_HighSOF[[#This Row],[Act01]:[Act12]],$P$4:$AA$4)/valUnits2</f>
        <v>227.24937999999997</v>
      </c>
      <c r="AD384">
        <f>DB_HighSOF[[#This Row],[Actual]]-DB_HighSOF[[#This Row],[Plan]]</f>
        <v>-37.516478000000006</v>
      </c>
      <c r="AE384">
        <f>IF(DB_HighSOF[[#This Row],[Plan]]&lt;&gt;0,DB_HighSOF[[#This Row],[Actual]]/DB_HighSOF[[#This Row],[Plan]],1.000011000011)</f>
        <v>0.85830318801905336</v>
      </c>
    </row>
    <row r="385" spans="1:31" hidden="1" x14ac:dyDescent="0.2">
      <c r="A385">
        <f>SUBTOTAL(3,$B$6:B385)</f>
        <v>101</v>
      </c>
      <c r="B385" t="s">
        <v>345</v>
      </c>
      <c r="C385" t="s">
        <v>843</v>
      </c>
      <c r="G385">
        <v>71414.804999999993</v>
      </c>
      <c r="H385">
        <v>44609.921999999999</v>
      </c>
      <c r="I385">
        <v>44265.896999999997</v>
      </c>
      <c r="J385">
        <v>44265.896999999997</v>
      </c>
      <c r="K385">
        <v>44265.896999999997</v>
      </c>
      <c r="L385">
        <v>44265.896999999997</v>
      </c>
      <c r="M385">
        <v>44265.897000000004</v>
      </c>
      <c r="N385">
        <v>44265.897000000004</v>
      </c>
      <c r="O385">
        <v>44265.896999999997</v>
      </c>
      <c r="S385">
        <v>72844.440000000017</v>
      </c>
      <c r="T385">
        <v>44488.5</v>
      </c>
      <c r="U385">
        <v>7139.5499999999956</v>
      </c>
      <c r="V385">
        <v>681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f>SUMPRODUCT(DB_HighSOF[[#This Row],[Plan01]:[Plan12]],$D$4:$O$4)/valUnits2</f>
        <v>160.29062399999998</v>
      </c>
      <c r="AC385">
        <f>SUMPRODUCT(DB_HighSOF[[#This Row],[Act01]:[Act12]],$P$4:$AA$4)/valUnits2</f>
        <v>124.47249000000002</v>
      </c>
      <c r="AD385">
        <f>DB_HighSOF[[#This Row],[Actual]]-DB_HighSOF[[#This Row],[Plan]]</f>
        <v>-35.818133999999958</v>
      </c>
      <c r="AE385">
        <f>IF(DB_HighSOF[[#This Row],[Plan]]&lt;&gt;0,DB_HighSOF[[#This Row],[Actual]]/DB_HighSOF[[#This Row],[Plan]],1.000011000011)</f>
        <v>0.77654255061107025</v>
      </c>
    </row>
    <row r="386" spans="1:31" x14ac:dyDescent="0.2">
      <c r="A386">
        <f>SUBTOTAL(3,$B$6:B386)</f>
        <v>102</v>
      </c>
      <c r="B386" t="s">
        <v>1</v>
      </c>
      <c r="C386" t="s">
        <v>928</v>
      </c>
      <c r="D386">
        <v>17997.882000000005</v>
      </c>
      <c r="E386">
        <v>9553.1479999999974</v>
      </c>
      <c r="F386">
        <v>8813.4879999999994</v>
      </c>
      <c r="G386">
        <v>28680.618999999995</v>
      </c>
      <c r="H386">
        <v>627.26900000000001</v>
      </c>
      <c r="I386">
        <v>0</v>
      </c>
      <c r="P386">
        <v>17588.079999999991</v>
      </c>
      <c r="Q386">
        <v>9758.25</v>
      </c>
      <c r="R386">
        <v>8905.75</v>
      </c>
      <c r="S386">
        <v>28454.629999999997</v>
      </c>
      <c r="T386">
        <v>631.99</v>
      </c>
      <c r="U386">
        <v>-38103.699999999997</v>
      </c>
      <c r="AB386" s="34">
        <f>SUMPRODUCT(DB_HighSOF[[#This Row],[Plan01]:[Plan12]],$D$4:$O$4)/valUnits2</f>
        <v>65.672406000000009</v>
      </c>
      <c r="AC386" s="34">
        <f>SUMPRODUCT(DB_HighSOF[[#This Row],[Act01]:[Act12]],$P$4:$AA$4)/valUnits2</f>
        <v>27.234999999999985</v>
      </c>
      <c r="AD386" s="34">
        <f>DB_HighSOF[[#This Row],[Actual]]-DB_HighSOF[[#This Row],[Plan]]</f>
        <v>-38.437406000000024</v>
      </c>
      <c r="AE386" s="34">
        <f>IF(DB_HighSOF[[#This Row],[Plan]]&lt;&gt;0,DB_HighSOF[[#This Row],[Actual]]/DB_HighSOF[[#This Row],[Plan]],1.000011000011)</f>
        <v>0.41470994682302309</v>
      </c>
    </row>
    <row r="387" spans="1:31" x14ac:dyDescent="0.2">
      <c r="A387">
        <f>SUBTOTAL(3,$B$6:B387)</f>
        <v>103</v>
      </c>
      <c r="B387" t="s">
        <v>1</v>
      </c>
      <c r="C387" t="s">
        <v>878</v>
      </c>
      <c r="D387">
        <v>4607.6589999999997</v>
      </c>
      <c r="E387">
        <v>9539.5959999999977</v>
      </c>
      <c r="F387">
        <v>12590.771000000001</v>
      </c>
      <c r="G387">
        <v>13267.445999999998</v>
      </c>
      <c r="H387">
        <v>13426.076999999999</v>
      </c>
      <c r="I387">
        <v>13177.581999999999</v>
      </c>
      <c r="J387">
        <v>13177.581999999999</v>
      </c>
      <c r="K387">
        <v>13177.581999999999</v>
      </c>
      <c r="L387">
        <v>13177.581999999999</v>
      </c>
      <c r="M387">
        <v>13177.581999999999</v>
      </c>
      <c r="N387">
        <v>13177.581999999999</v>
      </c>
      <c r="O387">
        <v>13177.581999999999</v>
      </c>
      <c r="P387">
        <v>4690.1800000000021</v>
      </c>
      <c r="Q387">
        <v>9515.66</v>
      </c>
      <c r="R387">
        <v>-695.09999999999991</v>
      </c>
      <c r="S387">
        <v>92.860000000000014</v>
      </c>
      <c r="T387">
        <v>263.16000000000003</v>
      </c>
      <c r="U387">
        <v>9502.2900000000009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f>SUMPRODUCT(DB_HighSOF[[#This Row],[Plan01]:[Plan12]],$D$4:$O$4)/valUnits2</f>
        <v>66.609130999999991</v>
      </c>
      <c r="AC387">
        <f>SUMPRODUCT(DB_HighSOF[[#This Row],[Act01]:[Act12]],$P$4:$AA$4)/valUnits2</f>
        <v>23.369050000000001</v>
      </c>
      <c r="AD387">
        <f>DB_HighSOF[[#This Row],[Actual]]-DB_HighSOF[[#This Row],[Plan]]</f>
        <v>-43.240080999999989</v>
      </c>
      <c r="AE387">
        <f>IF(DB_HighSOF[[#This Row],[Plan]]&lt;&gt;0,DB_HighSOF[[#This Row],[Actual]]/DB_HighSOF[[#This Row],[Plan]],1.000011000011)</f>
        <v>0.35083853593586145</v>
      </c>
    </row>
    <row r="388" spans="1:31" hidden="1" x14ac:dyDescent="0.2">
      <c r="A388">
        <f>SUBTOTAL(3,$B$6:B388)</f>
        <v>103</v>
      </c>
      <c r="B388" t="s">
        <v>342</v>
      </c>
      <c r="C388" t="s">
        <v>896</v>
      </c>
      <c r="D388">
        <v>35875.718999999997</v>
      </c>
      <c r="E388">
        <v>-29164.635999999995</v>
      </c>
      <c r="F388">
        <v>138911.916</v>
      </c>
      <c r="G388">
        <v>69921.355999999985</v>
      </c>
      <c r="H388">
        <v>62340.483999999997</v>
      </c>
      <c r="I388">
        <v>43275.436999999991</v>
      </c>
      <c r="J388">
        <v>49523.081999999995</v>
      </c>
      <c r="K388">
        <v>49523.081999999988</v>
      </c>
      <c r="L388">
        <v>49523.081999999995</v>
      </c>
      <c r="M388">
        <v>46059.183999999994</v>
      </c>
      <c r="N388">
        <v>46059.183999999994</v>
      </c>
      <c r="O388">
        <v>46059.183999999994</v>
      </c>
      <c r="P388">
        <v>35875.590000000004</v>
      </c>
      <c r="Q388">
        <v>-28671.710000000003</v>
      </c>
      <c r="R388">
        <v>137910.51</v>
      </c>
      <c r="S388">
        <v>70258.170000000013</v>
      </c>
      <c r="T388">
        <v>62596.359999999993</v>
      </c>
      <c r="U388">
        <v>3955.0900000000083</v>
      </c>
      <c r="V388">
        <v>757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f>SUMPRODUCT(DB_HighSOF[[#This Row],[Plan01]:[Plan12]],$D$4:$O$4)/valUnits2</f>
        <v>321.16027599999995</v>
      </c>
      <c r="AC388">
        <f>SUMPRODUCT(DB_HighSOF[[#This Row],[Act01]:[Act12]],$P$4:$AA$4)/valUnits2</f>
        <v>281.92401000000007</v>
      </c>
      <c r="AD388">
        <f>DB_HighSOF[[#This Row],[Actual]]-DB_HighSOF[[#This Row],[Plan]]</f>
        <v>-39.236265999999887</v>
      </c>
      <c r="AE388">
        <f>IF(DB_HighSOF[[#This Row],[Plan]]&lt;&gt;0,DB_HighSOF[[#This Row],[Actual]]/DB_HighSOF[[#This Row],[Plan]],1.000011000011)</f>
        <v>0.87782964167087751</v>
      </c>
    </row>
    <row r="389" spans="1:31" x14ac:dyDescent="0.2">
      <c r="A389">
        <f>SUBTOTAL(3,$B$6:B389)</f>
        <v>104</v>
      </c>
      <c r="B389" t="s">
        <v>1</v>
      </c>
      <c r="C389" t="s">
        <v>919</v>
      </c>
      <c r="D389">
        <v>26220.022000000004</v>
      </c>
      <c r="E389">
        <v>470766.58999999985</v>
      </c>
      <c r="F389">
        <v>27432.386000000017</v>
      </c>
      <c r="G389">
        <v>88762.585000000006</v>
      </c>
      <c r="H389">
        <v>797012.47699999972</v>
      </c>
      <c r="I389">
        <v>258766.87600000005</v>
      </c>
      <c r="J389">
        <v>743410.99999999965</v>
      </c>
      <c r="K389">
        <v>339132.96499999991</v>
      </c>
      <c r="L389">
        <v>578774.50699999998</v>
      </c>
      <c r="M389">
        <v>574955.3319999997</v>
      </c>
      <c r="N389">
        <v>510736.80099999998</v>
      </c>
      <c r="O389">
        <v>611717.42899999977</v>
      </c>
      <c r="P389">
        <v>25621.909999999993</v>
      </c>
      <c r="Q389">
        <v>484961.17</v>
      </c>
      <c r="R389">
        <v>27690.839999999989</v>
      </c>
      <c r="S389">
        <v>88575.399999999892</v>
      </c>
      <c r="T389">
        <v>794928.39000000013</v>
      </c>
      <c r="U389">
        <v>200243.06000000006</v>
      </c>
      <c r="V389">
        <v>1895</v>
      </c>
      <c r="W389">
        <v>0</v>
      </c>
      <c r="X389">
        <v>0</v>
      </c>
      <c r="Y389">
        <v>0</v>
      </c>
      <c r="Z389">
        <v>0</v>
      </c>
      <c r="AA389">
        <v>0</v>
      </c>
      <c r="AB389" s="34">
        <f>SUMPRODUCT(DB_HighSOF[[#This Row],[Plan01]:[Plan12]],$D$4:$O$4)/valUnits2</f>
        <v>1668.9609359999997</v>
      </c>
      <c r="AC389" s="34">
        <f>SUMPRODUCT(DB_HighSOF[[#This Row],[Act01]:[Act12]],$P$4:$AA$4)/valUnits2</f>
        <v>1622.0207700000001</v>
      </c>
      <c r="AD389" s="34">
        <f>DB_HighSOF[[#This Row],[Actual]]-DB_HighSOF[[#This Row],[Plan]]</f>
        <v>-46.940165999999635</v>
      </c>
      <c r="AE389" s="34">
        <f>IF(DB_HighSOF[[#This Row],[Plan]]&lt;&gt;0,DB_HighSOF[[#This Row],[Actual]]/DB_HighSOF[[#This Row],[Plan]],1.000011000011)</f>
        <v>0.97187461672260511</v>
      </c>
    </row>
    <row r="390" spans="1:31" hidden="1" x14ac:dyDescent="0.2">
      <c r="A390">
        <f>SUBTOTAL(3,$B$6:B390)</f>
        <v>104</v>
      </c>
      <c r="B390" t="s">
        <v>342</v>
      </c>
      <c r="C390" t="s">
        <v>919</v>
      </c>
      <c r="D390">
        <v>25622.029000000006</v>
      </c>
      <c r="E390">
        <v>463902.80299999984</v>
      </c>
      <c r="F390">
        <v>18816.313000000016</v>
      </c>
      <c r="G390">
        <v>50643.18</v>
      </c>
      <c r="H390">
        <v>783574.40199999977</v>
      </c>
      <c r="I390">
        <v>245125.13800000004</v>
      </c>
      <c r="J390">
        <v>727505.22499999963</v>
      </c>
      <c r="K390">
        <v>325491.2269999999</v>
      </c>
      <c r="L390">
        <v>565132.76899999997</v>
      </c>
      <c r="M390">
        <v>559049.55699999968</v>
      </c>
      <c r="N390">
        <v>497095.06299999997</v>
      </c>
      <c r="O390">
        <v>598075.69099999976</v>
      </c>
      <c r="P390">
        <v>25032.759999999991</v>
      </c>
      <c r="Q390">
        <v>477954.31</v>
      </c>
      <c r="R390">
        <v>18997.529999999988</v>
      </c>
      <c r="S390">
        <v>50225.869999999886</v>
      </c>
      <c r="T390">
        <v>781528.41000000015</v>
      </c>
      <c r="U390">
        <v>188853.50000000006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f>SUMPRODUCT(DB_HighSOF[[#This Row],[Plan01]:[Plan12]],$D$4:$O$4)/valUnits2</f>
        <v>1587.6838649999995</v>
      </c>
      <c r="AC390">
        <f>SUMPRODUCT(DB_HighSOF[[#This Row],[Act01]:[Act12]],$P$4:$AA$4)/valUnits2</f>
        <v>1542.5923799999998</v>
      </c>
      <c r="AD390">
        <f>DB_HighSOF[[#This Row],[Actual]]-DB_HighSOF[[#This Row],[Plan]]</f>
        <v>-45.091484999999693</v>
      </c>
      <c r="AE390">
        <f>IF(DB_HighSOF[[#This Row],[Plan]]&lt;&gt;0,DB_HighSOF[[#This Row],[Actual]]/DB_HighSOF[[#This Row],[Plan]],1.000011000011)</f>
        <v>0.97159920435419955</v>
      </c>
    </row>
    <row r="391" spans="1:31" x14ac:dyDescent="0.2">
      <c r="A391">
        <f>SUBTOTAL(3,$B$6:B391)</f>
        <v>105</v>
      </c>
      <c r="B391" t="s">
        <v>1</v>
      </c>
      <c r="C391" t="s">
        <v>874</v>
      </c>
      <c r="D391">
        <v>7203.1429999999991</v>
      </c>
      <c r="E391">
        <v>183183.01100000003</v>
      </c>
      <c r="F391">
        <v>9825.15600000001</v>
      </c>
      <c r="G391">
        <v>190070.42399999991</v>
      </c>
      <c r="H391">
        <v>12985.302000000003</v>
      </c>
      <c r="I391">
        <v>72568.410999999993</v>
      </c>
      <c r="J391">
        <v>99431.364999999962</v>
      </c>
      <c r="K391">
        <v>72977.512000000002</v>
      </c>
      <c r="L391">
        <v>72958.14999999998</v>
      </c>
      <c r="M391">
        <v>79636.689999999988</v>
      </c>
      <c r="N391">
        <v>68133.578999999998</v>
      </c>
      <c r="O391">
        <v>73975.49099999998</v>
      </c>
      <c r="P391">
        <v>7084.1299999999992</v>
      </c>
      <c r="Q391">
        <v>188850.02000000005</v>
      </c>
      <c r="R391">
        <v>9919.439999999986</v>
      </c>
      <c r="S391">
        <v>189469.66999999995</v>
      </c>
      <c r="T391">
        <v>12899.429999999991</v>
      </c>
      <c r="U391">
        <v>11920.210000000008</v>
      </c>
      <c r="V391">
        <v>53578.559999999998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f>SUMPRODUCT(DB_HighSOF[[#This Row],[Plan01]:[Plan12]],$D$4:$O$4)/valUnits2</f>
        <v>475.83544699999993</v>
      </c>
      <c r="AC391">
        <f>SUMPRODUCT(DB_HighSOF[[#This Row],[Act01]:[Act12]],$P$4:$AA$4)/valUnits2</f>
        <v>420.1429</v>
      </c>
      <c r="AD391">
        <f>DB_HighSOF[[#This Row],[Actual]]-DB_HighSOF[[#This Row],[Plan]]</f>
        <v>-55.692546999999934</v>
      </c>
      <c r="AE391">
        <f>IF(DB_HighSOF[[#This Row],[Plan]]&lt;&gt;0,DB_HighSOF[[#This Row],[Actual]]/DB_HighSOF[[#This Row],[Plan]],1.000011000011)</f>
        <v>0.88295838960479978</v>
      </c>
    </row>
    <row r="392" spans="1:31" x14ac:dyDescent="0.2">
      <c r="A392">
        <f>SUBTOTAL(3,$B$6:B392)</f>
        <v>106</v>
      </c>
      <c r="B392" t="s">
        <v>1</v>
      </c>
      <c r="C392" t="s">
        <v>877</v>
      </c>
      <c r="D392">
        <v>60399.904000000046</v>
      </c>
      <c r="E392">
        <v>107904.51600000002</v>
      </c>
      <c r="F392">
        <v>62089.090999999993</v>
      </c>
      <c r="G392">
        <v>94575.51</v>
      </c>
      <c r="H392">
        <v>13128.823999999999</v>
      </c>
      <c r="I392">
        <v>100486.58800000003</v>
      </c>
      <c r="J392">
        <v>76173.677000000011</v>
      </c>
      <c r="K392">
        <v>75223.647000000012</v>
      </c>
      <c r="L392">
        <v>68418.091000000015</v>
      </c>
      <c r="M392">
        <v>64630.067000000025</v>
      </c>
      <c r="N392">
        <v>67959.996000000014</v>
      </c>
      <c r="O392">
        <v>64630.06700000001</v>
      </c>
      <c r="P392">
        <v>59114.240000000042</v>
      </c>
      <c r="Q392">
        <v>111289.41000000002</v>
      </c>
      <c r="R392">
        <v>62654.560000000012</v>
      </c>
      <c r="S392">
        <v>94578.919999999984</v>
      </c>
      <c r="T392">
        <v>13001.65</v>
      </c>
      <c r="U392">
        <v>16941.559999999983</v>
      </c>
      <c r="V392">
        <v>1222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f>SUMPRODUCT(DB_HighSOF[[#This Row],[Plan01]:[Plan12]],$D$4:$O$4)/valUnits2</f>
        <v>438.58443300000016</v>
      </c>
      <c r="AC392">
        <f>SUMPRODUCT(DB_HighSOF[[#This Row],[Act01]:[Act12]],$P$4:$AA$4)/valUnits2</f>
        <v>357.58034000000009</v>
      </c>
      <c r="AD392">
        <f>DB_HighSOF[[#This Row],[Actual]]-DB_HighSOF[[#This Row],[Plan]]</f>
        <v>-81.004093000000069</v>
      </c>
      <c r="AE392">
        <f>IF(DB_HighSOF[[#This Row],[Plan]]&lt;&gt;0,DB_HighSOF[[#This Row],[Actual]]/DB_HighSOF[[#This Row],[Plan]],1.000011000011)</f>
        <v>0.81530559020091797</v>
      </c>
    </row>
    <row r="393" spans="1:31" hidden="1" x14ac:dyDescent="0.2">
      <c r="A393">
        <f>SUBTOTAL(3,$B$6:B393)</f>
        <v>106</v>
      </c>
      <c r="B393" t="s">
        <v>342</v>
      </c>
      <c r="C393" t="s">
        <v>874</v>
      </c>
      <c r="D393">
        <v>4631.4709999999995</v>
      </c>
      <c r="E393">
        <v>177952.25200000001</v>
      </c>
      <c r="F393">
        <v>4783.8610000000099</v>
      </c>
      <c r="G393">
        <v>178382.00199999992</v>
      </c>
      <c r="H393">
        <v>6686.2680000000028</v>
      </c>
      <c r="I393">
        <v>66269.688999999998</v>
      </c>
      <c r="J393">
        <v>93458.718999999968</v>
      </c>
      <c r="K393">
        <v>67004.866000000009</v>
      </c>
      <c r="L393">
        <v>66659.427999999985</v>
      </c>
      <c r="M393">
        <v>73664.043999999994</v>
      </c>
      <c r="N393">
        <v>61834.857000000004</v>
      </c>
      <c r="O393">
        <v>68002.844999999987</v>
      </c>
      <c r="P393">
        <v>4550.4899999999989</v>
      </c>
      <c r="Q393">
        <v>183512.22000000003</v>
      </c>
      <c r="R393">
        <v>4832.5899999999874</v>
      </c>
      <c r="S393">
        <v>177775.36999999994</v>
      </c>
      <c r="T393">
        <v>6652.7199999999912</v>
      </c>
      <c r="U393">
        <v>4592.6700000000092</v>
      </c>
      <c r="V393">
        <v>53578.559999999998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f>SUMPRODUCT(DB_HighSOF[[#This Row],[Plan01]:[Plan12]],$D$4:$O$4)/valUnits2</f>
        <v>438.70554299999986</v>
      </c>
      <c r="AC393">
        <f>SUMPRODUCT(DB_HighSOF[[#This Row],[Act01]:[Act12]],$P$4:$AA$4)/valUnits2</f>
        <v>381.9160599999999</v>
      </c>
      <c r="AD393">
        <f>DB_HighSOF[[#This Row],[Actual]]-DB_HighSOF[[#This Row],[Plan]]</f>
        <v>-56.789482999999962</v>
      </c>
      <c r="AE393">
        <f>IF(DB_HighSOF[[#This Row],[Plan]]&lt;&gt;0,DB_HighSOF[[#This Row],[Actual]]/DB_HighSOF[[#This Row],[Plan]],1.000011000011)</f>
        <v>0.87055216441612182</v>
      </c>
    </row>
    <row r="394" spans="1:31" hidden="1" x14ac:dyDescent="0.2">
      <c r="A394">
        <f>SUBTOTAL(3,$B$6:B394)</f>
        <v>106</v>
      </c>
      <c r="B394" t="s">
        <v>342</v>
      </c>
      <c r="C394" t="s">
        <v>877</v>
      </c>
      <c r="D394">
        <v>60399.904000000046</v>
      </c>
      <c r="E394">
        <v>105851.45700000002</v>
      </c>
      <c r="F394">
        <v>59972.280999999995</v>
      </c>
      <c r="G394">
        <v>87446.015999999989</v>
      </c>
      <c r="H394">
        <v>8677.780999999999</v>
      </c>
      <c r="I394">
        <v>95664.887000000032</v>
      </c>
      <c r="J394">
        <v>71351.97600000001</v>
      </c>
      <c r="K394">
        <v>70401.946000000011</v>
      </c>
      <c r="L394">
        <v>63596.390000000021</v>
      </c>
      <c r="M394">
        <v>59808.366000000024</v>
      </c>
      <c r="N394">
        <v>63138.29500000002</v>
      </c>
      <c r="O394">
        <v>59808.366000000009</v>
      </c>
      <c r="P394">
        <v>59114.240000000042</v>
      </c>
      <c r="Q394">
        <v>109193.84000000001</v>
      </c>
      <c r="R394">
        <v>60519.23000000001</v>
      </c>
      <c r="S394">
        <v>87427.329999999987</v>
      </c>
      <c r="T394">
        <v>8582.0999999999967</v>
      </c>
      <c r="U394">
        <v>13236.519999999984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f>SUMPRODUCT(DB_HighSOF[[#This Row],[Plan01]:[Plan12]],$D$4:$O$4)/valUnits2</f>
        <v>418.01232600000014</v>
      </c>
      <c r="AC394">
        <f>SUMPRODUCT(DB_HighSOF[[#This Row],[Act01]:[Act12]],$P$4:$AA$4)/valUnits2</f>
        <v>338.07325999999995</v>
      </c>
      <c r="AD394">
        <f>DB_HighSOF[[#This Row],[Actual]]-DB_HighSOF[[#This Row],[Plan]]</f>
        <v>-79.939066000000196</v>
      </c>
      <c r="AE394">
        <f>IF(DB_HighSOF[[#This Row],[Plan]]&lt;&gt;0,DB_HighSOF[[#This Row],[Actual]]/DB_HighSOF[[#This Row],[Plan]],1.000011000011)</f>
        <v>0.80876385448978327</v>
      </c>
    </row>
    <row r="395" spans="1:31" hidden="1" x14ac:dyDescent="0.2">
      <c r="A395">
        <f>SUBTOTAL(3,$B$6:B395)</f>
        <v>106</v>
      </c>
      <c r="B395" t="s">
        <v>346</v>
      </c>
      <c r="C395" t="s">
        <v>859</v>
      </c>
      <c r="D395">
        <v>-3797.5700000000124</v>
      </c>
      <c r="E395">
        <v>26265.154999999999</v>
      </c>
      <c r="F395">
        <v>1074.7700000000077</v>
      </c>
      <c r="G395">
        <v>129110.20800000001</v>
      </c>
      <c r="H395">
        <v>5634.0659999999953</v>
      </c>
      <c r="I395">
        <v>90752.036999999997</v>
      </c>
      <c r="J395">
        <v>45084.934000000001</v>
      </c>
      <c r="K395">
        <v>45318.159000000007</v>
      </c>
      <c r="L395">
        <v>42878.476999999992</v>
      </c>
      <c r="M395">
        <v>41226.447</v>
      </c>
      <c r="N395">
        <v>63712.292000000001</v>
      </c>
      <c r="O395">
        <v>52670.436000000009</v>
      </c>
      <c r="P395">
        <v>-3699.7099999999909</v>
      </c>
      <c r="Q395">
        <v>27140.719999999994</v>
      </c>
      <c r="R395">
        <v>1085.9100000000042</v>
      </c>
      <c r="S395">
        <v>127526.94</v>
      </c>
      <c r="T395">
        <v>5640.9299999999967</v>
      </c>
      <c r="U395">
        <v>7776.0099999999957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s="34">
        <f>SUMPRODUCT(DB_HighSOF[[#This Row],[Plan01]:[Plan12]],$D$4:$O$4)/valUnits2</f>
        <v>249.03866599999998</v>
      </c>
      <c r="AC395" s="34">
        <f>SUMPRODUCT(DB_HighSOF[[#This Row],[Act01]:[Act12]],$P$4:$AA$4)/valUnits2</f>
        <v>165.47080000000003</v>
      </c>
      <c r="AD395" s="34">
        <f>DB_HighSOF[[#This Row],[Actual]]-DB_HighSOF[[#This Row],[Plan]]</f>
        <v>-83.567865999999952</v>
      </c>
      <c r="AE395" s="34">
        <f>IF(DB_HighSOF[[#This Row],[Plan]]&lt;&gt;0,DB_HighSOF[[#This Row],[Actual]]/DB_HighSOF[[#This Row],[Plan]],1.000011000011)</f>
        <v>0.6644381880844159</v>
      </c>
    </row>
    <row r="396" spans="1:31" x14ac:dyDescent="0.2">
      <c r="A396">
        <f>SUBTOTAL(3,$B$6:B396)</f>
        <v>107</v>
      </c>
      <c r="B396" t="s">
        <v>1</v>
      </c>
      <c r="C396" t="s">
        <v>859</v>
      </c>
      <c r="D396">
        <v>-1815.3950000000125</v>
      </c>
      <c r="E396">
        <v>29153.720999999998</v>
      </c>
      <c r="F396">
        <v>4299.4600000000082</v>
      </c>
      <c r="G396">
        <v>133890.5</v>
      </c>
      <c r="H396">
        <v>9809.8039999999964</v>
      </c>
      <c r="I396">
        <v>93964.539000000004</v>
      </c>
      <c r="J396">
        <v>48297.436000000002</v>
      </c>
      <c r="K396">
        <v>48530.661000000007</v>
      </c>
      <c r="L396">
        <v>46090.978999999992</v>
      </c>
      <c r="M396">
        <v>44438.949000000001</v>
      </c>
      <c r="N396">
        <v>66924.794000000009</v>
      </c>
      <c r="O396">
        <v>57187.243000000009</v>
      </c>
      <c r="P396">
        <v>-1746.8499999999908</v>
      </c>
      <c r="Q396">
        <v>30089.859999999993</v>
      </c>
      <c r="R396">
        <v>4339.7900000000045</v>
      </c>
      <c r="S396">
        <v>132334.45000000001</v>
      </c>
      <c r="T396">
        <v>9784.5899999999965</v>
      </c>
      <c r="U396">
        <v>9253.149999999996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f>SUMPRODUCT(DB_HighSOF[[#This Row],[Plan01]:[Plan12]],$D$4:$O$4)/valUnits2</f>
        <v>269.30262900000002</v>
      </c>
      <c r="AC396">
        <f>SUMPRODUCT(DB_HighSOF[[#This Row],[Act01]:[Act12]],$P$4:$AA$4)/valUnits2</f>
        <v>184.05499000000003</v>
      </c>
      <c r="AD396">
        <f>DB_HighSOF[[#This Row],[Actual]]-DB_HighSOF[[#This Row],[Plan]]</f>
        <v>-85.247638999999992</v>
      </c>
      <c r="AE396">
        <f>IF(DB_HighSOF[[#This Row],[Plan]]&lt;&gt;0,DB_HighSOF[[#This Row],[Actual]]/DB_HighSOF[[#This Row],[Plan]],1.000011000011)</f>
        <v>0.68345040181542382</v>
      </c>
    </row>
    <row r="397" spans="1:31" x14ac:dyDescent="0.2">
      <c r="A397">
        <f>SUBTOTAL(3,$B$6:B397)</f>
        <v>108</v>
      </c>
      <c r="B397" t="s">
        <v>1</v>
      </c>
      <c r="C397" t="s">
        <v>860</v>
      </c>
      <c r="D397">
        <v>13810.36</v>
      </c>
      <c r="E397">
        <v>21293.039999999997</v>
      </c>
      <c r="F397">
        <v>435824.22000000003</v>
      </c>
      <c r="G397">
        <v>288297.75</v>
      </c>
      <c r="H397">
        <v>57483.960000000006</v>
      </c>
      <c r="I397">
        <v>160466.07399999999</v>
      </c>
      <c r="J397">
        <v>160466.07399999999</v>
      </c>
      <c r="K397">
        <v>160466.07399999999</v>
      </c>
      <c r="L397">
        <v>160570.07400000002</v>
      </c>
      <c r="M397">
        <v>0</v>
      </c>
      <c r="N397">
        <v>0</v>
      </c>
      <c r="O397">
        <v>0</v>
      </c>
      <c r="P397">
        <v>13810.359999999999</v>
      </c>
      <c r="Q397">
        <v>21314.589999999993</v>
      </c>
      <c r="R397">
        <v>435836.30000000016</v>
      </c>
      <c r="S397">
        <v>288330.26</v>
      </c>
      <c r="T397">
        <v>57491.139999999985</v>
      </c>
      <c r="U397">
        <v>48255.64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s="34">
        <f>SUMPRODUCT(DB_HighSOF[[#This Row],[Plan01]:[Plan12]],$D$4:$O$4)/valUnits2</f>
        <v>977.17540399999996</v>
      </c>
      <c r="AC397" s="34">
        <f>SUMPRODUCT(DB_HighSOF[[#This Row],[Act01]:[Act12]],$P$4:$AA$4)/valUnits2</f>
        <v>865.0382900000003</v>
      </c>
      <c r="AD397" s="34">
        <f>DB_HighSOF[[#This Row],[Actual]]-DB_HighSOF[[#This Row],[Plan]]</f>
        <v>-112.13711399999966</v>
      </c>
      <c r="AE397" s="34">
        <f>IF(DB_HighSOF[[#This Row],[Plan]]&lt;&gt;0,DB_HighSOF[[#This Row],[Actual]]/DB_HighSOF[[#This Row],[Plan]],1.000011000011)</f>
        <v>0.88524361794108397</v>
      </c>
    </row>
    <row r="398" spans="1:31" hidden="1" x14ac:dyDescent="0.2">
      <c r="A398">
        <f>SUBTOTAL(3,$B$6:B398)</f>
        <v>108</v>
      </c>
      <c r="B398" t="s">
        <v>344</v>
      </c>
      <c r="C398" t="s">
        <v>909</v>
      </c>
      <c r="D398">
        <v>103097.75</v>
      </c>
      <c r="E398">
        <v>10615.770000000004</v>
      </c>
      <c r="F398">
        <v>14804.089999999998</v>
      </c>
      <c r="G398">
        <v>135064.91</v>
      </c>
      <c r="H398">
        <v>187311.39</v>
      </c>
      <c r="I398">
        <v>109053.83</v>
      </c>
      <c r="J398">
        <v>109053.83000000002</v>
      </c>
      <c r="K398">
        <v>109053.83</v>
      </c>
      <c r="L398">
        <v>158311.82999999999</v>
      </c>
      <c r="M398">
        <v>159053.82999999996</v>
      </c>
      <c r="N398">
        <v>176788.83</v>
      </c>
      <c r="O398">
        <v>109053.83</v>
      </c>
      <c r="P398">
        <v>103097.74999999999</v>
      </c>
      <c r="Q398">
        <v>10615.770000000059</v>
      </c>
      <c r="R398">
        <v>14804.090000000029</v>
      </c>
      <c r="S398">
        <v>135064.91000000006</v>
      </c>
      <c r="T398">
        <v>187311.39000000004</v>
      </c>
      <c r="U398">
        <v>8666.8599999999878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f>SUMPRODUCT(DB_HighSOF[[#This Row],[Plan01]:[Plan12]],$D$4:$O$4)/valUnits2</f>
        <v>559.94773999999995</v>
      </c>
      <c r="AC398">
        <f>SUMPRODUCT(DB_HighSOF[[#This Row],[Act01]:[Act12]],$P$4:$AA$4)/valUnits2</f>
        <v>459.56077000000016</v>
      </c>
      <c r="AD398">
        <f>DB_HighSOF[[#This Row],[Actual]]-DB_HighSOF[[#This Row],[Plan]]</f>
        <v>-100.38696999999979</v>
      </c>
      <c r="AE398">
        <f>IF(DB_HighSOF[[#This Row],[Plan]]&lt;&gt;0,DB_HighSOF[[#This Row],[Actual]]/DB_HighSOF[[#This Row],[Plan]],1.000011000011)</f>
        <v>0.82072082298251658</v>
      </c>
    </row>
    <row r="399" spans="1:31" hidden="1" x14ac:dyDescent="0.2">
      <c r="A399">
        <f>SUBTOTAL(3,$B$6:B399)</f>
        <v>108</v>
      </c>
      <c r="B399" t="s">
        <v>344</v>
      </c>
      <c r="C399" t="s">
        <v>860</v>
      </c>
      <c r="D399">
        <v>10791.550000000001</v>
      </c>
      <c r="E399">
        <v>17596.89</v>
      </c>
      <c r="F399">
        <v>429401.63000000006</v>
      </c>
      <c r="G399">
        <v>277109.99</v>
      </c>
      <c r="H399">
        <v>53182.210000000006</v>
      </c>
      <c r="I399">
        <v>156185.81099999999</v>
      </c>
      <c r="J399">
        <v>156185.81099999999</v>
      </c>
      <c r="K399">
        <v>156185.81099999999</v>
      </c>
      <c r="L399">
        <v>156289.81100000002</v>
      </c>
      <c r="M399">
        <v>0</v>
      </c>
      <c r="N399">
        <v>0</v>
      </c>
      <c r="O399">
        <v>0</v>
      </c>
      <c r="P399">
        <v>10791.55</v>
      </c>
      <c r="Q399">
        <v>17618.439999999995</v>
      </c>
      <c r="R399">
        <v>429401.63000000018</v>
      </c>
      <c r="S399">
        <v>277109.99</v>
      </c>
      <c r="T399">
        <v>53182.209999999985</v>
      </c>
      <c r="U399">
        <v>44963.25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s="34">
        <f>SUMPRODUCT(DB_HighSOF[[#This Row],[Plan01]:[Plan12]],$D$4:$O$4)/valUnits2</f>
        <v>944.26808100000005</v>
      </c>
      <c r="AC399" s="34">
        <f>SUMPRODUCT(DB_HighSOF[[#This Row],[Act01]:[Act12]],$P$4:$AA$4)/valUnits2</f>
        <v>833.06707000000006</v>
      </c>
      <c r="AD399" s="34">
        <f>DB_HighSOF[[#This Row],[Actual]]-DB_HighSOF[[#This Row],[Plan]]</f>
        <v>-111.20101099999999</v>
      </c>
      <c r="AE399" s="34">
        <f>IF(DB_HighSOF[[#This Row],[Plan]]&lt;&gt;0,DB_HighSOF[[#This Row],[Actual]]/DB_HighSOF[[#This Row],[Plan]],1.000011000011)</f>
        <v>0.88223576202826237</v>
      </c>
    </row>
    <row r="400" spans="1:31" x14ac:dyDescent="0.2">
      <c r="A400">
        <f>SUBTOTAL(3,$B$6:B400)</f>
        <v>109</v>
      </c>
      <c r="B400" t="s">
        <v>1</v>
      </c>
      <c r="C400" t="s">
        <v>927</v>
      </c>
      <c r="D400">
        <v>430025.87000000005</v>
      </c>
      <c r="E400">
        <v>113936.12000000001</v>
      </c>
      <c r="F400">
        <v>79094.22000000003</v>
      </c>
      <c r="G400">
        <v>136803.80000000002</v>
      </c>
      <c r="H400">
        <v>341729.66000000003</v>
      </c>
      <c r="I400">
        <v>312984.16700000002</v>
      </c>
      <c r="J400">
        <v>205219.834</v>
      </c>
      <c r="K400">
        <v>205219.834</v>
      </c>
      <c r="L400">
        <v>205219.834</v>
      </c>
      <c r="M400">
        <v>205219.834</v>
      </c>
      <c r="N400">
        <v>205219.834</v>
      </c>
      <c r="O400">
        <v>205219.834</v>
      </c>
      <c r="P400">
        <v>430025.87</v>
      </c>
      <c r="Q400">
        <v>113999.37</v>
      </c>
      <c r="R400">
        <v>79118.710000000006</v>
      </c>
      <c r="S400">
        <v>136803.79999999999</v>
      </c>
      <c r="T400">
        <v>341745.02000000008</v>
      </c>
      <c r="U400">
        <v>169655.46000000002</v>
      </c>
      <c r="V400">
        <v>5935</v>
      </c>
      <c r="W400">
        <v>0</v>
      </c>
      <c r="X400">
        <v>0</v>
      </c>
      <c r="Y400">
        <v>0</v>
      </c>
      <c r="Z400">
        <v>0</v>
      </c>
      <c r="AA400">
        <v>0</v>
      </c>
      <c r="AB400" s="34">
        <f>SUMPRODUCT(DB_HighSOF[[#This Row],[Plan01]:[Plan12]],$D$4:$O$4)/valUnits2</f>
        <v>1414.5738370000004</v>
      </c>
      <c r="AC400" s="34">
        <f>SUMPRODUCT(DB_HighSOF[[#This Row],[Act01]:[Act12]],$P$4:$AA$4)/valUnits2</f>
        <v>1271.3482300000001</v>
      </c>
      <c r="AD400" s="34">
        <f>DB_HighSOF[[#This Row],[Actual]]-DB_HighSOF[[#This Row],[Plan]]</f>
        <v>-143.22560700000031</v>
      </c>
      <c r="AE400" s="34">
        <f>IF(DB_HighSOF[[#This Row],[Plan]]&lt;&gt;0,DB_HighSOF[[#This Row],[Actual]]/DB_HighSOF[[#This Row],[Plan]],1.000011000011)</f>
        <v>0.89874999575578873</v>
      </c>
    </row>
    <row r="401" spans="1:31" hidden="1" x14ac:dyDescent="0.2">
      <c r="A401">
        <f>SUBTOTAL(3,$B$6:B401)</f>
        <v>109</v>
      </c>
      <c r="B401" t="s">
        <v>342</v>
      </c>
      <c r="C401" t="s">
        <v>927</v>
      </c>
      <c r="D401">
        <v>429368.73000000004</v>
      </c>
      <c r="E401">
        <v>100706.37000000001</v>
      </c>
      <c r="F401">
        <v>64286.140000000029</v>
      </c>
      <c r="G401">
        <v>89083.45</v>
      </c>
      <c r="H401">
        <v>315212.78000000003</v>
      </c>
      <c r="I401">
        <v>280600.58199999999</v>
      </c>
      <c r="J401">
        <v>172836.24900000001</v>
      </c>
      <c r="K401">
        <v>172836.24900000001</v>
      </c>
      <c r="L401">
        <v>172836.24900000001</v>
      </c>
      <c r="M401">
        <v>172836.24900000001</v>
      </c>
      <c r="N401">
        <v>172836.24900000001</v>
      </c>
      <c r="O401">
        <v>172836.24900000001</v>
      </c>
      <c r="P401">
        <v>429368.73</v>
      </c>
      <c r="Q401">
        <v>100769.61999999998</v>
      </c>
      <c r="R401">
        <v>64286.14</v>
      </c>
      <c r="S401">
        <v>89083.449999999983</v>
      </c>
      <c r="T401">
        <v>315212.78000000009</v>
      </c>
      <c r="U401">
        <v>152638.40000000002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s="34">
        <f>SUMPRODUCT(DB_HighSOF[[#This Row],[Plan01]:[Plan12]],$D$4:$O$4)/valUnits2</f>
        <v>1279.2580520000001</v>
      </c>
      <c r="AC401" s="34">
        <f>SUMPRODUCT(DB_HighSOF[[#This Row],[Act01]:[Act12]],$P$4:$AA$4)/valUnits2</f>
        <v>1151.3591200000001</v>
      </c>
      <c r="AD401" s="34">
        <f>DB_HighSOF[[#This Row],[Actual]]-DB_HighSOF[[#This Row],[Plan]]</f>
        <v>-127.89893200000006</v>
      </c>
      <c r="AE401" s="34">
        <f>IF(DB_HighSOF[[#This Row],[Plan]]&lt;&gt;0,DB_HighSOF[[#This Row],[Actual]]/DB_HighSOF[[#This Row],[Plan]],1.000011000011)</f>
        <v>0.90002100686406306</v>
      </c>
    </row>
    <row r="402" spans="1:31" x14ac:dyDescent="0.2">
      <c r="A402">
        <f>SUBTOTAL(3,$B$6:B402)</f>
        <v>110</v>
      </c>
      <c r="B402" t="s">
        <v>1</v>
      </c>
      <c r="C402" t="s">
        <v>883</v>
      </c>
      <c r="D402">
        <v>5235.1170000000002</v>
      </c>
      <c r="E402">
        <v>7391.0509999999995</v>
      </c>
      <c r="F402">
        <v>31377.944</v>
      </c>
      <c r="G402">
        <v>19405.886999999999</v>
      </c>
      <c r="H402">
        <v>11482.049000000001</v>
      </c>
      <c r="I402">
        <v>162667.31099999999</v>
      </c>
      <c r="J402">
        <v>23237.006000000001</v>
      </c>
      <c r="K402">
        <v>158096.80799999996</v>
      </c>
      <c r="L402">
        <v>24347.442000000003</v>
      </c>
      <c r="M402">
        <v>161560.486</v>
      </c>
      <c r="N402">
        <v>25835.827000000001</v>
      </c>
      <c r="O402">
        <v>151375.94500000001</v>
      </c>
      <c r="P402">
        <v>5291.3700000000008</v>
      </c>
      <c r="Q402">
        <v>7568.1200000000008</v>
      </c>
      <c r="R402">
        <v>31208.22</v>
      </c>
      <c r="S402">
        <v>19234.88</v>
      </c>
      <c r="T402">
        <v>11507.09</v>
      </c>
      <c r="U402">
        <v>6223.3799999999992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f>SUMPRODUCT(DB_HighSOF[[#This Row],[Plan01]:[Plan12]],$D$4:$O$4)/valUnits2</f>
        <v>237.559359</v>
      </c>
      <c r="AC402">
        <f>SUMPRODUCT(DB_HighSOF[[#This Row],[Act01]:[Act12]],$P$4:$AA$4)/valUnits2</f>
        <v>81.033060000000006</v>
      </c>
      <c r="AD402">
        <f>DB_HighSOF[[#This Row],[Actual]]-DB_HighSOF[[#This Row],[Plan]]</f>
        <v>-156.52629899999999</v>
      </c>
      <c r="AE402">
        <f>IF(DB_HighSOF[[#This Row],[Plan]]&lt;&gt;0,DB_HighSOF[[#This Row],[Actual]]/DB_HighSOF[[#This Row],[Plan]],1.000011000011)</f>
        <v>0.3411065779142804</v>
      </c>
    </row>
    <row r="403" spans="1:31" x14ac:dyDescent="0.2">
      <c r="A403">
        <f>SUBTOTAL(3,$B$6:B403)</f>
        <v>111</v>
      </c>
      <c r="B403" t="s">
        <v>1</v>
      </c>
      <c r="C403" t="s">
        <v>884</v>
      </c>
      <c r="D403">
        <v>57412.942999999999</v>
      </c>
      <c r="E403">
        <v>60048.273000000008</v>
      </c>
      <c r="F403">
        <v>56064.492999999995</v>
      </c>
      <c r="G403">
        <v>55198.332999999999</v>
      </c>
      <c r="H403">
        <v>47112.272999999994</v>
      </c>
      <c r="I403">
        <v>55198.332999999999</v>
      </c>
      <c r="J403">
        <v>48703.332999999999</v>
      </c>
      <c r="K403">
        <v>48703.332999999999</v>
      </c>
      <c r="L403">
        <v>48703.332999999999</v>
      </c>
      <c r="M403">
        <v>48703.332999999999</v>
      </c>
      <c r="N403">
        <v>48703.332999999999</v>
      </c>
      <c r="O403">
        <v>48706.332999999999</v>
      </c>
      <c r="P403">
        <v>2214.61</v>
      </c>
      <c r="Q403">
        <v>4849.9399999999996</v>
      </c>
      <c r="R403">
        <v>867.14</v>
      </c>
      <c r="S403">
        <v>0</v>
      </c>
      <c r="T403">
        <v>-8087.0399999999991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f>SUMPRODUCT(DB_HighSOF[[#This Row],[Plan01]:[Plan12]],$D$4:$O$4)/valUnits2</f>
        <v>331.034648</v>
      </c>
      <c r="AC403">
        <f>SUMPRODUCT(DB_HighSOF[[#This Row],[Act01]:[Act12]],$P$4:$AA$4)/valUnits2</f>
        <v>-0.15534999999999946</v>
      </c>
      <c r="AD403">
        <f>DB_HighSOF[[#This Row],[Actual]]-DB_HighSOF[[#This Row],[Plan]]</f>
        <v>-331.189998</v>
      </c>
      <c r="AE403">
        <f>IF(DB_HighSOF[[#This Row],[Plan]]&lt;&gt;0,DB_HighSOF[[#This Row],[Actual]]/DB_HighSOF[[#This Row],[Plan]],1.000011000011)</f>
        <v>-4.6928622408129152E-4</v>
      </c>
    </row>
    <row r="404" spans="1:31" hidden="1" x14ac:dyDescent="0.2">
      <c r="A404">
        <f>SUBTOTAL(3,$B$6:B404)</f>
        <v>111</v>
      </c>
      <c r="B404" t="s">
        <v>343</v>
      </c>
      <c r="C404" t="s">
        <v>883</v>
      </c>
      <c r="D404">
        <v>3945.6210000000001</v>
      </c>
      <c r="E404">
        <v>3139.0209999999997</v>
      </c>
      <c r="F404">
        <v>31243.805</v>
      </c>
      <c r="G404">
        <v>3524.4970000000003</v>
      </c>
      <c r="H404">
        <v>4479.3770000000004</v>
      </c>
      <c r="I404">
        <v>160033.67899999997</v>
      </c>
      <c r="J404">
        <v>20603.374</v>
      </c>
      <c r="K404">
        <v>155463.17599999995</v>
      </c>
      <c r="L404">
        <v>21731.730000000003</v>
      </c>
      <c r="M404">
        <v>158944.774</v>
      </c>
      <c r="N404">
        <v>23220.115000000002</v>
      </c>
      <c r="O404">
        <v>148760.23300000001</v>
      </c>
      <c r="P404">
        <v>3976.6700000000005</v>
      </c>
      <c r="Q404">
        <v>3221.4100000000003</v>
      </c>
      <c r="R404">
        <v>31074.83</v>
      </c>
      <c r="S404">
        <v>3492.920000000001</v>
      </c>
      <c r="T404">
        <v>4464.74</v>
      </c>
      <c r="U404">
        <v>1745.98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f>SUMPRODUCT(DB_HighSOF[[#This Row],[Plan01]:[Plan12]],$D$4:$O$4)/valUnits2</f>
        <v>206.36599999999996</v>
      </c>
      <c r="AC404">
        <f>SUMPRODUCT(DB_HighSOF[[#This Row],[Act01]:[Act12]],$P$4:$AA$4)/valUnits2</f>
        <v>47.976550000000003</v>
      </c>
      <c r="AD404">
        <f>DB_HighSOF[[#This Row],[Actual]]-DB_HighSOF[[#This Row],[Plan]]</f>
        <v>-158.38944999999995</v>
      </c>
      <c r="AE404">
        <f>IF(DB_HighSOF[[#This Row],[Plan]]&lt;&gt;0,DB_HighSOF[[#This Row],[Actual]]/DB_HighSOF[[#This Row],[Plan]],1.000011000011)</f>
        <v>0.23248282178265806</v>
      </c>
    </row>
    <row r="405" spans="1:31" x14ac:dyDescent="0.2">
      <c r="A405">
        <f>SUBTOTAL(3,$B$6:B405)</f>
        <v>112</v>
      </c>
      <c r="B405" t="s">
        <v>1</v>
      </c>
      <c r="C405" t="s">
        <v>368</v>
      </c>
      <c r="D405">
        <v>77114.490000000005</v>
      </c>
      <c r="E405">
        <v>9915.7400000000016</v>
      </c>
      <c r="F405">
        <v>56368.61</v>
      </c>
      <c r="G405">
        <v>123240.2</v>
      </c>
      <c r="H405">
        <v>521323.87799999997</v>
      </c>
      <c r="I405">
        <v>472017.728</v>
      </c>
      <c r="J405">
        <v>473285.728</v>
      </c>
      <c r="K405">
        <v>474317.728</v>
      </c>
      <c r="L405">
        <v>474317.728</v>
      </c>
      <c r="M405">
        <v>364174.90700000001</v>
      </c>
      <c r="N405">
        <v>420784.728</v>
      </c>
      <c r="P405">
        <v>77114.489999999991</v>
      </c>
      <c r="Q405">
        <v>9915.7400000000016</v>
      </c>
      <c r="R405">
        <v>56368.609999999986</v>
      </c>
      <c r="S405">
        <v>123240.2</v>
      </c>
      <c r="T405">
        <v>48326.490000000005</v>
      </c>
      <c r="U405">
        <v>72898.590000000011</v>
      </c>
      <c r="V405">
        <v>1993.2</v>
      </c>
      <c r="W405">
        <v>0</v>
      </c>
      <c r="X405">
        <v>0</v>
      </c>
      <c r="Y405">
        <v>0</v>
      </c>
      <c r="Z405">
        <v>0</v>
      </c>
      <c r="AB405">
        <f>SUMPRODUCT(DB_HighSOF[[#This Row],[Plan01]:[Plan12]],$D$4:$O$4)/valUnits2</f>
        <v>1259.9806460000002</v>
      </c>
      <c r="AC405">
        <f>SUMPRODUCT(DB_HighSOF[[#This Row],[Act01]:[Act12]],$P$4:$AA$4)/valUnits2</f>
        <v>387.86412000000001</v>
      </c>
      <c r="AD405">
        <f>DB_HighSOF[[#This Row],[Actual]]-DB_HighSOF[[#This Row],[Plan]]</f>
        <v>-872.11652600000025</v>
      </c>
      <c r="AE405">
        <f>IF(DB_HighSOF[[#This Row],[Plan]]&lt;&gt;0,DB_HighSOF[[#This Row],[Actual]]/DB_HighSOF[[#This Row],[Plan]],1.000011000011)</f>
        <v>0.30783339508534002</v>
      </c>
    </row>
    <row r="406" spans="1:31" hidden="1" x14ac:dyDescent="0.2">
      <c r="A406">
        <f>SUBTOTAL(3,$B$6:B406)</f>
        <v>112</v>
      </c>
      <c r="B406" t="s">
        <v>343</v>
      </c>
      <c r="C406" t="s">
        <v>368</v>
      </c>
      <c r="D406">
        <v>76955.98000000001</v>
      </c>
      <c r="E406">
        <v>9915.7400000000016</v>
      </c>
      <c r="F406">
        <v>56368.61</v>
      </c>
      <c r="G406">
        <v>112902.03</v>
      </c>
      <c r="H406">
        <v>462306.44799999997</v>
      </c>
      <c r="I406">
        <v>435920.88799999998</v>
      </c>
      <c r="J406">
        <v>437188.88799999998</v>
      </c>
      <c r="K406">
        <v>438220.88799999998</v>
      </c>
      <c r="L406">
        <v>438220.88799999998</v>
      </c>
      <c r="M406">
        <v>328078.06699999998</v>
      </c>
      <c r="N406">
        <v>384687.88799999998</v>
      </c>
      <c r="P406">
        <v>76955.98</v>
      </c>
      <c r="Q406">
        <v>9915.7400000000016</v>
      </c>
      <c r="R406">
        <v>56368.609999999986</v>
      </c>
      <c r="S406">
        <v>112902.03</v>
      </c>
      <c r="T406">
        <v>25385.560000000005</v>
      </c>
      <c r="U406">
        <v>57654.140000000014</v>
      </c>
      <c r="V406">
        <v>1993.2</v>
      </c>
      <c r="W406">
        <v>0</v>
      </c>
      <c r="X406">
        <v>0</v>
      </c>
      <c r="Y406">
        <v>0</v>
      </c>
      <c r="Z406">
        <v>0</v>
      </c>
      <c r="AB406" s="34">
        <f>SUMPRODUCT(DB_HighSOF[[#This Row],[Plan01]:[Plan12]],$D$4:$O$4)/valUnits2</f>
        <v>1154.369696</v>
      </c>
      <c r="AC406" s="34">
        <f>SUMPRODUCT(DB_HighSOF[[#This Row],[Act01]:[Act12]],$P$4:$AA$4)/valUnits2</f>
        <v>339.18205999999998</v>
      </c>
      <c r="AD406" s="34">
        <f>DB_HighSOF[[#This Row],[Actual]]-DB_HighSOF[[#This Row],[Plan]]</f>
        <v>-815.187636</v>
      </c>
      <c r="AE406" s="34">
        <f>IF(DB_HighSOF[[#This Row],[Plan]]&lt;&gt;0,DB_HighSOF[[#This Row],[Actual]]/DB_HighSOF[[#This Row],[Plan]],1.000011000011)</f>
        <v>0.293824466438523</v>
      </c>
    </row>
    <row r="407" spans="1:31" hidden="1" x14ac:dyDescent="0.2">
      <c r="A407">
        <f>SUBTOTAL(3,$B$6:B407)</f>
        <v>112</v>
      </c>
      <c r="B407" t="s">
        <v>343</v>
      </c>
      <c r="C407" t="s">
        <v>911</v>
      </c>
      <c r="D407">
        <v>109309.92</v>
      </c>
      <c r="E407">
        <v>392794.84900000005</v>
      </c>
      <c r="F407">
        <v>367754.52800000005</v>
      </c>
      <c r="G407">
        <v>449800.17299999995</v>
      </c>
      <c r="H407">
        <v>398372.77300000004</v>
      </c>
      <c r="I407">
        <v>288365.37300000002</v>
      </c>
      <c r="J407">
        <v>261773.02299999999</v>
      </c>
      <c r="K407">
        <v>276729.12300000002</v>
      </c>
      <c r="L407">
        <v>265285.82299999997</v>
      </c>
      <c r="M407">
        <v>268199.87300000002</v>
      </c>
      <c r="P407">
        <v>14203.989999999998</v>
      </c>
      <c r="Q407">
        <v>220825.25999999995</v>
      </c>
      <c r="R407">
        <v>185700.18999999997</v>
      </c>
      <c r="S407">
        <v>161434.79999999996</v>
      </c>
      <c r="T407">
        <v>136827.52000000002</v>
      </c>
      <c r="U407">
        <v>78427.420000000013</v>
      </c>
      <c r="V407">
        <v>11046.51</v>
      </c>
      <c r="W407">
        <v>0</v>
      </c>
      <c r="X407">
        <v>0</v>
      </c>
      <c r="Y407">
        <v>0</v>
      </c>
      <c r="AB407" s="34">
        <f>SUMPRODUCT(DB_HighSOF[[#This Row],[Plan01]:[Plan12]],$D$4:$O$4)/valUnits2</f>
        <v>2006.397616</v>
      </c>
      <c r="AC407" s="34">
        <f>SUMPRODUCT(DB_HighSOF[[#This Row],[Act01]:[Act12]],$P$4:$AA$4)/valUnits2</f>
        <v>797.41917999999998</v>
      </c>
      <c r="AD407" s="34">
        <f>DB_HighSOF[[#This Row],[Actual]]-DB_HighSOF[[#This Row],[Plan]]</f>
        <v>-1208.9784359999999</v>
      </c>
      <c r="AE407" s="34">
        <f>IF(DB_HighSOF[[#This Row],[Plan]]&lt;&gt;0,DB_HighSOF[[#This Row],[Actual]]/DB_HighSOF[[#This Row],[Plan]],1.000011000011)</f>
        <v>0.39743826131021481</v>
      </c>
    </row>
    <row r="408" spans="1:31" x14ac:dyDescent="0.2">
      <c r="A408">
        <f>SUBTOTAL(3,$B$6:B408)</f>
        <v>113</v>
      </c>
      <c r="B408" t="s">
        <v>1</v>
      </c>
      <c r="C408" t="s">
        <v>934</v>
      </c>
      <c r="D408">
        <v>0</v>
      </c>
      <c r="E408">
        <v>0</v>
      </c>
      <c r="F408">
        <v>0</v>
      </c>
      <c r="G408">
        <v>1605695.61</v>
      </c>
      <c r="H408">
        <v>0</v>
      </c>
      <c r="I408">
        <v>1491983.7069999999</v>
      </c>
      <c r="J408">
        <v>0</v>
      </c>
      <c r="K408">
        <v>0</v>
      </c>
      <c r="L408">
        <v>1491983.7069999999</v>
      </c>
      <c r="M408">
        <v>0</v>
      </c>
      <c r="N408">
        <v>0</v>
      </c>
      <c r="O408">
        <v>1478955.7069999999</v>
      </c>
      <c r="P408">
        <v>0</v>
      </c>
      <c r="Q408">
        <v>0</v>
      </c>
      <c r="R408">
        <v>0</v>
      </c>
      <c r="S408">
        <v>1605695.61</v>
      </c>
      <c r="T408">
        <v>0</v>
      </c>
      <c r="U408">
        <v>572741.81999999995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s="34">
        <f>SUMPRODUCT(DB_HighSOF[[#This Row],[Plan01]:[Plan12]],$D$4:$O$4)/valUnits2</f>
        <v>3097.6793169999996</v>
      </c>
      <c r="AC408" s="34">
        <f>SUMPRODUCT(DB_HighSOF[[#This Row],[Act01]:[Act12]],$P$4:$AA$4)/valUnits2</f>
        <v>2178.4374299999999</v>
      </c>
      <c r="AD408" s="34">
        <f>DB_HighSOF[[#This Row],[Actual]]-DB_HighSOF[[#This Row],[Plan]]</f>
        <v>-919.24188699999968</v>
      </c>
      <c r="AE408" s="34">
        <f>IF(DB_HighSOF[[#This Row],[Plan]]&lt;&gt;0,DB_HighSOF[[#This Row],[Actual]]/DB_HighSOF[[#This Row],[Plan]],1.000011000011)</f>
        <v>0.70324820843938907</v>
      </c>
    </row>
    <row r="409" spans="1:31" x14ac:dyDescent="0.2">
      <c r="A409">
        <f>SUBTOTAL(3,$B$6:B409)</f>
        <v>114</v>
      </c>
      <c r="B409" t="s">
        <v>1</v>
      </c>
      <c r="C409" t="s">
        <v>911</v>
      </c>
      <c r="D409">
        <v>118193.06600000001</v>
      </c>
      <c r="E409">
        <v>411702.57400000008</v>
      </c>
      <c r="F409">
        <v>385031.25300000003</v>
      </c>
      <c r="G409">
        <v>481731.54799999989</v>
      </c>
      <c r="H409">
        <v>415563.20800000004</v>
      </c>
      <c r="I409">
        <v>293595.24800000002</v>
      </c>
      <c r="J409">
        <v>267002.89799999999</v>
      </c>
      <c r="K409">
        <v>281958.99800000002</v>
      </c>
      <c r="L409">
        <v>270579.59299999999</v>
      </c>
      <c r="M409">
        <v>273429.74800000002</v>
      </c>
      <c r="P409">
        <v>18663.329999999998</v>
      </c>
      <c r="Q409">
        <v>231811.71999999994</v>
      </c>
      <c r="R409">
        <v>197747.03999999998</v>
      </c>
      <c r="S409">
        <v>188136.3</v>
      </c>
      <c r="T409">
        <v>148800.26000000004</v>
      </c>
      <c r="U409">
        <v>89118.040000000008</v>
      </c>
      <c r="V409">
        <v>11046.51</v>
      </c>
      <c r="W409">
        <v>0</v>
      </c>
      <c r="X409">
        <v>0</v>
      </c>
      <c r="Y409">
        <v>0</v>
      </c>
      <c r="AB409">
        <f>SUMPRODUCT(DB_HighSOF[[#This Row],[Plan01]:[Plan12]],$D$4:$O$4)/valUnits2</f>
        <v>2105.8168970000002</v>
      </c>
      <c r="AC409">
        <f>SUMPRODUCT(DB_HighSOF[[#This Row],[Act01]:[Act12]],$P$4:$AA$4)/valUnits2</f>
        <v>874.27668999999992</v>
      </c>
      <c r="AD409">
        <f>DB_HighSOF[[#This Row],[Actual]]-DB_HighSOF[[#This Row],[Plan]]</f>
        <v>-1231.5402070000002</v>
      </c>
      <c r="AE409">
        <f>IF(DB_HighSOF[[#This Row],[Plan]]&lt;&gt;0,DB_HighSOF[[#This Row],[Actual]]/DB_HighSOF[[#This Row],[Plan]],1.000011000011)</f>
        <v>0.41517222662878073</v>
      </c>
    </row>
    <row r="410" spans="1:31" hidden="1" x14ac:dyDescent="0.2">
      <c r="A410">
        <f>SUBTOTAL(3,$B$6:B410)</f>
        <v>114</v>
      </c>
      <c r="B410" t="s">
        <v>344</v>
      </c>
      <c r="C410" t="s">
        <v>934</v>
      </c>
      <c r="D410">
        <v>0</v>
      </c>
      <c r="E410">
        <v>0</v>
      </c>
      <c r="F410">
        <v>0</v>
      </c>
      <c r="G410">
        <v>1605695.61</v>
      </c>
      <c r="H410">
        <v>0</v>
      </c>
      <c r="I410">
        <v>1491983.7069999999</v>
      </c>
      <c r="J410">
        <v>0</v>
      </c>
      <c r="K410">
        <v>0</v>
      </c>
      <c r="L410">
        <v>1491983.7069999999</v>
      </c>
      <c r="M410">
        <v>0</v>
      </c>
      <c r="N410">
        <v>0</v>
      </c>
      <c r="O410">
        <v>1478955.7069999999</v>
      </c>
      <c r="P410">
        <v>0</v>
      </c>
      <c r="Q410">
        <v>0</v>
      </c>
      <c r="R410">
        <v>0</v>
      </c>
      <c r="S410">
        <v>1605695.61</v>
      </c>
      <c r="T410">
        <v>0</v>
      </c>
      <c r="U410">
        <v>572741.81999999995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s="34">
        <f>SUMPRODUCT(DB_HighSOF[[#This Row],[Plan01]:[Plan12]],$D$4:$O$4)/valUnits2</f>
        <v>3097.6793169999996</v>
      </c>
      <c r="AC410" s="34">
        <f>SUMPRODUCT(DB_HighSOF[[#This Row],[Act01]:[Act12]],$P$4:$AA$4)/valUnits2</f>
        <v>2178.4374299999999</v>
      </c>
      <c r="AD410" s="34">
        <f>DB_HighSOF[[#This Row],[Actual]]-DB_HighSOF[[#This Row],[Plan]]</f>
        <v>-919.24188699999968</v>
      </c>
      <c r="AE410" s="34">
        <f>IF(DB_HighSOF[[#This Row],[Plan]]&lt;&gt;0,DB_HighSOF[[#This Row],[Actual]]/DB_HighSOF[[#This Row],[Plan]],1.000011000011)</f>
        <v>0.70324820843938907</v>
      </c>
    </row>
    <row r="411" spans="1:31" x14ac:dyDescent="0.2">
      <c r="A411">
        <f>SUBTOTAL(3,$B$6:B411)</f>
        <v>114</v>
      </c>
    </row>
    <row r="412" spans="1:31" x14ac:dyDescent="0.2">
      <c r="A412">
        <f>SUBTOTAL(3,$B$6:B412)</f>
        <v>114</v>
      </c>
    </row>
    <row r="413" spans="1:31" x14ac:dyDescent="0.2">
      <c r="A413">
        <f>SUBTOTAL(3,$B$6:B413)</f>
        <v>114</v>
      </c>
    </row>
    <row r="414" spans="1:31" x14ac:dyDescent="0.2">
      <c r="A414">
        <f>SUBTOTAL(3,$B$6:B414)</f>
        <v>114</v>
      </c>
    </row>
    <row r="415" spans="1:31" x14ac:dyDescent="0.2">
      <c r="A415">
        <f>SUBTOTAL(3,$B$6:B415)</f>
        <v>114</v>
      </c>
    </row>
    <row r="416" spans="1:31" x14ac:dyDescent="0.2">
      <c r="A416">
        <f>SUBTOTAL(3,$B$6:B416)</f>
        <v>114</v>
      </c>
    </row>
    <row r="417" spans="1:1" x14ac:dyDescent="0.2">
      <c r="A417">
        <f>SUBTOTAL(3,$B$6:B417)</f>
        <v>114</v>
      </c>
    </row>
    <row r="418" spans="1:1" x14ac:dyDescent="0.2">
      <c r="A418">
        <f>SUBTOTAL(3,$B$6:B418)</f>
        <v>114</v>
      </c>
    </row>
    <row r="419" spans="1:1" x14ac:dyDescent="0.2">
      <c r="A419">
        <f>SUBTOTAL(3,$B$6:B419)</f>
        <v>114</v>
      </c>
    </row>
    <row r="420" spans="1:1" x14ac:dyDescent="0.2">
      <c r="A420">
        <f>SUBTOTAL(3,$B$6:B420)</f>
        <v>114</v>
      </c>
    </row>
    <row r="421" spans="1:1" x14ac:dyDescent="0.2">
      <c r="A421">
        <f>SUBTOTAL(3,$B$6:B421)</f>
        <v>114</v>
      </c>
    </row>
    <row r="422" spans="1:1" x14ac:dyDescent="0.2">
      <c r="A422">
        <f>SUBTOTAL(3,$B$6:B422)</f>
        <v>114</v>
      </c>
    </row>
    <row r="423" spans="1:1" x14ac:dyDescent="0.2">
      <c r="A423">
        <f>SUBTOTAL(3,$B$6:B423)</f>
        <v>114</v>
      </c>
    </row>
    <row r="424" spans="1:1" x14ac:dyDescent="0.2">
      <c r="A424">
        <f>SUBTOTAL(3,$B$6:B424)</f>
        <v>114</v>
      </c>
    </row>
    <row r="425" spans="1:1" x14ac:dyDescent="0.2">
      <c r="A425">
        <f>SUBTOTAL(3,$B$6:B425)</f>
        <v>114</v>
      </c>
    </row>
    <row r="426" spans="1:1" x14ac:dyDescent="0.2">
      <c r="A426">
        <f>SUBTOTAL(3,$B$6:B426)</f>
        <v>114</v>
      </c>
    </row>
    <row r="427" spans="1:1" x14ac:dyDescent="0.2">
      <c r="A427">
        <f>SUBTOTAL(3,$B$6:B427)</f>
        <v>114</v>
      </c>
    </row>
    <row r="428" spans="1:1" x14ac:dyDescent="0.2">
      <c r="A428">
        <f>SUBTOTAL(3,$B$6:B428)</f>
        <v>114</v>
      </c>
    </row>
    <row r="429" spans="1:1" x14ac:dyDescent="0.2">
      <c r="A429">
        <f>SUBTOTAL(3,$B$6:B429)</f>
        <v>114</v>
      </c>
    </row>
    <row r="430" spans="1:1" x14ac:dyDescent="0.2">
      <c r="A430">
        <f>SUBTOTAL(3,$B$6:B430)</f>
        <v>114</v>
      </c>
    </row>
    <row r="431" spans="1:1" x14ac:dyDescent="0.2">
      <c r="A431">
        <f>SUBTOTAL(3,$B$6:B431)</f>
        <v>114</v>
      </c>
    </row>
    <row r="432" spans="1:1" x14ac:dyDescent="0.2">
      <c r="A432">
        <f>SUBTOTAL(3,$B$6:B432)</f>
        <v>114</v>
      </c>
    </row>
    <row r="433" spans="1:1" x14ac:dyDescent="0.2">
      <c r="A433">
        <f>SUBTOTAL(3,$B$6:B433)</f>
        <v>114</v>
      </c>
    </row>
    <row r="434" spans="1:1" x14ac:dyDescent="0.2">
      <c r="A434">
        <f>SUBTOTAL(3,$B$6:B434)</f>
        <v>114</v>
      </c>
    </row>
    <row r="435" spans="1:1" x14ac:dyDescent="0.2">
      <c r="A435">
        <f>SUBTOTAL(3,$B$6:B435)</f>
        <v>114</v>
      </c>
    </row>
    <row r="436" spans="1:1" x14ac:dyDescent="0.2">
      <c r="A436">
        <f>SUBTOTAL(3,$B$6:B436)</f>
        <v>114</v>
      </c>
    </row>
    <row r="437" spans="1:1" x14ac:dyDescent="0.2">
      <c r="A437">
        <f>SUBTOTAL(3,$B$6:B437)</f>
        <v>114</v>
      </c>
    </row>
    <row r="438" spans="1:1" x14ac:dyDescent="0.2">
      <c r="A438">
        <f>SUBTOTAL(3,$B$6:B438)</f>
        <v>114</v>
      </c>
    </row>
    <row r="439" spans="1:1" x14ac:dyDescent="0.2">
      <c r="A439">
        <f>SUBTOTAL(3,$B$6:B439)</f>
        <v>114</v>
      </c>
    </row>
    <row r="440" spans="1:1" x14ac:dyDescent="0.2">
      <c r="A440">
        <f>SUBTOTAL(3,$B$6:B440)</f>
        <v>114</v>
      </c>
    </row>
    <row r="441" spans="1:1" x14ac:dyDescent="0.2">
      <c r="A441">
        <f>SUBTOTAL(3,$B$6:B441)</f>
        <v>114</v>
      </c>
    </row>
    <row r="442" spans="1:1" x14ac:dyDescent="0.2">
      <c r="A442">
        <f>SUBTOTAL(3,$B$6:B442)</f>
        <v>114</v>
      </c>
    </row>
    <row r="443" spans="1:1" x14ac:dyDescent="0.2">
      <c r="A443">
        <f>SUBTOTAL(3,$B$6:B443)</f>
        <v>114</v>
      </c>
    </row>
    <row r="444" spans="1:1" x14ac:dyDescent="0.2">
      <c r="A444">
        <f>SUBTOTAL(3,$B$6:B444)</f>
        <v>114</v>
      </c>
    </row>
    <row r="445" spans="1:1" x14ac:dyDescent="0.2">
      <c r="A445">
        <f>SUBTOTAL(3,$B$6:B445)</f>
        <v>114</v>
      </c>
    </row>
    <row r="446" spans="1:1" x14ac:dyDescent="0.2">
      <c r="A446">
        <f>SUBTOTAL(3,$B$6:B446)</f>
        <v>114</v>
      </c>
    </row>
    <row r="447" spans="1:1" x14ac:dyDescent="0.2">
      <c r="A447">
        <f>SUBTOTAL(3,$B$6:B447)</f>
        <v>114</v>
      </c>
    </row>
    <row r="448" spans="1:1" x14ac:dyDescent="0.2">
      <c r="A448">
        <f>SUBTOTAL(3,$B$6:B448)</f>
        <v>114</v>
      </c>
    </row>
    <row r="449" spans="1:1" x14ac:dyDescent="0.2">
      <c r="A449">
        <f>SUBTOTAL(3,$B$6:B449)</f>
        <v>114</v>
      </c>
    </row>
    <row r="450" spans="1:1" x14ac:dyDescent="0.2">
      <c r="A450">
        <f>SUBTOTAL(3,$B$6:B450)</f>
        <v>114</v>
      </c>
    </row>
    <row r="451" spans="1:1" x14ac:dyDescent="0.2">
      <c r="A451">
        <f>SUBTOTAL(3,$B$6:B451)</f>
        <v>114</v>
      </c>
    </row>
    <row r="452" spans="1:1" x14ac:dyDescent="0.2">
      <c r="A452">
        <f>SUBTOTAL(3,$B$6:B452)</f>
        <v>114</v>
      </c>
    </row>
    <row r="453" spans="1:1" x14ac:dyDescent="0.2">
      <c r="A453">
        <f>SUBTOTAL(3,$B$6:B453)</f>
        <v>114</v>
      </c>
    </row>
    <row r="454" spans="1:1" x14ac:dyDescent="0.2">
      <c r="A454">
        <f>SUBTOTAL(3,$B$6:B454)</f>
        <v>114</v>
      </c>
    </row>
    <row r="455" spans="1:1" x14ac:dyDescent="0.2">
      <c r="A455">
        <f>SUBTOTAL(3,$B$6:B455)</f>
        <v>114</v>
      </c>
    </row>
    <row r="456" spans="1:1" x14ac:dyDescent="0.2">
      <c r="A456">
        <f>SUBTOTAL(3,$B$6:B456)</f>
        <v>114</v>
      </c>
    </row>
    <row r="457" spans="1:1" x14ac:dyDescent="0.2">
      <c r="A457">
        <f>SUBTOTAL(3,$B$6:B457)</f>
        <v>114</v>
      </c>
    </row>
    <row r="458" spans="1:1" x14ac:dyDescent="0.2">
      <c r="A458">
        <f>SUBTOTAL(3,$B$6:B458)</f>
        <v>114</v>
      </c>
    </row>
    <row r="459" spans="1:1" x14ac:dyDescent="0.2">
      <c r="A459">
        <f>SUBTOTAL(3,$B$6:B459)</f>
        <v>114</v>
      </c>
    </row>
    <row r="460" spans="1:1" x14ac:dyDescent="0.2">
      <c r="A460">
        <f>SUBTOTAL(3,$B$6:B460)</f>
        <v>114</v>
      </c>
    </row>
    <row r="461" spans="1:1" x14ac:dyDescent="0.2">
      <c r="A461">
        <f>SUBTOTAL(3,$B$6:B461)</f>
        <v>114</v>
      </c>
    </row>
    <row r="462" spans="1:1" x14ac:dyDescent="0.2">
      <c r="A462">
        <f>SUBTOTAL(3,$B$6:B462)</f>
        <v>114</v>
      </c>
    </row>
    <row r="463" spans="1:1" x14ac:dyDescent="0.2">
      <c r="A463">
        <f>SUBTOTAL(3,$B$6:B463)</f>
        <v>114</v>
      </c>
    </row>
    <row r="464" spans="1:1" x14ac:dyDescent="0.2">
      <c r="A464">
        <f>SUBTOTAL(3,$B$6:B464)</f>
        <v>114</v>
      </c>
    </row>
    <row r="465" spans="1:1" x14ac:dyDescent="0.2">
      <c r="A465">
        <f>SUBTOTAL(3,$B$6:B465)</f>
        <v>114</v>
      </c>
    </row>
    <row r="466" spans="1:1" x14ac:dyDescent="0.2">
      <c r="A466">
        <f>SUBTOTAL(3,$B$6:B466)</f>
        <v>114</v>
      </c>
    </row>
    <row r="467" spans="1:1" x14ac:dyDescent="0.2">
      <c r="A467">
        <f>SUBTOTAL(3,$B$6:B467)</f>
        <v>114</v>
      </c>
    </row>
    <row r="468" spans="1:1" x14ac:dyDescent="0.2">
      <c r="A468">
        <f>SUBTOTAL(3,$B$6:B468)</f>
        <v>114</v>
      </c>
    </row>
    <row r="469" spans="1:1" x14ac:dyDescent="0.2">
      <c r="A469">
        <f>SUBTOTAL(3,$B$6:B469)</f>
        <v>114</v>
      </c>
    </row>
    <row r="470" spans="1:1" x14ac:dyDescent="0.2">
      <c r="A470">
        <f>SUBTOTAL(3,$B$6:B470)</f>
        <v>114</v>
      </c>
    </row>
    <row r="471" spans="1:1" x14ac:dyDescent="0.2">
      <c r="A471">
        <f>SUBTOTAL(3,$B$6:B471)</f>
        <v>114</v>
      </c>
    </row>
    <row r="472" spans="1:1" x14ac:dyDescent="0.2">
      <c r="A472">
        <f>SUBTOTAL(3,$B$6:B472)</f>
        <v>114</v>
      </c>
    </row>
    <row r="473" spans="1:1" x14ac:dyDescent="0.2">
      <c r="A473">
        <f>SUBTOTAL(3,$B$6:B473)</f>
        <v>114</v>
      </c>
    </row>
    <row r="474" spans="1:1" x14ac:dyDescent="0.2">
      <c r="A474">
        <f>SUBTOTAL(3,$B$6:B474)</f>
        <v>114</v>
      </c>
    </row>
    <row r="475" spans="1:1" x14ac:dyDescent="0.2">
      <c r="A475">
        <f>SUBTOTAL(3,$B$6:B475)</f>
        <v>114</v>
      </c>
    </row>
    <row r="476" spans="1:1" x14ac:dyDescent="0.2">
      <c r="A476">
        <f>SUBTOTAL(3,$B$6:B476)</f>
        <v>114</v>
      </c>
    </row>
    <row r="477" spans="1:1" x14ac:dyDescent="0.2">
      <c r="A477">
        <f>SUBTOTAL(3,$B$6:B477)</f>
        <v>114</v>
      </c>
    </row>
    <row r="478" spans="1:1" x14ac:dyDescent="0.2">
      <c r="A478">
        <f>SUBTOTAL(3,$B$6:B478)</f>
        <v>114</v>
      </c>
    </row>
    <row r="479" spans="1:1" x14ac:dyDescent="0.2">
      <c r="A479">
        <f>SUBTOTAL(3,$B$6:B479)</f>
        <v>114</v>
      </c>
    </row>
    <row r="480" spans="1:1" x14ac:dyDescent="0.2">
      <c r="A480">
        <f>SUBTOTAL(3,$B$6:B480)</f>
        <v>114</v>
      </c>
    </row>
    <row r="481" spans="1:1" x14ac:dyDescent="0.2">
      <c r="A481">
        <f>SUBTOTAL(3,$B$6:B481)</f>
        <v>114</v>
      </c>
    </row>
    <row r="482" spans="1:1" x14ac:dyDescent="0.2">
      <c r="A482">
        <f>SUBTOTAL(3,$B$6:B482)</f>
        <v>114</v>
      </c>
    </row>
    <row r="483" spans="1:1" x14ac:dyDescent="0.2">
      <c r="A483">
        <f>SUBTOTAL(3,$B$6:B483)</f>
        <v>114</v>
      </c>
    </row>
    <row r="484" spans="1:1" x14ac:dyDescent="0.2">
      <c r="A484">
        <f>SUBTOTAL(3,$B$6:B484)</f>
        <v>114</v>
      </c>
    </row>
    <row r="485" spans="1:1" x14ac:dyDescent="0.2">
      <c r="A485">
        <f>SUBTOTAL(3,$B$6:B485)</f>
        <v>114</v>
      </c>
    </row>
    <row r="486" spans="1:1" x14ac:dyDescent="0.2">
      <c r="A486">
        <f>SUBTOTAL(3,$B$6:B486)</f>
        <v>114</v>
      </c>
    </row>
    <row r="487" spans="1:1" x14ac:dyDescent="0.2">
      <c r="A487">
        <f>SUBTOTAL(3,$B$6:B487)</f>
        <v>114</v>
      </c>
    </row>
    <row r="488" spans="1:1" x14ac:dyDescent="0.2">
      <c r="A488">
        <f>SUBTOTAL(3,$B$6:B488)</f>
        <v>114</v>
      </c>
    </row>
    <row r="489" spans="1:1" x14ac:dyDescent="0.2">
      <c r="A489">
        <f>SUBTOTAL(3,$B$6:B489)</f>
        <v>114</v>
      </c>
    </row>
    <row r="490" spans="1:1" x14ac:dyDescent="0.2">
      <c r="A490">
        <f>SUBTOTAL(3,$B$6:B490)</f>
        <v>114</v>
      </c>
    </row>
    <row r="491" spans="1:1" x14ac:dyDescent="0.2">
      <c r="A491">
        <f>SUBTOTAL(3,$B$6:B491)</f>
        <v>114</v>
      </c>
    </row>
    <row r="492" spans="1:1" x14ac:dyDescent="0.2">
      <c r="A492">
        <f>SUBTOTAL(3,$B$6:B492)</f>
        <v>114</v>
      </c>
    </row>
    <row r="493" spans="1:1" x14ac:dyDescent="0.2">
      <c r="A493">
        <f>SUBTOTAL(3,$B$6:B493)</f>
        <v>114</v>
      </c>
    </row>
    <row r="494" spans="1:1" x14ac:dyDescent="0.2">
      <c r="A494">
        <f>SUBTOTAL(3,$B$6:B494)</f>
        <v>114</v>
      </c>
    </row>
    <row r="495" spans="1:1" x14ac:dyDescent="0.2">
      <c r="A495">
        <f>SUBTOTAL(3,$B$6:B495)</f>
        <v>114</v>
      </c>
    </row>
    <row r="496" spans="1:1" x14ac:dyDescent="0.2">
      <c r="A496">
        <f>SUBTOTAL(3,$B$6:B496)</f>
        <v>114</v>
      </c>
    </row>
    <row r="497" spans="1:1" x14ac:dyDescent="0.2">
      <c r="A497">
        <f>SUBTOTAL(3,$B$6:B497)</f>
        <v>114</v>
      </c>
    </row>
    <row r="498" spans="1:1" x14ac:dyDescent="0.2">
      <c r="A498">
        <f>SUBTOTAL(3,$B$6:B498)</f>
        <v>114</v>
      </c>
    </row>
    <row r="499" spans="1:1" x14ac:dyDescent="0.2">
      <c r="A499">
        <f>SUBTOTAL(3,$B$6:B499)</f>
        <v>114</v>
      </c>
    </row>
    <row r="500" spans="1:1" x14ac:dyDescent="0.2">
      <c r="A500">
        <f>SUBTOTAL(3,$B$6:B500)</f>
        <v>114</v>
      </c>
    </row>
    <row r="501" spans="1:1" x14ac:dyDescent="0.2">
      <c r="A501">
        <f>SUBTOTAL(3,$B$6:B501)</f>
        <v>114</v>
      </c>
    </row>
    <row r="502" spans="1:1" x14ac:dyDescent="0.2">
      <c r="A502">
        <f>SUBTOTAL(3,$B$6:B502)</f>
        <v>114</v>
      </c>
    </row>
    <row r="503" spans="1:1" x14ac:dyDescent="0.2">
      <c r="A503">
        <f>SUBTOTAL(3,$B$6:B503)</f>
        <v>114</v>
      </c>
    </row>
    <row r="504" spans="1:1" x14ac:dyDescent="0.2">
      <c r="A504">
        <f>SUBTOTAL(3,$B$6:B504)</f>
        <v>114</v>
      </c>
    </row>
    <row r="505" spans="1:1" x14ac:dyDescent="0.2">
      <c r="A505">
        <f>SUBTOTAL(3,$B$6:B505)</f>
        <v>114</v>
      </c>
    </row>
    <row r="506" spans="1:1" x14ac:dyDescent="0.2">
      <c r="A506">
        <f>SUBTOTAL(3,$B$6:B506)</f>
        <v>114</v>
      </c>
    </row>
    <row r="507" spans="1:1" x14ac:dyDescent="0.2">
      <c r="A507">
        <f>SUBTOTAL(3,$B$6:B507)</f>
        <v>114</v>
      </c>
    </row>
    <row r="508" spans="1:1" x14ac:dyDescent="0.2">
      <c r="A508">
        <f>SUBTOTAL(3,$B$6:B508)</f>
        <v>114</v>
      </c>
    </row>
    <row r="509" spans="1:1" x14ac:dyDescent="0.2">
      <c r="A509">
        <f>SUBTOTAL(3,$B$6:B509)</f>
        <v>114</v>
      </c>
    </row>
    <row r="510" spans="1:1" x14ac:dyDescent="0.2">
      <c r="A510">
        <f>SUBTOTAL(3,$B$6:B510)</f>
        <v>114</v>
      </c>
    </row>
    <row r="511" spans="1:1" x14ac:dyDescent="0.2">
      <c r="A511">
        <f>SUBTOTAL(3,$B$6:B511)</f>
        <v>114</v>
      </c>
    </row>
    <row r="512" spans="1:1" x14ac:dyDescent="0.2">
      <c r="A512">
        <f>SUBTOTAL(3,$B$6:B512)</f>
        <v>114</v>
      </c>
    </row>
    <row r="513" spans="1:1" x14ac:dyDescent="0.2">
      <c r="A513">
        <f>SUBTOTAL(3,$B$6:B513)</f>
        <v>114</v>
      </c>
    </row>
    <row r="514" spans="1:1" x14ac:dyDescent="0.2">
      <c r="A514">
        <f>SUBTOTAL(3,$B$6:B514)</f>
        <v>114</v>
      </c>
    </row>
    <row r="515" spans="1:1" x14ac:dyDescent="0.2">
      <c r="A515">
        <f>SUBTOTAL(3,$B$6:B515)</f>
        <v>114</v>
      </c>
    </row>
    <row r="516" spans="1:1" x14ac:dyDescent="0.2">
      <c r="A516">
        <f>SUBTOTAL(3,$B$6:B516)</f>
        <v>114</v>
      </c>
    </row>
    <row r="517" spans="1:1" x14ac:dyDescent="0.2">
      <c r="A517">
        <f>SUBTOTAL(3,$B$6:B517)</f>
        <v>114</v>
      </c>
    </row>
    <row r="518" spans="1:1" x14ac:dyDescent="0.2">
      <c r="A518">
        <f>SUBTOTAL(3,$B$6:B518)</f>
        <v>114</v>
      </c>
    </row>
    <row r="519" spans="1:1" x14ac:dyDescent="0.2">
      <c r="A519">
        <f>SUBTOTAL(3,$B$6:B519)</f>
        <v>114</v>
      </c>
    </row>
    <row r="520" spans="1:1" x14ac:dyDescent="0.2">
      <c r="A520">
        <f>SUBTOTAL(3,$B$6:B520)</f>
        <v>114</v>
      </c>
    </row>
    <row r="521" spans="1:1" x14ac:dyDescent="0.2">
      <c r="A521">
        <f>SUBTOTAL(3,$B$6:B521)</f>
        <v>114</v>
      </c>
    </row>
    <row r="522" spans="1:1" x14ac:dyDescent="0.2">
      <c r="A522">
        <f>SUBTOTAL(3,$B$6:B522)</f>
        <v>114</v>
      </c>
    </row>
    <row r="523" spans="1:1" x14ac:dyDescent="0.2">
      <c r="A523">
        <f>SUBTOTAL(3,$B$6:B523)</f>
        <v>114</v>
      </c>
    </row>
    <row r="524" spans="1:1" x14ac:dyDescent="0.2">
      <c r="A524">
        <f>SUBTOTAL(3,$B$6:B524)</f>
        <v>114</v>
      </c>
    </row>
    <row r="525" spans="1:1" x14ac:dyDescent="0.2">
      <c r="A525">
        <f>SUBTOTAL(3,$B$6:B525)</f>
        <v>114</v>
      </c>
    </row>
    <row r="526" spans="1:1" x14ac:dyDescent="0.2">
      <c r="A526">
        <f>SUBTOTAL(3,$B$6:B526)</f>
        <v>114</v>
      </c>
    </row>
    <row r="527" spans="1:1" x14ac:dyDescent="0.2">
      <c r="A527">
        <f>SUBTOTAL(3,$B$6:B527)</f>
        <v>114</v>
      </c>
    </row>
    <row r="528" spans="1:1" x14ac:dyDescent="0.2">
      <c r="A528">
        <f>SUBTOTAL(3,$B$6:B528)</f>
        <v>114</v>
      </c>
    </row>
    <row r="529" spans="1:1" x14ac:dyDescent="0.2">
      <c r="A529">
        <f>SUBTOTAL(3,$B$6:B529)</f>
        <v>114</v>
      </c>
    </row>
    <row r="530" spans="1:1" x14ac:dyDescent="0.2">
      <c r="A530">
        <f>SUBTOTAL(3,$B$6:B530)</f>
        <v>114</v>
      </c>
    </row>
    <row r="531" spans="1:1" x14ac:dyDescent="0.2">
      <c r="A531">
        <f>SUBTOTAL(3,$B$6:B531)</f>
        <v>114</v>
      </c>
    </row>
    <row r="532" spans="1:1" x14ac:dyDescent="0.2">
      <c r="A532">
        <f>SUBTOTAL(3,$B$6:B532)</f>
        <v>114</v>
      </c>
    </row>
    <row r="533" spans="1:1" x14ac:dyDescent="0.2">
      <c r="A533">
        <f>SUBTOTAL(3,$B$6:B533)</f>
        <v>114</v>
      </c>
    </row>
    <row r="534" spans="1:1" x14ac:dyDescent="0.2">
      <c r="A534">
        <f>SUBTOTAL(3,$B$6:B534)</f>
        <v>114</v>
      </c>
    </row>
    <row r="535" spans="1:1" x14ac:dyDescent="0.2">
      <c r="A535">
        <f>SUBTOTAL(3,$B$6:B535)</f>
        <v>114</v>
      </c>
    </row>
    <row r="536" spans="1:1" x14ac:dyDescent="0.2">
      <c r="A536">
        <f>SUBTOTAL(3,$B$6:B536)</f>
        <v>114</v>
      </c>
    </row>
    <row r="537" spans="1:1" x14ac:dyDescent="0.2">
      <c r="A537">
        <f>SUBTOTAL(3,$B$6:B537)</f>
        <v>114</v>
      </c>
    </row>
    <row r="538" spans="1:1" x14ac:dyDescent="0.2">
      <c r="A538">
        <f>SUBTOTAL(3,$B$6:B538)</f>
        <v>114</v>
      </c>
    </row>
    <row r="539" spans="1:1" x14ac:dyDescent="0.2">
      <c r="A539">
        <f>SUBTOTAL(3,$B$6:B539)</f>
        <v>114</v>
      </c>
    </row>
    <row r="540" spans="1:1" x14ac:dyDescent="0.2">
      <c r="A540">
        <f>SUBTOTAL(3,$B$6:B540)</f>
        <v>114</v>
      </c>
    </row>
    <row r="541" spans="1:1" x14ac:dyDescent="0.2">
      <c r="A541">
        <f>SUBTOTAL(3,$B$6:B541)</f>
        <v>114</v>
      </c>
    </row>
    <row r="542" spans="1:1" x14ac:dyDescent="0.2">
      <c r="A542">
        <f>SUBTOTAL(3,$B$6:B542)</f>
        <v>114</v>
      </c>
    </row>
    <row r="543" spans="1:1" x14ac:dyDescent="0.2">
      <c r="A543">
        <f>SUBTOTAL(3,$B$6:B543)</f>
        <v>114</v>
      </c>
    </row>
    <row r="544" spans="1:1" x14ac:dyDescent="0.2">
      <c r="A544">
        <f>SUBTOTAL(3,$B$6:B544)</f>
        <v>114</v>
      </c>
    </row>
    <row r="545" spans="1:1" x14ac:dyDescent="0.2">
      <c r="A545">
        <f>SUBTOTAL(3,$B$6:B545)</f>
        <v>114</v>
      </c>
    </row>
    <row r="546" spans="1:1" x14ac:dyDescent="0.2">
      <c r="A546">
        <f>SUBTOTAL(3,$B$6:B546)</f>
        <v>114</v>
      </c>
    </row>
    <row r="547" spans="1:1" x14ac:dyDescent="0.2">
      <c r="A547">
        <f>SUBTOTAL(3,$B$6:B547)</f>
        <v>114</v>
      </c>
    </row>
    <row r="548" spans="1:1" x14ac:dyDescent="0.2">
      <c r="A548">
        <f>SUBTOTAL(3,$B$6:B548)</f>
        <v>114</v>
      </c>
    </row>
    <row r="549" spans="1:1" x14ac:dyDescent="0.2">
      <c r="A549">
        <f>SUBTOTAL(3,$B$6:B549)</f>
        <v>114</v>
      </c>
    </row>
    <row r="550" spans="1:1" x14ac:dyDescent="0.2">
      <c r="A550">
        <f>SUBTOTAL(3,$B$6:B550)</f>
        <v>114</v>
      </c>
    </row>
    <row r="551" spans="1:1" x14ac:dyDescent="0.2">
      <c r="A551">
        <f>SUBTOTAL(3,$B$6:B551)</f>
        <v>114</v>
      </c>
    </row>
    <row r="552" spans="1:1" x14ac:dyDescent="0.2">
      <c r="A552">
        <f>SUBTOTAL(3,$B$6:B552)</f>
        <v>114</v>
      </c>
    </row>
    <row r="553" spans="1:1" x14ac:dyDescent="0.2">
      <c r="A553">
        <f>SUBTOTAL(3,$B$6:B553)</f>
        <v>114</v>
      </c>
    </row>
    <row r="554" spans="1:1" x14ac:dyDescent="0.2">
      <c r="A554">
        <f>SUBTOTAL(3,$B$6:B554)</f>
        <v>114</v>
      </c>
    </row>
    <row r="555" spans="1:1" x14ac:dyDescent="0.2">
      <c r="A555">
        <f>SUBTOTAL(3,$B$6:B555)</f>
        <v>114</v>
      </c>
    </row>
    <row r="556" spans="1:1" x14ac:dyDescent="0.2">
      <c r="A556">
        <f>SUBTOTAL(3,$B$6:B556)</f>
        <v>114</v>
      </c>
    </row>
    <row r="557" spans="1:1" x14ac:dyDescent="0.2">
      <c r="A557">
        <f>SUBTOTAL(3,$B$6:B557)</f>
        <v>114</v>
      </c>
    </row>
    <row r="558" spans="1:1" x14ac:dyDescent="0.2">
      <c r="A558">
        <f>SUBTOTAL(3,$B$6:B558)</f>
        <v>114</v>
      </c>
    </row>
    <row r="559" spans="1:1" x14ac:dyDescent="0.2">
      <c r="A559">
        <f>SUBTOTAL(3,$B$6:B559)</f>
        <v>114</v>
      </c>
    </row>
    <row r="560" spans="1:1" x14ac:dyDescent="0.2">
      <c r="A560">
        <f>SUBTOTAL(3,$B$6:B560)</f>
        <v>114</v>
      </c>
    </row>
    <row r="561" spans="1:1" x14ac:dyDescent="0.2">
      <c r="A561">
        <f>SUBTOTAL(3,$B$6:B561)</f>
        <v>114</v>
      </c>
    </row>
    <row r="562" spans="1:1" x14ac:dyDescent="0.2">
      <c r="A562">
        <f>SUBTOTAL(3,$B$6:B562)</f>
        <v>114</v>
      </c>
    </row>
    <row r="563" spans="1:1" x14ac:dyDescent="0.2">
      <c r="A563">
        <f>SUBTOTAL(3,$B$6:B563)</f>
        <v>114</v>
      </c>
    </row>
    <row r="564" spans="1:1" x14ac:dyDescent="0.2">
      <c r="A564">
        <f>SUBTOTAL(3,$B$6:B564)</f>
        <v>114</v>
      </c>
    </row>
    <row r="565" spans="1:1" x14ac:dyDescent="0.2">
      <c r="A565">
        <f>SUBTOTAL(3,$B$6:B565)</f>
        <v>114</v>
      </c>
    </row>
    <row r="566" spans="1:1" x14ac:dyDescent="0.2">
      <c r="A566">
        <f>SUBTOTAL(3,$B$6:B566)</f>
        <v>114</v>
      </c>
    </row>
    <row r="567" spans="1:1" x14ac:dyDescent="0.2">
      <c r="A567">
        <f>SUBTOTAL(3,$B$6:B567)</f>
        <v>114</v>
      </c>
    </row>
    <row r="568" spans="1:1" x14ac:dyDescent="0.2">
      <c r="A568">
        <f>SUBTOTAL(3,$B$6:B568)</f>
        <v>114</v>
      </c>
    </row>
    <row r="569" spans="1:1" x14ac:dyDescent="0.2">
      <c r="A569">
        <f>SUBTOTAL(3,$B$6:B569)</f>
        <v>114</v>
      </c>
    </row>
    <row r="570" spans="1:1" x14ac:dyDescent="0.2">
      <c r="A570">
        <f>SUBTOTAL(3,$B$6:B570)</f>
        <v>114</v>
      </c>
    </row>
    <row r="571" spans="1:1" x14ac:dyDescent="0.2">
      <c r="A571">
        <f>SUBTOTAL(3,$B$6:B571)</f>
        <v>114</v>
      </c>
    </row>
    <row r="572" spans="1:1" x14ac:dyDescent="0.2">
      <c r="A572">
        <f>SUBTOTAL(3,$B$6:B572)</f>
        <v>114</v>
      </c>
    </row>
    <row r="573" spans="1:1" x14ac:dyDescent="0.2">
      <c r="A573">
        <f>SUBTOTAL(3,$B$6:B573)</f>
        <v>114</v>
      </c>
    </row>
    <row r="574" spans="1:1" x14ac:dyDescent="0.2">
      <c r="A574">
        <f>SUBTOTAL(3,$B$6:B574)</f>
        <v>114</v>
      </c>
    </row>
    <row r="575" spans="1:1" x14ac:dyDescent="0.2">
      <c r="A575">
        <f>SUBTOTAL(3,$B$6:B575)</f>
        <v>114</v>
      </c>
    </row>
    <row r="576" spans="1:1" x14ac:dyDescent="0.2">
      <c r="A576">
        <f>SUBTOTAL(3,$B$6:B576)</f>
        <v>114</v>
      </c>
    </row>
    <row r="577" spans="1:1" x14ac:dyDescent="0.2">
      <c r="A577">
        <f>SUBTOTAL(3,$B$6:B577)</f>
        <v>114</v>
      </c>
    </row>
    <row r="578" spans="1:1" x14ac:dyDescent="0.2">
      <c r="A578">
        <f>SUBTOTAL(3,$B$6:B578)</f>
        <v>114</v>
      </c>
    </row>
    <row r="579" spans="1:1" x14ac:dyDescent="0.2">
      <c r="A579">
        <f>SUBTOTAL(3,$B$6:B579)</f>
        <v>114</v>
      </c>
    </row>
    <row r="580" spans="1:1" x14ac:dyDescent="0.2">
      <c r="A580">
        <f>SUBTOTAL(3,$B$6:B580)</f>
        <v>114</v>
      </c>
    </row>
    <row r="581" spans="1:1" x14ac:dyDescent="0.2">
      <c r="A581">
        <f>SUBTOTAL(3,$B$6:B581)</f>
        <v>114</v>
      </c>
    </row>
    <row r="582" spans="1:1" x14ac:dyDescent="0.2">
      <c r="A582">
        <f>SUBTOTAL(3,$B$6:B582)</f>
        <v>114</v>
      </c>
    </row>
    <row r="583" spans="1:1" x14ac:dyDescent="0.2">
      <c r="A583">
        <f>SUBTOTAL(3,$B$6:B583)</f>
        <v>114</v>
      </c>
    </row>
    <row r="584" spans="1:1" x14ac:dyDescent="0.2">
      <c r="A584">
        <f>SUBTOTAL(3,$B$6:B584)</f>
        <v>114</v>
      </c>
    </row>
    <row r="585" spans="1:1" x14ac:dyDescent="0.2">
      <c r="A585">
        <f>SUBTOTAL(3,$B$6:B585)</f>
        <v>114</v>
      </c>
    </row>
    <row r="586" spans="1:1" x14ac:dyDescent="0.2">
      <c r="A586">
        <f>SUBTOTAL(3,$B$6:B586)</f>
        <v>114</v>
      </c>
    </row>
    <row r="587" spans="1:1" x14ac:dyDescent="0.2">
      <c r="A587">
        <f>SUBTOTAL(3,$B$6:B587)</f>
        <v>114</v>
      </c>
    </row>
    <row r="588" spans="1:1" x14ac:dyDescent="0.2">
      <c r="A588">
        <f>SUBTOTAL(3,$B$6:B588)</f>
        <v>114</v>
      </c>
    </row>
    <row r="589" spans="1:1" x14ac:dyDescent="0.2">
      <c r="A589">
        <f>SUBTOTAL(3,$B$6:B589)</f>
        <v>114</v>
      </c>
    </row>
    <row r="590" spans="1:1" x14ac:dyDescent="0.2">
      <c r="A590">
        <f>SUBTOTAL(3,$B$6:B590)</f>
        <v>114</v>
      </c>
    </row>
    <row r="591" spans="1:1" x14ac:dyDescent="0.2">
      <c r="A591">
        <f>SUBTOTAL(3,$B$6:B591)</f>
        <v>114</v>
      </c>
    </row>
    <row r="592" spans="1:1" x14ac:dyDescent="0.2">
      <c r="A592">
        <f>SUBTOTAL(3,$B$6:B592)</f>
        <v>114</v>
      </c>
    </row>
    <row r="593" spans="1:1" x14ac:dyDescent="0.2">
      <c r="A593">
        <f>SUBTOTAL(3,$B$6:B593)</f>
        <v>114</v>
      </c>
    </row>
    <row r="594" spans="1:1" x14ac:dyDescent="0.2">
      <c r="A594">
        <f>SUBTOTAL(3,$B$6:B594)</f>
        <v>114</v>
      </c>
    </row>
    <row r="595" spans="1:1" x14ac:dyDescent="0.2">
      <c r="A595">
        <f>SUBTOTAL(3,$B$6:B595)</f>
        <v>114</v>
      </c>
    </row>
    <row r="596" spans="1:1" x14ac:dyDescent="0.2">
      <c r="A596">
        <f>SUBTOTAL(3,$B$6:B596)</f>
        <v>114</v>
      </c>
    </row>
    <row r="597" spans="1:1" x14ac:dyDescent="0.2">
      <c r="A597">
        <f>SUBTOTAL(3,$B$6:B597)</f>
        <v>114</v>
      </c>
    </row>
    <row r="598" spans="1:1" x14ac:dyDescent="0.2">
      <c r="A598">
        <f>SUBTOTAL(3,$B$6:B598)</f>
        <v>114</v>
      </c>
    </row>
    <row r="599" spans="1:1" x14ac:dyDescent="0.2">
      <c r="A599">
        <f>SUBTOTAL(3,$B$6:B599)</f>
        <v>114</v>
      </c>
    </row>
    <row r="600" spans="1:1" x14ac:dyDescent="0.2">
      <c r="A600">
        <f>SUBTOTAL(3,$B$6:B600)</f>
        <v>114</v>
      </c>
    </row>
    <row r="601" spans="1:1" x14ac:dyDescent="0.2">
      <c r="A601">
        <f>SUBTOTAL(3,$B$6:B601)</f>
        <v>114</v>
      </c>
    </row>
    <row r="602" spans="1:1" x14ac:dyDescent="0.2">
      <c r="A602">
        <f>SUBTOTAL(3,$B$6:B602)</f>
        <v>114</v>
      </c>
    </row>
    <row r="603" spans="1:1" x14ac:dyDescent="0.2">
      <c r="A603">
        <f>SUBTOTAL(3,$B$6:B603)</f>
        <v>114</v>
      </c>
    </row>
    <row r="604" spans="1:1" x14ac:dyDescent="0.2">
      <c r="A604">
        <f>SUBTOTAL(3,$B$6:B604)</f>
        <v>114</v>
      </c>
    </row>
    <row r="605" spans="1:1" x14ac:dyDescent="0.2">
      <c r="A605">
        <f>SUBTOTAL(3,$B$6:B605)</f>
        <v>114</v>
      </c>
    </row>
    <row r="606" spans="1:1" x14ac:dyDescent="0.2">
      <c r="A606">
        <f>SUBTOTAL(3,$B$6:B606)</f>
        <v>114</v>
      </c>
    </row>
    <row r="607" spans="1:1" x14ac:dyDescent="0.2">
      <c r="A607">
        <f>SUBTOTAL(3,$B$6:B607)</f>
        <v>114</v>
      </c>
    </row>
    <row r="608" spans="1:1" x14ac:dyDescent="0.2">
      <c r="A608">
        <f>SUBTOTAL(3,$B$6:B608)</f>
        <v>114</v>
      </c>
    </row>
    <row r="609" spans="1:1" x14ac:dyDescent="0.2">
      <c r="A609">
        <f>SUBTOTAL(3,$B$6:B609)</f>
        <v>114</v>
      </c>
    </row>
    <row r="610" spans="1:1" x14ac:dyDescent="0.2">
      <c r="A610">
        <f>SUBTOTAL(3,$B$6:B610)</f>
        <v>114</v>
      </c>
    </row>
    <row r="611" spans="1:1" x14ac:dyDescent="0.2">
      <c r="A611">
        <f>SUBTOTAL(3,$B$6:B611)</f>
        <v>114</v>
      </c>
    </row>
    <row r="612" spans="1:1" x14ac:dyDescent="0.2">
      <c r="A612">
        <f>SUBTOTAL(3,$B$6:B612)</f>
        <v>114</v>
      </c>
    </row>
    <row r="613" spans="1:1" x14ac:dyDescent="0.2">
      <c r="A613">
        <f>SUBTOTAL(3,$B$6:B613)</f>
        <v>114</v>
      </c>
    </row>
    <row r="614" spans="1:1" x14ac:dyDescent="0.2">
      <c r="A614">
        <f>SUBTOTAL(3,$B$6:B614)</f>
        <v>114</v>
      </c>
    </row>
    <row r="615" spans="1:1" x14ac:dyDescent="0.2">
      <c r="A615">
        <f>SUBTOTAL(3,$B$6:B615)</f>
        <v>114</v>
      </c>
    </row>
    <row r="616" spans="1:1" x14ac:dyDescent="0.2">
      <c r="A616">
        <f>SUBTOTAL(3,$B$6:B616)</f>
        <v>114</v>
      </c>
    </row>
    <row r="617" spans="1:1" x14ac:dyDescent="0.2">
      <c r="A617">
        <f>SUBTOTAL(3,$B$6:B617)</f>
        <v>114</v>
      </c>
    </row>
    <row r="618" spans="1:1" x14ac:dyDescent="0.2">
      <c r="A618">
        <f>SUBTOTAL(3,$B$6:B618)</f>
        <v>114</v>
      </c>
    </row>
    <row r="619" spans="1:1" x14ac:dyDescent="0.2">
      <c r="A619">
        <f>SUBTOTAL(3,$B$6:B619)</f>
        <v>114</v>
      </c>
    </row>
    <row r="620" spans="1:1" x14ac:dyDescent="0.2">
      <c r="A620">
        <f>SUBTOTAL(3,$B$6:B620)</f>
        <v>114</v>
      </c>
    </row>
    <row r="621" spans="1:1" x14ac:dyDescent="0.2">
      <c r="A621">
        <f>SUBTOTAL(3,$B$6:B621)</f>
        <v>114</v>
      </c>
    </row>
    <row r="622" spans="1:1" x14ac:dyDescent="0.2">
      <c r="A622">
        <f>SUBTOTAL(3,$B$6:B622)</f>
        <v>114</v>
      </c>
    </row>
    <row r="623" spans="1:1" x14ac:dyDescent="0.2">
      <c r="A623">
        <f>SUBTOTAL(3,$B$6:B623)</f>
        <v>114</v>
      </c>
    </row>
    <row r="624" spans="1:1" x14ac:dyDescent="0.2">
      <c r="A624">
        <f>SUBTOTAL(3,$B$6:B624)</f>
        <v>114</v>
      </c>
    </row>
    <row r="625" spans="1:1" x14ac:dyDescent="0.2">
      <c r="A625">
        <f>SUBTOTAL(3,$B$6:B625)</f>
        <v>114</v>
      </c>
    </row>
    <row r="626" spans="1:1" x14ac:dyDescent="0.2">
      <c r="A626">
        <f>SUBTOTAL(3,$B$6:B626)</f>
        <v>114</v>
      </c>
    </row>
    <row r="627" spans="1:1" x14ac:dyDescent="0.2">
      <c r="A627">
        <f>SUBTOTAL(3,$B$6:B627)</f>
        <v>114</v>
      </c>
    </row>
    <row r="628" spans="1:1" x14ac:dyDescent="0.2">
      <c r="A628">
        <f>SUBTOTAL(3,$B$6:B628)</f>
        <v>114</v>
      </c>
    </row>
    <row r="629" spans="1:1" x14ac:dyDescent="0.2">
      <c r="A629">
        <f>SUBTOTAL(3,$B$6:B629)</f>
        <v>114</v>
      </c>
    </row>
    <row r="630" spans="1:1" x14ac:dyDescent="0.2">
      <c r="A630">
        <f>SUBTOTAL(3,$B$6:B630)</f>
        <v>114</v>
      </c>
    </row>
    <row r="631" spans="1:1" x14ac:dyDescent="0.2">
      <c r="A631">
        <f>SUBTOTAL(3,$B$6:B631)</f>
        <v>114</v>
      </c>
    </row>
    <row r="632" spans="1:1" x14ac:dyDescent="0.2">
      <c r="A632">
        <f>SUBTOTAL(3,$B$6:B632)</f>
        <v>114</v>
      </c>
    </row>
    <row r="633" spans="1:1" x14ac:dyDescent="0.2">
      <c r="A633">
        <f>SUBTOTAL(3,$B$6:B633)</f>
        <v>114</v>
      </c>
    </row>
    <row r="634" spans="1:1" x14ac:dyDescent="0.2">
      <c r="A634">
        <f>SUBTOTAL(3,$B$6:B634)</f>
        <v>114</v>
      </c>
    </row>
    <row r="635" spans="1:1" x14ac:dyDescent="0.2">
      <c r="A635">
        <f>SUBTOTAL(3,$B$6:B635)</f>
        <v>114</v>
      </c>
    </row>
    <row r="636" spans="1:1" x14ac:dyDescent="0.2">
      <c r="A636">
        <f>SUBTOTAL(3,$B$6:B636)</f>
        <v>114</v>
      </c>
    </row>
    <row r="637" spans="1:1" x14ac:dyDescent="0.2">
      <c r="A637">
        <f>SUBTOTAL(3,$B$6:B637)</f>
        <v>114</v>
      </c>
    </row>
    <row r="638" spans="1:1" x14ac:dyDescent="0.2">
      <c r="A638">
        <f>SUBTOTAL(3,$B$6:B638)</f>
        <v>114</v>
      </c>
    </row>
    <row r="639" spans="1:1" x14ac:dyDescent="0.2">
      <c r="A639">
        <f>SUBTOTAL(3,$B$6:B639)</f>
        <v>114</v>
      </c>
    </row>
    <row r="640" spans="1:1" x14ac:dyDescent="0.2">
      <c r="A640">
        <f>SUBTOTAL(3,$B$6:B640)</f>
        <v>114</v>
      </c>
    </row>
    <row r="641" spans="1:1" x14ac:dyDescent="0.2">
      <c r="A641">
        <f>SUBTOTAL(3,$B$6:B641)</f>
        <v>114</v>
      </c>
    </row>
    <row r="642" spans="1:1" x14ac:dyDescent="0.2">
      <c r="A642">
        <f>SUBTOTAL(3,$B$6:B642)</f>
        <v>114</v>
      </c>
    </row>
    <row r="643" spans="1:1" x14ac:dyDescent="0.2">
      <c r="A643">
        <f>SUBTOTAL(3,$B$6:B643)</f>
        <v>114</v>
      </c>
    </row>
    <row r="644" spans="1:1" x14ac:dyDescent="0.2">
      <c r="A644">
        <f>SUBTOTAL(3,$B$6:B644)</f>
        <v>114</v>
      </c>
    </row>
    <row r="645" spans="1:1" x14ac:dyDescent="0.2">
      <c r="A645">
        <f>SUBTOTAL(3,$B$6:B645)</f>
        <v>114</v>
      </c>
    </row>
    <row r="646" spans="1:1" x14ac:dyDescent="0.2">
      <c r="A646">
        <f>SUBTOTAL(3,$B$6:B646)</f>
        <v>114</v>
      </c>
    </row>
    <row r="647" spans="1:1" x14ac:dyDescent="0.2">
      <c r="A647">
        <f>SUBTOTAL(3,$B$6:B647)</f>
        <v>114</v>
      </c>
    </row>
    <row r="648" spans="1:1" x14ac:dyDescent="0.2">
      <c r="A648">
        <f>SUBTOTAL(3,$B$6:B648)</f>
        <v>114</v>
      </c>
    </row>
    <row r="649" spans="1:1" x14ac:dyDescent="0.2">
      <c r="A649">
        <f>SUBTOTAL(3,$B$6:B649)</f>
        <v>114</v>
      </c>
    </row>
    <row r="650" spans="1:1" x14ac:dyDescent="0.2">
      <c r="A650">
        <f>SUBTOTAL(3,$B$6:B650)</f>
        <v>114</v>
      </c>
    </row>
    <row r="651" spans="1:1" x14ac:dyDescent="0.2">
      <c r="A651">
        <f>SUBTOTAL(3,$B$6:B651)</f>
        <v>114</v>
      </c>
    </row>
    <row r="652" spans="1:1" x14ac:dyDescent="0.2">
      <c r="A652">
        <f>SUBTOTAL(3,$B$6:B652)</f>
        <v>114</v>
      </c>
    </row>
    <row r="653" spans="1:1" x14ac:dyDescent="0.2">
      <c r="A653">
        <f>SUBTOTAL(3,$B$6:B653)</f>
        <v>114</v>
      </c>
    </row>
    <row r="654" spans="1:1" x14ac:dyDescent="0.2">
      <c r="A654">
        <f>SUBTOTAL(3,$B$6:B654)</f>
        <v>114</v>
      </c>
    </row>
    <row r="655" spans="1:1" x14ac:dyDescent="0.2">
      <c r="A655">
        <f>SUBTOTAL(3,$B$6:B655)</f>
        <v>114</v>
      </c>
    </row>
    <row r="656" spans="1:1" x14ac:dyDescent="0.2">
      <c r="A656">
        <f>SUBTOTAL(3,$B$6:B656)</f>
        <v>114</v>
      </c>
    </row>
    <row r="657" spans="1:1" x14ac:dyDescent="0.2">
      <c r="A657">
        <f>SUBTOTAL(3,$B$6:B657)</f>
        <v>114</v>
      </c>
    </row>
    <row r="658" spans="1:1" x14ac:dyDescent="0.2">
      <c r="A658">
        <f>SUBTOTAL(3,$B$6:B658)</f>
        <v>114</v>
      </c>
    </row>
    <row r="659" spans="1:1" x14ac:dyDescent="0.2">
      <c r="A659">
        <f>SUBTOTAL(3,$B$6:B659)</f>
        <v>114</v>
      </c>
    </row>
    <row r="660" spans="1:1" x14ac:dyDescent="0.2">
      <c r="A660">
        <f>SUBTOTAL(3,$B$6:B660)</f>
        <v>114</v>
      </c>
    </row>
    <row r="661" spans="1:1" x14ac:dyDescent="0.2">
      <c r="A661">
        <f>SUBTOTAL(3,$B$6:B661)</f>
        <v>114</v>
      </c>
    </row>
    <row r="662" spans="1:1" x14ac:dyDescent="0.2">
      <c r="A662">
        <f>SUBTOTAL(3,$B$6:B662)</f>
        <v>114</v>
      </c>
    </row>
    <row r="663" spans="1:1" x14ac:dyDescent="0.2">
      <c r="A663">
        <f>SUBTOTAL(3,$B$6:B663)</f>
        <v>114</v>
      </c>
    </row>
    <row r="664" spans="1:1" x14ac:dyDescent="0.2">
      <c r="A664">
        <f>SUBTOTAL(3,$B$6:B664)</f>
        <v>114</v>
      </c>
    </row>
    <row r="665" spans="1:1" x14ac:dyDescent="0.2">
      <c r="A665">
        <f>SUBTOTAL(3,$B$6:B665)</f>
        <v>114</v>
      </c>
    </row>
    <row r="666" spans="1:1" x14ac:dyDescent="0.2">
      <c r="A666">
        <f>SUBTOTAL(3,$B$6:B666)</f>
        <v>114</v>
      </c>
    </row>
    <row r="667" spans="1:1" x14ac:dyDescent="0.2">
      <c r="A667">
        <f>SUBTOTAL(3,$B$6:B667)</f>
        <v>114</v>
      </c>
    </row>
    <row r="668" spans="1:1" x14ac:dyDescent="0.2">
      <c r="A668">
        <f>SUBTOTAL(3,$B$6:B668)</f>
        <v>114</v>
      </c>
    </row>
    <row r="669" spans="1:1" x14ac:dyDescent="0.2">
      <c r="A669">
        <f>SUBTOTAL(3,$B$6:B669)</f>
        <v>114</v>
      </c>
    </row>
    <row r="670" spans="1:1" x14ac:dyDescent="0.2">
      <c r="A670">
        <f>SUBTOTAL(3,$B$6:B670)</f>
        <v>114</v>
      </c>
    </row>
    <row r="671" spans="1:1" x14ac:dyDescent="0.2">
      <c r="A671">
        <f>SUBTOTAL(3,$B$6:B671)</f>
        <v>114</v>
      </c>
    </row>
    <row r="672" spans="1:1" x14ac:dyDescent="0.2">
      <c r="A672">
        <f>SUBTOTAL(3,$B$6:B672)</f>
        <v>114</v>
      </c>
    </row>
    <row r="673" spans="1:1" x14ac:dyDescent="0.2">
      <c r="A673">
        <f>SUBTOTAL(3,$B$6:B673)</f>
        <v>114</v>
      </c>
    </row>
    <row r="674" spans="1:1" x14ac:dyDescent="0.2">
      <c r="A674">
        <f>SUBTOTAL(3,$B$6:B674)</f>
        <v>114</v>
      </c>
    </row>
    <row r="675" spans="1:1" x14ac:dyDescent="0.2">
      <c r="A675">
        <f>SUBTOTAL(3,$B$6:B675)</f>
        <v>114</v>
      </c>
    </row>
    <row r="676" spans="1:1" x14ac:dyDescent="0.2">
      <c r="A676">
        <f>SUBTOTAL(3,$B$6:B676)</f>
        <v>114</v>
      </c>
    </row>
    <row r="677" spans="1:1" x14ac:dyDescent="0.2">
      <c r="A677">
        <f>SUBTOTAL(3,$B$6:B677)</f>
        <v>114</v>
      </c>
    </row>
    <row r="678" spans="1:1" x14ac:dyDescent="0.2">
      <c r="A678">
        <f>SUBTOTAL(3,$B$6:B678)</f>
        <v>114</v>
      </c>
    </row>
    <row r="679" spans="1:1" x14ac:dyDescent="0.2">
      <c r="A679">
        <f>SUBTOTAL(3,$B$6:B679)</f>
        <v>114</v>
      </c>
    </row>
    <row r="680" spans="1:1" x14ac:dyDescent="0.2">
      <c r="A680">
        <f>SUBTOTAL(3,$B$6:B680)</f>
        <v>114</v>
      </c>
    </row>
    <row r="681" spans="1:1" x14ac:dyDescent="0.2">
      <c r="A681">
        <f>SUBTOTAL(3,$B$6:B681)</f>
        <v>114</v>
      </c>
    </row>
    <row r="682" spans="1:1" x14ac:dyDescent="0.2">
      <c r="A682">
        <f>SUBTOTAL(3,$B$6:B682)</f>
        <v>114</v>
      </c>
    </row>
    <row r="683" spans="1:1" x14ac:dyDescent="0.2">
      <c r="A683">
        <f>SUBTOTAL(3,$B$6:B683)</f>
        <v>114</v>
      </c>
    </row>
    <row r="684" spans="1:1" x14ac:dyDescent="0.2">
      <c r="A684">
        <f>SUBTOTAL(3,$B$6:B684)</f>
        <v>114</v>
      </c>
    </row>
    <row r="685" spans="1:1" x14ac:dyDescent="0.2">
      <c r="A685">
        <f>SUBTOTAL(3,$B$6:B685)</f>
        <v>114</v>
      </c>
    </row>
    <row r="686" spans="1:1" x14ac:dyDescent="0.2">
      <c r="A686">
        <f>SUBTOTAL(3,$B$6:B686)</f>
        <v>114</v>
      </c>
    </row>
    <row r="687" spans="1:1" x14ac:dyDescent="0.2">
      <c r="A687">
        <f>SUBTOTAL(3,$B$6:B687)</f>
        <v>114</v>
      </c>
    </row>
    <row r="688" spans="1:1" x14ac:dyDescent="0.2">
      <c r="A688">
        <f>SUBTOTAL(3,$B$6:B688)</f>
        <v>114</v>
      </c>
    </row>
    <row r="689" spans="1:1" x14ac:dyDescent="0.2">
      <c r="A689">
        <f>SUBTOTAL(3,$B$6:B689)</f>
        <v>114</v>
      </c>
    </row>
    <row r="690" spans="1:1" x14ac:dyDescent="0.2">
      <c r="A690">
        <f>SUBTOTAL(3,$B$6:B690)</f>
        <v>114</v>
      </c>
    </row>
    <row r="691" spans="1:1" x14ac:dyDescent="0.2">
      <c r="A691">
        <f>SUBTOTAL(3,$B$6:B691)</f>
        <v>114</v>
      </c>
    </row>
    <row r="692" spans="1:1" x14ac:dyDescent="0.2">
      <c r="A692">
        <f>SUBTOTAL(3,$B$6:B692)</f>
        <v>114</v>
      </c>
    </row>
    <row r="693" spans="1:1" x14ac:dyDescent="0.2">
      <c r="A693">
        <f>SUBTOTAL(3,$B$6:B693)</f>
        <v>114</v>
      </c>
    </row>
    <row r="694" spans="1:1" x14ac:dyDescent="0.2">
      <c r="A694">
        <f>SUBTOTAL(3,$B$6:B694)</f>
        <v>114</v>
      </c>
    </row>
    <row r="695" spans="1:1" x14ac:dyDescent="0.2">
      <c r="A695">
        <f>SUBTOTAL(3,$B$6:B695)</f>
        <v>114</v>
      </c>
    </row>
    <row r="696" spans="1:1" x14ac:dyDescent="0.2">
      <c r="A696">
        <f>SUBTOTAL(3,$B$6:B696)</f>
        <v>114</v>
      </c>
    </row>
    <row r="697" spans="1:1" x14ac:dyDescent="0.2">
      <c r="A697">
        <f>SUBTOTAL(3,$B$6:B697)</f>
        <v>114</v>
      </c>
    </row>
    <row r="698" spans="1:1" x14ac:dyDescent="0.2">
      <c r="A698">
        <f>SUBTOTAL(3,$B$6:B698)</f>
        <v>114</v>
      </c>
    </row>
    <row r="699" spans="1:1" x14ac:dyDescent="0.2">
      <c r="A699">
        <f>SUBTOTAL(3,$B$6:B699)</f>
        <v>114</v>
      </c>
    </row>
    <row r="700" spans="1:1" x14ac:dyDescent="0.2">
      <c r="A700">
        <f>SUBTOTAL(3,$B$6:B700)</f>
        <v>114</v>
      </c>
    </row>
    <row r="701" spans="1:1" x14ac:dyDescent="0.2">
      <c r="A701">
        <f>SUBTOTAL(3,$B$6:B701)</f>
        <v>114</v>
      </c>
    </row>
    <row r="702" spans="1:1" x14ac:dyDescent="0.2">
      <c r="A702">
        <f>SUBTOTAL(3,$B$6:B702)</f>
        <v>114</v>
      </c>
    </row>
    <row r="703" spans="1:1" x14ac:dyDescent="0.2">
      <c r="A703">
        <f>SUBTOTAL(3,$B$6:B703)</f>
        <v>114</v>
      </c>
    </row>
    <row r="704" spans="1:1" x14ac:dyDescent="0.2">
      <c r="A704">
        <f>SUBTOTAL(3,$B$6:B704)</f>
        <v>114</v>
      </c>
    </row>
    <row r="705" spans="1:1" x14ac:dyDescent="0.2">
      <c r="A705">
        <f>SUBTOTAL(3,$B$6:B705)</f>
        <v>114</v>
      </c>
    </row>
    <row r="706" spans="1:1" x14ac:dyDescent="0.2">
      <c r="A706">
        <f>SUBTOTAL(3,$B$6:B706)</f>
        <v>114</v>
      </c>
    </row>
    <row r="707" spans="1:1" x14ac:dyDescent="0.2">
      <c r="A707">
        <f>SUBTOTAL(3,$B$6:B707)</f>
        <v>114</v>
      </c>
    </row>
    <row r="708" spans="1:1" x14ac:dyDescent="0.2">
      <c r="A708">
        <f>SUBTOTAL(3,$B$6:B708)</f>
        <v>114</v>
      </c>
    </row>
    <row r="709" spans="1:1" x14ac:dyDescent="0.2">
      <c r="A709">
        <f>SUBTOTAL(3,$B$6:B709)</f>
        <v>114</v>
      </c>
    </row>
    <row r="710" spans="1:1" x14ac:dyDescent="0.2">
      <c r="A710">
        <f>SUBTOTAL(3,$B$6:B710)</f>
        <v>114</v>
      </c>
    </row>
    <row r="711" spans="1:1" x14ac:dyDescent="0.2">
      <c r="A711">
        <f>SUBTOTAL(3,$B$6:B711)</f>
        <v>114</v>
      </c>
    </row>
    <row r="712" spans="1:1" x14ac:dyDescent="0.2">
      <c r="A712">
        <f>SUBTOTAL(3,$B$6:B712)</f>
        <v>114</v>
      </c>
    </row>
    <row r="713" spans="1:1" x14ac:dyDescent="0.2">
      <c r="A713">
        <f>SUBTOTAL(3,$B$6:B713)</f>
        <v>114</v>
      </c>
    </row>
    <row r="714" spans="1:1" x14ac:dyDescent="0.2">
      <c r="A714">
        <f>SUBTOTAL(3,$B$6:B714)</f>
        <v>114</v>
      </c>
    </row>
    <row r="715" spans="1:1" x14ac:dyDescent="0.2">
      <c r="A715">
        <f>SUBTOTAL(3,$B$6:B715)</f>
        <v>114</v>
      </c>
    </row>
    <row r="716" spans="1:1" x14ac:dyDescent="0.2">
      <c r="A716">
        <f>SUBTOTAL(3,$B$6:B716)</f>
        <v>114</v>
      </c>
    </row>
    <row r="717" spans="1:1" x14ac:dyDescent="0.2">
      <c r="A717">
        <f>SUBTOTAL(3,$B$6:B717)</f>
        <v>114</v>
      </c>
    </row>
    <row r="718" spans="1:1" x14ac:dyDescent="0.2">
      <c r="A718">
        <f>SUBTOTAL(3,$B$6:B718)</f>
        <v>114</v>
      </c>
    </row>
    <row r="719" spans="1:1" x14ac:dyDescent="0.2">
      <c r="A719">
        <f>SUBTOTAL(3,$B$6:B719)</f>
        <v>114</v>
      </c>
    </row>
    <row r="720" spans="1:1" x14ac:dyDescent="0.2">
      <c r="A720">
        <f>SUBTOTAL(3,$B$6:B720)</f>
        <v>114</v>
      </c>
    </row>
    <row r="721" spans="1:1" x14ac:dyDescent="0.2">
      <c r="A721">
        <f>SUBTOTAL(3,$B$6:B721)</f>
        <v>114</v>
      </c>
    </row>
    <row r="722" spans="1:1" x14ac:dyDescent="0.2">
      <c r="A722">
        <f>SUBTOTAL(3,$B$6:B722)</f>
        <v>114</v>
      </c>
    </row>
    <row r="723" spans="1:1" x14ac:dyDescent="0.2">
      <c r="A723">
        <f>SUBTOTAL(3,$B$6:B723)</f>
        <v>114</v>
      </c>
    </row>
    <row r="724" spans="1:1" x14ac:dyDescent="0.2">
      <c r="A724">
        <f>SUBTOTAL(3,$B$6:B724)</f>
        <v>114</v>
      </c>
    </row>
    <row r="725" spans="1:1" x14ac:dyDescent="0.2">
      <c r="A725">
        <f>SUBTOTAL(3,$B$6:B725)</f>
        <v>114</v>
      </c>
    </row>
    <row r="726" spans="1:1" x14ac:dyDescent="0.2">
      <c r="A726">
        <f>SUBTOTAL(3,$B$6:B726)</f>
        <v>114</v>
      </c>
    </row>
    <row r="727" spans="1:1" x14ac:dyDescent="0.2">
      <c r="A727">
        <f>SUBTOTAL(3,$B$6:B727)</f>
        <v>114</v>
      </c>
    </row>
    <row r="728" spans="1:1" x14ac:dyDescent="0.2">
      <c r="A728">
        <f>SUBTOTAL(3,$B$6:B728)</f>
        <v>114</v>
      </c>
    </row>
    <row r="729" spans="1:1" x14ac:dyDescent="0.2">
      <c r="A729">
        <f>SUBTOTAL(3,$B$6:B729)</f>
        <v>114</v>
      </c>
    </row>
    <row r="730" spans="1:1" x14ac:dyDescent="0.2">
      <c r="A730">
        <f>SUBTOTAL(3,$B$6:B730)</f>
        <v>114</v>
      </c>
    </row>
    <row r="731" spans="1:1" x14ac:dyDescent="0.2">
      <c r="A731">
        <f>SUBTOTAL(3,$B$6:B731)</f>
        <v>114</v>
      </c>
    </row>
    <row r="732" spans="1:1" x14ac:dyDescent="0.2">
      <c r="A732">
        <f>SUBTOTAL(3,$B$6:B732)</f>
        <v>114</v>
      </c>
    </row>
    <row r="733" spans="1:1" x14ac:dyDescent="0.2">
      <c r="A733">
        <f>SUBTOTAL(3,$B$6:B733)</f>
        <v>114</v>
      </c>
    </row>
    <row r="734" spans="1:1" x14ac:dyDescent="0.2">
      <c r="A734">
        <f>SUBTOTAL(3,$B$6:B734)</f>
        <v>114</v>
      </c>
    </row>
    <row r="735" spans="1:1" x14ac:dyDescent="0.2">
      <c r="A735">
        <f>SUBTOTAL(3,$B$6:B735)</f>
        <v>114</v>
      </c>
    </row>
    <row r="736" spans="1:1" x14ac:dyDescent="0.2">
      <c r="A736">
        <f>SUBTOTAL(3,$B$6:B736)</f>
        <v>114</v>
      </c>
    </row>
    <row r="737" spans="1:1" x14ac:dyDescent="0.2">
      <c r="A737">
        <f>SUBTOTAL(3,$B$6:B737)</f>
        <v>114</v>
      </c>
    </row>
    <row r="738" spans="1:1" x14ac:dyDescent="0.2">
      <c r="A738">
        <f>SUBTOTAL(3,$B$6:B738)</f>
        <v>114</v>
      </c>
    </row>
    <row r="739" spans="1:1" x14ac:dyDescent="0.2">
      <c r="A739">
        <f>SUBTOTAL(3,$B$6:B739)</f>
        <v>114</v>
      </c>
    </row>
    <row r="740" spans="1:1" x14ac:dyDescent="0.2">
      <c r="A740">
        <f>SUBTOTAL(3,$B$6:B740)</f>
        <v>114</v>
      </c>
    </row>
    <row r="741" spans="1:1" x14ac:dyDescent="0.2">
      <c r="A741">
        <f>SUBTOTAL(3,$B$6:B741)</f>
        <v>114</v>
      </c>
    </row>
    <row r="742" spans="1:1" x14ac:dyDescent="0.2">
      <c r="A742">
        <f>SUBTOTAL(3,$B$6:B742)</f>
        <v>114</v>
      </c>
    </row>
    <row r="743" spans="1:1" x14ac:dyDescent="0.2">
      <c r="A743">
        <f>SUBTOTAL(3,$B$6:B743)</f>
        <v>114</v>
      </c>
    </row>
    <row r="744" spans="1:1" x14ac:dyDescent="0.2">
      <c r="A744">
        <f>SUBTOTAL(3,$B$6:B744)</f>
        <v>114</v>
      </c>
    </row>
    <row r="745" spans="1:1" x14ac:dyDescent="0.2">
      <c r="A745">
        <f>SUBTOTAL(3,$B$6:B745)</f>
        <v>114</v>
      </c>
    </row>
    <row r="746" spans="1:1" x14ac:dyDescent="0.2">
      <c r="A746">
        <f>SUBTOTAL(3,$B$6:B746)</f>
        <v>114</v>
      </c>
    </row>
    <row r="747" spans="1:1" x14ac:dyDescent="0.2">
      <c r="A747">
        <f>SUBTOTAL(3,$B$6:B747)</f>
        <v>114</v>
      </c>
    </row>
    <row r="748" spans="1:1" x14ac:dyDescent="0.2">
      <c r="A748">
        <f>SUBTOTAL(3,$B$6:B748)</f>
        <v>114</v>
      </c>
    </row>
    <row r="749" spans="1:1" x14ac:dyDescent="0.2">
      <c r="A749">
        <f>SUBTOTAL(3,$B$6:B749)</f>
        <v>114</v>
      </c>
    </row>
    <row r="750" spans="1:1" x14ac:dyDescent="0.2">
      <c r="A750">
        <f>SUBTOTAL(3,$B$6:B750)</f>
        <v>114</v>
      </c>
    </row>
    <row r="751" spans="1:1" x14ac:dyDescent="0.2">
      <c r="A751">
        <f>SUBTOTAL(3,$B$6:B751)</f>
        <v>114</v>
      </c>
    </row>
    <row r="752" spans="1:1" x14ac:dyDescent="0.2">
      <c r="A752">
        <f>SUBTOTAL(3,$B$6:B752)</f>
        <v>114</v>
      </c>
    </row>
    <row r="753" spans="1:1" x14ac:dyDescent="0.2">
      <c r="A753">
        <f>SUBTOTAL(3,$B$6:B753)</f>
        <v>114</v>
      </c>
    </row>
    <row r="754" spans="1:1" x14ac:dyDescent="0.2">
      <c r="A754">
        <f>SUBTOTAL(3,$B$6:B754)</f>
        <v>114</v>
      </c>
    </row>
    <row r="755" spans="1:1" x14ac:dyDescent="0.2">
      <c r="A755">
        <f>SUBTOTAL(3,$B$6:B755)</f>
        <v>114</v>
      </c>
    </row>
    <row r="756" spans="1:1" x14ac:dyDescent="0.2">
      <c r="A756">
        <f>SUBTOTAL(3,$B$6:B756)</f>
        <v>114</v>
      </c>
    </row>
    <row r="757" spans="1:1" x14ac:dyDescent="0.2">
      <c r="A757">
        <f>SUBTOTAL(3,$B$6:B757)</f>
        <v>114</v>
      </c>
    </row>
    <row r="758" spans="1:1" x14ac:dyDescent="0.2">
      <c r="A758">
        <f>SUBTOTAL(3,$B$6:B758)</f>
        <v>114</v>
      </c>
    </row>
    <row r="759" spans="1:1" x14ac:dyDescent="0.2">
      <c r="A759">
        <f>SUBTOTAL(3,$B$6:B759)</f>
        <v>114</v>
      </c>
    </row>
    <row r="760" spans="1:1" x14ac:dyDescent="0.2">
      <c r="A760">
        <f>SUBTOTAL(3,$B$6:B760)</f>
        <v>114</v>
      </c>
    </row>
    <row r="761" spans="1:1" x14ac:dyDescent="0.2">
      <c r="A761">
        <f>SUBTOTAL(3,$B$6:B761)</f>
        <v>114</v>
      </c>
    </row>
    <row r="762" spans="1:1" x14ac:dyDescent="0.2">
      <c r="A762">
        <f>SUBTOTAL(3,$B$6:B762)</f>
        <v>114</v>
      </c>
    </row>
    <row r="763" spans="1:1" x14ac:dyDescent="0.2">
      <c r="A763">
        <f>SUBTOTAL(3,$B$6:B763)</f>
        <v>114</v>
      </c>
    </row>
    <row r="764" spans="1:1" x14ac:dyDescent="0.2">
      <c r="A764">
        <f>SUBTOTAL(3,$B$6:B764)</f>
        <v>114</v>
      </c>
    </row>
    <row r="765" spans="1:1" x14ac:dyDescent="0.2">
      <c r="A765">
        <f>SUBTOTAL(3,$B$6:B765)</f>
        <v>114</v>
      </c>
    </row>
    <row r="766" spans="1:1" x14ac:dyDescent="0.2">
      <c r="A766">
        <f>SUBTOTAL(3,$B$6:B766)</f>
        <v>114</v>
      </c>
    </row>
    <row r="767" spans="1:1" x14ac:dyDescent="0.2">
      <c r="A767">
        <f>SUBTOTAL(3,$B$6:B767)</f>
        <v>114</v>
      </c>
    </row>
    <row r="768" spans="1:1" x14ac:dyDescent="0.2">
      <c r="A768">
        <f>SUBTOTAL(3,$B$6:B768)</f>
        <v>114</v>
      </c>
    </row>
    <row r="769" spans="1:1" x14ac:dyDescent="0.2">
      <c r="A769">
        <f>SUBTOTAL(3,$B$6:B769)</f>
        <v>114</v>
      </c>
    </row>
    <row r="770" spans="1:1" x14ac:dyDescent="0.2">
      <c r="A770">
        <f>SUBTOTAL(3,$B$6:B770)</f>
        <v>114</v>
      </c>
    </row>
    <row r="771" spans="1:1" x14ac:dyDescent="0.2">
      <c r="A771">
        <f>SUBTOTAL(3,$B$6:B771)</f>
        <v>114</v>
      </c>
    </row>
    <row r="772" spans="1:1" x14ac:dyDescent="0.2">
      <c r="A772">
        <f>SUBTOTAL(3,$B$6:B772)</f>
        <v>114</v>
      </c>
    </row>
    <row r="773" spans="1:1" x14ac:dyDescent="0.2">
      <c r="A773">
        <f>SUBTOTAL(3,$B$6:B773)</f>
        <v>114</v>
      </c>
    </row>
    <row r="774" spans="1:1" x14ac:dyDescent="0.2">
      <c r="A774">
        <f>SUBTOTAL(3,$B$6:B774)</f>
        <v>114</v>
      </c>
    </row>
    <row r="775" spans="1:1" x14ac:dyDescent="0.2">
      <c r="A775">
        <f>SUBTOTAL(3,$B$6:B775)</f>
        <v>114</v>
      </c>
    </row>
    <row r="776" spans="1:1" x14ac:dyDescent="0.2">
      <c r="A776">
        <f>SUBTOTAL(3,$B$6:B776)</f>
        <v>114</v>
      </c>
    </row>
    <row r="777" spans="1:1" x14ac:dyDescent="0.2">
      <c r="A777">
        <f>SUBTOTAL(3,$B$6:B777)</f>
        <v>114</v>
      </c>
    </row>
    <row r="778" spans="1:1" x14ac:dyDescent="0.2">
      <c r="A778">
        <f>SUBTOTAL(3,$B$6:B778)</f>
        <v>114</v>
      </c>
    </row>
    <row r="779" spans="1:1" x14ac:dyDescent="0.2">
      <c r="A779">
        <f>SUBTOTAL(3,$B$6:B779)</f>
        <v>114</v>
      </c>
    </row>
    <row r="780" spans="1:1" x14ac:dyDescent="0.2">
      <c r="A780">
        <f>SUBTOTAL(3,$B$6:B780)</f>
        <v>114</v>
      </c>
    </row>
    <row r="781" spans="1:1" x14ac:dyDescent="0.2">
      <c r="A781">
        <f>SUBTOTAL(3,$B$6:B781)</f>
        <v>114</v>
      </c>
    </row>
    <row r="782" spans="1:1" x14ac:dyDescent="0.2">
      <c r="A782">
        <f>SUBTOTAL(3,$B$6:B782)</f>
        <v>114</v>
      </c>
    </row>
    <row r="783" spans="1:1" x14ac:dyDescent="0.2">
      <c r="A783">
        <f>SUBTOTAL(3,$B$6:B783)</f>
        <v>114</v>
      </c>
    </row>
    <row r="784" spans="1:1" x14ac:dyDescent="0.2">
      <c r="A784">
        <f>SUBTOTAL(3,$B$6:B784)</f>
        <v>114</v>
      </c>
    </row>
    <row r="785" spans="1:1" x14ac:dyDescent="0.2">
      <c r="A785">
        <f>SUBTOTAL(3,$B$6:B785)</f>
        <v>114</v>
      </c>
    </row>
    <row r="786" spans="1:1" x14ac:dyDescent="0.2">
      <c r="A786">
        <f>SUBTOTAL(3,$B$6:B786)</f>
        <v>114</v>
      </c>
    </row>
    <row r="787" spans="1:1" x14ac:dyDescent="0.2">
      <c r="A787">
        <f>SUBTOTAL(3,$B$6:B787)</f>
        <v>114</v>
      </c>
    </row>
    <row r="788" spans="1:1" x14ac:dyDescent="0.2">
      <c r="A788">
        <f>SUBTOTAL(3,$B$6:B788)</f>
        <v>114</v>
      </c>
    </row>
    <row r="789" spans="1:1" x14ac:dyDescent="0.2">
      <c r="A789">
        <f>SUBTOTAL(3,$B$6:B789)</f>
        <v>114</v>
      </c>
    </row>
    <row r="790" spans="1:1" x14ac:dyDescent="0.2">
      <c r="A790">
        <f>SUBTOTAL(3,$B$6:B790)</f>
        <v>114</v>
      </c>
    </row>
    <row r="791" spans="1:1" x14ac:dyDescent="0.2">
      <c r="A791">
        <f>SUBTOTAL(3,$B$6:B791)</f>
        <v>114</v>
      </c>
    </row>
    <row r="792" spans="1:1" x14ac:dyDescent="0.2">
      <c r="A792">
        <f>SUBTOTAL(3,$B$6:B792)</f>
        <v>114</v>
      </c>
    </row>
    <row r="793" spans="1:1" x14ac:dyDescent="0.2">
      <c r="A793">
        <f>SUBTOTAL(3,$B$6:B793)</f>
        <v>114</v>
      </c>
    </row>
    <row r="794" spans="1:1" x14ac:dyDescent="0.2">
      <c r="A794">
        <f>SUBTOTAL(3,$B$6:B794)</f>
        <v>114</v>
      </c>
    </row>
    <row r="795" spans="1:1" x14ac:dyDescent="0.2">
      <c r="A795">
        <f>SUBTOTAL(3,$B$6:B795)</f>
        <v>114</v>
      </c>
    </row>
    <row r="796" spans="1:1" x14ac:dyDescent="0.2">
      <c r="A796">
        <f>SUBTOTAL(3,$B$6:B796)</f>
        <v>114</v>
      </c>
    </row>
    <row r="797" spans="1:1" x14ac:dyDescent="0.2">
      <c r="A797">
        <f>SUBTOTAL(3,$B$6:B797)</f>
        <v>114</v>
      </c>
    </row>
    <row r="798" spans="1:1" x14ac:dyDescent="0.2">
      <c r="A798">
        <f>SUBTOTAL(3,$B$6:B798)</f>
        <v>114</v>
      </c>
    </row>
    <row r="799" spans="1:1" x14ac:dyDescent="0.2">
      <c r="A799">
        <f>SUBTOTAL(3,$B$6:B799)</f>
        <v>114</v>
      </c>
    </row>
    <row r="800" spans="1:1" x14ac:dyDescent="0.2">
      <c r="A800">
        <f>SUBTOTAL(3,$B$6:B800)</f>
        <v>114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AE800"/>
  <sheetViews>
    <sheetView workbookViewId="0">
      <selection activeCell="B6" sqref="B6:AE134"/>
    </sheetView>
  </sheetViews>
  <sheetFormatPr defaultRowHeight="12.75" x14ac:dyDescent="0.2"/>
  <cols>
    <col min="2" max="2" width="11.85546875" customWidth="1"/>
    <col min="3" max="3" width="18.42578125" customWidth="1"/>
    <col min="4" max="4" width="11" bestFit="1" customWidth="1"/>
    <col min="5" max="5" width="11" customWidth="1"/>
    <col min="6" max="6" width="11" bestFit="1" customWidth="1"/>
    <col min="7" max="7" width="11.5703125" customWidth="1"/>
    <col min="8" max="8" width="11" customWidth="1"/>
    <col min="9" max="9" width="12" bestFit="1" customWidth="1"/>
    <col min="10" max="11" width="11" bestFit="1" customWidth="1"/>
    <col min="12" max="12" width="12" bestFit="1" customWidth="1"/>
    <col min="13" max="14" width="11" bestFit="1" customWidth="1"/>
    <col min="15" max="15" width="12" bestFit="1" customWidth="1"/>
    <col min="16" max="18" width="10" bestFit="1" customWidth="1"/>
    <col min="19" max="19" width="11" bestFit="1" customWidth="1"/>
    <col min="20" max="20" width="10" customWidth="1"/>
    <col min="21" max="21" width="11" customWidth="1"/>
    <col min="22" max="22" width="9" customWidth="1"/>
    <col min="23" max="27" width="8.140625" customWidth="1"/>
    <col min="28" max="28" width="12" bestFit="1" customWidth="1"/>
    <col min="29" max="29" width="11" customWidth="1"/>
    <col min="30" max="30" width="12.5703125" customWidth="1"/>
    <col min="31" max="31" width="12.5703125" bestFit="1" customWidth="1"/>
  </cols>
  <sheetData>
    <row r="4" spans="1:31" x14ac:dyDescent="0.2">
      <c r="D4">
        <f>Selections!$F$9</f>
        <v>1</v>
      </c>
      <c r="E4">
        <f>Selections!$F$10</f>
        <v>1</v>
      </c>
      <c r="F4">
        <f>Selections!$F$11</f>
        <v>1</v>
      </c>
      <c r="G4">
        <f>Selections!$F$12</f>
        <v>1</v>
      </c>
      <c r="H4">
        <f>Selections!$F$13</f>
        <v>1</v>
      </c>
      <c r="I4">
        <f>Selections!$F$14</f>
        <v>1</v>
      </c>
      <c r="J4">
        <f>Selections!$F$15</f>
        <v>0</v>
      </c>
      <c r="K4">
        <f>Selections!$F$16</f>
        <v>0</v>
      </c>
      <c r="L4">
        <f>Selections!$F$17</f>
        <v>0</v>
      </c>
      <c r="M4">
        <f>Selections!$F$18</f>
        <v>0</v>
      </c>
      <c r="N4">
        <f>Selections!$F$19</f>
        <v>0</v>
      </c>
      <c r="O4">
        <f>Selections!$F$20</f>
        <v>0</v>
      </c>
      <c r="P4">
        <f>Selections!$F$9</f>
        <v>1</v>
      </c>
      <c r="Q4">
        <f>Selections!$F$10</f>
        <v>1</v>
      </c>
      <c r="R4">
        <f>Selections!$F$11</f>
        <v>1</v>
      </c>
      <c r="S4">
        <f>Selections!$F$12</f>
        <v>1</v>
      </c>
      <c r="T4">
        <f>Selections!$F$13</f>
        <v>1</v>
      </c>
      <c r="U4">
        <f>Selections!$F$14</f>
        <v>1</v>
      </c>
      <c r="V4">
        <f>Selections!$F$15</f>
        <v>0</v>
      </c>
      <c r="W4">
        <f>Selections!$F$16</f>
        <v>0</v>
      </c>
      <c r="X4">
        <f>Selections!$F$17</f>
        <v>0</v>
      </c>
      <c r="Y4">
        <f>Selections!$F$18</f>
        <v>0</v>
      </c>
      <c r="Z4">
        <f>Selections!$F$19</f>
        <v>0</v>
      </c>
      <c r="AA4">
        <f>Selections!$F$20</f>
        <v>0</v>
      </c>
    </row>
    <row r="5" spans="1:31" x14ac:dyDescent="0.2">
      <c r="A5" s="6" t="s">
        <v>42</v>
      </c>
      <c r="B5" t="s">
        <v>43</v>
      </c>
      <c r="C5" t="s">
        <v>145</v>
      </c>
      <c r="D5" t="s">
        <v>45</v>
      </c>
      <c r="E5" t="s">
        <v>46</v>
      </c>
      <c r="F5" t="s">
        <v>47</v>
      </c>
      <c r="G5" t="s">
        <v>48</v>
      </c>
      <c r="H5" t="s">
        <v>49</v>
      </c>
      <c r="I5" t="s">
        <v>50</v>
      </c>
      <c r="J5" t="s">
        <v>51</v>
      </c>
      <c r="K5" t="s">
        <v>52</v>
      </c>
      <c r="L5" t="s">
        <v>53</v>
      </c>
      <c r="M5" t="s">
        <v>54</v>
      </c>
      <c r="N5" t="s">
        <v>55</v>
      </c>
      <c r="O5" t="s">
        <v>56</v>
      </c>
      <c r="P5" t="s">
        <v>57</v>
      </c>
      <c r="Q5" t="s">
        <v>58</v>
      </c>
      <c r="R5" t="s">
        <v>59</v>
      </c>
      <c r="S5" t="s">
        <v>60</v>
      </c>
      <c r="T5" t="s">
        <v>61</v>
      </c>
      <c r="U5" t="s">
        <v>62</v>
      </c>
      <c r="V5" t="s">
        <v>63</v>
      </c>
      <c r="W5" t="s">
        <v>64</v>
      </c>
      <c r="X5" t="s">
        <v>65</v>
      </c>
      <c r="Y5" t="s">
        <v>66</v>
      </c>
      <c r="Z5" t="s">
        <v>67</v>
      </c>
      <c r="AA5" t="s">
        <v>68</v>
      </c>
      <c r="AB5" t="s">
        <v>35</v>
      </c>
      <c r="AC5" t="s">
        <v>34</v>
      </c>
      <c r="AD5" t="s">
        <v>31</v>
      </c>
      <c r="AE5" t="s">
        <v>30</v>
      </c>
    </row>
    <row r="6" spans="1:31" x14ac:dyDescent="0.2">
      <c r="A6">
        <f>SUBTOTAL(3,$B$6:B6)</f>
        <v>1</v>
      </c>
      <c r="B6" t="s">
        <v>1</v>
      </c>
      <c r="C6" t="s">
        <v>983</v>
      </c>
      <c r="D6">
        <v>35446.604000000007</v>
      </c>
      <c r="E6">
        <v>310283.34399999998</v>
      </c>
      <c r="F6">
        <v>73136.933000000005</v>
      </c>
      <c r="G6">
        <v>259758.69199999995</v>
      </c>
      <c r="H6">
        <v>219541.46499999997</v>
      </c>
      <c r="I6">
        <v>163961.84</v>
      </c>
      <c r="J6">
        <v>150294.72199999998</v>
      </c>
      <c r="K6">
        <v>143052.47400000002</v>
      </c>
      <c r="L6">
        <v>143221.64000000001</v>
      </c>
      <c r="M6">
        <v>163027.08100000003</v>
      </c>
      <c r="N6">
        <v>141024.22400000002</v>
      </c>
      <c r="O6">
        <v>141028.22400000002</v>
      </c>
      <c r="P6">
        <v>33017.740000000005</v>
      </c>
      <c r="Q6">
        <v>308017.82</v>
      </c>
      <c r="R6">
        <v>71149.509999999966</v>
      </c>
      <c r="S6">
        <v>257375.53999999995</v>
      </c>
      <c r="T6">
        <v>217278.86999999997</v>
      </c>
      <c r="U6">
        <v>833244.80999999959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s="34">
        <f>SUMPRODUCT(DB_HighProject[[#This Row],[Plan01]:[Plan12]],$D$4:$O$4)/valUnits2</f>
        <v>1062.128878</v>
      </c>
      <c r="AC6" s="34">
        <f>SUMPRODUCT(DB_HighProject[[#This Row],[Act01]:[Act12]],$P$4:$AA$4)/valUnits2</f>
        <v>1720.0842899999996</v>
      </c>
      <c r="AD6" s="34">
        <f>DB_HighProject[[#This Row],[Actual]]-DB_HighProject[[#This Row],[Plan]]</f>
        <v>657.95541199999957</v>
      </c>
      <c r="AE6" s="34">
        <f>IF(DB_HighProject[[#This Row],[Plan]]&lt;&gt;0,DB_HighProject[[#This Row],[Actual]]/DB_HighProject[[#This Row],[Plan]],1.000011000011)</f>
        <v>1.6194685274342004</v>
      </c>
    </row>
    <row r="7" spans="1:31" hidden="1" x14ac:dyDescent="0.2">
      <c r="A7">
        <f>SUBTOTAL(3,$B$6:B7)</f>
        <v>1</v>
      </c>
      <c r="B7" t="s">
        <v>347</v>
      </c>
      <c r="C7" t="s">
        <v>1001</v>
      </c>
      <c r="D7">
        <v>13028.226000000001</v>
      </c>
      <c r="E7">
        <v>13028.225999999997</v>
      </c>
      <c r="F7">
        <v>13028.225999999997</v>
      </c>
      <c r="G7">
        <v>758258.16599999985</v>
      </c>
      <c r="H7">
        <v>13028.225999999999</v>
      </c>
      <c r="I7">
        <v>13028.226000000001</v>
      </c>
      <c r="J7">
        <v>634588.65099999995</v>
      </c>
      <c r="K7">
        <v>13028.226000000001</v>
      </c>
      <c r="L7">
        <v>13028.226000000002</v>
      </c>
      <c r="M7">
        <v>598115.50899999996</v>
      </c>
      <c r="N7">
        <v>13028.226000000004</v>
      </c>
      <c r="O7">
        <v>596603.47799999989</v>
      </c>
      <c r="P7">
        <v>0</v>
      </c>
      <c r="Q7">
        <v>0</v>
      </c>
      <c r="R7">
        <v>0</v>
      </c>
      <c r="S7">
        <v>0</v>
      </c>
      <c r="T7">
        <v>0</v>
      </c>
      <c r="U7">
        <v>1087668.3600000001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s="34">
        <f>SUMPRODUCT(DB_HighProject[[#This Row],[Plan01]:[Plan12]],$D$4:$O$4)/valUnits2</f>
        <v>823.39929599999982</v>
      </c>
      <c r="AC7" s="34">
        <f>SUMPRODUCT(DB_HighProject[[#This Row],[Act01]:[Act12]],$P$4:$AA$4)/valUnits2</f>
        <v>1087.6683600000001</v>
      </c>
      <c r="AD7" s="34">
        <f>DB_HighProject[[#This Row],[Actual]]-DB_HighProject[[#This Row],[Plan]]</f>
        <v>264.2690640000003</v>
      </c>
      <c r="AE7" s="34">
        <f>IF(DB_HighProject[[#This Row],[Plan]]&lt;&gt;0,DB_HighProject[[#This Row],[Actual]]/DB_HighProject[[#This Row],[Plan]],1.000011000011)</f>
        <v>1.3209488583288762</v>
      </c>
    </row>
    <row r="8" spans="1:31" x14ac:dyDescent="0.2">
      <c r="A8">
        <f>SUBTOTAL(3,$B$6:B8)</f>
        <v>2</v>
      </c>
      <c r="B8" t="s">
        <v>1</v>
      </c>
      <c r="C8" t="s">
        <v>1001</v>
      </c>
      <c r="D8">
        <v>13028.226000000001</v>
      </c>
      <c r="E8">
        <v>13028.225999999997</v>
      </c>
      <c r="F8">
        <v>13028.225999999997</v>
      </c>
      <c r="G8">
        <v>758258.16599999985</v>
      </c>
      <c r="H8">
        <v>13028.225999999999</v>
      </c>
      <c r="I8">
        <v>13028.226000000001</v>
      </c>
      <c r="J8">
        <v>634588.65099999995</v>
      </c>
      <c r="K8">
        <v>13028.226000000001</v>
      </c>
      <c r="L8">
        <v>13028.226000000002</v>
      </c>
      <c r="M8">
        <v>598115.50899999996</v>
      </c>
      <c r="N8">
        <v>13028.226000000004</v>
      </c>
      <c r="O8">
        <v>596603.47799999989</v>
      </c>
      <c r="P8">
        <v>0</v>
      </c>
      <c r="Q8">
        <v>0</v>
      </c>
      <c r="R8">
        <v>0</v>
      </c>
      <c r="S8">
        <v>0</v>
      </c>
      <c r="T8">
        <v>0</v>
      </c>
      <c r="U8">
        <v>1087668.3600000001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s="34">
        <f>SUMPRODUCT(DB_HighProject[[#This Row],[Plan01]:[Plan12]],$D$4:$O$4)/valUnits2</f>
        <v>823.39929599999982</v>
      </c>
      <c r="AC8" s="34">
        <f>SUMPRODUCT(DB_HighProject[[#This Row],[Act01]:[Act12]],$P$4:$AA$4)/valUnits2</f>
        <v>1087.6683600000001</v>
      </c>
      <c r="AD8" s="34">
        <f>DB_HighProject[[#This Row],[Actual]]-DB_HighProject[[#This Row],[Plan]]</f>
        <v>264.2690640000003</v>
      </c>
      <c r="AE8" s="34">
        <f>IF(DB_HighProject[[#This Row],[Plan]]&lt;&gt;0,DB_HighProject[[#This Row],[Actual]]/DB_HighProject[[#This Row],[Plan]],1.000011000011)</f>
        <v>1.3209488583288762</v>
      </c>
    </row>
    <row r="9" spans="1:31" hidden="1" x14ac:dyDescent="0.2">
      <c r="A9">
        <f>SUBTOTAL(3,$B$6:B9)</f>
        <v>2</v>
      </c>
      <c r="B9" t="s">
        <v>347</v>
      </c>
      <c r="C9" t="s">
        <v>952</v>
      </c>
      <c r="D9">
        <v>33202.271000000001</v>
      </c>
      <c r="E9">
        <v>33202.270999999964</v>
      </c>
      <c r="F9">
        <v>33202.272000000004</v>
      </c>
      <c r="G9">
        <v>706688.05400000012</v>
      </c>
      <c r="H9">
        <v>33202.271000000001</v>
      </c>
      <c r="I9">
        <v>33202.271000000001</v>
      </c>
      <c r="J9">
        <v>611132.19900000002</v>
      </c>
      <c r="K9">
        <v>33202.271000000001</v>
      </c>
      <c r="L9">
        <v>33202.270999999993</v>
      </c>
      <c r="M9">
        <v>558405.25500000024</v>
      </c>
      <c r="N9">
        <v>33202.271000000001</v>
      </c>
      <c r="O9">
        <v>573061.68200000003</v>
      </c>
      <c r="P9">
        <v>0</v>
      </c>
      <c r="Q9">
        <v>5.000000002442917E-2</v>
      </c>
      <c r="R9">
        <v>-1.0000000000182752E-2</v>
      </c>
      <c r="S9">
        <v>0</v>
      </c>
      <c r="T9">
        <v>0</v>
      </c>
      <c r="U9">
        <v>907929.05999999994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s="34">
        <f>SUMPRODUCT(DB_HighProject[[#This Row],[Plan01]:[Plan12]],$D$4:$O$4)/valUnits2</f>
        <v>872.69940999999994</v>
      </c>
      <c r="AC9" s="34">
        <f>SUMPRODUCT(DB_HighProject[[#This Row],[Act01]:[Act12]],$P$4:$AA$4)/valUnits2</f>
        <v>907.92909999999995</v>
      </c>
      <c r="AD9" s="34">
        <f>DB_HighProject[[#This Row],[Actual]]-DB_HighProject[[#This Row],[Plan]]</f>
        <v>35.229690000000005</v>
      </c>
      <c r="AE9" s="34">
        <f>IF(DB_HighProject[[#This Row],[Plan]]&lt;&gt;0,DB_HighProject[[#This Row],[Actual]]/DB_HighProject[[#This Row],[Plan]],1.000011000011)</f>
        <v>1.0403686419359446</v>
      </c>
    </row>
    <row r="10" spans="1:31" x14ac:dyDescent="0.2">
      <c r="A10">
        <f>SUBTOTAL(3,$B$6:B10)</f>
        <v>3</v>
      </c>
      <c r="B10" t="s">
        <v>1</v>
      </c>
      <c r="C10" t="s">
        <v>1002</v>
      </c>
      <c r="D10">
        <v>0</v>
      </c>
      <c r="E10">
        <v>0</v>
      </c>
      <c r="F10">
        <v>0</v>
      </c>
      <c r="G10">
        <v>79195.593999999997</v>
      </c>
      <c r="H10">
        <v>0</v>
      </c>
      <c r="I10">
        <v>0</v>
      </c>
      <c r="J10">
        <v>122621.942</v>
      </c>
      <c r="K10">
        <v>0</v>
      </c>
      <c r="L10">
        <v>0</v>
      </c>
      <c r="M10">
        <v>101561.269</v>
      </c>
      <c r="N10">
        <v>0</v>
      </c>
      <c r="O10">
        <v>101310.019</v>
      </c>
      <c r="P10">
        <v>0</v>
      </c>
      <c r="Q10">
        <v>0</v>
      </c>
      <c r="R10">
        <v>0</v>
      </c>
      <c r="S10">
        <v>0</v>
      </c>
      <c r="T10">
        <v>0</v>
      </c>
      <c r="U10">
        <v>211188.41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34">
        <f>SUMPRODUCT(DB_HighProject[[#This Row],[Plan01]:[Plan12]],$D$4:$O$4)/valUnits2</f>
        <v>79.195594</v>
      </c>
      <c r="AC10" s="34">
        <f>SUMPRODUCT(DB_HighProject[[#This Row],[Act01]:[Act12]],$P$4:$AA$4)/valUnits2</f>
        <v>211.18841</v>
      </c>
      <c r="AD10" s="34">
        <f>DB_HighProject[[#This Row],[Actual]]-DB_HighProject[[#This Row],[Plan]]</f>
        <v>131.992816</v>
      </c>
      <c r="AE10" s="34">
        <f>IF(DB_HighProject[[#This Row],[Plan]]&lt;&gt;0,DB_HighProject[[#This Row],[Actual]]/DB_HighProject[[#This Row],[Plan]],1.000011000011)</f>
        <v>2.6666686785631031</v>
      </c>
    </row>
    <row r="11" spans="1:31" hidden="1" x14ac:dyDescent="0.2">
      <c r="A11">
        <f>SUBTOTAL(3,$B$6:B11)</f>
        <v>3</v>
      </c>
      <c r="B11" t="s">
        <v>349</v>
      </c>
      <c r="C11" t="s">
        <v>983</v>
      </c>
      <c r="D11">
        <v>35446.604000000007</v>
      </c>
      <c r="E11">
        <v>310283.34399999998</v>
      </c>
      <c r="F11">
        <v>73136.933000000005</v>
      </c>
      <c r="G11">
        <v>259758.69199999995</v>
      </c>
      <c r="H11">
        <v>219541.46499999997</v>
      </c>
      <c r="I11">
        <v>163961.84</v>
      </c>
      <c r="J11">
        <v>150294.72199999998</v>
      </c>
      <c r="K11">
        <v>143052.47400000002</v>
      </c>
      <c r="L11">
        <v>143221.64000000001</v>
      </c>
      <c r="M11">
        <v>163027.08100000003</v>
      </c>
      <c r="N11">
        <v>141024.22400000002</v>
      </c>
      <c r="O11">
        <v>141028.22400000002</v>
      </c>
      <c r="P11">
        <v>33017.740000000005</v>
      </c>
      <c r="Q11">
        <v>308017.82</v>
      </c>
      <c r="R11">
        <v>71149.509999999966</v>
      </c>
      <c r="S11">
        <v>257375.53999999995</v>
      </c>
      <c r="T11">
        <v>217278.86999999997</v>
      </c>
      <c r="U11">
        <v>833244.80999999959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s="34">
        <f>SUMPRODUCT(DB_HighProject[[#This Row],[Plan01]:[Plan12]],$D$4:$O$4)/valUnits2</f>
        <v>1062.128878</v>
      </c>
      <c r="AC11" s="34">
        <f>SUMPRODUCT(DB_HighProject[[#This Row],[Act01]:[Act12]],$P$4:$AA$4)/valUnits2</f>
        <v>1720.0842899999996</v>
      </c>
      <c r="AD11" s="34">
        <f>DB_HighProject[[#This Row],[Actual]]-DB_HighProject[[#This Row],[Plan]]</f>
        <v>657.95541199999957</v>
      </c>
      <c r="AE11" s="34">
        <f>IF(DB_HighProject[[#This Row],[Plan]]&lt;&gt;0,DB_HighProject[[#This Row],[Actual]]/DB_HighProject[[#This Row],[Plan]],1.000011000011)</f>
        <v>1.6194685274342004</v>
      </c>
    </row>
    <row r="12" spans="1:31" x14ac:dyDescent="0.2">
      <c r="A12">
        <f>SUBTOTAL(3,$B$6:B12)</f>
        <v>4</v>
      </c>
      <c r="B12" t="s">
        <v>1</v>
      </c>
      <c r="C12" t="s">
        <v>963</v>
      </c>
      <c r="H12">
        <v>0</v>
      </c>
      <c r="I12">
        <v>0</v>
      </c>
      <c r="T12">
        <v>0</v>
      </c>
      <c r="U12">
        <v>81741.789999999994</v>
      </c>
      <c r="AB12" s="34">
        <f>SUMPRODUCT(DB_HighProject[[#This Row],[Plan01]:[Plan12]],$D$4:$O$4)/valUnits2</f>
        <v>0</v>
      </c>
      <c r="AC12" s="34">
        <f>SUMPRODUCT(DB_HighProject[[#This Row],[Act01]:[Act12]],$P$4:$AA$4)/valUnits2</f>
        <v>81.741789999999995</v>
      </c>
      <c r="AD12" s="34">
        <f>DB_HighProject[[#This Row],[Actual]]-DB_HighProject[[#This Row],[Plan]]</f>
        <v>81.741789999999995</v>
      </c>
      <c r="AE12" s="34">
        <f>IF(DB_HighProject[[#This Row],[Plan]]&lt;&gt;0,DB_HighProject[[#This Row],[Actual]]/DB_HighProject[[#This Row],[Plan]],1.000011000011)</f>
        <v>1.0000110000110001</v>
      </c>
    </row>
    <row r="13" spans="1:31" hidden="1" x14ac:dyDescent="0.2">
      <c r="A13">
        <f>SUBTOTAL(3,$B$6:B13)</f>
        <v>4</v>
      </c>
      <c r="B13" t="s">
        <v>347</v>
      </c>
      <c r="C13" t="s">
        <v>1002</v>
      </c>
      <c r="D13">
        <v>0</v>
      </c>
      <c r="E13">
        <v>0</v>
      </c>
      <c r="F13">
        <v>0</v>
      </c>
      <c r="G13">
        <v>79195.593999999997</v>
      </c>
      <c r="H13">
        <v>0</v>
      </c>
      <c r="I13">
        <v>0</v>
      </c>
      <c r="J13">
        <v>122621.942</v>
      </c>
      <c r="K13">
        <v>0</v>
      </c>
      <c r="L13">
        <v>0</v>
      </c>
      <c r="M13">
        <v>101561.269</v>
      </c>
      <c r="N13">
        <v>0</v>
      </c>
      <c r="O13">
        <v>101310.019</v>
      </c>
      <c r="P13">
        <v>0</v>
      </c>
      <c r="Q13">
        <v>0</v>
      </c>
      <c r="R13">
        <v>0</v>
      </c>
      <c r="S13">
        <v>0</v>
      </c>
      <c r="T13">
        <v>0</v>
      </c>
      <c r="U13">
        <v>211188.41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s="34">
        <f>SUMPRODUCT(DB_HighProject[[#This Row],[Plan01]:[Plan12]],$D$4:$O$4)/valUnits2</f>
        <v>79.195594</v>
      </c>
      <c r="AC13" s="34">
        <f>SUMPRODUCT(DB_HighProject[[#This Row],[Act01]:[Act12]],$P$4:$AA$4)/valUnits2</f>
        <v>211.18841</v>
      </c>
      <c r="AD13" s="34">
        <f>DB_HighProject[[#This Row],[Actual]]-DB_HighProject[[#This Row],[Plan]]</f>
        <v>131.992816</v>
      </c>
      <c r="AE13" s="34">
        <f>IF(DB_HighProject[[#This Row],[Plan]]&lt;&gt;0,DB_HighProject[[#This Row],[Actual]]/DB_HighProject[[#This Row],[Plan]],1.000011000011)</f>
        <v>2.6666686785631031</v>
      </c>
    </row>
    <row r="14" spans="1:31" x14ac:dyDescent="0.2">
      <c r="A14">
        <f>SUBTOTAL(3,$B$6:B14)</f>
        <v>5</v>
      </c>
      <c r="B14" t="s">
        <v>1</v>
      </c>
      <c r="C14" t="s">
        <v>955</v>
      </c>
      <c r="D14">
        <v>15386.895999999997</v>
      </c>
      <c r="E14">
        <v>6869.0989999999983</v>
      </c>
      <c r="F14">
        <v>6371.375</v>
      </c>
      <c r="G14">
        <v>61110.17500000001</v>
      </c>
      <c r="H14">
        <v>19435.687000000002</v>
      </c>
      <c r="I14">
        <v>38817.636000000013</v>
      </c>
      <c r="J14">
        <v>31603.297000000002</v>
      </c>
      <c r="K14">
        <v>33861.678</v>
      </c>
      <c r="L14">
        <v>37505.089</v>
      </c>
      <c r="M14">
        <v>37362.669000000002</v>
      </c>
      <c r="N14">
        <v>37564.242000000006</v>
      </c>
      <c r="P14">
        <v>15072.140000000001</v>
      </c>
      <c r="Q14">
        <v>6993.7000000000007</v>
      </c>
      <c r="R14">
        <v>6446.7900000000009</v>
      </c>
      <c r="S14">
        <v>60725.05999999999</v>
      </c>
      <c r="T14">
        <v>19586.400000000001</v>
      </c>
      <c r="U14">
        <v>118099.40000000002</v>
      </c>
      <c r="V14">
        <v>0</v>
      </c>
      <c r="W14">
        <v>0</v>
      </c>
      <c r="X14">
        <v>0</v>
      </c>
      <c r="Y14">
        <v>0</v>
      </c>
      <c r="Z14">
        <v>0</v>
      </c>
      <c r="AB14" s="34">
        <f>SUMPRODUCT(DB_HighProject[[#This Row],[Plan01]:[Plan12]],$D$4:$O$4)/valUnits2</f>
        <v>147.99086800000001</v>
      </c>
      <c r="AC14" s="34">
        <f>SUMPRODUCT(DB_HighProject[[#This Row],[Act01]:[Act12]],$P$4:$AA$4)/valUnits2</f>
        <v>226.92349000000002</v>
      </c>
      <c r="AD14" s="34">
        <f>DB_HighProject[[#This Row],[Actual]]-DB_HighProject[[#This Row],[Plan]]</f>
        <v>78.932622000000009</v>
      </c>
      <c r="AE14" s="34">
        <f>IF(DB_HighProject[[#This Row],[Plan]]&lt;&gt;0,DB_HighProject[[#This Row],[Actual]]/DB_HighProject[[#This Row],[Plan]],1.000011000011)</f>
        <v>1.5333614368691992</v>
      </c>
    </row>
    <row r="15" spans="1:31" hidden="1" x14ac:dyDescent="0.2">
      <c r="A15">
        <f>SUBTOTAL(3,$B$6:B15)</f>
        <v>5</v>
      </c>
      <c r="B15" t="s">
        <v>348</v>
      </c>
      <c r="C15" t="s">
        <v>981</v>
      </c>
      <c r="D15">
        <v>245891.72099999996</v>
      </c>
      <c r="E15">
        <v>483914.74299999973</v>
      </c>
      <c r="F15">
        <v>275003.33799999981</v>
      </c>
      <c r="G15">
        <v>399694.16499999986</v>
      </c>
      <c r="H15">
        <v>271451.53800000006</v>
      </c>
      <c r="I15">
        <v>325587.42200000002</v>
      </c>
      <c r="J15">
        <v>345019.97200000013</v>
      </c>
      <c r="K15">
        <v>249166.12000000008</v>
      </c>
      <c r="L15">
        <v>249257.50000000017</v>
      </c>
      <c r="M15">
        <v>249166.12000000017</v>
      </c>
      <c r="N15">
        <v>249166.12000000005</v>
      </c>
      <c r="O15">
        <v>345935.16700000002</v>
      </c>
      <c r="P15">
        <v>234386.22999999986</v>
      </c>
      <c r="Q15">
        <v>485826.96000000008</v>
      </c>
      <c r="R15">
        <v>259481.33999999973</v>
      </c>
      <c r="S15">
        <v>379653.3600000001</v>
      </c>
      <c r="T15">
        <v>256172.07000000047</v>
      </c>
      <c r="U15">
        <v>461531.76999999979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s="34">
        <f>SUMPRODUCT(DB_HighProject[[#This Row],[Plan01]:[Plan12]],$D$4:$O$4)/valUnits2</f>
        <v>2001.5429269999995</v>
      </c>
      <c r="AC15" s="34">
        <f>SUMPRODUCT(DB_HighProject[[#This Row],[Act01]:[Act12]],$P$4:$AA$4)/valUnits2</f>
        <v>2077.0517300000001</v>
      </c>
      <c r="AD15" s="34">
        <f>DB_HighProject[[#This Row],[Actual]]-DB_HighProject[[#This Row],[Plan]]</f>
        <v>75.508803000000626</v>
      </c>
      <c r="AE15" s="34">
        <f>IF(DB_HighProject[[#This Row],[Plan]]&lt;&gt;0,DB_HighProject[[#This Row],[Actual]]/DB_HighProject[[#This Row],[Plan]],1.000011000011)</f>
        <v>1.0377252978097136</v>
      </c>
    </row>
    <row r="16" spans="1:31" x14ac:dyDescent="0.2">
      <c r="A16">
        <f>SUBTOTAL(3,$B$6:B16)</f>
        <v>6</v>
      </c>
      <c r="B16" t="s">
        <v>1</v>
      </c>
      <c r="C16" t="s">
        <v>981</v>
      </c>
      <c r="D16">
        <v>245891.72099999996</v>
      </c>
      <c r="E16">
        <v>483914.74299999973</v>
      </c>
      <c r="F16">
        <v>275003.33799999981</v>
      </c>
      <c r="G16">
        <v>399694.16499999986</v>
      </c>
      <c r="H16">
        <v>271451.53800000006</v>
      </c>
      <c r="I16">
        <v>325587.42200000002</v>
      </c>
      <c r="J16">
        <v>345019.97200000013</v>
      </c>
      <c r="K16">
        <v>249166.12000000008</v>
      </c>
      <c r="L16">
        <v>249257.50000000017</v>
      </c>
      <c r="M16">
        <v>249166.12000000017</v>
      </c>
      <c r="N16">
        <v>249166.12000000005</v>
      </c>
      <c r="O16">
        <v>345935.16700000002</v>
      </c>
      <c r="P16">
        <v>234386.22999999986</v>
      </c>
      <c r="Q16">
        <v>485826.96000000008</v>
      </c>
      <c r="R16">
        <v>259481.33999999973</v>
      </c>
      <c r="S16">
        <v>379653.3600000001</v>
      </c>
      <c r="T16">
        <v>256172.07000000047</v>
      </c>
      <c r="U16">
        <v>461531.76999999979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s="34">
        <f>SUMPRODUCT(DB_HighProject[[#This Row],[Plan01]:[Plan12]],$D$4:$O$4)/valUnits2</f>
        <v>2001.5429269999995</v>
      </c>
      <c r="AC16" s="34">
        <f>SUMPRODUCT(DB_HighProject[[#This Row],[Act01]:[Act12]],$P$4:$AA$4)/valUnits2</f>
        <v>2077.0517300000001</v>
      </c>
      <c r="AD16" s="34">
        <f>DB_HighProject[[#This Row],[Actual]]-DB_HighProject[[#This Row],[Plan]]</f>
        <v>75.508803000000626</v>
      </c>
      <c r="AE16" s="34">
        <f>IF(DB_HighProject[[#This Row],[Plan]]&lt;&gt;0,DB_HighProject[[#This Row],[Actual]]/DB_HighProject[[#This Row],[Plan]],1.000011000011)</f>
        <v>1.0377252978097136</v>
      </c>
    </row>
    <row r="17" spans="1:31" hidden="1" x14ac:dyDescent="0.2">
      <c r="A17">
        <f>SUBTOTAL(3,$B$6:B17)</f>
        <v>6</v>
      </c>
      <c r="B17" t="s">
        <v>347</v>
      </c>
      <c r="C17" t="s">
        <v>962</v>
      </c>
      <c r="G17">
        <v>62592.341999999997</v>
      </c>
      <c r="I17">
        <v>0</v>
      </c>
      <c r="J17">
        <v>50087.85</v>
      </c>
      <c r="S17">
        <v>0</v>
      </c>
      <c r="U17">
        <v>91478.83</v>
      </c>
      <c r="V17">
        <v>0</v>
      </c>
      <c r="AB17" s="34">
        <f>SUMPRODUCT(DB_HighProject[[#This Row],[Plan01]:[Plan12]],$D$4:$O$4)/valUnits2</f>
        <v>62.592341999999995</v>
      </c>
      <c r="AC17" s="34">
        <f>SUMPRODUCT(DB_HighProject[[#This Row],[Act01]:[Act12]],$P$4:$AA$4)/valUnits2</f>
        <v>91.478830000000002</v>
      </c>
      <c r="AD17" s="34">
        <f>DB_HighProject[[#This Row],[Actual]]-DB_HighProject[[#This Row],[Plan]]</f>
        <v>28.886488000000007</v>
      </c>
      <c r="AE17" s="34">
        <f>IF(DB_HighProject[[#This Row],[Plan]]&lt;&gt;0,DB_HighProject[[#This Row],[Actual]]/DB_HighProject[[#This Row],[Plan]],1.000011000011)</f>
        <v>1.4615019517882877</v>
      </c>
    </row>
    <row r="18" spans="1:31" x14ac:dyDescent="0.2">
      <c r="A18">
        <f>SUBTOTAL(3,$B$6:B18)</f>
        <v>7</v>
      </c>
      <c r="B18" t="s">
        <v>1</v>
      </c>
      <c r="C18" t="s">
        <v>952</v>
      </c>
      <c r="D18">
        <v>33202.271000000001</v>
      </c>
      <c r="E18">
        <v>33202.270999999964</v>
      </c>
      <c r="F18">
        <v>33202.272000000004</v>
      </c>
      <c r="G18">
        <v>706688.05400000012</v>
      </c>
      <c r="H18">
        <v>33202.271000000001</v>
      </c>
      <c r="I18">
        <v>33202.271000000001</v>
      </c>
      <c r="J18">
        <v>611132.19900000002</v>
      </c>
      <c r="K18">
        <v>33202.271000000001</v>
      </c>
      <c r="L18">
        <v>33202.270999999993</v>
      </c>
      <c r="M18">
        <v>558405.25500000024</v>
      </c>
      <c r="N18">
        <v>33202.271000000001</v>
      </c>
      <c r="O18">
        <v>573061.68200000003</v>
      </c>
      <c r="P18">
        <v>0</v>
      </c>
      <c r="Q18">
        <v>5.000000002442917E-2</v>
      </c>
      <c r="R18">
        <v>-1.0000000000182752E-2</v>
      </c>
      <c r="S18">
        <v>0</v>
      </c>
      <c r="T18">
        <v>0</v>
      </c>
      <c r="U18">
        <v>907929.05999999994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s="34">
        <f>SUMPRODUCT(DB_HighProject[[#This Row],[Plan01]:[Plan12]],$D$4:$O$4)/valUnits2</f>
        <v>872.69940999999994</v>
      </c>
      <c r="AC18" s="34">
        <f>SUMPRODUCT(DB_HighProject[[#This Row],[Act01]:[Act12]],$P$4:$AA$4)/valUnits2</f>
        <v>907.92909999999995</v>
      </c>
      <c r="AD18" s="34">
        <f>DB_HighProject[[#This Row],[Actual]]-DB_HighProject[[#This Row],[Plan]]</f>
        <v>35.229690000000005</v>
      </c>
      <c r="AE18" s="34">
        <f>IF(DB_HighProject[[#This Row],[Plan]]&lt;&gt;0,DB_HighProject[[#This Row],[Actual]]/DB_HighProject[[#This Row],[Plan]],1.000011000011)</f>
        <v>1.0403686419359446</v>
      </c>
    </row>
    <row r="19" spans="1:31" hidden="1" x14ac:dyDescent="0.2">
      <c r="A19">
        <f>SUBTOTAL(3,$B$6:B19)</f>
        <v>7</v>
      </c>
      <c r="B19" t="s">
        <v>347</v>
      </c>
      <c r="C19" t="s">
        <v>963</v>
      </c>
      <c r="H19">
        <v>0</v>
      </c>
      <c r="I19">
        <v>0</v>
      </c>
      <c r="T19">
        <v>0</v>
      </c>
      <c r="U19">
        <v>81741.789999999994</v>
      </c>
      <c r="AB19" s="34">
        <f>SUMPRODUCT(DB_HighProject[[#This Row],[Plan01]:[Plan12]],$D$4:$O$4)/valUnits2</f>
        <v>0</v>
      </c>
      <c r="AC19" s="34">
        <f>SUMPRODUCT(DB_HighProject[[#This Row],[Act01]:[Act12]],$P$4:$AA$4)/valUnits2</f>
        <v>81.741789999999995</v>
      </c>
      <c r="AD19" s="34">
        <f>DB_HighProject[[#This Row],[Actual]]-DB_HighProject[[#This Row],[Plan]]</f>
        <v>81.741789999999995</v>
      </c>
      <c r="AE19" s="34">
        <f>IF(DB_HighProject[[#This Row],[Plan]]&lt;&gt;0,DB_HighProject[[#This Row],[Actual]]/DB_HighProject[[#This Row],[Plan]],1.000011000011)</f>
        <v>1.0000110000110001</v>
      </c>
    </row>
    <row r="20" spans="1:31" x14ac:dyDescent="0.2">
      <c r="A20">
        <f>SUBTOTAL(3,$B$6:B20)</f>
        <v>8</v>
      </c>
      <c r="B20" t="s">
        <v>1</v>
      </c>
      <c r="C20" t="s">
        <v>962</v>
      </c>
      <c r="G20">
        <v>62592.341999999997</v>
      </c>
      <c r="I20">
        <v>0</v>
      </c>
      <c r="J20">
        <v>50087.85</v>
      </c>
      <c r="S20">
        <v>0</v>
      </c>
      <c r="U20">
        <v>91478.83</v>
      </c>
      <c r="V20">
        <v>0</v>
      </c>
      <c r="AB20" s="34">
        <f>SUMPRODUCT(DB_HighProject[[#This Row],[Plan01]:[Plan12]],$D$4:$O$4)/valUnits2</f>
        <v>62.592341999999995</v>
      </c>
      <c r="AC20" s="34">
        <f>SUMPRODUCT(DB_HighProject[[#This Row],[Act01]:[Act12]],$P$4:$AA$4)/valUnits2</f>
        <v>91.478830000000002</v>
      </c>
      <c r="AD20" s="34">
        <f>DB_HighProject[[#This Row],[Actual]]-DB_HighProject[[#This Row],[Plan]]</f>
        <v>28.886488000000007</v>
      </c>
      <c r="AE20" s="34">
        <f>IF(DB_HighProject[[#This Row],[Plan]]&lt;&gt;0,DB_HighProject[[#This Row],[Actual]]/DB_HighProject[[#This Row],[Plan]],1.000011000011)</f>
        <v>1.4615019517882877</v>
      </c>
    </row>
    <row r="21" spans="1:31" hidden="1" x14ac:dyDescent="0.2">
      <c r="A21">
        <f>SUBTOTAL(3,$B$6:B21)</f>
        <v>8</v>
      </c>
      <c r="B21" t="s">
        <v>346</v>
      </c>
      <c r="C21" t="s">
        <v>955</v>
      </c>
      <c r="D21">
        <v>15386.895999999997</v>
      </c>
      <c r="E21">
        <v>6869.0989999999983</v>
      </c>
      <c r="F21">
        <v>6371.375</v>
      </c>
      <c r="G21">
        <v>61110.17500000001</v>
      </c>
      <c r="H21">
        <v>19435.687000000002</v>
      </c>
      <c r="I21">
        <v>38817.636000000013</v>
      </c>
      <c r="J21">
        <v>31603.297000000002</v>
      </c>
      <c r="K21">
        <v>33861.678</v>
      </c>
      <c r="L21">
        <v>37505.089</v>
      </c>
      <c r="M21">
        <v>37362.669000000002</v>
      </c>
      <c r="N21">
        <v>37564.242000000006</v>
      </c>
      <c r="P21">
        <v>15072.140000000001</v>
      </c>
      <c r="Q21">
        <v>6993.7000000000007</v>
      </c>
      <c r="R21">
        <v>6446.7900000000009</v>
      </c>
      <c r="S21">
        <v>60725.05999999999</v>
      </c>
      <c r="T21">
        <v>19586.400000000001</v>
      </c>
      <c r="U21">
        <v>118099.40000000002</v>
      </c>
      <c r="V21">
        <v>0</v>
      </c>
      <c r="W21">
        <v>0</v>
      </c>
      <c r="X21">
        <v>0</v>
      </c>
      <c r="Y21">
        <v>0</v>
      </c>
      <c r="Z21">
        <v>0</v>
      </c>
      <c r="AB21" s="34">
        <f>SUMPRODUCT(DB_HighProject[[#This Row],[Plan01]:[Plan12]],$D$4:$O$4)/valUnits2</f>
        <v>147.99086800000001</v>
      </c>
      <c r="AC21" s="34">
        <f>SUMPRODUCT(DB_HighProject[[#This Row],[Act01]:[Act12]],$P$4:$AA$4)/valUnits2</f>
        <v>226.92349000000002</v>
      </c>
      <c r="AD21" s="34">
        <f>DB_HighProject[[#This Row],[Actual]]-DB_HighProject[[#This Row],[Plan]]</f>
        <v>78.932622000000009</v>
      </c>
      <c r="AE21" s="34">
        <f>IF(DB_HighProject[[#This Row],[Plan]]&lt;&gt;0,DB_HighProject[[#This Row],[Actual]]/DB_HighProject[[#This Row],[Plan]],1.000011000011)</f>
        <v>1.5333614368691992</v>
      </c>
    </row>
    <row r="22" spans="1:31" x14ac:dyDescent="0.2">
      <c r="A22">
        <f>SUBTOTAL(3,$B$6:B22)</f>
        <v>9</v>
      </c>
      <c r="B22" t="s">
        <v>1</v>
      </c>
      <c r="C22" t="s">
        <v>984</v>
      </c>
      <c r="D22">
        <v>782.85199999999998</v>
      </c>
      <c r="E22">
        <v>15475.51</v>
      </c>
      <c r="F22">
        <v>7216.0069999999996</v>
      </c>
      <c r="G22">
        <v>20930.584000000003</v>
      </c>
      <c r="H22">
        <v>20071.624999999996</v>
      </c>
      <c r="I22">
        <v>408.54399999999998</v>
      </c>
      <c r="J22">
        <v>408.54399999999998</v>
      </c>
      <c r="K22">
        <v>408.54399999999998</v>
      </c>
      <c r="L22">
        <v>408.54399999999998</v>
      </c>
      <c r="M22">
        <v>408.54399999999998</v>
      </c>
      <c r="N22">
        <v>408.54399999999998</v>
      </c>
      <c r="O22">
        <v>408.54399999999998</v>
      </c>
      <c r="P22">
        <v>777.27</v>
      </c>
      <c r="Q22">
        <v>15510.340000000002</v>
      </c>
      <c r="R22">
        <v>7217.9799999999987</v>
      </c>
      <c r="S22">
        <v>20868.700000000004</v>
      </c>
      <c r="T22">
        <v>20130.510000000002</v>
      </c>
      <c r="U22">
        <v>20821.050000000003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s="34">
        <f>SUMPRODUCT(DB_HighProject[[#This Row],[Plan01]:[Plan12]],$D$4:$O$4)/valUnits2</f>
        <v>64.885121999999996</v>
      </c>
      <c r="AC22" s="34">
        <f>SUMPRODUCT(DB_HighProject[[#This Row],[Act01]:[Act12]],$P$4:$AA$4)/valUnits2</f>
        <v>85.325850000000003</v>
      </c>
      <c r="AD22" s="34">
        <f>DB_HighProject[[#This Row],[Actual]]-DB_HighProject[[#This Row],[Plan]]</f>
        <v>20.440728000000007</v>
      </c>
      <c r="AE22" s="34">
        <f>IF(DB_HighProject[[#This Row],[Plan]]&lt;&gt;0,DB_HighProject[[#This Row],[Actual]]/DB_HighProject[[#This Row],[Plan]],1.000011000011)</f>
        <v>1.3150295070725151</v>
      </c>
    </row>
    <row r="23" spans="1:31" hidden="1" x14ac:dyDescent="0.2">
      <c r="A23">
        <f>SUBTOTAL(3,$B$6:B23)</f>
        <v>9</v>
      </c>
      <c r="B23" t="s">
        <v>347</v>
      </c>
      <c r="C23" t="s">
        <v>945</v>
      </c>
      <c r="D23">
        <v>140577.72099999999</v>
      </c>
      <c r="E23">
        <v>94060.826000000001</v>
      </c>
      <c r="F23">
        <v>190511.98500000004</v>
      </c>
      <c r="G23">
        <v>158423.66400000002</v>
      </c>
      <c r="H23">
        <v>228074.43300000002</v>
      </c>
      <c r="I23">
        <v>61980.573000000004</v>
      </c>
      <c r="J23">
        <v>89863.987000000008</v>
      </c>
      <c r="K23">
        <v>89863.986999999994</v>
      </c>
      <c r="L23">
        <v>89863.986999999994</v>
      </c>
      <c r="M23">
        <v>89863.987000000008</v>
      </c>
      <c r="N23">
        <v>89863.987000000008</v>
      </c>
      <c r="O23">
        <v>89863.986999999994</v>
      </c>
      <c r="P23">
        <v>102200.32000000001</v>
      </c>
      <c r="Q23">
        <v>57106.25</v>
      </c>
      <c r="R23">
        <v>151338.07000000004</v>
      </c>
      <c r="S23">
        <v>94046.639999999985</v>
      </c>
      <c r="T23">
        <v>161603.94000000006</v>
      </c>
      <c r="U23">
        <v>114442.77000000005</v>
      </c>
      <c r="V23">
        <v>5924.21</v>
      </c>
      <c r="W23">
        <v>0</v>
      </c>
      <c r="X23">
        <v>0</v>
      </c>
      <c r="Y23">
        <v>0</v>
      </c>
      <c r="Z23">
        <v>0</v>
      </c>
      <c r="AA23">
        <v>0</v>
      </c>
      <c r="AB23" s="34">
        <f>SUMPRODUCT(DB_HighProject[[#This Row],[Plan01]:[Plan12]],$D$4:$O$4)/valUnits2</f>
        <v>873.62920199999996</v>
      </c>
      <c r="AC23" s="34">
        <f>SUMPRODUCT(DB_HighProject[[#This Row],[Act01]:[Act12]],$P$4:$AA$4)/valUnits2</f>
        <v>680.73799000000008</v>
      </c>
      <c r="AD23" s="34">
        <f>DB_HighProject[[#This Row],[Actual]]-DB_HighProject[[#This Row],[Plan]]</f>
        <v>-192.89121199999988</v>
      </c>
      <c r="AE23" s="34">
        <f>IF(DB_HighProject[[#This Row],[Plan]]&lt;&gt;0,DB_HighProject[[#This Row],[Actual]]/DB_HighProject[[#This Row],[Plan]],1.000011000011)</f>
        <v>0.7792070004546392</v>
      </c>
    </row>
    <row r="24" spans="1:31" x14ac:dyDescent="0.2">
      <c r="A24">
        <f>SUBTOTAL(3,$B$6:B24)</f>
        <v>10</v>
      </c>
      <c r="B24" t="s">
        <v>1</v>
      </c>
      <c r="C24" t="s">
        <v>986</v>
      </c>
      <c r="D24">
        <v>11933.500000000002</v>
      </c>
      <c r="E24">
        <v>15550.250000000004</v>
      </c>
      <c r="F24">
        <v>21742.31</v>
      </c>
      <c r="G24">
        <v>25506.77</v>
      </c>
      <c r="H24">
        <v>17016.400000000001</v>
      </c>
      <c r="I24">
        <v>45556.941000000006</v>
      </c>
      <c r="J24">
        <v>70823.607000000004</v>
      </c>
      <c r="K24">
        <v>49038.191000000006</v>
      </c>
      <c r="L24">
        <v>47156.941000000006</v>
      </c>
      <c r="M24">
        <v>83535.987999999998</v>
      </c>
      <c r="N24">
        <v>43556.941000000006</v>
      </c>
      <c r="O24">
        <v>87092.271000000008</v>
      </c>
      <c r="P24">
        <v>11933.499999999998</v>
      </c>
      <c r="Q24">
        <v>15550.249999999998</v>
      </c>
      <c r="R24">
        <v>21742.309999999998</v>
      </c>
      <c r="S24">
        <v>25560.479999999996</v>
      </c>
      <c r="T24">
        <v>17076.72</v>
      </c>
      <c r="U24">
        <v>65606.819999999992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s="34">
        <f>SUMPRODUCT(DB_HighProject[[#This Row],[Plan01]:[Plan12]],$D$4:$O$4)/valUnits2</f>
        <v>137.30617100000003</v>
      </c>
      <c r="AC24" s="34">
        <f>SUMPRODUCT(DB_HighProject[[#This Row],[Act01]:[Act12]],$P$4:$AA$4)/valUnits2</f>
        <v>157.47008</v>
      </c>
      <c r="AD24" s="34">
        <f>DB_HighProject[[#This Row],[Actual]]-DB_HighProject[[#This Row],[Plan]]</f>
        <v>20.163908999999961</v>
      </c>
      <c r="AE24" s="34">
        <f>IF(DB_HighProject[[#This Row],[Plan]]&lt;&gt;0,DB_HighProject[[#This Row],[Actual]]/DB_HighProject[[#This Row],[Plan]],1.000011000011)</f>
        <v>1.1468536253916799</v>
      </c>
    </row>
    <row r="25" spans="1:31" hidden="1" x14ac:dyDescent="0.2">
      <c r="A25">
        <f>SUBTOTAL(3,$B$6:B25)</f>
        <v>10</v>
      </c>
      <c r="B25" t="s">
        <v>351</v>
      </c>
      <c r="C25" t="s">
        <v>984</v>
      </c>
      <c r="D25">
        <v>782.85199999999998</v>
      </c>
      <c r="E25">
        <v>15475.51</v>
      </c>
      <c r="F25">
        <v>7216.0069999999996</v>
      </c>
      <c r="G25">
        <v>20930.584000000003</v>
      </c>
      <c r="H25">
        <v>20071.624999999996</v>
      </c>
      <c r="I25">
        <v>408.54399999999998</v>
      </c>
      <c r="J25">
        <v>408.54399999999998</v>
      </c>
      <c r="K25">
        <v>408.54399999999998</v>
      </c>
      <c r="L25">
        <v>408.54399999999998</v>
      </c>
      <c r="M25">
        <v>408.54399999999998</v>
      </c>
      <c r="N25">
        <v>408.54399999999998</v>
      </c>
      <c r="O25">
        <v>408.54399999999998</v>
      </c>
      <c r="P25">
        <v>777.27</v>
      </c>
      <c r="Q25">
        <v>15510.340000000002</v>
      </c>
      <c r="R25">
        <v>7217.9799999999987</v>
      </c>
      <c r="S25">
        <v>20868.700000000004</v>
      </c>
      <c r="T25">
        <v>20130.510000000002</v>
      </c>
      <c r="U25">
        <v>20821.050000000003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s="34">
        <f>SUMPRODUCT(DB_HighProject[[#This Row],[Plan01]:[Plan12]],$D$4:$O$4)/valUnits2</f>
        <v>64.885121999999996</v>
      </c>
      <c r="AC25" s="34">
        <f>SUMPRODUCT(DB_HighProject[[#This Row],[Act01]:[Act12]],$P$4:$AA$4)/valUnits2</f>
        <v>85.325850000000003</v>
      </c>
      <c r="AD25" s="34">
        <f>DB_HighProject[[#This Row],[Actual]]-DB_HighProject[[#This Row],[Plan]]</f>
        <v>20.440728000000007</v>
      </c>
      <c r="AE25" s="34">
        <f>IF(DB_HighProject[[#This Row],[Plan]]&lt;&gt;0,DB_HighProject[[#This Row],[Actual]]/DB_HighProject[[#This Row],[Plan]],1.000011000011)</f>
        <v>1.3150295070725151</v>
      </c>
    </row>
    <row r="26" spans="1:31" x14ac:dyDescent="0.2">
      <c r="A26">
        <f>SUBTOTAL(3,$B$6:B26)</f>
        <v>11</v>
      </c>
      <c r="B26" t="s">
        <v>1</v>
      </c>
      <c r="C26" t="s">
        <v>943</v>
      </c>
      <c r="D26">
        <v>166415.59899999996</v>
      </c>
      <c r="E26">
        <v>6163.9379999999874</v>
      </c>
      <c r="F26">
        <v>246945.94300000006</v>
      </c>
      <c r="G26">
        <v>186113.20500000007</v>
      </c>
      <c r="H26">
        <v>41581.979000000007</v>
      </c>
      <c r="I26">
        <v>90653.274999999994</v>
      </c>
      <c r="P26">
        <v>161805.75</v>
      </c>
      <c r="Q26">
        <v>6313.020000000025</v>
      </c>
      <c r="R26">
        <v>251728.22000000009</v>
      </c>
      <c r="S26">
        <v>186058.44</v>
      </c>
      <c r="T26">
        <v>41285.0099999999</v>
      </c>
      <c r="U26">
        <v>106040.30000000002</v>
      </c>
      <c r="AB26" s="34">
        <f>SUMPRODUCT(DB_HighProject[[#This Row],[Plan01]:[Plan12]],$D$4:$O$4)/valUnits2</f>
        <v>737.87393900000018</v>
      </c>
      <c r="AC26" s="34">
        <f>SUMPRODUCT(DB_HighProject[[#This Row],[Act01]:[Act12]],$P$4:$AA$4)/valUnits2</f>
        <v>753.23074000000008</v>
      </c>
      <c r="AD26" s="34">
        <f>DB_HighProject[[#This Row],[Actual]]-DB_HighProject[[#This Row],[Plan]]</f>
        <v>15.356800999999905</v>
      </c>
      <c r="AE26" s="34">
        <f>IF(DB_HighProject[[#This Row],[Plan]]&lt;&gt;0,DB_HighProject[[#This Row],[Actual]]/DB_HighProject[[#This Row],[Plan]],1.000011000011)</f>
        <v>1.0208122284692858</v>
      </c>
    </row>
    <row r="27" spans="1:31" hidden="1" x14ac:dyDescent="0.2">
      <c r="A27">
        <f>SUBTOTAL(3,$B$6:B27)</f>
        <v>11</v>
      </c>
      <c r="B27" t="s">
        <v>342</v>
      </c>
      <c r="C27" t="s">
        <v>986</v>
      </c>
      <c r="D27">
        <v>11933.500000000002</v>
      </c>
      <c r="E27">
        <v>15550.250000000004</v>
      </c>
      <c r="F27">
        <v>21742.31</v>
      </c>
      <c r="G27">
        <v>25506.77</v>
      </c>
      <c r="H27">
        <v>17016.400000000001</v>
      </c>
      <c r="I27">
        <v>45556.941000000006</v>
      </c>
      <c r="J27">
        <v>70823.607000000004</v>
      </c>
      <c r="K27">
        <v>49038.191000000006</v>
      </c>
      <c r="L27">
        <v>47156.941000000006</v>
      </c>
      <c r="M27">
        <v>83535.987999999998</v>
      </c>
      <c r="N27">
        <v>43556.941000000006</v>
      </c>
      <c r="O27">
        <v>87092.271000000008</v>
      </c>
      <c r="P27">
        <v>11933.499999999998</v>
      </c>
      <c r="Q27">
        <v>15550.249999999998</v>
      </c>
      <c r="R27">
        <v>21742.309999999998</v>
      </c>
      <c r="S27">
        <v>25560.479999999996</v>
      </c>
      <c r="T27">
        <v>17076.72</v>
      </c>
      <c r="U27">
        <v>65606.819999999992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s="34">
        <f>SUMPRODUCT(DB_HighProject[[#This Row],[Plan01]:[Plan12]],$D$4:$O$4)/valUnits2</f>
        <v>137.30617100000003</v>
      </c>
      <c r="AC27" s="34">
        <f>SUMPRODUCT(DB_HighProject[[#This Row],[Act01]:[Act12]],$P$4:$AA$4)/valUnits2</f>
        <v>157.47008</v>
      </c>
      <c r="AD27" s="34">
        <f>DB_HighProject[[#This Row],[Actual]]-DB_HighProject[[#This Row],[Plan]]</f>
        <v>20.163908999999961</v>
      </c>
      <c r="AE27" s="34">
        <f>IF(DB_HighProject[[#This Row],[Plan]]&lt;&gt;0,DB_HighProject[[#This Row],[Actual]]/DB_HighProject[[#This Row],[Plan]],1.000011000011)</f>
        <v>1.1468536253916799</v>
      </c>
    </row>
    <row r="28" spans="1:31" x14ac:dyDescent="0.2">
      <c r="A28">
        <f>SUBTOTAL(3,$B$6:B28)</f>
        <v>12</v>
      </c>
      <c r="B28" t="s">
        <v>1</v>
      </c>
      <c r="C28" t="s">
        <v>947</v>
      </c>
      <c r="D28">
        <v>6923.6809999999996</v>
      </c>
      <c r="E28">
        <v>13818.388999999999</v>
      </c>
      <c r="F28">
        <v>8292.8060000000005</v>
      </c>
      <c r="G28">
        <v>11409.045</v>
      </c>
      <c r="H28">
        <v>16331.744999999997</v>
      </c>
      <c r="I28">
        <v>4083.8269999999998</v>
      </c>
      <c r="J28">
        <v>4256.5210000000006</v>
      </c>
      <c r="K28">
        <v>4083.8269999999998</v>
      </c>
      <c r="L28">
        <v>4083.8269999999998</v>
      </c>
      <c r="M28">
        <v>1531.049</v>
      </c>
      <c r="N28">
        <v>1531.049</v>
      </c>
      <c r="O28">
        <v>1703.7429999999999</v>
      </c>
      <c r="P28">
        <v>6831.78</v>
      </c>
      <c r="Q28">
        <v>13761.250000000002</v>
      </c>
      <c r="R28">
        <v>8321.81</v>
      </c>
      <c r="S28">
        <v>11374.05</v>
      </c>
      <c r="T28">
        <v>16436.73</v>
      </c>
      <c r="U28">
        <v>15531.17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s="34">
        <f>SUMPRODUCT(DB_HighProject[[#This Row],[Plan01]:[Plan12]],$D$4:$O$4)/valUnits2</f>
        <v>60.859492999999993</v>
      </c>
      <c r="AC28" s="34">
        <f>SUMPRODUCT(DB_HighProject[[#This Row],[Act01]:[Act12]],$P$4:$AA$4)/valUnits2</f>
        <v>72.256789999999995</v>
      </c>
      <c r="AD28" s="34">
        <f>DB_HighProject[[#This Row],[Actual]]-DB_HighProject[[#This Row],[Plan]]</f>
        <v>11.397297000000002</v>
      </c>
      <c r="AE28" s="34">
        <f>IF(DB_HighProject[[#This Row],[Plan]]&lt;&gt;0,DB_HighProject[[#This Row],[Actual]]/DB_HighProject[[#This Row],[Plan]],1.000011000011)</f>
        <v>1.1872722962052937</v>
      </c>
    </row>
    <row r="29" spans="1:31" hidden="1" x14ac:dyDescent="0.2">
      <c r="A29">
        <f>SUBTOTAL(3,$B$6:B29)</f>
        <v>12</v>
      </c>
      <c r="B29" t="s">
        <v>349</v>
      </c>
      <c r="C29" t="s">
        <v>943</v>
      </c>
      <c r="D29">
        <v>166415.59899999996</v>
      </c>
      <c r="E29">
        <v>6163.9379999999874</v>
      </c>
      <c r="F29">
        <v>246945.94300000006</v>
      </c>
      <c r="G29">
        <v>186113.20500000007</v>
      </c>
      <c r="H29">
        <v>41581.979000000007</v>
      </c>
      <c r="I29">
        <v>90653.274999999994</v>
      </c>
      <c r="P29">
        <v>161805.75</v>
      </c>
      <c r="Q29">
        <v>6313.020000000025</v>
      </c>
      <c r="R29">
        <v>251728.22000000009</v>
      </c>
      <c r="S29">
        <v>186058.44</v>
      </c>
      <c r="T29">
        <v>41285.0099999999</v>
      </c>
      <c r="U29">
        <v>106040.30000000002</v>
      </c>
      <c r="AB29" s="34">
        <f>SUMPRODUCT(DB_HighProject[[#This Row],[Plan01]:[Plan12]],$D$4:$O$4)/valUnits2</f>
        <v>737.87393900000018</v>
      </c>
      <c r="AC29" s="34">
        <f>SUMPRODUCT(DB_HighProject[[#This Row],[Act01]:[Act12]],$P$4:$AA$4)/valUnits2</f>
        <v>753.23074000000008</v>
      </c>
      <c r="AD29" s="34">
        <f>DB_HighProject[[#This Row],[Actual]]-DB_HighProject[[#This Row],[Plan]]</f>
        <v>15.356800999999905</v>
      </c>
      <c r="AE29" s="34">
        <f>IF(DB_HighProject[[#This Row],[Plan]]&lt;&gt;0,DB_HighProject[[#This Row],[Actual]]/DB_HighProject[[#This Row],[Plan]],1.000011000011)</f>
        <v>1.0208122284692858</v>
      </c>
    </row>
    <row r="30" spans="1:31" x14ac:dyDescent="0.2">
      <c r="A30">
        <f>SUBTOTAL(3,$B$6:B30)</f>
        <v>13</v>
      </c>
      <c r="B30" t="s">
        <v>1</v>
      </c>
      <c r="C30" t="s">
        <v>992</v>
      </c>
      <c r="D30">
        <v>2044.96</v>
      </c>
      <c r="E30">
        <v>2208.4100000000003</v>
      </c>
      <c r="F30">
        <v>2607.0700000000002</v>
      </c>
      <c r="G30">
        <v>8851.84</v>
      </c>
      <c r="H30">
        <v>4353.82</v>
      </c>
      <c r="I30">
        <v>2675.0009999999997</v>
      </c>
      <c r="J30">
        <v>2675.0009999999997</v>
      </c>
      <c r="K30">
        <v>3250.0010000000002</v>
      </c>
      <c r="L30">
        <v>2675.0009999999997</v>
      </c>
      <c r="M30">
        <v>2675.0009999999997</v>
      </c>
      <c r="N30">
        <v>2675.0009999999997</v>
      </c>
      <c r="O30">
        <v>2675.0009999999997</v>
      </c>
      <c r="P30">
        <v>2044.96</v>
      </c>
      <c r="Q30">
        <v>2208.41</v>
      </c>
      <c r="R30">
        <v>2800.6800000000003</v>
      </c>
      <c r="S30">
        <v>8973.9300000000021</v>
      </c>
      <c r="T30">
        <v>5481.2199999999993</v>
      </c>
      <c r="U30">
        <v>12525.36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s="34">
        <f>SUMPRODUCT(DB_HighProject[[#This Row],[Plan01]:[Plan12]],$D$4:$O$4)/valUnits2</f>
        <v>22.741101</v>
      </c>
      <c r="AC30" s="34">
        <f>SUMPRODUCT(DB_HighProject[[#This Row],[Act01]:[Act12]],$P$4:$AA$4)/valUnits2</f>
        <v>34.034560000000006</v>
      </c>
      <c r="AD30" s="34">
        <f>DB_HighProject[[#This Row],[Actual]]-DB_HighProject[[#This Row],[Plan]]</f>
        <v>11.293459000000006</v>
      </c>
      <c r="AE30" s="34">
        <f>IF(DB_HighProject[[#This Row],[Plan]]&lt;&gt;0,DB_HighProject[[#This Row],[Actual]]/DB_HighProject[[#This Row],[Plan]],1.000011000011)</f>
        <v>1.4966100366028894</v>
      </c>
    </row>
    <row r="31" spans="1:31" hidden="1" x14ac:dyDescent="0.2">
      <c r="A31">
        <f>SUBTOTAL(3,$B$6:B31)</f>
        <v>13</v>
      </c>
      <c r="B31" t="s">
        <v>351</v>
      </c>
      <c r="C31" t="s">
        <v>947</v>
      </c>
      <c r="D31">
        <v>6923.6809999999996</v>
      </c>
      <c r="E31">
        <v>13818.388999999999</v>
      </c>
      <c r="F31">
        <v>8292.8060000000005</v>
      </c>
      <c r="G31">
        <v>11409.045</v>
      </c>
      <c r="H31">
        <v>16331.744999999997</v>
      </c>
      <c r="I31">
        <v>4083.8269999999998</v>
      </c>
      <c r="J31">
        <v>4256.5210000000006</v>
      </c>
      <c r="K31">
        <v>4083.8269999999998</v>
      </c>
      <c r="L31">
        <v>4083.8269999999998</v>
      </c>
      <c r="M31">
        <v>1531.049</v>
      </c>
      <c r="N31">
        <v>1531.049</v>
      </c>
      <c r="O31">
        <v>1703.7429999999999</v>
      </c>
      <c r="P31">
        <v>6831.78</v>
      </c>
      <c r="Q31">
        <v>13761.250000000002</v>
      </c>
      <c r="R31">
        <v>8321.81</v>
      </c>
      <c r="S31">
        <v>11374.05</v>
      </c>
      <c r="T31">
        <v>16436.73</v>
      </c>
      <c r="U31">
        <v>15531.17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s="34">
        <f>SUMPRODUCT(DB_HighProject[[#This Row],[Plan01]:[Plan12]],$D$4:$O$4)/valUnits2</f>
        <v>60.859492999999993</v>
      </c>
      <c r="AC31" s="34">
        <f>SUMPRODUCT(DB_HighProject[[#This Row],[Act01]:[Act12]],$P$4:$AA$4)/valUnits2</f>
        <v>72.256789999999995</v>
      </c>
      <c r="AD31" s="34">
        <f>DB_HighProject[[#This Row],[Actual]]-DB_HighProject[[#This Row],[Plan]]</f>
        <v>11.397297000000002</v>
      </c>
      <c r="AE31" s="34">
        <f>IF(DB_HighProject[[#This Row],[Plan]]&lt;&gt;0,DB_HighProject[[#This Row],[Actual]]/DB_HighProject[[#This Row],[Plan]],1.000011000011)</f>
        <v>1.1872722962052937</v>
      </c>
    </row>
    <row r="32" spans="1:31" x14ac:dyDescent="0.2">
      <c r="A32">
        <f>SUBTOTAL(3,$B$6:B32)</f>
        <v>14</v>
      </c>
      <c r="B32" t="s">
        <v>1</v>
      </c>
      <c r="C32" t="s">
        <v>971</v>
      </c>
      <c r="D32">
        <v>28867.22</v>
      </c>
      <c r="E32">
        <v>35171.5</v>
      </c>
      <c r="F32">
        <v>54658.45</v>
      </c>
      <c r="G32">
        <v>41769.94</v>
      </c>
      <c r="H32">
        <v>36141.019999999997</v>
      </c>
      <c r="I32">
        <v>97259.601999999999</v>
      </c>
      <c r="J32">
        <v>120926.268</v>
      </c>
      <c r="K32">
        <v>78207.510999999999</v>
      </c>
      <c r="L32">
        <v>75379.601999999999</v>
      </c>
      <c r="M32">
        <v>106165.06</v>
      </c>
      <c r="N32">
        <v>66759.601999999999</v>
      </c>
      <c r="O32">
        <v>92875.165999999997</v>
      </c>
      <c r="P32">
        <v>28867.220000000005</v>
      </c>
      <c r="Q32">
        <v>35237.409999999996</v>
      </c>
      <c r="R32">
        <v>54658.44999999999</v>
      </c>
      <c r="S32">
        <v>41823.650000000009</v>
      </c>
      <c r="T32">
        <v>36201.340000000004</v>
      </c>
      <c r="U32">
        <v>106294.89000000006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s="34">
        <f>SUMPRODUCT(DB_HighProject[[#This Row],[Plan01]:[Plan12]],$D$4:$O$4)/valUnits2</f>
        <v>293.86773199999993</v>
      </c>
      <c r="AC32" s="34">
        <f>SUMPRODUCT(DB_HighProject[[#This Row],[Act01]:[Act12]],$P$4:$AA$4)/valUnits2</f>
        <v>303.08296000000001</v>
      </c>
      <c r="AD32" s="34">
        <f>DB_HighProject[[#This Row],[Actual]]-DB_HighProject[[#This Row],[Plan]]</f>
        <v>9.2152280000000815</v>
      </c>
      <c r="AE32" s="34">
        <f>IF(DB_HighProject[[#This Row],[Plan]]&lt;&gt;0,DB_HighProject[[#This Row],[Actual]]/DB_HighProject[[#This Row],[Plan]],1.000011000011)</f>
        <v>1.0313584208013695</v>
      </c>
    </row>
    <row r="33" spans="1:31" hidden="1" x14ac:dyDescent="0.2">
      <c r="A33">
        <f>SUBTOTAL(3,$B$6:B33)</f>
        <v>14</v>
      </c>
      <c r="B33" t="s">
        <v>342</v>
      </c>
      <c r="C33" t="s">
        <v>992</v>
      </c>
      <c r="D33">
        <v>2044.96</v>
      </c>
      <c r="E33">
        <v>2208.4100000000003</v>
      </c>
      <c r="F33">
        <v>2607.0700000000002</v>
      </c>
      <c r="G33">
        <v>8851.84</v>
      </c>
      <c r="H33">
        <v>4353.82</v>
      </c>
      <c r="I33">
        <v>2675.0009999999997</v>
      </c>
      <c r="J33">
        <v>2675.0009999999997</v>
      </c>
      <c r="K33">
        <v>3250.0010000000002</v>
      </c>
      <c r="L33">
        <v>2675.0009999999997</v>
      </c>
      <c r="M33">
        <v>2675.0009999999997</v>
      </c>
      <c r="N33">
        <v>2675.0009999999997</v>
      </c>
      <c r="O33">
        <v>2675.0009999999997</v>
      </c>
      <c r="P33">
        <v>2044.96</v>
      </c>
      <c r="Q33">
        <v>2208.41</v>
      </c>
      <c r="R33">
        <v>2800.6800000000003</v>
      </c>
      <c r="S33">
        <v>8973.9300000000021</v>
      </c>
      <c r="T33">
        <v>5481.2199999999993</v>
      </c>
      <c r="U33">
        <v>12525.36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s="34">
        <f>SUMPRODUCT(DB_HighProject[[#This Row],[Plan01]:[Plan12]],$D$4:$O$4)/valUnits2</f>
        <v>22.741101</v>
      </c>
      <c r="AC33" s="34">
        <f>SUMPRODUCT(DB_HighProject[[#This Row],[Act01]:[Act12]],$P$4:$AA$4)/valUnits2</f>
        <v>34.034560000000006</v>
      </c>
      <c r="AD33" s="34">
        <f>DB_HighProject[[#This Row],[Actual]]-DB_HighProject[[#This Row],[Plan]]</f>
        <v>11.293459000000006</v>
      </c>
      <c r="AE33" s="34">
        <f>IF(DB_HighProject[[#This Row],[Plan]]&lt;&gt;0,DB_HighProject[[#This Row],[Actual]]/DB_HighProject[[#This Row],[Plan]],1.000011000011)</f>
        <v>1.4966100366028894</v>
      </c>
    </row>
    <row r="34" spans="1:31" x14ac:dyDescent="0.2">
      <c r="A34">
        <f>SUBTOTAL(3,$B$6:B34)</f>
        <v>15</v>
      </c>
      <c r="B34" t="s">
        <v>1</v>
      </c>
      <c r="C34" t="s">
        <v>987</v>
      </c>
      <c r="D34">
        <v>29175.425000000007</v>
      </c>
      <c r="E34">
        <v>5391.5890000000009</v>
      </c>
      <c r="F34">
        <v>3659.296999999995</v>
      </c>
      <c r="G34">
        <v>15298.187999999998</v>
      </c>
      <c r="H34">
        <v>5988.0909999999985</v>
      </c>
      <c r="I34">
        <v>14621.733000000002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29736.31</v>
      </c>
      <c r="Q34">
        <v>5419.8799999999983</v>
      </c>
      <c r="R34">
        <v>3689.600000000004</v>
      </c>
      <c r="S34">
        <v>14909.330000000002</v>
      </c>
      <c r="T34">
        <v>6076.8099999999977</v>
      </c>
      <c r="U34">
        <v>19202.489999999994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s="34">
        <f>SUMPRODUCT(DB_HighProject[[#This Row],[Plan01]:[Plan12]],$D$4:$O$4)/valUnits2</f>
        <v>74.134323000000009</v>
      </c>
      <c r="AC34" s="34">
        <f>SUMPRODUCT(DB_HighProject[[#This Row],[Act01]:[Act12]],$P$4:$AA$4)/valUnits2</f>
        <v>79.034419999999997</v>
      </c>
      <c r="AD34" s="34">
        <f>DB_HighProject[[#This Row],[Actual]]-DB_HighProject[[#This Row],[Plan]]</f>
        <v>4.9000969999999882</v>
      </c>
      <c r="AE34" s="34">
        <f>IF(DB_HighProject[[#This Row],[Plan]]&lt;&gt;0,DB_HighProject[[#This Row],[Actual]]/DB_HighProject[[#This Row],[Plan]],1.000011000011)</f>
        <v>1.0660975483650128</v>
      </c>
    </row>
    <row r="35" spans="1:31" hidden="1" x14ac:dyDescent="0.2">
      <c r="A35">
        <f>SUBTOTAL(3,$B$6:B35)</f>
        <v>15</v>
      </c>
      <c r="B35" t="s">
        <v>343</v>
      </c>
      <c r="C35" t="s">
        <v>971</v>
      </c>
      <c r="D35">
        <v>28867.22</v>
      </c>
      <c r="E35">
        <v>35171.5</v>
      </c>
      <c r="F35">
        <v>54658.45</v>
      </c>
      <c r="G35">
        <v>41769.94</v>
      </c>
      <c r="H35">
        <v>36141.019999999997</v>
      </c>
      <c r="I35">
        <v>97259.601999999999</v>
      </c>
      <c r="J35">
        <v>120926.268</v>
      </c>
      <c r="K35">
        <v>78207.510999999999</v>
      </c>
      <c r="L35">
        <v>75379.601999999999</v>
      </c>
      <c r="M35">
        <v>106165.06</v>
      </c>
      <c r="N35">
        <v>66759.601999999999</v>
      </c>
      <c r="O35">
        <v>92875.165999999997</v>
      </c>
      <c r="P35">
        <v>28867.220000000005</v>
      </c>
      <c r="Q35">
        <v>35237.409999999996</v>
      </c>
      <c r="R35">
        <v>54658.44999999999</v>
      </c>
      <c r="S35">
        <v>41823.650000000009</v>
      </c>
      <c r="T35">
        <v>36201.340000000004</v>
      </c>
      <c r="U35">
        <v>106294.89000000006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s="34">
        <f>SUMPRODUCT(DB_HighProject[[#This Row],[Plan01]:[Plan12]],$D$4:$O$4)/valUnits2</f>
        <v>293.86773199999993</v>
      </c>
      <c r="AC35" s="34">
        <f>SUMPRODUCT(DB_HighProject[[#This Row],[Act01]:[Act12]],$P$4:$AA$4)/valUnits2</f>
        <v>303.08296000000001</v>
      </c>
      <c r="AD35" s="34">
        <f>DB_HighProject[[#This Row],[Actual]]-DB_HighProject[[#This Row],[Plan]]</f>
        <v>9.2152280000000815</v>
      </c>
      <c r="AE35" s="34">
        <f>IF(DB_HighProject[[#This Row],[Plan]]&lt;&gt;0,DB_HighProject[[#This Row],[Actual]]/DB_HighProject[[#This Row],[Plan]],1.000011000011)</f>
        <v>1.0313584208013695</v>
      </c>
    </row>
    <row r="36" spans="1:31" x14ac:dyDescent="0.2">
      <c r="A36">
        <f>SUBTOTAL(3,$B$6:B36)</f>
        <v>16</v>
      </c>
      <c r="B36" t="s">
        <v>1</v>
      </c>
      <c r="C36" t="s">
        <v>964</v>
      </c>
      <c r="D36">
        <v>26.3</v>
      </c>
      <c r="G36">
        <v>1305.654</v>
      </c>
      <c r="H36">
        <v>5367.0060000000003</v>
      </c>
      <c r="I36">
        <v>0</v>
      </c>
      <c r="P36">
        <v>26.3</v>
      </c>
      <c r="S36">
        <v>1298.21</v>
      </c>
      <c r="T36">
        <v>5395.34</v>
      </c>
      <c r="U36">
        <v>2024.49</v>
      </c>
      <c r="AB36" s="34">
        <f>SUMPRODUCT(DB_HighProject[[#This Row],[Plan01]:[Plan12]],$D$4:$O$4)/valUnits2</f>
        <v>6.6989600000000005</v>
      </c>
      <c r="AC36" s="34">
        <f>SUMPRODUCT(DB_HighProject[[#This Row],[Act01]:[Act12]],$P$4:$AA$4)/valUnits2</f>
        <v>8.7443399999999993</v>
      </c>
      <c r="AD36" s="34">
        <f>DB_HighProject[[#This Row],[Actual]]-DB_HighProject[[#This Row],[Plan]]</f>
        <v>2.0453799999999989</v>
      </c>
      <c r="AE36" s="34">
        <f>IF(DB_HighProject[[#This Row],[Plan]]&lt;&gt;0,DB_HighProject[[#This Row],[Actual]]/DB_HighProject[[#This Row],[Plan]],1.000011000011)</f>
        <v>1.3053279912105757</v>
      </c>
    </row>
    <row r="37" spans="1:31" hidden="1" x14ac:dyDescent="0.2">
      <c r="A37">
        <f>SUBTOTAL(3,$B$6:B37)</f>
        <v>16</v>
      </c>
      <c r="B37" t="s">
        <v>346</v>
      </c>
      <c r="C37" t="s">
        <v>987</v>
      </c>
      <c r="D37">
        <v>29175.425000000007</v>
      </c>
      <c r="E37">
        <v>5391.5890000000009</v>
      </c>
      <c r="F37">
        <v>3659.296999999995</v>
      </c>
      <c r="G37">
        <v>15298.187999999998</v>
      </c>
      <c r="H37">
        <v>5988.0909999999985</v>
      </c>
      <c r="I37">
        <v>14621.733000000002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29736.31</v>
      </c>
      <c r="Q37">
        <v>5419.8799999999983</v>
      </c>
      <c r="R37">
        <v>3689.600000000004</v>
      </c>
      <c r="S37">
        <v>14909.330000000002</v>
      </c>
      <c r="T37">
        <v>6076.8099999999977</v>
      </c>
      <c r="U37">
        <v>19202.489999999994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s="34">
        <f>SUMPRODUCT(DB_HighProject[[#This Row],[Plan01]:[Plan12]],$D$4:$O$4)/valUnits2</f>
        <v>74.134323000000009</v>
      </c>
      <c r="AC37" s="34">
        <f>SUMPRODUCT(DB_HighProject[[#This Row],[Act01]:[Act12]],$P$4:$AA$4)/valUnits2</f>
        <v>79.034419999999997</v>
      </c>
      <c r="AD37" s="34">
        <f>DB_HighProject[[#This Row],[Actual]]-DB_HighProject[[#This Row],[Plan]]</f>
        <v>4.9000969999999882</v>
      </c>
      <c r="AE37" s="34">
        <f>IF(DB_HighProject[[#This Row],[Plan]]&lt;&gt;0,DB_HighProject[[#This Row],[Actual]]/DB_HighProject[[#This Row],[Plan]],1.000011000011)</f>
        <v>1.0660975483650128</v>
      </c>
    </row>
    <row r="38" spans="1:31" x14ac:dyDescent="0.2">
      <c r="A38">
        <f>SUBTOTAL(3,$B$6:B38)</f>
        <v>17</v>
      </c>
      <c r="B38" t="s">
        <v>1</v>
      </c>
      <c r="C38" t="s">
        <v>941</v>
      </c>
      <c r="D38">
        <v>362.40800000000002</v>
      </c>
      <c r="E38">
        <v>371.08699999999999</v>
      </c>
      <c r="F38">
        <v>1466.7360000000001</v>
      </c>
      <c r="G38">
        <v>347.59</v>
      </c>
      <c r="H38">
        <v>298.589</v>
      </c>
      <c r="I38">
        <v>295.84000000000003</v>
      </c>
      <c r="J38">
        <v>295.84000000000003</v>
      </c>
      <c r="K38">
        <v>295.84000000000003</v>
      </c>
      <c r="L38">
        <v>295.84000000000003</v>
      </c>
      <c r="M38">
        <v>295.84000000000003</v>
      </c>
      <c r="N38">
        <v>295.84000000000003</v>
      </c>
      <c r="O38">
        <v>295.84000000000003</v>
      </c>
      <c r="P38">
        <v>362.41999999999996</v>
      </c>
      <c r="Q38">
        <v>369.39</v>
      </c>
      <c r="R38">
        <v>1459.06</v>
      </c>
      <c r="S38">
        <v>347.59</v>
      </c>
      <c r="T38">
        <v>297.64999999999998</v>
      </c>
      <c r="U38">
        <v>612.29999999999984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s="34">
        <f>SUMPRODUCT(DB_HighProject[[#This Row],[Plan01]:[Plan12]],$D$4:$O$4)/valUnits2</f>
        <v>3.1422500000000007</v>
      </c>
      <c r="AC38" s="34">
        <f>SUMPRODUCT(DB_HighProject[[#This Row],[Act01]:[Act12]],$P$4:$AA$4)/valUnits2</f>
        <v>3.44841</v>
      </c>
      <c r="AD38" s="34">
        <f>DB_HighProject[[#This Row],[Actual]]-DB_HighProject[[#This Row],[Plan]]</f>
        <v>0.30615999999999932</v>
      </c>
      <c r="AE38" s="34">
        <f>IF(DB_HighProject[[#This Row],[Plan]]&lt;&gt;0,DB_HighProject[[#This Row],[Actual]]/DB_HighProject[[#This Row],[Plan]],1.000011000011)</f>
        <v>1.0974333678096904</v>
      </c>
    </row>
    <row r="39" spans="1:31" hidden="1" x14ac:dyDescent="0.2">
      <c r="A39">
        <f>SUBTOTAL(3,$B$6:B39)</f>
        <v>17</v>
      </c>
      <c r="B39" t="s">
        <v>351</v>
      </c>
      <c r="C39" t="s">
        <v>964</v>
      </c>
      <c r="D39">
        <v>26.3</v>
      </c>
      <c r="G39">
        <v>1305.654</v>
      </c>
      <c r="H39">
        <v>5367.0060000000003</v>
      </c>
      <c r="I39">
        <v>0</v>
      </c>
      <c r="P39">
        <v>26.3</v>
      </c>
      <c r="S39">
        <v>1298.21</v>
      </c>
      <c r="T39">
        <v>5395.34</v>
      </c>
      <c r="U39">
        <v>2024.49</v>
      </c>
      <c r="AB39" s="34">
        <f>SUMPRODUCT(DB_HighProject[[#This Row],[Plan01]:[Plan12]],$D$4:$O$4)/valUnits2</f>
        <v>6.6989600000000005</v>
      </c>
      <c r="AC39" s="34">
        <f>SUMPRODUCT(DB_HighProject[[#This Row],[Act01]:[Act12]],$P$4:$AA$4)/valUnits2</f>
        <v>8.7443399999999993</v>
      </c>
      <c r="AD39" s="34">
        <f>DB_HighProject[[#This Row],[Actual]]-DB_HighProject[[#This Row],[Plan]]</f>
        <v>2.0453799999999989</v>
      </c>
      <c r="AE39" s="34">
        <f>IF(DB_HighProject[[#This Row],[Plan]]&lt;&gt;0,DB_HighProject[[#This Row],[Actual]]/DB_HighProject[[#This Row],[Plan]],1.000011000011)</f>
        <v>1.3053279912105757</v>
      </c>
    </row>
    <row r="40" spans="1:31" x14ac:dyDescent="0.2">
      <c r="A40">
        <f>SUBTOTAL(3,$B$6:B40)</f>
        <v>18</v>
      </c>
      <c r="B40" t="s">
        <v>1</v>
      </c>
      <c r="C40" t="s">
        <v>977</v>
      </c>
      <c r="F40">
        <v>-34974.351000000002</v>
      </c>
      <c r="R40">
        <v>-34749.879999999997</v>
      </c>
      <c r="AB40" s="34">
        <f>SUMPRODUCT(DB_HighProject[[#This Row],[Plan01]:[Plan12]],$D$4:$O$4)/valUnits2</f>
        <v>-34.974351000000006</v>
      </c>
      <c r="AC40" s="34">
        <f>SUMPRODUCT(DB_HighProject[[#This Row],[Act01]:[Act12]],$P$4:$AA$4)/valUnits2</f>
        <v>-34.749879999999997</v>
      </c>
      <c r="AD40" s="34">
        <f>DB_HighProject[[#This Row],[Actual]]-DB_HighProject[[#This Row],[Plan]]</f>
        <v>0.2244710000000083</v>
      </c>
      <c r="AE40" s="34">
        <f>IF(DB_HighProject[[#This Row],[Plan]]&lt;&gt;0,DB_HighProject[[#This Row],[Actual]]/DB_HighProject[[#This Row],[Plan]],1.000011000011)</f>
        <v>0.99358183944571243</v>
      </c>
    </row>
    <row r="41" spans="1:31" hidden="1" x14ac:dyDescent="0.2">
      <c r="A41">
        <f>SUBTOTAL(3,$B$6:B41)</f>
        <v>18</v>
      </c>
      <c r="B41" t="s">
        <v>342</v>
      </c>
      <c r="C41" t="s">
        <v>997</v>
      </c>
      <c r="D41">
        <v>14713.721000000021</v>
      </c>
      <c r="E41">
        <v>64875.019000000008</v>
      </c>
      <c r="F41">
        <v>30457.131999999998</v>
      </c>
      <c r="G41">
        <v>19638.602000000003</v>
      </c>
      <c r="H41">
        <v>-33593.121000000014</v>
      </c>
      <c r="I41">
        <v>2163.116</v>
      </c>
      <c r="J41">
        <v>1569.923</v>
      </c>
      <c r="K41">
        <v>1416.6669999999999</v>
      </c>
      <c r="L41">
        <v>1416.6669999999999</v>
      </c>
      <c r="M41">
        <v>1416.6669999999999</v>
      </c>
      <c r="N41">
        <v>1416.6669999999999</v>
      </c>
      <c r="O41">
        <v>1416.6669999999999</v>
      </c>
      <c r="P41">
        <v>13278.270000000011</v>
      </c>
      <c r="Q41">
        <v>65002.16</v>
      </c>
      <c r="R41">
        <v>29389.319999999992</v>
      </c>
      <c r="S41">
        <v>18207.579999999994</v>
      </c>
      <c r="T41">
        <v>-35489.639999999992</v>
      </c>
      <c r="U41">
        <v>4203.3499999999813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s="34">
        <f>SUMPRODUCT(DB_HighProject[[#This Row],[Plan01]:[Plan12]],$D$4:$O$4)/valUnits2</f>
        <v>98.254469000000014</v>
      </c>
      <c r="AC41" s="34">
        <f>SUMPRODUCT(DB_HighProject[[#This Row],[Act01]:[Act12]],$P$4:$AA$4)/valUnits2</f>
        <v>94.591040000000007</v>
      </c>
      <c r="AD41" s="34">
        <f>DB_HighProject[[#This Row],[Actual]]-DB_HighProject[[#This Row],[Plan]]</f>
        <v>-3.6634290000000078</v>
      </c>
      <c r="AE41" s="34">
        <f>IF(DB_HighProject[[#This Row],[Plan]]&lt;&gt;0,DB_HighProject[[#This Row],[Actual]]/DB_HighProject[[#This Row],[Plan]],1.000011000011)</f>
        <v>0.96271488679054373</v>
      </c>
    </row>
    <row r="42" spans="1:31" x14ac:dyDescent="0.2">
      <c r="A42">
        <f>SUBTOTAL(3,$B$6:B42)</f>
        <v>19</v>
      </c>
      <c r="B42" t="s">
        <v>1</v>
      </c>
      <c r="C42" t="s">
        <v>991</v>
      </c>
      <c r="D42">
        <v>1118.7</v>
      </c>
      <c r="I42">
        <v>0</v>
      </c>
      <c r="P42">
        <v>1118.7</v>
      </c>
      <c r="U42">
        <v>172.62</v>
      </c>
      <c r="AB42" s="34">
        <f>SUMPRODUCT(DB_HighProject[[#This Row],[Plan01]:[Plan12]],$D$4:$O$4)/valUnits2</f>
        <v>1.1187</v>
      </c>
      <c r="AC42" s="34">
        <f>SUMPRODUCT(DB_HighProject[[#This Row],[Act01]:[Act12]],$P$4:$AA$4)/valUnits2</f>
        <v>1.2913200000000002</v>
      </c>
      <c r="AD42" s="34">
        <f>DB_HighProject[[#This Row],[Actual]]-DB_HighProject[[#This Row],[Plan]]</f>
        <v>0.17262000000000022</v>
      </c>
      <c r="AE42" s="34">
        <f>IF(DB_HighProject[[#This Row],[Plan]]&lt;&gt;0,DB_HighProject[[#This Row],[Actual]]/DB_HighProject[[#This Row],[Plan]],1.000011000011)</f>
        <v>1.1543041029766696</v>
      </c>
    </row>
    <row r="43" spans="1:31" hidden="1" x14ac:dyDescent="0.2">
      <c r="A43">
        <f>SUBTOTAL(3,$B$6:B43)</f>
        <v>19</v>
      </c>
      <c r="B43" t="s">
        <v>351</v>
      </c>
      <c r="C43" t="s">
        <v>950</v>
      </c>
      <c r="D43">
        <v>10744.099999999999</v>
      </c>
      <c r="E43">
        <v>13504.11</v>
      </c>
      <c r="F43">
        <v>16400.11</v>
      </c>
      <c r="G43">
        <v>10188.580000000002</v>
      </c>
      <c r="H43">
        <v>12552.95</v>
      </c>
      <c r="I43">
        <v>15299.603000000001</v>
      </c>
      <c r="J43">
        <v>15299.603000000001</v>
      </c>
      <c r="K43">
        <v>17769.600999999999</v>
      </c>
      <c r="L43">
        <v>15299.603000000001</v>
      </c>
      <c r="M43">
        <v>15299.603000000001</v>
      </c>
      <c r="N43">
        <v>15299.603000000001</v>
      </c>
      <c r="O43">
        <v>15299.603000000003</v>
      </c>
      <c r="P43">
        <v>10744.1</v>
      </c>
      <c r="Q43">
        <v>13504.110000000002</v>
      </c>
      <c r="R43">
        <v>16400.11</v>
      </c>
      <c r="S43">
        <v>10367.759999999998</v>
      </c>
      <c r="T43">
        <v>12552.950000000003</v>
      </c>
      <c r="U43">
        <v>14755.189999999999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s="34">
        <f>SUMPRODUCT(DB_HighProject[[#This Row],[Plan01]:[Plan12]],$D$4:$O$4)/valUnits2</f>
        <v>78.689453000000015</v>
      </c>
      <c r="AC43" s="34">
        <f>SUMPRODUCT(DB_HighProject[[#This Row],[Act01]:[Act12]],$P$4:$AA$4)/valUnits2</f>
        <v>78.324219999999997</v>
      </c>
      <c r="AD43" s="34">
        <f>DB_HighProject[[#This Row],[Actual]]-DB_HighProject[[#This Row],[Plan]]</f>
        <v>-0.36523300000001768</v>
      </c>
      <c r="AE43" s="34">
        <f>IF(DB_HighProject[[#This Row],[Plan]]&lt;&gt;0,DB_HighProject[[#This Row],[Actual]]/DB_HighProject[[#This Row],[Plan]],1.000011000011)</f>
        <v>0.99535855205398338</v>
      </c>
    </row>
    <row r="44" spans="1:31" x14ac:dyDescent="0.2">
      <c r="A44">
        <f>SUBTOTAL(3,$B$6:B44)</f>
        <v>20</v>
      </c>
      <c r="B44" t="s">
        <v>1</v>
      </c>
      <c r="C44" t="s">
        <v>951</v>
      </c>
      <c r="F44">
        <v>942.30700000000002</v>
      </c>
      <c r="G44">
        <v>11574.745000000001</v>
      </c>
      <c r="R44">
        <v>936.19</v>
      </c>
      <c r="S44">
        <v>11651.449999999999</v>
      </c>
      <c r="AB44" s="34">
        <f>SUMPRODUCT(DB_HighProject[[#This Row],[Plan01]:[Plan12]],$D$4:$O$4)/valUnits2</f>
        <v>12.517052000000001</v>
      </c>
      <c r="AC44" s="34">
        <f>SUMPRODUCT(DB_HighProject[[#This Row],[Act01]:[Act12]],$P$4:$AA$4)/valUnits2</f>
        <v>12.587639999999999</v>
      </c>
      <c r="AD44" s="34">
        <f>DB_HighProject[[#This Row],[Actual]]-DB_HighProject[[#This Row],[Plan]]</f>
        <v>7.0587999999997209E-2</v>
      </c>
      <c r="AE44" s="34">
        <f>IF(DB_HighProject[[#This Row],[Plan]]&lt;&gt;0,DB_HighProject[[#This Row],[Actual]]/DB_HighProject[[#This Row],[Plan]],1.000011000011)</f>
        <v>1.0056393470283576</v>
      </c>
    </row>
    <row r="45" spans="1:31" hidden="1" x14ac:dyDescent="0.2">
      <c r="A45">
        <f>SUBTOTAL(3,$B$6:B45)</f>
        <v>20</v>
      </c>
      <c r="B45" t="s">
        <v>350</v>
      </c>
      <c r="C45" t="s">
        <v>941</v>
      </c>
      <c r="D45">
        <v>362.40800000000002</v>
      </c>
      <c r="E45">
        <v>371.08699999999999</v>
      </c>
      <c r="F45">
        <v>1466.7360000000001</v>
      </c>
      <c r="G45">
        <v>347.59</v>
      </c>
      <c r="H45">
        <v>298.589</v>
      </c>
      <c r="I45">
        <v>295.84000000000003</v>
      </c>
      <c r="J45">
        <v>295.84000000000003</v>
      </c>
      <c r="K45">
        <v>295.84000000000003</v>
      </c>
      <c r="L45">
        <v>295.84000000000003</v>
      </c>
      <c r="M45">
        <v>295.84000000000003</v>
      </c>
      <c r="N45">
        <v>295.84000000000003</v>
      </c>
      <c r="O45">
        <v>295.84000000000003</v>
      </c>
      <c r="P45">
        <v>362.41999999999996</v>
      </c>
      <c r="Q45">
        <v>369.39</v>
      </c>
      <c r="R45">
        <v>1459.06</v>
      </c>
      <c r="S45">
        <v>347.59</v>
      </c>
      <c r="T45">
        <v>297.64999999999998</v>
      </c>
      <c r="U45">
        <v>612.29999999999984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s="34">
        <f>SUMPRODUCT(DB_HighProject[[#This Row],[Plan01]:[Plan12]],$D$4:$O$4)/valUnits2</f>
        <v>3.1422500000000007</v>
      </c>
      <c r="AC45" s="34">
        <f>SUMPRODUCT(DB_HighProject[[#This Row],[Act01]:[Act12]],$P$4:$AA$4)/valUnits2</f>
        <v>3.44841</v>
      </c>
      <c r="AD45" s="34">
        <f>DB_HighProject[[#This Row],[Actual]]-DB_HighProject[[#This Row],[Plan]]</f>
        <v>0.30615999999999932</v>
      </c>
      <c r="AE45" s="34">
        <f>IF(DB_HighProject[[#This Row],[Plan]]&lt;&gt;0,DB_HighProject[[#This Row],[Actual]]/DB_HighProject[[#This Row],[Plan]],1.000011000011)</f>
        <v>1.0974333678096904</v>
      </c>
    </row>
    <row r="46" spans="1:31" x14ac:dyDescent="0.2">
      <c r="A46">
        <f>SUBTOTAL(3,$B$6:B46)</f>
        <v>21</v>
      </c>
      <c r="B46" t="s">
        <v>1</v>
      </c>
      <c r="C46" t="s">
        <v>953</v>
      </c>
      <c r="F46">
        <v>336.26799999999997</v>
      </c>
      <c r="G46">
        <v>320.65600000000001</v>
      </c>
      <c r="H46">
        <v>175.089</v>
      </c>
      <c r="I46">
        <v>554.19900000000007</v>
      </c>
      <c r="J46">
        <v>1924.893</v>
      </c>
      <c r="K46">
        <v>1924.893</v>
      </c>
      <c r="L46">
        <v>554.19899999999996</v>
      </c>
      <c r="M46">
        <v>1924.893</v>
      </c>
      <c r="N46">
        <v>1924.893</v>
      </c>
      <c r="O46">
        <v>554.19900000000007</v>
      </c>
      <c r="R46">
        <v>335.14</v>
      </c>
      <c r="S46">
        <v>314.66999999999996</v>
      </c>
      <c r="T46">
        <v>175.92000000000002</v>
      </c>
      <c r="U46">
        <v>597.64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s="34">
        <f>SUMPRODUCT(DB_HighProject[[#This Row],[Plan01]:[Plan12]],$D$4:$O$4)/valUnits2</f>
        <v>1.386212</v>
      </c>
      <c r="AC46" s="34">
        <f>SUMPRODUCT(DB_HighProject[[#This Row],[Act01]:[Act12]],$P$4:$AA$4)/valUnits2</f>
        <v>1.4233699999999998</v>
      </c>
      <c r="AD46" s="34">
        <f>DB_HighProject[[#This Row],[Actual]]-DB_HighProject[[#This Row],[Plan]]</f>
        <v>3.7157999999999802E-2</v>
      </c>
      <c r="AE46" s="34">
        <f>IF(DB_HighProject[[#This Row],[Plan]]&lt;&gt;0,DB_HighProject[[#This Row],[Actual]]/DB_HighProject[[#This Row],[Plan]],1.000011000011)</f>
        <v>1.026805423701425</v>
      </c>
    </row>
    <row r="47" spans="1:31" hidden="1" x14ac:dyDescent="0.2">
      <c r="A47">
        <f>SUBTOTAL(3,$B$6:B47)</f>
        <v>21</v>
      </c>
      <c r="B47" t="s">
        <v>347</v>
      </c>
      <c r="C47" t="s">
        <v>991</v>
      </c>
      <c r="D47">
        <v>1118.7</v>
      </c>
      <c r="I47">
        <v>0</v>
      </c>
      <c r="P47">
        <v>1118.7</v>
      </c>
      <c r="U47">
        <v>172.62</v>
      </c>
      <c r="AB47" s="34">
        <f>SUMPRODUCT(DB_HighProject[[#This Row],[Plan01]:[Plan12]],$D$4:$O$4)/valUnits2</f>
        <v>1.1187</v>
      </c>
      <c r="AC47" s="34">
        <f>SUMPRODUCT(DB_HighProject[[#This Row],[Act01]:[Act12]],$P$4:$AA$4)/valUnits2</f>
        <v>1.2913200000000002</v>
      </c>
      <c r="AD47" s="34">
        <f>DB_HighProject[[#This Row],[Actual]]-DB_HighProject[[#This Row],[Plan]]</f>
        <v>0.17262000000000022</v>
      </c>
      <c r="AE47" s="34">
        <f>IF(DB_HighProject[[#This Row],[Plan]]&lt;&gt;0,DB_HighProject[[#This Row],[Actual]]/DB_HighProject[[#This Row],[Plan]],1.000011000011)</f>
        <v>1.1543041029766696</v>
      </c>
    </row>
    <row r="48" spans="1:31" x14ac:dyDescent="0.2">
      <c r="A48">
        <f>SUBTOTAL(3,$B$6:B48)</f>
        <v>22</v>
      </c>
      <c r="B48" t="s">
        <v>1</v>
      </c>
      <c r="C48" t="s">
        <v>949</v>
      </c>
      <c r="D48">
        <v>-405.262</v>
      </c>
      <c r="P48">
        <v>-387.54</v>
      </c>
      <c r="AB48" s="34">
        <f>SUMPRODUCT(DB_HighProject[[#This Row],[Plan01]:[Plan12]],$D$4:$O$4)/valUnits2</f>
        <v>-0.40526200000000001</v>
      </c>
      <c r="AC48" s="34">
        <f>SUMPRODUCT(DB_HighProject[[#This Row],[Act01]:[Act12]],$P$4:$AA$4)/valUnits2</f>
        <v>-0.38754</v>
      </c>
      <c r="AD48" s="34">
        <f>DB_HighProject[[#This Row],[Actual]]-DB_HighProject[[#This Row],[Plan]]</f>
        <v>1.7722000000000016E-2</v>
      </c>
      <c r="AE48" s="34">
        <f>IF(DB_HighProject[[#This Row],[Plan]]&lt;&gt;0,DB_HighProject[[#This Row],[Actual]]/DB_HighProject[[#This Row],[Plan]],1.000011000011)</f>
        <v>0.95627026466828857</v>
      </c>
    </row>
    <row r="49" spans="1:31" hidden="1" x14ac:dyDescent="0.2">
      <c r="A49">
        <f>SUBTOTAL(3,$B$6:B49)</f>
        <v>22</v>
      </c>
      <c r="B49" t="s">
        <v>347</v>
      </c>
      <c r="C49" t="s">
        <v>948</v>
      </c>
      <c r="D49">
        <v>0</v>
      </c>
      <c r="E49">
        <v>0</v>
      </c>
      <c r="F49">
        <v>0</v>
      </c>
      <c r="G49">
        <v>875.94500000000005</v>
      </c>
      <c r="H49">
        <v>863.30100000000004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850.24</v>
      </c>
      <c r="T49">
        <v>840.46</v>
      </c>
      <c r="U49">
        <v>65.81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s="34">
        <f>SUMPRODUCT(DB_HighProject[[#This Row],[Plan01]:[Plan12]],$D$4:$O$4)/valUnits2</f>
        <v>1.7392460000000001</v>
      </c>
      <c r="AC49" s="34">
        <f>SUMPRODUCT(DB_HighProject[[#This Row],[Act01]:[Act12]],$P$4:$AA$4)/valUnits2</f>
        <v>1.75651</v>
      </c>
      <c r="AD49" s="34">
        <f>DB_HighProject[[#This Row],[Actual]]-DB_HighProject[[#This Row],[Plan]]</f>
        <v>1.7263999999999946E-2</v>
      </c>
      <c r="AE49" s="34">
        <f>IF(DB_HighProject[[#This Row],[Plan]]&lt;&gt;0,DB_HighProject[[#This Row],[Actual]]/DB_HighProject[[#This Row],[Plan]],1.000011000011)</f>
        <v>1.0099261404079698</v>
      </c>
    </row>
    <row r="50" spans="1:31" x14ac:dyDescent="0.2">
      <c r="A50">
        <f>SUBTOTAL(3,$B$6:B50)</f>
        <v>23</v>
      </c>
      <c r="B50" t="s">
        <v>1</v>
      </c>
      <c r="C50" t="s">
        <v>948</v>
      </c>
      <c r="D50">
        <v>0</v>
      </c>
      <c r="E50">
        <v>0</v>
      </c>
      <c r="F50">
        <v>0</v>
      </c>
      <c r="G50">
        <v>875.94500000000005</v>
      </c>
      <c r="H50">
        <v>863.30100000000004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850.24</v>
      </c>
      <c r="T50">
        <v>840.46</v>
      </c>
      <c r="U50">
        <v>65.81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s="34">
        <f>SUMPRODUCT(DB_HighProject[[#This Row],[Plan01]:[Plan12]],$D$4:$O$4)/valUnits2</f>
        <v>1.7392460000000001</v>
      </c>
      <c r="AC50" s="34">
        <f>SUMPRODUCT(DB_HighProject[[#This Row],[Act01]:[Act12]],$P$4:$AA$4)/valUnits2</f>
        <v>1.75651</v>
      </c>
      <c r="AD50" s="34">
        <f>DB_HighProject[[#This Row],[Actual]]-DB_HighProject[[#This Row],[Plan]]</f>
        <v>1.7263999999999946E-2</v>
      </c>
      <c r="AE50" s="34">
        <f>IF(DB_HighProject[[#This Row],[Plan]]&lt;&gt;0,DB_HighProject[[#This Row],[Actual]]/DB_HighProject[[#This Row],[Plan]],1.000011000011)</f>
        <v>1.0099261404079698</v>
      </c>
    </row>
    <row r="51" spans="1:31" hidden="1" x14ac:dyDescent="0.2">
      <c r="A51">
        <f>SUBTOTAL(3,$B$6:B51)</f>
        <v>23</v>
      </c>
      <c r="B51" t="s">
        <v>346</v>
      </c>
      <c r="C51" t="s">
        <v>953</v>
      </c>
      <c r="F51">
        <v>336.26799999999997</v>
      </c>
      <c r="G51">
        <v>320.65600000000001</v>
      </c>
      <c r="H51">
        <v>175.089</v>
      </c>
      <c r="I51">
        <v>554.19900000000007</v>
      </c>
      <c r="J51">
        <v>1924.893</v>
      </c>
      <c r="K51">
        <v>1924.893</v>
      </c>
      <c r="L51">
        <v>554.19899999999996</v>
      </c>
      <c r="M51">
        <v>1924.893</v>
      </c>
      <c r="N51">
        <v>1924.893</v>
      </c>
      <c r="O51">
        <v>554.19900000000007</v>
      </c>
      <c r="R51">
        <v>335.14</v>
      </c>
      <c r="S51">
        <v>314.66999999999996</v>
      </c>
      <c r="T51">
        <v>175.92000000000002</v>
      </c>
      <c r="U51">
        <v>597.64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s="34">
        <f>SUMPRODUCT(DB_HighProject[[#This Row],[Plan01]:[Plan12]],$D$4:$O$4)/valUnits2</f>
        <v>1.386212</v>
      </c>
      <c r="AC51" s="34">
        <f>SUMPRODUCT(DB_HighProject[[#This Row],[Act01]:[Act12]],$P$4:$AA$4)/valUnits2</f>
        <v>1.4233699999999998</v>
      </c>
      <c r="AD51" s="34">
        <f>DB_HighProject[[#This Row],[Actual]]-DB_HighProject[[#This Row],[Plan]]</f>
        <v>3.7157999999999802E-2</v>
      </c>
      <c r="AE51" s="34">
        <f>IF(DB_HighProject[[#This Row],[Plan]]&lt;&gt;0,DB_HighProject[[#This Row],[Actual]]/DB_HighProject[[#This Row],[Plan]],1.000011000011)</f>
        <v>1.026805423701425</v>
      </c>
    </row>
    <row r="52" spans="1:31" x14ac:dyDescent="0.2">
      <c r="A52">
        <f>SUBTOTAL(3,$B$6:B52)</f>
        <v>24</v>
      </c>
      <c r="B52" t="s">
        <v>1</v>
      </c>
      <c r="C52" t="s">
        <v>965</v>
      </c>
      <c r="F52">
        <v>-672.90200000000004</v>
      </c>
      <c r="R52">
        <v>-663.63</v>
      </c>
      <c r="AB52" s="34">
        <f>SUMPRODUCT(DB_HighProject[[#This Row],[Plan01]:[Plan12]],$D$4:$O$4)/valUnits2</f>
        <v>-0.672902</v>
      </c>
      <c r="AC52" s="34">
        <f>SUMPRODUCT(DB_HighProject[[#This Row],[Act01]:[Act12]],$P$4:$AA$4)/valUnits2</f>
        <v>-0.66362999999999994</v>
      </c>
      <c r="AD52" s="34">
        <f>DB_HighProject[[#This Row],[Actual]]-DB_HighProject[[#This Row],[Plan]]</f>
        <v>9.272000000000058E-3</v>
      </c>
      <c r="AE52" s="34">
        <f>IF(DB_HighProject[[#This Row],[Plan]]&lt;&gt;0,DB_HighProject[[#This Row],[Actual]]/DB_HighProject[[#This Row],[Plan]],1.000011000011)</f>
        <v>0.98622087614541187</v>
      </c>
    </row>
    <row r="53" spans="1:31" x14ac:dyDescent="0.2">
      <c r="A53">
        <f>SUBTOTAL(3,$B$6:B53)</f>
        <v>25</v>
      </c>
      <c r="B53" t="s">
        <v>1</v>
      </c>
      <c r="C53" t="s">
        <v>960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AB53" s="34">
        <f>SUMPRODUCT(DB_HighProject[[#This Row],[Plan01]:[Plan12]],$D$4:$O$4)/valUnits2</f>
        <v>0</v>
      </c>
      <c r="AC53" s="34">
        <f>SUMPRODUCT(DB_HighProject[[#This Row],[Act01]:[Act12]],$P$4:$AA$4)/valUnits2</f>
        <v>0</v>
      </c>
      <c r="AD53" s="34">
        <f>DB_HighProject[[#This Row],[Actual]]-DB_HighProject[[#This Row],[Plan]]</f>
        <v>0</v>
      </c>
      <c r="AE53" s="34">
        <f>IF(DB_HighProject[[#This Row],[Plan]]&lt;&gt;0,DB_HighProject[[#This Row],[Actual]]/DB_HighProject[[#This Row],[Plan]],1.000011000011)</f>
        <v>1.0000110000110001</v>
      </c>
    </row>
    <row r="54" spans="1:31" x14ac:dyDescent="0.2">
      <c r="A54">
        <f>SUBTOTAL(3,$B$6:B54)</f>
        <v>26</v>
      </c>
      <c r="B54" t="s">
        <v>1</v>
      </c>
      <c r="C54" t="s">
        <v>961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s="34">
        <f>SUMPRODUCT(DB_HighProject[[#This Row],[Plan01]:[Plan12]],$D$4:$O$4)/valUnits2</f>
        <v>0</v>
      </c>
      <c r="AC54" s="34">
        <f>SUMPRODUCT(DB_HighProject[[#This Row],[Act01]:[Act12]],$P$4:$AA$4)/valUnits2</f>
        <v>0</v>
      </c>
      <c r="AD54" s="34">
        <f>DB_HighProject[[#This Row],[Actual]]-DB_HighProject[[#This Row],[Plan]]</f>
        <v>0</v>
      </c>
      <c r="AE54" s="34">
        <f>IF(DB_HighProject[[#This Row],[Plan]]&lt;&gt;0,DB_HighProject[[#This Row],[Actual]]/DB_HighProject[[#This Row],[Plan]],1.000011000011)</f>
        <v>1.0000110000110001</v>
      </c>
    </row>
    <row r="55" spans="1:31" x14ac:dyDescent="0.2">
      <c r="A55">
        <f>SUBTOTAL(3,$B$6:B55)</f>
        <v>27</v>
      </c>
      <c r="B55" t="s">
        <v>1</v>
      </c>
      <c r="C55" t="s">
        <v>989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AB55" s="34">
        <f>SUMPRODUCT(DB_HighProject[[#This Row],[Plan01]:[Plan12]],$D$4:$O$4)/valUnits2</f>
        <v>0</v>
      </c>
      <c r="AC55" s="34">
        <f>SUMPRODUCT(DB_HighProject[[#This Row],[Act01]:[Act12]],$P$4:$AA$4)/valUnits2</f>
        <v>0</v>
      </c>
      <c r="AD55" s="34">
        <f>DB_HighProject[[#This Row],[Actual]]-DB_HighProject[[#This Row],[Plan]]</f>
        <v>0</v>
      </c>
      <c r="AE55" s="34">
        <f>IF(DB_HighProject[[#This Row],[Plan]]&lt;&gt;0,DB_HighProject[[#This Row],[Actual]]/DB_HighProject[[#This Row],[Plan]],1.000011000011)</f>
        <v>1.0000110000110001</v>
      </c>
    </row>
    <row r="56" spans="1:31" x14ac:dyDescent="0.2">
      <c r="A56">
        <f>SUBTOTAL(3,$B$6:B56)</f>
        <v>28</v>
      </c>
      <c r="B56" t="s">
        <v>1</v>
      </c>
      <c r="C56" t="s">
        <v>994</v>
      </c>
      <c r="D56">
        <v>49.540000000000006</v>
      </c>
      <c r="P56">
        <v>49.539999999999992</v>
      </c>
      <c r="AB56" s="34">
        <f>SUMPRODUCT(DB_HighProject[[#This Row],[Plan01]:[Plan12]],$D$4:$O$4)/valUnits2</f>
        <v>4.9540000000000008E-2</v>
      </c>
      <c r="AC56" s="34">
        <f>SUMPRODUCT(DB_HighProject[[#This Row],[Act01]:[Act12]],$P$4:$AA$4)/valUnits2</f>
        <v>4.9539999999999994E-2</v>
      </c>
      <c r="AD56" s="34">
        <f>DB_HighProject[[#This Row],[Actual]]-DB_HighProject[[#This Row],[Plan]]</f>
        <v>0</v>
      </c>
      <c r="AE56" s="34">
        <f>IF(DB_HighProject[[#This Row],[Plan]]&lt;&gt;0,DB_HighProject[[#This Row],[Actual]]/DB_HighProject[[#This Row],[Plan]],1.000011000011)</f>
        <v>0.99999999999999967</v>
      </c>
    </row>
    <row r="57" spans="1:31" x14ac:dyDescent="0.2">
      <c r="A57">
        <f>SUBTOTAL(3,$B$6:B57)</f>
        <v>29</v>
      </c>
      <c r="B57" t="s">
        <v>1</v>
      </c>
      <c r="C57" t="s">
        <v>972</v>
      </c>
      <c r="D57">
        <v>0</v>
      </c>
      <c r="E57">
        <v>0</v>
      </c>
      <c r="F57">
        <v>0</v>
      </c>
      <c r="G57">
        <v>0</v>
      </c>
      <c r="H57">
        <v>114.91</v>
      </c>
      <c r="I57">
        <v>350</v>
      </c>
      <c r="J57">
        <v>350</v>
      </c>
      <c r="K57">
        <v>350</v>
      </c>
      <c r="L57">
        <v>350</v>
      </c>
      <c r="M57">
        <v>350</v>
      </c>
      <c r="N57">
        <v>350</v>
      </c>
      <c r="O57">
        <v>350</v>
      </c>
      <c r="P57">
        <v>0</v>
      </c>
      <c r="Q57">
        <v>0</v>
      </c>
      <c r="R57">
        <v>0</v>
      </c>
      <c r="S57">
        <v>0</v>
      </c>
      <c r="T57">
        <v>114.91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s="34">
        <f>SUMPRODUCT(DB_HighProject[[#This Row],[Plan01]:[Plan12]],$D$4:$O$4)/valUnits2</f>
        <v>0.46490999999999999</v>
      </c>
      <c r="AC57" s="34">
        <f>SUMPRODUCT(DB_HighProject[[#This Row],[Act01]:[Act12]],$P$4:$AA$4)/valUnits2</f>
        <v>0.11491</v>
      </c>
      <c r="AD57" s="34">
        <f>DB_HighProject[[#This Row],[Actual]]-DB_HighProject[[#This Row],[Plan]]</f>
        <v>-0.35</v>
      </c>
      <c r="AE57" s="34">
        <f>IF(DB_HighProject[[#This Row],[Plan]]&lt;&gt;0,DB_HighProject[[#This Row],[Actual]]/DB_HighProject[[#This Row],[Plan]],1.000011000011)</f>
        <v>0.24716611817340992</v>
      </c>
    </row>
    <row r="58" spans="1:31" x14ac:dyDescent="0.2">
      <c r="A58">
        <f>SUBTOTAL(3,$B$6:B58)</f>
        <v>30</v>
      </c>
      <c r="B58" t="s">
        <v>1</v>
      </c>
      <c r="C58" t="s">
        <v>950</v>
      </c>
      <c r="D58">
        <v>10744.099999999999</v>
      </c>
      <c r="E58">
        <v>13504.11</v>
      </c>
      <c r="F58">
        <v>16400.11</v>
      </c>
      <c r="G58">
        <v>10188.580000000002</v>
      </c>
      <c r="H58">
        <v>12552.95</v>
      </c>
      <c r="I58">
        <v>15299.603000000001</v>
      </c>
      <c r="J58">
        <v>15299.603000000001</v>
      </c>
      <c r="K58">
        <v>17769.600999999999</v>
      </c>
      <c r="L58">
        <v>15299.603000000001</v>
      </c>
      <c r="M58">
        <v>15299.603000000001</v>
      </c>
      <c r="N58">
        <v>15299.603000000001</v>
      </c>
      <c r="O58">
        <v>15299.603000000003</v>
      </c>
      <c r="P58">
        <v>10744.1</v>
      </c>
      <c r="Q58">
        <v>13504.110000000002</v>
      </c>
      <c r="R58">
        <v>16400.11</v>
      </c>
      <c r="S58">
        <v>10367.759999999998</v>
      </c>
      <c r="T58">
        <v>12552.950000000003</v>
      </c>
      <c r="U58">
        <v>14755.189999999999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s="34">
        <f>SUMPRODUCT(DB_HighProject[[#This Row],[Plan01]:[Plan12]],$D$4:$O$4)/valUnits2</f>
        <v>78.689453000000015</v>
      </c>
      <c r="AC58" s="34">
        <f>SUMPRODUCT(DB_HighProject[[#This Row],[Act01]:[Act12]],$P$4:$AA$4)/valUnits2</f>
        <v>78.324219999999997</v>
      </c>
      <c r="AD58" s="34">
        <f>DB_HighProject[[#This Row],[Actual]]-DB_HighProject[[#This Row],[Plan]]</f>
        <v>-0.36523300000001768</v>
      </c>
      <c r="AE58" s="34">
        <f>IF(DB_HighProject[[#This Row],[Plan]]&lt;&gt;0,DB_HighProject[[#This Row],[Actual]]/DB_HighProject[[#This Row],[Plan]],1.000011000011)</f>
        <v>0.99535855205398338</v>
      </c>
    </row>
    <row r="59" spans="1:31" x14ac:dyDescent="0.2">
      <c r="A59">
        <f>SUBTOTAL(3,$B$6:B59)</f>
        <v>31</v>
      </c>
      <c r="B59" t="s">
        <v>1</v>
      </c>
      <c r="C59" t="s">
        <v>995</v>
      </c>
      <c r="D59">
        <v>0</v>
      </c>
      <c r="E59">
        <v>0</v>
      </c>
      <c r="F59">
        <v>0</v>
      </c>
      <c r="G59">
        <v>0</v>
      </c>
      <c r="H59">
        <v>0</v>
      </c>
      <c r="I59">
        <v>1263.498</v>
      </c>
      <c r="J59">
        <v>1263.4979999999998</v>
      </c>
      <c r="K59">
        <v>1263.498</v>
      </c>
      <c r="L59">
        <v>1263.4979999999998</v>
      </c>
      <c r="M59">
        <v>1263.498</v>
      </c>
      <c r="N59">
        <v>1263.498</v>
      </c>
      <c r="O59">
        <v>1263.498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s="34">
        <f>SUMPRODUCT(DB_HighProject[[#This Row],[Plan01]:[Plan12]],$D$4:$O$4)/valUnits2</f>
        <v>1.263498</v>
      </c>
      <c r="AC59" s="34">
        <f>SUMPRODUCT(DB_HighProject[[#This Row],[Act01]:[Act12]],$P$4:$AA$4)/valUnits2</f>
        <v>0</v>
      </c>
      <c r="AD59" s="34">
        <f>DB_HighProject[[#This Row],[Actual]]-DB_HighProject[[#This Row],[Plan]]</f>
        <v>-1.263498</v>
      </c>
      <c r="AE59" s="34">
        <f>IF(DB_HighProject[[#This Row],[Plan]]&lt;&gt;0,DB_HighProject[[#This Row],[Actual]]/DB_HighProject[[#This Row],[Plan]],1.000011000011)</f>
        <v>0</v>
      </c>
    </row>
    <row r="60" spans="1:31" x14ac:dyDescent="0.2">
      <c r="A60">
        <f>SUBTOTAL(3,$B$6:B60)</f>
        <v>32</v>
      </c>
      <c r="B60" t="s">
        <v>1</v>
      </c>
      <c r="C60" t="s">
        <v>940</v>
      </c>
      <c r="D60">
        <v>10.851000000000001</v>
      </c>
      <c r="E60">
        <v>387.96699999999998</v>
      </c>
      <c r="F60">
        <v>755.56500000000005</v>
      </c>
      <c r="G60">
        <v>9715.5190000000002</v>
      </c>
      <c r="H60">
        <v>1785.4860000000001</v>
      </c>
      <c r="I60">
        <v>1880.8790000000001</v>
      </c>
      <c r="J60">
        <v>1880.8790000000001</v>
      </c>
      <c r="K60">
        <v>1880.8790000000001</v>
      </c>
      <c r="L60">
        <v>1880.8790000000001</v>
      </c>
      <c r="M60">
        <v>1880.8790000000001</v>
      </c>
      <c r="N60">
        <v>1880.8790000000001</v>
      </c>
      <c r="O60">
        <v>1880.8790000000001</v>
      </c>
      <c r="P60">
        <v>10.9</v>
      </c>
      <c r="Q60">
        <v>395.52</v>
      </c>
      <c r="R60">
        <v>850.12000000000012</v>
      </c>
      <c r="S60">
        <v>9751.92</v>
      </c>
      <c r="T60">
        <v>1809.73</v>
      </c>
      <c r="U60">
        <v>-250.13000000000005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s="34">
        <f>SUMPRODUCT(DB_HighProject[[#This Row],[Plan01]:[Plan12]],$D$4:$O$4)/valUnits2</f>
        <v>14.536267000000002</v>
      </c>
      <c r="AC60" s="34">
        <f>SUMPRODUCT(DB_HighProject[[#This Row],[Act01]:[Act12]],$P$4:$AA$4)/valUnits2</f>
        <v>12.568059999999999</v>
      </c>
      <c r="AD60" s="34">
        <f>DB_HighProject[[#This Row],[Actual]]-DB_HighProject[[#This Row],[Plan]]</f>
        <v>-1.9682070000000031</v>
      </c>
      <c r="AE60" s="34">
        <f>IF(DB_HighProject[[#This Row],[Plan]]&lt;&gt;0,DB_HighProject[[#This Row],[Actual]]/DB_HighProject[[#This Row],[Plan]],1.000011000011)</f>
        <v>0.86460024434058602</v>
      </c>
    </row>
    <row r="61" spans="1:31" hidden="1" x14ac:dyDescent="0.2">
      <c r="A61">
        <f>SUBTOTAL(3,$B$6:B61)</f>
        <v>32</v>
      </c>
      <c r="B61" t="s">
        <v>342</v>
      </c>
      <c r="C61" t="s">
        <v>965</v>
      </c>
      <c r="F61">
        <v>-672.90200000000004</v>
      </c>
      <c r="R61">
        <v>-663.63</v>
      </c>
      <c r="AB61" s="34">
        <f>SUMPRODUCT(DB_HighProject[[#This Row],[Plan01]:[Plan12]],$D$4:$O$4)/valUnits2</f>
        <v>-0.672902</v>
      </c>
      <c r="AC61" s="34">
        <f>SUMPRODUCT(DB_HighProject[[#This Row],[Act01]:[Act12]],$P$4:$AA$4)/valUnits2</f>
        <v>-0.66362999999999994</v>
      </c>
      <c r="AD61" s="34">
        <f>DB_HighProject[[#This Row],[Actual]]-DB_HighProject[[#This Row],[Plan]]</f>
        <v>9.272000000000058E-3</v>
      </c>
      <c r="AE61" s="34">
        <f>IF(DB_HighProject[[#This Row],[Plan]]&lt;&gt;0,DB_HighProject[[#This Row],[Actual]]/DB_HighProject[[#This Row],[Plan]],1.000011000011)</f>
        <v>0.98622087614541187</v>
      </c>
    </row>
    <row r="62" spans="1:31" hidden="1" x14ac:dyDescent="0.2">
      <c r="A62">
        <f>SUBTOTAL(3,$B$6:B62)</f>
        <v>32</v>
      </c>
      <c r="B62" t="s">
        <v>343</v>
      </c>
      <c r="C62" t="s">
        <v>977</v>
      </c>
      <c r="F62">
        <v>-34974.351000000002</v>
      </c>
      <c r="R62">
        <v>-34749.879999999997</v>
      </c>
      <c r="AB62" s="34">
        <f>SUMPRODUCT(DB_HighProject[[#This Row],[Plan01]:[Plan12]],$D$4:$O$4)/valUnits2</f>
        <v>-34.974351000000006</v>
      </c>
      <c r="AC62" s="34">
        <f>SUMPRODUCT(DB_HighProject[[#This Row],[Act01]:[Act12]],$P$4:$AA$4)/valUnits2</f>
        <v>-34.749879999999997</v>
      </c>
      <c r="AD62" s="34">
        <f>DB_HighProject[[#This Row],[Actual]]-DB_HighProject[[#This Row],[Plan]]</f>
        <v>0.2244710000000083</v>
      </c>
      <c r="AE62" s="34">
        <f>IF(DB_HighProject[[#This Row],[Plan]]&lt;&gt;0,DB_HighProject[[#This Row],[Actual]]/DB_HighProject[[#This Row],[Plan]],1.000011000011)</f>
        <v>0.99358183944571243</v>
      </c>
    </row>
    <row r="63" spans="1:31" hidden="1" x14ac:dyDescent="0.2">
      <c r="A63">
        <f>SUBTOTAL(3,$B$6:B63)</f>
        <v>32</v>
      </c>
      <c r="B63" t="s">
        <v>343</v>
      </c>
      <c r="C63" t="s">
        <v>960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AB63" s="34">
        <f>SUMPRODUCT(DB_HighProject[[#This Row],[Plan01]:[Plan12]],$D$4:$O$4)/valUnits2</f>
        <v>0</v>
      </c>
      <c r="AC63" s="34">
        <f>SUMPRODUCT(DB_HighProject[[#This Row],[Act01]:[Act12]],$P$4:$AA$4)/valUnits2</f>
        <v>0</v>
      </c>
      <c r="AD63" s="34">
        <f>DB_HighProject[[#This Row],[Actual]]-DB_HighProject[[#This Row],[Plan]]</f>
        <v>0</v>
      </c>
      <c r="AE63" s="34">
        <f>IF(DB_HighProject[[#This Row],[Plan]]&lt;&gt;0,DB_HighProject[[#This Row],[Actual]]/DB_HighProject[[#This Row],[Plan]],1.000011000011)</f>
        <v>1.0000110000110001</v>
      </c>
    </row>
    <row r="64" spans="1:31" hidden="1" x14ac:dyDescent="0.2">
      <c r="A64">
        <f>SUBTOTAL(3,$B$6:B64)</f>
        <v>32</v>
      </c>
      <c r="B64" t="s">
        <v>343</v>
      </c>
      <c r="C64" t="s">
        <v>989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AB64" s="34">
        <f>SUMPRODUCT(DB_HighProject[[#This Row],[Plan01]:[Plan12]],$D$4:$O$4)/valUnits2</f>
        <v>0</v>
      </c>
      <c r="AC64" s="34">
        <f>SUMPRODUCT(DB_HighProject[[#This Row],[Act01]:[Act12]],$P$4:$AA$4)/valUnits2</f>
        <v>0</v>
      </c>
      <c r="AD64" s="34">
        <f>DB_HighProject[[#This Row],[Actual]]-DB_HighProject[[#This Row],[Plan]]</f>
        <v>0</v>
      </c>
      <c r="AE64" s="34">
        <f>IF(DB_HighProject[[#This Row],[Plan]]&lt;&gt;0,DB_HighProject[[#This Row],[Actual]]/DB_HighProject[[#This Row],[Plan]],1.000011000011)</f>
        <v>1.0000110000110001</v>
      </c>
    </row>
    <row r="65" spans="1:31" hidden="1" x14ac:dyDescent="0.2">
      <c r="A65">
        <f>SUBTOTAL(3,$B$6:B65)</f>
        <v>32</v>
      </c>
      <c r="B65" t="s">
        <v>345</v>
      </c>
      <c r="C65" t="s">
        <v>951</v>
      </c>
      <c r="F65">
        <v>942.30700000000002</v>
      </c>
      <c r="G65">
        <v>11574.745000000001</v>
      </c>
      <c r="R65">
        <v>936.19</v>
      </c>
      <c r="S65">
        <v>11651.449999999999</v>
      </c>
      <c r="AB65" s="34">
        <f>SUMPRODUCT(DB_HighProject[[#This Row],[Plan01]:[Plan12]],$D$4:$O$4)/valUnits2</f>
        <v>12.517052000000001</v>
      </c>
      <c r="AC65" s="34">
        <f>SUMPRODUCT(DB_HighProject[[#This Row],[Act01]:[Act12]],$P$4:$AA$4)/valUnits2</f>
        <v>12.587639999999999</v>
      </c>
      <c r="AD65" s="34">
        <f>DB_HighProject[[#This Row],[Actual]]-DB_HighProject[[#This Row],[Plan]]</f>
        <v>7.0587999999997209E-2</v>
      </c>
      <c r="AE65" s="34">
        <f>IF(DB_HighProject[[#This Row],[Plan]]&lt;&gt;0,DB_HighProject[[#This Row],[Actual]]/DB_HighProject[[#This Row],[Plan]],1.000011000011)</f>
        <v>1.0056393470283576</v>
      </c>
    </row>
    <row r="66" spans="1:31" hidden="1" x14ac:dyDescent="0.2">
      <c r="A66">
        <f>SUBTOTAL(3,$B$6:B66)</f>
        <v>32</v>
      </c>
      <c r="B66" t="s">
        <v>345</v>
      </c>
      <c r="C66" t="s">
        <v>996</v>
      </c>
      <c r="D66">
        <v>467.00099999999998</v>
      </c>
      <c r="E66">
        <v>1640.1860000000001</v>
      </c>
      <c r="F66">
        <v>5402.9280000000008</v>
      </c>
      <c r="G66">
        <v>17264.332999999999</v>
      </c>
      <c r="H66">
        <v>2409.3450000000003</v>
      </c>
      <c r="P66">
        <v>383.46</v>
      </c>
      <c r="Q66">
        <v>1555.41</v>
      </c>
      <c r="R66">
        <v>5298.4199999999983</v>
      </c>
      <c r="S66">
        <v>13512.250000000002</v>
      </c>
      <c r="T66">
        <v>2536.7600000000002</v>
      </c>
      <c r="AB66" s="34">
        <f>SUMPRODUCT(DB_HighProject[[#This Row],[Plan01]:[Plan12]],$D$4:$O$4)/valUnits2</f>
        <v>27.183793000000001</v>
      </c>
      <c r="AC66" s="34">
        <f>SUMPRODUCT(DB_HighProject[[#This Row],[Act01]:[Act12]],$P$4:$AA$4)/valUnits2</f>
        <v>23.286300000000004</v>
      </c>
      <c r="AD66" s="34">
        <f>DB_HighProject[[#This Row],[Actual]]-DB_HighProject[[#This Row],[Plan]]</f>
        <v>-3.8974929999999972</v>
      </c>
      <c r="AE66" s="34">
        <f>IF(DB_HighProject[[#This Row],[Plan]]&lt;&gt;0,DB_HighProject[[#This Row],[Actual]]/DB_HighProject[[#This Row],[Plan]],1.000011000011)</f>
        <v>0.8566243864496762</v>
      </c>
    </row>
    <row r="67" spans="1:31" hidden="1" x14ac:dyDescent="0.2">
      <c r="A67">
        <f>SUBTOTAL(3,$B$6:B67)</f>
        <v>32</v>
      </c>
      <c r="B67" t="s">
        <v>347</v>
      </c>
      <c r="C67" t="s">
        <v>949</v>
      </c>
      <c r="D67">
        <v>-405.262</v>
      </c>
      <c r="P67">
        <v>-387.54</v>
      </c>
      <c r="AB67" s="34">
        <f>SUMPRODUCT(DB_HighProject[[#This Row],[Plan01]:[Plan12]],$D$4:$O$4)/valUnits2</f>
        <v>-0.40526200000000001</v>
      </c>
      <c r="AC67" s="34">
        <f>SUMPRODUCT(DB_HighProject[[#This Row],[Act01]:[Act12]],$P$4:$AA$4)/valUnits2</f>
        <v>-0.38754</v>
      </c>
      <c r="AD67" s="34">
        <f>DB_HighProject[[#This Row],[Actual]]-DB_HighProject[[#This Row],[Plan]]</f>
        <v>1.7722000000000016E-2</v>
      </c>
      <c r="AE67" s="34">
        <f>IF(DB_HighProject[[#This Row],[Plan]]&lt;&gt;0,DB_HighProject[[#This Row],[Actual]]/DB_HighProject[[#This Row],[Plan]],1.000011000011)</f>
        <v>0.95627026466828857</v>
      </c>
    </row>
    <row r="68" spans="1:31" hidden="1" x14ac:dyDescent="0.2">
      <c r="A68">
        <f>SUBTOTAL(3,$B$6:B68)</f>
        <v>32</v>
      </c>
      <c r="B68" t="s">
        <v>347</v>
      </c>
      <c r="C68" t="s">
        <v>961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s="34">
        <f>SUMPRODUCT(DB_HighProject[[#This Row],[Plan01]:[Plan12]],$D$4:$O$4)/valUnits2</f>
        <v>0</v>
      </c>
      <c r="AC68" s="34">
        <f>SUMPRODUCT(DB_HighProject[[#This Row],[Act01]:[Act12]],$P$4:$AA$4)/valUnits2</f>
        <v>0</v>
      </c>
      <c r="AD68" s="34">
        <f>DB_HighProject[[#This Row],[Actual]]-DB_HighProject[[#This Row],[Plan]]</f>
        <v>0</v>
      </c>
      <c r="AE68" s="34">
        <f>IF(DB_HighProject[[#This Row],[Plan]]&lt;&gt;0,DB_HighProject[[#This Row],[Actual]]/DB_HighProject[[#This Row],[Plan]],1.000011000011)</f>
        <v>1.0000110000110001</v>
      </c>
    </row>
    <row r="69" spans="1:31" hidden="1" x14ac:dyDescent="0.2">
      <c r="A69">
        <f>SUBTOTAL(3,$B$6:B69)</f>
        <v>32</v>
      </c>
      <c r="B69" t="s">
        <v>349</v>
      </c>
      <c r="C69" t="s">
        <v>994</v>
      </c>
      <c r="D69">
        <v>49.540000000000006</v>
      </c>
      <c r="P69">
        <v>49.539999999999992</v>
      </c>
      <c r="AB69" s="34">
        <f>SUMPRODUCT(DB_HighProject[[#This Row],[Plan01]:[Plan12]],$D$4:$O$4)/valUnits2</f>
        <v>4.9540000000000008E-2</v>
      </c>
      <c r="AC69" s="34">
        <f>SUMPRODUCT(DB_HighProject[[#This Row],[Act01]:[Act12]],$P$4:$AA$4)/valUnits2</f>
        <v>4.9539999999999994E-2</v>
      </c>
      <c r="AD69" s="34">
        <f>DB_HighProject[[#This Row],[Actual]]-DB_HighProject[[#This Row],[Plan]]</f>
        <v>0</v>
      </c>
      <c r="AE69" s="34">
        <f>IF(DB_HighProject[[#This Row],[Plan]]&lt;&gt;0,DB_HighProject[[#This Row],[Actual]]/DB_HighProject[[#This Row],[Plan]],1.000011000011)</f>
        <v>0.99999999999999967</v>
      </c>
    </row>
    <row r="70" spans="1:31" x14ac:dyDescent="0.2">
      <c r="A70">
        <f>SUBTOTAL(3,$B$6:B70)</f>
        <v>33</v>
      </c>
      <c r="B70" t="s">
        <v>1</v>
      </c>
      <c r="C70" t="s">
        <v>978</v>
      </c>
      <c r="D70">
        <v>0</v>
      </c>
      <c r="G70">
        <v>65.539999999999992</v>
      </c>
      <c r="H70">
        <v>2562.4799999999996</v>
      </c>
      <c r="I70">
        <v>0</v>
      </c>
      <c r="J70">
        <v>0</v>
      </c>
      <c r="M70">
        <v>0</v>
      </c>
      <c r="P70">
        <v>0</v>
      </c>
      <c r="S70">
        <v>65.539999999999992</v>
      </c>
      <c r="T70">
        <v>2562.4800000000005</v>
      </c>
      <c r="U70">
        <v>-2398.8100000000004</v>
      </c>
      <c r="V70">
        <v>0</v>
      </c>
      <c r="Y70">
        <v>0</v>
      </c>
      <c r="AB70" s="34">
        <f>SUMPRODUCT(DB_HighProject[[#This Row],[Plan01]:[Plan12]],$D$4:$O$4)/valUnits2</f>
        <v>2.6280199999999994</v>
      </c>
      <c r="AC70" s="34">
        <f>SUMPRODUCT(DB_HighProject[[#This Row],[Act01]:[Act12]],$P$4:$AA$4)/valUnits2</f>
        <v>0.22921000000000002</v>
      </c>
      <c r="AD70" s="34">
        <f>DB_HighProject[[#This Row],[Actual]]-DB_HighProject[[#This Row],[Plan]]</f>
        <v>-2.3988099999999992</v>
      </c>
      <c r="AE70" s="34">
        <f>IF(DB_HighProject[[#This Row],[Plan]]&lt;&gt;0,DB_HighProject[[#This Row],[Actual]]/DB_HighProject[[#This Row],[Plan]],1.000011000011)</f>
        <v>8.7217753289548811E-2</v>
      </c>
    </row>
    <row r="71" spans="1:31" hidden="1" x14ac:dyDescent="0.2">
      <c r="A71">
        <f>SUBTOTAL(3,$B$6:B71)</f>
        <v>33</v>
      </c>
      <c r="B71" t="s">
        <v>342</v>
      </c>
      <c r="C71" t="s">
        <v>972</v>
      </c>
      <c r="D71">
        <v>0</v>
      </c>
      <c r="E71">
        <v>0</v>
      </c>
      <c r="F71">
        <v>0</v>
      </c>
      <c r="G71">
        <v>0</v>
      </c>
      <c r="H71">
        <v>114.91</v>
      </c>
      <c r="I71">
        <v>350</v>
      </c>
      <c r="J71">
        <v>350</v>
      </c>
      <c r="K71">
        <v>350</v>
      </c>
      <c r="L71">
        <v>350</v>
      </c>
      <c r="M71">
        <v>350</v>
      </c>
      <c r="N71">
        <v>350</v>
      </c>
      <c r="O71">
        <v>350</v>
      </c>
      <c r="P71">
        <v>0</v>
      </c>
      <c r="Q71">
        <v>0</v>
      </c>
      <c r="R71">
        <v>0</v>
      </c>
      <c r="S71">
        <v>0</v>
      </c>
      <c r="T71">
        <v>114.91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s="34">
        <f>SUMPRODUCT(DB_HighProject[[#This Row],[Plan01]:[Plan12]],$D$4:$O$4)/valUnits2</f>
        <v>0.46490999999999999</v>
      </c>
      <c r="AC71" s="34">
        <f>SUMPRODUCT(DB_HighProject[[#This Row],[Act01]:[Act12]],$P$4:$AA$4)/valUnits2</f>
        <v>0.11491</v>
      </c>
      <c r="AD71" s="34">
        <f>DB_HighProject[[#This Row],[Actual]]-DB_HighProject[[#This Row],[Plan]]</f>
        <v>-0.35</v>
      </c>
      <c r="AE71" s="34">
        <f>IF(DB_HighProject[[#This Row],[Plan]]&lt;&gt;0,DB_HighProject[[#This Row],[Actual]]/DB_HighProject[[#This Row],[Plan]],1.000011000011)</f>
        <v>0.24716611817340992</v>
      </c>
    </row>
    <row r="72" spans="1:31" x14ac:dyDescent="0.2">
      <c r="A72">
        <f>SUBTOTAL(3,$B$6:B72)</f>
        <v>34</v>
      </c>
      <c r="B72" t="s">
        <v>1</v>
      </c>
      <c r="C72" t="s">
        <v>970</v>
      </c>
      <c r="D72">
        <v>17732.246000000003</v>
      </c>
      <c r="E72">
        <v>164616.27500000005</v>
      </c>
      <c r="F72">
        <v>289597.07899999991</v>
      </c>
      <c r="G72">
        <v>77662.606000000014</v>
      </c>
      <c r="H72">
        <v>172655.95499999999</v>
      </c>
      <c r="I72">
        <v>111865.099</v>
      </c>
      <c r="J72">
        <v>105366.04200000002</v>
      </c>
      <c r="K72">
        <v>105366.042</v>
      </c>
      <c r="L72">
        <v>105366.042</v>
      </c>
      <c r="M72">
        <v>105366.042</v>
      </c>
      <c r="N72">
        <v>105366.042</v>
      </c>
      <c r="O72">
        <v>105366.042</v>
      </c>
      <c r="P72">
        <v>17732.000000000007</v>
      </c>
      <c r="Q72">
        <v>163762.45000000004</v>
      </c>
      <c r="R72">
        <v>289561.78999999992</v>
      </c>
      <c r="S72">
        <v>77526.619999999937</v>
      </c>
      <c r="T72">
        <v>172676.24</v>
      </c>
      <c r="U72">
        <v>109867.46999999997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s="34">
        <f>SUMPRODUCT(DB_HighProject[[#This Row],[Plan01]:[Plan12]],$D$4:$O$4)/valUnits2</f>
        <v>834.12926000000004</v>
      </c>
      <c r="AC72" s="34">
        <f>SUMPRODUCT(DB_HighProject[[#This Row],[Act01]:[Act12]],$P$4:$AA$4)/valUnits2</f>
        <v>831.12656999999979</v>
      </c>
      <c r="AD72" s="34">
        <f>DB_HighProject[[#This Row],[Actual]]-DB_HighProject[[#This Row],[Plan]]</f>
        <v>-3.002690000000257</v>
      </c>
      <c r="AE72" s="34">
        <f>IF(DB_HighProject[[#This Row],[Plan]]&lt;&gt;0,DB_HighProject[[#This Row],[Actual]]/DB_HighProject[[#This Row],[Plan]],1.000011000011)</f>
        <v>0.99640021020243286</v>
      </c>
    </row>
    <row r="73" spans="1:31" hidden="1" x14ac:dyDescent="0.2">
      <c r="A73">
        <f>SUBTOTAL(3,$B$6:B73)</f>
        <v>34</v>
      </c>
      <c r="B73" t="s">
        <v>351</v>
      </c>
      <c r="C73" t="s">
        <v>980</v>
      </c>
      <c r="D73">
        <v>2012.92</v>
      </c>
      <c r="E73">
        <v>28577.017000000007</v>
      </c>
      <c r="F73">
        <v>23279.861999999997</v>
      </c>
      <c r="G73">
        <v>27811.399000000001</v>
      </c>
      <c r="H73">
        <v>18282.652000000002</v>
      </c>
      <c r="I73">
        <v>20984.255000000012</v>
      </c>
      <c r="J73">
        <v>19830.664000000004</v>
      </c>
      <c r="K73">
        <v>19762.546000000002</v>
      </c>
      <c r="L73">
        <v>19710.521000000004</v>
      </c>
      <c r="M73">
        <v>15350.510000000002</v>
      </c>
      <c r="N73">
        <v>15350.510000000002</v>
      </c>
      <c r="O73">
        <v>12570.728000000001</v>
      </c>
      <c r="P73">
        <v>635.6400000000001</v>
      </c>
      <c r="Q73">
        <v>27171.019999999997</v>
      </c>
      <c r="R73">
        <v>21635.269999999993</v>
      </c>
      <c r="S73">
        <v>25968.759999999984</v>
      </c>
      <c r="T73">
        <v>13997.800000000001</v>
      </c>
      <c r="U73">
        <v>24979.720000000008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s="34">
        <f>SUMPRODUCT(DB_HighProject[[#This Row],[Plan01]:[Plan12]],$D$4:$O$4)/valUnits2</f>
        <v>120.94810500000001</v>
      </c>
      <c r="AC73" s="34">
        <f>SUMPRODUCT(DB_HighProject[[#This Row],[Act01]:[Act12]],$P$4:$AA$4)/valUnits2</f>
        <v>114.38820999999999</v>
      </c>
      <c r="AD73" s="34">
        <f>DB_HighProject[[#This Row],[Actual]]-DB_HighProject[[#This Row],[Plan]]</f>
        <v>-6.5598950000000258</v>
      </c>
      <c r="AE73" s="34">
        <f>IF(DB_HighProject[[#This Row],[Plan]]&lt;&gt;0,DB_HighProject[[#This Row],[Actual]]/DB_HighProject[[#This Row],[Plan]],1.000011000011)</f>
        <v>0.94576273022218893</v>
      </c>
    </row>
    <row r="74" spans="1:31" x14ac:dyDescent="0.2">
      <c r="A74">
        <f>SUBTOTAL(3,$B$6:B74)</f>
        <v>35</v>
      </c>
      <c r="B74" t="s">
        <v>1</v>
      </c>
      <c r="C74" t="s">
        <v>997</v>
      </c>
      <c r="D74">
        <v>14713.721000000021</v>
      </c>
      <c r="E74">
        <v>64875.019000000008</v>
      </c>
      <c r="F74">
        <v>30457.131999999998</v>
      </c>
      <c r="G74">
        <v>19638.602000000003</v>
      </c>
      <c r="H74">
        <v>-33593.121000000014</v>
      </c>
      <c r="I74">
        <v>2163.116</v>
      </c>
      <c r="J74">
        <v>1569.923</v>
      </c>
      <c r="K74">
        <v>1416.6669999999999</v>
      </c>
      <c r="L74">
        <v>1416.6669999999999</v>
      </c>
      <c r="M74">
        <v>1416.6669999999999</v>
      </c>
      <c r="N74">
        <v>1416.6669999999999</v>
      </c>
      <c r="O74">
        <v>1416.6669999999999</v>
      </c>
      <c r="P74">
        <v>13278.270000000011</v>
      </c>
      <c r="Q74">
        <v>65002.16</v>
      </c>
      <c r="R74">
        <v>29389.319999999992</v>
      </c>
      <c r="S74">
        <v>18207.579999999994</v>
      </c>
      <c r="T74">
        <v>-35489.639999999992</v>
      </c>
      <c r="U74">
        <v>4203.3499999999813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s="34">
        <f>SUMPRODUCT(DB_HighProject[[#This Row],[Plan01]:[Plan12]],$D$4:$O$4)/valUnits2</f>
        <v>98.254469000000014</v>
      </c>
      <c r="AC74" s="34">
        <f>SUMPRODUCT(DB_HighProject[[#This Row],[Act01]:[Act12]],$P$4:$AA$4)/valUnits2</f>
        <v>94.591040000000007</v>
      </c>
      <c r="AD74" s="34">
        <f>DB_HighProject[[#This Row],[Actual]]-DB_HighProject[[#This Row],[Plan]]</f>
        <v>-3.6634290000000078</v>
      </c>
      <c r="AE74" s="34">
        <f>IF(DB_HighProject[[#This Row],[Plan]]&lt;&gt;0,DB_HighProject[[#This Row],[Actual]]/DB_HighProject[[#This Row],[Plan]],1.000011000011)</f>
        <v>0.96271488679054373</v>
      </c>
    </row>
    <row r="75" spans="1:31" hidden="1" x14ac:dyDescent="0.2">
      <c r="A75">
        <f>SUBTOTAL(3,$B$6:B75)</f>
        <v>35</v>
      </c>
      <c r="B75" t="s">
        <v>351</v>
      </c>
      <c r="C75" t="s">
        <v>946</v>
      </c>
      <c r="D75">
        <v>3790.6190000000006</v>
      </c>
      <c r="E75">
        <v>7429.3749999999991</v>
      </c>
      <c r="F75">
        <v>7369.6729999999998</v>
      </c>
      <c r="G75">
        <v>19749.261000000002</v>
      </c>
      <c r="H75">
        <v>11334.579000000002</v>
      </c>
      <c r="I75">
        <v>10941.052</v>
      </c>
      <c r="J75">
        <v>9792.2279999999992</v>
      </c>
      <c r="K75">
        <v>9705.8819999999978</v>
      </c>
      <c r="L75">
        <v>9653.8569999999982</v>
      </c>
      <c r="M75">
        <v>8377.4120000000003</v>
      </c>
      <c r="N75">
        <v>8377.4120000000003</v>
      </c>
      <c r="O75">
        <v>8084.5460000000012</v>
      </c>
      <c r="P75">
        <v>2531.6400000000017</v>
      </c>
      <c r="Q75">
        <v>6037.97</v>
      </c>
      <c r="R75">
        <v>5793.92</v>
      </c>
      <c r="S75">
        <v>18207.699999999997</v>
      </c>
      <c r="T75">
        <v>9214.99</v>
      </c>
      <c r="U75">
        <v>8734.9000000000015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s="34">
        <f>SUMPRODUCT(DB_HighProject[[#This Row],[Plan01]:[Plan12]],$D$4:$O$4)/valUnits2</f>
        <v>60.614558999999993</v>
      </c>
      <c r="AC75" s="34">
        <f>SUMPRODUCT(DB_HighProject[[#This Row],[Act01]:[Act12]],$P$4:$AA$4)/valUnits2</f>
        <v>50.521120000000003</v>
      </c>
      <c r="AD75" s="34">
        <f>DB_HighProject[[#This Row],[Actual]]-DB_HighProject[[#This Row],[Plan]]</f>
        <v>-10.093438999999989</v>
      </c>
      <c r="AE75" s="34">
        <f>IF(DB_HighProject[[#This Row],[Plan]]&lt;&gt;0,DB_HighProject[[#This Row],[Actual]]/DB_HighProject[[#This Row],[Plan]],1.000011000011)</f>
        <v>0.83348160629198031</v>
      </c>
    </row>
    <row r="76" spans="1:31" x14ac:dyDescent="0.2">
      <c r="A76">
        <f>SUBTOTAL(3,$B$6:B76)</f>
        <v>36</v>
      </c>
      <c r="B76" t="s">
        <v>1</v>
      </c>
      <c r="C76" t="s">
        <v>996</v>
      </c>
      <c r="D76">
        <v>467.00099999999998</v>
      </c>
      <c r="E76">
        <v>1640.1860000000001</v>
      </c>
      <c r="F76">
        <v>5402.9280000000008</v>
      </c>
      <c r="G76">
        <v>17264.332999999999</v>
      </c>
      <c r="H76">
        <v>2409.3450000000003</v>
      </c>
      <c r="P76">
        <v>383.46</v>
      </c>
      <c r="Q76">
        <v>1555.41</v>
      </c>
      <c r="R76">
        <v>5298.4199999999983</v>
      </c>
      <c r="S76">
        <v>13512.250000000002</v>
      </c>
      <c r="T76">
        <v>2536.7600000000002</v>
      </c>
      <c r="AB76" s="34">
        <f>SUMPRODUCT(DB_HighProject[[#This Row],[Plan01]:[Plan12]],$D$4:$O$4)/valUnits2</f>
        <v>27.183793000000001</v>
      </c>
      <c r="AC76" s="34">
        <f>SUMPRODUCT(DB_HighProject[[#This Row],[Act01]:[Act12]],$P$4:$AA$4)/valUnits2</f>
        <v>23.286300000000004</v>
      </c>
      <c r="AD76" s="34">
        <f>DB_HighProject[[#This Row],[Actual]]-DB_HighProject[[#This Row],[Plan]]</f>
        <v>-3.8974929999999972</v>
      </c>
      <c r="AE76" s="34">
        <f>IF(DB_HighProject[[#This Row],[Plan]]&lt;&gt;0,DB_HighProject[[#This Row],[Actual]]/DB_HighProject[[#This Row],[Plan]],1.000011000011)</f>
        <v>0.8566243864496762</v>
      </c>
    </row>
    <row r="77" spans="1:31" hidden="1" x14ac:dyDescent="0.2">
      <c r="A77">
        <f>SUBTOTAL(3,$B$6:B77)</f>
        <v>36</v>
      </c>
      <c r="B77" t="s">
        <v>350</v>
      </c>
      <c r="C77" t="s">
        <v>995</v>
      </c>
      <c r="D77">
        <v>0</v>
      </c>
      <c r="E77">
        <v>0</v>
      </c>
      <c r="F77">
        <v>0</v>
      </c>
      <c r="G77">
        <v>0</v>
      </c>
      <c r="H77">
        <v>0</v>
      </c>
      <c r="I77">
        <v>1263.498</v>
      </c>
      <c r="J77">
        <v>1263.4979999999998</v>
      </c>
      <c r="K77">
        <v>1263.498</v>
      </c>
      <c r="L77">
        <v>1263.4979999999998</v>
      </c>
      <c r="M77">
        <v>1263.498</v>
      </c>
      <c r="N77">
        <v>1263.498</v>
      </c>
      <c r="O77">
        <v>1263.498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s="34">
        <f>SUMPRODUCT(DB_HighProject[[#This Row],[Plan01]:[Plan12]],$D$4:$O$4)/valUnits2</f>
        <v>1.263498</v>
      </c>
      <c r="AC77" s="34">
        <f>SUMPRODUCT(DB_HighProject[[#This Row],[Act01]:[Act12]],$P$4:$AA$4)/valUnits2</f>
        <v>0</v>
      </c>
      <c r="AD77" s="34">
        <f>DB_HighProject[[#This Row],[Actual]]-DB_HighProject[[#This Row],[Plan]]</f>
        <v>-1.263498</v>
      </c>
      <c r="AE77" s="34">
        <f>IF(DB_HighProject[[#This Row],[Plan]]&lt;&gt;0,DB_HighProject[[#This Row],[Actual]]/DB_HighProject[[#This Row],[Plan]],1.000011000011)</f>
        <v>0</v>
      </c>
    </row>
    <row r="78" spans="1:31" x14ac:dyDescent="0.2">
      <c r="A78">
        <f>SUBTOTAL(3,$B$6:B78)</f>
        <v>37</v>
      </c>
      <c r="B78" t="s">
        <v>1</v>
      </c>
      <c r="C78" t="s">
        <v>980</v>
      </c>
      <c r="D78">
        <v>2012.92</v>
      </c>
      <c r="E78">
        <v>28577.017000000007</v>
      </c>
      <c r="F78">
        <v>23279.861999999997</v>
      </c>
      <c r="G78">
        <v>27811.399000000001</v>
      </c>
      <c r="H78">
        <v>18282.652000000002</v>
      </c>
      <c r="I78">
        <v>20984.255000000012</v>
      </c>
      <c r="J78">
        <v>19830.664000000004</v>
      </c>
      <c r="K78">
        <v>19762.546000000002</v>
      </c>
      <c r="L78">
        <v>19710.521000000004</v>
      </c>
      <c r="M78">
        <v>15350.510000000002</v>
      </c>
      <c r="N78">
        <v>15350.510000000002</v>
      </c>
      <c r="O78">
        <v>12570.728000000001</v>
      </c>
      <c r="P78">
        <v>635.6400000000001</v>
      </c>
      <c r="Q78">
        <v>27171.019999999997</v>
      </c>
      <c r="R78">
        <v>21635.269999999993</v>
      </c>
      <c r="S78">
        <v>25968.759999999984</v>
      </c>
      <c r="T78">
        <v>13997.800000000001</v>
      </c>
      <c r="U78">
        <v>24979.720000000008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s="34">
        <f>SUMPRODUCT(DB_HighProject[[#This Row],[Plan01]:[Plan12]],$D$4:$O$4)/valUnits2</f>
        <v>120.94810500000001</v>
      </c>
      <c r="AC78" s="34">
        <f>SUMPRODUCT(DB_HighProject[[#This Row],[Act01]:[Act12]],$P$4:$AA$4)/valUnits2</f>
        <v>114.38820999999999</v>
      </c>
      <c r="AD78" s="34">
        <f>DB_HighProject[[#This Row],[Actual]]-DB_HighProject[[#This Row],[Plan]]</f>
        <v>-6.5598950000000258</v>
      </c>
      <c r="AE78" s="34">
        <f>IF(DB_HighProject[[#This Row],[Plan]]&lt;&gt;0,DB_HighProject[[#This Row],[Actual]]/DB_HighProject[[#This Row],[Plan]],1.000011000011)</f>
        <v>0.94576273022218893</v>
      </c>
    </row>
    <row r="79" spans="1:31" hidden="1" x14ac:dyDescent="0.2">
      <c r="A79">
        <f>SUBTOTAL(3,$B$6:B79)</f>
        <v>37</v>
      </c>
      <c r="B79" t="s">
        <v>348</v>
      </c>
      <c r="C79" t="s">
        <v>970</v>
      </c>
      <c r="D79">
        <v>17732.246000000003</v>
      </c>
      <c r="E79">
        <v>164616.27500000005</v>
      </c>
      <c r="F79">
        <v>289597.07899999991</v>
      </c>
      <c r="G79">
        <v>77662.606000000014</v>
      </c>
      <c r="H79">
        <v>172655.95499999999</v>
      </c>
      <c r="I79">
        <v>111865.099</v>
      </c>
      <c r="J79">
        <v>105366.04200000002</v>
      </c>
      <c r="K79">
        <v>105366.042</v>
      </c>
      <c r="L79">
        <v>105366.042</v>
      </c>
      <c r="M79">
        <v>105366.042</v>
      </c>
      <c r="N79">
        <v>105366.042</v>
      </c>
      <c r="O79">
        <v>105366.042</v>
      </c>
      <c r="P79">
        <v>17732.000000000007</v>
      </c>
      <c r="Q79">
        <v>163762.45000000004</v>
      </c>
      <c r="R79">
        <v>289561.78999999992</v>
      </c>
      <c r="S79">
        <v>77526.619999999937</v>
      </c>
      <c r="T79">
        <v>172676.24</v>
      </c>
      <c r="U79">
        <v>109867.46999999997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s="34">
        <f>SUMPRODUCT(DB_HighProject[[#This Row],[Plan01]:[Plan12]],$D$4:$O$4)/valUnits2</f>
        <v>834.12926000000004</v>
      </c>
      <c r="AC79" s="34">
        <f>SUMPRODUCT(DB_HighProject[[#This Row],[Act01]:[Act12]],$P$4:$AA$4)/valUnits2</f>
        <v>831.12656999999979</v>
      </c>
      <c r="AD79" s="34">
        <f>DB_HighProject[[#This Row],[Actual]]-DB_HighProject[[#This Row],[Plan]]</f>
        <v>-3.002690000000257</v>
      </c>
      <c r="AE79" s="34">
        <f>IF(DB_HighProject[[#This Row],[Plan]]&lt;&gt;0,DB_HighProject[[#This Row],[Actual]]/DB_HighProject[[#This Row],[Plan]],1.000011000011)</f>
        <v>0.99640021020243286</v>
      </c>
    </row>
    <row r="80" spans="1:31" x14ac:dyDescent="0.2">
      <c r="A80">
        <f>SUBTOTAL(3,$B$6:B80)</f>
        <v>38</v>
      </c>
      <c r="B80" t="s">
        <v>1</v>
      </c>
      <c r="C80" t="s">
        <v>946</v>
      </c>
      <c r="D80">
        <v>3790.6190000000006</v>
      </c>
      <c r="E80">
        <v>7429.3749999999991</v>
      </c>
      <c r="F80">
        <v>7369.6729999999998</v>
      </c>
      <c r="G80">
        <v>19749.261000000002</v>
      </c>
      <c r="H80">
        <v>11334.579000000002</v>
      </c>
      <c r="I80">
        <v>10941.052</v>
      </c>
      <c r="J80">
        <v>9792.2279999999992</v>
      </c>
      <c r="K80">
        <v>9705.8819999999978</v>
      </c>
      <c r="L80">
        <v>9653.8569999999982</v>
      </c>
      <c r="M80">
        <v>8377.4120000000003</v>
      </c>
      <c r="N80">
        <v>8377.4120000000003</v>
      </c>
      <c r="O80">
        <v>8084.5460000000012</v>
      </c>
      <c r="P80">
        <v>2531.6400000000017</v>
      </c>
      <c r="Q80">
        <v>6037.97</v>
      </c>
      <c r="R80">
        <v>5793.92</v>
      </c>
      <c r="S80">
        <v>18207.699999999997</v>
      </c>
      <c r="T80">
        <v>9214.99</v>
      </c>
      <c r="U80">
        <v>8734.9000000000015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s="34">
        <f>SUMPRODUCT(DB_HighProject[[#This Row],[Plan01]:[Plan12]],$D$4:$O$4)/valUnits2</f>
        <v>60.614558999999993</v>
      </c>
      <c r="AC80" s="34">
        <f>SUMPRODUCT(DB_HighProject[[#This Row],[Act01]:[Act12]],$P$4:$AA$4)/valUnits2</f>
        <v>50.521120000000003</v>
      </c>
      <c r="AD80" s="34">
        <f>DB_HighProject[[#This Row],[Actual]]-DB_HighProject[[#This Row],[Plan]]</f>
        <v>-10.093438999999989</v>
      </c>
      <c r="AE80" s="34">
        <f>IF(DB_HighProject[[#This Row],[Plan]]&lt;&gt;0,DB_HighProject[[#This Row],[Actual]]/DB_HighProject[[#This Row],[Plan]],1.000011000011)</f>
        <v>0.83348160629198031</v>
      </c>
    </row>
    <row r="81" spans="1:31" hidden="1" x14ac:dyDescent="0.2">
      <c r="A81">
        <f>SUBTOTAL(3,$B$6:B81)</f>
        <v>38</v>
      </c>
      <c r="B81" t="s">
        <v>349</v>
      </c>
      <c r="C81" t="s">
        <v>940</v>
      </c>
      <c r="D81">
        <v>10.851000000000001</v>
      </c>
      <c r="E81">
        <v>387.96699999999998</v>
      </c>
      <c r="F81">
        <v>755.56500000000005</v>
      </c>
      <c r="G81">
        <v>9715.5190000000002</v>
      </c>
      <c r="H81">
        <v>1785.4860000000001</v>
      </c>
      <c r="I81">
        <v>1880.8790000000001</v>
      </c>
      <c r="J81">
        <v>1880.8790000000001</v>
      </c>
      <c r="K81">
        <v>1880.8790000000001</v>
      </c>
      <c r="L81">
        <v>1880.8790000000001</v>
      </c>
      <c r="M81">
        <v>1880.8790000000001</v>
      </c>
      <c r="N81">
        <v>1880.8790000000001</v>
      </c>
      <c r="O81">
        <v>1880.8790000000001</v>
      </c>
      <c r="P81">
        <v>10.9</v>
      </c>
      <c r="Q81">
        <v>395.52</v>
      </c>
      <c r="R81">
        <v>850.12000000000012</v>
      </c>
      <c r="S81">
        <v>9751.92</v>
      </c>
      <c r="T81">
        <v>1809.73</v>
      </c>
      <c r="U81">
        <v>-250.13000000000005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s="34">
        <f>SUMPRODUCT(DB_HighProject[[#This Row],[Plan01]:[Plan12]],$D$4:$O$4)/valUnits2</f>
        <v>14.536267000000002</v>
      </c>
      <c r="AC81" s="34">
        <f>SUMPRODUCT(DB_HighProject[[#This Row],[Act01]:[Act12]],$P$4:$AA$4)/valUnits2</f>
        <v>12.568059999999999</v>
      </c>
      <c r="AD81" s="34">
        <f>DB_HighProject[[#This Row],[Actual]]-DB_HighProject[[#This Row],[Plan]]</f>
        <v>-1.9682070000000031</v>
      </c>
      <c r="AE81" s="34">
        <f>IF(DB_HighProject[[#This Row],[Plan]]&lt;&gt;0,DB_HighProject[[#This Row],[Actual]]/DB_HighProject[[#This Row],[Plan]],1.000011000011)</f>
        <v>0.86460024434058602</v>
      </c>
    </row>
    <row r="82" spans="1:31" x14ac:dyDescent="0.2">
      <c r="A82">
        <f>SUBTOTAL(3,$B$6:B82)</f>
        <v>39</v>
      </c>
      <c r="B82" t="s">
        <v>1</v>
      </c>
      <c r="C82" t="s">
        <v>976</v>
      </c>
      <c r="D82">
        <v>-820.4219999999998</v>
      </c>
      <c r="E82">
        <v>4724.91</v>
      </c>
      <c r="F82">
        <v>5398.1909999999998</v>
      </c>
      <c r="G82">
        <v>8843.5310000000009</v>
      </c>
      <c r="H82">
        <v>5936.5229999999992</v>
      </c>
      <c r="I82">
        <v>6584.7249999999995</v>
      </c>
      <c r="J82">
        <v>6584.7249999999995</v>
      </c>
      <c r="K82">
        <v>6584.7249999999995</v>
      </c>
      <c r="L82">
        <v>6584.7249999999995</v>
      </c>
      <c r="M82">
        <v>5308.28</v>
      </c>
      <c r="N82">
        <v>4626.4539999999997</v>
      </c>
      <c r="O82">
        <v>3102.8919999999998</v>
      </c>
      <c r="P82">
        <v>-1986.04</v>
      </c>
      <c r="Q82">
        <v>3407.7</v>
      </c>
      <c r="R82">
        <v>3803.0800000000008</v>
      </c>
      <c r="S82">
        <v>7221.25</v>
      </c>
      <c r="T82">
        <v>2832.8000000000006</v>
      </c>
      <c r="U82">
        <v>3119.0100000000011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s="34">
        <f>SUMPRODUCT(DB_HighProject[[#This Row],[Plan01]:[Plan12]],$D$4:$O$4)/valUnits2</f>
        <v>30.667458</v>
      </c>
      <c r="AC82" s="34">
        <f>SUMPRODUCT(DB_HighProject[[#This Row],[Act01]:[Act12]],$P$4:$AA$4)/valUnits2</f>
        <v>18.397800000000004</v>
      </c>
      <c r="AD82" s="34">
        <f>DB_HighProject[[#This Row],[Actual]]-DB_HighProject[[#This Row],[Plan]]</f>
        <v>-12.269657999999996</v>
      </c>
      <c r="AE82" s="34">
        <f>IF(DB_HighProject[[#This Row],[Plan]]&lt;&gt;0,DB_HighProject[[#This Row],[Actual]]/DB_HighProject[[#This Row],[Plan]],1.000011000011)</f>
        <v>0.59991278051151176</v>
      </c>
    </row>
    <row r="83" spans="1:31" hidden="1" x14ac:dyDescent="0.2">
      <c r="A83">
        <f>SUBTOTAL(3,$B$6:B83)</f>
        <v>39</v>
      </c>
      <c r="B83" t="s">
        <v>351</v>
      </c>
      <c r="C83" t="s">
        <v>976</v>
      </c>
      <c r="D83">
        <v>-820.4219999999998</v>
      </c>
      <c r="E83">
        <v>4724.91</v>
      </c>
      <c r="F83">
        <v>5398.1909999999998</v>
      </c>
      <c r="G83">
        <v>8843.5310000000009</v>
      </c>
      <c r="H83">
        <v>5936.5229999999992</v>
      </c>
      <c r="I83">
        <v>6584.7249999999995</v>
      </c>
      <c r="J83">
        <v>6584.7249999999995</v>
      </c>
      <c r="K83">
        <v>6584.7249999999995</v>
      </c>
      <c r="L83">
        <v>6584.7249999999995</v>
      </c>
      <c r="M83">
        <v>5308.28</v>
      </c>
      <c r="N83">
        <v>4626.4539999999997</v>
      </c>
      <c r="O83">
        <v>3102.8919999999998</v>
      </c>
      <c r="P83">
        <v>-1986.04</v>
      </c>
      <c r="Q83">
        <v>3407.7</v>
      </c>
      <c r="R83">
        <v>3803.0800000000008</v>
      </c>
      <c r="S83">
        <v>7221.25</v>
      </c>
      <c r="T83">
        <v>2832.8000000000006</v>
      </c>
      <c r="U83">
        <v>3119.0100000000011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s="34">
        <f>SUMPRODUCT(DB_HighProject[[#This Row],[Plan01]:[Plan12]],$D$4:$O$4)/valUnits2</f>
        <v>30.667458</v>
      </c>
      <c r="AC83" s="34">
        <f>SUMPRODUCT(DB_HighProject[[#This Row],[Act01]:[Act12]],$P$4:$AA$4)/valUnits2</f>
        <v>18.397800000000004</v>
      </c>
      <c r="AD83" s="34">
        <f>DB_HighProject[[#This Row],[Actual]]-DB_HighProject[[#This Row],[Plan]]</f>
        <v>-12.269657999999996</v>
      </c>
      <c r="AE83" s="34">
        <f>IF(DB_HighProject[[#This Row],[Plan]]&lt;&gt;0,DB_HighProject[[#This Row],[Actual]]/DB_HighProject[[#This Row],[Plan]],1.000011000011)</f>
        <v>0.59991278051151176</v>
      </c>
    </row>
    <row r="84" spans="1:31" x14ac:dyDescent="0.2">
      <c r="A84">
        <f>SUBTOTAL(3,$B$6:B84)</f>
        <v>40</v>
      </c>
      <c r="B84" t="s">
        <v>1</v>
      </c>
      <c r="C84" t="s">
        <v>967</v>
      </c>
      <c r="D84">
        <v>4215.1239999999998</v>
      </c>
      <c r="E84">
        <v>4144.5030000000006</v>
      </c>
      <c r="F84">
        <v>3940.9319999999998</v>
      </c>
      <c r="G84">
        <v>4317.5479999999998</v>
      </c>
      <c r="I84">
        <v>0</v>
      </c>
      <c r="P84">
        <v>4152.79</v>
      </c>
      <c r="Q84">
        <v>4231.41</v>
      </c>
      <c r="R84">
        <v>3977.13</v>
      </c>
      <c r="S84">
        <v>4292.93</v>
      </c>
      <c r="U84">
        <v>-12501.470000000003</v>
      </c>
      <c r="AB84" s="34">
        <f>SUMPRODUCT(DB_HighProject[[#This Row],[Plan01]:[Plan12]],$D$4:$O$4)/valUnits2</f>
        <v>16.618106999999998</v>
      </c>
      <c r="AC84" s="34">
        <f>SUMPRODUCT(DB_HighProject[[#This Row],[Act01]:[Act12]],$P$4:$AA$4)/valUnits2</f>
        <v>4.1527899999999986</v>
      </c>
      <c r="AD84" s="34">
        <f>DB_HighProject[[#This Row],[Actual]]-DB_HighProject[[#This Row],[Plan]]</f>
        <v>-12.465316999999999</v>
      </c>
      <c r="AE84" s="34">
        <f>IF(DB_HighProject[[#This Row],[Plan]]&lt;&gt;0,DB_HighProject[[#This Row],[Actual]]/DB_HighProject[[#This Row],[Plan]],1.000011000011)</f>
        <v>0.24989549050322032</v>
      </c>
    </row>
    <row r="85" spans="1:31" hidden="1" x14ac:dyDescent="0.2">
      <c r="A85">
        <f>SUBTOTAL(3,$B$6:B85)</f>
        <v>40</v>
      </c>
      <c r="B85" t="s">
        <v>349</v>
      </c>
      <c r="C85" t="s">
        <v>978</v>
      </c>
      <c r="D85">
        <v>0</v>
      </c>
      <c r="G85">
        <v>65.539999999999992</v>
      </c>
      <c r="H85">
        <v>2562.4799999999996</v>
      </c>
      <c r="I85">
        <v>0</v>
      </c>
      <c r="J85">
        <v>0</v>
      </c>
      <c r="M85">
        <v>0</v>
      </c>
      <c r="P85">
        <v>0</v>
      </c>
      <c r="S85">
        <v>65.539999999999992</v>
      </c>
      <c r="T85">
        <v>2562.4800000000005</v>
      </c>
      <c r="U85">
        <v>-2398.8100000000004</v>
      </c>
      <c r="V85">
        <v>0</v>
      </c>
      <c r="Y85">
        <v>0</v>
      </c>
      <c r="AB85" s="34">
        <f>SUMPRODUCT(DB_HighProject[[#This Row],[Plan01]:[Plan12]],$D$4:$O$4)/valUnits2</f>
        <v>2.6280199999999994</v>
      </c>
      <c r="AC85" s="34">
        <f>SUMPRODUCT(DB_HighProject[[#This Row],[Act01]:[Act12]],$P$4:$AA$4)/valUnits2</f>
        <v>0.22921000000000002</v>
      </c>
      <c r="AD85" s="34">
        <f>DB_HighProject[[#This Row],[Actual]]-DB_HighProject[[#This Row],[Plan]]</f>
        <v>-2.3988099999999992</v>
      </c>
      <c r="AE85" s="34">
        <f>IF(DB_HighProject[[#This Row],[Plan]]&lt;&gt;0,DB_HighProject[[#This Row],[Actual]]/DB_HighProject[[#This Row],[Plan]],1.000011000011)</f>
        <v>8.7217753289548811E-2</v>
      </c>
    </row>
    <row r="86" spans="1:31" x14ac:dyDescent="0.2">
      <c r="A86">
        <f>SUBTOTAL(3,$B$6:B86)</f>
        <v>41</v>
      </c>
      <c r="B86" t="s">
        <v>1</v>
      </c>
      <c r="C86" t="s">
        <v>968</v>
      </c>
      <c r="D86">
        <v>1194.347</v>
      </c>
      <c r="E86">
        <v>104245.12699999999</v>
      </c>
      <c r="F86">
        <v>80304.292999999976</v>
      </c>
      <c r="G86">
        <v>-156547.37300000002</v>
      </c>
      <c r="H86">
        <v>13286.018999999998</v>
      </c>
      <c r="I86">
        <v>6776.2660000000005</v>
      </c>
      <c r="J86">
        <v>6776.2660000000005</v>
      </c>
      <c r="K86">
        <v>6776.2660000000005</v>
      </c>
      <c r="L86">
        <v>6776.2660000000014</v>
      </c>
      <c r="M86">
        <v>6776.2660000000005</v>
      </c>
      <c r="N86">
        <v>6776.2660000000005</v>
      </c>
      <c r="O86">
        <v>6776.2660000000005</v>
      </c>
      <c r="P86">
        <v>27.68</v>
      </c>
      <c r="Q86">
        <v>103078.46</v>
      </c>
      <c r="R86">
        <v>79382.25</v>
      </c>
      <c r="S86">
        <v>-157904.17000000004</v>
      </c>
      <c r="T86">
        <v>12283.020000000004</v>
      </c>
      <c r="U86">
        <v>-1413.2700000000002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s="34">
        <f>SUMPRODUCT(DB_HighProject[[#This Row],[Plan01]:[Plan12]],$D$4:$O$4)/valUnits2</f>
        <v>49.258678999999944</v>
      </c>
      <c r="AC86" s="34">
        <f>SUMPRODUCT(DB_HighProject[[#This Row],[Act01]:[Act12]],$P$4:$AA$4)/valUnits2</f>
        <v>35.453969999999977</v>
      </c>
      <c r="AD86" s="34">
        <f>DB_HighProject[[#This Row],[Actual]]-DB_HighProject[[#This Row],[Plan]]</f>
        <v>-13.804708999999967</v>
      </c>
      <c r="AE86" s="34">
        <f>IF(DB_HighProject[[#This Row],[Plan]]&lt;&gt;0,DB_HighProject[[#This Row],[Actual]]/DB_HighProject[[#This Row],[Plan]],1.000011000011)</f>
        <v>0.71975072656739369</v>
      </c>
    </row>
    <row r="87" spans="1:31" hidden="1" x14ac:dyDescent="0.2">
      <c r="A87">
        <f>SUBTOTAL(3,$B$6:B87)</f>
        <v>41</v>
      </c>
      <c r="B87" t="s">
        <v>351</v>
      </c>
      <c r="C87" t="s">
        <v>998</v>
      </c>
      <c r="D87">
        <v>27190.5</v>
      </c>
      <c r="E87">
        <v>27753.144999999997</v>
      </c>
      <c r="F87">
        <v>-3734.1850000000027</v>
      </c>
      <c r="G87">
        <v>20283.779000000002</v>
      </c>
      <c r="H87">
        <v>16809.739000000001</v>
      </c>
      <c r="I87">
        <v>14103.676000000001</v>
      </c>
      <c r="J87">
        <v>14103.675999999999</v>
      </c>
      <c r="K87">
        <v>14103.675999999999</v>
      </c>
      <c r="L87">
        <v>14103.676000000001</v>
      </c>
      <c r="M87">
        <v>14103.675999999999</v>
      </c>
      <c r="N87">
        <v>14103.675999999999</v>
      </c>
      <c r="O87">
        <v>14103.675999999999</v>
      </c>
      <c r="P87">
        <v>24075.5</v>
      </c>
      <c r="Q87">
        <v>24708.679999999997</v>
      </c>
      <c r="R87">
        <v>-6850.6200000000044</v>
      </c>
      <c r="S87">
        <v>17128.490000000005</v>
      </c>
      <c r="T87">
        <v>13694.569999999998</v>
      </c>
      <c r="U87">
        <v>12993.91</v>
      </c>
      <c r="V87">
        <v>61950</v>
      </c>
      <c r="W87">
        <v>0</v>
      </c>
      <c r="X87">
        <v>0</v>
      </c>
      <c r="Y87">
        <v>0</v>
      </c>
      <c r="Z87">
        <v>0</v>
      </c>
      <c r="AA87">
        <v>0</v>
      </c>
      <c r="AB87" s="34">
        <f>SUMPRODUCT(DB_HighProject[[#This Row],[Plan01]:[Plan12]],$D$4:$O$4)/valUnits2</f>
        <v>102.406654</v>
      </c>
      <c r="AC87" s="34">
        <f>SUMPRODUCT(DB_HighProject[[#This Row],[Act01]:[Act12]],$P$4:$AA$4)/valUnits2</f>
        <v>85.750529999999998</v>
      </c>
      <c r="AD87" s="34">
        <f>DB_HighProject[[#This Row],[Actual]]-DB_HighProject[[#This Row],[Plan]]</f>
        <v>-16.656124000000005</v>
      </c>
      <c r="AE87" s="34">
        <f>IF(DB_HighProject[[#This Row],[Plan]]&lt;&gt;0,DB_HighProject[[#This Row],[Actual]]/DB_HighProject[[#This Row],[Plan]],1.000011000011)</f>
        <v>0.83735310793378714</v>
      </c>
    </row>
    <row r="88" spans="1:31" x14ac:dyDescent="0.2">
      <c r="A88">
        <f>SUBTOTAL(3,$B$6:B88)</f>
        <v>42</v>
      </c>
      <c r="B88" t="s">
        <v>1</v>
      </c>
      <c r="C88" t="s">
        <v>974</v>
      </c>
      <c r="D88">
        <v>7645.4630000000006</v>
      </c>
      <c r="E88">
        <v>46426.638999999988</v>
      </c>
      <c r="F88">
        <v>33893.426999999996</v>
      </c>
      <c r="G88">
        <v>36835.581999999988</v>
      </c>
      <c r="H88">
        <v>15864.328</v>
      </c>
      <c r="I88">
        <v>17714.494999999999</v>
      </c>
      <c r="J88">
        <v>17714.494999999999</v>
      </c>
      <c r="K88">
        <v>17714.495000000003</v>
      </c>
      <c r="L88">
        <v>17610.444000000003</v>
      </c>
      <c r="M88">
        <v>11912.808000000001</v>
      </c>
      <c r="N88">
        <v>11137.677000000003</v>
      </c>
      <c r="O88">
        <v>11137.677</v>
      </c>
      <c r="P88">
        <v>6226.93</v>
      </c>
      <c r="Q88">
        <v>45092.259999999995</v>
      </c>
      <c r="R88">
        <v>32033.759999999987</v>
      </c>
      <c r="S88">
        <v>34549.920000000006</v>
      </c>
      <c r="T88">
        <v>13949.939999999999</v>
      </c>
      <c r="U88">
        <v>11746.87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s="34">
        <f>SUMPRODUCT(DB_HighProject[[#This Row],[Plan01]:[Plan12]],$D$4:$O$4)/valUnits2</f>
        <v>158.37993399999999</v>
      </c>
      <c r="AC88" s="34">
        <f>SUMPRODUCT(DB_HighProject[[#This Row],[Act01]:[Act12]],$P$4:$AA$4)/valUnits2</f>
        <v>143.59968000000001</v>
      </c>
      <c r="AD88" s="34">
        <f>DB_HighProject[[#This Row],[Actual]]-DB_HighProject[[#This Row],[Plan]]</f>
        <v>-14.780253999999985</v>
      </c>
      <c r="AE88" s="34">
        <f>IF(DB_HighProject[[#This Row],[Plan]]&lt;&gt;0,DB_HighProject[[#This Row],[Actual]]/DB_HighProject[[#This Row],[Plan]],1.000011000011)</f>
        <v>0.90667849375413945</v>
      </c>
    </row>
    <row r="89" spans="1:31" hidden="1" x14ac:dyDescent="0.2">
      <c r="A89">
        <f>SUBTOTAL(3,$B$6:B89)</f>
        <v>42</v>
      </c>
      <c r="B89" t="s">
        <v>351</v>
      </c>
      <c r="C89" t="s">
        <v>990</v>
      </c>
      <c r="D89">
        <v>4217.107</v>
      </c>
      <c r="E89">
        <v>4199.4420000000009</v>
      </c>
      <c r="F89">
        <v>4208.4850000000006</v>
      </c>
      <c r="G89">
        <v>4375.2370000000001</v>
      </c>
      <c r="H89">
        <v>4525.7540000000008</v>
      </c>
      <c r="I89">
        <v>4166.6670000000004</v>
      </c>
      <c r="J89">
        <v>4166.6670000000004</v>
      </c>
      <c r="K89">
        <v>4166.6670000000004</v>
      </c>
      <c r="L89">
        <v>4166.6670000000004</v>
      </c>
      <c r="M89">
        <v>4166.6670000000004</v>
      </c>
      <c r="N89">
        <v>4166.6670000000004</v>
      </c>
      <c r="O89">
        <v>4166.6670000000004</v>
      </c>
      <c r="P89">
        <v>50.44</v>
      </c>
      <c r="Q89">
        <v>32.770000000000003</v>
      </c>
      <c r="R89">
        <v>41.97</v>
      </c>
      <c r="S89">
        <v>204.53</v>
      </c>
      <c r="T89">
        <v>357.3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s="34">
        <f>SUMPRODUCT(DB_HighProject[[#This Row],[Plan01]:[Plan12]],$D$4:$O$4)/valUnits2</f>
        <v>25.692692000000001</v>
      </c>
      <c r="AC89" s="34">
        <f>SUMPRODUCT(DB_HighProject[[#This Row],[Act01]:[Act12]],$P$4:$AA$4)/valUnits2</f>
        <v>0.68701000000000001</v>
      </c>
      <c r="AD89" s="34">
        <f>DB_HighProject[[#This Row],[Actual]]-DB_HighProject[[#This Row],[Plan]]</f>
        <v>-25.005682</v>
      </c>
      <c r="AE89" s="34">
        <f>IF(DB_HighProject[[#This Row],[Plan]]&lt;&gt;0,DB_HighProject[[#This Row],[Actual]]/DB_HighProject[[#This Row],[Plan]],1.000011000011)</f>
        <v>2.6739510207805395E-2</v>
      </c>
    </row>
    <row r="90" spans="1:31" x14ac:dyDescent="0.2">
      <c r="A90">
        <f>SUBTOTAL(3,$B$6:B90)</f>
        <v>43</v>
      </c>
      <c r="B90" t="s">
        <v>1</v>
      </c>
      <c r="C90" t="s">
        <v>993</v>
      </c>
      <c r="D90">
        <v>1237.7170000000001</v>
      </c>
      <c r="E90">
        <v>35113.852000000006</v>
      </c>
      <c r="F90">
        <v>1396.4089999999987</v>
      </c>
      <c r="G90">
        <v>39902.920999999995</v>
      </c>
      <c r="H90">
        <v>1930.5280000000002</v>
      </c>
      <c r="I90">
        <v>18191.548000000003</v>
      </c>
      <c r="J90">
        <v>15011.754000000001</v>
      </c>
      <c r="K90">
        <v>12982.258000000002</v>
      </c>
      <c r="L90">
        <v>15554.333000000002</v>
      </c>
      <c r="M90">
        <v>11717.338</v>
      </c>
      <c r="N90">
        <v>14066.043</v>
      </c>
      <c r="O90">
        <v>11475.656000000001</v>
      </c>
      <c r="P90">
        <v>1218.6500000000001</v>
      </c>
      <c r="Q90">
        <v>36087.75</v>
      </c>
      <c r="R90">
        <v>1409.0500000000006</v>
      </c>
      <c r="S90">
        <v>39763.08</v>
      </c>
      <c r="T90">
        <v>1917.3400000000015</v>
      </c>
      <c r="U90">
        <v>1392.9899999999984</v>
      </c>
      <c r="V90">
        <v>37226.519999999997</v>
      </c>
      <c r="W90">
        <v>0</v>
      </c>
      <c r="X90">
        <v>0</v>
      </c>
      <c r="Y90">
        <v>0</v>
      </c>
      <c r="Z90">
        <v>0</v>
      </c>
      <c r="AA90">
        <v>0</v>
      </c>
      <c r="AB90" s="34">
        <f>SUMPRODUCT(DB_HighProject[[#This Row],[Plan01]:[Plan12]],$D$4:$O$4)/valUnits2</f>
        <v>97.772975000000002</v>
      </c>
      <c r="AC90" s="34">
        <f>SUMPRODUCT(DB_HighProject[[#This Row],[Act01]:[Act12]],$P$4:$AA$4)/valUnits2</f>
        <v>81.78886</v>
      </c>
      <c r="AD90" s="34">
        <f>DB_HighProject[[#This Row],[Actual]]-DB_HighProject[[#This Row],[Plan]]</f>
        <v>-15.984115000000003</v>
      </c>
      <c r="AE90" s="34">
        <f>IF(DB_HighProject[[#This Row],[Plan]]&lt;&gt;0,DB_HighProject[[#This Row],[Actual]]/DB_HighProject[[#This Row],[Plan]],1.000011000011)</f>
        <v>0.83651806646979898</v>
      </c>
    </row>
    <row r="91" spans="1:31" hidden="1" x14ac:dyDescent="0.2">
      <c r="A91">
        <f>SUBTOTAL(3,$B$6:B91)</f>
        <v>43</v>
      </c>
      <c r="B91" t="s">
        <v>347</v>
      </c>
      <c r="C91" t="s">
        <v>973</v>
      </c>
      <c r="D91">
        <v>0</v>
      </c>
      <c r="E91">
        <v>1657.84</v>
      </c>
      <c r="F91">
        <v>0</v>
      </c>
      <c r="G91">
        <v>54235.468999999997</v>
      </c>
      <c r="H91">
        <v>0</v>
      </c>
      <c r="I91">
        <v>409.24</v>
      </c>
      <c r="J91">
        <v>21182.812999999998</v>
      </c>
      <c r="K91">
        <v>0</v>
      </c>
      <c r="L91">
        <v>409.24</v>
      </c>
      <c r="M91">
        <v>25956.75</v>
      </c>
      <c r="N91">
        <v>0</v>
      </c>
      <c r="O91">
        <v>129172.39600000001</v>
      </c>
      <c r="P91">
        <v>0</v>
      </c>
      <c r="Q91">
        <v>1657.84</v>
      </c>
      <c r="R91">
        <v>0</v>
      </c>
      <c r="S91">
        <v>0</v>
      </c>
      <c r="T91">
        <v>0</v>
      </c>
      <c r="U91">
        <v>-5532.14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s="34">
        <f>SUMPRODUCT(DB_HighProject[[#This Row],[Plan01]:[Plan12]],$D$4:$O$4)/valUnits2</f>
        <v>56.302548999999992</v>
      </c>
      <c r="AC91" s="34">
        <f>SUMPRODUCT(DB_HighProject[[#This Row],[Act01]:[Act12]],$P$4:$AA$4)/valUnits2</f>
        <v>-3.8743000000000003</v>
      </c>
      <c r="AD91" s="34">
        <f>DB_HighProject[[#This Row],[Actual]]-DB_HighProject[[#This Row],[Plan]]</f>
        <v>-60.17684899999999</v>
      </c>
      <c r="AE91" s="34">
        <f>IF(DB_HighProject[[#This Row],[Plan]]&lt;&gt;0,DB_HighProject[[#This Row],[Actual]]/DB_HighProject[[#This Row],[Plan]],1.000011000011)</f>
        <v>-6.8812159818909813E-2</v>
      </c>
    </row>
    <row r="92" spans="1:31" x14ac:dyDescent="0.2">
      <c r="A92">
        <f>SUBTOTAL(3,$B$6:B92)</f>
        <v>44</v>
      </c>
      <c r="B92" t="s">
        <v>1</v>
      </c>
      <c r="C92" t="s">
        <v>998</v>
      </c>
      <c r="D92">
        <v>27190.5</v>
      </c>
      <c r="E92">
        <v>27753.144999999997</v>
      </c>
      <c r="F92">
        <v>-3734.1850000000027</v>
      </c>
      <c r="G92">
        <v>20283.779000000002</v>
      </c>
      <c r="H92">
        <v>16809.739000000001</v>
      </c>
      <c r="I92">
        <v>14103.676000000001</v>
      </c>
      <c r="J92">
        <v>14103.675999999999</v>
      </c>
      <c r="K92">
        <v>14103.675999999999</v>
      </c>
      <c r="L92">
        <v>14103.676000000001</v>
      </c>
      <c r="M92">
        <v>14103.675999999999</v>
      </c>
      <c r="N92">
        <v>14103.675999999999</v>
      </c>
      <c r="O92">
        <v>14103.675999999999</v>
      </c>
      <c r="P92">
        <v>24075.5</v>
      </c>
      <c r="Q92">
        <v>24708.679999999997</v>
      </c>
      <c r="R92">
        <v>-6850.6200000000044</v>
      </c>
      <c r="S92">
        <v>17128.490000000005</v>
      </c>
      <c r="T92">
        <v>13694.569999999998</v>
      </c>
      <c r="U92">
        <v>12993.91</v>
      </c>
      <c r="V92">
        <v>61950</v>
      </c>
      <c r="W92">
        <v>0</v>
      </c>
      <c r="X92">
        <v>0</v>
      </c>
      <c r="Y92">
        <v>0</v>
      </c>
      <c r="Z92">
        <v>0</v>
      </c>
      <c r="AA92">
        <v>0</v>
      </c>
      <c r="AB92" s="34">
        <f>SUMPRODUCT(DB_HighProject[[#This Row],[Plan01]:[Plan12]],$D$4:$O$4)/valUnits2</f>
        <v>102.406654</v>
      </c>
      <c r="AC92" s="34">
        <f>SUMPRODUCT(DB_HighProject[[#This Row],[Act01]:[Act12]],$P$4:$AA$4)/valUnits2</f>
        <v>85.750529999999998</v>
      </c>
      <c r="AD92" s="34">
        <f>DB_HighProject[[#This Row],[Actual]]-DB_HighProject[[#This Row],[Plan]]</f>
        <v>-16.656124000000005</v>
      </c>
      <c r="AE92" s="34">
        <f>IF(DB_HighProject[[#This Row],[Plan]]&lt;&gt;0,DB_HighProject[[#This Row],[Actual]]/DB_HighProject[[#This Row],[Plan]],1.000011000011)</f>
        <v>0.83735310793378714</v>
      </c>
    </row>
    <row r="93" spans="1:31" hidden="1" x14ac:dyDescent="0.2">
      <c r="A93">
        <f>SUBTOTAL(3,$B$6:B93)</f>
        <v>44</v>
      </c>
      <c r="B93" t="s">
        <v>350</v>
      </c>
      <c r="C93" t="s">
        <v>974</v>
      </c>
      <c r="D93">
        <v>7645.4630000000006</v>
      </c>
      <c r="E93">
        <v>46426.638999999988</v>
      </c>
      <c r="F93">
        <v>33893.426999999996</v>
      </c>
      <c r="G93">
        <v>36835.581999999988</v>
      </c>
      <c r="H93">
        <v>15864.328</v>
      </c>
      <c r="I93">
        <v>17714.494999999999</v>
      </c>
      <c r="J93">
        <v>17714.494999999999</v>
      </c>
      <c r="K93">
        <v>17714.495000000003</v>
      </c>
      <c r="L93">
        <v>17610.444000000003</v>
      </c>
      <c r="M93">
        <v>11912.808000000001</v>
      </c>
      <c r="N93">
        <v>11137.677000000003</v>
      </c>
      <c r="O93">
        <v>11137.677</v>
      </c>
      <c r="P93">
        <v>6226.93</v>
      </c>
      <c r="Q93">
        <v>45092.259999999995</v>
      </c>
      <c r="R93">
        <v>32033.759999999987</v>
      </c>
      <c r="S93">
        <v>34549.920000000006</v>
      </c>
      <c r="T93">
        <v>13949.939999999999</v>
      </c>
      <c r="U93">
        <v>11746.87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s="34">
        <f>SUMPRODUCT(DB_HighProject[[#This Row],[Plan01]:[Plan12]],$D$4:$O$4)/valUnits2</f>
        <v>158.37993399999999</v>
      </c>
      <c r="AC93" s="34">
        <f>SUMPRODUCT(DB_HighProject[[#This Row],[Act01]:[Act12]],$P$4:$AA$4)/valUnits2</f>
        <v>143.59968000000001</v>
      </c>
      <c r="AD93" s="34">
        <f>DB_HighProject[[#This Row],[Actual]]-DB_HighProject[[#This Row],[Plan]]</f>
        <v>-14.780253999999985</v>
      </c>
      <c r="AE93" s="34">
        <f>IF(DB_HighProject[[#This Row],[Plan]]&lt;&gt;0,DB_HighProject[[#This Row],[Actual]]/DB_HighProject[[#This Row],[Plan]],1.000011000011)</f>
        <v>0.90667849375413945</v>
      </c>
    </row>
    <row r="94" spans="1:31" x14ac:dyDescent="0.2">
      <c r="A94">
        <f>SUBTOTAL(3,$B$6:B94)</f>
        <v>45</v>
      </c>
      <c r="B94" t="s">
        <v>1</v>
      </c>
      <c r="C94" t="s">
        <v>966</v>
      </c>
      <c r="D94">
        <v>1081.4570000000001</v>
      </c>
      <c r="E94">
        <v>3682.498</v>
      </c>
      <c r="F94">
        <v>16248.057000000001</v>
      </c>
      <c r="G94">
        <v>23347.986000000004</v>
      </c>
      <c r="H94">
        <v>2844.0319999999997</v>
      </c>
      <c r="I94">
        <v>20151.371999999999</v>
      </c>
      <c r="J94">
        <v>0</v>
      </c>
      <c r="P94">
        <v>1091.95</v>
      </c>
      <c r="Q94">
        <v>3753.04</v>
      </c>
      <c r="R94">
        <v>16082.359999999999</v>
      </c>
      <c r="S94">
        <v>23524.330000000005</v>
      </c>
      <c r="T94">
        <v>2902.7799999999993</v>
      </c>
      <c r="U94">
        <v>3287.5699999999988</v>
      </c>
      <c r="V94">
        <v>1323.46</v>
      </c>
      <c r="AB94" s="34">
        <f>SUMPRODUCT(DB_HighProject[[#This Row],[Plan01]:[Plan12]],$D$4:$O$4)/valUnits2</f>
        <v>67.355401999999998</v>
      </c>
      <c r="AC94" s="34">
        <f>SUMPRODUCT(DB_HighProject[[#This Row],[Act01]:[Act12]],$P$4:$AA$4)/valUnits2</f>
        <v>50.642030000000005</v>
      </c>
      <c r="AD94" s="34">
        <f>DB_HighProject[[#This Row],[Actual]]-DB_HighProject[[#This Row],[Plan]]</f>
        <v>-16.713371999999993</v>
      </c>
      <c r="AE94" s="34">
        <f>IF(DB_HighProject[[#This Row],[Plan]]&lt;&gt;0,DB_HighProject[[#This Row],[Actual]]/DB_HighProject[[#This Row],[Plan]],1.000011000011)</f>
        <v>0.75186293149879813</v>
      </c>
    </row>
    <row r="95" spans="1:31" hidden="1" x14ac:dyDescent="0.2">
      <c r="A95">
        <f>SUBTOTAL(3,$B$6:B95)</f>
        <v>45</v>
      </c>
      <c r="B95" t="s">
        <v>350</v>
      </c>
      <c r="C95" t="s">
        <v>968</v>
      </c>
      <c r="D95">
        <v>1194.347</v>
      </c>
      <c r="E95">
        <v>104245.12699999999</v>
      </c>
      <c r="F95">
        <v>80304.292999999976</v>
      </c>
      <c r="G95">
        <v>-156547.37300000002</v>
      </c>
      <c r="H95">
        <v>13286.018999999998</v>
      </c>
      <c r="I95">
        <v>6776.2660000000005</v>
      </c>
      <c r="J95">
        <v>6776.2660000000005</v>
      </c>
      <c r="K95">
        <v>6776.2660000000005</v>
      </c>
      <c r="L95">
        <v>6776.2660000000014</v>
      </c>
      <c r="M95">
        <v>6776.2660000000005</v>
      </c>
      <c r="N95">
        <v>6776.2660000000005</v>
      </c>
      <c r="O95">
        <v>6776.2660000000005</v>
      </c>
      <c r="P95">
        <v>27.68</v>
      </c>
      <c r="Q95">
        <v>103078.46</v>
      </c>
      <c r="R95">
        <v>79382.25</v>
      </c>
      <c r="S95">
        <v>-157904.17000000004</v>
      </c>
      <c r="T95">
        <v>12283.020000000004</v>
      </c>
      <c r="U95">
        <v>-1413.2700000000002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s="34">
        <f>SUMPRODUCT(DB_HighProject[[#This Row],[Plan01]:[Plan12]],$D$4:$O$4)/valUnits2</f>
        <v>49.258678999999944</v>
      </c>
      <c r="AC95" s="34">
        <f>SUMPRODUCT(DB_HighProject[[#This Row],[Act01]:[Act12]],$P$4:$AA$4)/valUnits2</f>
        <v>35.453969999999977</v>
      </c>
      <c r="AD95" s="34">
        <f>DB_HighProject[[#This Row],[Actual]]-DB_HighProject[[#This Row],[Plan]]</f>
        <v>-13.804708999999967</v>
      </c>
      <c r="AE95" s="34">
        <f>IF(DB_HighProject[[#This Row],[Plan]]&lt;&gt;0,DB_HighProject[[#This Row],[Actual]]/DB_HighProject[[#This Row],[Plan]],1.000011000011)</f>
        <v>0.71975072656739369</v>
      </c>
    </row>
    <row r="96" spans="1:31" x14ac:dyDescent="0.2">
      <c r="A96">
        <f>SUBTOTAL(3,$B$6:B96)</f>
        <v>46</v>
      </c>
      <c r="B96" t="s">
        <v>1</v>
      </c>
      <c r="C96" t="s">
        <v>985</v>
      </c>
      <c r="D96">
        <v>33235.575999999994</v>
      </c>
      <c r="E96">
        <v>19493.719000000001</v>
      </c>
      <c r="F96">
        <v>8120.2590000000009</v>
      </c>
      <c r="G96">
        <v>20425.713</v>
      </c>
      <c r="H96">
        <v>7765.0029999999997</v>
      </c>
      <c r="I96">
        <v>34499.630000000005</v>
      </c>
      <c r="P96">
        <v>33551.560000000005</v>
      </c>
      <c r="Q96">
        <v>19839.07</v>
      </c>
      <c r="R96">
        <v>8104.3999999999987</v>
      </c>
      <c r="S96">
        <v>20556.620000000003</v>
      </c>
      <c r="T96">
        <v>8030.7000000000016</v>
      </c>
      <c r="U96">
        <v>15887.61</v>
      </c>
      <c r="AB96" s="34">
        <f>SUMPRODUCT(DB_HighProject[[#This Row],[Plan01]:[Plan12]],$D$4:$O$4)/valUnits2</f>
        <v>123.53989999999999</v>
      </c>
      <c r="AC96" s="34">
        <f>SUMPRODUCT(DB_HighProject[[#This Row],[Act01]:[Act12]],$P$4:$AA$4)/valUnits2</f>
        <v>105.96996</v>
      </c>
      <c r="AD96" s="34">
        <f>DB_HighProject[[#This Row],[Actual]]-DB_HighProject[[#This Row],[Plan]]</f>
        <v>-17.569939999999988</v>
      </c>
      <c r="AE96" s="34">
        <f>IF(DB_HighProject[[#This Row],[Plan]]&lt;&gt;0,DB_HighProject[[#This Row],[Actual]]/DB_HighProject[[#This Row],[Plan]],1.000011000011)</f>
        <v>0.85777922760177083</v>
      </c>
    </row>
    <row r="97" spans="1:31" hidden="1" x14ac:dyDescent="0.2">
      <c r="A97">
        <f>SUBTOTAL(3,$B$6:B97)</f>
        <v>46</v>
      </c>
      <c r="B97" t="s">
        <v>346</v>
      </c>
      <c r="C97" t="s">
        <v>967</v>
      </c>
      <c r="D97">
        <v>4215.1239999999998</v>
      </c>
      <c r="E97">
        <v>4144.5030000000006</v>
      </c>
      <c r="F97">
        <v>3940.9319999999998</v>
      </c>
      <c r="G97">
        <v>4317.5479999999998</v>
      </c>
      <c r="I97">
        <v>0</v>
      </c>
      <c r="P97">
        <v>4152.79</v>
      </c>
      <c r="Q97">
        <v>4231.41</v>
      </c>
      <c r="R97">
        <v>3977.13</v>
      </c>
      <c r="S97">
        <v>4292.93</v>
      </c>
      <c r="U97">
        <v>-12501.470000000003</v>
      </c>
      <c r="AB97" s="34">
        <f>SUMPRODUCT(DB_HighProject[[#This Row],[Plan01]:[Plan12]],$D$4:$O$4)/valUnits2</f>
        <v>16.618106999999998</v>
      </c>
      <c r="AC97" s="34">
        <f>SUMPRODUCT(DB_HighProject[[#This Row],[Act01]:[Act12]],$P$4:$AA$4)/valUnits2</f>
        <v>4.1527899999999986</v>
      </c>
      <c r="AD97" s="34">
        <f>DB_HighProject[[#This Row],[Actual]]-DB_HighProject[[#This Row],[Plan]]</f>
        <v>-12.465316999999999</v>
      </c>
      <c r="AE97" s="34">
        <f>IF(DB_HighProject[[#This Row],[Plan]]&lt;&gt;0,DB_HighProject[[#This Row],[Actual]]/DB_HighProject[[#This Row],[Plan]],1.000011000011)</f>
        <v>0.24989549050322032</v>
      </c>
    </row>
    <row r="98" spans="1:31" x14ac:dyDescent="0.2">
      <c r="A98">
        <f>SUBTOTAL(3,$B$6:B98)</f>
        <v>47</v>
      </c>
      <c r="B98" t="s">
        <v>1</v>
      </c>
      <c r="C98" t="s">
        <v>990</v>
      </c>
      <c r="D98">
        <v>4217.107</v>
      </c>
      <c r="E98">
        <v>4199.4420000000009</v>
      </c>
      <c r="F98">
        <v>4208.4850000000006</v>
      </c>
      <c r="G98">
        <v>4375.2370000000001</v>
      </c>
      <c r="H98">
        <v>4525.7540000000008</v>
      </c>
      <c r="I98">
        <v>4166.6670000000004</v>
      </c>
      <c r="J98">
        <v>4166.6670000000004</v>
      </c>
      <c r="K98">
        <v>4166.6670000000004</v>
      </c>
      <c r="L98">
        <v>4166.6670000000004</v>
      </c>
      <c r="M98">
        <v>4166.6670000000004</v>
      </c>
      <c r="N98">
        <v>4166.6670000000004</v>
      </c>
      <c r="O98">
        <v>4166.6670000000004</v>
      </c>
      <c r="P98">
        <v>50.44</v>
      </c>
      <c r="Q98">
        <v>32.770000000000003</v>
      </c>
      <c r="R98">
        <v>41.97</v>
      </c>
      <c r="S98">
        <v>204.53</v>
      </c>
      <c r="T98">
        <v>357.3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s="34">
        <f>SUMPRODUCT(DB_HighProject[[#This Row],[Plan01]:[Plan12]],$D$4:$O$4)/valUnits2</f>
        <v>25.692692000000001</v>
      </c>
      <c r="AC98" s="34">
        <f>SUMPRODUCT(DB_HighProject[[#This Row],[Act01]:[Act12]],$P$4:$AA$4)/valUnits2</f>
        <v>0.68701000000000001</v>
      </c>
      <c r="AD98" s="34">
        <f>DB_HighProject[[#This Row],[Actual]]-DB_HighProject[[#This Row],[Plan]]</f>
        <v>-25.005682</v>
      </c>
      <c r="AE98" s="34">
        <f>IF(DB_HighProject[[#This Row],[Plan]]&lt;&gt;0,DB_HighProject[[#This Row],[Actual]]/DB_HighProject[[#This Row],[Plan]],1.000011000011)</f>
        <v>2.6739510207805395E-2</v>
      </c>
    </row>
    <row r="99" spans="1:31" hidden="1" x14ac:dyDescent="0.2">
      <c r="A99">
        <f>SUBTOTAL(3,$B$6:B99)</f>
        <v>47</v>
      </c>
      <c r="B99" t="s">
        <v>348</v>
      </c>
      <c r="C99" t="s">
        <v>993</v>
      </c>
      <c r="D99">
        <v>1237.7170000000001</v>
      </c>
      <c r="E99">
        <v>35113.852000000006</v>
      </c>
      <c r="F99">
        <v>1396.4089999999987</v>
      </c>
      <c r="G99">
        <v>39902.920999999995</v>
      </c>
      <c r="H99">
        <v>1930.5280000000002</v>
      </c>
      <c r="I99">
        <v>18191.548000000003</v>
      </c>
      <c r="J99">
        <v>15011.754000000001</v>
      </c>
      <c r="K99">
        <v>12982.258000000002</v>
      </c>
      <c r="L99">
        <v>15554.333000000002</v>
      </c>
      <c r="M99">
        <v>11717.338</v>
      </c>
      <c r="N99">
        <v>14066.043</v>
      </c>
      <c r="O99">
        <v>11475.656000000001</v>
      </c>
      <c r="P99">
        <v>1218.6500000000001</v>
      </c>
      <c r="Q99">
        <v>36087.75</v>
      </c>
      <c r="R99">
        <v>1409.0500000000006</v>
      </c>
      <c r="S99">
        <v>39763.08</v>
      </c>
      <c r="T99">
        <v>1917.3400000000015</v>
      </c>
      <c r="U99">
        <v>1392.9899999999984</v>
      </c>
      <c r="V99">
        <v>37226.519999999997</v>
      </c>
      <c r="W99">
        <v>0</v>
      </c>
      <c r="X99">
        <v>0</v>
      </c>
      <c r="Y99">
        <v>0</v>
      </c>
      <c r="Z99">
        <v>0</v>
      </c>
      <c r="AA99">
        <v>0</v>
      </c>
      <c r="AB99" s="34">
        <f>SUMPRODUCT(DB_HighProject[[#This Row],[Plan01]:[Plan12]],$D$4:$O$4)/valUnits2</f>
        <v>97.772975000000002</v>
      </c>
      <c r="AC99" s="34">
        <f>SUMPRODUCT(DB_HighProject[[#This Row],[Act01]:[Act12]],$P$4:$AA$4)/valUnits2</f>
        <v>81.78886</v>
      </c>
      <c r="AD99" s="34">
        <f>DB_HighProject[[#This Row],[Actual]]-DB_HighProject[[#This Row],[Plan]]</f>
        <v>-15.984115000000003</v>
      </c>
      <c r="AE99" s="34">
        <f>IF(DB_HighProject[[#This Row],[Plan]]&lt;&gt;0,DB_HighProject[[#This Row],[Actual]]/DB_HighProject[[#This Row],[Plan]],1.000011000011)</f>
        <v>0.83651806646979898</v>
      </c>
    </row>
    <row r="100" spans="1:31" x14ac:dyDescent="0.2">
      <c r="A100">
        <f>SUBTOTAL(3,$B$6:B100)</f>
        <v>48</v>
      </c>
      <c r="B100" t="s">
        <v>1</v>
      </c>
      <c r="C100" t="s">
        <v>979</v>
      </c>
      <c r="D100">
        <v>0</v>
      </c>
      <c r="E100">
        <v>0</v>
      </c>
      <c r="F100">
        <v>0</v>
      </c>
      <c r="G100">
        <v>684.36</v>
      </c>
      <c r="H100">
        <v>5196.57</v>
      </c>
      <c r="I100">
        <v>31678.894000000004</v>
      </c>
      <c r="J100">
        <v>31678.894</v>
      </c>
      <c r="K100">
        <v>31678.894</v>
      </c>
      <c r="L100">
        <v>31782.894000000004</v>
      </c>
      <c r="P100">
        <v>0</v>
      </c>
      <c r="Q100">
        <v>0</v>
      </c>
      <c r="R100">
        <v>0</v>
      </c>
      <c r="S100">
        <v>684.36</v>
      </c>
      <c r="T100">
        <v>5196.57</v>
      </c>
      <c r="U100">
        <v>4760.0499999999993</v>
      </c>
      <c r="V100">
        <v>0</v>
      </c>
      <c r="W100">
        <v>0</v>
      </c>
      <c r="X100">
        <v>0</v>
      </c>
      <c r="AB100" s="34">
        <f>SUMPRODUCT(DB_HighProject[[#This Row],[Plan01]:[Plan12]],$D$4:$O$4)/valUnits2</f>
        <v>37.559823999999999</v>
      </c>
      <c r="AC100" s="34">
        <f>SUMPRODUCT(DB_HighProject[[#This Row],[Act01]:[Act12]],$P$4:$AA$4)/valUnits2</f>
        <v>10.640979999999999</v>
      </c>
      <c r="AD100" s="34">
        <f>DB_HighProject[[#This Row],[Actual]]-DB_HighProject[[#This Row],[Plan]]</f>
        <v>-26.918844</v>
      </c>
      <c r="AE100" s="34">
        <f>IF(DB_HighProject[[#This Row],[Plan]]&lt;&gt;0,DB_HighProject[[#This Row],[Actual]]/DB_HighProject[[#This Row],[Plan]],1.000011000011)</f>
        <v>0.28330750431631413</v>
      </c>
    </row>
    <row r="101" spans="1:31" hidden="1" x14ac:dyDescent="0.2">
      <c r="A101">
        <f>SUBTOTAL(3,$B$6:B101)</f>
        <v>48</v>
      </c>
      <c r="B101" t="s">
        <v>346</v>
      </c>
      <c r="C101" t="s">
        <v>966</v>
      </c>
      <c r="D101">
        <v>1081.4570000000001</v>
      </c>
      <c r="E101">
        <v>3682.498</v>
      </c>
      <c r="F101">
        <v>16248.057000000001</v>
      </c>
      <c r="G101">
        <v>23347.986000000004</v>
      </c>
      <c r="H101">
        <v>2844.0319999999997</v>
      </c>
      <c r="I101">
        <v>20151.371999999999</v>
      </c>
      <c r="J101">
        <v>0</v>
      </c>
      <c r="P101">
        <v>1091.95</v>
      </c>
      <c r="Q101">
        <v>3753.04</v>
      </c>
      <c r="R101">
        <v>16082.359999999999</v>
      </c>
      <c r="S101">
        <v>23524.330000000005</v>
      </c>
      <c r="T101">
        <v>2902.7799999999993</v>
      </c>
      <c r="U101">
        <v>3287.5699999999988</v>
      </c>
      <c r="V101">
        <v>1323.46</v>
      </c>
      <c r="AB101" s="34">
        <f>SUMPRODUCT(DB_HighProject[[#This Row],[Plan01]:[Plan12]],$D$4:$O$4)/valUnits2</f>
        <v>67.355401999999998</v>
      </c>
      <c r="AC101" s="34">
        <f>SUMPRODUCT(DB_HighProject[[#This Row],[Act01]:[Act12]],$P$4:$AA$4)/valUnits2</f>
        <v>50.642030000000005</v>
      </c>
      <c r="AD101" s="34">
        <f>DB_HighProject[[#This Row],[Actual]]-DB_HighProject[[#This Row],[Plan]]</f>
        <v>-16.713371999999993</v>
      </c>
      <c r="AE101" s="34">
        <f>IF(DB_HighProject[[#This Row],[Plan]]&lt;&gt;0,DB_HighProject[[#This Row],[Actual]]/DB_HighProject[[#This Row],[Plan]],1.000011000011)</f>
        <v>0.75186293149879813</v>
      </c>
    </row>
    <row r="102" spans="1:31" x14ac:dyDescent="0.2">
      <c r="A102">
        <f>SUBTOTAL(3,$B$6:B102)</f>
        <v>49</v>
      </c>
      <c r="B102" t="s">
        <v>1</v>
      </c>
      <c r="C102" t="s">
        <v>944</v>
      </c>
      <c r="D102">
        <v>65719.659999999989</v>
      </c>
      <c r="E102">
        <v>5210.2359999999862</v>
      </c>
      <c r="F102">
        <v>77030.712</v>
      </c>
      <c r="G102">
        <v>118105.82899999993</v>
      </c>
      <c r="H102">
        <v>117964.57099999998</v>
      </c>
      <c r="I102">
        <v>104828.03100000003</v>
      </c>
      <c r="J102">
        <v>91784.981999999989</v>
      </c>
      <c r="K102">
        <v>94447.068000000043</v>
      </c>
      <c r="L102">
        <v>91784.982000000004</v>
      </c>
      <c r="M102">
        <v>91784.982000000047</v>
      </c>
      <c r="N102">
        <v>96576.998000000021</v>
      </c>
      <c r="O102">
        <v>91784.982000000047</v>
      </c>
      <c r="P102">
        <v>64850.270000000004</v>
      </c>
      <c r="Q102">
        <v>5254.0800000000017</v>
      </c>
      <c r="R102">
        <v>77666.81</v>
      </c>
      <c r="S102">
        <v>119743.00000000004</v>
      </c>
      <c r="T102">
        <v>118016.50000000003</v>
      </c>
      <c r="U102">
        <v>74267.63999999997</v>
      </c>
      <c r="V102">
        <v>2515</v>
      </c>
      <c r="W102">
        <v>0</v>
      </c>
      <c r="X102">
        <v>0</v>
      </c>
      <c r="Y102">
        <v>0</v>
      </c>
      <c r="Z102">
        <v>0</v>
      </c>
      <c r="AA102">
        <v>0</v>
      </c>
      <c r="AB102" s="34">
        <f>SUMPRODUCT(DB_HighProject[[#This Row],[Plan01]:[Plan12]],$D$4:$O$4)/valUnits2</f>
        <v>488.85903899999994</v>
      </c>
      <c r="AC102" s="34">
        <f>SUMPRODUCT(DB_HighProject[[#This Row],[Act01]:[Act12]],$P$4:$AA$4)/valUnits2</f>
        <v>459.79829999999998</v>
      </c>
      <c r="AD102" s="34">
        <f>DB_HighProject[[#This Row],[Actual]]-DB_HighProject[[#This Row],[Plan]]</f>
        <v>-29.060738999999955</v>
      </c>
      <c r="AE102" s="34">
        <f>IF(DB_HighProject[[#This Row],[Plan]]&lt;&gt;0,DB_HighProject[[#This Row],[Actual]]/DB_HighProject[[#This Row],[Plan]],1.000011000011)</f>
        <v>0.94055394974501028</v>
      </c>
    </row>
    <row r="103" spans="1:31" hidden="1" x14ac:dyDescent="0.2">
      <c r="A103">
        <f>SUBTOTAL(3,$B$6:B103)</f>
        <v>49</v>
      </c>
      <c r="B103" t="s">
        <v>351</v>
      </c>
      <c r="C103" t="s">
        <v>999</v>
      </c>
      <c r="D103">
        <v>13149.726000000002</v>
      </c>
      <c r="E103">
        <v>16922.167000000001</v>
      </c>
      <c r="F103">
        <v>20681.798000000006</v>
      </c>
      <c r="G103">
        <v>62885.597000000009</v>
      </c>
      <c r="H103">
        <v>72920.454000000027</v>
      </c>
      <c r="I103">
        <v>55721.222999999998</v>
      </c>
      <c r="J103">
        <v>55110.430999999982</v>
      </c>
      <c r="K103">
        <v>54757.452999999994</v>
      </c>
      <c r="L103">
        <v>54349.281000000003</v>
      </c>
      <c r="M103">
        <v>47596.422000000006</v>
      </c>
      <c r="N103">
        <v>46014.584000000017</v>
      </c>
      <c r="O103">
        <v>35792.196000000011</v>
      </c>
      <c r="P103">
        <v>8875.6600000000035</v>
      </c>
      <c r="Q103">
        <v>12415.55</v>
      </c>
      <c r="R103">
        <v>15329.390000000001</v>
      </c>
      <c r="S103">
        <v>57287.889999999992</v>
      </c>
      <c r="T103">
        <v>57161.779999999992</v>
      </c>
      <c r="U103">
        <v>38060.51999999999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s="34">
        <f>SUMPRODUCT(DB_HighProject[[#This Row],[Plan01]:[Plan12]],$D$4:$O$4)/valUnits2</f>
        <v>242.28096500000004</v>
      </c>
      <c r="AC103" s="34">
        <f>SUMPRODUCT(DB_HighProject[[#This Row],[Act01]:[Act12]],$P$4:$AA$4)/valUnits2</f>
        <v>189.13078999999999</v>
      </c>
      <c r="AD103" s="34">
        <f>DB_HighProject[[#This Row],[Actual]]-DB_HighProject[[#This Row],[Plan]]</f>
        <v>-53.150175000000047</v>
      </c>
      <c r="AE103" s="34">
        <f>IF(DB_HighProject[[#This Row],[Plan]]&lt;&gt;0,DB_HighProject[[#This Row],[Actual]]/DB_HighProject[[#This Row],[Plan]],1.000011000011)</f>
        <v>0.78062587376602188</v>
      </c>
    </row>
    <row r="104" spans="1:31" x14ac:dyDescent="0.2">
      <c r="A104">
        <f>SUBTOTAL(3,$B$6:B104)</f>
        <v>50</v>
      </c>
      <c r="B104" t="s">
        <v>1</v>
      </c>
      <c r="C104" t="s">
        <v>939</v>
      </c>
      <c r="D104">
        <v>2808.1200000000003</v>
      </c>
      <c r="E104">
        <v>2500</v>
      </c>
      <c r="F104">
        <v>2500</v>
      </c>
      <c r="G104">
        <v>42132.15</v>
      </c>
      <c r="H104">
        <v>10878.82</v>
      </c>
      <c r="I104">
        <v>39289.993999999999</v>
      </c>
      <c r="J104">
        <v>2500</v>
      </c>
      <c r="K104">
        <v>2500</v>
      </c>
      <c r="L104">
        <v>2500</v>
      </c>
      <c r="M104">
        <v>2500</v>
      </c>
      <c r="N104">
        <v>2500</v>
      </c>
      <c r="O104">
        <v>2500</v>
      </c>
      <c r="P104">
        <v>308.12</v>
      </c>
      <c r="Q104">
        <v>0</v>
      </c>
      <c r="R104">
        <v>0</v>
      </c>
      <c r="S104">
        <v>39632.150000000009</v>
      </c>
      <c r="T104">
        <v>8378.8200000000015</v>
      </c>
      <c r="U104">
        <v>9232.1499999999978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s="34">
        <f>SUMPRODUCT(DB_HighProject[[#This Row],[Plan01]:[Plan12]],$D$4:$O$4)/valUnits2</f>
        <v>100.109084</v>
      </c>
      <c r="AC104" s="34">
        <f>SUMPRODUCT(DB_HighProject[[#This Row],[Act01]:[Act12]],$P$4:$AA$4)/valUnits2</f>
        <v>57.551240000000007</v>
      </c>
      <c r="AD104" s="34">
        <f>DB_HighProject[[#This Row],[Actual]]-DB_HighProject[[#This Row],[Plan]]</f>
        <v>-42.557843999999989</v>
      </c>
      <c r="AE104" s="34">
        <f>IF(DB_HighProject[[#This Row],[Plan]]&lt;&gt;0,DB_HighProject[[#This Row],[Actual]]/DB_HighProject[[#This Row],[Plan]],1.000011000011)</f>
        <v>0.57488529212793527</v>
      </c>
    </row>
    <row r="105" spans="1:31" hidden="1" x14ac:dyDescent="0.2">
      <c r="A105">
        <f>SUBTOTAL(3,$B$6:B105)</f>
        <v>50</v>
      </c>
      <c r="B105" t="s">
        <v>349</v>
      </c>
      <c r="C105" t="s">
        <v>985</v>
      </c>
      <c r="D105">
        <v>33235.575999999994</v>
      </c>
      <c r="E105">
        <v>19493.719000000001</v>
      </c>
      <c r="F105">
        <v>8120.2590000000009</v>
      </c>
      <c r="G105">
        <v>20425.713</v>
      </c>
      <c r="H105">
        <v>7765.0029999999997</v>
      </c>
      <c r="I105">
        <v>34499.630000000005</v>
      </c>
      <c r="P105">
        <v>33551.560000000005</v>
      </c>
      <c r="Q105">
        <v>19839.07</v>
      </c>
      <c r="R105">
        <v>8104.3999999999987</v>
      </c>
      <c r="S105">
        <v>20556.620000000003</v>
      </c>
      <c r="T105">
        <v>8030.7000000000016</v>
      </c>
      <c r="U105">
        <v>15887.61</v>
      </c>
      <c r="AB105" s="34">
        <f>SUMPRODUCT(DB_HighProject[[#This Row],[Plan01]:[Plan12]],$D$4:$O$4)/valUnits2</f>
        <v>123.53989999999999</v>
      </c>
      <c r="AC105" s="34">
        <f>SUMPRODUCT(DB_HighProject[[#This Row],[Act01]:[Act12]],$P$4:$AA$4)/valUnits2</f>
        <v>105.96996</v>
      </c>
      <c r="AD105" s="34">
        <f>DB_HighProject[[#This Row],[Actual]]-DB_HighProject[[#This Row],[Plan]]</f>
        <v>-17.569939999999988</v>
      </c>
      <c r="AE105" s="34">
        <f>IF(DB_HighProject[[#This Row],[Plan]]&lt;&gt;0,DB_HighProject[[#This Row],[Actual]]/DB_HighProject[[#This Row],[Plan]],1.000011000011)</f>
        <v>0.85777922760177083</v>
      </c>
    </row>
    <row r="106" spans="1:31" x14ac:dyDescent="0.2">
      <c r="A106">
        <f>SUBTOTAL(3,$B$6:B106)</f>
        <v>51</v>
      </c>
      <c r="B106" t="s">
        <v>1</v>
      </c>
      <c r="C106" t="s">
        <v>942</v>
      </c>
      <c r="D106">
        <v>8390.4229999999989</v>
      </c>
      <c r="E106">
        <v>18741.251999999993</v>
      </c>
      <c r="F106">
        <v>49257.298999999999</v>
      </c>
      <c r="G106">
        <v>24177.780999999999</v>
      </c>
      <c r="H106">
        <v>-9218.2069999999949</v>
      </c>
      <c r="I106">
        <v>30212.933000000008</v>
      </c>
      <c r="J106">
        <v>28416.590000000004</v>
      </c>
      <c r="K106">
        <v>28499.923000000003</v>
      </c>
      <c r="L106">
        <v>31760.597000000009</v>
      </c>
      <c r="M106">
        <v>38667.686999999984</v>
      </c>
      <c r="N106">
        <v>29813.327000000001</v>
      </c>
      <c r="O106">
        <v>26469.320000000003</v>
      </c>
      <c r="P106">
        <v>3365.28</v>
      </c>
      <c r="Q106">
        <v>13709.209999999997</v>
      </c>
      <c r="R106">
        <v>44005.420000000006</v>
      </c>
      <c r="S106">
        <v>19039.509999999995</v>
      </c>
      <c r="T106">
        <v>-14080.349999999999</v>
      </c>
      <c r="U106">
        <v>5929.9400000000014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s="34">
        <f>SUMPRODUCT(DB_HighProject[[#This Row],[Plan01]:[Plan12]],$D$4:$O$4)/valUnits2</f>
        <v>121.561481</v>
      </c>
      <c r="AC106" s="34">
        <f>SUMPRODUCT(DB_HighProject[[#This Row],[Act01]:[Act12]],$P$4:$AA$4)/valUnits2</f>
        <v>71.969010000000011</v>
      </c>
      <c r="AD106" s="34">
        <f>DB_HighProject[[#This Row],[Actual]]-DB_HighProject[[#This Row],[Plan]]</f>
        <v>-49.592470999999989</v>
      </c>
      <c r="AE106" s="34">
        <f>IF(DB_HighProject[[#This Row],[Plan]]&lt;&gt;0,DB_HighProject[[#This Row],[Actual]]/DB_HighProject[[#This Row],[Plan]],1.000011000011)</f>
        <v>0.5920379499160594</v>
      </c>
    </row>
    <row r="107" spans="1:31" hidden="1" x14ac:dyDescent="0.2">
      <c r="A107">
        <f>SUBTOTAL(3,$B$6:B107)</f>
        <v>51</v>
      </c>
      <c r="B107" t="s">
        <v>348</v>
      </c>
      <c r="C107" t="s">
        <v>942</v>
      </c>
      <c r="D107">
        <v>8390.4229999999989</v>
      </c>
      <c r="E107">
        <v>18741.251999999993</v>
      </c>
      <c r="F107">
        <v>49257.298999999999</v>
      </c>
      <c r="G107">
        <v>24177.780999999999</v>
      </c>
      <c r="H107">
        <v>-9218.2069999999949</v>
      </c>
      <c r="I107">
        <v>30212.933000000008</v>
      </c>
      <c r="J107">
        <v>28416.590000000004</v>
      </c>
      <c r="K107">
        <v>28499.923000000003</v>
      </c>
      <c r="L107">
        <v>31760.597000000009</v>
      </c>
      <c r="M107">
        <v>38667.686999999984</v>
      </c>
      <c r="N107">
        <v>29813.327000000001</v>
      </c>
      <c r="O107">
        <v>26469.320000000003</v>
      </c>
      <c r="P107">
        <v>3365.28</v>
      </c>
      <c r="Q107">
        <v>13709.209999999997</v>
      </c>
      <c r="R107">
        <v>44005.420000000006</v>
      </c>
      <c r="S107">
        <v>19039.509999999995</v>
      </c>
      <c r="T107">
        <v>-14080.349999999999</v>
      </c>
      <c r="U107">
        <v>5929.9400000000014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s="34">
        <f>SUMPRODUCT(DB_HighProject[[#This Row],[Plan01]:[Plan12]],$D$4:$O$4)/valUnits2</f>
        <v>121.561481</v>
      </c>
      <c r="AC107" s="34">
        <f>SUMPRODUCT(DB_HighProject[[#This Row],[Act01]:[Act12]],$P$4:$AA$4)/valUnits2</f>
        <v>71.969010000000011</v>
      </c>
      <c r="AD107" s="34">
        <f>DB_HighProject[[#This Row],[Actual]]-DB_HighProject[[#This Row],[Plan]]</f>
        <v>-49.592470999999989</v>
      </c>
      <c r="AE107" s="34">
        <f>IF(DB_HighProject[[#This Row],[Plan]]&lt;&gt;0,DB_HighProject[[#This Row],[Actual]]/DB_HighProject[[#This Row],[Plan]],1.000011000011)</f>
        <v>0.5920379499160594</v>
      </c>
    </row>
    <row r="108" spans="1:31" x14ac:dyDescent="0.2">
      <c r="A108">
        <f>SUBTOTAL(3,$B$6:B108)</f>
        <v>52</v>
      </c>
      <c r="B108" t="s">
        <v>1</v>
      </c>
      <c r="C108" t="s">
        <v>999</v>
      </c>
      <c r="D108">
        <v>13149.726000000002</v>
      </c>
      <c r="E108">
        <v>16922.167000000001</v>
      </c>
      <c r="F108">
        <v>20681.798000000006</v>
      </c>
      <c r="G108">
        <v>62885.597000000009</v>
      </c>
      <c r="H108">
        <v>72920.454000000027</v>
      </c>
      <c r="I108">
        <v>55721.222999999998</v>
      </c>
      <c r="J108">
        <v>55110.430999999982</v>
      </c>
      <c r="K108">
        <v>54757.452999999994</v>
      </c>
      <c r="L108">
        <v>54349.281000000003</v>
      </c>
      <c r="M108">
        <v>47596.422000000006</v>
      </c>
      <c r="N108">
        <v>46014.584000000017</v>
      </c>
      <c r="O108">
        <v>35792.196000000011</v>
      </c>
      <c r="P108">
        <v>8875.6600000000035</v>
      </c>
      <c r="Q108">
        <v>12415.55</v>
      </c>
      <c r="R108">
        <v>15329.390000000001</v>
      </c>
      <c r="S108">
        <v>57287.889999999992</v>
      </c>
      <c r="T108">
        <v>57161.779999999992</v>
      </c>
      <c r="U108">
        <v>38060.51999999999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s="34">
        <f>SUMPRODUCT(DB_HighProject[[#This Row],[Plan01]:[Plan12]],$D$4:$O$4)/valUnits2</f>
        <v>242.28096500000004</v>
      </c>
      <c r="AC108" s="34">
        <f>SUMPRODUCT(DB_HighProject[[#This Row],[Act01]:[Act12]],$P$4:$AA$4)/valUnits2</f>
        <v>189.13078999999999</v>
      </c>
      <c r="AD108" s="34">
        <f>DB_HighProject[[#This Row],[Actual]]-DB_HighProject[[#This Row],[Plan]]</f>
        <v>-53.150175000000047</v>
      </c>
      <c r="AE108" s="34">
        <f>IF(DB_HighProject[[#This Row],[Plan]]&lt;&gt;0,DB_HighProject[[#This Row],[Actual]]/DB_HighProject[[#This Row],[Plan]],1.000011000011)</f>
        <v>0.78062587376602188</v>
      </c>
    </row>
    <row r="109" spans="1:31" hidden="1" x14ac:dyDescent="0.2">
      <c r="A109">
        <f>SUBTOTAL(3,$B$6:B109)</f>
        <v>52</v>
      </c>
      <c r="B109" t="s">
        <v>351</v>
      </c>
      <c r="C109" t="s">
        <v>959</v>
      </c>
      <c r="D109">
        <v>244160.55199999991</v>
      </c>
      <c r="E109">
        <v>114456.284</v>
      </c>
      <c r="F109">
        <v>121330.44999999998</v>
      </c>
      <c r="G109">
        <v>-72717.621999999974</v>
      </c>
      <c r="H109">
        <v>-67906.537999999986</v>
      </c>
      <c r="I109">
        <v>66059.233000000022</v>
      </c>
      <c r="J109">
        <v>62735.448000000019</v>
      </c>
      <c r="K109">
        <v>63115.643000000018</v>
      </c>
      <c r="L109">
        <v>62631.941000000013</v>
      </c>
      <c r="M109">
        <v>54722.651000000013</v>
      </c>
      <c r="N109">
        <v>54722.651000000013</v>
      </c>
      <c r="O109">
        <v>46080.979000000007</v>
      </c>
      <c r="P109">
        <v>227435.17</v>
      </c>
      <c r="Q109">
        <v>98009.499999999971</v>
      </c>
      <c r="R109">
        <v>104400.51000000001</v>
      </c>
      <c r="S109">
        <v>-89979.26999999999</v>
      </c>
      <c r="T109">
        <v>-94957.160000000018</v>
      </c>
      <c r="U109">
        <v>39750.47</v>
      </c>
      <c r="V109">
        <v>858.06</v>
      </c>
      <c r="W109">
        <v>0</v>
      </c>
      <c r="X109">
        <v>0</v>
      </c>
      <c r="Y109">
        <v>0</v>
      </c>
      <c r="Z109">
        <v>0</v>
      </c>
      <c r="AA109">
        <v>0</v>
      </c>
      <c r="AB109" s="34">
        <f>SUMPRODUCT(DB_HighProject[[#This Row],[Plan01]:[Plan12]],$D$4:$O$4)/valUnits2</f>
        <v>405.38235899999989</v>
      </c>
      <c r="AC109" s="34">
        <f>SUMPRODUCT(DB_HighProject[[#This Row],[Act01]:[Act12]],$P$4:$AA$4)/valUnits2</f>
        <v>284.65921999999995</v>
      </c>
      <c r="AD109" s="34">
        <f>DB_HighProject[[#This Row],[Actual]]-DB_HighProject[[#This Row],[Plan]]</f>
        <v>-120.72313899999995</v>
      </c>
      <c r="AE109" s="34">
        <f>IF(DB_HighProject[[#This Row],[Plan]]&lt;&gt;0,DB_HighProject[[#This Row],[Actual]]/DB_HighProject[[#This Row],[Plan]],1.000011000011)</f>
        <v>0.70219932782028149</v>
      </c>
    </row>
    <row r="110" spans="1:31" x14ac:dyDescent="0.2">
      <c r="A110">
        <f>SUBTOTAL(3,$B$6:B110)</f>
        <v>53</v>
      </c>
      <c r="B110" t="s">
        <v>1</v>
      </c>
      <c r="C110" t="s">
        <v>973</v>
      </c>
      <c r="D110">
        <v>0</v>
      </c>
      <c r="E110">
        <v>1657.84</v>
      </c>
      <c r="F110">
        <v>0</v>
      </c>
      <c r="G110">
        <v>54235.468999999997</v>
      </c>
      <c r="H110">
        <v>0</v>
      </c>
      <c r="I110">
        <v>409.24</v>
      </c>
      <c r="J110">
        <v>21182.812999999998</v>
      </c>
      <c r="K110">
        <v>0</v>
      </c>
      <c r="L110">
        <v>409.24</v>
      </c>
      <c r="M110">
        <v>25956.75</v>
      </c>
      <c r="N110">
        <v>0</v>
      </c>
      <c r="O110">
        <v>129172.39600000001</v>
      </c>
      <c r="P110">
        <v>0</v>
      </c>
      <c r="Q110">
        <v>1657.84</v>
      </c>
      <c r="R110">
        <v>0</v>
      </c>
      <c r="S110">
        <v>0</v>
      </c>
      <c r="T110">
        <v>0</v>
      </c>
      <c r="U110">
        <v>-5532.14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s="34">
        <f>SUMPRODUCT(DB_HighProject[[#This Row],[Plan01]:[Plan12]],$D$4:$O$4)/valUnits2</f>
        <v>56.302548999999992</v>
      </c>
      <c r="AC110" s="34">
        <f>SUMPRODUCT(DB_HighProject[[#This Row],[Act01]:[Act12]],$P$4:$AA$4)/valUnits2</f>
        <v>-3.8743000000000003</v>
      </c>
      <c r="AD110" s="34">
        <f>DB_HighProject[[#This Row],[Actual]]-DB_HighProject[[#This Row],[Plan]]</f>
        <v>-60.17684899999999</v>
      </c>
      <c r="AE110" s="34">
        <f>IF(DB_HighProject[[#This Row],[Plan]]&lt;&gt;0,DB_HighProject[[#This Row],[Actual]]/DB_HighProject[[#This Row],[Plan]],1.000011000011)</f>
        <v>-6.8812159818909813E-2</v>
      </c>
    </row>
    <row r="111" spans="1:31" hidden="1" x14ac:dyDescent="0.2">
      <c r="A111">
        <f>SUBTOTAL(3,$B$6:B111)</f>
        <v>53</v>
      </c>
      <c r="B111" t="s">
        <v>344</v>
      </c>
      <c r="C111" t="s">
        <v>979</v>
      </c>
      <c r="D111">
        <v>0</v>
      </c>
      <c r="E111">
        <v>0</v>
      </c>
      <c r="F111">
        <v>0</v>
      </c>
      <c r="G111">
        <v>684.36</v>
      </c>
      <c r="H111">
        <v>5196.57</v>
      </c>
      <c r="I111">
        <v>31678.894000000004</v>
      </c>
      <c r="J111">
        <v>31678.894</v>
      </c>
      <c r="K111">
        <v>31678.894</v>
      </c>
      <c r="L111">
        <v>31782.894000000004</v>
      </c>
      <c r="P111">
        <v>0</v>
      </c>
      <c r="Q111">
        <v>0</v>
      </c>
      <c r="R111">
        <v>0</v>
      </c>
      <c r="S111">
        <v>684.36</v>
      </c>
      <c r="T111">
        <v>5196.57</v>
      </c>
      <c r="U111">
        <v>4760.0499999999993</v>
      </c>
      <c r="V111">
        <v>0</v>
      </c>
      <c r="W111">
        <v>0</v>
      </c>
      <c r="X111">
        <v>0</v>
      </c>
      <c r="AB111" s="34">
        <f>SUMPRODUCT(DB_HighProject[[#This Row],[Plan01]:[Plan12]],$D$4:$O$4)/valUnits2</f>
        <v>37.559823999999999</v>
      </c>
      <c r="AC111" s="34">
        <f>SUMPRODUCT(DB_HighProject[[#This Row],[Act01]:[Act12]],$P$4:$AA$4)/valUnits2</f>
        <v>10.640979999999999</v>
      </c>
      <c r="AD111" s="34">
        <f>DB_HighProject[[#This Row],[Actual]]-DB_HighProject[[#This Row],[Plan]]</f>
        <v>-26.918844</v>
      </c>
      <c r="AE111" s="34">
        <f>IF(DB_HighProject[[#This Row],[Plan]]&lt;&gt;0,DB_HighProject[[#This Row],[Actual]]/DB_HighProject[[#This Row],[Plan]],1.000011000011)</f>
        <v>0.28330750431631413</v>
      </c>
    </row>
    <row r="112" spans="1:31" x14ac:dyDescent="0.2">
      <c r="A112">
        <f>SUBTOTAL(3,$B$6:B112)</f>
        <v>54</v>
      </c>
      <c r="B112" t="s">
        <v>1</v>
      </c>
      <c r="C112" t="s">
        <v>1000</v>
      </c>
      <c r="D112">
        <v>10791.550000000001</v>
      </c>
      <c r="E112">
        <v>17596.890000000003</v>
      </c>
      <c r="F112">
        <v>429401.63000000006</v>
      </c>
      <c r="G112">
        <v>276425.63</v>
      </c>
      <c r="H112">
        <v>47985.640000000007</v>
      </c>
      <c r="I112">
        <v>124506.917</v>
      </c>
      <c r="J112">
        <v>124506.91699999997</v>
      </c>
      <c r="K112">
        <v>124506.91699999999</v>
      </c>
      <c r="L112">
        <v>124506.91699999999</v>
      </c>
      <c r="M112">
        <v>0</v>
      </c>
      <c r="N112">
        <v>0</v>
      </c>
      <c r="O112">
        <v>0</v>
      </c>
      <c r="P112">
        <v>10791.55</v>
      </c>
      <c r="Q112">
        <v>17618.440000000002</v>
      </c>
      <c r="R112">
        <v>429401.63000000006</v>
      </c>
      <c r="S112">
        <v>276425.63</v>
      </c>
      <c r="T112">
        <v>47985.64</v>
      </c>
      <c r="U112">
        <v>40203.200000000048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s="34">
        <f>SUMPRODUCT(DB_HighProject[[#This Row],[Plan01]:[Plan12]],$D$4:$O$4)/valUnits2</f>
        <v>906.70825700000012</v>
      </c>
      <c r="AC112" s="34">
        <f>SUMPRODUCT(DB_HighProject[[#This Row],[Act01]:[Act12]],$P$4:$AA$4)/valUnits2</f>
        <v>822.42609000000004</v>
      </c>
      <c r="AD112" s="34">
        <f>DB_HighProject[[#This Row],[Actual]]-DB_HighProject[[#This Row],[Plan]]</f>
        <v>-84.282167000000072</v>
      </c>
      <c r="AE112" s="34">
        <f>IF(DB_HighProject[[#This Row],[Plan]]&lt;&gt;0,DB_HighProject[[#This Row],[Actual]]/DB_HighProject[[#This Row],[Plan]],1.000011000011)</f>
        <v>0.90704599153109944</v>
      </c>
    </row>
    <row r="113" spans="1:31" hidden="1" x14ac:dyDescent="0.2">
      <c r="A113">
        <f>SUBTOTAL(3,$B$6:B113)</f>
        <v>54</v>
      </c>
      <c r="B113" t="s">
        <v>351</v>
      </c>
      <c r="C113" t="s">
        <v>975</v>
      </c>
      <c r="D113">
        <v>72609.059999999969</v>
      </c>
      <c r="E113">
        <v>101117.76799999997</v>
      </c>
      <c r="F113">
        <v>102317.17500000003</v>
      </c>
      <c r="G113">
        <v>316028.11400000029</v>
      </c>
      <c r="H113">
        <v>185855.867</v>
      </c>
      <c r="I113">
        <v>160519.15599999987</v>
      </c>
      <c r="J113">
        <v>152928.18699999992</v>
      </c>
      <c r="K113">
        <v>151615.40999999995</v>
      </c>
      <c r="L113">
        <v>150529.09799999994</v>
      </c>
      <c r="M113">
        <v>128905.88499999997</v>
      </c>
      <c r="N113">
        <v>124776.84399999997</v>
      </c>
      <c r="O113">
        <v>110270.75099999999</v>
      </c>
      <c r="P113">
        <v>49863.319999999985</v>
      </c>
      <c r="Q113">
        <v>75887.740000000034</v>
      </c>
      <c r="R113">
        <v>80644.139999999941</v>
      </c>
      <c r="S113">
        <v>294089.47000000009</v>
      </c>
      <c r="T113">
        <v>151569.72999999995</v>
      </c>
      <c r="U113">
        <v>133393.39000000004</v>
      </c>
      <c r="V113">
        <v>789.59</v>
      </c>
      <c r="W113">
        <v>0</v>
      </c>
      <c r="X113">
        <v>0</v>
      </c>
      <c r="Y113">
        <v>0</v>
      </c>
      <c r="Z113">
        <v>0</v>
      </c>
      <c r="AA113">
        <v>0</v>
      </c>
      <c r="AB113" s="34">
        <f>SUMPRODUCT(DB_HighProject[[#This Row],[Plan01]:[Plan12]],$D$4:$O$4)/valUnits2</f>
        <v>938.4471400000001</v>
      </c>
      <c r="AC113" s="34">
        <f>SUMPRODUCT(DB_HighProject[[#This Row],[Act01]:[Act12]],$P$4:$AA$4)/valUnits2</f>
        <v>785.44779000000005</v>
      </c>
      <c r="AD113" s="34">
        <f>DB_HighProject[[#This Row],[Actual]]-DB_HighProject[[#This Row],[Plan]]</f>
        <v>-152.99935000000005</v>
      </c>
      <c r="AE113" s="34">
        <f>IF(DB_HighProject[[#This Row],[Plan]]&lt;&gt;0,DB_HighProject[[#This Row],[Actual]]/DB_HighProject[[#This Row],[Plan]],1.000011000011)</f>
        <v>0.83696540435937605</v>
      </c>
    </row>
    <row r="114" spans="1:31" x14ac:dyDescent="0.2">
      <c r="A114">
        <f>SUBTOTAL(3,$B$6:B114)</f>
        <v>55</v>
      </c>
      <c r="B114" t="s">
        <v>1</v>
      </c>
      <c r="C114" t="s">
        <v>958</v>
      </c>
      <c r="D114">
        <v>84014.687999999966</v>
      </c>
      <c r="E114">
        <v>134799.62800000003</v>
      </c>
      <c r="F114">
        <v>-8622.4929999999749</v>
      </c>
      <c r="G114">
        <v>88570.838999999993</v>
      </c>
      <c r="H114">
        <v>15368.526000000022</v>
      </c>
      <c r="I114">
        <v>104421.757</v>
      </c>
      <c r="J114">
        <v>80108.846000000005</v>
      </c>
      <c r="K114">
        <v>79158.815999999992</v>
      </c>
      <c r="L114">
        <v>72353.259999999995</v>
      </c>
      <c r="M114">
        <v>68565.236000000004</v>
      </c>
      <c r="N114">
        <v>71895.164999999994</v>
      </c>
      <c r="O114">
        <v>68565.23599999999</v>
      </c>
      <c r="P114">
        <v>82322.100000000006</v>
      </c>
      <c r="Q114">
        <v>139092.03</v>
      </c>
      <c r="R114">
        <v>-9515.3399999999874</v>
      </c>
      <c r="S114">
        <v>88545.739999999991</v>
      </c>
      <c r="T114">
        <v>15213.529999999993</v>
      </c>
      <c r="U114">
        <v>15540.219999999936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s="34">
        <f>SUMPRODUCT(DB_HighProject[[#This Row],[Plan01]:[Plan12]],$D$4:$O$4)/valUnits2</f>
        <v>418.55294500000002</v>
      </c>
      <c r="AC114" s="34">
        <f>SUMPRODUCT(DB_HighProject[[#This Row],[Act01]:[Act12]],$P$4:$AA$4)/valUnits2</f>
        <v>331.1982799999999</v>
      </c>
      <c r="AD114" s="34">
        <f>DB_HighProject[[#This Row],[Actual]]-DB_HighProject[[#This Row],[Plan]]</f>
        <v>-87.354665000000125</v>
      </c>
      <c r="AE114" s="34">
        <f>IF(DB_HighProject[[#This Row],[Plan]]&lt;&gt;0,DB_HighProject[[#This Row],[Actual]]/DB_HighProject[[#This Row],[Plan]],1.000011000011)</f>
        <v>0.79129363192032942</v>
      </c>
    </row>
    <row r="115" spans="1:31" hidden="1" x14ac:dyDescent="0.2">
      <c r="A115">
        <f>SUBTOTAL(3,$B$6:B115)</f>
        <v>55</v>
      </c>
      <c r="B115" t="s">
        <v>343</v>
      </c>
      <c r="C115" t="s">
        <v>939</v>
      </c>
      <c r="D115">
        <v>2808.1200000000003</v>
      </c>
      <c r="E115">
        <v>2500</v>
      </c>
      <c r="F115">
        <v>2500</v>
      </c>
      <c r="G115">
        <v>42132.15</v>
      </c>
      <c r="H115">
        <v>10878.82</v>
      </c>
      <c r="I115">
        <v>39289.993999999999</v>
      </c>
      <c r="J115">
        <v>2500</v>
      </c>
      <c r="K115">
        <v>2500</v>
      </c>
      <c r="L115">
        <v>2500</v>
      </c>
      <c r="M115">
        <v>2500</v>
      </c>
      <c r="N115">
        <v>2500</v>
      </c>
      <c r="O115">
        <v>2500</v>
      </c>
      <c r="P115">
        <v>308.12</v>
      </c>
      <c r="Q115">
        <v>0</v>
      </c>
      <c r="R115">
        <v>0</v>
      </c>
      <c r="S115">
        <v>39632.150000000009</v>
      </c>
      <c r="T115">
        <v>8378.8200000000015</v>
      </c>
      <c r="U115">
        <v>9232.1499999999978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s="34">
        <f>SUMPRODUCT(DB_HighProject[[#This Row],[Plan01]:[Plan12]],$D$4:$O$4)/valUnits2</f>
        <v>100.109084</v>
      </c>
      <c r="AC115" s="34">
        <f>SUMPRODUCT(DB_HighProject[[#This Row],[Act01]:[Act12]],$P$4:$AA$4)/valUnits2</f>
        <v>57.551240000000007</v>
      </c>
      <c r="AD115" s="34">
        <f>DB_HighProject[[#This Row],[Actual]]-DB_HighProject[[#This Row],[Plan]]</f>
        <v>-42.557843999999989</v>
      </c>
      <c r="AE115" s="34">
        <f>IF(DB_HighProject[[#This Row],[Plan]]&lt;&gt;0,DB_HighProject[[#This Row],[Actual]]/DB_HighProject[[#This Row],[Plan]],1.000011000011)</f>
        <v>0.57488529212793527</v>
      </c>
    </row>
    <row r="116" spans="1:31" x14ac:dyDescent="0.2">
      <c r="A116">
        <f>SUBTOTAL(3,$B$6:B116)</f>
        <v>56</v>
      </c>
      <c r="B116" t="s">
        <v>1</v>
      </c>
      <c r="C116" t="s">
        <v>969</v>
      </c>
      <c r="D116">
        <v>65766.759999999995</v>
      </c>
      <c r="E116">
        <v>514652.18199999997</v>
      </c>
      <c r="F116">
        <v>73374.674000000014</v>
      </c>
      <c r="G116">
        <v>245683.70400000014</v>
      </c>
      <c r="H116">
        <v>862070.76399999938</v>
      </c>
      <c r="I116">
        <v>411769.67399999982</v>
      </c>
      <c r="J116">
        <v>845590.31499999994</v>
      </c>
      <c r="K116">
        <v>455236.63299999991</v>
      </c>
      <c r="L116">
        <v>729172.94099999964</v>
      </c>
      <c r="M116">
        <v>699693.15399999998</v>
      </c>
      <c r="N116">
        <v>594081.8060000001</v>
      </c>
      <c r="O116">
        <v>868483.57100000011</v>
      </c>
      <c r="P116">
        <v>55130.329999999987</v>
      </c>
      <c r="Q116">
        <v>518725.9</v>
      </c>
      <c r="R116">
        <v>63570.610000000015</v>
      </c>
      <c r="S116">
        <v>235346.50999999995</v>
      </c>
      <c r="T116">
        <v>850292.76000000013</v>
      </c>
      <c r="U116">
        <v>336151.56999999989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s="34">
        <f>SUMPRODUCT(DB_HighProject[[#This Row],[Plan01]:[Plan12]],$D$4:$O$4)/valUnits2</f>
        <v>2173.3177579999988</v>
      </c>
      <c r="AC116" s="34">
        <f>SUMPRODUCT(DB_HighProject[[#This Row],[Act01]:[Act12]],$P$4:$AA$4)/valUnits2</f>
        <v>2059.2176799999997</v>
      </c>
      <c r="AD116" s="34">
        <f>DB_HighProject[[#This Row],[Actual]]-DB_HighProject[[#This Row],[Plan]]</f>
        <v>-114.10007799999903</v>
      </c>
      <c r="AE116" s="34">
        <f>IF(DB_HighProject[[#This Row],[Plan]]&lt;&gt;0,DB_HighProject[[#This Row],[Actual]]/DB_HighProject[[#This Row],[Plan]],1.000011000011)</f>
        <v>0.94749958786284438</v>
      </c>
    </row>
    <row r="117" spans="1:31" hidden="1" x14ac:dyDescent="0.2">
      <c r="A117">
        <f>SUBTOTAL(3,$B$6:B117)</f>
        <v>56</v>
      </c>
      <c r="B117" t="s">
        <v>345</v>
      </c>
      <c r="C117" t="s">
        <v>944</v>
      </c>
      <c r="D117">
        <v>65719.659999999989</v>
      </c>
      <c r="E117">
        <v>5210.2359999999862</v>
      </c>
      <c r="F117">
        <v>77030.712</v>
      </c>
      <c r="G117">
        <v>118105.82899999993</v>
      </c>
      <c r="H117">
        <v>117964.57099999998</v>
      </c>
      <c r="I117">
        <v>104828.03100000003</v>
      </c>
      <c r="J117">
        <v>91784.981999999989</v>
      </c>
      <c r="K117">
        <v>94447.068000000043</v>
      </c>
      <c r="L117">
        <v>91784.982000000004</v>
      </c>
      <c r="M117">
        <v>91784.982000000047</v>
      </c>
      <c r="N117">
        <v>96576.998000000021</v>
      </c>
      <c r="O117">
        <v>91784.982000000047</v>
      </c>
      <c r="P117">
        <v>64850.270000000004</v>
      </c>
      <c r="Q117">
        <v>5254.0800000000017</v>
      </c>
      <c r="R117">
        <v>77666.81</v>
      </c>
      <c r="S117">
        <v>119743.00000000004</v>
      </c>
      <c r="T117">
        <v>118016.50000000003</v>
      </c>
      <c r="U117">
        <v>74267.63999999997</v>
      </c>
      <c r="V117">
        <v>2515</v>
      </c>
      <c r="W117">
        <v>0</v>
      </c>
      <c r="X117">
        <v>0</v>
      </c>
      <c r="Y117">
        <v>0</v>
      </c>
      <c r="Z117">
        <v>0</v>
      </c>
      <c r="AA117">
        <v>0</v>
      </c>
      <c r="AB117" s="34">
        <f>SUMPRODUCT(DB_HighProject[[#This Row],[Plan01]:[Plan12]],$D$4:$O$4)/valUnits2</f>
        <v>488.85903899999994</v>
      </c>
      <c r="AC117" s="34">
        <f>SUMPRODUCT(DB_HighProject[[#This Row],[Act01]:[Act12]],$P$4:$AA$4)/valUnits2</f>
        <v>459.79829999999998</v>
      </c>
      <c r="AD117" s="34">
        <f>DB_HighProject[[#This Row],[Actual]]-DB_HighProject[[#This Row],[Plan]]</f>
        <v>-29.060738999999955</v>
      </c>
      <c r="AE117" s="34">
        <f>IF(DB_HighProject[[#This Row],[Plan]]&lt;&gt;0,DB_HighProject[[#This Row],[Actual]]/DB_HighProject[[#This Row],[Plan]],1.000011000011)</f>
        <v>0.94055394974501028</v>
      </c>
    </row>
    <row r="118" spans="1:31" x14ac:dyDescent="0.2">
      <c r="A118">
        <f>SUBTOTAL(3,$B$6:B118)</f>
        <v>57</v>
      </c>
      <c r="B118" t="s">
        <v>1</v>
      </c>
      <c r="C118" t="s">
        <v>959</v>
      </c>
      <c r="D118">
        <v>244160.55199999991</v>
      </c>
      <c r="E118">
        <v>114456.284</v>
      </c>
      <c r="F118">
        <v>121330.44999999998</v>
      </c>
      <c r="G118">
        <v>-72717.621999999974</v>
      </c>
      <c r="H118">
        <v>-67906.537999999986</v>
      </c>
      <c r="I118">
        <v>66059.233000000022</v>
      </c>
      <c r="J118">
        <v>62735.448000000019</v>
      </c>
      <c r="K118">
        <v>63115.643000000018</v>
      </c>
      <c r="L118">
        <v>62631.941000000013</v>
      </c>
      <c r="M118">
        <v>54722.651000000013</v>
      </c>
      <c r="N118">
        <v>54722.651000000013</v>
      </c>
      <c r="O118">
        <v>46080.979000000007</v>
      </c>
      <c r="P118">
        <v>227435.17</v>
      </c>
      <c r="Q118">
        <v>98009.499999999971</v>
      </c>
      <c r="R118">
        <v>104400.51000000001</v>
      </c>
      <c r="S118">
        <v>-89979.26999999999</v>
      </c>
      <c r="T118">
        <v>-94957.160000000018</v>
      </c>
      <c r="U118">
        <v>39750.47</v>
      </c>
      <c r="V118">
        <v>858.06</v>
      </c>
      <c r="W118">
        <v>0</v>
      </c>
      <c r="X118">
        <v>0</v>
      </c>
      <c r="Y118">
        <v>0</v>
      </c>
      <c r="Z118">
        <v>0</v>
      </c>
      <c r="AA118">
        <v>0</v>
      </c>
      <c r="AB118" s="34">
        <f>SUMPRODUCT(DB_HighProject[[#This Row],[Plan01]:[Plan12]],$D$4:$O$4)/valUnits2</f>
        <v>405.38235899999989</v>
      </c>
      <c r="AC118" s="34">
        <f>SUMPRODUCT(DB_HighProject[[#This Row],[Act01]:[Act12]],$P$4:$AA$4)/valUnits2</f>
        <v>284.65921999999995</v>
      </c>
      <c r="AD118" s="34">
        <f>DB_HighProject[[#This Row],[Actual]]-DB_HighProject[[#This Row],[Plan]]</f>
        <v>-120.72313899999995</v>
      </c>
      <c r="AE118" s="34">
        <f>IF(DB_HighProject[[#This Row],[Plan]]&lt;&gt;0,DB_HighProject[[#This Row],[Actual]]/DB_HighProject[[#This Row],[Plan]],1.000011000011)</f>
        <v>0.70219932782028149</v>
      </c>
    </row>
    <row r="119" spans="1:31" hidden="1" x14ac:dyDescent="0.2">
      <c r="A119">
        <f>SUBTOTAL(3,$B$6:B119)</f>
        <v>57</v>
      </c>
      <c r="B119" t="s">
        <v>342</v>
      </c>
      <c r="C119" t="s">
        <v>969</v>
      </c>
      <c r="D119">
        <v>65766.759999999995</v>
      </c>
      <c r="E119">
        <v>514652.18199999997</v>
      </c>
      <c r="F119">
        <v>73374.674000000014</v>
      </c>
      <c r="G119">
        <v>245683.70400000014</v>
      </c>
      <c r="H119">
        <v>862070.76399999938</v>
      </c>
      <c r="I119">
        <v>411769.67399999982</v>
      </c>
      <c r="J119">
        <v>845590.31499999994</v>
      </c>
      <c r="K119">
        <v>455236.63299999991</v>
      </c>
      <c r="L119">
        <v>729172.94099999964</v>
      </c>
      <c r="M119">
        <v>699693.15399999998</v>
      </c>
      <c r="N119">
        <v>594081.8060000001</v>
      </c>
      <c r="O119">
        <v>868483.57100000011</v>
      </c>
      <c r="P119">
        <v>55130.329999999987</v>
      </c>
      <c r="Q119">
        <v>518725.9</v>
      </c>
      <c r="R119">
        <v>63570.610000000015</v>
      </c>
      <c r="S119">
        <v>235346.50999999995</v>
      </c>
      <c r="T119">
        <v>850292.76000000013</v>
      </c>
      <c r="U119">
        <v>336151.56999999989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s="34">
        <f>SUMPRODUCT(DB_HighProject[[#This Row],[Plan01]:[Plan12]],$D$4:$O$4)/valUnits2</f>
        <v>2173.3177579999988</v>
      </c>
      <c r="AC119" s="34">
        <f>SUMPRODUCT(DB_HighProject[[#This Row],[Act01]:[Act12]],$P$4:$AA$4)/valUnits2</f>
        <v>2059.2176799999997</v>
      </c>
      <c r="AD119" s="34">
        <f>DB_HighProject[[#This Row],[Actual]]-DB_HighProject[[#This Row],[Plan]]</f>
        <v>-114.10007799999903</v>
      </c>
      <c r="AE119" s="34">
        <f>IF(DB_HighProject[[#This Row],[Plan]]&lt;&gt;0,DB_HighProject[[#This Row],[Actual]]/DB_HighProject[[#This Row],[Plan]],1.000011000011)</f>
        <v>0.94749958786284438</v>
      </c>
    </row>
    <row r="120" spans="1:31" x14ac:dyDescent="0.2">
      <c r="A120">
        <f>SUBTOTAL(3,$B$6:B120)</f>
        <v>58</v>
      </c>
      <c r="B120" t="s">
        <v>1</v>
      </c>
      <c r="C120" t="s">
        <v>975</v>
      </c>
      <c r="D120">
        <v>72609.059999999969</v>
      </c>
      <c r="E120">
        <v>101117.76799999997</v>
      </c>
      <c r="F120">
        <v>102317.17500000003</v>
      </c>
      <c r="G120">
        <v>316028.11400000029</v>
      </c>
      <c r="H120">
        <v>185855.867</v>
      </c>
      <c r="I120">
        <v>160519.15599999987</v>
      </c>
      <c r="J120">
        <v>152928.18699999992</v>
      </c>
      <c r="K120">
        <v>151615.40999999995</v>
      </c>
      <c r="L120">
        <v>150529.09799999994</v>
      </c>
      <c r="M120">
        <v>128905.88499999997</v>
      </c>
      <c r="N120">
        <v>124776.84399999997</v>
      </c>
      <c r="O120">
        <v>110270.75099999999</v>
      </c>
      <c r="P120">
        <v>49863.319999999985</v>
      </c>
      <c r="Q120">
        <v>75887.740000000034</v>
      </c>
      <c r="R120">
        <v>80644.139999999941</v>
      </c>
      <c r="S120">
        <v>294089.47000000009</v>
      </c>
      <c r="T120">
        <v>151569.72999999995</v>
      </c>
      <c r="U120">
        <v>133393.39000000004</v>
      </c>
      <c r="V120">
        <v>789.59</v>
      </c>
      <c r="W120">
        <v>0</v>
      </c>
      <c r="X120">
        <v>0</v>
      </c>
      <c r="Y120">
        <v>0</v>
      </c>
      <c r="Z120">
        <v>0</v>
      </c>
      <c r="AA120">
        <v>0</v>
      </c>
      <c r="AB120" s="34">
        <f>SUMPRODUCT(DB_HighProject[[#This Row],[Plan01]:[Plan12]],$D$4:$O$4)/valUnits2</f>
        <v>938.4471400000001</v>
      </c>
      <c r="AC120" s="34">
        <f>SUMPRODUCT(DB_HighProject[[#This Row],[Act01]:[Act12]],$P$4:$AA$4)/valUnits2</f>
        <v>785.44779000000005</v>
      </c>
      <c r="AD120" s="34">
        <f>DB_HighProject[[#This Row],[Actual]]-DB_HighProject[[#This Row],[Plan]]</f>
        <v>-152.99935000000005</v>
      </c>
      <c r="AE120" s="34">
        <f>IF(DB_HighProject[[#This Row],[Plan]]&lt;&gt;0,DB_HighProject[[#This Row],[Actual]]/DB_HighProject[[#This Row],[Plan]],1.000011000011)</f>
        <v>0.83696540435937605</v>
      </c>
    </row>
    <row r="121" spans="1:31" hidden="1" x14ac:dyDescent="0.2">
      <c r="A121">
        <f>SUBTOTAL(3,$B$6:B121)</f>
        <v>58</v>
      </c>
      <c r="B121" t="s">
        <v>344</v>
      </c>
      <c r="C121" t="s">
        <v>1000</v>
      </c>
      <c r="D121">
        <v>10791.550000000001</v>
      </c>
      <c r="E121">
        <v>17596.890000000003</v>
      </c>
      <c r="F121">
        <v>429401.63000000006</v>
      </c>
      <c r="G121">
        <v>276425.63</v>
      </c>
      <c r="H121">
        <v>47985.640000000007</v>
      </c>
      <c r="I121">
        <v>124506.917</v>
      </c>
      <c r="J121">
        <v>124506.91699999997</v>
      </c>
      <c r="K121">
        <v>124506.91699999999</v>
      </c>
      <c r="L121">
        <v>124506.91699999999</v>
      </c>
      <c r="M121">
        <v>0</v>
      </c>
      <c r="N121">
        <v>0</v>
      </c>
      <c r="O121">
        <v>0</v>
      </c>
      <c r="P121">
        <v>10791.55</v>
      </c>
      <c r="Q121">
        <v>17618.440000000002</v>
      </c>
      <c r="R121">
        <v>429401.63000000006</v>
      </c>
      <c r="S121">
        <v>276425.63</v>
      </c>
      <c r="T121">
        <v>47985.64</v>
      </c>
      <c r="U121">
        <v>40203.200000000048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s="34">
        <f>SUMPRODUCT(DB_HighProject[[#This Row],[Plan01]:[Plan12]],$D$4:$O$4)/valUnits2</f>
        <v>906.70825700000012</v>
      </c>
      <c r="AC121" s="34">
        <f>SUMPRODUCT(DB_HighProject[[#This Row],[Act01]:[Act12]],$P$4:$AA$4)/valUnits2</f>
        <v>822.42609000000004</v>
      </c>
      <c r="AD121" s="34">
        <f>DB_HighProject[[#This Row],[Actual]]-DB_HighProject[[#This Row],[Plan]]</f>
        <v>-84.282167000000072</v>
      </c>
      <c r="AE121" s="34">
        <f>IF(DB_HighProject[[#This Row],[Plan]]&lt;&gt;0,DB_HighProject[[#This Row],[Actual]]/DB_HighProject[[#This Row],[Plan]],1.000011000011)</f>
        <v>0.90704599153109944</v>
      </c>
    </row>
    <row r="122" spans="1:31" x14ac:dyDescent="0.2">
      <c r="A122">
        <f>SUBTOTAL(3,$B$6:B122)</f>
        <v>59</v>
      </c>
      <c r="B122" t="s">
        <v>1</v>
      </c>
      <c r="C122" t="s">
        <v>957</v>
      </c>
      <c r="D122">
        <v>106024.56199999996</v>
      </c>
      <c r="E122">
        <v>8349.2409999999945</v>
      </c>
      <c r="F122">
        <v>11276.270999999999</v>
      </c>
      <c r="G122">
        <v>255844.53900000002</v>
      </c>
      <c r="H122">
        <v>207345.12499999994</v>
      </c>
      <c r="I122">
        <v>211287.69200000001</v>
      </c>
      <c r="J122">
        <v>153760.77799999993</v>
      </c>
      <c r="K122">
        <v>153057.7399999999</v>
      </c>
      <c r="L122">
        <v>148476.16499999992</v>
      </c>
      <c r="M122">
        <v>152530.88199999995</v>
      </c>
      <c r="N122">
        <v>168890.372</v>
      </c>
      <c r="O122">
        <v>157184.54700000002</v>
      </c>
      <c r="P122">
        <v>103900.48999999996</v>
      </c>
      <c r="Q122">
        <v>9760.9900000000234</v>
      </c>
      <c r="R122">
        <v>11368.189999999993</v>
      </c>
      <c r="S122">
        <v>254476.7999999999</v>
      </c>
      <c r="T122">
        <v>207378.06999999998</v>
      </c>
      <c r="U122">
        <v>57976.109999999891</v>
      </c>
      <c r="V122">
        <v>11032.87</v>
      </c>
      <c r="W122">
        <v>0</v>
      </c>
      <c r="X122">
        <v>0</v>
      </c>
      <c r="Y122">
        <v>0</v>
      </c>
      <c r="Z122">
        <v>0</v>
      </c>
      <c r="AA122">
        <v>0</v>
      </c>
      <c r="AB122" s="34">
        <f>SUMPRODUCT(DB_HighProject[[#This Row],[Plan01]:[Plan12]],$D$4:$O$4)/valUnits2</f>
        <v>800.12742999999989</v>
      </c>
      <c r="AC122" s="34">
        <f>SUMPRODUCT(DB_HighProject[[#This Row],[Act01]:[Act12]],$P$4:$AA$4)/valUnits2</f>
        <v>644.86064999999962</v>
      </c>
      <c r="AD122" s="34">
        <f>DB_HighProject[[#This Row],[Actual]]-DB_HighProject[[#This Row],[Plan]]</f>
        <v>-155.26678000000027</v>
      </c>
      <c r="AE122" s="34">
        <f>IF(DB_HighProject[[#This Row],[Plan]]&lt;&gt;0,DB_HighProject[[#This Row],[Actual]]/DB_HighProject[[#This Row],[Plan]],1.000011000011)</f>
        <v>0.80594743514792355</v>
      </c>
    </row>
    <row r="123" spans="1:31" hidden="1" x14ac:dyDescent="0.2">
      <c r="A123">
        <f>SUBTOTAL(3,$B$6:B123)</f>
        <v>59</v>
      </c>
      <c r="B123" t="s">
        <v>342</v>
      </c>
      <c r="C123" t="s">
        <v>958</v>
      </c>
      <c r="D123">
        <v>84014.687999999966</v>
      </c>
      <c r="E123">
        <v>134799.62800000003</v>
      </c>
      <c r="F123">
        <v>-8622.4929999999749</v>
      </c>
      <c r="G123">
        <v>88570.838999999993</v>
      </c>
      <c r="H123">
        <v>15368.526000000022</v>
      </c>
      <c r="I123">
        <v>104421.757</v>
      </c>
      <c r="J123">
        <v>80108.846000000005</v>
      </c>
      <c r="K123">
        <v>79158.815999999992</v>
      </c>
      <c r="L123">
        <v>72353.259999999995</v>
      </c>
      <c r="M123">
        <v>68565.236000000004</v>
      </c>
      <c r="N123">
        <v>71895.164999999994</v>
      </c>
      <c r="O123">
        <v>68565.23599999999</v>
      </c>
      <c r="P123">
        <v>82322.100000000006</v>
      </c>
      <c r="Q123">
        <v>139092.03</v>
      </c>
      <c r="R123">
        <v>-9515.3399999999874</v>
      </c>
      <c r="S123">
        <v>88545.739999999991</v>
      </c>
      <c r="T123">
        <v>15213.529999999993</v>
      </c>
      <c r="U123">
        <v>15540.219999999936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s="34">
        <f>SUMPRODUCT(DB_HighProject[[#This Row],[Plan01]:[Plan12]],$D$4:$O$4)/valUnits2</f>
        <v>418.55294500000002</v>
      </c>
      <c r="AC123" s="34">
        <f>SUMPRODUCT(DB_HighProject[[#This Row],[Act01]:[Act12]],$P$4:$AA$4)/valUnits2</f>
        <v>331.1982799999999</v>
      </c>
      <c r="AD123" s="34">
        <f>DB_HighProject[[#This Row],[Actual]]-DB_HighProject[[#This Row],[Plan]]</f>
        <v>-87.354665000000125</v>
      </c>
      <c r="AE123" s="34">
        <f>IF(DB_HighProject[[#This Row],[Plan]]&lt;&gt;0,DB_HighProject[[#This Row],[Actual]]/DB_HighProject[[#This Row],[Plan]],1.000011000011)</f>
        <v>0.79129363192032942</v>
      </c>
    </row>
    <row r="124" spans="1:31" x14ac:dyDescent="0.2">
      <c r="A124">
        <f>SUBTOTAL(3,$B$6:B124)</f>
        <v>60</v>
      </c>
      <c r="B124" t="s">
        <v>1</v>
      </c>
      <c r="C124" t="s">
        <v>982</v>
      </c>
      <c r="D124">
        <v>440757.31299999985</v>
      </c>
      <c r="E124">
        <v>103798.728</v>
      </c>
      <c r="F124">
        <v>108780.56999999999</v>
      </c>
      <c r="G124">
        <v>119426.92799999993</v>
      </c>
      <c r="H124">
        <v>351093.4279999999</v>
      </c>
      <c r="I124">
        <v>325386.22599999979</v>
      </c>
      <c r="J124">
        <v>250033.73200000002</v>
      </c>
      <c r="K124">
        <v>222259.22199999998</v>
      </c>
      <c r="L124">
        <v>244876.18400000001</v>
      </c>
      <c r="M124">
        <v>228024.74199999997</v>
      </c>
      <c r="N124">
        <v>209195.408</v>
      </c>
      <c r="O124">
        <v>208734.23900000003</v>
      </c>
      <c r="P124">
        <v>437260.88000000035</v>
      </c>
      <c r="Q124">
        <v>100274.65999999995</v>
      </c>
      <c r="R124">
        <v>93147.88000000015</v>
      </c>
      <c r="S124">
        <v>104145.75999999994</v>
      </c>
      <c r="T124">
        <v>336050.0799999999</v>
      </c>
      <c r="U124">
        <v>218065.28999999986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s="34">
        <f>SUMPRODUCT(DB_HighProject[[#This Row],[Plan01]:[Plan12]],$D$4:$O$4)/valUnits2</f>
        <v>1449.2431929999996</v>
      </c>
      <c r="AC124" s="34">
        <f>SUMPRODUCT(DB_HighProject[[#This Row],[Act01]:[Act12]],$P$4:$AA$4)/valUnits2</f>
        <v>1288.9445499999999</v>
      </c>
      <c r="AD124" s="34">
        <f>DB_HighProject[[#This Row],[Actual]]-DB_HighProject[[#This Row],[Plan]]</f>
        <v>-160.29864299999963</v>
      </c>
      <c r="AE124" s="34">
        <f>IF(DB_HighProject[[#This Row],[Plan]]&lt;&gt;0,DB_HighProject[[#This Row],[Actual]]/DB_HighProject[[#This Row],[Plan]],1.000011000011)</f>
        <v>0.88939148117151123</v>
      </c>
    </row>
    <row r="125" spans="1:31" hidden="1" x14ac:dyDescent="0.2">
      <c r="A125">
        <f>SUBTOTAL(3,$B$6:B125)</f>
        <v>60</v>
      </c>
      <c r="B125" t="s">
        <v>342</v>
      </c>
      <c r="C125" t="s">
        <v>982</v>
      </c>
      <c r="D125">
        <v>440757.31299999985</v>
      </c>
      <c r="E125">
        <v>103798.728</v>
      </c>
      <c r="F125">
        <v>108780.56999999999</v>
      </c>
      <c r="G125">
        <v>119426.92799999993</v>
      </c>
      <c r="H125">
        <v>351093.4279999999</v>
      </c>
      <c r="I125">
        <v>325386.22599999979</v>
      </c>
      <c r="J125">
        <v>250033.73200000002</v>
      </c>
      <c r="K125">
        <v>222259.22199999998</v>
      </c>
      <c r="L125">
        <v>244876.18400000001</v>
      </c>
      <c r="M125">
        <v>228024.74199999997</v>
      </c>
      <c r="N125">
        <v>209195.408</v>
      </c>
      <c r="O125">
        <v>208734.23900000003</v>
      </c>
      <c r="P125">
        <v>437260.88000000035</v>
      </c>
      <c r="Q125">
        <v>100274.65999999995</v>
      </c>
      <c r="R125">
        <v>93147.88000000015</v>
      </c>
      <c r="S125">
        <v>104145.75999999994</v>
      </c>
      <c r="T125">
        <v>336050.0799999999</v>
      </c>
      <c r="U125">
        <v>218065.28999999986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s="34">
        <f>SUMPRODUCT(DB_HighProject[[#This Row],[Plan01]:[Plan12]],$D$4:$O$4)/valUnits2</f>
        <v>1449.2431929999996</v>
      </c>
      <c r="AC125" s="34">
        <f>SUMPRODUCT(DB_HighProject[[#This Row],[Act01]:[Act12]],$P$4:$AA$4)/valUnits2</f>
        <v>1288.9445499999999</v>
      </c>
      <c r="AD125" s="34">
        <f>DB_HighProject[[#This Row],[Actual]]-DB_HighProject[[#This Row],[Plan]]</f>
        <v>-160.29864299999963</v>
      </c>
      <c r="AE125" s="34">
        <f>IF(DB_HighProject[[#This Row],[Plan]]&lt;&gt;0,DB_HighProject[[#This Row],[Actual]]/DB_HighProject[[#This Row],[Plan]],1.000011000011)</f>
        <v>0.88939148117151123</v>
      </c>
    </row>
    <row r="126" spans="1:31" x14ac:dyDescent="0.2">
      <c r="A126">
        <f>SUBTOTAL(3,$B$6:B126)</f>
        <v>61</v>
      </c>
      <c r="B126" t="s">
        <v>1</v>
      </c>
      <c r="C126" t="s">
        <v>988</v>
      </c>
      <c r="D126">
        <v>70081.047000000006</v>
      </c>
      <c r="E126">
        <v>165380.74500000014</v>
      </c>
      <c r="F126">
        <v>297212.17399999988</v>
      </c>
      <c r="G126">
        <v>468266.96799999982</v>
      </c>
      <c r="H126">
        <v>250625.07999999984</v>
      </c>
      <c r="I126">
        <v>203590.66299999997</v>
      </c>
      <c r="J126">
        <v>245034.39599999986</v>
      </c>
      <c r="K126">
        <v>213198.35199999993</v>
      </c>
      <c r="L126">
        <v>215667.80799999999</v>
      </c>
      <c r="M126">
        <v>206146.75899999999</v>
      </c>
      <c r="N126">
        <v>239213.33899999986</v>
      </c>
      <c r="O126">
        <v>189870.5530000001</v>
      </c>
      <c r="P126">
        <v>65489.800000000039</v>
      </c>
      <c r="Q126">
        <v>167308.02000000014</v>
      </c>
      <c r="R126">
        <v>288796.16000000009</v>
      </c>
      <c r="S126">
        <v>459014.25999999989</v>
      </c>
      <c r="T126">
        <v>237743.12999999998</v>
      </c>
      <c r="U126">
        <v>73165.089999999909</v>
      </c>
      <c r="V126">
        <v>54335.56</v>
      </c>
      <c r="W126">
        <v>0</v>
      </c>
      <c r="X126">
        <v>0</v>
      </c>
      <c r="Y126">
        <v>0</v>
      </c>
      <c r="Z126">
        <v>0</v>
      </c>
      <c r="AA126">
        <v>0</v>
      </c>
      <c r="AB126" s="34">
        <f>SUMPRODUCT(DB_HighProject[[#This Row],[Plan01]:[Plan12]],$D$4:$O$4)/valUnits2</f>
        <v>1455.1566769999997</v>
      </c>
      <c r="AC126" s="34">
        <f>SUMPRODUCT(DB_HighProject[[#This Row],[Act01]:[Act12]],$P$4:$AA$4)/valUnits2</f>
        <v>1291.5164600000001</v>
      </c>
      <c r="AD126" s="34">
        <f>DB_HighProject[[#This Row],[Actual]]-DB_HighProject[[#This Row],[Plan]]</f>
        <v>-163.64021699999967</v>
      </c>
      <c r="AE126" s="34">
        <f>IF(DB_HighProject[[#This Row],[Plan]]&lt;&gt;0,DB_HighProject[[#This Row],[Actual]]/DB_HighProject[[#This Row],[Plan]],1.000011000011)</f>
        <v>0.88754460630496101</v>
      </c>
    </row>
    <row r="127" spans="1:31" hidden="1" x14ac:dyDescent="0.2">
      <c r="A127">
        <f>SUBTOTAL(3,$B$6:B127)</f>
        <v>61</v>
      </c>
      <c r="B127" t="s">
        <v>342</v>
      </c>
      <c r="C127" t="s">
        <v>988</v>
      </c>
      <c r="D127">
        <v>70081.047000000006</v>
      </c>
      <c r="E127">
        <v>165380.74500000014</v>
      </c>
      <c r="F127">
        <v>297212.17399999988</v>
      </c>
      <c r="G127">
        <v>468266.96799999982</v>
      </c>
      <c r="H127">
        <v>250625.07999999984</v>
      </c>
      <c r="I127">
        <v>203590.66299999997</v>
      </c>
      <c r="J127">
        <v>245034.39599999986</v>
      </c>
      <c r="K127">
        <v>213198.35199999993</v>
      </c>
      <c r="L127">
        <v>215667.80799999999</v>
      </c>
      <c r="M127">
        <v>206146.75899999999</v>
      </c>
      <c r="N127">
        <v>239213.33899999986</v>
      </c>
      <c r="O127">
        <v>189870.5530000001</v>
      </c>
      <c r="P127">
        <v>65489.800000000039</v>
      </c>
      <c r="Q127">
        <v>167308.02000000014</v>
      </c>
      <c r="R127">
        <v>288796.16000000009</v>
      </c>
      <c r="S127">
        <v>459014.25999999989</v>
      </c>
      <c r="T127">
        <v>237743.12999999998</v>
      </c>
      <c r="U127">
        <v>73165.089999999909</v>
      </c>
      <c r="V127">
        <v>54335.56</v>
      </c>
      <c r="W127">
        <v>0</v>
      </c>
      <c r="X127">
        <v>0</v>
      </c>
      <c r="Y127">
        <v>0</v>
      </c>
      <c r="Z127">
        <v>0</v>
      </c>
      <c r="AA127">
        <v>0</v>
      </c>
      <c r="AB127" s="34">
        <f>SUMPRODUCT(DB_HighProject[[#This Row],[Plan01]:[Plan12]],$D$4:$O$4)/valUnits2</f>
        <v>1455.1566769999997</v>
      </c>
      <c r="AC127" s="34">
        <f>SUMPRODUCT(DB_HighProject[[#This Row],[Act01]:[Act12]],$P$4:$AA$4)/valUnits2</f>
        <v>1291.5164600000001</v>
      </c>
      <c r="AD127" s="34">
        <f>DB_HighProject[[#This Row],[Actual]]-DB_HighProject[[#This Row],[Plan]]</f>
        <v>-163.64021699999967</v>
      </c>
      <c r="AE127" s="34">
        <f>IF(DB_HighProject[[#This Row],[Plan]]&lt;&gt;0,DB_HighProject[[#This Row],[Actual]]/DB_HighProject[[#This Row],[Plan]],1.000011000011)</f>
        <v>0.88754460630496101</v>
      </c>
    </row>
    <row r="128" spans="1:31" x14ac:dyDescent="0.2">
      <c r="A128">
        <f>SUBTOTAL(3,$B$6:B128)</f>
        <v>62</v>
      </c>
      <c r="B128" t="s">
        <v>1</v>
      </c>
      <c r="C128" t="s">
        <v>954</v>
      </c>
      <c r="D128">
        <v>6195.6210000000001</v>
      </c>
      <c r="E128">
        <v>5389.0210000000006</v>
      </c>
      <c r="F128">
        <v>33493.805</v>
      </c>
      <c r="G128">
        <v>5774.4970000000003</v>
      </c>
      <c r="H128">
        <v>6729.3770000000004</v>
      </c>
      <c r="I128">
        <v>162283.67899999997</v>
      </c>
      <c r="J128">
        <v>22853.374000000003</v>
      </c>
      <c r="K128">
        <v>157713.17600000001</v>
      </c>
      <c r="L128">
        <v>23981.730000000003</v>
      </c>
      <c r="M128">
        <v>161194.77400000003</v>
      </c>
      <c r="N128">
        <v>25470.115000000005</v>
      </c>
      <c r="O128">
        <v>151010.23300000004</v>
      </c>
      <c r="P128">
        <v>3976.6700000000005</v>
      </c>
      <c r="Q128">
        <v>3221.4100000000003</v>
      </c>
      <c r="R128">
        <v>31074.829999999998</v>
      </c>
      <c r="S128">
        <v>3492.9200000000005</v>
      </c>
      <c r="T128">
        <v>4464.74</v>
      </c>
      <c r="U128">
        <v>1745.98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s="34">
        <f>SUMPRODUCT(DB_HighProject[[#This Row],[Plan01]:[Plan12]],$D$4:$O$4)/valUnits2</f>
        <v>219.86599999999996</v>
      </c>
      <c r="AC128" s="34">
        <f>SUMPRODUCT(DB_HighProject[[#This Row],[Act01]:[Act12]],$P$4:$AA$4)/valUnits2</f>
        <v>47.976549999999996</v>
      </c>
      <c r="AD128" s="34">
        <f>DB_HighProject[[#This Row],[Actual]]-DB_HighProject[[#This Row],[Plan]]</f>
        <v>-171.88944999999995</v>
      </c>
      <c r="AE128" s="34">
        <f>IF(DB_HighProject[[#This Row],[Plan]]&lt;&gt;0,DB_HighProject[[#This Row],[Actual]]/DB_HighProject[[#This Row],[Plan]],1.000011000011)</f>
        <v>0.21820813586457208</v>
      </c>
    </row>
    <row r="129" spans="1:31" hidden="1" x14ac:dyDescent="0.2">
      <c r="A129">
        <f>SUBTOTAL(3,$B$6:B129)</f>
        <v>62</v>
      </c>
      <c r="B129" t="s">
        <v>346</v>
      </c>
      <c r="C129" t="s">
        <v>957</v>
      </c>
      <c r="D129">
        <v>106024.56199999996</v>
      </c>
      <c r="E129">
        <v>8349.2409999999945</v>
      </c>
      <c r="F129">
        <v>11276.270999999999</v>
      </c>
      <c r="G129">
        <v>255844.53900000002</v>
      </c>
      <c r="H129">
        <v>207345.12499999994</v>
      </c>
      <c r="I129">
        <v>211287.69200000001</v>
      </c>
      <c r="J129">
        <v>153760.77799999993</v>
      </c>
      <c r="K129">
        <v>153057.7399999999</v>
      </c>
      <c r="L129">
        <v>148476.16499999992</v>
      </c>
      <c r="M129">
        <v>152530.88199999995</v>
      </c>
      <c r="N129">
        <v>168890.372</v>
      </c>
      <c r="O129">
        <v>157184.54700000002</v>
      </c>
      <c r="P129">
        <v>103900.48999999996</v>
      </c>
      <c r="Q129">
        <v>9760.9900000000234</v>
      </c>
      <c r="R129">
        <v>11368.189999999993</v>
      </c>
      <c r="S129">
        <v>254476.7999999999</v>
      </c>
      <c r="T129">
        <v>207378.06999999998</v>
      </c>
      <c r="U129">
        <v>57976.109999999891</v>
      </c>
      <c r="V129">
        <v>11032.87</v>
      </c>
      <c r="W129">
        <v>0</v>
      </c>
      <c r="X129">
        <v>0</v>
      </c>
      <c r="Y129">
        <v>0</v>
      </c>
      <c r="Z129">
        <v>0</v>
      </c>
      <c r="AA129">
        <v>0</v>
      </c>
      <c r="AB129" s="34">
        <f>SUMPRODUCT(DB_HighProject[[#This Row],[Plan01]:[Plan12]],$D$4:$O$4)/valUnits2</f>
        <v>800.12742999999989</v>
      </c>
      <c r="AC129" s="34">
        <f>SUMPRODUCT(DB_HighProject[[#This Row],[Act01]:[Act12]],$P$4:$AA$4)/valUnits2</f>
        <v>644.86064999999962</v>
      </c>
      <c r="AD129" s="34">
        <f>DB_HighProject[[#This Row],[Actual]]-DB_HighProject[[#This Row],[Plan]]</f>
        <v>-155.26678000000027</v>
      </c>
      <c r="AE129" s="34">
        <f>IF(DB_HighProject[[#This Row],[Plan]]&lt;&gt;0,DB_HighProject[[#This Row],[Actual]]/DB_HighProject[[#This Row],[Plan]],1.000011000011)</f>
        <v>0.80594743514792355</v>
      </c>
    </row>
    <row r="130" spans="1:31" x14ac:dyDescent="0.2">
      <c r="A130">
        <f>SUBTOTAL(3,$B$6:B130)</f>
        <v>63</v>
      </c>
      <c r="B130" t="s">
        <v>1</v>
      </c>
      <c r="C130" t="s">
        <v>945</v>
      </c>
      <c r="D130">
        <v>140577.72099999999</v>
      </c>
      <c r="E130">
        <v>94060.826000000001</v>
      </c>
      <c r="F130">
        <v>190511.98500000004</v>
      </c>
      <c r="G130">
        <v>158423.66400000002</v>
      </c>
      <c r="H130">
        <v>228074.43300000002</v>
      </c>
      <c r="I130">
        <v>61980.573000000004</v>
      </c>
      <c r="J130">
        <v>89863.987000000008</v>
      </c>
      <c r="K130">
        <v>89863.986999999994</v>
      </c>
      <c r="L130">
        <v>89863.986999999994</v>
      </c>
      <c r="M130">
        <v>89863.987000000008</v>
      </c>
      <c r="N130">
        <v>89863.987000000008</v>
      </c>
      <c r="O130">
        <v>89863.986999999994</v>
      </c>
      <c r="P130">
        <v>102200.32000000001</v>
      </c>
      <c r="Q130">
        <v>57106.25</v>
      </c>
      <c r="R130">
        <v>151338.07000000004</v>
      </c>
      <c r="S130">
        <v>94046.639999999985</v>
      </c>
      <c r="T130">
        <v>161603.94000000006</v>
      </c>
      <c r="U130">
        <v>114442.77000000005</v>
      </c>
      <c r="V130">
        <v>5924.21</v>
      </c>
      <c r="W130">
        <v>0</v>
      </c>
      <c r="X130">
        <v>0</v>
      </c>
      <c r="Y130">
        <v>0</v>
      </c>
      <c r="Z130">
        <v>0</v>
      </c>
      <c r="AA130">
        <v>0</v>
      </c>
      <c r="AB130" s="34">
        <f>SUMPRODUCT(DB_HighProject[[#This Row],[Plan01]:[Plan12]],$D$4:$O$4)/valUnits2</f>
        <v>873.62920199999996</v>
      </c>
      <c r="AC130" s="34">
        <f>SUMPRODUCT(DB_HighProject[[#This Row],[Act01]:[Act12]],$P$4:$AA$4)/valUnits2</f>
        <v>680.73799000000008</v>
      </c>
      <c r="AD130" s="34">
        <f>DB_HighProject[[#This Row],[Actual]]-DB_HighProject[[#This Row],[Plan]]</f>
        <v>-192.89121199999988</v>
      </c>
      <c r="AE130" s="34">
        <f>IF(DB_HighProject[[#This Row],[Plan]]&lt;&gt;0,DB_HighProject[[#This Row],[Actual]]/DB_HighProject[[#This Row],[Plan]],1.000011000011)</f>
        <v>0.7792070004546392</v>
      </c>
    </row>
    <row r="131" spans="1:31" hidden="1" x14ac:dyDescent="0.2">
      <c r="A131">
        <f>SUBTOTAL(3,$B$6:B131)</f>
        <v>63</v>
      </c>
      <c r="B131" t="s">
        <v>343</v>
      </c>
      <c r="C131" t="s">
        <v>954</v>
      </c>
      <c r="D131">
        <v>6195.6210000000001</v>
      </c>
      <c r="E131">
        <v>5389.0210000000006</v>
      </c>
      <c r="F131">
        <v>33493.805</v>
      </c>
      <c r="G131">
        <v>5774.4970000000003</v>
      </c>
      <c r="H131">
        <v>6729.3770000000004</v>
      </c>
      <c r="I131">
        <v>162283.67899999997</v>
      </c>
      <c r="J131">
        <v>22853.374000000003</v>
      </c>
      <c r="K131">
        <v>157713.17600000001</v>
      </c>
      <c r="L131">
        <v>23981.730000000003</v>
      </c>
      <c r="M131">
        <v>161194.77400000003</v>
      </c>
      <c r="N131">
        <v>25470.115000000005</v>
      </c>
      <c r="O131">
        <v>151010.23300000004</v>
      </c>
      <c r="P131">
        <v>3976.6700000000005</v>
      </c>
      <c r="Q131">
        <v>3221.4100000000003</v>
      </c>
      <c r="R131">
        <v>31074.829999999998</v>
      </c>
      <c r="S131">
        <v>3492.9200000000005</v>
      </c>
      <c r="T131">
        <v>4464.74</v>
      </c>
      <c r="U131">
        <v>1745.98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s="34">
        <f>SUMPRODUCT(DB_HighProject[[#This Row],[Plan01]:[Plan12]],$D$4:$O$4)/valUnits2</f>
        <v>219.86599999999996</v>
      </c>
      <c r="AC131" s="34">
        <f>SUMPRODUCT(DB_HighProject[[#This Row],[Act01]:[Act12]],$P$4:$AA$4)/valUnits2</f>
        <v>47.976549999999996</v>
      </c>
      <c r="AD131" s="34">
        <f>DB_HighProject[[#This Row],[Actual]]-DB_HighProject[[#This Row],[Plan]]</f>
        <v>-171.88944999999995</v>
      </c>
      <c r="AE131" s="34">
        <f>IF(DB_HighProject[[#This Row],[Plan]]&lt;&gt;0,DB_HighProject[[#This Row],[Actual]]/DB_HighProject[[#This Row],[Plan]],1.000011000011)</f>
        <v>0.21820813586457208</v>
      </c>
    </row>
    <row r="132" spans="1:31" x14ac:dyDescent="0.2">
      <c r="A132">
        <f>SUBTOTAL(3,$B$6:B132)</f>
        <v>64</v>
      </c>
      <c r="B132" t="s">
        <v>1</v>
      </c>
      <c r="C132" t="s">
        <v>956</v>
      </c>
      <c r="D132">
        <v>302169.71799999999</v>
      </c>
      <c r="E132">
        <v>127099.35499999995</v>
      </c>
      <c r="F132">
        <v>207000.446</v>
      </c>
      <c r="G132">
        <v>1969811.9499999993</v>
      </c>
      <c r="H132">
        <v>438806.39500000008</v>
      </c>
      <c r="I132">
        <v>1806667.1409999998</v>
      </c>
      <c r="J132">
        <v>241779.03300000002</v>
      </c>
      <c r="K132">
        <v>238570.21399999998</v>
      </c>
      <c r="L132">
        <v>1770084.7790000001</v>
      </c>
      <c r="M132">
        <v>263508.01000000007</v>
      </c>
      <c r="N132">
        <v>282286.45399999997</v>
      </c>
      <c r="O132">
        <v>1693768.0219999996</v>
      </c>
      <c r="P132">
        <v>302037.87000000005</v>
      </c>
      <c r="Q132">
        <v>127293.38000000006</v>
      </c>
      <c r="R132">
        <v>207981.46000000008</v>
      </c>
      <c r="S132">
        <v>1969694.8299999977</v>
      </c>
      <c r="T132">
        <v>442139.48</v>
      </c>
      <c r="U132">
        <v>738271.84000000008</v>
      </c>
      <c r="V132">
        <v>449.41</v>
      </c>
      <c r="W132">
        <v>0</v>
      </c>
      <c r="X132">
        <v>0</v>
      </c>
      <c r="Y132">
        <v>0</v>
      </c>
      <c r="Z132">
        <v>0</v>
      </c>
      <c r="AA132">
        <v>0</v>
      </c>
      <c r="AB132" s="34">
        <f>SUMPRODUCT(DB_HighProject[[#This Row],[Plan01]:[Plan12]],$D$4:$O$4)/valUnits2</f>
        <v>4851.5550049999993</v>
      </c>
      <c r="AC132" s="34">
        <f>SUMPRODUCT(DB_HighProject[[#This Row],[Act01]:[Act12]],$P$4:$AA$4)/valUnits2</f>
        <v>3787.4188599999984</v>
      </c>
      <c r="AD132" s="34">
        <f>DB_HighProject[[#This Row],[Actual]]-DB_HighProject[[#This Row],[Plan]]</f>
        <v>-1064.1361450000009</v>
      </c>
      <c r="AE132" s="34">
        <f>IF(DB_HighProject[[#This Row],[Plan]]&lt;&gt;0,DB_HighProject[[#This Row],[Actual]]/DB_HighProject[[#This Row],[Plan]],1.000011000011)</f>
        <v>0.7806608100076563</v>
      </c>
    </row>
    <row r="133" spans="1:31" hidden="1" x14ac:dyDescent="0.2">
      <c r="A133">
        <f>SUBTOTAL(3,$B$6:B133)</f>
        <v>64</v>
      </c>
      <c r="B133" t="s">
        <v>343</v>
      </c>
      <c r="C133" t="s">
        <v>938</v>
      </c>
      <c r="D133">
        <v>215921.79800000001</v>
      </c>
      <c r="E133">
        <v>382353.63800000009</v>
      </c>
      <c r="F133">
        <v>464928.49800000002</v>
      </c>
      <c r="G133">
        <v>572860.24300000013</v>
      </c>
      <c r="H133">
        <v>869353.78100000031</v>
      </c>
      <c r="I133">
        <v>735029.40600000031</v>
      </c>
      <c r="J133">
        <v>703729.44700000028</v>
      </c>
      <c r="K133">
        <v>720395.75400000031</v>
      </c>
      <c r="L133">
        <v>707596.03800000018</v>
      </c>
      <c r="M133">
        <v>600367.26700000011</v>
      </c>
      <c r="N133">
        <v>388777.21499999991</v>
      </c>
      <c r="O133">
        <v>4089.3270000000002</v>
      </c>
      <c r="P133">
        <v>120798.49999999999</v>
      </c>
      <c r="Q133">
        <v>210135.70999999996</v>
      </c>
      <c r="R133">
        <v>282874.15999999992</v>
      </c>
      <c r="S133">
        <v>284494.87000000011</v>
      </c>
      <c r="T133">
        <v>170887.64</v>
      </c>
      <c r="U133">
        <v>236705.28000000003</v>
      </c>
      <c r="V133">
        <v>13036.519999999999</v>
      </c>
      <c r="W133">
        <v>0</v>
      </c>
      <c r="X133">
        <v>0</v>
      </c>
      <c r="Y133">
        <v>0</v>
      </c>
      <c r="Z133">
        <v>0</v>
      </c>
      <c r="AA133">
        <v>0</v>
      </c>
      <c r="AB133" s="34">
        <f>SUMPRODUCT(DB_HighProject[[#This Row],[Plan01]:[Plan12]],$D$4:$O$4)/valUnits2</f>
        <v>3240.447364000001</v>
      </c>
      <c r="AC133" s="34">
        <f>SUMPRODUCT(DB_HighProject[[#This Row],[Act01]:[Act12]],$P$4:$AA$4)/valUnits2</f>
        <v>1305.89616</v>
      </c>
      <c r="AD133" s="34">
        <f>DB_HighProject[[#This Row],[Actual]]-DB_HighProject[[#This Row],[Plan]]</f>
        <v>-1934.551204000001</v>
      </c>
      <c r="AE133" s="34">
        <f>IF(DB_HighProject[[#This Row],[Plan]]&lt;&gt;0,DB_HighProject[[#This Row],[Actual]]/DB_HighProject[[#This Row],[Plan]],1.000011000011)</f>
        <v>0.40299872619686827</v>
      </c>
    </row>
    <row r="134" spans="1:31" x14ac:dyDescent="0.2">
      <c r="A134">
        <f>SUBTOTAL(3,$B$6:B134)</f>
        <v>65</v>
      </c>
      <c r="B134" t="s">
        <v>1</v>
      </c>
      <c r="C134" t="s">
        <v>938</v>
      </c>
      <c r="D134">
        <v>215921.79800000001</v>
      </c>
      <c r="E134">
        <v>382353.63800000009</v>
      </c>
      <c r="F134">
        <v>464928.49800000002</v>
      </c>
      <c r="G134">
        <v>572860.24300000013</v>
      </c>
      <c r="H134">
        <v>869353.78100000031</v>
      </c>
      <c r="I134">
        <v>735029.40600000031</v>
      </c>
      <c r="J134">
        <v>703729.44700000028</v>
      </c>
      <c r="K134">
        <v>720395.75400000031</v>
      </c>
      <c r="L134">
        <v>707596.03800000018</v>
      </c>
      <c r="M134">
        <v>600367.26700000011</v>
      </c>
      <c r="N134">
        <v>388777.21499999991</v>
      </c>
      <c r="O134">
        <v>4089.3270000000002</v>
      </c>
      <c r="P134">
        <v>120798.49999999999</v>
      </c>
      <c r="Q134">
        <v>210135.70999999996</v>
      </c>
      <c r="R134">
        <v>282874.15999999992</v>
      </c>
      <c r="S134">
        <v>284494.87000000011</v>
      </c>
      <c r="T134">
        <v>170887.64</v>
      </c>
      <c r="U134">
        <v>236705.28000000003</v>
      </c>
      <c r="V134">
        <v>13036.519999999999</v>
      </c>
      <c r="W134">
        <v>0</v>
      </c>
      <c r="X134">
        <v>0</v>
      </c>
      <c r="Y134">
        <v>0</v>
      </c>
      <c r="Z134">
        <v>0</v>
      </c>
      <c r="AA134">
        <v>0</v>
      </c>
      <c r="AB134" s="34">
        <f>SUMPRODUCT(DB_HighProject[[#This Row],[Plan01]:[Plan12]],$D$4:$O$4)/valUnits2</f>
        <v>3240.447364000001</v>
      </c>
      <c r="AC134" s="34">
        <f>SUMPRODUCT(DB_HighProject[[#This Row],[Act01]:[Act12]],$P$4:$AA$4)/valUnits2</f>
        <v>1305.89616</v>
      </c>
      <c r="AD134" s="34">
        <f>DB_HighProject[[#This Row],[Actual]]-DB_HighProject[[#This Row],[Plan]]</f>
        <v>-1934.551204000001</v>
      </c>
      <c r="AE134" s="34">
        <f>IF(DB_HighProject[[#This Row],[Plan]]&lt;&gt;0,DB_HighProject[[#This Row],[Actual]]/DB_HighProject[[#This Row],[Plan]],1.000011000011)</f>
        <v>0.40299872619686827</v>
      </c>
    </row>
    <row r="135" spans="1:31" hidden="1" x14ac:dyDescent="0.2">
      <c r="A135">
        <f>SUBTOTAL(3,$B$6:B135)</f>
        <v>65</v>
      </c>
      <c r="B135" t="s">
        <v>344</v>
      </c>
      <c r="C135" t="s">
        <v>956</v>
      </c>
      <c r="D135">
        <v>302169.71799999999</v>
      </c>
      <c r="E135">
        <v>127099.35499999995</v>
      </c>
      <c r="F135">
        <v>207000.446</v>
      </c>
      <c r="G135">
        <v>1969811.9499999993</v>
      </c>
      <c r="H135">
        <v>438806.39500000008</v>
      </c>
      <c r="I135">
        <v>1806667.1409999998</v>
      </c>
      <c r="J135">
        <v>241779.03300000002</v>
      </c>
      <c r="K135">
        <v>238570.21399999998</v>
      </c>
      <c r="L135">
        <v>1770084.7790000001</v>
      </c>
      <c r="M135">
        <v>263508.01000000007</v>
      </c>
      <c r="N135">
        <v>282286.45399999997</v>
      </c>
      <c r="O135">
        <v>1693768.0219999996</v>
      </c>
      <c r="P135">
        <v>302037.87000000005</v>
      </c>
      <c r="Q135">
        <v>127293.38000000006</v>
      </c>
      <c r="R135">
        <v>207981.46000000008</v>
      </c>
      <c r="S135">
        <v>1969694.8299999977</v>
      </c>
      <c r="T135">
        <v>442139.48</v>
      </c>
      <c r="U135">
        <v>738271.84000000008</v>
      </c>
      <c r="V135">
        <v>449.41</v>
      </c>
      <c r="W135">
        <v>0</v>
      </c>
      <c r="X135">
        <v>0</v>
      </c>
      <c r="Y135">
        <v>0</v>
      </c>
      <c r="Z135">
        <v>0</v>
      </c>
      <c r="AA135">
        <v>0</v>
      </c>
      <c r="AB135" s="34">
        <f>SUMPRODUCT(DB_HighProject[[#This Row],[Plan01]:[Plan12]],$D$4:$O$4)/valUnits2</f>
        <v>4851.5550049999993</v>
      </c>
      <c r="AC135" s="34">
        <f>SUMPRODUCT(DB_HighProject[[#This Row],[Act01]:[Act12]],$P$4:$AA$4)/valUnits2</f>
        <v>3787.4188599999984</v>
      </c>
      <c r="AD135" s="34">
        <f>DB_HighProject[[#This Row],[Actual]]-DB_HighProject[[#This Row],[Plan]]</f>
        <v>-1064.1361450000009</v>
      </c>
      <c r="AE135" s="34">
        <f>IF(DB_HighProject[[#This Row],[Plan]]&lt;&gt;0,DB_HighProject[[#This Row],[Actual]]/DB_HighProject[[#This Row],[Plan]],1.000011000011)</f>
        <v>0.7806608100076563</v>
      </c>
    </row>
    <row r="136" spans="1:31" x14ac:dyDescent="0.2">
      <c r="A136">
        <f>SUBTOTAL(3,$B$6:B136)</f>
        <v>65</v>
      </c>
    </row>
    <row r="137" spans="1:31" x14ac:dyDescent="0.2">
      <c r="A137">
        <f>SUBTOTAL(3,$B$6:B137)</f>
        <v>65</v>
      </c>
    </row>
    <row r="138" spans="1:31" x14ac:dyDescent="0.2">
      <c r="A138">
        <f>SUBTOTAL(3,$B$6:B138)</f>
        <v>65</v>
      </c>
    </row>
    <row r="139" spans="1:31" x14ac:dyDescent="0.2">
      <c r="A139">
        <f>SUBTOTAL(3,$B$6:B139)</f>
        <v>65</v>
      </c>
    </row>
    <row r="140" spans="1:31" x14ac:dyDescent="0.2">
      <c r="A140">
        <f>SUBTOTAL(3,$B$6:B140)</f>
        <v>65</v>
      </c>
    </row>
    <row r="141" spans="1:31" x14ac:dyDescent="0.2">
      <c r="A141">
        <f>SUBTOTAL(3,$B$6:B141)</f>
        <v>65</v>
      </c>
    </row>
    <row r="142" spans="1:31" x14ac:dyDescent="0.2">
      <c r="A142">
        <f>SUBTOTAL(3,$B$6:B142)</f>
        <v>65</v>
      </c>
    </row>
    <row r="143" spans="1:31" x14ac:dyDescent="0.2">
      <c r="A143">
        <f>SUBTOTAL(3,$B$6:B143)</f>
        <v>65</v>
      </c>
    </row>
    <row r="144" spans="1:31" x14ac:dyDescent="0.2">
      <c r="A144">
        <f>SUBTOTAL(3,$B$6:B144)</f>
        <v>65</v>
      </c>
    </row>
    <row r="145" spans="1:1" x14ac:dyDescent="0.2">
      <c r="A145">
        <f>SUBTOTAL(3,$B$6:B145)</f>
        <v>65</v>
      </c>
    </row>
    <row r="146" spans="1:1" x14ac:dyDescent="0.2">
      <c r="A146">
        <f>SUBTOTAL(3,$B$6:B146)</f>
        <v>65</v>
      </c>
    </row>
    <row r="147" spans="1:1" x14ac:dyDescent="0.2">
      <c r="A147">
        <f>SUBTOTAL(3,$B$6:B147)</f>
        <v>65</v>
      </c>
    </row>
    <row r="148" spans="1:1" x14ac:dyDescent="0.2">
      <c r="A148">
        <f>SUBTOTAL(3,$B$6:B148)</f>
        <v>65</v>
      </c>
    </row>
    <row r="149" spans="1:1" x14ac:dyDescent="0.2">
      <c r="A149">
        <f>SUBTOTAL(3,$B$6:B149)</f>
        <v>65</v>
      </c>
    </row>
    <row r="150" spans="1:1" x14ac:dyDescent="0.2">
      <c r="A150">
        <f>SUBTOTAL(3,$B$6:B150)</f>
        <v>65</v>
      </c>
    </row>
    <row r="151" spans="1:1" x14ac:dyDescent="0.2">
      <c r="A151">
        <f>SUBTOTAL(3,$B$6:B151)</f>
        <v>65</v>
      </c>
    </row>
    <row r="152" spans="1:1" x14ac:dyDescent="0.2">
      <c r="A152">
        <f>SUBTOTAL(3,$B$6:B152)</f>
        <v>65</v>
      </c>
    </row>
    <row r="153" spans="1:1" x14ac:dyDescent="0.2">
      <c r="A153">
        <f>SUBTOTAL(3,$B$6:B153)</f>
        <v>65</v>
      </c>
    </row>
    <row r="154" spans="1:1" x14ac:dyDescent="0.2">
      <c r="A154">
        <f>SUBTOTAL(3,$B$6:B154)</f>
        <v>65</v>
      </c>
    </row>
    <row r="155" spans="1:1" x14ac:dyDescent="0.2">
      <c r="A155">
        <f>SUBTOTAL(3,$B$6:B155)</f>
        <v>65</v>
      </c>
    </row>
    <row r="156" spans="1:1" x14ac:dyDescent="0.2">
      <c r="A156">
        <f>SUBTOTAL(3,$B$6:B156)</f>
        <v>65</v>
      </c>
    </row>
    <row r="157" spans="1:1" x14ac:dyDescent="0.2">
      <c r="A157">
        <f>SUBTOTAL(3,$B$6:B157)</f>
        <v>65</v>
      </c>
    </row>
    <row r="158" spans="1:1" x14ac:dyDescent="0.2">
      <c r="A158">
        <f>SUBTOTAL(3,$B$6:B158)</f>
        <v>65</v>
      </c>
    </row>
    <row r="159" spans="1:1" x14ac:dyDescent="0.2">
      <c r="A159">
        <f>SUBTOTAL(3,$B$6:B159)</f>
        <v>65</v>
      </c>
    </row>
    <row r="160" spans="1:1" x14ac:dyDescent="0.2">
      <c r="A160">
        <f>SUBTOTAL(3,$B$6:B160)</f>
        <v>65</v>
      </c>
    </row>
    <row r="161" spans="1:1" x14ac:dyDescent="0.2">
      <c r="A161">
        <f>SUBTOTAL(3,$B$6:B161)</f>
        <v>65</v>
      </c>
    </row>
    <row r="162" spans="1:1" x14ac:dyDescent="0.2">
      <c r="A162">
        <f>SUBTOTAL(3,$B$6:B162)</f>
        <v>65</v>
      </c>
    </row>
    <row r="163" spans="1:1" x14ac:dyDescent="0.2">
      <c r="A163">
        <f>SUBTOTAL(3,$B$6:B163)</f>
        <v>65</v>
      </c>
    </row>
    <row r="164" spans="1:1" x14ac:dyDescent="0.2">
      <c r="A164">
        <f>SUBTOTAL(3,$B$6:B164)</f>
        <v>65</v>
      </c>
    </row>
    <row r="165" spans="1:1" x14ac:dyDescent="0.2">
      <c r="A165">
        <f>SUBTOTAL(3,$B$6:B165)</f>
        <v>65</v>
      </c>
    </row>
    <row r="166" spans="1:1" x14ac:dyDescent="0.2">
      <c r="A166">
        <f>SUBTOTAL(3,$B$6:B166)</f>
        <v>65</v>
      </c>
    </row>
    <row r="167" spans="1:1" x14ac:dyDescent="0.2">
      <c r="A167">
        <f>SUBTOTAL(3,$B$6:B167)</f>
        <v>65</v>
      </c>
    </row>
    <row r="168" spans="1:1" x14ac:dyDescent="0.2">
      <c r="A168">
        <f>SUBTOTAL(3,$B$6:B168)</f>
        <v>65</v>
      </c>
    </row>
    <row r="169" spans="1:1" x14ac:dyDescent="0.2">
      <c r="A169">
        <f>SUBTOTAL(3,$B$6:B169)</f>
        <v>65</v>
      </c>
    </row>
    <row r="170" spans="1:1" x14ac:dyDescent="0.2">
      <c r="A170">
        <f>SUBTOTAL(3,$B$6:B170)</f>
        <v>65</v>
      </c>
    </row>
    <row r="171" spans="1:1" x14ac:dyDescent="0.2">
      <c r="A171">
        <f>SUBTOTAL(3,$B$6:B171)</f>
        <v>65</v>
      </c>
    </row>
    <row r="172" spans="1:1" x14ac:dyDescent="0.2">
      <c r="A172">
        <f>SUBTOTAL(3,$B$6:B172)</f>
        <v>65</v>
      </c>
    </row>
    <row r="173" spans="1:1" x14ac:dyDescent="0.2">
      <c r="A173">
        <f>SUBTOTAL(3,$B$6:B173)</f>
        <v>65</v>
      </c>
    </row>
    <row r="174" spans="1:1" x14ac:dyDescent="0.2">
      <c r="A174">
        <f>SUBTOTAL(3,$B$6:B174)</f>
        <v>65</v>
      </c>
    </row>
    <row r="175" spans="1:1" x14ac:dyDescent="0.2">
      <c r="A175">
        <f>SUBTOTAL(3,$B$6:B175)</f>
        <v>65</v>
      </c>
    </row>
    <row r="176" spans="1:1" x14ac:dyDescent="0.2">
      <c r="A176">
        <f>SUBTOTAL(3,$B$6:B176)</f>
        <v>65</v>
      </c>
    </row>
    <row r="177" spans="1:1" x14ac:dyDescent="0.2">
      <c r="A177">
        <f>SUBTOTAL(3,$B$6:B177)</f>
        <v>65</v>
      </c>
    </row>
    <row r="178" spans="1:1" x14ac:dyDescent="0.2">
      <c r="A178">
        <f>SUBTOTAL(3,$B$6:B178)</f>
        <v>65</v>
      </c>
    </row>
    <row r="179" spans="1:1" x14ac:dyDescent="0.2">
      <c r="A179">
        <f>SUBTOTAL(3,$B$6:B179)</f>
        <v>65</v>
      </c>
    </row>
    <row r="180" spans="1:1" x14ac:dyDescent="0.2">
      <c r="A180">
        <f>SUBTOTAL(3,$B$6:B180)</f>
        <v>65</v>
      </c>
    </row>
    <row r="181" spans="1:1" x14ac:dyDescent="0.2">
      <c r="A181">
        <f>SUBTOTAL(3,$B$6:B181)</f>
        <v>65</v>
      </c>
    </row>
    <row r="182" spans="1:1" x14ac:dyDescent="0.2">
      <c r="A182">
        <f>SUBTOTAL(3,$B$6:B182)</f>
        <v>65</v>
      </c>
    </row>
    <row r="183" spans="1:1" x14ac:dyDescent="0.2">
      <c r="A183">
        <f>SUBTOTAL(3,$B$6:B183)</f>
        <v>65</v>
      </c>
    </row>
    <row r="184" spans="1:1" x14ac:dyDescent="0.2">
      <c r="A184">
        <f>SUBTOTAL(3,$B$6:B184)</f>
        <v>65</v>
      </c>
    </row>
    <row r="185" spans="1:1" x14ac:dyDescent="0.2">
      <c r="A185">
        <f>SUBTOTAL(3,$B$6:B185)</f>
        <v>65</v>
      </c>
    </row>
    <row r="186" spans="1:1" x14ac:dyDescent="0.2">
      <c r="A186">
        <f>SUBTOTAL(3,$B$6:B186)</f>
        <v>65</v>
      </c>
    </row>
    <row r="187" spans="1:1" x14ac:dyDescent="0.2">
      <c r="A187">
        <f>SUBTOTAL(3,$B$6:B187)</f>
        <v>65</v>
      </c>
    </row>
    <row r="188" spans="1:1" x14ac:dyDescent="0.2">
      <c r="A188">
        <f>SUBTOTAL(3,$B$6:B188)</f>
        <v>65</v>
      </c>
    </row>
    <row r="189" spans="1:1" x14ac:dyDescent="0.2">
      <c r="A189">
        <f>SUBTOTAL(3,$B$6:B189)</f>
        <v>65</v>
      </c>
    </row>
    <row r="190" spans="1:1" x14ac:dyDescent="0.2">
      <c r="A190">
        <f>SUBTOTAL(3,$B$6:B190)</f>
        <v>65</v>
      </c>
    </row>
    <row r="191" spans="1:1" x14ac:dyDescent="0.2">
      <c r="A191">
        <f>SUBTOTAL(3,$B$6:B191)</f>
        <v>65</v>
      </c>
    </row>
    <row r="192" spans="1:1" x14ac:dyDescent="0.2">
      <c r="A192">
        <f>SUBTOTAL(3,$B$6:B192)</f>
        <v>65</v>
      </c>
    </row>
    <row r="193" spans="1:1" x14ac:dyDescent="0.2">
      <c r="A193">
        <f>SUBTOTAL(3,$B$6:B193)</f>
        <v>65</v>
      </c>
    </row>
    <row r="194" spans="1:1" x14ac:dyDescent="0.2">
      <c r="A194">
        <f>SUBTOTAL(3,$B$6:B194)</f>
        <v>65</v>
      </c>
    </row>
    <row r="195" spans="1:1" x14ac:dyDescent="0.2">
      <c r="A195">
        <f>SUBTOTAL(3,$B$6:B195)</f>
        <v>65</v>
      </c>
    </row>
    <row r="196" spans="1:1" x14ac:dyDescent="0.2">
      <c r="A196">
        <f>SUBTOTAL(3,$B$6:B196)</f>
        <v>65</v>
      </c>
    </row>
    <row r="197" spans="1:1" x14ac:dyDescent="0.2">
      <c r="A197">
        <f>SUBTOTAL(3,$B$6:B197)</f>
        <v>65</v>
      </c>
    </row>
    <row r="198" spans="1:1" x14ac:dyDescent="0.2">
      <c r="A198">
        <f>SUBTOTAL(3,$B$6:B198)</f>
        <v>65</v>
      </c>
    </row>
    <row r="199" spans="1:1" x14ac:dyDescent="0.2">
      <c r="A199">
        <f>SUBTOTAL(3,$B$6:B199)</f>
        <v>65</v>
      </c>
    </row>
    <row r="200" spans="1:1" x14ac:dyDescent="0.2">
      <c r="A200">
        <f>SUBTOTAL(3,$B$6:B200)</f>
        <v>65</v>
      </c>
    </row>
    <row r="201" spans="1:1" x14ac:dyDescent="0.2">
      <c r="A201">
        <f>SUBTOTAL(3,$B$6:B201)</f>
        <v>65</v>
      </c>
    </row>
    <row r="202" spans="1:1" x14ac:dyDescent="0.2">
      <c r="A202">
        <f>SUBTOTAL(3,$B$6:B202)</f>
        <v>65</v>
      </c>
    </row>
    <row r="203" spans="1:1" x14ac:dyDescent="0.2">
      <c r="A203">
        <f>SUBTOTAL(3,$B$6:B203)</f>
        <v>65</v>
      </c>
    </row>
    <row r="204" spans="1:1" x14ac:dyDescent="0.2">
      <c r="A204">
        <f>SUBTOTAL(3,$B$6:B204)</f>
        <v>65</v>
      </c>
    </row>
    <row r="205" spans="1:1" x14ac:dyDescent="0.2">
      <c r="A205">
        <f>SUBTOTAL(3,$B$6:B205)</f>
        <v>65</v>
      </c>
    </row>
    <row r="206" spans="1:1" x14ac:dyDescent="0.2">
      <c r="A206">
        <f>SUBTOTAL(3,$B$6:B206)</f>
        <v>65</v>
      </c>
    </row>
    <row r="207" spans="1:1" x14ac:dyDescent="0.2">
      <c r="A207">
        <f>SUBTOTAL(3,$B$6:B207)</f>
        <v>65</v>
      </c>
    </row>
    <row r="208" spans="1:1" x14ac:dyDescent="0.2">
      <c r="A208">
        <f>SUBTOTAL(3,$B$6:B208)</f>
        <v>65</v>
      </c>
    </row>
    <row r="209" spans="1:1" x14ac:dyDescent="0.2">
      <c r="A209">
        <f>SUBTOTAL(3,$B$6:B209)</f>
        <v>65</v>
      </c>
    </row>
    <row r="210" spans="1:1" x14ac:dyDescent="0.2">
      <c r="A210">
        <f>SUBTOTAL(3,$B$6:B210)</f>
        <v>65</v>
      </c>
    </row>
    <row r="211" spans="1:1" x14ac:dyDescent="0.2">
      <c r="A211">
        <f>SUBTOTAL(3,$B$6:B211)</f>
        <v>65</v>
      </c>
    </row>
    <row r="212" spans="1:1" x14ac:dyDescent="0.2">
      <c r="A212">
        <f>SUBTOTAL(3,$B$6:B212)</f>
        <v>65</v>
      </c>
    </row>
    <row r="213" spans="1:1" x14ac:dyDescent="0.2">
      <c r="A213">
        <f>SUBTOTAL(3,$B$6:B213)</f>
        <v>65</v>
      </c>
    </row>
    <row r="214" spans="1:1" x14ac:dyDescent="0.2">
      <c r="A214">
        <f>SUBTOTAL(3,$B$6:B214)</f>
        <v>65</v>
      </c>
    </row>
    <row r="215" spans="1:1" x14ac:dyDescent="0.2">
      <c r="A215">
        <f>SUBTOTAL(3,$B$6:B215)</f>
        <v>65</v>
      </c>
    </row>
    <row r="216" spans="1:1" x14ac:dyDescent="0.2">
      <c r="A216">
        <f>SUBTOTAL(3,$B$6:B216)</f>
        <v>65</v>
      </c>
    </row>
    <row r="217" spans="1:1" x14ac:dyDescent="0.2">
      <c r="A217">
        <f>SUBTOTAL(3,$B$6:B217)</f>
        <v>65</v>
      </c>
    </row>
    <row r="218" spans="1:1" x14ac:dyDescent="0.2">
      <c r="A218">
        <f>SUBTOTAL(3,$B$6:B218)</f>
        <v>65</v>
      </c>
    </row>
    <row r="219" spans="1:1" x14ac:dyDescent="0.2">
      <c r="A219">
        <f>SUBTOTAL(3,$B$6:B219)</f>
        <v>65</v>
      </c>
    </row>
    <row r="220" spans="1:1" x14ac:dyDescent="0.2">
      <c r="A220">
        <f>SUBTOTAL(3,$B$6:B220)</f>
        <v>65</v>
      </c>
    </row>
    <row r="221" spans="1:1" x14ac:dyDescent="0.2">
      <c r="A221">
        <f>SUBTOTAL(3,$B$6:B221)</f>
        <v>65</v>
      </c>
    </row>
    <row r="222" spans="1:1" x14ac:dyDescent="0.2">
      <c r="A222">
        <f>SUBTOTAL(3,$B$6:B222)</f>
        <v>65</v>
      </c>
    </row>
    <row r="223" spans="1:1" x14ac:dyDescent="0.2">
      <c r="A223">
        <f>SUBTOTAL(3,$B$6:B223)</f>
        <v>65</v>
      </c>
    </row>
    <row r="224" spans="1:1" x14ac:dyDescent="0.2">
      <c r="A224">
        <f>SUBTOTAL(3,$B$6:B224)</f>
        <v>65</v>
      </c>
    </row>
    <row r="225" spans="1:1" x14ac:dyDescent="0.2">
      <c r="A225">
        <f>SUBTOTAL(3,$B$6:B225)</f>
        <v>65</v>
      </c>
    </row>
    <row r="226" spans="1:1" x14ac:dyDescent="0.2">
      <c r="A226">
        <f>SUBTOTAL(3,$B$6:B226)</f>
        <v>65</v>
      </c>
    </row>
    <row r="227" spans="1:1" x14ac:dyDescent="0.2">
      <c r="A227">
        <f>SUBTOTAL(3,$B$6:B227)</f>
        <v>65</v>
      </c>
    </row>
    <row r="228" spans="1:1" x14ac:dyDescent="0.2">
      <c r="A228">
        <f>SUBTOTAL(3,$B$6:B228)</f>
        <v>65</v>
      </c>
    </row>
    <row r="229" spans="1:1" x14ac:dyDescent="0.2">
      <c r="A229">
        <f>SUBTOTAL(3,$B$6:B229)</f>
        <v>65</v>
      </c>
    </row>
    <row r="230" spans="1:1" x14ac:dyDescent="0.2">
      <c r="A230">
        <f>SUBTOTAL(3,$B$6:B230)</f>
        <v>65</v>
      </c>
    </row>
    <row r="231" spans="1:1" x14ac:dyDescent="0.2">
      <c r="A231">
        <f>SUBTOTAL(3,$B$6:B231)</f>
        <v>65</v>
      </c>
    </row>
    <row r="232" spans="1:1" x14ac:dyDescent="0.2">
      <c r="A232">
        <f>SUBTOTAL(3,$B$6:B232)</f>
        <v>65</v>
      </c>
    </row>
    <row r="233" spans="1:1" x14ac:dyDescent="0.2">
      <c r="A233">
        <f>SUBTOTAL(3,$B$6:B233)</f>
        <v>65</v>
      </c>
    </row>
    <row r="234" spans="1:1" x14ac:dyDescent="0.2">
      <c r="A234">
        <f>SUBTOTAL(3,$B$6:B234)</f>
        <v>65</v>
      </c>
    </row>
    <row r="235" spans="1:1" x14ac:dyDescent="0.2">
      <c r="A235">
        <f>SUBTOTAL(3,$B$6:B235)</f>
        <v>65</v>
      </c>
    </row>
    <row r="236" spans="1:1" x14ac:dyDescent="0.2">
      <c r="A236">
        <f>SUBTOTAL(3,$B$6:B236)</f>
        <v>65</v>
      </c>
    </row>
    <row r="237" spans="1:1" x14ac:dyDescent="0.2">
      <c r="A237">
        <f>SUBTOTAL(3,$B$6:B237)</f>
        <v>65</v>
      </c>
    </row>
    <row r="238" spans="1:1" x14ac:dyDescent="0.2">
      <c r="A238">
        <f>SUBTOTAL(3,$B$6:B238)</f>
        <v>65</v>
      </c>
    </row>
    <row r="239" spans="1:1" x14ac:dyDescent="0.2">
      <c r="A239">
        <f>SUBTOTAL(3,$B$6:B239)</f>
        <v>65</v>
      </c>
    </row>
    <row r="240" spans="1:1" x14ac:dyDescent="0.2">
      <c r="A240">
        <f>SUBTOTAL(3,$B$6:B240)</f>
        <v>65</v>
      </c>
    </row>
    <row r="241" spans="1:1" x14ac:dyDescent="0.2">
      <c r="A241">
        <f>SUBTOTAL(3,$B$6:B241)</f>
        <v>65</v>
      </c>
    </row>
    <row r="242" spans="1:1" x14ac:dyDescent="0.2">
      <c r="A242">
        <f>SUBTOTAL(3,$B$6:B242)</f>
        <v>65</v>
      </c>
    </row>
    <row r="243" spans="1:1" x14ac:dyDescent="0.2">
      <c r="A243">
        <f>SUBTOTAL(3,$B$6:B243)</f>
        <v>65</v>
      </c>
    </row>
    <row r="244" spans="1:1" x14ac:dyDescent="0.2">
      <c r="A244">
        <f>SUBTOTAL(3,$B$6:B244)</f>
        <v>65</v>
      </c>
    </row>
    <row r="245" spans="1:1" x14ac:dyDescent="0.2">
      <c r="A245">
        <f>SUBTOTAL(3,$B$6:B245)</f>
        <v>65</v>
      </c>
    </row>
    <row r="246" spans="1:1" x14ac:dyDescent="0.2">
      <c r="A246">
        <f>SUBTOTAL(3,$B$6:B246)</f>
        <v>65</v>
      </c>
    </row>
    <row r="247" spans="1:1" x14ac:dyDescent="0.2">
      <c r="A247">
        <f>SUBTOTAL(3,$B$6:B247)</f>
        <v>65</v>
      </c>
    </row>
    <row r="248" spans="1:1" x14ac:dyDescent="0.2">
      <c r="A248">
        <f>SUBTOTAL(3,$B$6:B248)</f>
        <v>65</v>
      </c>
    </row>
    <row r="249" spans="1:1" x14ac:dyDescent="0.2">
      <c r="A249">
        <f>SUBTOTAL(3,$B$6:B249)</f>
        <v>65</v>
      </c>
    </row>
    <row r="250" spans="1:1" x14ac:dyDescent="0.2">
      <c r="A250">
        <f>SUBTOTAL(3,$B$6:B250)</f>
        <v>65</v>
      </c>
    </row>
    <row r="251" spans="1:1" x14ac:dyDescent="0.2">
      <c r="A251">
        <f>SUBTOTAL(3,$B$6:B251)</f>
        <v>65</v>
      </c>
    </row>
    <row r="252" spans="1:1" x14ac:dyDescent="0.2">
      <c r="A252">
        <f>SUBTOTAL(3,$B$6:B252)</f>
        <v>65</v>
      </c>
    </row>
    <row r="253" spans="1:1" x14ac:dyDescent="0.2">
      <c r="A253">
        <f>SUBTOTAL(3,$B$6:B253)</f>
        <v>65</v>
      </c>
    </row>
    <row r="254" spans="1:1" x14ac:dyDescent="0.2">
      <c r="A254">
        <f>SUBTOTAL(3,$B$6:B254)</f>
        <v>65</v>
      </c>
    </row>
    <row r="255" spans="1:1" x14ac:dyDescent="0.2">
      <c r="A255">
        <f>SUBTOTAL(3,$B$6:B255)</f>
        <v>65</v>
      </c>
    </row>
    <row r="256" spans="1:1" x14ac:dyDescent="0.2">
      <c r="A256">
        <f>SUBTOTAL(3,$B$6:B256)</f>
        <v>65</v>
      </c>
    </row>
    <row r="257" spans="1:1" x14ac:dyDescent="0.2">
      <c r="A257">
        <f>SUBTOTAL(3,$B$6:B257)</f>
        <v>65</v>
      </c>
    </row>
    <row r="258" spans="1:1" x14ac:dyDescent="0.2">
      <c r="A258">
        <f>SUBTOTAL(3,$B$6:B258)</f>
        <v>65</v>
      </c>
    </row>
    <row r="259" spans="1:1" x14ac:dyDescent="0.2">
      <c r="A259">
        <f>SUBTOTAL(3,$B$6:B259)</f>
        <v>65</v>
      </c>
    </row>
    <row r="260" spans="1:1" x14ac:dyDescent="0.2">
      <c r="A260">
        <f>SUBTOTAL(3,$B$6:B260)</f>
        <v>65</v>
      </c>
    </row>
    <row r="261" spans="1:1" x14ac:dyDescent="0.2">
      <c r="A261">
        <f>SUBTOTAL(3,$B$6:B261)</f>
        <v>65</v>
      </c>
    </row>
    <row r="262" spans="1:1" x14ac:dyDescent="0.2">
      <c r="A262">
        <f>SUBTOTAL(3,$B$6:B262)</f>
        <v>65</v>
      </c>
    </row>
    <row r="263" spans="1:1" x14ac:dyDescent="0.2">
      <c r="A263">
        <f>SUBTOTAL(3,$B$6:B263)</f>
        <v>65</v>
      </c>
    </row>
    <row r="264" spans="1:1" x14ac:dyDescent="0.2">
      <c r="A264">
        <f>SUBTOTAL(3,$B$6:B264)</f>
        <v>65</v>
      </c>
    </row>
    <row r="265" spans="1:1" x14ac:dyDescent="0.2">
      <c r="A265">
        <f>SUBTOTAL(3,$B$6:B265)</f>
        <v>65</v>
      </c>
    </row>
    <row r="266" spans="1:1" x14ac:dyDescent="0.2">
      <c r="A266">
        <f>SUBTOTAL(3,$B$6:B266)</f>
        <v>65</v>
      </c>
    </row>
    <row r="267" spans="1:1" x14ac:dyDescent="0.2">
      <c r="A267">
        <f>SUBTOTAL(3,$B$6:B267)</f>
        <v>65</v>
      </c>
    </row>
    <row r="268" spans="1:1" x14ac:dyDescent="0.2">
      <c r="A268">
        <f>SUBTOTAL(3,$B$6:B268)</f>
        <v>65</v>
      </c>
    </row>
    <row r="269" spans="1:1" x14ac:dyDescent="0.2">
      <c r="A269">
        <f>SUBTOTAL(3,$B$6:B269)</f>
        <v>65</v>
      </c>
    </row>
    <row r="270" spans="1:1" x14ac:dyDescent="0.2">
      <c r="A270">
        <f>SUBTOTAL(3,$B$6:B270)</f>
        <v>65</v>
      </c>
    </row>
    <row r="271" spans="1:1" x14ac:dyDescent="0.2">
      <c r="A271">
        <f>SUBTOTAL(3,$B$6:B271)</f>
        <v>65</v>
      </c>
    </row>
    <row r="272" spans="1:1" x14ac:dyDescent="0.2">
      <c r="A272">
        <f>SUBTOTAL(3,$B$6:B272)</f>
        <v>65</v>
      </c>
    </row>
    <row r="273" spans="1:1" x14ac:dyDescent="0.2">
      <c r="A273">
        <f>SUBTOTAL(3,$B$6:B273)</f>
        <v>65</v>
      </c>
    </row>
    <row r="274" spans="1:1" x14ac:dyDescent="0.2">
      <c r="A274">
        <f>SUBTOTAL(3,$B$6:B274)</f>
        <v>65</v>
      </c>
    </row>
    <row r="275" spans="1:1" x14ac:dyDescent="0.2">
      <c r="A275">
        <f>SUBTOTAL(3,$B$6:B275)</f>
        <v>65</v>
      </c>
    </row>
    <row r="276" spans="1:1" x14ac:dyDescent="0.2">
      <c r="A276">
        <f>SUBTOTAL(3,$B$6:B276)</f>
        <v>65</v>
      </c>
    </row>
    <row r="277" spans="1:1" x14ac:dyDescent="0.2">
      <c r="A277">
        <f>SUBTOTAL(3,$B$6:B277)</f>
        <v>65</v>
      </c>
    </row>
    <row r="278" spans="1:1" x14ac:dyDescent="0.2">
      <c r="A278">
        <f>SUBTOTAL(3,$B$6:B278)</f>
        <v>65</v>
      </c>
    </row>
    <row r="279" spans="1:1" x14ac:dyDescent="0.2">
      <c r="A279">
        <f>SUBTOTAL(3,$B$6:B279)</f>
        <v>65</v>
      </c>
    </row>
    <row r="280" spans="1:1" x14ac:dyDescent="0.2">
      <c r="A280">
        <f>SUBTOTAL(3,$B$6:B280)</f>
        <v>65</v>
      </c>
    </row>
    <row r="281" spans="1:1" x14ac:dyDescent="0.2">
      <c r="A281">
        <f>SUBTOTAL(3,$B$6:B281)</f>
        <v>65</v>
      </c>
    </row>
    <row r="282" spans="1:1" x14ac:dyDescent="0.2">
      <c r="A282">
        <f>SUBTOTAL(3,$B$6:B282)</f>
        <v>65</v>
      </c>
    </row>
    <row r="283" spans="1:1" x14ac:dyDescent="0.2">
      <c r="A283">
        <f>SUBTOTAL(3,$B$6:B283)</f>
        <v>65</v>
      </c>
    </row>
    <row r="284" spans="1:1" x14ac:dyDescent="0.2">
      <c r="A284">
        <f>SUBTOTAL(3,$B$6:B284)</f>
        <v>65</v>
      </c>
    </row>
    <row r="285" spans="1:1" x14ac:dyDescent="0.2">
      <c r="A285">
        <f>SUBTOTAL(3,$B$6:B285)</f>
        <v>65</v>
      </c>
    </row>
    <row r="286" spans="1:1" x14ac:dyDescent="0.2">
      <c r="A286">
        <f>SUBTOTAL(3,$B$6:B286)</f>
        <v>65</v>
      </c>
    </row>
    <row r="287" spans="1:1" x14ac:dyDescent="0.2">
      <c r="A287">
        <f>SUBTOTAL(3,$B$6:B287)</f>
        <v>65</v>
      </c>
    </row>
    <row r="288" spans="1:1" x14ac:dyDescent="0.2">
      <c r="A288">
        <f>SUBTOTAL(3,$B$6:B288)</f>
        <v>65</v>
      </c>
    </row>
    <row r="289" spans="1:1" x14ac:dyDescent="0.2">
      <c r="A289">
        <f>SUBTOTAL(3,$B$6:B289)</f>
        <v>65</v>
      </c>
    </row>
    <row r="290" spans="1:1" x14ac:dyDescent="0.2">
      <c r="A290">
        <f>SUBTOTAL(3,$B$6:B290)</f>
        <v>65</v>
      </c>
    </row>
    <row r="291" spans="1:1" x14ac:dyDescent="0.2">
      <c r="A291">
        <f>SUBTOTAL(3,$B$6:B291)</f>
        <v>65</v>
      </c>
    </row>
    <row r="292" spans="1:1" x14ac:dyDescent="0.2">
      <c r="A292">
        <f>SUBTOTAL(3,$B$6:B292)</f>
        <v>65</v>
      </c>
    </row>
    <row r="293" spans="1:1" x14ac:dyDescent="0.2">
      <c r="A293">
        <f>SUBTOTAL(3,$B$6:B293)</f>
        <v>65</v>
      </c>
    </row>
    <row r="294" spans="1:1" x14ac:dyDescent="0.2">
      <c r="A294">
        <f>SUBTOTAL(3,$B$6:B294)</f>
        <v>65</v>
      </c>
    </row>
    <row r="295" spans="1:1" x14ac:dyDescent="0.2">
      <c r="A295">
        <f>SUBTOTAL(3,$B$6:B295)</f>
        <v>65</v>
      </c>
    </row>
    <row r="296" spans="1:1" x14ac:dyDescent="0.2">
      <c r="A296">
        <f>SUBTOTAL(3,$B$6:B296)</f>
        <v>65</v>
      </c>
    </row>
    <row r="297" spans="1:1" x14ac:dyDescent="0.2">
      <c r="A297">
        <f>SUBTOTAL(3,$B$6:B297)</f>
        <v>65</v>
      </c>
    </row>
    <row r="298" spans="1:1" x14ac:dyDescent="0.2">
      <c r="A298">
        <f>SUBTOTAL(3,$B$6:B298)</f>
        <v>65</v>
      </c>
    </row>
    <row r="299" spans="1:1" x14ac:dyDescent="0.2">
      <c r="A299">
        <f>SUBTOTAL(3,$B$6:B299)</f>
        <v>65</v>
      </c>
    </row>
    <row r="300" spans="1:1" x14ac:dyDescent="0.2">
      <c r="A300">
        <f>SUBTOTAL(3,$B$6:B300)</f>
        <v>65</v>
      </c>
    </row>
    <row r="301" spans="1:1" x14ac:dyDescent="0.2">
      <c r="A301">
        <f>SUBTOTAL(3,$B$6:B301)</f>
        <v>65</v>
      </c>
    </row>
    <row r="302" spans="1:1" x14ac:dyDescent="0.2">
      <c r="A302">
        <f>SUBTOTAL(3,$B$6:B302)</f>
        <v>65</v>
      </c>
    </row>
    <row r="303" spans="1:1" x14ac:dyDescent="0.2">
      <c r="A303">
        <f>SUBTOTAL(3,$B$6:B303)</f>
        <v>65</v>
      </c>
    </row>
    <row r="304" spans="1:1" x14ac:dyDescent="0.2">
      <c r="A304">
        <f>SUBTOTAL(3,$B$6:B304)</f>
        <v>65</v>
      </c>
    </row>
    <row r="305" spans="1:1" x14ac:dyDescent="0.2">
      <c r="A305">
        <f>SUBTOTAL(3,$B$6:B305)</f>
        <v>65</v>
      </c>
    </row>
    <row r="306" spans="1:1" x14ac:dyDescent="0.2">
      <c r="A306">
        <f>SUBTOTAL(3,$B$6:B306)</f>
        <v>65</v>
      </c>
    </row>
    <row r="307" spans="1:1" x14ac:dyDescent="0.2">
      <c r="A307">
        <f>SUBTOTAL(3,$B$6:B307)</f>
        <v>65</v>
      </c>
    </row>
    <row r="308" spans="1:1" x14ac:dyDescent="0.2">
      <c r="A308">
        <f>SUBTOTAL(3,$B$6:B308)</f>
        <v>65</v>
      </c>
    </row>
    <row r="309" spans="1:1" x14ac:dyDescent="0.2">
      <c r="A309">
        <f>SUBTOTAL(3,$B$6:B309)</f>
        <v>65</v>
      </c>
    </row>
    <row r="310" spans="1:1" x14ac:dyDescent="0.2">
      <c r="A310">
        <f>SUBTOTAL(3,$B$6:B310)</f>
        <v>65</v>
      </c>
    </row>
    <row r="311" spans="1:1" x14ac:dyDescent="0.2">
      <c r="A311">
        <f>SUBTOTAL(3,$B$6:B311)</f>
        <v>65</v>
      </c>
    </row>
    <row r="312" spans="1:1" x14ac:dyDescent="0.2">
      <c r="A312">
        <f>SUBTOTAL(3,$B$6:B312)</f>
        <v>65</v>
      </c>
    </row>
    <row r="313" spans="1:1" x14ac:dyDescent="0.2">
      <c r="A313">
        <f>SUBTOTAL(3,$B$6:B313)</f>
        <v>65</v>
      </c>
    </row>
    <row r="314" spans="1:1" x14ac:dyDescent="0.2">
      <c r="A314">
        <f>SUBTOTAL(3,$B$6:B314)</f>
        <v>65</v>
      </c>
    </row>
    <row r="315" spans="1:1" x14ac:dyDescent="0.2">
      <c r="A315">
        <f>SUBTOTAL(3,$B$6:B315)</f>
        <v>65</v>
      </c>
    </row>
    <row r="316" spans="1:1" x14ac:dyDescent="0.2">
      <c r="A316">
        <f>SUBTOTAL(3,$B$6:B316)</f>
        <v>65</v>
      </c>
    </row>
    <row r="317" spans="1:1" x14ac:dyDescent="0.2">
      <c r="A317">
        <f>SUBTOTAL(3,$B$6:B317)</f>
        <v>65</v>
      </c>
    </row>
    <row r="318" spans="1:1" x14ac:dyDescent="0.2">
      <c r="A318">
        <f>SUBTOTAL(3,$B$6:B318)</f>
        <v>65</v>
      </c>
    </row>
    <row r="319" spans="1:1" x14ac:dyDescent="0.2">
      <c r="A319">
        <f>SUBTOTAL(3,$B$6:B319)</f>
        <v>65</v>
      </c>
    </row>
    <row r="320" spans="1:1" x14ac:dyDescent="0.2">
      <c r="A320">
        <f>SUBTOTAL(3,$B$6:B320)</f>
        <v>65</v>
      </c>
    </row>
    <row r="321" spans="1:1" x14ac:dyDescent="0.2">
      <c r="A321">
        <f>SUBTOTAL(3,$B$6:B321)</f>
        <v>65</v>
      </c>
    </row>
    <row r="322" spans="1:1" x14ac:dyDescent="0.2">
      <c r="A322">
        <f>SUBTOTAL(3,$B$6:B322)</f>
        <v>65</v>
      </c>
    </row>
    <row r="323" spans="1:1" x14ac:dyDescent="0.2">
      <c r="A323">
        <f>SUBTOTAL(3,$B$6:B323)</f>
        <v>65</v>
      </c>
    </row>
    <row r="324" spans="1:1" x14ac:dyDescent="0.2">
      <c r="A324">
        <f>SUBTOTAL(3,$B$6:B324)</f>
        <v>65</v>
      </c>
    </row>
    <row r="325" spans="1:1" x14ac:dyDescent="0.2">
      <c r="A325">
        <f>SUBTOTAL(3,$B$6:B325)</f>
        <v>65</v>
      </c>
    </row>
    <row r="326" spans="1:1" x14ac:dyDescent="0.2">
      <c r="A326">
        <f>SUBTOTAL(3,$B$6:B326)</f>
        <v>65</v>
      </c>
    </row>
    <row r="327" spans="1:1" x14ac:dyDescent="0.2">
      <c r="A327">
        <f>SUBTOTAL(3,$B$6:B327)</f>
        <v>65</v>
      </c>
    </row>
    <row r="328" spans="1:1" x14ac:dyDescent="0.2">
      <c r="A328">
        <f>SUBTOTAL(3,$B$6:B328)</f>
        <v>65</v>
      </c>
    </row>
    <row r="329" spans="1:1" x14ac:dyDescent="0.2">
      <c r="A329">
        <f>SUBTOTAL(3,$B$6:B329)</f>
        <v>65</v>
      </c>
    </row>
    <row r="330" spans="1:1" x14ac:dyDescent="0.2">
      <c r="A330">
        <f>SUBTOTAL(3,$B$6:B330)</f>
        <v>65</v>
      </c>
    </row>
    <row r="331" spans="1:1" x14ac:dyDescent="0.2">
      <c r="A331">
        <f>SUBTOTAL(3,$B$6:B331)</f>
        <v>65</v>
      </c>
    </row>
    <row r="332" spans="1:1" x14ac:dyDescent="0.2">
      <c r="A332">
        <f>SUBTOTAL(3,$B$6:B332)</f>
        <v>65</v>
      </c>
    </row>
    <row r="333" spans="1:1" x14ac:dyDescent="0.2">
      <c r="A333">
        <f>SUBTOTAL(3,$B$6:B333)</f>
        <v>65</v>
      </c>
    </row>
    <row r="334" spans="1:1" x14ac:dyDescent="0.2">
      <c r="A334">
        <f>SUBTOTAL(3,$B$6:B334)</f>
        <v>65</v>
      </c>
    </row>
    <row r="335" spans="1:1" x14ac:dyDescent="0.2">
      <c r="A335">
        <f>SUBTOTAL(3,$B$6:B335)</f>
        <v>65</v>
      </c>
    </row>
    <row r="336" spans="1:1" x14ac:dyDescent="0.2">
      <c r="A336">
        <f>SUBTOTAL(3,$B$6:B336)</f>
        <v>65</v>
      </c>
    </row>
    <row r="337" spans="1:1" x14ac:dyDescent="0.2">
      <c r="A337">
        <f>SUBTOTAL(3,$B$6:B337)</f>
        <v>65</v>
      </c>
    </row>
    <row r="338" spans="1:1" x14ac:dyDescent="0.2">
      <c r="A338">
        <f>SUBTOTAL(3,$B$6:B338)</f>
        <v>65</v>
      </c>
    </row>
    <row r="339" spans="1:1" x14ac:dyDescent="0.2">
      <c r="A339">
        <f>SUBTOTAL(3,$B$6:B339)</f>
        <v>65</v>
      </c>
    </row>
    <row r="340" spans="1:1" x14ac:dyDescent="0.2">
      <c r="A340">
        <f>SUBTOTAL(3,$B$6:B340)</f>
        <v>65</v>
      </c>
    </row>
    <row r="341" spans="1:1" x14ac:dyDescent="0.2">
      <c r="A341">
        <f>SUBTOTAL(3,$B$6:B341)</f>
        <v>65</v>
      </c>
    </row>
    <row r="342" spans="1:1" x14ac:dyDescent="0.2">
      <c r="A342">
        <f>SUBTOTAL(3,$B$6:B342)</f>
        <v>65</v>
      </c>
    </row>
    <row r="343" spans="1:1" x14ac:dyDescent="0.2">
      <c r="A343">
        <f>SUBTOTAL(3,$B$6:B343)</f>
        <v>65</v>
      </c>
    </row>
    <row r="344" spans="1:1" x14ac:dyDescent="0.2">
      <c r="A344">
        <f>SUBTOTAL(3,$B$6:B344)</f>
        <v>65</v>
      </c>
    </row>
    <row r="345" spans="1:1" x14ac:dyDescent="0.2">
      <c r="A345">
        <f>SUBTOTAL(3,$B$6:B345)</f>
        <v>65</v>
      </c>
    </row>
    <row r="346" spans="1:1" x14ac:dyDescent="0.2">
      <c r="A346">
        <f>SUBTOTAL(3,$B$6:B346)</f>
        <v>65</v>
      </c>
    </row>
    <row r="347" spans="1:1" x14ac:dyDescent="0.2">
      <c r="A347">
        <f>SUBTOTAL(3,$B$6:B347)</f>
        <v>65</v>
      </c>
    </row>
    <row r="348" spans="1:1" x14ac:dyDescent="0.2">
      <c r="A348">
        <f>SUBTOTAL(3,$B$6:B348)</f>
        <v>65</v>
      </c>
    </row>
    <row r="349" spans="1:1" x14ac:dyDescent="0.2">
      <c r="A349">
        <f>SUBTOTAL(3,$B$6:B349)</f>
        <v>65</v>
      </c>
    </row>
    <row r="350" spans="1:1" x14ac:dyDescent="0.2">
      <c r="A350">
        <f>SUBTOTAL(3,$B$6:B350)</f>
        <v>65</v>
      </c>
    </row>
    <row r="351" spans="1:1" x14ac:dyDescent="0.2">
      <c r="A351">
        <f>SUBTOTAL(3,$B$6:B351)</f>
        <v>65</v>
      </c>
    </row>
    <row r="352" spans="1:1" x14ac:dyDescent="0.2">
      <c r="A352">
        <f>SUBTOTAL(3,$B$6:B352)</f>
        <v>65</v>
      </c>
    </row>
    <row r="353" spans="1:1" x14ac:dyDescent="0.2">
      <c r="A353">
        <f>SUBTOTAL(3,$B$6:B353)</f>
        <v>65</v>
      </c>
    </row>
    <row r="354" spans="1:1" x14ac:dyDescent="0.2">
      <c r="A354">
        <f>SUBTOTAL(3,$B$6:B354)</f>
        <v>65</v>
      </c>
    </row>
    <row r="355" spans="1:1" x14ac:dyDescent="0.2">
      <c r="A355">
        <f>SUBTOTAL(3,$B$6:B355)</f>
        <v>65</v>
      </c>
    </row>
    <row r="356" spans="1:1" x14ac:dyDescent="0.2">
      <c r="A356">
        <f>SUBTOTAL(3,$B$6:B356)</f>
        <v>65</v>
      </c>
    </row>
    <row r="357" spans="1:1" x14ac:dyDescent="0.2">
      <c r="A357">
        <f>SUBTOTAL(3,$B$6:B357)</f>
        <v>65</v>
      </c>
    </row>
    <row r="358" spans="1:1" x14ac:dyDescent="0.2">
      <c r="A358">
        <f>SUBTOTAL(3,$B$6:B358)</f>
        <v>65</v>
      </c>
    </row>
    <row r="359" spans="1:1" x14ac:dyDescent="0.2">
      <c r="A359">
        <f>SUBTOTAL(3,$B$6:B359)</f>
        <v>65</v>
      </c>
    </row>
    <row r="360" spans="1:1" x14ac:dyDescent="0.2">
      <c r="A360">
        <f>SUBTOTAL(3,$B$6:B360)</f>
        <v>65</v>
      </c>
    </row>
    <row r="361" spans="1:1" x14ac:dyDescent="0.2">
      <c r="A361">
        <f>SUBTOTAL(3,$B$6:B361)</f>
        <v>65</v>
      </c>
    </row>
    <row r="362" spans="1:1" x14ac:dyDescent="0.2">
      <c r="A362">
        <f>SUBTOTAL(3,$B$6:B362)</f>
        <v>65</v>
      </c>
    </row>
    <row r="363" spans="1:1" x14ac:dyDescent="0.2">
      <c r="A363">
        <f>SUBTOTAL(3,$B$6:B363)</f>
        <v>65</v>
      </c>
    </row>
    <row r="364" spans="1:1" x14ac:dyDescent="0.2">
      <c r="A364">
        <f>SUBTOTAL(3,$B$6:B364)</f>
        <v>65</v>
      </c>
    </row>
    <row r="365" spans="1:1" x14ac:dyDescent="0.2">
      <c r="A365">
        <f>SUBTOTAL(3,$B$6:B365)</f>
        <v>65</v>
      </c>
    </row>
    <row r="366" spans="1:1" x14ac:dyDescent="0.2">
      <c r="A366">
        <f>SUBTOTAL(3,$B$6:B366)</f>
        <v>65</v>
      </c>
    </row>
    <row r="367" spans="1:1" x14ac:dyDescent="0.2">
      <c r="A367">
        <f>SUBTOTAL(3,$B$6:B367)</f>
        <v>65</v>
      </c>
    </row>
    <row r="368" spans="1:1" x14ac:dyDescent="0.2">
      <c r="A368">
        <f>SUBTOTAL(3,$B$6:B368)</f>
        <v>65</v>
      </c>
    </row>
    <row r="369" spans="1:1" x14ac:dyDescent="0.2">
      <c r="A369">
        <f>SUBTOTAL(3,$B$6:B369)</f>
        <v>65</v>
      </c>
    </row>
    <row r="370" spans="1:1" x14ac:dyDescent="0.2">
      <c r="A370">
        <f>SUBTOTAL(3,$B$6:B370)</f>
        <v>65</v>
      </c>
    </row>
    <row r="371" spans="1:1" x14ac:dyDescent="0.2">
      <c r="A371">
        <f>SUBTOTAL(3,$B$6:B371)</f>
        <v>65</v>
      </c>
    </row>
    <row r="372" spans="1:1" x14ac:dyDescent="0.2">
      <c r="A372">
        <f>SUBTOTAL(3,$B$6:B372)</f>
        <v>65</v>
      </c>
    </row>
    <row r="373" spans="1:1" x14ac:dyDescent="0.2">
      <c r="A373">
        <f>SUBTOTAL(3,$B$6:B373)</f>
        <v>65</v>
      </c>
    </row>
    <row r="374" spans="1:1" x14ac:dyDescent="0.2">
      <c r="A374">
        <f>SUBTOTAL(3,$B$6:B374)</f>
        <v>65</v>
      </c>
    </row>
    <row r="375" spans="1:1" x14ac:dyDescent="0.2">
      <c r="A375">
        <f>SUBTOTAL(3,$B$6:B375)</f>
        <v>65</v>
      </c>
    </row>
    <row r="376" spans="1:1" x14ac:dyDescent="0.2">
      <c r="A376">
        <f>SUBTOTAL(3,$B$6:B376)</f>
        <v>65</v>
      </c>
    </row>
    <row r="377" spans="1:1" x14ac:dyDescent="0.2">
      <c r="A377">
        <f>SUBTOTAL(3,$B$6:B377)</f>
        <v>65</v>
      </c>
    </row>
    <row r="378" spans="1:1" x14ac:dyDescent="0.2">
      <c r="A378">
        <f>SUBTOTAL(3,$B$6:B378)</f>
        <v>65</v>
      </c>
    </row>
    <row r="379" spans="1:1" x14ac:dyDescent="0.2">
      <c r="A379">
        <f>SUBTOTAL(3,$B$6:B379)</f>
        <v>65</v>
      </c>
    </row>
    <row r="380" spans="1:1" x14ac:dyDescent="0.2">
      <c r="A380">
        <f>SUBTOTAL(3,$B$6:B380)</f>
        <v>65</v>
      </c>
    </row>
    <row r="381" spans="1:1" x14ac:dyDescent="0.2">
      <c r="A381">
        <f>SUBTOTAL(3,$B$6:B381)</f>
        <v>65</v>
      </c>
    </row>
    <row r="382" spans="1:1" x14ac:dyDescent="0.2">
      <c r="A382">
        <f>SUBTOTAL(3,$B$6:B382)</f>
        <v>65</v>
      </c>
    </row>
    <row r="383" spans="1:1" x14ac:dyDescent="0.2">
      <c r="A383">
        <f>SUBTOTAL(3,$B$6:B383)</f>
        <v>65</v>
      </c>
    </row>
    <row r="384" spans="1:1" x14ac:dyDescent="0.2">
      <c r="A384">
        <f>SUBTOTAL(3,$B$6:B384)</f>
        <v>65</v>
      </c>
    </row>
    <row r="385" spans="1:1" x14ac:dyDescent="0.2">
      <c r="A385">
        <f>SUBTOTAL(3,$B$6:B385)</f>
        <v>65</v>
      </c>
    </row>
    <row r="386" spans="1:1" x14ac:dyDescent="0.2">
      <c r="A386">
        <f>SUBTOTAL(3,$B$6:B386)</f>
        <v>65</v>
      </c>
    </row>
    <row r="387" spans="1:1" x14ac:dyDescent="0.2">
      <c r="A387">
        <f>SUBTOTAL(3,$B$6:B387)</f>
        <v>65</v>
      </c>
    </row>
    <row r="388" spans="1:1" x14ac:dyDescent="0.2">
      <c r="A388">
        <f>SUBTOTAL(3,$B$6:B388)</f>
        <v>65</v>
      </c>
    </row>
    <row r="389" spans="1:1" x14ac:dyDescent="0.2">
      <c r="A389">
        <f>SUBTOTAL(3,$B$6:B389)</f>
        <v>65</v>
      </c>
    </row>
    <row r="390" spans="1:1" x14ac:dyDescent="0.2">
      <c r="A390">
        <f>SUBTOTAL(3,$B$6:B390)</f>
        <v>65</v>
      </c>
    </row>
    <row r="391" spans="1:1" x14ac:dyDescent="0.2">
      <c r="A391">
        <f>SUBTOTAL(3,$B$6:B391)</f>
        <v>65</v>
      </c>
    </row>
    <row r="392" spans="1:1" x14ac:dyDescent="0.2">
      <c r="A392">
        <f>SUBTOTAL(3,$B$6:B392)</f>
        <v>65</v>
      </c>
    </row>
    <row r="393" spans="1:1" x14ac:dyDescent="0.2">
      <c r="A393">
        <f>SUBTOTAL(3,$B$6:B393)</f>
        <v>65</v>
      </c>
    </row>
    <row r="394" spans="1:1" x14ac:dyDescent="0.2">
      <c r="A394">
        <f>SUBTOTAL(3,$B$6:B394)</f>
        <v>65</v>
      </c>
    </row>
    <row r="395" spans="1:1" x14ac:dyDescent="0.2">
      <c r="A395">
        <f>SUBTOTAL(3,$B$6:B395)</f>
        <v>65</v>
      </c>
    </row>
    <row r="396" spans="1:1" x14ac:dyDescent="0.2">
      <c r="A396">
        <f>SUBTOTAL(3,$B$6:B396)</f>
        <v>65</v>
      </c>
    </row>
    <row r="397" spans="1:1" x14ac:dyDescent="0.2">
      <c r="A397">
        <f>SUBTOTAL(3,$B$6:B397)</f>
        <v>65</v>
      </c>
    </row>
    <row r="398" spans="1:1" x14ac:dyDescent="0.2">
      <c r="A398">
        <f>SUBTOTAL(3,$B$6:B398)</f>
        <v>65</v>
      </c>
    </row>
    <row r="399" spans="1:1" x14ac:dyDescent="0.2">
      <c r="A399">
        <f>SUBTOTAL(3,$B$6:B399)</f>
        <v>65</v>
      </c>
    </row>
    <row r="400" spans="1:1" x14ac:dyDescent="0.2">
      <c r="A400">
        <f>SUBTOTAL(3,$B$6:B400)</f>
        <v>65</v>
      </c>
    </row>
    <row r="401" spans="1:1" x14ac:dyDescent="0.2">
      <c r="A401">
        <f>SUBTOTAL(3,$B$6:B401)</f>
        <v>65</v>
      </c>
    </row>
    <row r="402" spans="1:1" x14ac:dyDescent="0.2">
      <c r="A402">
        <f>SUBTOTAL(3,$B$6:B402)</f>
        <v>65</v>
      </c>
    </row>
    <row r="403" spans="1:1" x14ac:dyDescent="0.2">
      <c r="A403">
        <f>SUBTOTAL(3,$B$6:B403)</f>
        <v>65</v>
      </c>
    </row>
    <row r="404" spans="1:1" x14ac:dyDescent="0.2">
      <c r="A404">
        <f>SUBTOTAL(3,$B$6:B404)</f>
        <v>65</v>
      </c>
    </row>
    <row r="405" spans="1:1" x14ac:dyDescent="0.2">
      <c r="A405">
        <f>SUBTOTAL(3,$B$6:B405)</f>
        <v>65</v>
      </c>
    </row>
    <row r="406" spans="1:1" x14ac:dyDescent="0.2">
      <c r="A406">
        <f>SUBTOTAL(3,$B$6:B406)</f>
        <v>65</v>
      </c>
    </row>
    <row r="407" spans="1:1" x14ac:dyDescent="0.2">
      <c r="A407">
        <f>SUBTOTAL(3,$B$6:B407)</f>
        <v>65</v>
      </c>
    </row>
    <row r="408" spans="1:1" x14ac:dyDescent="0.2">
      <c r="A408">
        <f>SUBTOTAL(3,$B$6:B408)</f>
        <v>65</v>
      </c>
    </row>
    <row r="409" spans="1:1" x14ac:dyDescent="0.2">
      <c r="A409">
        <f>SUBTOTAL(3,$B$6:B409)</f>
        <v>65</v>
      </c>
    </row>
    <row r="410" spans="1:1" x14ac:dyDescent="0.2">
      <c r="A410">
        <f>SUBTOTAL(3,$B$6:B410)</f>
        <v>65</v>
      </c>
    </row>
    <row r="411" spans="1:1" x14ac:dyDescent="0.2">
      <c r="A411">
        <f>SUBTOTAL(3,$B$6:B411)</f>
        <v>65</v>
      </c>
    </row>
    <row r="412" spans="1:1" x14ac:dyDescent="0.2">
      <c r="A412">
        <f>SUBTOTAL(3,$B$6:B412)</f>
        <v>65</v>
      </c>
    </row>
    <row r="413" spans="1:1" x14ac:dyDescent="0.2">
      <c r="A413">
        <f>SUBTOTAL(3,$B$6:B413)</f>
        <v>65</v>
      </c>
    </row>
    <row r="414" spans="1:1" x14ac:dyDescent="0.2">
      <c r="A414">
        <f>SUBTOTAL(3,$B$6:B414)</f>
        <v>65</v>
      </c>
    </row>
    <row r="415" spans="1:1" x14ac:dyDescent="0.2">
      <c r="A415">
        <f>SUBTOTAL(3,$B$6:B415)</f>
        <v>65</v>
      </c>
    </row>
    <row r="416" spans="1:1" x14ac:dyDescent="0.2">
      <c r="A416">
        <f>SUBTOTAL(3,$B$6:B416)</f>
        <v>65</v>
      </c>
    </row>
    <row r="417" spans="1:1" x14ac:dyDescent="0.2">
      <c r="A417">
        <f>SUBTOTAL(3,$B$6:B417)</f>
        <v>65</v>
      </c>
    </row>
    <row r="418" spans="1:1" x14ac:dyDescent="0.2">
      <c r="A418">
        <f>SUBTOTAL(3,$B$6:B418)</f>
        <v>65</v>
      </c>
    </row>
    <row r="419" spans="1:1" x14ac:dyDescent="0.2">
      <c r="A419">
        <f>SUBTOTAL(3,$B$6:B419)</f>
        <v>65</v>
      </c>
    </row>
    <row r="420" spans="1:1" x14ac:dyDescent="0.2">
      <c r="A420">
        <f>SUBTOTAL(3,$B$6:B420)</f>
        <v>65</v>
      </c>
    </row>
    <row r="421" spans="1:1" x14ac:dyDescent="0.2">
      <c r="A421">
        <f>SUBTOTAL(3,$B$6:B421)</f>
        <v>65</v>
      </c>
    </row>
    <row r="422" spans="1:1" x14ac:dyDescent="0.2">
      <c r="A422">
        <f>SUBTOTAL(3,$B$6:B422)</f>
        <v>65</v>
      </c>
    </row>
    <row r="423" spans="1:1" x14ac:dyDescent="0.2">
      <c r="A423">
        <f>SUBTOTAL(3,$B$6:B423)</f>
        <v>65</v>
      </c>
    </row>
    <row r="424" spans="1:1" x14ac:dyDescent="0.2">
      <c r="A424">
        <f>SUBTOTAL(3,$B$6:B424)</f>
        <v>65</v>
      </c>
    </row>
    <row r="425" spans="1:1" x14ac:dyDescent="0.2">
      <c r="A425">
        <f>SUBTOTAL(3,$B$6:B425)</f>
        <v>65</v>
      </c>
    </row>
    <row r="426" spans="1:1" x14ac:dyDescent="0.2">
      <c r="A426">
        <f>SUBTOTAL(3,$B$6:B426)</f>
        <v>65</v>
      </c>
    </row>
    <row r="427" spans="1:1" x14ac:dyDescent="0.2">
      <c r="A427">
        <f>SUBTOTAL(3,$B$6:B427)</f>
        <v>65</v>
      </c>
    </row>
    <row r="428" spans="1:1" x14ac:dyDescent="0.2">
      <c r="A428">
        <f>SUBTOTAL(3,$B$6:B428)</f>
        <v>65</v>
      </c>
    </row>
    <row r="429" spans="1:1" x14ac:dyDescent="0.2">
      <c r="A429">
        <f>SUBTOTAL(3,$B$6:B429)</f>
        <v>65</v>
      </c>
    </row>
    <row r="430" spans="1:1" x14ac:dyDescent="0.2">
      <c r="A430">
        <f>SUBTOTAL(3,$B$6:B430)</f>
        <v>65</v>
      </c>
    </row>
    <row r="431" spans="1:1" x14ac:dyDescent="0.2">
      <c r="A431">
        <f>SUBTOTAL(3,$B$6:B431)</f>
        <v>65</v>
      </c>
    </row>
    <row r="432" spans="1:1" x14ac:dyDescent="0.2">
      <c r="A432">
        <f>SUBTOTAL(3,$B$6:B432)</f>
        <v>65</v>
      </c>
    </row>
    <row r="433" spans="1:1" x14ac:dyDescent="0.2">
      <c r="A433">
        <f>SUBTOTAL(3,$B$6:B433)</f>
        <v>65</v>
      </c>
    </row>
    <row r="434" spans="1:1" x14ac:dyDescent="0.2">
      <c r="A434">
        <f>SUBTOTAL(3,$B$6:B434)</f>
        <v>65</v>
      </c>
    </row>
    <row r="435" spans="1:1" x14ac:dyDescent="0.2">
      <c r="A435">
        <f>SUBTOTAL(3,$B$6:B435)</f>
        <v>65</v>
      </c>
    </row>
    <row r="436" spans="1:1" x14ac:dyDescent="0.2">
      <c r="A436">
        <f>SUBTOTAL(3,$B$6:B436)</f>
        <v>65</v>
      </c>
    </row>
    <row r="437" spans="1:1" x14ac:dyDescent="0.2">
      <c r="A437">
        <f>SUBTOTAL(3,$B$6:B437)</f>
        <v>65</v>
      </c>
    </row>
    <row r="438" spans="1:1" x14ac:dyDescent="0.2">
      <c r="A438">
        <f>SUBTOTAL(3,$B$6:B438)</f>
        <v>65</v>
      </c>
    </row>
    <row r="439" spans="1:1" x14ac:dyDescent="0.2">
      <c r="A439">
        <f>SUBTOTAL(3,$B$6:B439)</f>
        <v>65</v>
      </c>
    </row>
    <row r="440" spans="1:1" x14ac:dyDescent="0.2">
      <c r="A440">
        <f>SUBTOTAL(3,$B$6:B440)</f>
        <v>65</v>
      </c>
    </row>
    <row r="441" spans="1:1" x14ac:dyDescent="0.2">
      <c r="A441">
        <f>SUBTOTAL(3,$B$6:B441)</f>
        <v>65</v>
      </c>
    </row>
    <row r="442" spans="1:1" x14ac:dyDescent="0.2">
      <c r="A442">
        <f>SUBTOTAL(3,$B$6:B442)</f>
        <v>65</v>
      </c>
    </row>
    <row r="443" spans="1:1" x14ac:dyDescent="0.2">
      <c r="A443">
        <f>SUBTOTAL(3,$B$6:B443)</f>
        <v>65</v>
      </c>
    </row>
    <row r="444" spans="1:1" x14ac:dyDescent="0.2">
      <c r="A444">
        <f>SUBTOTAL(3,$B$6:B444)</f>
        <v>65</v>
      </c>
    </row>
    <row r="445" spans="1:1" x14ac:dyDescent="0.2">
      <c r="A445">
        <f>SUBTOTAL(3,$B$6:B445)</f>
        <v>65</v>
      </c>
    </row>
    <row r="446" spans="1:1" x14ac:dyDescent="0.2">
      <c r="A446">
        <f>SUBTOTAL(3,$B$6:B446)</f>
        <v>65</v>
      </c>
    </row>
    <row r="447" spans="1:1" x14ac:dyDescent="0.2">
      <c r="A447">
        <f>SUBTOTAL(3,$B$6:B447)</f>
        <v>65</v>
      </c>
    </row>
    <row r="448" spans="1:1" x14ac:dyDescent="0.2">
      <c r="A448">
        <f>SUBTOTAL(3,$B$6:B448)</f>
        <v>65</v>
      </c>
    </row>
    <row r="449" spans="1:1" x14ac:dyDescent="0.2">
      <c r="A449">
        <f>SUBTOTAL(3,$B$6:B449)</f>
        <v>65</v>
      </c>
    </row>
    <row r="450" spans="1:1" x14ac:dyDescent="0.2">
      <c r="A450">
        <f>SUBTOTAL(3,$B$6:B450)</f>
        <v>65</v>
      </c>
    </row>
    <row r="451" spans="1:1" x14ac:dyDescent="0.2">
      <c r="A451">
        <f>SUBTOTAL(3,$B$6:B451)</f>
        <v>65</v>
      </c>
    </row>
    <row r="452" spans="1:1" x14ac:dyDescent="0.2">
      <c r="A452">
        <f>SUBTOTAL(3,$B$6:B452)</f>
        <v>65</v>
      </c>
    </row>
    <row r="453" spans="1:1" x14ac:dyDescent="0.2">
      <c r="A453">
        <f>SUBTOTAL(3,$B$6:B453)</f>
        <v>65</v>
      </c>
    </row>
    <row r="454" spans="1:1" x14ac:dyDescent="0.2">
      <c r="A454">
        <f>SUBTOTAL(3,$B$6:B454)</f>
        <v>65</v>
      </c>
    </row>
    <row r="455" spans="1:1" x14ac:dyDescent="0.2">
      <c r="A455">
        <f>SUBTOTAL(3,$B$6:B455)</f>
        <v>65</v>
      </c>
    </row>
    <row r="456" spans="1:1" x14ac:dyDescent="0.2">
      <c r="A456">
        <f>SUBTOTAL(3,$B$6:B456)</f>
        <v>65</v>
      </c>
    </row>
    <row r="457" spans="1:1" x14ac:dyDescent="0.2">
      <c r="A457">
        <f>SUBTOTAL(3,$B$6:B457)</f>
        <v>65</v>
      </c>
    </row>
    <row r="458" spans="1:1" x14ac:dyDescent="0.2">
      <c r="A458">
        <f>SUBTOTAL(3,$B$6:B458)</f>
        <v>65</v>
      </c>
    </row>
    <row r="459" spans="1:1" x14ac:dyDescent="0.2">
      <c r="A459">
        <f>SUBTOTAL(3,$B$6:B459)</f>
        <v>65</v>
      </c>
    </row>
    <row r="460" spans="1:1" x14ac:dyDescent="0.2">
      <c r="A460">
        <f>SUBTOTAL(3,$B$6:B460)</f>
        <v>65</v>
      </c>
    </row>
    <row r="461" spans="1:1" x14ac:dyDescent="0.2">
      <c r="A461">
        <f>SUBTOTAL(3,$B$6:B461)</f>
        <v>65</v>
      </c>
    </row>
    <row r="462" spans="1:1" x14ac:dyDescent="0.2">
      <c r="A462">
        <f>SUBTOTAL(3,$B$6:B462)</f>
        <v>65</v>
      </c>
    </row>
    <row r="463" spans="1:1" x14ac:dyDescent="0.2">
      <c r="A463">
        <f>SUBTOTAL(3,$B$6:B463)</f>
        <v>65</v>
      </c>
    </row>
    <row r="464" spans="1:1" x14ac:dyDescent="0.2">
      <c r="A464">
        <f>SUBTOTAL(3,$B$6:B464)</f>
        <v>65</v>
      </c>
    </row>
    <row r="465" spans="1:1" x14ac:dyDescent="0.2">
      <c r="A465">
        <f>SUBTOTAL(3,$B$6:B465)</f>
        <v>65</v>
      </c>
    </row>
    <row r="466" spans="1:1" x14ac:dyDescent="0.2">
      <c r="A466">
        <f>SUBTOTAL(3,$B$6:B466)</f>
        <v>65</v>
      </c>
    </row>
    <row r="467" spans="1:1" x14ac:dyDescent="0.2">
      <c r="A467">
        <f>SUBTOTAL(3,$B$6:B467)</f>
        <v>65</v>
      </c>
    </row>
    <row r="468" spans="1:1" x14ac:dyDescent="0.2">
      <c r="A468">
        <f>SUBTOTAL(3,$B$6:B468)</f>
        <v>65</v>
      </c>
    </row>
    <row r="469" spans="1:1" x14ac:dyDescent="0.2">
      <c r="A469">
        <f>SUBTOTAL(3,$B$6:B469)</f>
        <v>65</v>
      </c>
    </row>
    <row r="470" spans="1:1" x14ac:dyDescent="0.2">
      <c r="A470">
        <f>SUBTOTAL(3,$B$6:B470)</f>
        <v>65</v>
      </c>
    </row>
    <row r="471" spans="1:1" x14ac:dyDescent="0.2">
      <c r="A471">
        <f>SUBTOTAL(3,$B$6:B471)</f>
        <v>65</v>
      </c>
    </row>
    <row r="472" spans="1:1" x14ac:dyDescent="0.2">
      <c r="A472">
        <f>SUBTOTAL(3,$B$6:B472)</f>
        <v>65</v>
      </c>
    </row>
    <row r="473" spans="1:1" x14ac:dyDescent="0.2">
      <c r="A473">
        <f>SUBTOTAL(3,$B$6:B473)</f>
        <v>65</v>
      </c>
    </row>
    <row r="474" spans="1:1" x14ac:dyDescent="0.2">
      <c r="A474">
        <f>SUBTOTAL(3,$B$6:B474)</f>
        <v>65</v>
      </c>
    </row>
    <row r="475" spans="1:1" x14ac:dyDescent="0.2">
      <c r="A475">
        <f>SUBTOTAL(3,$B$6:B475)</f>
        <v>65</v>
      </c>
    </row>
    <row r="476" spans="1:1" x14ac:dyDescent="0.2">
      <c r="A476">
        <f>SUBTOTAL(3,$B$6:B476)</f>
        <v>65</v>
      </c>
    </row>
    <row r="477" spans="1:1" x14ac:dyDescent="0.2">
      <c r="A477">
        <f>SUBTOTAL(3,$B$6:B477)</f>
        <v>65</v>
      </c>
    </row>
    <row r="478" spans="1:1" x14ac:dyDescent="0.2">
      <c r="A478">
        <f>SUBTOTAL(3,$B$6:B478)</f>
        <v>65</v>
      </c>
    </row>
    <row r="479" spans="1:1" x14ac:dyDescent="0.2">
      <c r="A479">
        <f>SUBTOTAL(3,$B$6:B479)</f>
        <v>65</v>
      </c>
    </row>
    <row r="480" spans="1:1" x14ac:dyDescent="0.2">
      <c r="A480">
        <f>SUBTOTAL(3,$B$6:B480)</f>
        <v>65</v>
      </c>
    </row>
    <row r="481" spans="1:1" x14ac:dyDescent="0.2">
      <c r="A481">
        <f>SUBTOTAL(3,$B$6:B481)</f>
        <v>65</v>
      </c>
    </row>
    <row r="482" spans="1:1" x14ac:dyDescent="0.2">
      <c r="A482">
        <f>SUBTOTAL(3,$B$6:B482)</f>
        <v>65</v>
      </c>
    </row>
    <row r="483" spans="1:1" x14ac:dyDescent="0.2">
      <c r="A483">
        <f>SUBTOTAL(3,$B$6:B483)</f>
        <v>65</v>
      </c>
    </row>
    <row r="484" spans="1:1" x14ac:dyDescent="0.2">
      <c r="A484">
        <f>SUBTOTAL(3,$B$6:B484)</f>
        <v>65</v>
      </c>
    </row>
    <row r="485" spans="1:1" x14ac:dyDescent="0.2">
      <c r="A485">
        <f>SUBTOTAL(3,$B$6:B485)</f>
        <v>65</v>
      </c>
    </row>
    <row r="486" spans="1:1" x14ac:dyDescent="0.2">
      <c r="A486">
        <f>SUBTOTAL(3,$B$6:B486)</f>
        <v>65</v>
      </c>
    </row>
    <row r="487" spans="1:1" x14ac:dyDescent="0.2">
      <c r="A487">
        <f>SUBTOTAL(3,$B$6:B487)</f>
        <v>65</v>
      </c>
    </row>
    <row r="488" spans="1:1" x14ac:dyDescent="0.2">
      <c r="A488">
        <f>SUBTOTAL(3,$B$6:B488)</f>
        <v>65</v>
      </c>
    </row>
    <row r="489" spans="1:1" x14ac:dyDescent="0.2">
      <c r="A489">
        <f>SUBTOTAL(3,$B$6:B489)</f>
        <v>65</v>
      </c>
    </row>
    <row r="490" spans="1:1" x14ac:dyDescent="0.2">
      <c r="A490">
        <f>SUBTOTAL(3,$B$6:B490)</f>
        <v>65</v>
      </c>
    </row>
    <row r="491" spans="1:1" x14ac:dyDescent="0.2">
      <c r="A491">
        <f>SUBTOTAL(3,$B$6:B491)</f>
        <v>65</v>
      </c>
    </row>
    <row r="492" spans="1:1" x14ac:dyDescent="0.2">
      <c r="A492">
        <f>SUBTOTAL(3,$B$6:B492)</f>
        <v>65</v>
      </c>
    </row>
    <row r="493" spans="1:1" x14ac:dyDescent="0.2">
      <c r="A493">
        <f>SUBTOTAL(3,$B$6:B493)</f>
        <v>65</v>
      </c>
    </row>
    <row r="494" spans="1:1" x14ac:dyDescent="0.2">
      <c r="A494">
        <f>SUBTOTAL(3,$B$6:B494)</f>
        <v>65</v>
      </c>
    </row>
    <row r="495" spans="1:1" x14ac:dyDescent="0.2">
      <c r="A495">
        <f>SUBTOTAL(3,$B$6:B495)</f>
        <v>65</v>
      </c>
    </row>
    <row r="496" spans="1:1" x14ac:dyDescent="0.2">
      <c r="A496">
        <f>SUBTOTAL(3,$B$6:B496)</f>
        <v>65</v>
      </c>
    </row>
    <row r="497" spans="1:1" x14ac:dyDescent="0.2">
      <c r="A497">
        <f>SUBTOTAL(3,$B$6:B497)</f>
        <v>65</v>
      </c>
    </row>
    <row r="498" spans="1:1" x14ac:dyDescent="0.2">
      <c r="A498">
        <f>SUBTOTAL(3,$B$6:B498)</f>
        <v>65</v>
      </c>
    </row>
    <row r="499" spans="1:1" x14ac:dyDescent="0.2">
      <c r="A499">
        <f>SUBTOTAL(3,$B$6:B499)</f>
        <v>65</v>
      </c>
    </row>
    <row r="500" spans="1:1" x14ac:dyDescent="0.2">
      <c r="A500">
        <f>SUBTOTAL(3,$B$6:B500)</f>
        <v>65</v>
      </c>
    </row>
    <row r="501" spans="1:1" x14ac:dyDescent="0.2">
      <c r="A501">
        <f>SUBTOTAL(3,$B$6:B501)</f>
        <v>65</v>
      </c>
    </row>
    <row r="502" spans="1:1" x14ac:dyDescent="0.2">
      <c r="A502">
        <f>SUBTOTAL(3,$B$6:B502)</f>
        <v>65</v>
      </c>
    </row>
    <row r="503" spans="1:1" x14ac:dyDescent="0.2">
      <c r="A503">
        <f>SUBTOTAL(3,$B$6:B503)</f>
        <v>65</v>
      </c>
    </row>
    <row r="504" spans="1:1" x14ac:dyDescent="0.2">
      <c r="A504">
        <f>SUBTOTAL(3,$B$6:B504)</f>
        <v>65</v>
      </c>
    </row>
    <row r="505" spans="1:1" x14ac:dyDescent="0.2">
      <c r="A505">
        <f>SUBTOTAL(3,$B$6:B505)</f>
        <v>65</v>
      </c>
    </row>
    <row r="506" spans="1:1" x14ac:dyDescent="0.2">
      <c r="A506">
        <f>SUBTOTAL(3,$B$6:B506)</f>
        <v>65</v>
      </c>
    </row>
    <row r="507" spans="1:1" x14ac:dyDescent="0.2">
      <c r="A507">
        <f>SUBTOTAL(3,$B$6:B507)</f>
        <v>65</v>
      </c>
    </row>
    <row r="508" spans="1:1" x14ac:dyDescent="0.2">
      <c r="A508">
        <f>SUBTOTAL(3,$B$6:B508)</f>
        <v>65</v>
      </c>
    </row>
    <row r="509" spans="1:1" x14ac:dyDescent="0.2">
      <c r="A509">
        <f>SUBTOTAL(3,$B$6:B509)</f>
        <v>65</v>
      </c>
    </row>
    <row r="510" spans="1:1" x14ac:dyDescent="0.2">
      <c r="A510">
        <f>SUBTOTAL(3,$B$6:B510)</f>
        <v>65</v>
      </c>
    </row>
    <row r="511" spans="1:1" x14ac:dyDescent="0.2">
      <c r="A511">
        <f>SUBTOTAL(3,$B$6:B511)</f>
        <v>65</v>
      </c>
    </row>
    <row r="512" spans="1:1" x14ac:dyDescent="0.2">
      <c r="A512">
        <f>SUBTOTAL(3,$B$6:B512)</f>
        <v>65</v>
      </c>
    </row>
    <row r="513" spans="1:1" x14ac:dyDescent="0.2">
      <c r="A513">
        <f>SUBTOTAL(3,$B$6:B513)</f>
        <v>65</v>
      </c>
    </row>
    <row r="514" spans="1:1" x14ac:dyDescent="0.2">
      <c r="A514">
        <f>SUBTOTAL(3,$B$6:B514)</f>
        <v>65</v>
      </c>
    </row>
    <row r="515" spans="1:1" x14ac:dyDescent="0.2">
      <c r="A515">
        <f>SUBTOTAL(3,$B$6:B515)</f>
        <v>65</v>
      </c>
    </row>
    <row r="516" spans="1:1" x14ac:dyDescent="0.2">
      <c r="A516">
        <f>SUBTOTAL(3,$B$6:B516)</f>
        <v>65</v>
      </c>
    </row>
    <row r="517" spans="1:1" x14ac:dyDescent="0.2">
      <c r="A517">
        <f>SUBTOTAL(3,$B$6:B517)</f>
        <v>65</v>
      </c>
    </row>
    <row r="518" spans="1:1" x14ac:dyDescent="0.2">
      <c r="A518">
        <f>SUBTOTAL(3,$B$6:B518)</f>
        <v>65</v>
      </c>
    </row>
    <row r="519" spans="1:1" x14ac:dyDescent="0.2">
      <c r="A519">
        <f>SUBTOTAL(3,$B$6:B519)</f>
        <v>65</v>
      </c>
    </row>
    <row r="520" spans="1:1" x14ac:dyDescent="0.2">
      <c r="A520">
        <f>SUBTOTAL(3,$B$6:B520)</f>
        <v>65</v>
      </c>
    </row>
    <row r="521" spans="1:1" x14ac:dyDescent="0.2">
      <c r="A521">
        <f>SUBTOTAL(3,$B$6:B521)</f>
        <v>65</v>
      </c>
    </row>
    <row r="522" spans="1:1" x14ac:dyDescent="0.2">
      <c r="A522">
        <f>SUBTOTAL(3,$B$6:B522)</f>
        <v>65</v>
      </c>
    </row>
    <row r="523" spans="1:1" x14ac:dyDescent="0.2">
      <c r="A523">
        <f>SUBTOTAL(3,$B$6:B523)</f>
        <v>65</v>
      </c>
    </row>
    <row r="524" spans="1:1" x14ac:dyDescent="0.2">
      <c r="A524">
        <f>SUBTOTAL(3,$B$6:B524)</f>
        <v>65</v>
      </c>
    </row>
    <row r="525" spans="1:1" x14ac:dyDescent="0.2">
      <c r="A525">
        <f>SUBTOTAL(3,$B$6:B525)</f>
        <v>65</v>
      </c>
    </row>
    <row r="526" spans="1:1" x14ac:dyDescent="0.2">
      <c r="A526">
        <f>SUBTOTAL(3,$B$6:B526)</f>
        <v>65</v>
      </c>
    </row>
    <row r="527" spans="1:1" x14ac:dyDescent="0.2">
      <c r="A527">
        <f>SUBTOTAL(3,$B$6:B527)</f>
        <v>65</v>
      </c>
    </row>
    <row r="528" spans="1:1" x14ac:dyDescent="0.2">
      <c r="A528">
        <f>SUBTOTAL(3,$B$6:B528)</f>
        <v>65</v>
      </c>
    </row>
    <row r="529" spans="1:1" x14ac:dyDescent="0.2">
      <c r="A529">
        <f>SUBTOTAL(3,$B$6:B529)</f>
        <v>65</v>
      </c>
    </row>
    <row r="530" spans="1:1" x14ac:dyDescent="0.2">
      <c r="A530">
        <f>SUBTOTAL(3,$B$6:B530)</f>
        <v>65</v>
      </c>
    </row>
    <row r="531" spans="1:1" x14ac:dyDescent="0.2">
      <c r="A531">
        <f>SUBTOTAL(3,$B$6:B531)</f>
        <v>65</v>
      </c>
    </row>
    <row r="532" spans="1:1" x14ac:dyDescent="0.2">
      <c r="A532">
        <f>SUBTOTAL(3,$B$6:B532)</f>
        <v>65</v>
      </c>
    </row>
    <row r="533" spans="1:1" x14ac:dyDescent="0.2">
      <c r="A533">
        <f>SUBTOTAL(3,$B$6:B533)</f>
        <v>65</v>
      </c>
    </row>
    <row r="534" spans="1:1" x14ac:dyDescent="0.2">
      <c r="A534">
        <f>SUBTOTAL(3,$B$6:B534)</f>
        <v>65</v>
      </c>
    </row>
    <row r="535" spans="1:1" x14ac:dyDescent="0.2">
      <c r="A535">
        <f>SUBTOTAL(3,$B$6:B535)</f>
        <v>65</v>
      </c>
    </row>
    <row r="536" spans="1:1" x14ac:dyDescent="0.2">
      <c r="A536">
        <f>SUBTOTAL(3,$B$6:B536)</f>
        <v>65</v>
      </c>
    </row>
    <row r="537" spans="1:1" x14ac:dyDescent="0.2">
      <c r="A537">
        <f>SUBTOTAL(3,$B$6:B537)</f>
        <v>65</v>
      </c>
    </row>
    <row r="538" spans="1:1" x14ac:dyDescent="0.2">
      <c r="A538">
        <f>SUBTOTAL(3,$B$6:B538)</f>
        <v>65</v>
      </c>
    </row>
    <row r="539" spans="1:1" x14ac:dyDescent="0.2">
      <c r="A539">
        <f>SUBTOTAL(3,$B$6:B539)</f>
        <v>65</v>
      </c>
    </row>
    <row r="540" spans="1:1" x14ac:dyDescent="0.2">
      <c r="A540">
        <f>SUBTOTAL(3,$B$6:B540)</f>
        <v>65</v>
      </c>
    </row>
    <row r="541" spans="1:1" x14ac:dyDescent="0.2">
      <c r="A541">
        <f>SUBTOTAL(3,$B$6:B541)</f>
        <v>65</v>
      </c>
    </row>
    <row r="542" spans="1:1" x14ac:dyDescent="0.2">
      <c r="A542">
        <f>SUBTOTAL(3,$B$6:B542)</f>
        <v>65</v>
      </c>
    </row>
    <row r="543" spans="1:1" x14ac:dyDescent="0.2">
      <c r="A543">
        <f>SUBTOTAL(3,$B$6:B543)</f>
        <v>65</v>
      </c>
    </row>
    <row r="544" spans="1:1" x14ac:dyDescent="0.2">
      <c r="A544">
        <f>SUBTOTAL(3,$B$6:B544)</f>
        <v>65</v>
      </c>
    </row>
    <row r="545" spans="1:1" x14ac:dyDescent="0.2">
      <c r="A545">
        <f>SUBTOTAL(3,$B$6:B545)</f>
        <v>65</v>
      </c>
    </row>
    <row r="546" spans="1:1" x14ac:dyDescent="0.2">
      <c r="A546">
        <f>SUBTOTAL(3,$B$6:B546)</f>
        <v>65</v>
      </c>
    </row>
    <row r="547" spans="1:1" x14ac:dyDescent="0.2">
      <c r="A547">
        <f>SUBTOTAL(3,$B$6:B547)</f>
        <v>65</v>
      </c>
    </row>
    <row r="548" spans="1:1" x14ac:dyDescent="0.2">
      <c r="A548">
        <f>SUBTOTAL(3,$B$6:B548)</f>
        <v>65</v>
      </c>
    </row>
    <row r="549" spans="1:1" x14ac:dyDescent="0.2">
      <c r="A549">
        <f>SUBTOTAL(3,$B$6:B549)</f>
        <v>65</v>
      </c>
    </row>
    <row r="550" spans="1:1" x14ac:dyDescent="0.2">
      <c r="A550">
        <f>SUBTOTAL(3,$B$6:B550)</f>
        <v>65</v>
      </c>
    </row>
    <row r="551" spans="1:1" x14ac:dyDescent="0.2">
      <c r="A551">
        <f>SUBTOTAL(3,$B$6:B551)</f>
        <v>65</v>
      </c>
    </row>
    <row r="552" spans="1:1" x14ac:dyDescent="0.2">
      <c r="A552">
        <f>SUBTOTAL(3,$B$6:B552)</f>
        <v>65</v>
      </c>
    </row>
    <row r="553" spans="1:1" x14ac:dyDescent="0.2">
      <c r="A553">
        <f>SUBTOTAL(3,$B$6:B553)</f>
        <v>65</v>
      </c>
    </row>
    <row r="554" spans="1:1" x14ac:dyDescent="0.2">
      <c r="A554">
        <f>SUBTOTAL(3,$B$6:B554)</f>
        <v>65</v>
      </c>
    </row>
    <row r="555" spans="1:1" x14ac:dyDescent="0.2">
      <c r="A555">
        <f>SUBTOTAL(3,$B$6:B555)</f>
        <v>65</v>
      </c>
    </row>
    <row r="556" spans="1:1" x14ac:dyDescent="0.2">
      <c r="A556">
        <f>SUBTOTAL(3,$B$6:B556)</f>
        <v>65</v>
      </c>
    </row>
    <row r="557" spans="1:1" x14ac:dyDescent="0.2">
      <c r="A557">
        <f>SUBTOTAL(3,$B$6:B557)</f>
        <v>65</v>
      </c>
    </row>
    <row r="558" spans="1:1" x14ac:dyDescent="0.2">
      <c r="A558">
        <f>SUBTOTAL(3,$B$6:B558)</f>
        <v>65</v>
      </c>
    </row>
    <row r="559" spans="1:1" x14ac:dyDescent="0.2">
      <c r="A559">
        <f>SUBTOTAL(3,$B$6:B559)</f>
        <v>65</v>
      </c>
    </row>
    <row r="560" spans="1:1" x14ac:dyDescent="0.2">
      <c r="A560">
        <f>SUBTOTAL(3,$B$6:B560)</f>
        <v>65</v>
      </c>
    </row>
    <row r="561" spans="1:1" x14ac:dyDescent="0.2">
      <c r="A561">
        <f>SUBTOTAL(3,$B$6:B561)</f>
        <v>65</v>
      </c>
    </row>
    <row r="562" spans="1:1" x14ac:dyDescent="0.2">
      <c r="A562">
        <f>SUBTOTAL(3,$B$6:B562)</f>
        <v>65</v>
      </c>
    </row>
    <row r="563" spans="1:1" x14ac:dyDescent="0.2">
      <c r="A563">
        <f>SUBTOTAL(3,$B$6:B563)</f>
        <v>65</v>
      </c>
    </row>
    <row r="564" spans="1:1" x14ac:dyDescent="0.2">
      <c r="A564">
        <f>SUBTOTAL(3,$B$6:B564)</f>
        <v>65</v>
      </c>
    </row>
    <row r="565" spans="1:1" x14ac:dyDescent="0.2">
      <c r="A565">
        <f>SUBTOTAL(3,$B$6:B565)</f>
        <v>65</v>
      </c>
    </row>
    <row r="566" spans="1:1" x14ac:dyDescent="0.2">
      <c r="A566">
        <f>SUBTOTAL(3,$B$6:B566)</f>
        <v>65</v>
      </c>
    </row>
    <row r="567" spans="1:1" x14ac:dyDescent="0.2">
      <c r="A567">
        <f>SUBTOTAL(3,$B$6:B567)</f>
        <v>65</v>
      </c>
    </row>
    <row r="568" spans="1:1" x14ac:dyDescent="0.2">
      <c r="A568">
        <f>SUBTOTAL(3,$B$6:B568)</f>
        <v>65</v>
      </c>
    </row>
    <row r="569" spans="1:1" x14ac:dyDescent="0.2">
      <c r="A569">
        <f>SUBTOTAL(3,$B$6:B569)</f>
        <v>65</v>
      </c>
    </row>
    <row r="570" spans="1:1" x14ac:dyDescent="0.2">
      <c r="A570">
        <f>SUBTOTAL(3,$B$6:B570)</f>
        <v>65</v>
      </c>
    </row>
    <row r="571" spans="1:1" x14ac:dyDescent="0.2">
      <c r="A571">
        <f>SUBTOTAL(3,$B$6:B571)</f>
        <v>65</v>
      </c>
    </row>
    <row r="572" spans="1:1" x14ac:dyDescent="0.2">
      <c r="A572">
        <f>SUBTOTAL(3,$B$6:B572)</f>
        <v>65</v>
      </c>
    </row>
    <row r="573" spans="1:1" x14ac:dyDescent="0.2">
      <c r="A573">
        <f>SUBTOTAL(3,$B$6:B573)</f>
        <v>65</v>
      </c>
    </row>
    <row r="574" spans="1:1" x14ac:dyDescent="0.2">
      <c r="A574">
        <f>SUBTOTAL(3,$B$6:B574)</f>
        <v>65</v>
      </c>
    </row>
    <row r="575" spans="1:1" x14ac:dyDescent="0.2">
      <c r="A575">
        <f>SUBTOTAL(3,$B$6:B575)</f>
        <v>65</v>
      </c>
    </row>
    <row r="576" spans="1:1" x14ac:dyDescent="0.2">
      <c r="A576">
        <f>SUBTOTAL(3,$B$6:B576)</f>
        <v>65</v>
      </c>
    </row>
    <row r="577" spans="1:1" x14ac:dyDescent="0.2">
      <c r="A577">
        <f>SUBTOTAL(3,$B$6:B577)</f>
        <v>65</v>
      </c>
    </row>
    <row r="578" spans="1:1" x14ac:dyDescent="0.2">
      <c r="A578">
        <f>SUBTOTAL(3,$B$6:B578)</f>
        <v>65</v>
      </c>
    </row>
    <row r="579" spans="1:1" x14ac:dyDescent="0.2">
      <c r="A579">
        <f>SUBTOTAL(3,$B$6:B579)</f>
        <v>65</v>
      </c>
    </row>
    <row r="580" spans="1:1" x14ac:dyDescent="0.2">
      <c r="A580">
        <f>SUBTOTAL(3,$B$6:B580)</f>
        <v>65</v>
      </c>
    </row>
    <row r="581" spans="1:1" x14ac:dyDescent="0.2">
      <c r="A581">
        <f>SUBTOTAL(3,$B$6:B581)</f>
        <v>65</v>
      </c>
    </row>
    <row r="582" spans="1:1" x14ac:dyDescent="0.2">
      <c r="A582">
        <f>SUBTOTAL(3,$B$6:B582)</f>
        <v>65</v>
      </c>
    </row>
    <row r="583" spans="1:1" x14ac:dyDescent="0.2">
      <c r="A583">
        <f>SUBTOTAL(3,$B$6:B583)</f>
        <v>65</v>
      </c>
    </row>
    <row r="584" spans="1:1" x14ac:dyDescent="0.2">
      <c r="A584">
        <f>SUBTOTAL(3,$B$6:B584)</f>
        <v>65</v>
      </c>
    </row>
    <row r="585" spans="1:1" x14ac:dyDescent="0.2">
      <c r="A585">
        <f>SUBTOTAL(3,$B$6:B585)</f>
        <v>65</v>
      </c>
    </row>
    <row r="586" spans="1:1" x14ac:dyDescent="0.2">
      <c r="A586">
        <f>SUBTOTAL(3,$B$6:B586)</f>
        <v>65</v>
      </c>
    </row>
    <row r="587" spans="1:1" x14ac:dyDescent="0.2">
      <c r="A587">
        <f>SUBTOTAL(3,$B$6:B587)</f>
        <v>65</v>
      </c>
    </row>
    <row r="588" spans="1:1" x14ac:dyDescent="0.2">
      <c r="A588">
        <f>SUBTOTAL(3,$B$6:B588)</f>
        <v>65</v>
      </c>
    </row>
    <row r="589" spans="1:1" x14ac:dyDescent="0.2">
      <c r="A589">
        <f>SUBTOTAL(3,$B$6:B589)</f>
        <v>65</v>
      </c>
    </row>
    <row r="590" spans="1:1" x14ac:dyDescent="0.2">
      <c r="A590">
        <f>SUBTOTAL(3,$B$6:B590)</f>
        <v>65</v>
      </c>
    </row>
    <row r="591" spans="1:1" x14ac:dyDescent="0.2">
      <c r="A591">
        <f>SUBTOTAL(3,$B$6:B591)</f>
        <v>65</v>
      </c>
    </row>
    <row r="592" spans="1:1" x14ac:dyDescent="0.2">
      <c r="A592">
        <f>SUBTOTAL(3,$B$6:B592)</f>
        <v>65</v>
      </c>
    </row>
    <row r="593" spans="1:1" x14ac:dyDescent="0.2">
      <c r="A593">
        <f>SUBTOTAL(3,$B$6:B593)</f>
        <v>65</v>
      </c>
    </row>
    <row r="594" spans="1:1" x14ac:dyDescent="0.2">
      <c r="A594">
        <f>SUBTOTAL(3,$B$6:B594)</f>
        <v>65</v>
      </c>
    </row>
    <row r="595" spans="1:1" x14ac:dyDescent="0.2">
      <c r="A595">
        <f>SUBTOTAL(3,$B$6:B595)</f>
        <v>65</v>
      </c>
    </row>
    <row r="596" spans="1:1" x14ac:dyDescent="0.2">
      <c r="A596">
        <f>SUBTOTAL(3,$B$6:B596)</f>
        <v>65</v>
      </c>
    </row>
    <row r="597" spans="1:1" x14ac:dyDescent="0.2">
      <c r="A597">
        <f>SUBTOTAL(3,$B$6:B597)</f>
        <v>65</v>
      </c>
    </row>
    <row r="598" spans="1:1" x14ac:dyDescent="0.2">
      <c r="A598">
        <f>SUBTOTAL(3,$B$6:B598)</f>
        <v>65</v>
      </c>
    </row>
    <row r="599" spans="1:1" x14ac:dyDescent="0.2">
      <c r="A599">
        <f>SUBTOTAL(3,$B$6:B599)</f>
        <v>65</v>
      </c>
    </row>
    <row r="600" spans="1:1" x14ac:dyDescent="0.2">
      <c r="A600">
        <f>SUBTOTAL(3,$B$6:B600)</f>
        <v>65</v>
      </c>
    </row>
    <row r="601" spans="1:1" x14ac:dyDescent="0.2">
      <c r="A601">
        <f>SUBTOTAL(3,$B$6:B601)</f>
        <v>65</v>
      </c>
    </row>
    <row r="602" spans="1:1" x14ac:dyDescent="0.2">
      <c r="A602">
        <f>SUBTOTAL(3,$B$6:B602)</f>
        <v>65</v>
      </c>
    </row>
    <row r="603" spans="1:1" x14ac:dyDescent="0.2">
      <c r="A603">
        <f>SUBTOTAL(3,$B$6:B603)</f>
        <v>65</v>
      </c>
    </row>
    <row r="604" spans="1:1" x14ac:dyDescent="0.2">
      <c r="A604">
        <f>SUBTOTAL(3,$B$6:B604)</f>
        <v>65</v>
      </c>
    </row>
    <row r="605" spans="1:1" x14ac:dyDescent="0.2">
      <c r="A605">
        <f>SUBTOTAL(3,$B$6:B605)</f>
        <v>65</v>
      </c>
    </row>
    <row r="606" spans="1:1" x14ac:dyDescent="0.2">
      <c r="A606">
        <f>SUBTOTAL(3,$B$6:B606)</f>
        <v>65</v>
      </c>
    </row>
    <row r="607" spans="1:1" x14ac:dyDescent="0.2">
      <c r="A607">
        <f>SUBTOTAL(3,$B$6:B607)</f>
        <v>65</v>
      </c>
    </row>
    <row r="608" spans="1:1" x14ac:dyDescent="0.2">
      <c r="A608">
        <f>SUBTOTAL(3,$B$6:B608)</f>
        <v>65</v>
      </c>
    </row>
    <row r="609" spans="1:1" x14ac:dyDescent="0.2">
      <c r="A609">
        <f>SUBTOTAL(3,$B$6:B609)</f>
        <v>65</v>
      </c>
    </row>
    <row r="610" spans="1:1" x14ac:dyDescent="0.2">
      <c r="A610">
        <f>SUBTOTAL(3,$B$6:B610)</f>
        <v>65</v>
      </c>
    </row>
    <row r="611" spans="1:1" x14ac:dyDescent="0.2">
      <c r="A611">
        <f>SUBTOTAL(3,$B$6:B611)</f>
        <v>65</v>
      </c>
    </row>
    <row r="612" spans="1:1" x14ac:dyDescent="0.2">
      <c r="A612">
        <f>SUBTOTAL(3,$B$6:B612)</f>
        <v>65</v>
      </c>
    </row>
    <row r="613" spans="1:1" x14ac:dyDescent="0.2">
      <c r="A613">
        <f>SUBTOTAL(3,$B$6:B613)</f>
        <v>65</v>
      </c>
    </row>
    <row r="614" spans="1:1" x14ac:dyDescent="0.2">
      <c r="A614">
        <f>SUBTOTAL(3,$B$6:B614)</f>
        <v>65</v>
      </c>
    </row>
    <row r="615" spans="1:1" x14ac:dyDescent="0.2">
      <c r="A615">
        <f>SUBTOTAL(3,$B$6:B615)</f>
        <v>65</v>
      </c>
    </row>
    <row r="616" spans="1:1" x14ac:dyDescent="0.2">
      <c r="A616">
        <f>SUBTOTAL(3,$B$6:B616)</f>
        <v>65</v>
      </c>
    </row>
    <row r="617" spans="1:1" x14ac:dyDescent="0.2">
      <c r="A617">
        <f>SUBTOTAL(3,$B$6:B617)</f>
        <v>65</v>
      </c>
    </row>
    <row r="618" spans="1:1" x14ac:dyDescent="0.2">
      <c r="A618">
        <f>SUBTOTAL(3,$B$6:B618)</f>
        <v>65</v>
      </c>
    </row>
    <row r="619" spans="1:1" x14ac:dyDescent="0.2">
      <c r="A619">
        <f>SUBTOTAL(3,$B$6:B619)</f>
        <v>65</v>
      </c>
    </row>
    <row r="620" spans="1:1" x14ac:dyDescent="0.2">
      <c r="A620">
        <f>SUBTOTAL(3,$B$6:B620)</f>
        <v>65</v>
      </c>
    </row>
    <row r="621" spans="1:1" x14ac:dyDescent="0.2">
      <c r="A621">
        <f>SUBTOTAL(3,$B$6:B621)</f>
        <v>65</v>
      </c>
    </row>
    <row r="622" spans="1:1" x14ac:dyDescent="0.2">
      <c r="A622">
        <f>SUBTOTAL(3,$B$6:B622)</f>
        <v>65</v>
      </c>
    </row>
    <row r="623" spans="1:1" x14ac:dyDescent="0.2">
      <c r="A623">
        <f>SUBTOTAL(3,$B$6:B623)</f>
        <v>65</v>
      </c>
    </row>
    <row r="624" spans="1:1" x14ac:dyDescent="0.2">
      <c r="A624">
        <f>SUBTOTAL(3,$B$6:B624)</f>
        <v>65</v>
      </c>
    </row>
    <row r="625" spans="1:1" x14ac:dyDescent="0.2">
      <c r="A625">
        <f>SUBTOTAL(3,$B$6:B625)</f>
        <v>65</v>
      </c>
    </row>
    <row r="626" spans="1:1" x14ac:dyDescent="0.2">
      <c r="A626">
        <f>SUBTOTAL(3,$B$6:B626)</f>
        <v>65</v>
      </c>
    </row>
    <row r="627" spans="1:1" x14ac:dyDescent="0.2">
      <c r="A627">
        <f>SUBTOTAL(3,$B$6:B627)</f>
        <v>65</v>
      </c>
    </row>
    <row r="628" spans="1:1" x14ac:dyDescent="0.2">
      <c r="A628">
        <f>SUBTOTAL(3,$B$6:B628)</f>
        <v>65</v>
      </c>
    </row>
    <row r="629" spans="1:1" x14ac:dyDescent="0.2">
      <c r="A629">
        <f>SUBTOTAL(3,$B$6:B629)</f>
        <v>65</v>
      </c>
    </row>
    <row r="630" spans="1:1" x14ac:dyDescent="0.2">
      <c r="A630">
        <f>SUBTOTAL(3,$B$6:B630)</f>
        <v>65</v>
      </c>
    </row>
    <row r="631" spans="1:1" x14ac:dyDescent="0.2">
      <c r="A631">
        <f>SUBTOTAL(3,$B$6:B631)</f>
        <v>65</v>
      </c>
    </row>
    <row r="632" spans="1:1" x14ac:dyDescent="0.2">
      <c r="A632">
        <f>SUBTOTAL(3,$B$6:B632)</f>
        <v>65</v>
      </c>
    </row>
    <row r="633" spans="1:1" x14ac:dyDescent="0.2">
      <c r="A633">
        <f>SUBTOTAL(3,$B$6:B633)</f>
        <v>65</v>
      </c>
    </row>
    <row r="634" spans="1:1" x14ac:dyDescent="0.2">
      <c r="A634">
        <f>SUBTOTAL(3,$B$6:B634)</f>
        <v>65</v>
      </c>
    </row>
    <row r="635" spans="1:1" x14ac:dyDescent="0.2">
      <c r="A635">
        <f>SUBTOTAL(3,$B$6:B635)</f>
        <v>65</v>
      </c>
    </row>
    <row r="636" spans="1:1" x14ac:dyDescent="0.2">
      <c r="A636">
        <f>SUBTOTAL(3,$B$6:B636)</f>
        <v>65</v>
      </c>
    </row>
    <row r="637" spans="1:1" x14ac:dyDescent="0.2">
      <c r="A637">
        <f>SUBTOTAL(3,$B$6:B637)</f>
        <v>65</v>
      </c>
    </row>
    <row r="638" spans="1:1" x14ac:dyDescent="0.2">
      <c r="A638">
        <f>SUBTOTAL(3,$B$6:B638)</f>
        <v>65</v>
      </c>
    </row>
    <row r="639" spans="1:1" x14ac:dyDescent="0.2">
      <c r="A639">
        <f>SUBTOTAL(3,$B$6:B639)</f>
        <v>65</v>
      </c>
    </row>
    <row r="640" spans="1:1" x14ac:dyDescent="0.2">
      <c r="A640">
        <f>SUBTOTAL(3,$B$6:B640)</f>
        <v>65</v>
      </c>
    </row>
    <row r="641" spans="1:1" x14ac:dyDescent="0.2">
      <c r="A641">
        <f>SUBTOTAL(3,$B$6:B641)</f>
        <v>65</v>
      </c>
    </row>
    <row r="642" spans="1:1" x14ac:dyDescent="0.2">
      <c r="A642">
        <f>SUBTOTAL(3,$B$6:B642)</f>
        <v>65</v>
      </c>
    </row>
    <row r="643" spans="1:1" x14ac:dyDescent="0.2">
      <c r="A643">
        <f>SUBTOTAL(3,$B$6:B643)</f>
        <v>65</v>
      </c>
    </row>
    <row r="644" spans="1:1" x14ac:dyDescent="0.2">
      <c r="A644">
        <f>SUBTOTAL(3,$B$6:B644)</f>
        <v>65</v>
      </c>
    </row>
    <row r="645" spans="1:1" x14ac:dyDescent="0.2">
      <c r="A645">
        <f>SUBTOTAL(3,$B$6:B645)</f>
        <v>65</v>
      </c>
    </row>
    <row r="646" spans="1:1" x14ac:dyDescent="0.2">
      <c r="A646">
        <f>SUBTOTAL(3,$B$6:B646)</f>
        <v>65</v>
      </c>
    </row>
    <row r="647" spans="1:1" x14ac:dyDescent="0.2">
      <c r="A647">
        <f>SUBTOTAL(3,$B$6:B647)</f>
        <v>65</v>
      </c>
    </row>
    <row r="648" spans="1:1" x14ac:dyDescent="0.2">
      <c r="A648">
        <f>SUBTOTAL(3,$B$6:B648)</f>
        <v>65</v>
      </c>
    </row>
    <row r="649" spans="1:1" x14ac:dyDescent="0.2">
      <c r="A649">
        <f>SUBTOTAL(3,$B$6:B649)</f>
        <v>65</v>
      </c>
    </row>
    <row r="650" spans="1:1" x14ac:dyDescent="0.2">
      <c r="A650">
        <f>SUBTOTAL(3,$B$6:B650)</f>
        <v>65</v>
      </c>
    </row>
    <row r="651" spans="1:1" x14ac:dyDescent="0.2">
      <c r="A651">
        <f>SUBTOTAL(3,$B$6:B651)</f>
        <v>65</v>
      </c>
    </row>
    <row r="652" spans="1:1" x14ac:dyDescent="0.2">
      <c r="A652">
        <f>SUBTOTAL(3,$B$6:B652)</f>
        <v>65</v>
      </c>
    </row>
    <row r="653" spans="1:1" x14ac:dyDescent="0.2">
      <c r="A653">
        <f>SUBTOTAL(3,$B$6:B653)</f>
        <v>65</v>
      </c>
    </row>
    <row r="654" spans="1:1" x14ac:dyDescent="0.2">
      <c r="A654">
        <f>SUBTOTAL(3,$B$6:B654)</f>
        <v>65</v>
      </c>
    </row>
    <row r="655" spans="1:1" x14ac:dyDescent="0.2">
      <c r="A655">
        <f>SUBTOTAL(3,$B$6:B655)</f>
        <v>65</v>
      </c>
    </row>
    <row r="656" spans="1:1" x14ac:dyDescent="0.2">
      <c r="A656">
        <f>SUBTOTAL(3,$B$6:B656)</f>
        <v>65</v>
      </c>
    </row>
    <row r="657" spans="1:1" x14ac:dyDescent="0.2">
      <c r="A657">
        <f>SUBTOTAL(3,$B$6:B657)</f>
        <v>65</v>
      </c>
    </row>
    <row r="658" spans="1:1" x14ac:dyDescent="0.2">
      <c r="A658">
        <f>SUBTOTAL(3,$B$6:B658)</f>
        <v>65</v>
      </c>
    </row>
    <row r="659" spans="1:1" x14ac:dyDescent="0.2">
      <c r="A659">
        <f>SUBTOTAL(3,$B$6:B659)</f>
        <v>65</v>
      </c>
    </row>
    <row r="660" spans="1:1" x14ac:dyDescent="0.2">
      <c r="A660">
        <f>SUBTOTAL(3,$B$6:B660)</f>
        <v>65</v>
      </c>
    </row>
    <row r="661" spans="1:1" x14ac:dyDescent="0.2">
      <c r="A661">
        <f>SUBTOTAL(3,$B$6:B661)</f>
        <v>65</v>
      </c>
    </row>
    <row r="662" spans="1:1" x14ac:dyDescent="0.2">
      <c r="A662">
        <f>SUBTOTAL(3,$B$6:B662)</f>
        <v>65</v>
      </c>
    </row>
    <row r="663" spans="1:1" x14ac:dyDescent="0.2">
      <c r="A663">
        <f>SUBTOTAL(3,$B$6:B663)</f>
        <v>65</v>
      </c>
    </row>
    <row r="664" spans="1:1" x14ac:dyDescent="0.2">
      <c r="A664">
        <f>SUBTOTAL(3,$B$6:B664)</f>
        <v>65</v>
      </c>
    </row>
    <row r="665" spans="1:1" x14ac:dyDescent="0.2">
      <c r="A665">
        <f>SUBTOTAL(3,$B$6:B665)</f>
        <v>65</v>
      </c>
    </row>
    <row r="666" spans="1:1" x14ac:dyDescent="0.2">
      <c r="A666">
        <f>SUBTOTAL(3,$B$6:B666)</f>
        <v>65</v>
      </c>
    </row>
    <row r="667" spans="1:1" x14ac:dyDescent="0.2">
      <c r="A667">
        <f>SUBTOTAL(3,$B$6:B667)</f>
        <v>65</v>
      </c>
    </row>
    <row r="668" spans="1:1" x14ac:dyDescent="0.2">
      <c r="A668">
        <f>SUBTOTAL(3,$B$6:B668)</f>
        <v>65</v>
      </c>
    </row>
    <row r="669" spans="1:1" x14ac:dyDescent="0.2">
      <c r="A669">
        <f>SUBTOTAL(3,$B$6:B669)</f>
        <v>65</v>
      </c>
    </row>
    <row r="670" spans="1:1" x14ac:dyDescent="0.2">
      <c r="A670">
        <f>SUBTOTAL(3,$B$6:B670)</f>
        <v>65</v>
      </c>
    </row>
    <row r="671" spans="1:1" x14ac:dyDescent="0.2">
      <c r="A671">
        <f>SUBTOTAL(3,$B$6:B671)</f>
        <v>65</v>
      </c>
    </row>
    <row r="672" spans="1:1" x14ac:dyDescent="0.2">
      <c r="A672">
        <f>SUBTOTAL(3,$B$6:B672)</f>
        <v>65</v>
      </c>
    </row>
    <row r="673" spans="1:1" x14ac:dyDescent="0.2">
      <c r="A673">
        <f>SUBTOTAL(3,$B$6:B673)</f>
        <v>65</v>
      </c>
    </row>
    <row r="674" spans="1:1" x14ac:dyDescent="0.2">
      <c r="A674">
        <f>SUBTOTAL(3,$B$6:B674)</f>
        <v>65</v>
      </c>
    </row>
    <row r="675" spans="1:1" x14ac:dyDescent="0.2">
      <c r="A675">
        <f>SUBTOTAL(3,$B$6:B675)</f>
        <v>65</v>
      </c>
    </row>
    <row r="676" spans="1:1" x14ac:dyDescent="0.2">
      <c r="A676">
        <f>SUBTOTAL(3,$B$6:B676)</f>
        <v>65</v>
      </c>
    </row>
    <row r="677" spans="1:1" x14ac:dyDescent="0.2">
      <c r="A677">
        <f>SUBTOTAL(3,$B$6:B677)</f>
        <v>65</v>
      </c>
    </row>
    <row r="678" spans="1:1" x14ac:dyDescent="0.2">
      <c r="A678">
        <f>SUBTOTAL(3,$B$6:B678)</f>
        <v>65</v>
      </c>
    </row>
    <row r="679" spans="1:1" x14ac:dyDescent="0.2">
      <c r="A679">
        <f>SUBTOTAL(3,$B$6:B679)</f>
        <v>65</v>
      </c>
    </row>
    <row r="680" spans="1:1" x14ac:dyDescent="0.2">
      <c r="A680">
        <f>SUBTOTAL(3,$B$6:B680)</f>
        <v>65</v>
      </c>
    </row>
    <row r="681" spans="1:1" x14ac:dyDescent="0.2">
      <c r="A681">
        <f>SUBTOTAL(3,$B$6:B681)</f>
        <v>65</v>
      </c>
    </row>
    <row r="682" spans="1:1" x14ac:dyDescent="0.2">
      <c r="A682">
        <f>SUBTOTAL(3,$B$6:B682)</f>
        <v>65</v>
      </c>
    </row>
    <row r="683" spans="1:1" x14ac:dyDescent="0.2">
      <c r="A683">
        <f>SUBTOTAL(3,$B$6:B683)</f>
        <v>65</v>
      </c>
    </row>
    <row r="684" spans="1:1" x14ac:dyDescent="0.2">
      <c r="A684">
        <f>SUBTOTAL(3,$B$6:B684)</f>
        <v>65</v>
      </c>
    </row>
    <row r="685" spans="1:1" x14ac:dyDescent="0.2">
      <c r="A685">
        <f>SUBTOTAL(3,$B$6:B685)</f>
        <v>65</v>
      </c>
    </row>
    <row r="686" spans="1:1" x14ac:dyDescent="0.2">
      <c r="A686">
        <f>SUBTOTAL(3,$B$6:B686)</f>
        <v>65</v>
      </c>
    </row>
    <row r="687" spans="1:1" x14ac:dyDescent="0.2">
      <c r="A687">
        <f>SUBTOTAL(3,$B$6:B687)</f>
        <v>65</v>
      </c>
    </row>
    <row r="688" spans="1:1" x14ac:dyDescent="0.2">
      <c r="A688">
        <f>SUBTOTAL(3,$B$6:B688)</f>
        <v>65</v>
      </c>
    </row>
    <row r="689" spans="1:1" x14ac:dyDescent="0.2">
      <c r="A689">
        <f>SUBTOTAL(3,$B$6:B689)</f>
        <v>65</v>
      </c>
    </row>
    <row r="690" spans="1:1" x14ac:dyDescent="0.2">
      <c r="A690">
        <f>SUBTOTAL(3,$B$6:B690)</f>
        <v>65</v>
      </c>
    </row>
    <row r="691" spans="1:1" x14ac:dyDescent="0.2">
      <c r="A691">
        <f>SUBTOTAL(3,$B$6:B691)</f>
        <v>65</v>
      </c>
    </row>
    <row r="692" spans="1:1" x14ac:dyDescent="0.2">
      <c r="A692">
        <f>SUBTOTAL(3,$B$6:B692)</f>
        <v>65</v>
      </c>
    </row>
    <row r="693" spans="1:1" x14ac:dyDescent="0.2">
      <c r="A693">
        <f>SUBTOTAL(3,$B$6:B693)</f>
        <v>65</v>
      </c>
    </row>
    <row r="694" spans="1:1" x14ac:dyDescent="0.2">
      <c r="A694">
        <f>SUBTOTAL(3,$B$6:B694)</f>
        <v>65</v>
      </c>
    </row>
    <row r="695" spans="1:1" x14ac:dyDescent="0.2">
      <c r="A695">
        <f>SUBTOTAL(3,$B$6:B695)</f>
        <v>65</v>
      </c>
    </row>
    <row r="696" spans="1:1" x14ac:dyDescent="0.2">
      <c r="A696">
        <f>SUBTOTAL(3,$B$6:B696)</f>
        <v>65</v>
      </c>
    </row>
    <row r="697" spans="1:1" x14ac:dyDescent="0.2">
      <c r="A697">
        <f>SUBTOTAL(3,$B$6:B697)</f>
        <v>65</v>
      </c>
    </row>
    <row r="698" spans="1:1" x14ac:dyDescent="0.2">
      <c r="A698">
        <f>SUBTOTAL(3,$B$6:B698)</f>
        <v>65</v>
      </c>
    </row>
    <row r="699" spans="1:1" x14ac:dyDescent="0.2">
      <c r="A699">
        <f>SUBTOTAL(3,$B$6:B699)</f>
        <v>65</v>
      </c>
    </row>
    <row r="700" spans="1:1" x14ac:dyDescent="0.2">
      <c r="A700">
        <f>SUBTOTAL(3,$B$6:B700)</f>
        <v>65</v>
      </c>
    </row>
    <row r="701" spans="1:1" x14ac:dyDescent="0.2">
      <c r="A701">
        <f>SUBTOTAL(3,$B$6:B701)</f>
        <v>65</v>
      </c>
    </row>
    <row r="702" spans="1:1" x14ac:dyDescent="0.2">
      <c r="A702">
        <f>SUBTOTAL(3,$B$6:B702)</f>
        <v>65</v>
      </c>
    </row>
    <row r="703" spans="1:1" x14ac:dyDescent="0.2">
      <c r="A703">
        <f>SUBTOTAL(3,$B$6:B703)</f>
        <v>65</v>
      </c>
    </row>
    <row r="704" spans="1:1" x14ac:dyDescent="0.2">
      <c r="A704">
        <f>SUBTOTAL(3,$B$6:B704)</f>
        <v>65</v>
      </c>
    </row>
    <row r="705" spans="1:1" x14ac:dyDescent="0.2">
      <c r="A705">
        <f>SUBTOTAL(3,$B$6:B705)</f>
        <v>65</v>
      </c>
    </row>
    <row r="706" spans="1:1" x14ac:dyDescent="0.2">
      <c r="A706">
        <f>SUBTOTAL(3,$B$6:B706)</f>
        <v>65</v>
      </c>
    </row>
    <row r="707" spans="1:1" x14ac:dyDescent="0.2">
      <c r="A707">
        <f>SUBTOTAL(3,$B$6:B707)</f>
        <v>65</v>
      </c>
    </row>
    <row r="708" spans="1:1" x14ac:dyDescent="0.2">
      <c r="A708">
        <f>SUBTOTAL(3,$B$6:B708)</f>
        <v>65</v>
      </c>
    </row>
    <row r="709" spans="1:1" x14ac:dyDescent="0.2">
      <c r="A709">
        <f>SUBTOTAL(3,$B$6:B709)</f>
        <v>65</v>
      </c>
    </row>
    <row r="710" spans="1:1" x14ac:dyDescent="0.2">
      <c r="A710">
        <f>SUBTOTAL(3,$B$6:B710)</f>
        <v>65</v>
      </c>
    </row>
    <row r="711" spans="1:1" x14ac:dyDescent="0.2">
      <c r="A711">
        <f>SUBTOTAL(3,$B$6:B711)</f>
        <v>65</v>
      </c>
    </row>
    <row r="712" spans="1:1" x14ac:dyDescent="0.2">
      <c r="A712">
        <f>SUBTOTAL(3,$B$6:B712)</f>
        <v>65</v>
      </c>
    </row>
    <row r="713" spans="1:1" x14ac:dyDescent="0.2">
      <c r="A713">
        <f>SUBTOTAL(3,$B$6:B713)</f>
        <v>65</v>
      </c>
    </row>
    <row r="714" spans="1:1" x14ac:dyDescent="0.2">
      <c r="A714">
        <f>SUBTOTAL(3,$B$6:B714)</f>
        <v>65</v>
      </c>
    </row>
    <row r="715" spans="1:1" x14ac:dyDescent="0.2">
      <c r="A715">
        <f>SUBTOTAL(3,$B$6:B715)</f>
        <v>65</v>
      </c>
    </row>
    <row r="716" spans="1:1" x14ac:dyDescent="0.2">
      <c r="A716">
        <f>SUBTOTAL(3,$B$6:B716)</f>
        <v>65</v>
      </c>
    </row>
    <row r="717" spans="1:1" x14ac:dyDescent="0.2">
      <c r="A717">
        <f>SUBTOTAL(3,$B$6:B717)</f>
        <v>65</v>
      </c>
    </row>
    <row r="718" spans="1:1" x14ac:dyDescent="0.2">
      <c r="A718">
        <f>SUBTOTAL(3,$B$6:B718)</f>
        <v>65</v>
      </c>
    </row>
    <row r="719" spans="1:1" x14ac:dyDescent="0.2">
      <c r="A719">
        <f>SUBTOTAL(3,$B$6:B719)</f>
        <v>65</v>
      </c>
    </row>
    <row r="720" spans="1:1" x14ac:dyDescent="0.2">
      <c r="A720">
        <f>SUBTOTAL(3,$B$6:B720)</f>
        <v>65</v>
      </c>
    </row>
    <row r="721" spans="1:1" x14ac:dyDescent="0.2">
      <c r="A721">
        <f>SUBTOTAL(3,$B$6:B721)</f>
        <v>65</v>
      </c>
    </row>
    <row r="722" spans="1:1" x14ac:dyDescent="0.2">
      <c r="A722">
        <f>SUBTOTAL(3,$B$6:B722)</f>
        <v>65</v>
      </c>
    </row>
    <row r="723" spans="1:1" x14ac:dyDescent="0.2">
      <c r="A723">
        <f>SUBTOTAL(3,$B$6:B723)</f>
        <v>65</v>
      </c>
    </row>
    <row r="724" spans="1:1" x14ac:dyDescent="0.2">
      <c r="A724">
        <f>SUBTOTAL(3,$B$6:B724)</f>
        <v>65</v>
      </c>
    </row>
    <row r="725" spans="1:1" x14ac:dyDescent="0.2">
      <c r="A725">
        <f>SUBTOTAL(3,$B$6:B725)</f>
        <v>65</v>
      </c>
    </row>
    <row r="726" spans="1:1" x14ac:dyDescent="0.2">
      <c r="A726">
        <f>SUBTOTAL(3,$B$6:B726)</f>
        <v>65</v>
      </c>
    </row>
    <row r="727" spans="1:1" x14ac:dyDescent="0.2">
      <c r="A727">
        <f>SUBTOTAL(3,$B$6:B727)</f>
        <v>65</v>
      </c>
    </row>
    <row r="728" spans="1:1" x14ac:dyDescent="0.2">
      <c r="A728">
        <f>SUBTOTAL(3,$B$6:B728)</f>
        <v>65</v>
      </c>
    </row>
    <row r="729" spans="1:1" x14ac:dyDescent="0.2">
      <c r="A729">
        <f>SUBTOTAL(3,$B$6:B729)</f>
        <v>65</v>
      </c>
    </row>
    <row r="730" spans="1:1" x14ac:dyDescent="0.2">
      <c r="A730">
        <f>SUBTOTAL(3,$B$6:B730)</f>
        <v>65</v>
      </c>
    </row>
    <row r="731" spans="1:1" x14ac:dyDescent="0.2">
      <c r="A731">
        <f>SUBTOTAL(3,$B$6:B731)</f>
        <v>65</v>
      </c>
    </row>
    <row r="732" spans="1:1" x14ac:dyDescent="0.2">
      <c r="A732">
        <f>SUBTOTAL(3,$B$6:B732)</f>
        <v>65</v>
      </c>
    </row>
    <row r="733" spans="1:1" x14ac:dyDescent="0.2">
      <c r="A733">
        <f>SUBTOTAL(3,$B$6:B733)</f>
        <v>65</v>
      </c>
    </row>
    <row r="734" spans="1:1" x14ac:dyDescent="0.2">
      <c r="A734">
        <f>SUBTOTAL(3,$B$6:B734)</f>
        <v>65</v>
      </c>
    </row>
    <row r="735" spans="1:1" x14ac:dyDescent="0.2">
      <c r="A735">
        <f>SUBTOTAL(3,$B$6:B735)</f>
        <v>65</v>
      </c>
    </row>
    <row r="736" spans="1:1" x14ac:dyDescent="0.2">
      <c r="A736">
        <f>SUBTOTAL(3,$B$6:B736)</f>
        <v>65</v>
      </c>
    </row>
    <row r="737" spans="1:1" x14ac:dyDescent="0.2">
      <c r="A737">
        <f>SUBTOTAL(3,$B$6:B737)</f>
        <v>65</v>
      </c>
    </row>
    <row r="738" spans="1:1" x14ac:dyDescent="0.2">
      <c r="A738">
        <f>SUBTOTAL(3,$B$6:B738)</f>
        <v>65</v>
      </c>
    </row>
    <row r="739" spans="1:1" x14ac:dyDescent="0.2">
      <c r="A739">
        <f>SUBTOTAL(3,$B$6:B739)</f>
        <v>65</v>
      </c>
    </row>
    <row r="740" spans="1:1" x14ac:dyDescent="0.2">
      <c r="A740">
        <f>SUBTOTAL(3,$B$6:B740)</f>
        <v>65</v>
      </c>
    </row>
    <row r="741" spans="1:1" x14ac:dyDescent="0.2">
      <c r="A741">
        <f>SUBTOTAL(3,$B$6:B741)</f>
        <v>65</v>
      </c>
    </row>
    <row r="742" spans="1:1" x14ac:dyDescent="0.2">
      <c r="A742">
        <f>SUBTOTAL(3,$B$6:B742)</f>
        <v>65</v>
      </c>
    </row>
    <row r="743" spans="1:1" x14ac:dyDescent="0.2">
      <c r="A743">
        <f>SUBTOTAL(3,$B$6:B743)</f>
        <v>65</v>
      </c>
    </row>
    <row r="744" spans="1:1" x14ac:dyDescent="0.2">
      <c r="A744">
        <f>SUBTOTAL(3,$B$6:B744)</f>
        <v>65</v>
      </c>
    </row>
    <row r="745" spans="1:1" x14ac:dyDescent="0.2">
      <c r="A745">
        <f>SUBTOTAL(3,$B$6:B745)</f>
        <v>65</v>
      </c>
    </row>
    <row r="746" spans="1:1" x14ac:dyDescent="0.2">
      <c r="A746">
        <f>SUBTOTAL(3,$B$6:B746)</f>
        <v>65</v>
      </c>
    </row>
    <row r="747" spans="1:1" x14ac:dyDescent="0.2">
      <c r="A747">
        <f>SUBTOTAL(3,$B$6:B747)</f>
        <v>65</v>
      </c>
    </row>
    <row r="748" spans="1:1" x14ac:dyDescent="0.2">
      <c r="A748">
        <f>SUBTOTAL(3,$B$6:B748)</f>
        <v>65</v>
      </c>
    </row>
    <row r="749" spans="1:1" x14ac:dyDescent="0.2">
      <c r="A749">
        <f>SUBTOTAL(3,$B$6:B749)</f>
        <v>65</v>
      </c>
    </row>
    <row r="750" spans="1:1" x14ac:dyDescent="0.2">
      <c r="A750">
        <f>SUBTOTAL(3,$B$6:B750)</f>
        <v>65</v>
      </c>
    </row>
    <row r="751" spans="1:1" x14ac:dyDescent="0.2">
      <c r="A751">
        <f>SUBTOTAL(3,$B$6:B751)</f>
        <v>65</v>
      </c>
    </row>
    <row r="752" spans="1:1" x14ac:dyDescent="0.2">
      <c r="A752">
        <f>SUBTOTAL(3,$B$6:B752)</f>
        <v>65</v>
      </c>
    </row>
    <row r="753" spans="1:1" x14ac:dyDescent="0.2">
      <c r="A753">
        <f>SUBTOTAL(3,$B$6:B753)</f>
        <v>65</v>
      </c>
    </row>
    <row r="754" spans="1:1" x14ac:dyDescent="0.2">
      <c r="A754">
        <f>SUBTOTAL(3,$B$6:B754)</f>
        <v>65</v>
      </c>
    </row>
    <row r="755" spans="1:1" x14ac:dyDescent="0.2">
      <c r="A755">
        <f>SUBTOTAL(3,$B$6:B755)</f>
        <v>65</v>
      </c>
    </row>
    <row r="756" spans="1:1" x14ac:dyDescent="0.2">
      <c r="A756">
        <f>SUBTOTAL(3,$B$6:B756)</f>
        <v>65</v>
      </c>
    </row>
    <row r="757" spans="1:1" x14ac:dyDescent="0.2">
      <c r="A757">
        <f>SUBTOTAL(3,$B$6:B757)</f>
        <v>65</v>
      </c>
    </row>
    <row r="758" spans="1:1" x14ac:dyDescent="0.2">
      <c r="A758">
        <f>SUBTOTAL(3,$B$6:B758)</f>
        <v>65</v>
      </c>
    </row>
    <row r="759" spans="1:1" x14ac:dyDescent="0.2">
      <c r="A759">
        <f>SUBTOTAL(3,$B$6:B759)</f>
        <v>65</v>
      </c>
    </row>
    <row r="760" spans="1:1" x14ac:dyDescent="0.2">
      <c r="A760">
        <f>SUBTOTAL(3,$B$6:B760)</f>
        <v>65</v>
      </c>
    </row>
    <row r="761" spans="1:1" x14ac:dyDescent="0.2">
      <c r="A761">
        <f>SUBTOTAL(3,$B$6:B761)</f>
        <v>65</v>
      </c>
    </row>
    <row r="762" spans="1:1" x14ac:dyDescent="0.2">
      <c r="A762">
        <f>SUBTOTAL(3,$B$6:B762)</f>
        <v>65</v>
      </c>
    </row>
    <row r="763" spans="1:1" x14ac:dyDescent="0.2">
      <c r="A763">
        <f>SUBTOTAL(3,$B$6:B763)</f>
        <v>65</v>
      </c>
    </row>
    <row r="764" spans="1:1" x14ac:dyDescent="0.2">
      <c r="A764">
        <f>SUBTOTAL(3,$B$6:B764)</f>
        <v>65</v>
      </c>
    </row>
    <row r="765" spans="1:1" x14ac:dyDescent="0.2">
      <c r="A765">
        <f>SUBTOTAL(3,$B$6:B765)</f>
        <v>65</v>
      </c>
    </row>
    <row r="766" spans="1:1" x14ac:dyDescent="0.2">
      <c r="A766">
        <f>SUBTOTAL(3,$B$6:B766)</f>
        <v>65</v>
      </c>
    </row>
    <row r="767" spans="1:1" x14ac:dyDescent="0.2">
      <c r="A767">
        <f>SUBTOTAL(3,$B$6:B767)</f>
        <v>65</v>
      </c>
    </row>
    <row r="768" spans="1:1" x14ac:dyDescent="0.2">
      <c r="A768">
        <f>SUBTOTAL(3,$B$6:B768)</f>
        <v>65</v>
      </c>
    </row>
    <row r="769" spans="1:1" x14ac:dyDescent="0.2">
      <c r="A769">
        <f>SUBTOTAL(3,$B$6:B769)</f>
        <v>65</v>
      </c>
    </row>
    <row r="770" spans="1:1" x14ac:dyDescent="0.2">
      <c r="A770">
        <f>SUBTOTAL(3,$B$6:B770)</f>
        <v>65</v>
      </c>
    </row>
    <row r="771" spans="1:1" x14ac:dyDescent="0.2">
      <c r="A771">
        <f>SUBTOTAL(3,$B$6:B771)</f>
        <v>65</v>
      </c>
    </row>
    <row r="772" spans="1:1" x14ac:dyDescent="0.2">
      <c r="A772">
        <f>SUBTOTAL(3,$B$6:B772)</f>
        <v>65</v>
      </c>
    </row>
    <row r="773" spans="1:1" x14ac:dyDescent="0.2">
      <c r="A773">
        <f>SUBTOTAL(3,$B$6:B773)</f>
        <v>65</v>
      </c>
    </row>
    <row r="774" spans="1:1" x14ac:dyDescent="0.2">
      <c r="A774">
        <f>SUBTOTAL(3,$B$6:B774)</f>
        <v>65</v>
      </c>
    </row>
    <row r="775" spans="1:1" x14ac:dyDescent="0.2">
      <c r="A775">
        <f>SUBTOTAL(3,$B$6:B775)</f>
        <v>65</v>
      </c>
    </row>
    <row r="776" spans="1:1" x14ac:dyDescent="0.2">
      <c r="A776">
        <f>SUBTOTAL(3,$B$6:B776)</f>
        <v>65</v>
      </c>
    </row>
    <row r="777" spans="1:1" x14ac:dyDescent="0.2">
      <c r="A777">
        <f>SUBTOTAL(3,$B$6:B777)</f>
        <v>65</v>
      </c>
    </row>
    <row r="778" spans="1:1" x14ac:dyDescent="0.2">
      <c r="A778">
        <f>SUBTOTAL(3,$B$6:B778)</f>
        <v>65</v>
      </c>
    </row>
    <row r="779" spans="1:1" x14ac:dyDescent="0.2">
      <c r="A779">
        <f>SUBTOTAL(3,$B$6:B779)</f>
        <v>65</v>
      </c>
    </row>
    <row r="780" spans="1:1" x14ac:dyDescent="0.2">
      <c r="A780">
        <f>SUBTOTAL(3,$B$6:B780)</f>
        <v>65</v>
      </c>
    </row>
    <row r="781" spans="1:1" x14ac:dyDescent="0.2">
      <c r="A781">
        <f>SUBTOTAL(3,$B$6:B781)</f>
        <v>65</v>
      </c>
    </row>
    <row r="782" spans="1:1" x14ac:dyDescent="0.2">
      <c r="A782">
        <f>SUBTOTAL(3,$B$6:B782)</f>
        <v>65</v>
      </c>
    </row>
    <row r="783" spans="1:1" x14ac:dyDescent="0.2">
      <c r="A783">
        <f>SUBTOTAL(3,$B$6:B783)</f>
        <v>65</v>
      </c>
    </row>
    <row r="784" spans="1:1" x14ac:dyDescent="0.2">
      <c r="A784">
        <f>SUBTOTAL(3,$B$6:B784)</f>
        <v>65</v>
      </c>
    </row>
    <row r="785" spans="1:1" x14ac:dyDescent="0.2">
      <c r="A785">
        <f>SUBTOTAL(3,$B$6:B785)</f>
        <v>65</v>
      </c>
    </row>
    <row r="786" spans="1:1" x14ac:dyDescent="0.2">
      <c r="A786">
        <f>SUBTOTAL(3,$B$6:B786)</f>
        <v>65</v>
      </c>
    </row>
    <row r="787" spans="1:1" x14ac:dyDescent="0.2">
      <c r="A787">
        <f>SUBTOTAL(3,$B$6:B787)</f>
        <v>65</v>
      </c>
    </row>
    <row r="788" spans="1:1" x14ac:dyDescent="0.2">
      <c r="A788">
        <f>SUBTOTAL(3,$B$6:B788)</f>
        <v>65</v>
      </c>
    </row>
    <row r="789" spans="1:1" x14ac:dyDescent="0.2">
      <c r="A789">
        <f>SUBTOTAL(3,$B$6:B789)</f>
        <v>65</v>
      </c>
    </row>
    <row r="790" spans="1:1" x14ac:dyDescent="0.2">
      <c r="A790">
        <f>SUBTOTAL(3,$B$6:B790)</f>
        <v>65</v>
      </c>
    </row>
    <row r="791" spans="1:1" x14ac:dyDescent="0.2">
      <c r="A791">
        <f>SUBTOTAL(3,$B$6:B791)</f>
        <v>65</v>
      </c>
    </row>
    <row r="792" spans="1:1" x14ac:dyDescent="0.2">
      <c r="A792">
        <f>SUBTOTAL(3,$B$6:B792)</f>
        <v>65</v>
      </c>
    </row>
    <row r="793" spans="1:1" x14ac:dyDescent="0.2">
      <c r="A793">
        <f>SUBTOTAL(3,$B$6:B793)</f>
        <v>65</v>
      </c>
    </row>
    <row r="794" spans="1:1" x14ac:dyDescent="0.2">
      <c r="A794">
        <f>SUBTOTAL(3,$B$6:B794)</f>
        <v>65</v>
      </c>
    </row>
    <row r="795" spans="1:1" x14ac:dyDescent="0.2">
      <c r="A795">
        <f>SUBTOTAL(3,$B$6:B795)</f>
        <v>65</v>
      </c>
    </row>
    <row r="796" spans="1:1" x14ac:dyDescent="0.2">
      <c r="A796">
        <f>SUBTOTAL(3,$B$6:B796)</f>
        <v>65</v>
      </c>
    </row>
    <row r="797" spans="1:1" x14ac:dyDescent="0.2">
      <c r="A797">
        <f>SUBTOTAL(3,$B$6:B797)</f>
        <v>65</v>
      </c>
    </row>
    <row r="798" spans="1:1" x14ac:dyDescent="0.2">
      <c r="A798">
        <f>SUBTOTAL(3,$B$6:B798)</f>
        <v>65</v>
      </c>
    </row>
    <row r="799" spans="1:1" x14ac:dyDescent="0.2">
      <c r="A799">
        <f>SUBTOTAL(3,$B$6:B799)</f>
        <v>65</v>
      </c>
    </row>
    <row r="800" spans="1:1" x14ac:dyDescent="0.2">
      <c r="A800">
        <f>SUBTOTAL(3,$B$6:B800)</f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DS160"/>
  <sheetViews>
    <sheetView showGridLines="0" showZeros="0" zoomScaleNormal="100" workbookViewId="0">
      <selection activeCell="V2" sqref="V2"/>
    </sheetView>
  </sheetViews>
  <sheetFormatPr defaultRowHeight="12" x14ac:dyDescent="0.2"/>
  <cols>
    <col min="1" max="1" width="2.140625" style="4" customWidth="1"/>
    <col min="2" max="2" width="1.42578125" style="162" hidden="1" customWidth="1"/>
    <col min="3" max="3" width="2.5703125" style="2" hidden="1" customWidth="1"/>
    <col min="4" max="4" width="5.5703125" style="2" hidden="1" customWidth="1"/>
    <col min="5" max="5" width="0.42578125" style="2" hidden="1" customWidth="1"/>
    <col min="6" max="6" width="6.42578125" style="3" hidden="1" customWidth="1"/>
    <col min="7" max="7" width="0.42578125" style="3" hidden="1" customWidth="1"/>
    <col min="8" max="8" width="18.5703125" style="2" hidden="1" customWidth="1"/>
    <col min="9" max="9" width="20.7109375" style="2" hidden="1" customWidth="1"/>
    <col min="10" max="10" width="5.28515625" style="2" hidden="1" customWidth="1"/>
    <col min="11" max="11" width="13.42578125" style="2" hidden="1" customWidth="1"/>
    <col min="12" max="12" width="13" style="2" hidden="1" customWidth="1"/>
    <col min="13" max="13" width="10.28515625" style="2" hidden="1" customWidth="1"/>
    <col min="14" max="14" width="2.85546875" style="2" customWidth="1"/>
    <col min="15" max="15" width="1" style="2" customWidth="1"/>
    <col min="16" max="16" width="0.85546875" style="2" hidden="1" customWidth="1"/>
    <col min="17" max="17" width="33.85546875" style="2" customWidth="1"/>
    <col min="18" max="20" width="9.7109375" style="160" customWidth="1"/>
    <col min="21" max="21" width="8.140625" style="2" hidden="1" customWidth="1"/>
    <col min="22" max="22" width="9.85546875" style="2" customWidth="1"/>
    <col min="23" max="23" width="1.5703125" style="2" customWidth="1"/>
    <col min="24" max="24" width="0.7109375" style="2" customWidth="1"/>
    <col min="25" max="25" width="3.140625" style="158" customWidth="1"/>
    <col min="26" max="26" width="4.5703125" style="158" customWidth="1"/>
    <col min="27" max="27" width="12.5703125" style="158" customWidth="1"/>
    <col min="28" max="28" width="8.7109375" style="158" customWidth="1"/>
    <col min="29" max="29" width="2.140625" style="158" customWidth="1"/>
    <col min="30" max="31" width="5.7109375" style="158" customWidth="1"/>
    <col min="32" max="32" width="5.42578125" style="158" customWidth="1"/>
    <col min="33" max="33" width="3.85546875" style="158" customWidth="1"/>
    <col min="34" max="34" width="0.85546875" style="158" customWidth="1"/>
    <col min="35" max="35" width="7.85546875" style="2" customWidth="1"/>
    <col min="36" max="36" width="4.140625" style="2" hidden="1" customWidth="1"/>
    <col min="37" max="37" width="0.5703125" style="2" customWidth="1"/>
    <col min="38" max="38" width="2.140625" style="2" customWidth="1"/>
    <col min="39" max="39" width="9.140625" style="2"/>
    <col min="40" max="40" width="11.28515625" style="1" hidden="1" customWidth="1"/>
    <col min="41" max="46" width="9.140625" style="1" hidden="1" customWidth="1"/>
    <col min="47" max="51" width="9.140625" style="2"/>
    <col min="52" max="123" width="9.140625" style="4"/>
    <col min="124" max="16384" width="9.140625" style="2"/>
  </cols>
  <sheetData>
    <row r="1" spans="1:123" ht="2.25" customHeight="1" x14ac:dyDescent="0.2">
      <c r="A1" s="70"/>
      <c r="B1" s="246"/>
      <c r="C1" s="179"/>
      <c r="D1" s="179"/>
      <c r="E1" s="179"/>
      <c r="F1" s="201"/>
      <c r="G1" s="201"/>
      <c r="H1" s="179"/>
      <c r="I1" s="179"/>
      <c r="J1" s="179"/>
      <c r="K1" s="179"/>
      <c r="L1" s="179"/>
      <c r="M1" s="179"/>
      <c r="N1" s="369"/>
      <c r="O1" s="459"/>
      <c r="P1" s="179"/>
      <c r="Q1" s="179"/>
      <c r="R1" s="180"/>
      <c r="S1" s="180"/>
      <c r="T1" s="235"/>
      <c r="U1" s="51"/>
      <c r="V1" s="51"/>
      <c r="W1" s="471"/>
      <c r="X1" s="108"/>
      <c r="Y1" s="211"/>
      <c r="Z1" s="211"/>
      <c r="AA1" s="211"/>
      <c r="AB1" s="211"/>
      <c r="AC1" s="211"/>
      <c r="AD1" s="211"/>
      <c r="AE1" s="211"/>
      <c r="AF1" s="211"/>
      <c r="AG1" s="211"/>
      <c r="AH1" s="211"/>
      <c r="AI1" s="108"/>
      <c r="AJ1" s="108"/>
      <c r="AK1" s="108"/>
      <c r="AL1" s="451"/>
    </row>
    <row r="2" spans="1:123" ht="14.25" customHeight="1" x14ac:dyDescent="0.2">
      <c r="A2" s="77"/>
      <c r="B2" s="503" t="str">
        <f>"SOF and spend for "&amp;valTheme</f>
        <v>SOF and spend for Bangladesh CO</v>
      </c>
      <c r="C2" s="274"/>
      <c r="D2" s="245"/>
      <c r="E2" s="245"/>
      <c r="F2" s="245"/>
      <c r="G2" s="245"/>
      <c r="H2" s="245"/>
      <c r="I2" s="245"/>
      <c r="J2" s="273" t="s">
        <v>28</v>
      </c>
      <c r="K2" s="273"/>
      <c r="L2" s="245"/>
      <c r="M2" s="245"/>
      <c r="N2" s="370"/>
      <c r="O2" s="460"/>
      <c r="P2" s="167"/>
      <c r="Q2" s="183" t="s">
        <v>326</v>
      </c>
      <c r="R2" s="79"/>
      <c r="S2" s="79"/>
      <c r="T2" s="217"/>
      <c r="U2" s="11"/>
      <c r="V2" s="11"/>
      <c r="W2" s="472"/>
      <c r="X2" s="233"/>
      <c r="Y2" s="304"/>
      <c r="Z2" s="304"/>
      <c r="AA2" s="452"/>
      <c r="AB2" s="304"/>
      <c r="AC2" s="304"/>
      <c r="AD2" s="304"/>
      <c r="AE2" s="304"/>
      <c r="AF2" s="304"/>
      <c r="AG2" s="304"/>
      <c r="AH2" s="304"/>
      <c r="AI2" s="391" t="str">
        <f>"Last updated: "&amp;TEXT(userLastUpdate, "dd-mmm-yyyy")</f>
        <v>Last updated: 15-Jul-2013</v>
      </c>
      <c r="AJ2" s="213"/>
      <c r="AK2" s="213"/>
      <c r="AL2" s="453"/>
      <c r="AN2" s="1" t="s">
        <v>0</v>
      </c>
    </row>
    <row r="3" spans="1:123" ht="14.1" customHeight="1" x14ac:dyDescent="0.2">
      <c r="A3" s="77"/>
      <c r="B3" s="500"/>
      <c r="C3" s="499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370"/>
      <c r="O3" s="460"/>
      <c r="P3" s="167"/>
      <c r="Q3" s="183"/>
      <c r="R3" s="79"/>
      <c r="S3" s="79"/>
      <c r="T3" s="79"/>
      <c r="U3" s="11"/>
      <c r="V3" s="11"/>
      <c r="W3" s="472"/>
      <c r="X3" s="303"/>
      <c r="Y3" s="213"/>
      <c r="Z3" s="213"/>
      <c r="AA3" s="213"/>
      <c r="AB3" s="304"/>
      <c r="AC3" s="304"/>
      <c r="AD3" s="304"/>
      <c r="AE3" s="304"/>
      <c r="AF3" s="304"/>
      <c r="AG3" s="304"/>
      <c r="AH3" s="304"/>
      <c r="AI3" s="213"/>
      <c r="AJ3" s="213"/>
      <c r="AK3" s="213"/>
      <c r="AL3" s="453"/>
    </row>
    <row r="4" spans="1:123" ht="12.95" customHeight="1" x14ac:dyDescent="0.2">
      <c r="A4" s="77"/>
      <c r="B4" s="247"/>
      <c r="C4" s="582" t="s">
        <v>30</v>
      </c>
      <c r="D4" s="582"/>
      <c r="E4" s="202"/>
      <c r="F4" s="301" t="s">
        <v>171</v>
      </c>
      <c r="G4" s="301"/>
      <c r="H4" s="202" t="s">
        <v>180</v>
      </c>
      <c r="I4" s="202"/>
      <c r="J4" s="202"/>
      <c r="K4" s="202"/>
      <c r="L4" s="202" t="s">
        <v>277</v>
      </c>
      <c r="M4" s="202" t="s">
        <v>281</v>
      </c>
      <c r="N4" s="371"/>
      <c r="O4" s="461"/>
      <c r="P4" s="13"/>
      <c r="Q4" s="259" t="s">
        <v>174</v>
      </c>
      <c r="R4" s="429">
        <f>VLOOKUP(valSOF2,DB_SOFFS[],8,FALSE)/valUnits2</f>
        <v>3543.288</v>
      </c>
      <c r="S4" s="430"/>
      <c r="T4" s="79"/>
      <c r="U4" s="11"/>
      <c r="V4" s="448"/>
      <c r="W4" s="473"/>
      <c r="X4" s="234"/>
      <c r="Y4" s="304"/>
      <c r="Z4" s="585" t="s">
        <v>329</v>
      </c>
      <c r="AA4" s="585"/>
      <c r="AB4" s="585"/>
      <c r="AC4" s="585"/>
      <c r="AD4" s="585"/>
      <c r="AE4" s="585"/>
      <c r="AF4" s="585"/>
      <c r="AG4" s="585"/>
      <c r="AH4" s="585"/>
      <c r="AI4" s="585"/>
      <c r="AJ4" s="213"/>
      <c r="AK4" s="213"/>
      <c r="AL4" s="454"/>
    </row>
    <row r="5" spans="1:123" ht="12.95" customHeight="1" x14ac:dyDescent="0.2">
      <c r="A5" s="77"/>
      <c r="B5" s="248">
        <v>0</v>
      </c>
      <c r="C5" s="279">
        <f>IF(ISERROR(AN5),"",IF(AN5=1.000011000011,"ß",ABS(AN5-1)))</f>
        <v>6.735386776671759E-2</v>
      </c>
      <c r="D5" s="159">
        <f t="shared" ref="D5:D15" si="0">IF(ISERROR(AN5),"",AN5)</f>
        <v>1.0673538677667176</v>
      </c>
      <c r="E5" s="255"/>
      <c r="F5" s="431">
        <f t="shared" ref="F5:F15" si="1">IF(ISERROR(AN5),"",VLOOKUP($B5+Slider_SOFList, Table_SOFList, 30,FALSE))</f>
        <v>0.61080999999999896</v>
      </c>
      <c r="G5" s="226"/>
      <c r="H5" s="227" t="str">
        <f t="shared" ref="H5:H15" si="2">IF(ISERROR(AN5),"",VLOOKUP($B5+Slider_SOFList, Table_SOFList, 3,FALSE))</f>
        <v>10604713 - SOF 52</v>
      </c>
      <c r="I5" s="218"/>
      <c r="J5" s="218"/>
      <c r="K5" s="218"/>
      <c r="L5" s="367">
        <f t="shared" ref="L5:L38" si="3">IF(ISERROR(AN5),"",VLOOKUP($B5+Slider_SOFList, Table_SOFList, 34,FALSE))</f>
        <v>1.0673538677667176</v>
      </c>
      <c r="M5" s="408">
        <f t="shared" ref="M5:M38" si="4">IF(ISERROR(AN5),"",VLOOKUP($B5+Slider_SOFList, Table_SOFList, 32,FALSE))</f>
        <v>9.0686700000000009</v>
      </c>
      <c r="N5" s="372"/>
      <c r="O5" s="462" t="s">
        <v>76</v>
      </c>
      <c r="P5" s="13"/>
      <c r="Q5" s="232" t="s">
        <v>176</v>
      </c>
      <c r="R5" s="429"/>
      <c r="S5" s="429"/>
      <c r="T5" s="79"/>
      <c r="U5" s="11"/>
      <c r="V5" s="185"/>
      <c r="W5" s="474"/>
      <c r="X5" s="233"/>
      <c r="Y5" s="304"/>
      <c r="Z5" s="586" t="str">
        <f>valSOF</f>
        <v>76952288 - SOF 11</v>
      </c>
      <c r="AA5" s="586"/>
      <c r="AB5" s="586"/>
      <c r="AC5" s="586"/>
      <c r="AD5" s="586"/>
      <c r="AE5" s="586"/>
      <c r="AF5" s="586"/>
      <c r="AG5" s="586"/>
      <c r="AH5" s="586"/>
      <c r="AI5" s="586"/>
      <c r="AJ5" s="455"/>
      <c r="AK5" s="456"/>
      <c r="AL5" s="457"/>
      <c r="AN5" s="396">
        <f t="shared" ref="AN5:AN15" si="5">VLOOKUP($B5+Slider_SOFList, Table_SOFList, 31,FALSE)</f>
        <v>1.0673538677667176</v>
      </c>
      <c r="AO5" s="397">
        <f t="shared" ref="AO5:AO15" si="6">VLOOKUP($B5+Slider_SOFList, Table_SOFList, 30,FALSE)</f>
        <v>0.61080999999999896</v>
      </c>
      <c r="AQ5" s="1" t="s">
        <v>105</v>
      </c>
      <c r="AR5" s="1" t="str">
        <f>VLOOKUP(valSOF2,DB_SOFFS[],7,FALSE)</f>
        <v>X</v>
      </c>
    </row>
    <row r="6" spans="1:123" ht="12.95" customHeight="1" x14ac:dyDescent="0.2">
      <c r="A6" s="77"/>
      <c r="B6" s="249">
        <v>1</v>
      </c>
      <c r="C6" s="280">
        <f t="shared" ref="C6:C15" si="7">IF(ISERROR(AN6),"",IF(AN6=1.000011000011,"ß",ABS(AN6-1)))</f>
        <v>3.3954044316204302E-2</v>
      </c>
      <c r="D6" s="157">
        <f t="shared" si="0"/>
        <v>0.9660459556837957</v>
      </c>
      <c r="E6" s="256"/>
      <c r="F6" s="432">
        <f t="shared" si="1"/>
        <v>-3.006715000000014</v>
      </c>
      <c r="G6" s="228"/>
      <c r="H6" s="84" t="str">
        <f t="shared" si="2"/>
        <v>10982744 - SOF 31</v>
      </c>
      <c r="I6" s="73"/>
      <c r="J6" s="73"/>
      <c r="K6" s="73"/>
      <c r="L6" s="367">
        <f t="shared" si="3"/>
        <v>0.30686643895584681</v>
      </c>
      <c r="M6" s="408">
        <f t="shared" si="4"/>
        <v>278.771997</v>
      </c>
      <c r="N6" s="372"/>
      <c r="O6" s="462" t="s">
        <v>76</v>
      </c>
      <c r="P6" s="13"/>
      <c r="Q6" s="232" t="s">
        <v>175</v>
      </c>
      <c r="R6" s="429"/>
      <c r="S6" s="429"/>
      <c r="T6" s="79"/>
      <c r="U6" s="185"/>
      <c r="V6" s="185"/>
      <c r="W6" s="474"/>
      <c r="X6" s="233"/>
      <c r="Y6" s="233"/>
      <c r="Z6" s="586"/>
      <c r="AA6" s="586"/>
      <c r="AB6" s="586"/>
      <c r="AC6" s="586"/>
      <c r="AD6" s="586"/>
      <c r="AE6" s="586"/>
      <c r="AF6" s="586"/>
      <c r="AG6" s="586"/>
      <c r="AH6" s="586"/>
      <c r="AI6" s="586"/>
      <c r="AJ6" s="304"/>
      <c r="AK6" s="213"/>
      <c r="AL6" s="453"/>
      <c r="AM6" s="4"/>
      <c r="AN6" s="396">
        <f t="shared" si="5"/>
        <v>0.9660459556837957</v>
      </c>
      <c r="AO6" s="397">
        <f t="shared" si="6"/>
        <v>-3.006715000000014</v>
      </c>
      <c r="AQ6" s="1" t="s">
        <v>179</v>
      </c>
      <c r="AR6" s="398">
        <f ca="1">(TODAY()-Q12)/(S12-Q12)</f>
        <v>1.5321944809461234</v>
      </c>
      <c r="AS6" s="399">
        <f ca="1">IF(AR6&lt;1,1-AR6,1)</f>
        <v>1</v>
      </c>
    </row>
    <row r="7" spans="1:123" ht="12.95" customHeight="1" x14ac:dyDescent="0.2">
      <c r="A7" s="77"/>
      <c r="B7" s="248">
        <v>2</v>
      </c>
      <c r="C7" s="279">
        <f t="shared" si="7"/>
        <v>6.542388148276701E-2</v>
      </c>
      <c r="D7" s="159">
        <f t="shared" si="0"/>
        <v>1.065423881482767</v>
      </c>
      <c r="E7" s="255"/>
      <c r="F7" s="431">
        <f t="shared" si="1"/>
        <v>14.827407000000051</v>
      </c>
      <c r="G7" s="226"/>
      <c r="H7" s="227" t="str">
        <f t="shared" si="2"/>
        <v>11050994 - SOF 26</v>
      </c>
      <c r="I7" s="218"/>
      <c r="J7" s="218"/>
      <c r="K7" s="218"/>
      <c r="L7" s="367">
        <f t="shared" si="3"/>
        <v>0.35319121299644218</v>
      </c>
      <c r="M7" s="408">
        <f t="shared" si="4"/>
        <v>683.66199700000004</v>
      </c>
      <c r="N7" s="372"/>
      <c r="O7" s="462" t="s">
        <v>76</v>
      </c>
      <c r="P7" s="13"/>
      <c r="Q7" s="259" t="s">
        <v>178</v>
      </c>
      <c r="R7" s="429" t="str">
        <f>IF(VLOOKUP(valSOF2,DB_SOFFS[],7,FALSE)="x","Unavail", VLOOKUP(valSOF2,DB_SOFFS[],9,FALSE)/valUnits2)</f>
        <v>Unavail</v>
      </c>
      <c r="S7" s="429"/>
      <c r="T7" s="79"/>
      <c r="U7" s="185"/>
      <c r="V7" s="185"/>
      <c r="W7" s="474"/>
      <c r="X7" s="233"/>
      <c r="Y7" s="233"/>
      <c r="Z7" s="586"/>
      <c r="AA7" s="586"/>
      <c r="AB7" s="586"/>
      <c r="AC7" s="586"/>
      <c r="AD7" s="586"/>
      <c r="AE7" s="586"/>
      <c r="AF7" s="586"/>
      <c r="AG7" s="586"/>
      <c r="AH7" s="586"/>
      <c r="AI7" s="586"/>
      <c r="AJ7" s="304"/>
      <c r="AK7" s="213"/>
      <c r="AL7" s="453"/>
      <c r="AM7" s="4"/>
      <c r="AN7" s="396">
        <f t="shared" si="5"/>
        <v>1.065423881482767</v>
      </c>
      <c r="AO7" s="397">
        <f t="shared" si="6"/>
        <v>14.827407000000051</v>
      </c>
      <c r="AQ7" s="1" t="s">
        <v>104</v>
      </c>
      <c r="AR7" s="399" t="e">
        <f>R7/R4</f>
        <v>#VALUE!</v>
      </c>
      <c r="AS7" s="399" t="e">
        <f>IF(AR7&lt;1,1-AR7,1)</f>
        <v>#VALUE!</v>
      </c>
    </row>
    <row r="8" spans="1:123" ht="12.95" customHeight="1" x14ac:dyDescent="0.2">
      <c r="A8" s="77"/>
      <c r="B8" s="249">
        <v>3</v>
      </c>
      <c r="C8" s="280">
        <f t="shared" si="7"/>
        <v>1.4180936891738938E-4</v>
      </c>
      <c r="D8" s="157">
        <f t="shared" si="0"/>
        <v>1.0001418093689174</v>
      </c>
      <c r="E8" s="256"/>
      <c r="F8" s="432">
        <f t="shared" si="1"/>
        <v>6.7420000000097957E-3</v>
      </c>
      <c r="G8" s="228"/>
      <c r="H8" s="84" t="str">
        <f t="shared" si="2"/>
        <v>12381712 - SOF 87</v>
      </c>
      <c r="I8" s="73"/>
      <c r="J8" s="73"/>
      <c r="K8" s="73"/>
      <c r="L8" s="367">
        <f t="shared" si="3"/>
        <v>1.0001418093689174</v>
      </c>
      <c r="M8" s="408">
        <f t="shared" si="4"/>
        <v>47.542697999999994</v>
      </c>
      <c r="N8" s="372"/>
      <c r="O8" s="462" t="s">
        <v>76</v>
      </c>
      <c r="P8" s="13"/>
      <c r="Q8" s="259" t="s">
        <v>207</v>
      </c>
      <c r="R8" s="429" t="str">
        <f>IF(R7="Unavail","",R4-R7)</f>
        <v/>
      </c>
      <c r="S8" s="429"/>
      <c r="T8" s="79"/>
      <c r="U8" s="185"/>
      <c r="V8" s="185"/>
      <c r="W8" s="474"/>
      <c r="X8" s="233"/>
      <c r="Y8" s="233"/>
      <c r="Z8" s="586"/>
      <c r="AA8" s="586"/>
      <c r="AB8" s="586"/>
      <c r="AC8" s="586"/>
      <c r="AD8" s="586"/>
      <c r="AE8" s="586"/>
      <c r="AF8" s="586"/>
      <c r="AG8" s="586"/>
      <c r="AH8" s="586"/>
      <c r="AI8" s="586"/>
      <c r="AJ8" s="304"/>
      <c r="AK8" s="213"/>
      <c r="AL8" s="457"/>
      <c r="AM8" s="166"/>
      <c r="AN8" s="396">
        <f t="shared" si="5"/>
        <v>1.0001418093689174</v>
      </c>
      <c r="AO8" s="397">
        <f t="shared" si="6"/>
        <v>6.7420000000097957E-3</v>
      </c>
    </row>
    <row r="9" spans="1:123" ht="12.95" customHeight="1" x14ac:dyDescent="0.2">
      <c r="A9" s="77"/>
      <c r="B9" s="248">
        <v>4</v>
      </c>
      <c r="C9" s="279">
        <f t="shared" si="7"/>
        <v>1.7458060486505778</v>
      </c>
      <c r="D9" s="159">
        <f t="shared" si="0"/>
        <v>2.7458060486505778</v>
      </c>
      <c r="E9" s="255"/>
      <c r="F9" s="431">
        <f t="shared" si="1"/>
        <v>21.186980000000002</v>
      </c>
      <c r="G9" s="226"/>
      <c r="H9" s="227" t="str">
        <f t="shared" si="2"/>
        <v>12831166 - SOF 60</v>
      </c>
      <c r="I9" s="218"/>
      <c r="J9" s="218"/>
      <c r="K9" s="218"/>
      <c r="L9" s="367">
        <f t="shared" si="3"/>
        <v>2.7458060486505778</v>
      </c>
      <c r="M9" s="408">
        <f t="shared" si="4"/>
        <v>12.135929999999998</v>
      </c>
      <c r="N9" s="372"/>
      <c r="O9" s="462" t="s">
        <v>76</v>
      </c>
      <c r="P9" s="13"/>
      <c r="Q9" s="463"/>
      <c r="R9" s="79"/>
      <c r="S9" s="429"/>
      <c r="T9" s="79"/>
      <c r="U9" s="185"/>
      <c r="V9" s="185"/>
      <c r="W9" s="474"/>
      <c r="X9" s="233"/>
      <c r="Y9" s="233"/>
      <c r="Z9" s="233"/>
      <c r="AA9" s="233"/>
      <c r="AB9" s="304"/>
      <c r="AC9" s="304"/>
      <c r="AD9" s="304"/>
      <c r="AE9" s="304"/>
      <c r="AF9" s="304"/>
      <c r="AG9" s="304"/>
      <c r="AH9" s="304"/>
      <c r="AI9" s="304"/>
      <c r="AJ9" s="304"/>
      <c r="AK9" s="213"/>
      <c r="AL9" s="453"/>
      <c r="AN9" s="396">
        <f t="shared" si="5"/>
        <v>2.7458060486505778</v>
      </c>
      <c r="AO9" s="397">
        <f t="shared" si="6"/>
        <v>21.186980000000002</v>
      </c>
    </row>
    <row r="10" spans="1:123" s="165" customFormat="1" ht="12.95" customHeight="1" x14ac:dyDescent="0.2">
      <c r="A10" s="254"/>
      <c r="B10" s="249">
        <v>5</v>
      </c>
      <c r="C10" s="280">
        <f t="shared" si="7"/>
        <v>1.0744929367288201</v>
      </c>
      <c r="D10" s="157">
        <f t="shared" si="0"/>
        <v>2.0744929367288201</v>
      </c>
      <c r="E10" s="256"/>
      <c r="F10" s="432">
        <f t="shared" si="1"/>
        <v>57.766495999999989</v>
      </c>
      <c r="G10" s="228"/>
      <c r="H10" s="84" t="str">
        <f t="shared" si="2"/>
        <v>13514762 - SOF 63</v>
      </c>
      <c r="I10" s="73"/>
      <c r="J10" s="73"/>
      <c r="K10" s="73"/>
      <c r="L10" s="367">
        <f t="shared" si="3"/>
        <v>2.0744929367288201</v>
      </c>
      <c r="M10" s="408">
        <f t="shared" si="4"/>
        <v>53.761634000000001</v>
      </c>
      <c r="N10" s="372"/>
      <c r="O10" s="462" t="s">
        <v>76</v>
      </c>
      <c r="P10" s="73"/>
      <c r="Q10" s="188"/>
      <c r="R10" s="189"/>
      <c r="S10" s="78"/>
      <c r="T10" s="78"/>
      <c r="U10" s="185"/>
      <c r="V10" s="185"/>
      <c r="W10" s="474"/>
      <c r="X10" s="233"/>
      <c r="Y10" s="233"/>
      <c r="Z10" s="233"/>
      <c r="AA10" s="233"/>
      <c r="AB10" s="379"/>
      <c r="AC10" s="379"/>
      <c r="AD10" s="379"/>
      <c r="AE10" s="379"/>
      <c r="AF10" s="379"/>
      <c r="AG10" s="379"/>
      <c r="AH10" s="304"/>
      <c r="AI10" s="304"/>
      <c r="AJ10" s="379"/>
      <c r="AK10" s="213"/>
      <c r="AL10" s="453"/>
      <c r="AN10" s="396">
        <f t="shared" si="5"/>
        <v>2.0744929367288201</v>
      </c>
      <c r="AO10" s="397">
        <f t="shared" si="6"/>
        <v>57.766495999999989</v>
      </c>
      <c r="AP10" s="400"/>
      <c r="AQ10" s="400"/>
      <c r="AR10" s="400"/>
      <c r="AS10" s="400"/>
      <c r="AT10" s="400"/>
      <c r="AZ10" s="508"/>
      <c r="BA10" s="508"/>
      <c r="BB10" s="508"/>
      <c r="BC10" s="508"/>
      <c r="BD10" s="508"/>
      <c r="BE10" s="508"/>
      <c r="BF10" s="508"/>
      <c r="BG10" s="508"/>
      <c r="BH10" s="508"/>
      <c r="BI10" s="508"/>
      <c r="BJ10" s="508"/>
      <c r="BK10" s="508"/>
      <c r="BL10" s="508"/>
      <c r="BM10" s="508"/>
      <c r="BN10" s="508"/>
      <c r="BO10" s="508"/>
      <c r="BP10" s="508"/>
      <c r="BQ10" s="508"/>
      <c r="BR10" s="508"/>
      <c r="BS10" s="508"/>
      <c r="BT10" s="508"/>
      <c r="BU10" s="508"/>
      <c r="BV10" s="508"/>
      <c r="BW10" s="508"/>
      <c r="BX10" s="508"/>
      <c r="BY10" s="508"/>
      <c r="BZ10" s="508"/>
      <c r="CA10" s="508"/>
      <c r="CB10" s="508"/>
      <c r="CC10" s="508"/>
      <c r="CD10" s="508"/>
      <c r="CE10" s="508"/>
      <c r="CF10" s="508"/>
      <c r="CG10" s="508"/>
      <c r="CH10" s="508"/>
      <c r="CI10" s="508"/>
      <c r="CJ10" s="508"/>
      <c r="CK10" s="508"/>
      <c r="CL10" s="508"/>
      <c r="CM10" s="508"/>
      <c r="CN10" s="508"/>
      <c r="CO10" s="508"/>
      <c r="CP10" s="508"/>
      <c r="CQ10" s="508"/>
      <c r="CR10" s="508"/>
      <c r="CS10" s="508"/>
      <c r="CT10" s="508"/>
      <c r="CU10" s="508"/>
      <c r="CV10" s="508"/>
      <c r="CW10" s="508"/>
      <c r="CX10" s="508"/>
      <c r="CY10" s="508"/>
      <c r="CZ10" s="508"/>
      <c r="DA10" s="508"/>
      <c r="DB10" s="508"/>
      <c r="DC10" s="508"/>
      <c r="DD10" s="508"/>
      <c r="DE10" s="508"/>
      <c r="DF10" s="508"/>
      <c r="DG10" s="508"/>
      <c r="DH10" s="508"/>
      <c r="DI10" s="508"/>
      <c r="DJ10" s="508"/>
      <c r="DK10" s="508"/>
      <c r="DL10" s="508"/>
      <c r="DM10" s="508"/>
      <c r="DN10" s="508"/>
      <c r="DO10" s="508"/>
      <c r="DP10" s="508"/>
      <c r="DQ10" s="508"/>
      <c r="DR10" s="508"/>
      <c r="DS10" s="508"/>
    </row>
    <row r="11" spans="1:123" s="163" customFormat="1" ht="12.95" customHeight="1" x14ac:dyDescent="0.2">
      <c r="A11" s="77"/>
      <c r="B11" s="248">
        <v>6</v>
      </c>
      <c r="C11" s="279">
        <f t="shared" si="7"/>
        <v>8.457144506439862E-2</v>
      </c>
      <c r="D11" s="159">
        <f t="shared" si="0"/>
        <v>0.91542855493560138</v>
      </c>
      <c r="E11" s="255"/>
      <c r="F11" s="431">
        <f t="shared" si="1"/>
        <v>-1.7404970000000013</v>
      </c>
      <c r="G11" s="226"/>
      <c r="H11" s="227" t="str">
        <f t="shared" si="2"/>
        <v>14122484 - SOF 64</v>
      </c>
      <c r="I11" s="218"/>
      <c r="J11" s="218"/>
      <c r="K11" s="218"/>
      <c r="L11" s="367">
        <f t="shared" si="3"/>
        <v>0.39859980913027709</v>
      </c>
      <c r="M11" s="408">
        <f t="shared" si="4"/>
        <v>47.264699000000007</v>
      </c>
      <c r="N11" s="372"/>
      <c r="O11" s="462" t="s">
        <v>76</v>
      </c>
      <c r="P11" s="192"/>
      <c r="Q11" s="190" t="s">
        <v>177</v>
      </c>
      <c r="R11" s="189"/>
      <c r="S11" s="85"/>
      <c r="T11" s="191" t="s">
        <v>149</v>
      </c>
      <c r="U11" s="11"/>
      <c r="V11" s="11"/>
      <c r="W11" s="472"/>
      <c r="X11" s="233"/>
      <c r="Y11" s="233"/>
      <c r="Z11" s="233"/>
      <c r="AA11" s="233"/>
      <c r="AB11" s="304"/>
      <c r="AC11" s="304"/>
      <c r="AD11" s="304"/>
      <c r="AE11" s="304"/>
      <c r="AF11" s="304"/>
      <c r="AG11" s="304"/>
      <c r="AH11" s="304"/>
      <c r="AI11" s="304"/>
      <c r="AJ11" s="304"/>
      <c r="AK11" s="213"/>
      <c r="AL11" s="453"/>
      <c r="AM11" s="165"/>
      <c r="AN11" s="396">
        <f t="shared" si="5"/>
        <v>0.91542855493560138</v>
      </c>
      <c r="AO11" s="397">
        <f t="shared" si="6"/>
        <v>-1.7404970000000013</v>
      </c>
      <c r="AP11" s="400"/>
      <c r="AQ11" s="400"/>
      <c r="AR11" s="400"/>
      <c r="AS11" s="400"/>
      <c r="AT11" s="400"/>
      <c r="AU11" s="165"/>
      <c r="AV11" s="165"/>
      <c r="AW11" s="165"/>
      <c r="AX11" s="165"/>
      <c r="AY11" s="165"/>
      <c r="AZ11" s="508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</row>
    <row r="12" spans="1:123" s="163" customFormat="1" ht="12.95" customHeight="1" x14ac:dyDescent="0.2">
      <c r="A12" s="77"/>
      <c r="B12" s="249">
        <v>7</v>
      </c>
      <c r="C12" s="280">
        <f t="shared" si="7"/>
        <v>3.1960154209571545E-2</v>
      </c>
      <c r="D12" s="157">
        <f t="shared" si="0"/>
        <v>0.96803984579042845</v>
      </c>
      <c r="E12" s="256"/>
      <c r="F12" s="432">
        <f t="shared" si="1"/>
        <v>-0.39704400000000284</v>
      </c>
      <c r="G12" s="228"/>
      <c r="H12" s="84" t="str">
        <f t="shared" si="2"/>
        <v>14925742 - SOF 51</v>
      </c>
      <c r="I12" s="73"/>
      <c r="J12" s="73"/>
      <c r="K12" s="73"/>
      <c r="L12" s="367">
        <f t="shared" si="3"/>
        <v>0.96803984579042845</v>
      </c>
      <c r="M12" s="408">
        <f t="shared" si="4"/>
        <v>12.423094000000001</v>
      </c>
      <c r="N12" s="372"/>
      <c r="O12" s="462" t="s">
        <v>76</v>
      </c>
      <c r="P12" s="192"/>
      <c r="Q12" s="193">
        <f>VLOOKUP(valSOF2,DB_SOFFS[],4,FALSE)</f>
        <v>40817</v>
      </c>
      <c r="R12" s="11"/>
      <c r="S12" s="583">
        <f>VLOOKUP(valSOF2,DB_SOFFS[],5,FALSE)</f>
        <v>41578</v>
      </c>
      <c r="T12" s="583"/>
      <c r="U12" s="11"/>
      <c r="V12" s="11"/>
      <c r="W12" s="472"/>
      <c r="X12" s="233"/>
      <c r="Y12" s="233"/>
      <c r="Z12" s="233"/>
      <c r="AA12" s="233"/>
      <c r="AB12" s="304"/>
      <c r="AC12" s="304"/>
      <c r="AD12" s="304"/>
      <c r="AE12" s="304"/>
      <c r="AF12" s="304"/>
      <c r="AG12" s="304"/>
      <c r="AH12" s="304"/>
      <c r="AI12" s="304"/>
      <c r="AJ12" s="304"/>
      <c r="AK12" s="213"/>
      <c r="AL12" s="453"/>
      <c r="AM12" s="2"/>
      <c r="AN12" s="396">
        <f t="shared" si="5"/>
        <v>0.96803984579042845</v>
      </c>
      <c r="AO12" s="397">
        <f t="shared" si="6"/>
        <v>-0.39704400000000284</v>
      </c>
      <c r="AP12" s="1"/>
      <c r="AQ12" s="1" t="s">
        <v>172</v>
      </c>
      <c r="AR12" s="1"/>
      <c r="AS12" s="1"/>
      <c r="AT12" s="1"/>
      <c r="AU12" s="2"/>
      <c r="AV12" s="2"/>
      <c r="AW12" s="2"/>
      <c r="AX12" s="2"/>
      <c r="AY12" s="2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</row>
    <row r="13" spans="1:123" s="165" customFormat="1" ht="12.95" customHeight="1" thickBot="1" x14ac:dyDescent="0.25">
      <c r="A13" s="254"/>
      <c r="B13" s="248">
        <v>8</v>
      </c>
      <c r="C13" s="279">
        <f t="shared" si="7"/>
        <v>0.37223524941500397</v>
      </c>
      <c r="D13" s="159">
        <f t="shared" si="0"/>
        <v>0.62776475058499603</v>
      </c>
      <c r="E13" s="255"/>
      <c r="F13" s="431">
        <f t="shared" si="1"/>
        <v>-3.9420610000000007</v>
      </c>
      <c r="G13" s="226"/>
      <c r="H13" s="227" t="str">
        <f t="shared" si="2"/>
        <v>15257207 - SOF 77</v>
      </c>
      <c r="I13" s="218"/>
      <c r="J13" s="218"/>
      <c r="K13" s="218"/>
      <c r="L13" s="367">
        <f t="shared" si="3"/>
        <v>0.62776475058499603</v>
      </c>
      <c r="M13" s="408">
        <f t="shared" si="4"/>
        <v>10.590241000000001</v>
      </c>
      <c r="N13" s="372"/>
      <c r="O13" s="462" t="s">
        <v>76</v>
      </c>
      <c r="P13" s="73"/>
      <c r="Q13" s="11"/>
      <c r="R13" s="11"/>
      <c r="S13" s="11"/>
      <c r="T13" s="11"/>
      <c r="U13" s="85"/>
      <c r="V13" s="85"/>
      <c r="W13" s="475"/>
      <c r="X13" s="303"/>
      <c r="Y13" s="213"/>
      <c r="Z13" s="213"/>
      <c r="AA13" s="213"/>
      <c r="AB13" s="304"/>
      <c r="AC13" s="304"/>
      <c r="AD13" s="304"/>
      <c r="AE13" s="304"/>
      <c r="AF13" s="304"/>
      <c r="AG13" s="304"/>
      <c r="AH13" s="304"/>
      <c r="AI13" s="304"/>
      <c r="AJ13" s="304"/>
      <c r="AK13" s="213"/>
      <c r="AL13" s="453"/>
      <c r="AM13" s="2"/>
      <c r="AN13" s="396">
        <f t="shared" si="5"/>
        <v>0.62776475058499603</v>
      </c>
      <c r="AO13" s="397">
        <f t="shared" si="6"/>
        <v>-3.9420610000000007</v>
      </c>
      <c r="AP13" s="1"/>
      <c r="AQ13" s="1" t="s">
        <v>30</v>
      </c>
      <c r="AR13" s="1"/>
      <c r="AS13" s="1"/>
      <c r="AT13" s="1"/>
      <c r="AU13" s="2"/>
      <c r="AV13" s="2"/>
      <c r="AW13" s="2"/>
      <c r="AX13" s="2"/>
      <c r="AY13" s="2"/>
      <c r="AZ13" s="4"/>
      <c r="BA13" s="508"/>
      <c r="BB13" s="508"/>
      <c r="BC13" s="508"/>
      <c r="BD13" s="508"/>
      <c r="BE13" s="508"/>
      <c r="BF13" s="508"/>
      <c r="BG13" s="508"/>
      <c r="BH13" s="508"/>
      <c r="BI13" s="508"/>
      <c r="BJ13" s="508"/>
      <c r="BK13" s="508"/>
      <c r="BL13" s="508"/>
      <c r="BM13" s="508"/>
      <c r="BN13" s="508"/>
      <c r="BO13" s="508"/>
      <c r="BP13" s="508"/>
      <c r="BQ13" s="508"/>
      <c r="BR13" s="508"/>
      <c r="BS13" s="508"/>
      <c r="BT13" s="508"/>
      <c r="BU13" s="508"/>
      <c r="BV13" s="508"/>
      <c r="BW13" s="508"/>
      <c r="BX13" s="508"/>
      <c r="BY13" s="508"/>
      <c r="BZ13" s="508"/>
      <c r="CA13" s="508"/>
      <c r="CB13" s="508"/>
      <c r="CC13" s="508"/>
      <c r="CD13" s="508"/>
      <c r="CE13" s="508"/>
      <c r="CF13" s="508"/>
      <c r="CG13" s="508"/>
      <c r="CH13" s="508"/>
      <c r="CI13" s="508"/>
      <c r="CJ13" s="508"/>
      <c r="CK13" s="508"/>
      <c r="CL13" s="508"/>
      <c r="CM13" s="508"/>
      <c r="CN13" s="508"/>
      <c r="CO13" s="508"/>
      <c r="CP13" s="508"/>
      <c r="CQ13" s="508"/>
      <c r="CR13" s="508"/>
      <c r="CS13" s="508"/>
      <c r="CT13" s="508"/>
      <c r="CU13" s="508"/>
      <c r="CV13" s="508"/>
      <c r="CW13" s="508"/>
      <c r="CX13" s="508"/>
      <c r="CY13" s="508"/>
      <c r="CZ13" s="508"/>
      <c r="DA13" s="508"/>
      <c r="DB13" s="508"/>
      <c r="DC13" s="508"/>
      <c r="DD13" s="508"/>
      <c r="DE13" s="508"/>
      <c r="DF13" s="508"/>
      <c r="DG13" s="508"/>
      <c r="DH13" s="508"/>
      <c r="DI13" s="508"/>
      <c r="DJ13" s="508"/>
      <c r="DK13" s="508"/>
      <c r="DL13" s="508"/>
      <c r="DM13" s="508"/>
      <c r="DN13" s="508"/>
      <c r="DO13" s="508"/>
      <c r="DP13" s="508"/>
      <c r="DQ13" s="508"/>
      <c r="DR13" s="508"/>
      <c r="DS13" s="508"/>
    </row>
    <row r="14" spans="1:123" ht="12.95" customHeight="1" x14ac:dyDescent="0.2">
      <c r="A14" s="77"/>
      <c r="B14" s="249">
        <v>9</v>
      </c>
      <c r="C14" s="280">
        <f t="shared" si="7"/>
        <v>154.61934722768379</v>
      </c>
      <c r="D14" s="157">
        <f t="shared" si="0"/>
        <v>155.61934722768379</v>
      </c>
      <c r="E14" s="256"/>
      <c r="F14" s="432">
        <f t="shared" si="1"/>
        <v>4.7183639999999984</v>
      </c>
      <c r="G14" s="228"/>
      <c r="H14" s="84" t="str">
        <f t="shared" si="2"/>
        <v>16059950 - SOF 84</v>
      </c>
      <c r="I14" s="73"/>
      <c r="J14" s="73"/>
      <c r="K14" s="73"/>
      <c r="L14" s="367">
        <f t="shared" si="3"/>
        <v>155.61934722768379</v>
      </c>
      <c r="M14" s="408">
        <f t="shared" si="4"/>
        <v>3.0516000000000001E-2</v>
      </c>
      <c r="N14" s="372"/>
      <c r="O14" s="462" t="s">
        <v>76</v>
      </c>
      <c r="P14" s="13"/>
      <c r="Q14" s="194"/>
      <c r="R14" s="189"/>
      <c r="S14" s="78"/>
      <c r="T14" s="85"/>
      <c r="U14" s="11"/>
      <c r="V14" s="11"/>
      <c r="W14" s="472"/>
      <c r="X14" s="505"/>
      <c r="Y14" s="209"/>
      <c r="Z14" s="209"/>
      <c r="AA14" s="587" t="s">
        <v>332</v>
      </c>
      <c r="AB14" s="587"/>
      <c r="AC14" s="365"/>
      <c r="AD14" s="365"/>
      <c r="AE14" s="365"/>
      <c r="AF14" s="365"/>
      <c r="AG14" s="365"/>
      <c r="AH14" s="365"/>
      <c r="AI14" s="365"/>
      <c r="AJ14" s="365"/>
      <c r="AK14" s="209"/>
      <c r="AL14" s="343"/>
      <c r="AN14" s="396">
        <f t="shared" si="5"/>
        <v>155.61934722768379</v>
      </c>
      <c r="AO14" s="397">
        <f t="shared" si="6"/>
        <v>4.7183639999999984</v>
      </c>
      <c r="AQ14" s="1" t="s">
        <v>31</v>
      </c>
    </row>
    <row r="15" spans="1:123" ht="12.95" customHeight="1" thickBot="1" x14ac:dyDescent="0.25">
      <c r="A15" s="77"/>
      <c r="B15" s="248">
        <v>10</v>
      </c>
      <c r="C15" s="279">
        <f t="shared" si="7"/>
        <v>10.994602832485194</v>
      </c>
      <c r="D15" s="159">
        <f t="shared" si="0"/>
        <v>11.994602832485194</v>
      </c>
      <c r="E15" s="255"/>
      <c r="F15" s="431">
        <f t="shared" si="1"/>
        <v>22.465206000000006</v>
      </c>
      <c r="G15" s="226"/>
      <c r="H15" s="227" t="str">
        <f t="shared" si="2"/>
        <v>16460272 - SOF 85</v>
      </c>
      <c r="I15" s="218"/>
      <c r="J15" s="218"/>
      <c r="K15" s="218"/>
      <c r="L15" s="367">
        <f t="shared" si="3"/>
        <v>6.0100507145924187</v>
      </c>
      <c r="M15" s="408">
        <f t="shared" si="4"/>
        <v>4.0779190000000005</v>
      </c>
      <c r="N15" s="372"/>
      <c r="O15" s="464" t="s">
        <v>76</v>
      </c>
      <c r="P15" s="60"/>
      <c r="Q15" s="221"/>
      <c r="R15" s="210"/>
      <c r="S15" s="222" t="s">
        <v>203</v>
      </c>
      <c r="T15" s="223">
        <f>VLOOKUP(valSOF2,DB_SOFFS[],6,FALSE)</f>
        <v>41639</v>
      </c>
      <c r="U15" s="57"/>
      <c r="V15" s="57"/>
      <c r="W15" s="476"/>
      <c r="X15" s="506"/>
      <c r="Y15" s="504"/>
      <c r="Z15" s="504"/>
      <c r="AA15" s="588"/>
      <c r="AB15" s="588"/>
      <c r="AC15" s="504"/>
      <c r="AD15" s="504"/>
      <c r="AE15" s="504"/>
      <c r="AF15" s="504"/>
      <c r="AG15" s="504"/>
      <c r="AH15" s="504"/>
      <c r="AI15" s="132"/>
      <c r="AJ15" s="132"/>
      <c r="AK15" s="132"/>
      <c r="AL15" s="345"/>
      <c r="AM15" s="13"/>
      <c r="AN15" s="396">
        <f t="shared" si="5"/>
        <v>11.994602832485194</v>
      </c>
      <c r="AO15" s="397">
        <f t="shared" si="6"/>
        <v>22.465206000000006</v>
      </c>
    </row>
    <row r="16" spans="1:123" s="170" customFormat="1" ht="14.1" hidden="1" customHeight="1" x14ac:dyDescent="0.2">
      <c r="A16" s="77"/>
      <c r="B16" s="250"/>
      <c r="C16" s="281"/>
      <c r="D16" s="173"/>
      <c r="E16" s="257"/>
      <c r="F16" s="433"/>
      <c r="G16" s="229"/>
      <c r="H16" s="173"/>
      <c r="I16" s="173"/>
      <c r="J16" s="173"/>
      <c r="K16" s="173"/>
      <c r="L16" s="367">
        <f t="shared" si="3"/>
        <v>1.0673538677667176</v>
      </c>
      <c r="M16" s="408">
        <f t="shared" si="4"/>
        <v>9.0686700000000009</v>
      </c>
      <c r="N16" s="373"/>
      <c r="O16" s="465"/>
      <c r="P16" s="172"/>
      <c r="Q16" s="195"/>
      <c r="R16" s="196"/>
      <c r="S16" s="197"/>
      <c r="T16" s="197"/>
      <c r="U16" s="172"/>
      <c r="V16" s="172"/>
      <c r="W16" s="477"/>
      <c r="X16" s="172"/>
      <c r="Y16" s="171"/>
      <c r="Z16" s="171"/>
      <c r="AA16" s="171"/>
      <c r="AB16" s="171"/>
      <c r="AC16" s="171"/>
      <c r="AD16" s="171"/>
      <c r="AE16" s="171"/>
      <c r="AF16" s="171"/>
      <c r="AG16" s="171"/>
      <c r="AH16" s="207"/>
      <c r="AI16" s="172"/>
      <c r="AJ16" s="172"/>
      <c r="AK16" s="172"/>
      <c r="AL16" s="198"/>
      <c r="AM16" s="172"/>
      <c r="AN16" s="1"/>
      <c r="AO16" s="1"/>
      <c r="AP16" s="1"/>
      <c r="AQ16" s="1"/>
      <c r="AR16" s="1"/>
      <c r="AS16" s="1"/>
      <c r="AT16" s="1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</row>
    <row r="17" spans="1:123" s="170" customFormat="1" ht="12.75" hidden="1" thickBot="1" x14ac:dyDescent="0.25">
      <c r="A17" s="77"/>
      <c r="B17" s="250"/>
      <c r="C17" s="281"/>
      <c r="D17" s="173"/>
      <c r="E17" s="257"/>
      <c r="F17" s="433"/>
      <c r="G17" s="229"/>
      <c r="H17" s="173"/>
      <c r="I17" s="173"/>
      <c r="J17" s="173"/>
      <c r="K17" s="173"/>
      <c r="L17" s="367">
        <f t="shared" si="3"/>
        <v>1.0673538677667176</v>
      </c>
      <c r="M17" s="408">
        <f t="shared" si="4"/>
        <v>9.0686700000000009</v>
      </c>
      <c r="N17" s="373"/>
      <c r="O17" s="465"/>
      <c r="P17" s="172"/>
      <c r="Q17" s="292" t="s">
        <v>44</v>
      </c>
      <c r="R17" s="486" t="s">
        <v>911</v>
      </c>
      <c r="S17" s="197"/>
      <c r="T17" s="197"/>
      <c r="U17" s="172"/>
      <c r="V17" s="172"/>
      <c r="W17" s="477"/>
      <c r="X17" s="172"/>
      <c r="Y17" s="224"/>
      <c r="Z17" s="224"/>
      <c r="AA17" s="101"/>
      <c r="AB17" s="171"/>
      <c r="AC17" s="171"/>
      <c r="AD17" s="171"/>
      <c r="AE17" s="171"/>
      <c r="AF17" s="171"/>
      <c r="AG17" s="171"/>
      <c r="AH17" s="207"/>
      <c r="AI17" s="172"/>
      <c r="AJ17" s="172"/>
      <c r="AK17" s="172"/>
      <c r="AL17" s="198"/>
      <c r="AM17" s="172"/>
      <c r="AN17" s="1"/>
      <c r="AO17" s="1"/>
      <c r="AP17" s="1"/>
      <c r="AQ17" s="1"/>
      <c r="AR17" s="1"/>
      <c r="AS17" s="1"/>
      <c r="AT17" s="1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</row>
    <row r="18" spans="1:123" s="4" customFormat="1" ht="14.1" customHeight="1" thickBot="1" x14ac:dyDescent="0.25">
      <c r="A18" s="77"/>
      <c r="B18" s="251">
        <v>11</v>
      </c>
      <c r="C18" s="282">
        <f>IF(ISERROR(AN18),"",IF(AN18=1.000011000011,"ß",ABS(AN18-1)))</f>
        <v>5.9842004425204154E-2</v>
      </c>
      <c r="D18" s="219">
        <f t="shared" ref="D18:D38" si="8">IF(ISERROR(AN18),"",AN18)</f>
        <v>0.94015799557479585</v>
      </c>
      <c r="E18" s="258"/>
      <c r="F18" s="231">
        <f t="shared" ref="F18:F38" si="9">IF(ISERROR(AN18),"",VLOOKUP($B18+Slider_SOFList, Table_SOFList, 30,FALSE))</f>
        <v>-31.157385000000261</v>
      </c>
      <c r="G18" s="230"/>
      <c r="H18" s="74" t="str">
        <f t="shared" ref="H18:H38" si="10">IF(ISERROR(AN18),"",VLOOKUP($B18+Slider_SOFList, Table_SOFList, 3,FALSE))</f>
        <v>18072790 - SOF 41</v>
      </c>
      <c r="I18" s="85"/>
      <c r="J18" s="85"/>
      <c r="K18" s="85"/>
      <c r="L18" s="367">
        <f t="shared" si="3"/>
        <v>0.94015799557479585</v>
      </c>
      <c r="M18" s="408">
        <f t="shared" si="4"/>
        <v>520.66078500000015</v>
      </c>
      <c r="N18" s="374" t="s">
        <v>76</v>
      </c>
      <c r="O18" s="466"/>
      <c r="P18" s="11"/>
      <c r="Q18" s="494" t="s">
        <v>333</v>
      </c>
      <c r="R18" s="496"/>
      <c r="S18" s="497"/>
      <c r="T18" s="497"/>
      <c r="U18" s="11"/>
      <c r="V18" s="496"/>
      <c r="W18" s="472"/>
      <c r="X18" s="11"/>
      <c r="Y18" s="494" t="s">
        <v>331</v>
      </c>
      <c r="Z18" s="494"/>
      <c r="AA18" s="494"/>
      <c r="AB18" s="494"/>
      <c r="AC18" s="494"/>
      <c r="AD18" s="494"/>
      <c r="AE18" s="495"/>
      <c r="AF18" s="495"/>
      <c r="AG18" s="263"/>
      <c r="AH18" s="96"/>
      <c r="AI18" s="174" t="s">
        <v>40</v>
      </c>
      <c r="AJ18" s="175"/>
      <c r="AK18" s="131"/>
      <c r="AL18" s="113"/>
      <c r="AM18" s="11"/>
      <c r="AN18" s="396">
        <f t="shared" ref="AN18:AN38" si="11">VLOOKUP($B18+Slider_SOFList, Table_SOFList, 31,FALSE)</f>
        <v>0.94015799557479585</v>
      </c>
      <c r="AO18" s="397">
        <f t="shared" ref="AO18:AO38" si="12">VLOOKUP($B18+Slider_SOFList, Table_SOFList, 30,FALSE)</f>
        <v>-31.157385000000261</v>
      </c>
      <c r="AP18" s="1"/>
      <c r="AQ18" s="1"/>
      <c r="AR18" s="1"/>
      <c r="AS18" s="1"/>
      <c r="AT18" s="1"/>
    </row>
    <row r="19" spans="1:123" ht="13.5" thickTop="1" x14ac:dyDescent="0.2">
      <c r="A19" s="77"/>
      <c r="B19" s="248">
        <v>12</v>
      </c>
      <c r="C19" s="279">
        <f t="shared" ref="C19:C38" si="13">IF(ISERROR(AN19),"",IF(AN19=1.000011000011,"ß",ABS(AN19-1)))</f>
        <v>8.6880928838717453E-2</v>
      </c>
      <c r="D19" s="159">
        <f t="shared" si="8"/>
        <v>0.91311907116128255</v>
      </c>
      <c r="E19" s="255"/>
      <c r="F19" s="431">
        <f t="shared" si="9"/>
        <v>-9.6768300000000238</v>
      </c>
      <c r="G19" s="226"/>
      <c r="H19" s="227" t="str">
        <f t="shared" si="10"/>
        <v>18573509 - SOF 23</v>
      </c>
      <c r="I19" s="218"/>
      <c r="J19" s="218"/>
      <c r="K19" s="218"/>
      <c r="L19" s="367">
        <f t="shared" si="3"/>
        <v>0.44366314173083493</v>
      </c>
      <c r="M19" s="408">
        <f t="shared" si="4"/>
        <v>229.23594599999996</v>
      </c>
      <c r="N19" s="372" t="s">
        <v>76</v>
      </c>
      <c r="O19" s="462" t="s">
        <v>76</v>
      </c>
      <c r="P19" s="13"/>
      <c r="Q19" s="186"/>
      <c r="R19" s="294" t="s">
        <v>76</v>
      </c>
      <c r="S19" s="186"/>
      <c r="T19" s="186"/>
      <c r="U19" s="444"/>
      <c r="V19" s="467"/>
      <c r="W19" s="478"/>
      <c r="X19" s="73"/>
      <c r="Y19" s="377" t="s">
        <v>327</v>
      </c>
      <c r="Z19" s="377"/>
      <c r="AA19" s="377"/>
      <c r="AB19" s="377"/>
      <c r="AC19" s="377"/>
      <c r="AD19" s="377"/>
      <c r="AF19" s="498" t="s">
        <v>34</v>
      </c>
      <c r="AG19" s="220"/>
      <c r="AH19" s="96"/>
      <c r="AI19" s="208" t="str">
        <f>Selections!$F$3</f>
        <v>1st   (Apr)</v>
      </c>
      <c r="AJ19" s="208"/>
      <c r="AK19" s="131"/>
      <c r="AL19" s="113"/>
      <c r="AM19" s="13"/>
      <c r="AN19" s="396">
        <f t="shared" si="11"/>
        <v>0.91311907116128255</v>
      </c>
      <c r="AO19" s="397">
        <f t="shared" si="12"/>
        <v>-9.6768300000000238</v>
      </c>
      <c r="AQ19" s="1" t="s">
        <v>169</v>
      </c>
      <c r="AR19" s="1">
        <f>SUBTOTAL(5,DB_SOFList[Variance])</f>
        <v>-1231.5402070000002</v>
      </c>
    </row>
    <row r="20" spans="1:123" ht="24" x14ac:dyDescent="0.2">
      <c r="A20" s="77"/>
      <c r="B20" s="249">
        <v>13</v>
      </c>
      <c r="C20" s="280">
        <f t="shared" si="13"/>
        <v>0.77390889804586882</v>
      </c>
      <c r="D20" s="157">
        <f t="shared" si="8"/>
        <v>1.7739088980458688</v>
      </c>
      <c r="E20" s="256"/>
      <c r="F20" s="432">
        <f t="shared" si="9"/>
        <v>8.7922660000000015</v>
      </c>
      <c r="G20" s="228"/>
      <c r="H20" s="84" t="str">
        <f t="shared" si="10"/>
        <v>18946394 - SOF 27</v>
      </c>
      <c r="I20" s="73"/>
      <c r="J20" s="73"/>
      <c r="K20" s="73"/>
      <c r="L20" s="367">
        <f t="shared" si="3"/>
        <v>0.50553859093013032</v>
      </c>
      <c r="M20" s="408">
        <f t="shared" si="4"/>
        <v>39.864652</v>
      </c>
      <c r="N20" s="372" t="s">
        <v>76</v>
      </c>
      <c r="O20" s="462" t="s">
        <v>76</v>
      </c>
      <c r="P20" s="13"/>
      <c r="Q20" s="446" t="s">
        <v>325</v>
      </c>
      <c r="R20" s="72" t="s">
        <v>159</v>
      </c>
      <c r="S20" s="72" t="s">
        <v>173</v>
      </c>
      <c r="T20" s="378" t="s">
        <v>279</v>
      </c>
      <c r="U20" s="487" t="s">
        <v>280</v>
      </c>
      <c r="V20" s="443" t="s">
        <v>324</v>
      </c>
      <c r="W20" s="479"/>
      <c r="X20" s="84"/>
      <c r="Y20" s="470"/>
      <c r="Z20" s="73"/>
      <c r="AA20" s="72"/>
      <c r="AB20" s="72"/>
      <c r="AC20" s="72"/>
      <c r="AD20" s="378"/>
      <c r="AF20" s="498" t="s">
        <v>204</v>
      </c>
      <c r="AG20" s="263"/>
      <c r="AH20" s="96"/>
      <c r="AI20" s="177" t="s">
        <v>304</v>
      </c>
      <c r="AJ20" s="131"/>
      <c r="AK20" s="131"/>
      <c r="AL20" s="113"/>
      <c r="AM20" s="13"/>
      <c r="AN20" s="396">
        <f t="shared" si="11"/>
        <v>1.7739088980458688</v>
      </c>
      <c r="AO20" s="397">
        <f t="shared" si="12"/>
        <v>8.7922660000000015</v>
      </c>
      <c r="AQ20" s="1" t="s">
        <v>170</v>
      </c>
      <c r="AR20" s="1">
        <f>SUBTOTAL(4,DB_SOFList[Variance])</f>
        <v>499.94488399999977</v>
      </c>
    </row>
    <row r="21" spans="1:123" ht="12.75" x14ac:dyDescent="0.2">
      <c r="A21" s="77"/>
      <c r="B21" s="248">
        <v>14</v>
      </c>
      <c r="C21" s="279">
        <f t="shared" si="13"/>
        <v>2.3065344802939203E-2</v>
      </c>
      <c r="D21" s="159">
        <f t="shared" si="8"/>
        <v>0.9769346551970608</v>
      </c>
      <c r="E21" s="255"/>
      <c r="F21" s="431">
        <f t="shared" si="9"/>
        <v>2.7429999999999399E-3</v>
      </c>
      <c r="G21" s="226"/>
      <c r="H21" s="227" t="str">
        <f t="shared" si="10"/>
        <v>19248607 - SOF 88</v>
      </c>
      <c r="I21" s="218"/>
      <c r="J21" s="218"/>
      <c r="K21" s="218"/>
      <c r="L21" s="367">
        <f t="shared" si="3"/>
        <v>0.9769346551970608</v>
      </c>
      <c r="M21" s="408">
        <f t="shared" si="4"/>
        <v>-0.118923</v>
      </c>
      <c r="N21" s="372" t="s">
        <v>76</v>
      </c>
      <c r="O21" s="462" t="s">
        <v>76</v>
      </c>
      <c r="P21" s="13"/>
      <c r="Q21" s="186" t="s">
        <v>481</v>
      </c>
      <c r="R21" s="416">
        <v>797.41917999999998</v>
      </c>
      <c r="S21" s="416">
        <v>2006.397616</v>
      </c>
      <c r="T21" s="105">
        <v>0.39743826131021481</v>
      </c>
      <c r="U21" s="488">
        <v>0.25903811945566951</v>
      </c>
      <c r="V21" s="445">
        <f>U21</f>
        <v>0.25903811945566951</v>
      </c>
      <c r="W21" s="480"/>
      <c r="X21" s="12"/>
      <c r="Z21" s="199"/>
      <c r="AA21" s="416"/>
      <c r="AB21" s="416"/>
      <c r="AC21" s="416"/>
      <c r="AD21" s="105"/>
      <c r="AF21" s="168"/>
      <c r="AG21" s="263"/>
      <c r="AH21" s="96"/>
      <c r="AI21" s="176"/>
      <c r="AJ21" s="131"/>
      <c r="AK21" s="131"/>
      <c r="AL21" s="113"/>
      <c r="AM21" s="13"/>
      <c r="AN21" s="396">
        <f t="shared" si="11"/>
        <v>0.9769346551970608</v>
      </c>
      <c r="AO21" s="397">
        <f t="shared" si="12"/>
        <v>2.7429999999999399E-3</v>
      </c>
    </row>
    <row r="22" spans="1:123" x14ac:dyDescent="0.2">
      <c r="A22" s="77"/>
      <c r="B22" s="249">
        <v>15</v>
      </c>
      <c r="C22" s="280">
        <f t="shared" si="13"/>
        <v>0.30957393053023941</v>
      </c>
      <c r="D22" s="157">
        <f t="shared" si="8"/>
        <v>1.3095739305302394</v>
      </c>
      <c r="E22" s="256"/>
      <c r="F22" s="432">
        <f t="shared" si="9"/>
        <v>0.7566250000000001</v>
      </c>
      <c r="G22" s="228"/>
      <c r="H22" s="84" t="str">
        <f t="shared" si="10"/>
        <v>19289657 - SOF 74</v>
      </c>
      <c r="I22" s="73"/>
      <c r="J22" s="73"/>
      <c r="K22" s="73"/>
      <c r="L22" s="367">
        <f t="shared" si="3"/>
        <v>0.26452452635612922</v>
      </c>
      <c r="M22" s="408">
        <f t="shared" si="4"/>
        <v>12.099860999999999</v>
      </c>
      <c r="N22" s="372" t="s">
        <v>76</v>
      </c>
      <c r="O22" s="462" t="s">
        <v>76</v>
      </c>
      <c r="P22" s="13"/>
      <c r="Q22" s="186" t="s">
        <v>938</v>
      </c>
      <c r="R22" s="416">
        <v>797.41917999999998</v>
      </c>
      <c r="S22" s="416">
        <v>2006.397616</v>
      </c>
      <c r="T22" s="105">
        <v>0.39743826131021481</v>
      </c>
      <c r="U22" s="488">
        <v>0.25903811945566951</v>
      </c>
      <c r="V22" s="445">
        <f t="shared" ref="V22:V64" si="14">U22</f>
        <v>0.25903811945566951</v>
      </c>
      <c r="W22" s="480"/>
      <c r="X22" s="12"/>
      <c r="Y22" s="200"/>
      <c r="Z22" s="200"/>
      <c r="AA22" s="416"/>
      <c r="AB22" s="416"/>
      <c r="AC22" s="416"/>
      <c r="AD22" s="105"/>
      <c r="AE22" s="105"/>
      <c r="AF22" s="105"/>
      <c r="AG22" s="264"/>
      <c r="AH22" s="96"/>
      <c r="AI22" s="176"/>
      <c r="AJ22" s="131"/>
      <c r="AK22" s="131"/>
      <c r="AL22" s="113"/>
      <c r="AM22" s="13"/>
      <c r="AN22" s="396">
        <f t="shared" si="11"/>
        <v>1.3095739305302394</v>
      </c>
      <c r="AO22" s="397">
        <f t="shared" si="12"/>
        <v>0.7566250000000001</v>
      </c>
      <c r="AQ22" s="1" t="str">
        <f>valSOF</f>
        <v>76952288 - SOF 11</v>
      </c>
    </row>
    <row r="23" spans="1:123" x14ac:dyDescent="0.2">
      <c r="A23" s="77"/>
      <c r="B23" s="248">
        <v>16</v>
      </c>
      <c r="C23" s="279">
        <f t="shared" si="13"/>
        <v>0.15379395964880804</v>
      </c>
      <c r="D23" s="159">
        <f t="shared" si="8"/>
        <v>0.84620604035119196</v>
      </c>
      <c r="E23" s="255"/>
      <c r="F23" s="431">
        <f t="shared" si="9"/>
        <v>-3.0290759999999963</v>
      </c>
      <c r="G23" s="226"/>
      <c r="H23" s="227" t="str">
        <f t="shared" si="10"/>
        <v>19641667 - SOF 75</v>
      </c>
      <c r="I23" s="218"/>
      <c r="J23" s="218"/>
      <c r="K23" s="218"/>
      <c r="L23" s="367">
        <f t="shared" si="3"/>
        <v>0.36381304254018892</v>
      </c>
      <c r="M23" s="408">
        <f t="shared" si="4"/>
        <v>45.810892000000003</v>
      </c>
      <c r="N23" s="372" t="s">
        <v>76</v>
      </c>
      <c r="O23" s="462" t="s">
        <v>76</v>
      </c>
      <c r="P23" s="13"/>
      <c r="Q23" s="186" t="s">
        <v>954</v>
      </c>
      <c r="R23" s="416">
        <v>0</v>
      </c>
      <c r="S23" s="416">
        <v>0</v>
      </c>
      <c r="T23" s="105">
        <v>0</v>
      </c>
      <c r="U23" s="488">
        <v>0</v>
      </c>
      <c r="V23" s="445">
        <f t="shared" si="14"/>
        <v>0</v>
      </c>
      <c r="W23" s="480"/>
      <c r="X23" s="12"/>
      <c r="Y23" s="200"/>
      <c r="Z23" s="200"/>
      <c r="AA23" s="416"/>
      <c r="AB23" s="416"/>
      <c r="AC23" s="416"/>
      <c r="AD23" s="105"/>
      <c r="AE23" s="105"/>
      <c r="AF23" s="105"/>
      <c r="AG23" s="264"/>
      <c r="AH23" s="96"/>
      <c r="AI23" s="177"/>
      <c r="AJ23" s="131"/>
      <c r="AK23" s="131"/>
      <c r="AL23" s="113"/>
      <c r="AM23" s="13"/>
      <c r="AN23" s="396">
        <f t="shared" si="11"/>
        <v>0.84620604035119196</v>
      </c>
      <c r="AO23" s="397">
        <f t="shared" si="12"/>
        <v>-3.0290759999999963</v>
      </c>
    </row>
    <row r="24" spans="1:123" x14ac:dyDescent="0.2">
      <c r="A24" s="77"/>
      <c r="B24" s="249">
        <v>17</v>
      </c>
      <c r="C24" s="280">
        <f t="shared" si="13"/>
        <v>4.1012824154366356E-2</v>
      </c>
      <c r="D24" s="157">
        <f t="shared" si="8"/>
        <v>0.95898717584563364</v>
      </c>
      <c r="E24" s="256"/>
      <c r="F24" s="432">
        <f t="shared" si="9"/>
        <v>-6.5476870000000815</v>
      </c>
      <c r="G24" s="228"/>
      <c r="H24" s="84" t="str">
        <f t="shared" si="10"/>
        <v>19741290 - SOF 22</v>
      </c>
      <c r="I24" s="73"/>
      <c r="J24" s="73"/>
      <c r="K24" s="73"/>
      <c r="L24" s="367">
        <f t="shared" si="3"/>
        <v>0.46844310610292145</v>
      </c>
      <c r="M24" s="408">
        <f t="shared" si="4"/>
        <v>326.83170699999994</v>
      </c>
      <c r="N24" s="372" t="s">
        <v>76</v>
      </c>
      <c r="O24" s="462" t="s">
        <v>76</v>
      </c>
      <c r="P24" s="13"/>
      <c r="Q24" s="186" t="s">
        <v>960</v>
      </c>
      <c r="R24" s="416">
        <v>0</v>
      </c>
      <c r="S24" s="416">
        <v>0</v>
      </c>
      <c r="T24" s="105">
        <v>0</v>
      </c>
      <c r="U24" s="488">
        <v>0</v>
      </c>
      <c r="V24" s="445">
        <f t="shared" si="14"/>
        <v>0</v>
      </c>
      <c r="W24" s="480"/>
      <c r="X24" s="12"/>
      <c r="Y24" s="200"/>
      <c r="Z24" s="200"/>
      <c r="AA24" s="416"/>
      <c r="AB24" s="416"/>
      <c r="AC24" s="416"/>
      <c r="AD24" s="105"/>
      <c r="AE24" s="105"/>
      <c r="AF24" s="105"/>
      <c r="AG24" s="264"/>
      <c r="AH24" s="96"/>
      <c r="AI24" s="584" t="s">
        <v>32</v>
      </c>
      <c r="AJ24" s="584"/>
      <c r="AK24" s="131"/>
      <c r="AL24" s="113"/>
      <c r="AM24" s="13"/>
      <c r="AN24" s="396">
        <f t="shared" si="11"/>
        <v>0.95898717584563364</v>
      </c>
      <c r="AO24" s="397">
        <f t="shared" si="12"/>
        <v>-6.5476870000000815</v>
      </c>
    </row>
    <row r="25" spans="1:123" x14ac:dyDescent="0.2">
      <c r="A25" s="77"/>
      <c r="B25" s="248">
        <v>18</v>
      </c>
      <c r="C25" s="279">
        <f t="shared" si="13"/>
        <v>1.087642389745791E-3</v>
      </c>
      <c r="D25" s="159">
        <f t="shared" si="8"/>
        <v>0.99891235761025421</v>
      </c>
      <c r="E25" s="255"/>
      <c r="F25" s="431">
        <f t="shared" si="9"/>
        <v>-0.23013599999998746</v>
      </c>
      <c r="G25" s="226"/>
      <c r="H25" s="227" t="str">
        <f t="shared" si="10"/>
        <v>19909676 - SOF 61</v>
      </c>
      <c r="I25" s="218"/>
      <c r="J25" s="218"/>
      <c r="K25" s="218"/>
      <c r="L25" s="367">
        <f t="shared" si="3"/>
        <v>0.90457566075676787</v>
      </c>
      <c r="M25" s="408">
        <f t="shared" si="4"/>
        <v>233.65814399999996</v>
      </c>
      <c r="N25" s="372" t="s">
        <v>76</v>
      </c>
      <c r="O25" s="462" t="s">
        <v>76</v>
      </c>
      <c r="P25" s="13"/>
      <c r="Q25" s="186" t="s">
        <v>989</v>
      </c>
      <c r="R25" s="416">
        <v>0</v>
      </c>
      <c r="S25" s="416">
        <v>0</v>
      </c>
      <c r="T25" s="105">
        <v>0</v>
      </c>
      <c r="U25" s="488">
        <v>0</v>
      </c>
      <c r="V25" s="445">
        <f t="shared" si="14"/>
        <v>0</v>
      </c>
      <c r="W25" s="480"/>
      <c r="X25" s="12"/>
      <c r="Y25" s="200"/>
      <c r="Z25" s="200"/>
      <c r="AA25" s="416"/>
      <c r="AB25" s="416"/>
      <c r="AC25" s="416"/>
      <c r="AD25" s="105"/>
      <c r="AE25" s="105"/>
      <c r="AF25" s="105"/>
      <c r="AG25" s="264"/>
      <c r="AH25" s="96"/>
      <c r="AI25" s="584" t="s">
        <v>29</v>
      </c>
      <c r="AJ25" s="584"/>
      <c r="AK25" s="131"/>
      <c r="AL25" s="113"/>
      <c r="AM25" s="13"/>
      <c r="AN25" s="396">
        <f t="shared" si="11"/>
        <v>0.99891235761025421</v>
      </c>
      <c r="AO25" s="397">
        <f t="shared" si="12"/>
        <v>-0.23013599999998746</v>
      </c>
    </row>
    <row r="26" spans="1:123" x14ac:dyDescent="0.2">
      <c r="A26" s="77"/>
      <c r="B26" s="249">
        <v>19</v>
      </c>
      <c r="C26" s="280">
        <f t="shared" si="13"/>
        <v>2.5019857052508643E-2</v>
      </c>
      <c r="D26" s="157">
        <f t="shared" si="8"/>
        <v>1.0250198570525086</v>
      </c>
      <c r="E26" s="256"/>
      <c r="F26" s="432">
        <f t="shared" si="9"/>
        <v>79.077633999999762</v>
      </c>
      <c r="G26" s="228"/>
      <c r="H26" s="84" t="str">
        <f t="shared" si="10"/>
        <v>21254302 - SOF 34</v>
      </c>
      <c r="I26" s="73"/>
      <c r="J26" s="73"/>
      <c r="K26" s="73"/>
      <c r="L26" s="367">
        <f t="shared" si="3"/>
        <v>0.3954269574813386</v>
      </c>
      <c r="M26" s="408">
        <f t="shared" si="4"/>
        <v>8192.8470700000016</v>
      </c>
      <c r="N26" s="372" t="s">
        <v>76</v>
      </c>
      <c r="O26" s="462" t="s">
        <v>76</v>
      </c>
      <c r="P26" s="13"/>
      <c r="Q26" s="186" t="s">
        <v>488</v>
      </c>
      <c r="R26" s="416">
        <v>6.930699999999999</v>
      </c>
      <c r="S26" s="416">
        <v>9.1612109999999998</v>
      </c>
      <c r="T26" s="105">
        <v>0.75652662077098753</v>
      </c>
      <c r="U26" s="488">
        <v>0.56522996133907644</v>
      </c>
      <c r="V26" s="445">
        <f t="shared" si="14"/>
        <v>0.56522996133907644</v>
      </c>
      <c r="W26" s="480"/>
      <c r="X26" s="12"/>
      <c r="Y26" s="200"/>
      <c r="Z26" s="200"/>
      <c r="AA26" s="416"/>
      <c r="AB26" s="416"/>
      <c r="AC26" s="416"/>
      <c r="AD26" s="105"/>
      <c r="AE26" s="105"/>
      <c r="AF26" s="105"/>
      <c r="AG26" s="264"/>
      <c r="AH26" s="96"/>
      <c r="AI26" s="143"/>
      <c r="AJ26" s="143"/>
      <c r="AK26" s="131"/>
      <c r="AL26" s="113"/>
      <c r="AM26" s="13"/>
      <c r="AN26" s="396">
        <f t="shared" si="11"/>
        <v>1.0250198570525086</v>
      </c>
      <c r="AO26" s="397">
        <f t="shared" si="12"/>
        <v>79.077633999999762</v>
      </c>
      <c r="AQ26" s="1" t="s">
        <v>155</v>
      </c>
      <c r="AR26" s="1">
        <f>1+threshRed</f>
        <v>1.5</v>
      </c>
      <c r="AS26" s="1">
        <f>1-threshRed</f>
        <v>0.5</v>
      </c>
    </row>
    <row r="27" spans="1:123" x14ac:dyDescent="0.2">
      <c r="A27" s="77"/>
      <c r="B27" s="248">
        <v>20</v>
      </c>
      <c r="C27" s="279">
        <f t="shared" si="13"/>
        <v>2.6645352591003757E-15</v>
      </c>
      <c r="D27" s="159">
        <f t="shared" si="8"/>
        <v>0.99999999999999734</v>
      </c>
      <c r="E27" s="255"/>
      <c r="F27" s="431">
        <f t="shared" si="9"/>
        <v>3.5527136788005009E-15</v>
      </c>
      <c r="G27" s="226"/>
      <c r="H27" s="227" t="str">
        <f t="shared" si="10"/>
        <v>22386924 - SOF 82</v>
      </c>
      <c r="I27" s="218"/>
      <c r="J27" s="218"/>
      <c r="K27" s="218"/>
      <c r="L27" s="367">
        <f t="shared" si="3"/>
        <v>0.99999999999999734</v>
      </c>
      <c r="M27" s="408">
        <f t="shared" si="4"/>
        <v>-1.3365200000000004</v>
      </c>
      <c r="N27" s="372" t="s">
        <v>76</v>
      </c>
      <c r="O27" s="462" t="s">
        <v>76</v>
      </c>
      <c r="P27" s="13"/>
      <c r="Q27" s="186" t="s">
        <v>968</v>
      </c>
      <c r="R27" s="416">
        <v>6.1999999999999998E-3</v>
      </c>
      <c r="S27" s="416">
        <v>0</v>
      </c>
      <c r="T27" s="105">
        <v>0</v>
      </c>
      <c r="U27" s="488">
        <v>0</v>
      </c>
      <c r="V27" s="445">
        <f t="shared" si="14"/>
        <v>0</v>
      </c>
      <c r="W27" s="480"/>
      <c r="X27" s="12"/>
      <c r="Y27" s="200"/>
      <c r="Z27" s="200"/>
      <c r="AA27" s="416"/>
      <c r="AB27" s="416"/>
      <c r="AC27" s="416"/>
      <c r="AD27" s="105"/>
      <c r="AE27" s="105"/>
      <c r="AF27" s="105"/>
      <c r="AG27" s="264"/>
      <c r="AH27" s="96"/>
      <c r="AI27" s="143"/>
      <c r="AJ27" s="143"/>
      <c r="AK27" s="131"/>
      <c r="AL27" s="113"/>
      <c r="AM27" s="13"/>
      <c r="AN27" s="396">
        <f t="shared" si="11"/>
        <v>0.99999999999999734</v>
      </c>
      <c r="AO27" s="397">
        <f t="shared" si="12"/>
        <v>3.5527136788005009E-15</v>
      </c>
      <c r="AR27" s="1">
        <f>1+threshYellow</f>
        <v>1.2</v>
      </c>
      <c r="AS27" s="1">
        <f>1-threshYellow</f>
        <v>0.8</v>
      </c>
    </row>
    <row r="28" spans="1:123" x14ac:dyDescent="0.2">
      <c r="A28" s="77"/>
      <c r="B28" s="249">
        <v>21</v>
      </c>
      <c r="C28" s="280">
        <f t="shared" si="13"/>
        <v>0.13056042459575479</v>
      </c>
      <c r="D28" s="157">
        <f t="shared" si="8"/>
        <v>1.1305604245957548</v>
      </c>
      <c r="E28" s="256"/>
      <c r="F28" s="432">
        <f t="shared" si="9"/>
        <v>109.90003800000022</v>
      </c>
      <c r="G28" s="228"/>
      <c r="H28" s="84" t="str">
        <f t="shared" si="10"/>
        <v>23386574 - SOF 7</v>
      </c>
      <c r="I28" s="73"/>
      <c r="J28" s="73"/>
      <c r="K28" s="73"/>
      <c r="L28" s="367">
        <f t="shared" si="3"/>
        <v>0.38070746823187707</v>
      </c>
      <c r="M28" s="408">
        <f t="shared" si="4"/>
        <v>2499.7044959999998</v>
      </c>
      <c r="N28" s="372" t="s">
        <v>76</v>
      </c>
      <c r="O28" s="462" t="s">
        <v>76</v>
      </c>
      <c r="P28" s="13"/>
      <c r="Q28" s="186" t="s">
        <v>974</v>
      </c>
      <c r="R28" s="416">
        <v>6.9244999999999992</v>
      </c>
      <c r="S28" s="416">
        <v>9.1612109999999998</v>
      </c>
      <c r="T28" s="105">
        <v>0.75584985434785856</v>
      </c>
      <c r="U28" s="488">
        <v>0.56472432327072808</v>
      </c>
      <c r="V28" s="445">
        <f t="shared" si="14"/>
        <v>0.56472432327072808</v>
      </c>
      <c r="W28" s="480"/>
      <c r="X28" s="12"/>
      <c r="Y28" s="200"/>
      <c r="Z28" s="200"/>
      <c r="AA28" s="416"/>
      <c r="AB28" s="416"/>
      <c r="AC28" s="416"/>
      <c r="AD28" s="105"/>
      <c r="AE28" s="105"/>
      <c r="AF28" s="105"/>
      <c r="AG28" s="264"/>
      <c r="AH28" s="96"/>
      <c r="AI28" s="178"/>
      <c r="AJ28" s="131"/>
      <c r="AK28" s="131"/>
      <c r="AL28" s="113"/>
      <c r="AM28" s="13"/>
      <c r="AN28" s="396">
        <f t="shared" si="11"/>
        <v>1.1305604245957548</v>
      </c>
      <c r="AO28" s="397">
        <f t="shared" si="12"/>
        <v>109.90003800000022</v>
      </c>
    </row>
    <row r="29" spans="1:123" x14ac:dyDescent="0.2">
      <c r="A29" s="77"/>
      <c r="B29" s="248">
        <v>22</v>
      </c>
      <c r="C29" s="279">
        <f t="shared" si="13"/>
        <v>0.31654959818457618</v>
      </c>
      <c r="D29" s="159">
        <f t="shared" si="8"/>
        <v>0.68345040181542382</v>
      </c>
      <c r="E29" s="255"/>
      <c r="F29" s="431">
        <f t="shared" si="9"/>
        <v>-85.247638999999992</v>
      </c>
      <c r="G29" s="226"/>
      <c r="H29" s="227" t="str">
        <f t="shared" si="10"/>
        <v>24631815 - SOF 67</v>
      </c>
      <c r="I29" s="218"/>
      <c r="J29" s="218"/>
      <c r="K29" s="218"/>
      <c r="L29" s="367">
        <f t="shared" si="3"/>
        <v>0.31691398864345022</v>
      </c>
      <c r="M29" s="408">
        <f t="shared" si="4"/>
        <v>580.77269100000001</v>
      </c>
      <c r="N29" s="372" t="s">
        <v>76</v>
      </c>
      <c r="O29" s="462" t="s">
        <v>76</v>
      </c>
      <c r="P29" s="13"/>
      <c r="Q29" s="186" t="s">
        <v>489</v>
      </c>
      <c r="R29" s="416">
        <v>69.926809999999989</v>
      </c>
      <c r="S29" s="416">
        <v>90.258069999999989</v>
      </c>
      <c r="T29" s="105">
        <v>0.77474302297844388</v>
      </c>
      <c r="U29" s="488">
        <v>0.64662660925060744</v>
      </c>
      <c r="V29" s="445">
        <f t="shared" si="14"/>
        <v>0.64662660925060744</v>
      </c>
      <c r="W29" s="480"/>
      <c r="X29" s="12"/>
      <c r="Y29" s="199"/>
      <c r="Z29" s="199"/>
      <c r="AA29" s="416"/>
      <c r="AB29" s="416"/>
      <c r="AC29" s="416"/>
      <c r="AD29" s="105"/>
      <c r="AE29" s="105"/>
      <c r="AF29" s="105"/>
      <c r="AG29" s="264"/>
      <c r="AH29" s="96"/>
      <c r="AI29" s="131"/>
      <c r="AJ29" s="131"/>
      <c r="AK29" s="131"/>
      <c r="AL29" s="113"/>
      <c r="AM29" s="13"/>
      <c r="AN29" s="396">
        <f t="shared" si="11"/>
        <v>0.68345040181542382</v>
      </c>
      <c r="AO29" s="397">
        <f t="shared" si="12"/>
        <v>-85.247638999999992</v>
      </c>
      <c r="AQ29" s="401"/>
    </row>
    <row r="30" spans="1:123" x14ac:dyDescent="0.2">
      <c r="A30" s="77"/>
      <c r="B30" s="249">
        <v>23</v>
      </c>
      <c r="C30" s="280">
        <f t="shared" si="13"/>
        <v>0.95874457710661787</v>
      </c>
      <c r="D30" s="157">
        <f t="shared" si="8"/>
        <v>4.1255422893382153E-2</v>
      </c>
      <c r="E30" s="256"/>
      <c r="F30" s="432">
        <f t="shared" si="9"/>
        <v>-3.5056389999999995</v>
      </c>
      <c r="G30" s="228"/>
      <c r="H30" s="84" t="str">
        <f t="shared" si="10"/>
        <v>25293904 - SOF 114</v>
      </c>
      <c r="I30" s="73"/>
      <c r="J30" s="73"/>
      <c r="K30" s="73"/>
      <c r="L30" s="367">
        <f t="shared" si="3"/>
        <v>1.6926507539168571E-2</v>
      </c>
      <c r="M30" s="408">
        <f t="shared" si="4"/>
        <v>8.912056999999999</v>
      </c>
      <c r="N30" s="372" t="s">
        <v>76</v>
      </c>
      <c r="O30" s="462" t="s">
        <v>76</v>
      </c>
      <c r="P30" s="13"/>
      <c r="Q30" s="186" t="s">
        <v>975</v>
      </c>
      <c r="R30" s="416">
        <v>41.586730000000003</v>
      </c>
      <c r="S30" s="416">
        <v>54.705151999999984</v>
      </c>
      <c r="T30" s="105">
        <v>0.76019768668223453</v>
      </c>
      <c r="U30" s="488">
        <v>0.65456518304783073</v>
      </c>
      <c r="V30" s="445">
        <f t="shared" si="14"/>
        <v>0.65456518304783073</v>
      </c>
      <c r="W30" s="480"/>
      <c r="X30" s="12"/>
      <c r="Y30" s="200"/>
      <c r="Z30" s="200"/>
      <c r="AA30" s="416"/>
      <c r="AB30" s="416"/>
      <c r="AC30" s="416"/>
      <c r="AD30" s="105"/>
      <c r="AE30" s="105"/>
      <c r="AF30" s="105"/>
      <c r="AG30" s="264"/>
      <c r="AH30" s="96"/>
      <c r="AI30" s="131"/>
      <c r="AJ30" s="131"/>
      <c r="AK30" s="131"/>
      <c r="AL30" s="113"/>
      <c r="AM30" s="13"/>
      <c r="AN30" s="396">
        <f t="shared" si="11"/>
        <v>4.1255422893382153E-2</v>
      </c>
      <c r="AO30" s="397">
        <f t="shared" si="12"/>
        <v>-3.5056389999999995</v>
      </c>
      <c r="AQ30" s="401"/>
    </row>
    <row r="31" spans="1:123" x14ac:dyDescent="0.2">
      <c r="A31" s="77"/>
      <c r="B31" s="248">
        <v>24</v>
      </c>
      <c r="C31" s="279">
        <f t="shared" si="13"/>
        <v>0.11475638205891603</v>
      </c>
      <c r="D31" s="159">
        <f t="shared" si="8"/>
        <v>0.88524361794108397</v>
      </c>
      <c r="E31" s="255"/>
      <c r="F31" s="431">
        <f t="shared" si="9"/>
        <v>-112.13711399999966</v>
      </c>
      <c r="G31" s="226"/>
      <c r="H31" s="227" t="str">
        <f t="shared" si="10"/>
        <v>25361378 - SOF 15</v>
      </c>
      <c r="I31" s="218"/>
      <c r="J31" s="218"/>
      <c r="K31" s="218"/>
      <c r="L31" s="367">
        <f t="shared" si="3"/>
        <v>0.59302910703588207</v>
      </c>
      <c r="M31" s="408">
        <f t="shared" si="4"/>
        <v>1458.6776259999999</v>
      </c>
      <c r="N31" s="372" t="s">
        <v>76</v>
      </c>
      <c r="O31" s="462" t="s">
        <v>76</v>
      </c>
      <c r="P31" s="13"/>
      <c r="Q31" s="186" t="s">
        <v>947</v>
      </c>
      <c r="R31" s="416">
        <v>0.68261000000000005</v>
      </c>
      <c r="S31" s="416">
        <v>0.36712</v>
      </c>
      <c r="T31" s="105">
        <v>1.8593647853562869</v>
      </c>
      <c r="U31" s="488">
        <v>1.8593647853562869</v>
      </c>
      <c r="V31" s="445">
        <f t="shared" si="14"/>
        <v>1.8593647853562869</v>
      </c>
      <c r="W31" s="480"/>
      <c r="X31" s="12"/>
      <c r="Y31" s="199"/>
      <c r="Z31" s="199"/>
      <c r="AA31" s="416"/>
      <c r="AB31" s="416"/>
      <c r="AC31" s="416"/>
      <c r="AD31" s="105"/>
      <c r="AE31" s="105"/>
      <c r="AF31" s="105"/>
      <c r="AG31" s="264"/>
      <c r="AH31" s="96"/>
      <c r="AI31" s="131"/>
      <c r="AJ31" s="131"/>
      <c r="AK31" s="131"/>
      <c r="AL31" s="113"/>
      <c r="AM31" s="13"/>
      <c r="AN31" s="396">
        <f t="shared" si="11"/>
        <v>0.88524361794108397</v>
      </c>
      <c r="AO31" s="397">
        <f t="shared" si="12"/>
        <v>-112.13711399999966</v>
      </c>
      <c r="AQ31" s="401"/>
    </row>
    <row r="32" spans="1:123" x14ac:dyDescent="0.2">
      <c r="A32" s="77"/>
      <c r="B32" s="249">
        <v>25</v>
      </c>
      <c r="C32" s="280">
        <f t="shared" si="13"/>
        <v>1</v>
      </c>
      <c r="D32" s="157">
        <f t="shared" si="8"/>
        <v>0</v>
      </c>
      <c r="E32" s="256"/>
      <c r="F32" s="432">
        <f t="shared" si="9"/>
        <v>-7.2759576141834261E-15</v>
      </c>
      <c r="G32" s="228"/>
      <c r="H32" s="84" t="str">
        <f t="shared" si="10"/>
        <v>25695423 - SOF 103</v>
      </c>
      <c r="I32" s="73"/>
      <c r="J32" s="73"/>
      <c r="K32" s="73"/>
      <c r="L32" s="367">
        <f t="shared" si="3"/>
        <v>0</v>
      </c>
      <c r="M32" s="408">
        <f t="shared" si="4"/>
        <v>7.2759576141834261E-15</v>
      </c>
      <c r="N32" s="372" t="s">
        <v>76</v>
      </c>
      <c r="O32" s="462" t="s">
        <v>76</v>
      </c>
      <c r="P32" s="13"/>
      <c r="Q32" s="186" t="s">
        <v>959</v>
      </c>
      <c r="R32" s="416">
        <v>8.4510499999999986</v>
      </c>
      <c r="S32" s="416">
        <v>7.5853999999999999</v>
      </c>
      <c r="T32" s="105">
        <v>1.1141205473673108</v>
      </c>
      <c r="U32" s="488">
        <v>1.1141205473673108</v>
      </c>
      <c r="V32" s="445">
        <f t="shared" si="14"/>
        <v>1.1141205473673108</v>
      </c>
      <c r="W32" s="480"/>
      <c r="X32" s="12"/>
      <c r="Y32" s="200"/>
      <c r="Z32" s="200"/>
      <c r="AA32" s="416"/>
      <c r="AB32" s="416"/>
      <c r="AC32" s="416"/>
      <c r="AD32" s="105"/>
      <c r="AE32" s="105"/>
      <c r="AF32" s="105"/>
      <c r="AG32" s="264"/>
      <c r="AH32" s="96"/>
      <c r="AI32" s="131"/>
      <c r="AJ32" s="131"/>
      <c r="AK32" s="131"/>
      <c r="AL32" s="113"/>
      <c r="AM32" s="13"/>
      <c r="AN32" s="396">
        <f t="shared" si="11"/>
        <v>0</v>
      </c>
      <c r="AO32" s="397">
        <f t="shared" si="12"/>
        <v>-7.2759576141834261E-15</v>
      </c>
      <c r="AQ32" s="401"/>
    </row>
    <row r="33" spans="1:47" x14ac:dyDescent="0.2">
      <c r="A33" s="77"/>
      <c r="B33" s="248">
        <v>26</v>
      </c>
      <c r="C33" s="279">
        <f t="shared" si="13"/>
        <v>0.16408897851070781</v>
      </c>
      <c r="D33" s="159">
        <f t="shared" si="8"/>
        <v>0.83591102148929219</v>
      </c>
      <c r="E33" s="255"/>
      <c r="F33" s="431">
        <f t="shared" si="9"/>
        <v>-23.201220000000021</v>
      </c>
      <c r="G33" s="226"/>
      <c r="H33" s="227" t="str">
        <f t="shared" si="10"/>
        <v>25769255 - SOF 19</v>
      </c>
      <c r="I33" s="218"/>
      <c r="J33" s="218"/>
      <c r="K33" s="218"/>
      <c r="L33" s="367">
        <f t="shared" si="3"/>
        <v>0.33137143524539436</v>
      </c>
      <c r="M33" s="408">
        <f t="shared" si="4"/>
        <v>356.67805799999996</v>
      </c>
      <c r="N33" s="372" t="s">
        <v>76</v>
      </c>
      <c r="O33" s="462" t="s">
        <v>76</v>
      </c>
      <c r="P33" s="13"/>
      <c r="Q33" s="186" t="s">
        <v>999</v>
      </c>
      <c r="R33" s="416">
        <v>11.17727</v>
      </c>
      <c r="S33" s="416">
        <v>17.425659</v>
      </c>
      <c r="T33" s="105">
        <v>0.6414259569752857</v>
      </c>
      <c r="U33" s="488">
        <v>0.47056223735171937</v>
      </c>
      <c r="V33" s="445">
        <f t="shared" si="14"/>
        <v>0.47056223735171937</v>
      </c>
      <c r="W33" s="480"/>
      <c r="X33" s="12"/>
      <c r="AA33" s="416"/>
      <c r="AB33" s="416"/>
      <c r="AC33" s="416"/>
      <c r="AD33" s="105"/>
      <c r="AE33" s="105"/>
      <c r="AF33" s="105"/>
      <c r="AG33" s="264"/>
      <c r="AH33" s="96"/>
      <c r="AI33" s="131"/>
      <c r="AJ33" s="131"/>
      <c r="AK33" s="131"/>
      <c r="AL33" s="113"/>
      <c r="AM33" s="13"/>
      <c r="AN33" s="396">
        <f t="shared" si="11"/>
        <v>0.83591102148929219</v>
      </c>
      <c r="AO33" s="397">
        <f t="shared" si="12"/>
        <v>-23.201220000000021</v>
      </c>
      <c r="AQ33" s="401"/>
    </row>
    <row r="34" spans="1:47" x14ac:dyDescent="0.2">
      <c r="A34" s="77"/>
      <c r="B34" s="249">
        <v>27</v>
      </c>
      <c r="C34" s="280">
        <f t="shared" si="13"/>
        <v>4.1414332191989089E-2</v>
      </c>
      <c r="D34" s="157">
        <f t="shared" si="8"/>
        <v>1.0414143321919891</v>
      </c>
      <c r="E34" s="256"/>
      <c r="F34" s="432">
        <f t="shared" si="9"/>
        <v>0.27189999999999781</v>
      </c>
      <c r="G34" s="228"/>
      <c r="H34" s="84" t="str">
        <f t="shared" si="10"/>
        <v>26286524 - SOF 90</v>
      </c>
      <c r="I34" s="73"/>
      <c r="J34" s="73"/>
      <c r="K34" s="73"/>
      <c r="L34" s="367">
        <f t="shared" si="3"/>
        <v>1.0414143321919891</v>
      </c>
      <c r="M34" s="408">
        <f t="shared" si="4"/>
        <v>6.565360000000001</v>
      </c>
      <c r="N34" s="372" t="s">
        <v>76</v>
      </c>
      <c r="O34" s="462" t="s">
        <v>76</v>
      </c>
      <c r="P34" s="13"/>
      <c r="Q34" s="186" t="s">
        <v>946</v>
      </c>
      <c r="R34" s="416">
        <v>2.0101899999999997</v>
      </c>
      <c r="S34" s="416">
        <v>1.7319899999999997</v>
      </c>
      <c r="T34" s="105">
        <v>1.1606244839750808</v>
      </c>
      <c r="U34" s="488">
        <v>1.1606244839750808</v>
      </c>
      <c r="V34" s="445">
        <f t="shared" si="14"/>
        <v>1.1606244839750808</v>
      </c>
      <c r="W34" s="480"/>
      <c r="X34" s="481"/>
      <c r="Y34" s="482"/>
      <c r="Z34" s="482"/>
      <c r="AA34" s="483"/>
      <c r="AB34" s="483"/>
      <c r="AC34" s="483"/>
      <c r="AD34" s="484"/>
      <c r="AE34" s="484"/>
      <c r="AF34" s="484"/>
      <c r="AG34" s="485"/>
      <c r="AH34" s="96"/>
      <c r="AI34" s="131"/>
      <c r="AJ34" s="131"/>
      <c r="AK34" s="131"/>
      <c r="AL34" s="113"/>
      <c r="AM34" s="13"/>
      <c r="AN34" s="396">
        <f t="shared" si="11"/>
        <v>1.0414143321919891</v>
      </c>
      <c r="AO34" s="397">
        <f t="shared" si="12"/>
        <v>0.27189999999999781</v>
      </c>
      <c r="AQ34" s="401"/>
    </row>
    <row r="35" spans="1:47" ht="12.75" thickBot="1" x14ac:dyDescent="0.25">
      <c r="A35" s="77"/>
      <c r="B35" s="248">
        <v>28</v>
      </c>
      <c r="C35" s="279">
        <f t="shared" si="13"/>
        <v>5.8906725638941504E-2</v>
      </c>
      <c r="D35" s="159">
        <f t="shared" si="8"/>
        <v>1.0589067256389415</v>
      </c>
      <c r="E35" s="255"/>
      <c r="F35" s="431">
        <f t="shared" si="9"/>
        <v>1.3306260000000023</v>
      </c>
      <c r="G35" s="226"/>
      <c r="H35" s="227" t="str">
        <f t="shared" si="10"/>
        <v>26829471 - SOF 98</v>
      </c>
      <c r="I35" s="218"/>
      <c r="J35" s="218"/>
      <c r="K35" s="218"/>
      <c r="L35" s="367">
        <f t="shared" si="3"/>
        <v>1.0589067256389415</v>
      </c>
      <c r="M35" s="408">
        <f t="shared" si="4"/>
        <v>22.588693999999997</v>
      </c>
      <c r="N35" s="372" t="s">
        <v>76</v>
      </c>
      <c r="O35" s="462" t="s">
        <v>76</v>
      </c>
      <c r="P35" s="13"/>
      <c r="Q35" s="186" t="s">
        <v>980</v>
      </c>
      <c r="R35" s="416">
        <v>5.3174999999999999</v>
      </c>
      <c r="S35" s="416">
        <v>4.4247500000000004</v>
      </c>
      <c r="T35" s="105">
        <v>1.2017628114582743</v>
      </c>
      <c r="U35" s="488">
        <v>1.2017628114582743</v>
      </c>
      <c r="V35" s="445">
        <f t="shared" si="14"/>
        <v>1.2017628114582743</v>
      </c>
      <c r="W35" s="480"/>
      <c r="X35" s="12"/>
      <c r="Y35" s="46" t="s">
        <v>328</v>
      </c>
      <c r="Z35" s="46"/>
      <c r="AA35" s="416"/>
      <c r="AB35" s="78" t="s">
        <v>34</v>
      </c>
      <c r="AC35" s="78"/>
      <c r="AD35" s="575" t="s">
        <v>31</v>
      </c>
      <c r="AE35" s="575"/>
      <c r="AF35" s="414"/>
      <c r="AG35" s="264"/>
      <c r="AH35" s="96"/>
      <c r="AI35" s="131"/>
      <c r="AJ35" s="131"/>
      <c r="AK35" s="131"/>
      <c r="AL35" s="113"/>
      <c r="AM35" s="13"/>
      <c r="AN35" s="396">
        <f t="shared" si="11"/>
        <v>1.0589067256389415</v>
      </c>
      <c r="AO35" s="397">
        <f t="shared" si="12"/>
        <v>1.3306260000000023</v>
      </c>
      <c r="AQ35" s="401"/>
    </row>
    <row r="36" spans="1:47" ht="13.5" thickTop="1" thickBot="1" x14ac:dyDescent="0.25">
      <c r="A36" s="77"/>
      <c r="B36" s="249">
        <v>29</v>
      </c>
      <c r="C36" s="280">
        <f t="shared" si="13"/>
        <v>0.20199434478979328</v>
      </c>
      <c r="D36" s="157">
        <f t="shared" si="8"/>
        <v>0.79800565521020672</v>
      </c>
      <c r="E36" s="256"/>
      <c r="F36" s="432">
        <f t="shared" si="9"/>
        <v>-2.9046099999999981</v>
      </c>
      <c r="G36" s="228"/>
      <c r="H36" s="84" t="str">
        <f t="shared" si="10"/>
        <v>27277231 - SOF 43</v>
      </c>
      <c r="I36" s="73"/>
      <c r="J36" s="73"/>
      <c r="K36" s="73"/>
      <c r="L36" s="367">
        <f t="shared" si="3"/>
        <v>0.35890852748558011</v>
      </c>
      <c r="M36" s="408">
        <f t="shared" si="4"/>
        <v>31.972073999999996</v>
      </c>
      <c r="N36" s="372" t="s">
        <v>76</v>
      </c>
      <c r="O36" s="462" t="s">
        <v>76</v>
      </c>
      <c r="P36" s="13"/>
      <c r="Q36" s="186" t="s">
        <v>976</v>
      </c>
      <c r="R36" s="416">
        <v>0.70146000000000008</v>
      </c>
      <c r="S36" s="416">
        <v>4.0179990000000005</v>
      </c>
      <c r="T36" s="105">
        <v>0.17457943618203986</v>
      </c>
      <c r="U36" s="488">
        <v>0.10399236327856584</v>
      </c>
      <c r="V36" s="445">
        <f t="shared" si="14"/>
        <v>0.10399236327856584</v>
      </c>
      <c r="W36" s="480"/>
      <c r="X36" s="12"/>
      <c r="Y36" s="282">
        <f>IF(SOFThemeAcct!G3=1.000011000011,"ß",ABS(SOFThemeAcct!G3-1))</f>
        <v>0.46682682544958498</v>
      </c>
      <c r="Z36" s="507" t="s">
        <v>140</v>
      </c>
      <c r="AA36" s="416"/>
      <c r="AB36" s="421">
        <f>SOFThemeAcct!E3</f>
        <v>179.34365</v>
      </c>
      <c r="AC36" s="421"/>
      <c r="AD36" s="501">
        <f>IF(SOFThemeAcct!F3&lt;0,SOFThemeAcct!F3,0)</f>
        <v>-157.02670499999991</v>
      </c>
      <c r="AE36" s="502">
        <f>IF(SOFThemeAcct!F3&gt;0,SOFThemeAcct!F3,0)</f>
        <v>0</v>
      </c>
      <c r="AF36" s="450"/>
      <c r="AG36" s="264"/>
      <c r="AH36" s="96"/>
      <c r="AI36" s="131"/>
      <c r="AJ36" s="131"/>
      <c r="AK36" s="131"/>
      <c r="AL36" s="113"/>
      <c r="AM36" s="13"/>
      <c r="AN36" s="396">
        <f t="shared" si="11"/>
        <v>0.79800565521020672</v>
      </c>
      <c r="AO36" s="397">
        <f t="shared" si="12"/>
        <v>-2.9046099999999981</v>
      </c>
      <c r="AQ36" s="401"/>
    </row>
    <row r="37" spans="1:47" ht="13.5" thickTop="1" thickBot="1" x14ac:dyDescent="0.25">
      <c r="A37" s="77"/>
      <c r="B37" s="248">
        <v>30</v>
      </c>
      <c r="C37" s="279">
        <f t="shared" si="13"/>
        <v>0.29662574684582022</v>
      </c>
      <c r="D37" s="159">
        <f t="shared" si="8"/>
        <v>0.70337425315417978</v>
      </c>
      <c r="E37" s="255"/>
      <c r="F37" s="431">
        <f t="shared" si="9"/>
        <v>-10.018894999999993</v>
      </c>
      <c r="G37" s="226"/>
      <c r="H37" s="227" t="str">
        <f t="shared" si="10"/>
        <v>28651574 - SOF 81</v>
      </c>
      <c r="I37" s="218"/>
      <c r="J37" s="218"/>
      <c r="K37" s="218"/>
      <c r="L37" s="367">
        <f t="shared" si="3"/>
        <v>0.70337425315417978</v>
      </c>
      <c r="M37" s="408">
        <f t="shared" si="4"/>
        <v>33.776214999999993</v>
      </c>
      <c r="N37" s="372" t="s">
        <v>76</v>
      </c>
      <c r="O37" s="462" t="s">
        <v>76</v>
      </c>
      <c r="P37" s="13"/>
      <c r="Q37" s="293" t="s">
        <v>168</v>
      </c>
      <c r="R37" s="417">
        <v>874.27668999999992</v>
      </c>
      <c r="S37" s="417">
        <v>2105.8168970000002</v>
      </c>
      <c r="T37" s="413">
        <v>0.41517222662878073</v>
      </c>
      <c r="U37" s="489">
        <v>0.27331497222566598</v>
      </c>
      <c r="V37" s="445">
        <f t="shared" si="14"/>
        <v>0.27331497222566598</v>
      </c>
      <c r="W37" s="480"/>
      <c r="X37" s="12"/>
      <c r="Y37" s="282">
        <f>IF(SOFThemeAcct!G4=1.000011000011,"ß",ABS(SOFThemeAcct!G4-1))</f>
        <v>0.50166164689491288</v>
      </c>
      <c r="Z37" s="447" t="s">
        <v>141</v>
      </c>
      <c r="AA37" s="416"/>
      <c r="AB37" s="421">
        <f>SOFThemeAcct!E4</f>
        <v>18.849859999999989</v>
      </c>
      <c r="AC37" s="421"/>
      <c r="AD37" s="501">
        <f>IF(SOFThemeAcct!F4&lt;0,SOFThemeAcct!F4,0)</f>
        <v>-18.975565000000014</v>
      </c>
      <c r="AE37" s="502">
        <f>IF(SOFThemeAcct!F4&gt;0,SOFThemeAcct!F4,0)</f>
        <v>0</v>
      </c>
      <c r="AF37" s="450"/>
      <c r="AG37" s="264"/>
      <c r="AH37" s="96"/>
      <c r="AI37" s="131"/>
      <c r="AJ37" s="131"/>
      <c r="AK37" s="131"/>
      <c r="AL37" s="113"/>
      <c r="AM37" s="13"/>
      <c r="AN37" s="396">
        <f t="shared" si="11"/>
        <v>0.70337425315417978</v>
      </c>
      <c r="AO37" s="397">
        <f t="shared" si="12"/>
        <v>-10.018894999999993</v>
      </c>
      <c r="AR37" s="395"/>
    </row>
    <row r="38" spans="1:47" ht="14.25" thickTop="1" thickBot="1" x14ac:dyDescent="0.25">
      <c r="A38" s="77"/>
      <c r="B38" s="249">
        <v>31</v>
      </c>
      <c r="C38" s="280">
        <f t="shared" si="13"/>
        <v>6.0929897476507011E-2</v>
      </c>
      <c r="D38" s="157">
        <f t="shared" si="8"/>
        <v>0.93907010252349299</v>
      </c>
      <c r="E38" s="256"/>
      <c r="F38" s="432">
        <f t="shared" si="9"/>
        <v>-14.583584000000002</v>
      </c>
      <c r="G38" s="228"/>
      <c r="H38" s="84" t="str">
        <f t="shared" si="10"/>
        <v>28973909 - SOF 39</v>
      </c>
      <c r="I38" s="73"/>
      <c r="J38" s="73"/>
      <c r="K38" s="73"/>
      <c r="L38" s="367">
        <f t="shared" si="3"/>
        <v>0.58747124211055746</v>
      </c>
      <c r="M38" s="408">
        <f t="shared" si="4"/>
        <v>382.60022599999979</v>
      </c>
      <c r="N38" s="372" t="s">
        <v>76</v>
      </c>
      <c r="O38" s="462"/>
      <c r="P38" s="13"/>
      <c r="Q38" s="467"/>
      <c r="R38" s="467"/>
      <c r="S38" s="467"/>
      <c r="T38" s="467"/>
      <c r="U38" s="467"/>
      <c r="V38" s="445">
        <f t="shared" si="14"/>
        <v>0</v>
      </c>
      <c r="W38" s="480"/>
      <c r="X38" s="12"/>
      <c r="Y38" s="282">
        <f>IF(SOFThemeAcct!G5=1.000011000011,"ß",ABS(SOFThemeAcct!G5-1))</f>
        <v>6.5140341644980282E-2</v>
      </c>
      <c r="Z38" s="507" t="s">
        <v>238</v>
      </c>
      <c r="AA38" s="416"/>
      <c r="AB38" s="421">
        <f>SOFThemeAcct!E5</f>
        <v>19.452700000000004</v>
      </c>
      <c r="AC38" s="421"/>
      <c r="AD38" s="501">
        <f>IF(SOFThemeAcct!F5&lt;0,SOFThemeAcct!F5,0)</f>
        <v>-1.3554499999999976</v>
      </c>
      <c r="AE38" s="502">
        <f>IF(SOFThemeAcct!F5&gt;0,SOFThemeAcct!F5,0)</f>
        <v>0</v>
      </c>
      <c r="AF38" s="450"/>
      <c r="AG38" s="264"/>
      <c r="AH38" s="96"/>
      <c r="AI38" s="131"/>
      <c r="AJ38" s="131"/>
      <c r="AK38" s="131"/>
      <c r="AL38" s="113"/>
      <c r="AM38" s="13"/>
      <c r="AN38" s="396">
        <f t="shared" si="11"/>
        <v>0.93907010252349299</v>
      </c>
      <c r="AO38" s="397">
        <f t="shared" si="12"/>
        <v>-14.583584000000002</v>
      </c>
    </row>
    <row r="39" spans="1:47" ht="14.25" thickTop="1" thickBot="1" x14ac:dyDescent="0.25">
      <c r="A39" s="90"/>
      <c r="B39" s="252"/>
      <c r="C39" s="209"/>
      <c r="D39" s="380" t="s">
        <v>152</v>
      </c>
      <c r="E39" s="302"/>
      <c r="F39" s="381"/>
      <c r="G39" s="12"/>
      <c r="H39" s="181"/>
      <c r="I39" s="382" t="s">
        <v>31</v>
      </c>
      <c r="J39" s="181"/>
      <c r="K39" s="181"/>
      <c r="L39" s="49"/>
      <c r="M39" s="49"/>
      <c r="N39" s="375"/>
      <c r="O39" s="462"/>
      <c r="P39" s="13"/>
      <c r="Q39" s="467"/>
      <c r="R39" s="467"/>
      <c r="S39" s="467"/>
      <c r="T39" s="467"/>
      <c r="U39" s="467"/>
      <c r="V39" s="445">
        <f t="shared" si="14"/>
        <v>0</v>
      </c>
      <c r="W39" s="480"/>
      <c r="X39" s="12"/>
      <c r="Y39" s="282">
        <f>IF(SOFThemeAcct!G6=1.000011000011,"ß",ABS(SOFThemeAcct!G6-1))</f>
        <v>3.7637050135669314E-2</v>
      </c>
      <c r="Z39" s="447" t="s">
        <v>236</v>
      </c>
      <c r="AA39" s="416"/>
      <c r="AB39" s="421">
        <f>SOFThemeAcct!E6</f>
        <v>36.451650000000001</v>
      </c>
      <c r="AC39" s="421"/>
      <c r="AD39" s="501">
        <f>IF(SOFThemeAcct!F6&lt;0,SOFThemeAcct!F6,0)</f>
        <v>0</v>
      </c>
      <c r="AE39" s="502">
        <f>IF(SOFThemeAcct!F6&gt;0,SOFThemeAcct!F6,0)</f>
        <v>1.3221699999999927</v>
      </c>
      <c r="AF39" s="450"/>
      <c r="AG39" s="264"/>
      <c r="AH39" s="96"/>
      <c r="AI39" s="131"/>
      <c r="AJ39" s="131"/>
      <c r="AK39" s="131"/>
      <c r="AL39" s="113"/>
      <c r="AM39" s="13"/>
      <c r="AN39" s="396" t="e">
        <f>VLOOKUP(#REF!+Slider_SOFList, Table_SOFList, 31,FALSE)</f>
        <v>#REF!</v>
      </c>
      <c r="AO39" s="397" t="e">
        <f>VLOOKUP(#REF!+Slider_SOFList, Table_SOFList, 30,FALSE)</f>
        <v>#REF!</v>
      </c>
      <c r="AQ39" s="1" t="s">
        <v>330</v>
      </c>
      <c r="AR39" s="1">
        <f>MAX(ABS(MIN(SOFThemeAcct!F3:F10)),MAX(SOFThemeAcct!F3:F10))</f>
        <v>1034.3904490000004</v>
      </c>
    </row>
    <row r="40" spans="1:47" ht="14.25" thickTop="1" thickBot="1" x14ac:dyDescent="0.25">
      <c r="A40" s="97"/>
      <c r="B40" s="253"/>
      <c r="C40" s="131"/>
      <c r="D40" s="383">
        <v>1</v>
      </c>
      <c r="E40" s="12" t="str">
        <f>"between "&amp;AS27*100&amp;"% and "&amp;AR27*100&amp;"%"</f>
        <v>between 80% and 120%</v>
      </c>
      <c r="F40" s="12"/>
      <c r="G40" s="12"/>
      <c r="H40" s="12"/>
      <c r="I40" s="384" t="s">
        <v>213</v>
      </c>
      <c r="J40" s="12">
        <v>10</v>
      </c>
      <c r="K40" s="12"/>
      <c r="L40" s="13"/>
      <c r="M40" s="13"/>
      <c r="N40" s="372" t="s">
        <v>76</v>
      </c>
      <c r="O40" s="462"/>
      <c r="P40" s="13"/>
      <c r="Q40" s="467"/>
      <c r="R40" s="467"/>
      <c r="S40" s="467"/>
      <c r="T40" s="467"/>
      <c r="U40" s="467"/>
      <c r="V40" s="445">
        <f t="shared" si="14"/>
        <v>0</v>
      </c>
      <c r="W40" s="480"/>
      <c r="X40" s="12"/>
      <c r="Y40" s="282">
        <f>IF(SOFThemeAcct!G7=1.000011000011,"ß",ABS(SOFThemeAcct!G7-1))</f>
        <v>0.63937761826941841</v>
      </c>
      <c r="Z40" s="507" t="s">
        <v>142</v>
      </c>
      <c r="AA40"/>
      <c r="AB40" s="421">
        <f>SOFThemeAcct!E7</f>
        <v>583.41790000000003</v>
      </c>
      <c r="AC40" s="421"/>
      <c r="AD40" s="501">
        <f>IF(SOFThemeAcct!F7&lt;0,SOFThemeAcct!F7,0)</f>
        <v>-1034.3904490000004</v>
      </c>
      <c r="AE40" s="502">
        <f>IF(SOFThemeAcct!F7&gt;0,SOFThemeAcct!F7,0)</f>
        <v>0</v>
      </c>
      <c r="AF40" s="450"/>
      <c r="AG40" s="264"/>
      <c r="AH40" s="96"/>
      <c r="AI40" s="131"/>
      <c r="AJ40" s="131"/>
      <c r="AK40" s="131"/>
      <c r="AL40" s="113"/>
      <c r="AM40" s="13"/>
      <c r="AN40" s="396" t="e">
        <f>VLOOKUP(#REF!+Slider_SOFList, Table_SOFList, 31,FALSE)</f>
        <v>#REF!</v>
      </c>
      <c r="AO40" s="397" t="e">
        <f>VLOOKUP(#REF!+Slider_SOFList, Table_SOFList, 30,FALSE)</f>
        <v>#REF!</v>
      </c>
    </row>
    <row r="41" spans="1:47" ht="14.25" thickTop="1" thickBot="1" x14ac:dyDescent="0.25">
      <c r="A41" s="97"/>
      <c r="B41" s="253"/>
      <c r="C41" s="243"/>
      <c r="D41" s="383">
        <v>1.2</v>
      </c>
      <c r="E41" s="12" t="str">
        <f>"between "&amp;AS26*100&amp;"-"&amp;AS27*100&amp;"% or "&amp;AR27*100&amp;"-"&amp;AR26*100&amp;"%"</f>
        <v>between 50-80% or 120-150%</v>
      </c>
      <c r="F41" s="385"/>
      <c r="G41" s="12"/>
      <c r="H41" s="385"/>
      <c r="I41" s="386"/>
      <c r="J41" s="12">
        <v>5</v>
      </c>
      <c r="K41" s="12"/>
      <c r="L41" s="203"/>
      <c r="M41" s="203"/>
      <c r="N41" s="372" t="s">
        <v>76</v>
      </c>
      <c r="O41" s="462"/>
      <c r="P41" s="13"/>
      <c r="Q41" s="467"/>
      <c r="R41" s="467"/>
      <c r="S41" s="467"/>
      <c r="T41" s="467"/>
      <c r="U41" s="467"/>
      <c r="V41" s="445">
        <f t="shared" si="14"/>
        <v>0</v>
      </c>
      <c r="W41" s="480"/>
      <c r="X41" s="12"/>
      <c r="Y41" s="282">
        <f>IF(SOFThemeAcct!G8=1.000011000011,"ß",ABS(SOFThemeAcct!G8-1))</f>
        <v>0.12017076222272061</v>
      </c>
      <c r="Z41" s="447" t="s">
        <v>239</v>
      </c>
      <c r="AA41"/>
      <c r="AB41" s="421">
        <f>SOFThemeAcct!E8</f>
        <v>11.639810000000001</v>
      </c>
      <c r="AC41" s="421"/>
      <c r="AD41" s="501">
        <f>IF(SOFThemeAcct!F8&lt;0,SOFThemeAcct!F8,0)</f>
        <v>-1.589813999999997</v>
      </c>
      <c r="AE41" s="502">
        <f>IF(SOFThemeAcct!F8&gt;0,SOFThemeAcct!F8,0)</f>
        <v>0</v>
      </c>
      <c r="AF41" s="450"/>
      <c r="AG41" s="264"/>
      <c r="AH41" s="96"/>
      <c r="AI41" s="131"/>
      <c r="AJ41" s="131"/>
      <c r="AK41" s="131"/>
      <c r="AL41" s="113"/>
      <c r="AM41" s="13"/>
      <c r="AN41" s="396"/>
      <c r="AO41" s="397"/>
    </row>
    <row r="42" spans="1:47" ht="14.25" thickTop="1" thickBot="1" x14ac:dyDescent="0.25">
      <c r="A42" s="97"/>
      <c r="B42" s="243"/>
      <c r="C42" s="243"/>
      <c r="D42" s="383">
        <v>1.5</v>
      </c>
      <c r="E42" s="12" t="str">
        <f>"&lt;"&amp;AS26*100&amp;"% or &gt;"&amp;AR26*100&amp;"%"</f>
        <v>&lt;50% or &gt;150%</v>
      </c>
      <c r="F42" s="385"/>
      <c r="G42" s="12"/>
      <c r="H42" s="385"/>
      <c r="I42" s="386" t="s">
        <v>214</v>
      </c>
      <c r="J42" s="12">
        <v>0</v>
      </c>
      <c r="K42" s="12"/>
      <c r="L42" s="203"/>
      <c r="M42" s="203"/>
      <c r="N42" s="372" t="s">
        <v>76</v>
      </c>
      <c r="O42" s="462"/>
      <c r="P42" s="13"/>
      <c r="Q42" s="467"/>
      <c r="R42" s="467"/>
      <c r="S42" s="467"/>
      <c r="T42" s="467"/>
      <c r="U42" s="467"/>
      <c r="V42" s="445">
        <f t="shared" si="14"/>
        <v>0</v>
      </c>
      <c r="W42" s="480"/>
      <c r="X42" s="12"/>
      <c r="Y42" s="282">
        <f>IF(SOFThemeAcct!G9=1.000011000011,"ß",ABS(SOFThemeAcct!G9-1))</f>
        <v>0.43732039908869669</v>
      </c>
      <c r="Z42" s="507" t="s">
        <v>143</v>
      </c>
      <c r="AA42"/>
      <c r="AB42" s="421">
        <f>SOFThemeAcct!E9</f>
        <v>25.121120000000005</v>
      </c>
      <c r="AC42" s="421"/>
      <c r="AD42" s="501">
        <f>IF(SOFThemeAcct!F9&lt;0,SOFThemeAcct!F9,0)</f>
        <v>-19.524393999999994</v>
      </c>
      <c r="AE42" s="502">
        <f>IF(SOFThemeAcct!F9&gt;0,SOFThemeAcct!F9,0)</f>
        <v>0</v>
      </c>
      <c r="AF42" s="450"/>
      <c r="AG42" s="264"/>
      <c r="AH42" s="96"/>
      <c r="AI42" s="131"/>
      <c r="AJ42" s="131"/>
      <c r="AK42" s="131"/>
      <c r="AL42" s="113"/>
      <c r="AM42" s="13"/>
    </row>
    <row r="43" spans="1:47" ht="14.25" thickTop="1" thickBot="1" x14ac:dyDescent="0.25">
      <c r="A43" s="97"/>
      <c r="B43" s="243"/>
      <c r="C43" s="243"/>
      <c r="D43" s="383" t="s">
        <v>216</v>
      </c>
      <c r="E43" s="12" t="s">
        <v>157</v>
      </c>
      <c r="F43" s="385"/>
      <c r="G43" s="12"/>
      <c r="H43" s="385"/>
      <c r="I43" s="386"/>
      <c r="J43" s="12">
        <v>-5</v>
      </c>
      <c r="K43" s="12"/>
      <c r="L43" s="203"/>
      <c r="M43" s="203"/>
      <c r="N43" s="372" t="s">
        <v>76</v>
      </c>
      <c r="O43" s="468" t="s">
        <v>76</v>
      </c>
      <c r="P43" s="13"/>
      <c r="Q43" s="467"/>
      <c r="R43" s="467"/>
      <c r="S43" s="467"/>
      <c r="T43" s="467"/>
      <c r="U43" s="467"/>
      <c r="V43" s="445">
        <f t="shared" si="14"/>
        <v>0</v>
      </c>
      <c r="W43" s="480"/>
      <c r="X43" s="12"/>
      <c r="Y43" s="282" t="str">
        <f>IF(SOFThemeAcct!G10=1.000011000011,"ß",ABS(SOFThemeAcct!G10-1))</f>
        <v>ß</v>
      </c>
      <c r="Z43" s="447" t="s">
        <v>144</v>
      </c>
      <c r="AA43"/>
      <c r="AB43" s="421">
        <f>SOFThemeAcct!E10</f>
        <v>0</v>
      </c>
      <c r="AC43" s="421"/>
      <c r="AD43" s="501">
        <f>IF(SOFThemeAcct!F10&lt;0,SOFThemeAcct!F10,0)</f>
        <v>0</v>
      </c>
      <c r="AE43" s="502">
        <f>IF(SOFThemeAcct!F10&gt;0,SOFThemeAcct!F10,0)</f>
        <v>0</v>
      </c>
      <c r="AF43" s="450"/>
      <c r="AG43" s="264"/>
      <c r="AH43" s="96"/>
      <c r="AI43" s="131"/>
      <c r="AJ43" s="131"/>
      <c r="AK43" s="131"/>
      <c r="AL43" s="113"/>
      <c r="AM43" s="13"/>
    </row>
    <row r="44" spans="1:47" ht="14.25" thickTop="1" thickBot="1" x14ac:dyDescent="0.25">
      <c r="A44" s="99"/>
      <c r="B44" s="244"/>
      <c r="C44" s="244"/>
      <c r="D44" s="387"/>
      <c r="E44" s="387"/>
      <c r="F44" s="388"/>
      <c r="G44" s="388"/>
      <c r="H44" s="387"/>
      <c r="I44" s="389" t="s">
        <v>212</v>
      </c>
      <c r="J44" s="101">
        <v>-10</v>
      </c>
      <c r="K44" s="101"/>
      <c r="L44" s="205"/>
      <c r="M44" s="205"/>
      <c r="N44" s="376" t="s">
        <v>76</v>
      </c>
      <c r="O44" s="469" t="s">
        <v>76</v>
      </c>
      <c r="P44" s="60"/>
      <c r="Q44" s="467"/>
      <c r="R44" s="467"/>
      <c r="S44" s="467"/>
      <c r="T44" s="467"/>
      <c r="U44" s="467"/>
      <c r="V44" s="445">
        <f t="shared" si="14"/>
        <v>0</v>
      </c>
      <c r="W44" s="480"/>
      <c r="X44" s="492"/>
      <c r="Y44" s="493"/>
      <c r="Z44" s="493"/>
      <c r="AA44" s="493"/>
      <c r="AB44" s="493"/>
      <c r="AC44" s="493"/>
      <c r="AD44" s="493"/>
      <c r="AE44" s="493"/>
      <c r="AF44" s="493"/>
      <c r="AG44" s="320"/>
      <c r="AH44" s="344"/>
      <c r="AI44" s="132"/>
      <c r="AJ44" s="132"/>
      <c r="AK44" s="132"/>
      <c r="AL44" s="345"/>
      <c r="AM44" s="13"/>
    </row>
    <row r="45" spans="1:47" ht="12.75" x14ac:dyDescent="0.2">
      <c r="B45" s="203"/>
      <c r="C45" s="203"/>
      <c r="D45" s="203"/>
      <c r="E45" s="203"/>
      <c r="F45" s="204"/>
      <c r="G45" s="204"/>
      <c r="H45" s="203"/>
      <c r="I45" s="203"/>
      <c r="J45" s="203"/>
      <c r="K45" s="203"/>
      <c r="L45" s="203"/>
      <c r="M45" s="203"/>
      <c r="N45" s="13" t="s">
        <v>76</v>
      </c>
      <c r="O45" s="203" t="s">
        <v>76</v>
      </c>
      <c r="P45" s="13"/>
      <c r="Q45"/>
      <c r="R45"/>
      <c r="S45"/>
      <c r="T45"/>
      <c r="U45"/>
      <c r="V45" s="445">
        <f t="shared" si="14"/>
        <v>0</v>
      </c>
      <c r="W45" s="490"/>
      <c r="X45" s="348"/>
      <c r="Y45" s="491"/>
      <c r="Z45" s="491"/>
      <c r="AA45" s="491"/>
      <c r="AB45" s="491"/>
      <c r="AC45" s="491"/>
      <c r="AD45" s="491"/>
      <c r="AE45" s="491"/>
      <c r="AF45" s="491"/>
      <c r="AG45" s="348"/>
      <c r="AH45" s="348"/>
      <c r="AI45" s="167"/>
      <c r="AJ45" s="167"/>
      <c r="AK45" s="167"/>
      <c r="AL45" s="167"/>
      <c r="AM45" s="167"/>
    </row>
    <row r="46" spans="1:47" ht="12.75" x14ac:dyDescent="0.2">
      <c r="B46" s="203"/>
      <c r="C46" s="203"/>
      <c r="D46" s="203"/>
      <c r="E46" s="203"/>
      <c r="F46" s="204"/>
      <c r="G46" s="204"/>
      <c r="H46" s="203"/>
      <c r="I46" s="203"/>
      <c r="J46" s="203"/>
      <c r="K46" s="203"/>
      <c r="L46" s="203"/>
      <c r="M46" s="203"/>
      <c r="N46" s="13" t="s">
        <v>76</v>
      </c>
      <c r="O46" s="203" t="s">
        <v>76</v>
      </c>
      <c r="P46" s="13"/>
      <c r="Q46"/>
      <c r="R46"/>
      <c r="S46"/>
      <c r="T46"/>
      <c r="U46"/>
      <c r="V46" s="445">
        <f t="shared" si="14"/>
        <v>0</v>
      </c>
      <c r="W46" s="490"/>
      <c r="X46" s="348"/>
      <c r="Y46" s="491"/>
      <c r="Z46" s="491"/>
      <c r="AA46" s="491"/>
      <c r="AB46" s="491"/>
      <c r="AC46" s="491"/>
      <c r="AD46" s="491"/>
      <c r="AE46" s="491"/>
      <c r="AF46" s="491"/>
      <c r="AG46" s="348"/>
      <c r="AH46" s="348"/>
      <c r="AI46" s="167"/>
      <c r="AJ46" s="167"/>
      <c r="AK46" s="167"/>
      <c r="AL46" s="167"/>
      <c r="AM46" s="167"/>
    </row>
    <row r="47" spans="1:47" ht="12.75" x14ac:dyDescent="0.2">
      <c r="N47" s="2" t="s">
        <v>76</v>
      </c>
      <c r="Q47"/>
      <c r="R47"/>
      <c r="S47"/>
      <c r="T47"/>
      <c r="U47"/>
      <c r="V47" s="445">
        <f t="shared" si="14"/>
        <v>0</v>
      </c>
      <c r="W47" s="490"/>
      <c r="X47" s="167"/>
      <c r="Y47" s="491"/>
      <c r="Z47" s="491"/>
      <c r="AA47" s="491"/>
      <c r="AB47" s="491"/>
      <c r="AC47" s="491"/>
      <c r="AD47" s="491"/>
      <c r="AE47" s="491"/>
      <c r="AF47" s="491"/>
      <c r="AG47" s="348"/>
      <c r="AH47" s="167"/>
      <c r="AI47" s="167"/>
      <c r="AJ47" s="167"/>
      <c r="AK47" s="167"/>
      <c r="AL47" s="167"/>
      <c r="AM47" s="167"/>
    </row>
    <row r="48" spans="1:47" ht="12.75" x14ac:dyDescent="0.2">
      <c r="N48" s="2" t="s">
        <v>76</v>
      </c>
      <c r="R48" s="2"/>
      <c r="S48" s="2"/>
      <c r="T48" s="2"/>
      <c r="V48" s="445">
        <f t="shared" si="14"/>
        <v>0</v>
      </c>
      <c r="W48" s="458"/>
      <c r="Y48"/>
      <c r="Z48"/>
      <c r="AA48"/>
      <c r="AB48"/>
      <c r="AC48"/>
      <c r="AD48"/>
      <c r="AE48"/>
      <c r="AF48"/>
      <c r="AG48" s="11"/>
      <c r="AH48" s="11"/>
      <c r="AI48" s="11"/>
      <c r="AJ48" s="11"/>
      <c r="AK48" s="11"/>
      <c r="AL48" s="11"/>
      <c r="AM48" s="11"/>
      <c r="AU48" s="4"/>
    </row>
    <row r="49" spans="14:47" ht="12.75" x14ac:dyDescent="0.2">
      <c r="N49" s="2" t="s">
        <v>76</v>
      </c>
      <c r="R49" s="2"/>
      <c r="S49" s="2"/>
      <c r="T49" s="2"/>
      <c r="V49" s="445">
        <f t="shared" si="14"/>
        <v>0</v>
      </c>
      <c r="W49" s="458"/>
      <c r="Y49"/>
      <c r="Z49"/>
      <c r="AA49"/>
      <c r="AB49"/>
      <c r="AC49"/>
      <c r="AD49"/>
      <c r="AE49"/>
      <c r="AF49"/>
      <c r="AG49" s="11"/>
      <c r="AH49" s="11"/>
      <c r="AI49" s="11"/>
      <c r="AJ49" s="11"/>
      <c r="AK49" s="11"/>
      <c r="AL49" s="11"/>
      <c r="AM49" s="11"/>
      <c r="AU49" s="4"/>
    </row>
    <row r="50" spans="14:47" ht="12.75" x14ac:dyDescent="0.2">
      <c r="N50" s="2" t="s">
        <v>76</v>
      </c>
      <c r="R50" s="2"/>
      <c r="S50" s="2"/>
      <c r="T50" s="2"/>
      <c r="V50" s="445">
        <f t="shared" si="14"/>
        <v>0</v>
      </c>
      <c r="W50" s="458"/>
      <c r="Y50"/>
      <c r="Z50"/>
      <c r="AA50"/>
      <c r="AB50"/>
      <c r="AC50"/>
      <c r="AD50"/>
      <c r="AE50"/>
      <c r="AF50"/>
      <c r="AG50" s="11"/>
      <c r="AH50" s="11"/>
      <c r="AI50" s="11"/>
      <c r="AJ50" s="11"/>
      <c r="AK50" s="11"/>
      <c r="AL50" s="11"/>
      <c r="AM50" s="11"/>
      <c r="AU50" s="4"/>
    </row>
    <row r="51" spans="14:47" ht="12.75" x14ac:dyDescent="0.2">
      <c r="N51" s="2" t="s">
        <v>76</v>
      </c>
      <c r="R51" s="2"/>
      <c r="S51" s="2"/>
      <c r="T51" s="2"/>
      <c r="V51" s="445">
        <f t="shared" si="14"/>
        <v>0</v>
      </c>
      <c r="W51" s="458"/>
      <c r="Y51"/>
      <c r="Z51"/>
      <c r="AA51"/>
      <c r="AB51"/>
      <c r="AC51"/>
      <c r="AD51"/>
      <c r="AE51"/>
      <c r="AF51"/>
      <c r="AG51" s="11"/>
      <c r="AH51" s="11"/>
      <c r="AI51" s="11"/>
      <c r="AJ51" s="11"/>
      <c r="AK51" s="11"/>
      <c r="AL51" s="11"/>
      <c r="AM51" s="11"/>
      <c r="AU51" s="4"/>
    </row>
    <row r="52" spans="14:47" ht="12.75" x14ac:dyDescent="0.2">
      <c r="N52" s="2" t="s">
        <v>76</v>
      </c>
      <c r="R52" s="2"/>
      <c r="S52" s="2"/>
      <c r="T52" s="2"/>
      <c r="V52" s="445">
        <f t="shared" si="14"/>
        <v>0</v>
      </c>
      <c r="W52" s="458"/>
      <c r="Y52"/>
      <c r="Z52"/>
      <c r="AA52"/>
      <c r="AB52"/>
      <c r="AC52"/>
      <c r="AD52"/>
      <c r="AE52"/>
      <c r="AF52"/>
      <c r="AG52" s="11"/>
      <c r="AH52" s="11"/>
      <c r="AI52" s="11"/>
      <c r="AJ52" s="11"/>
      <c r="AK52" s="11"/>
      <c r="AL52" s="11"/>
      <c r="AM52" s="11"/>
      <c r="AU52" s="4"/>
    </row>
    <row r="53" spans="14:47" ht="12.75" x14ac:dyDescent="0.2">
      <c r="N53" s="2" t="s">
        <v>76</v>
      </c>
      <c r="R53" s="2"/>
      <c r="S53" s="2"/>
      <c r="T53" s="2"/>
      <c r="V53" s="445">
        <f t="shared" si="14"/>
        <v>0</v>
      </c>
      <c r="W53" s="458"/>
      <c r="Y53"/>
      <c r="Z53"/>
      <c r="AA53"/>
      <c r="AB53"/>
      <c r="AC53"/>
      <c r="AD53"/>
      <c r="AE53"/>
      <c r="AF53"/>
      <c r="AG53" s="11"/>
      <c r="AH53" s="11"/>
      <c r="AI53" s="11"/>
      <c r="AJ53" s="11"/>
      <c r="AK53" s="11"/>
      <c r="AL53" s="11"/>
      <c r="AM53" s="11"/>
      <c r="AU53" s="4"/>
    </row>
    <row r="54" spans="14:47" ht="12.75" x14ac:dyDescent="0.2">
      <c r="N54" s="2" t="s">
        <v>76</v>
      </c>
      <c r="R54" s="2"/>
      <c r="S54" s="2"/>
      <c r="T54" s="2"/>
      <c r="V54" s="445">
        <f t="shared" si="14"/>
        <v>0</v>
      </c>
      <c r="W54" s="458"/>
      <c r="Y54"/>
      <c r="Z54"/>
      <c r="AA54"/>
      <c r="AB54"/>
      <c r="AC54"/>
      <c r="AD54"/>
      <c r="AE54"/>
      <c r="AF54"/>
      <c r="AG54" s="11"/>
      <c r="AH54" s="11"/>
      <c r="AI54" s="11"/>
      <c r="AJ54" s="11"/>
      <c r="AK54" s="11"/>
      <c r="AL54" s="11"/>
      <c r="AM54" s="11"/>
      <c r="AU54" s="4"/>
    </row>
    <row r="55" spans="14:47" ht="12.75" x14ac:dyDescent="0.2">
      <c r="N55" s="2" t="s">
        <v>76</v>
      </c>
      <c r="R55" s="2"/>
      <c r="S55" s="2"/>
      <c r="T55" s="2"/>
      <c r="V55" s="445">
        <f t="shared" si="14"/>
        <v>0</v>
      </c>
      <c r="W55" s="458"/>
      <c r="Y55"/>
      <c r="Z55"/>
      <c r="AA55"/>
      <c r="AB55"/>
      <c r="AC55"/>
      <c r="AD55"/>
      <c r="AE55"/>
      <c r="AF55"/>
      <c r="AG55" s="11"/>
      <c r="AH55" s="11"/>
      <c r="AI55" s="11"/>
      <c r="AJ55" s="11"/>
      <c r="AK55" s="11"/>
      <c r="AL55" s="11"/>
      <c r="AM55" s="11"/>
      <c r="AU55" s="4"/>
    </row>
    <row r="56" spans="14:47" ht="12.75" x14ac:dyDescent="0.2">
      <c r="N56" s="2" t="s">
        <v>76</v>
      </c>
      <c r="R56" s="2"/>
      <c r="S56" s="2"/>
      <c r="T56" s="2"/>
      <c r="V56" s="445">
        <f t="shared" si="14"/>
        <v>0</v>
      </c>
      <c r="W56" s="458"/>
      <c r="Y56"/>
      <c r="Z56"/>
      <c r="AA56"/>
      <c r="AB56"/>
      <c r="AC56"/>
      <c r="AD56"/>
      <c r="AE56"/>
      <c r="AF56"/>
      <c r="AG56" s="11"/>
      <c r="AH56" s="11"/>
      <c r="AI56" s="11"/>
      <c r="AJ56" s="11"/>
      <c r="AK56" s="11"/>
      <c r="AL56" s="11"/>
      <c r="AM56" s="11"/>
      <c r="AU56" s="4"/>
    </row>
    <row r="57" spans="14:47" ht="12.75" x14ac:dyDescent="0.2">
      <c r="N57" s="2" t="s">
        <v>76</v>
      </c>
      <c r="R57" s="2"/>
      <c r="S57" s="2"/>
      <c r="T57" s="2"/>
      <c r="V57" s="445">
        <f t="shared" si="14"/>
        <v>0</v>
      </c>
      <c r="W57" s="458"/>
      <c r="Y57"/>
      <c r="Z57"/>
      <c r="AA57"/>
      <c r="AB57"/>
      <c r="AC57"/>
      <c r="AD57"/>
      <c r="AE57"/>
      <c r="AF57"/>
      <c r="AG57" s="11"/>
      <c r="AH57" s="11"/>
      <c r="AI57" s="11"/>
      <c r="AJ57" s="11"/>
      <c r="AK57" s="11"/>
      <c r="AL57" s="11"/>
      <c r="AM57" s="11"/>
      <c r="AU57" s="4"/>
    </row>
    <row r="58" spans="14:47" ht="12.75" x14ac:dyDescent="0.2">
      <c r="N58" s="2" t="s">
        <v>76</v>
      </c>
      <c r="R58" s="2"/>
      <c r="S58" s="2"/>
      <c r="T58" s="2"/>
      <c r="V58" s="445">
        <f t="shared" si="14"/>
        <v>0</v>
      </c>
      <c r="W58" s="458"/>
      <c r="Y58"/>
      <c r="Z58"/>
      <c r="AA58"/>
      <c r="AB58"/>
      <c r="AC58"/>
      <c r="AD58"/>
      <c r="AE58"/>
      <c r="AF58"/>
      <c r="AG58" s="11"/>
      <c r="AH58" s="11"/>
      <c r="AI58" s="11"/>
      <c r="AJ58" s="11"/>
      <c r="AK58" s="11"/>
      <c r="AL58" s="11"/>
      <c r="AM58" s="11"/>
      <c r="AU58" s="4"/>
    </row>
    <row r="59" spans="14:47" ht="12.75" x14ac:dyDescent="0.2">
      <c r="N59" s="2" t="s">
        <v>76</v>
      </c>
      <c r="R59" s="2"/>
      <c r="S59" s="2"/>
      <c r="T59" s="2"/>
      <c r="V59" s="445">
        <f t="shared" si="14"/>
        <v>0</v>
      </c>
      <c r="W59" s="458"/>
      <c r="Y59"/>
      <c r="Z59"/>
      <c r="AA59"/>
      <c r="AB59"/>
      <c r="AC59"/>
      <c r="AD59"/>
      <c r="AE59"/>
      <c r="AF59"/>
      <c r="AG59" s="262"/>
      <c r="AH59" s="261"/>
      <c r="AI59" s="4"/>
      <c r="AJ59" s="4"/>
      <c r="AK59" s="4"/>
      <c r="AL59" s="4"/>
      <c r="AM59" s="11"/>
      <c r="AU59" s="4"/>
    </row>
    <row r="60" spans="14:47" ht="12.75" x14ac:dyDescent="0.2">
      <c r="N60" s="2" t="s">
        <v>76</v>
      </c>
      <c r="R60" s="2"/>
      <c r="S60" s="2"/>
      <c r="T60" s="2"/>
      <c r="V60" s="445">
        <f t="shared" si="14"/>
        <v>0</v>
      </c>
      <c r="W60" s="458"/>
      <c r="Y60"/>
      <c r="Z60"/>
      <c r="AA60"/>
      <c r="AB60"/>
      <c r="AC60"/>
      <c r="AD60"/>
      <c r="AE60"/>
      <c r="AF60"/>
      <c r="AG60" s="262"/>
      <c r="AH60" s="261"/>
      <c r="AI60" s="4"/>
      <c r="AJ60" s="4"/>
      <c r="AK60" s="4"/>
      <c r="AL60" s="4"/>
      <c r="AM60" s="11"/>
      <c r="AU60" s="4"/>
    </row>
    <row r="61" spans="14:47" ht="12.75" x14ac:dyDescent="0.2">
      <c r="N61" s="2" t="s">
        <v>76</v>
      </c>
      <c r="R61" s="2"/>
      <c r="S61" s="2"/>
      <c r="T61" s="2"/>
      <c r="V61" s="445">
        <f t="shared" si="14"/>
        <v>0</v>
      </c>
      <c r="W61" s="458"/>
      <c r="Y61"/>
      <c r="Z61"/>
      <c r="AA61"/>
      <c r="AB61"/>
      <c r="AC61"/>
      <c r="AD61"/>
      <c r="AE61"/>
      <c r="AF61"/>
      <c r="AG61" s="262"/>
      <c r="AH61" s="261"/>
      <c r="AI61" s="4"/>
      <c r="AJ61" s="4"/>
      <c r="AK61" s="4"/>
      <c r="AL61" s="4"/>
      <c r="AM61" s="4"/>
      <c r="AU61" s="4"/>
    </row>
    <row r="62" spans="14:47" ht="12.75" x14ac:dyDescent="0.2">
      <c r="N62" s="2" t="s">
        <v>76</v>
      </c>
      <c r="R62" s="2"/>
      <c r="S62" s="2"/>
      <c r="T62" s="2"/>
      <c r="V62" s="445">
        <f t="shared" si="14"/>
        <v>0</v>
      </c>
      <c r="W62" s="458"/>
      <c r="Y62"/>
      <c r="Z62"/>
      <c r="AA62"/>
      <c r="AB62"/>
      <c r="AC62"/>
      <c r="AD62"/>
      <c r="AE62"/>
      <c r="AF62"/>
      <c r="AG62" s="262"/>
      <c r="AH62" s="261"/>
      <c r="AI62" s="4"/>
      <c r="AJ62" s="4"/>
      <c r="AK62" s="4"/>
      <c r="AL62" s="4"/>
      <c r="AM62" s="4"/>
      <c r="AU62" s="4"/>
    </row>
    <row r="63" spans="14:47" ht="12.75" x14ac:dyDescent="0.2">
      <c r="N63" s="2" t="s">
        <v>76</v>
      </c>
      <c r="R63" s="2"/>
      <c r="S63" s="2"/>
      <c r="T63" s="2"/>
      <c r="V63" s="445">
        <f t="shared" si="14"/>
        <v>0</v>
      </c>
      <c r="W63" s="458"/>
      <c r="Y63"/>
      <c r="Z63"/>
      <c r="AA63"/>
      <c r="AB63"/>
      <c r="AC63"/>
      <c r="AD63"/>
      <c r="AE63"/>
      <c r="AF63"/>
      <c r="AG63" s="262"/>
      <c r="AH63" s="261"/>
      <c r="AI63" s="4"/>
      <c r="AJ63" s="4"/>
      <c r="AK63" s="4"/>
      <c r="AL63" s="4"/>
      <c r="AM63" s="4"/>
      <c r="AU63" s="4"/>
    </row>
    <row r="64" spans="14:47" ht="12.75" x14ac:dyDescent="0.2">
      <c r="N64" s="2" t="s">
        <v>76</v>
      </c>
      <c r="R64" s="2"/>
      <c r="S64" s="2"/>
      <c r="T64" s="2"/>
      <c r="V64" s="445">
        <f t="shared" si="14"/>
        <v>0</v>
      </c>
      <c r="W64" s="458"/>
      <c r="Y64"/>
      <c r="Z64"/>
      <c r="AA64"/>
      <c r="AB64"/>
      <c r="AC64"/>
      <c r="AD64"/>
      <c r="AE64"/>
      <c r="AF64"/>
      <c r="AG64" s="262"/>
      <c r="AH64" s="261"/>
      <c r="AI64" s="4"/>
      <c r="AJ64" s="4"/>
      <c r="AK64" s="4"/>
      <c r="AL64" s="4"/>
      <c r="AM64" s="4"/>
      <c r="AU64" s="4"/>
    </row>
    <row r="65" spans="14:47" ht="12.75" x14ac:dyDescent="0.2">
      <c r="N65" s="2" t="s">
        <v>76</v>
      </c>
      <c r="Q65"/>
      <c r="R65"/>
      <c r="S65"/>
      <c r="T65"/>
      <c r="AA65" s="261"/>
      <c r="AB65" s="261"/>
      <c r="AC65" s="261"/>
      <c r="AD65" s="261"/>
      <c r="AE65" s="261"/>
      <c r="AF65" s="261"/>
      <c r="AG65" s="261"/>
      <c r="AH65" s="261"/>
      <c r="AI65" s="4"/>
      <c r="AJ65" s="4"/>
      <c r="AK65" s="4"/>
      <c r="AL65" s="4"/>
      <c r="AM65" s="4"/>
      <c r="AU65" s="4"/>
    </row>
    <row r="66" spans="14:47" ht="12.75" x14ac:dyDescent="0.2">
      <c r="N66" s="2" t="s">
        <v>76</v>
      </c>
      <c r="Q66"/>
      <c r="R66"/>
      <c r="S66"/>
      <c r="T66"/>
      <c r="AA66" s="261"/>
      <c r="AB66" s="261"/>
      <c r="AC66" s="261"/>
      <c r="AD66" s="261"/>
      <c r="AE66" s="261"/>
      <c r="AF66" s="261"/>
      <c r="AG66" s="261"/>
      <c r="AH66" s="261"/>
      <c r="AI66" s="4"/>
      <c r="AJ66" s="4"/>
      <c r="AK66" s="4"/>
      <c r="AL66" s="4"/>
      <c r="AM66" s="4"/>
      <c r="AU66" s="4"/>
    </row>
    <row r="67" spans="14:47" ht="12.75" x14ac:dyDescent="0.2">
      <c r="N67" s="2" t="s">
        <v>76</v>
      </c>
      <c r="Q67"/>
      <c r="R67"/>
      <c r="S67"/>
      <c r="T67"/>
      <c r="AA67" s="261"/>
      <c r="AB67" s="261"/>
      <c r="AC67" s="261"/>
      <c r="AD67" s="261"/>
      <c r="AE67" s="261"/>
      <c r="AF67" s="261"/>
      <c r="AG67" s="261"/>
      <c r="AH67" s="261"/>
      <c r="AI67" s="4"/>
      <c r="AJ67" s="4"/>
      <c r="AK67" s="4"/>
      <c r="AL67" s="4"/>
      <c r="AM67" s="4"/>
      <c r="AU67" s="4"/>
    </row>
    <row r="68" spans="14:47" ht="12.75" x14ac:dyDescent="0.2">
      <c r="N68" s="2" t="s">
        <v>76</v>
      </c>
      <c r="Q68"/>
      <c r="R68"/>
      <c r="S68"/>
      <c r="T68"/>
      <c r="AA68" s="261"/>
      <c r="AB68" s="261"/>
      <c r="AC68" s="261"/>
      <c r="AD68" s="261"/>
      <c r="AE68" s="261"/>
      <c r="AF68" s="261"/>
      <c r="AG68" s="261"/>
      <c r="AH68" s="261"/>
      <c r="AI68" s="4"/>
      <c r="AJ68" s="4"/>
      <c r="AK68" s="4"/>
      <c r="AL68" s="4"/>
      <c r="AM68" s="4"/>
      <c r="AU68" s="4"/>
    </row>
    <row r="69" spans="14:47" ht="12.75" x14ac:dyDescent="0.2">
      <c r="N69" s="2" t="s">
        <v>76</v>
      </c>
      <c r="Q69"/>
      <c r="R69"/>
      <c r="S69"/>
      <c r="T69"/>
      <c r="AH69" s="261"/>
      <c r="AI69" s="4"/>
      <c r="AJ69" s="4"/>
      <c r="AK69" s="4"/>
      <c r="AL69" s="4"/>
      <c r="AM69" s="4"/>
      <c r="AU69" s="4"/>
    </row>
    <row r="70" spans="14:47" ht="12.75" x14ac:dyDescent="0.2">
      <c r="N70" s="2" t="s">
        <v>76</v>
      </c>
      <c r="Q70"/>
      <c r="R70"/>
      <c r="S70"/>
      <c r="T70"/>
      <c r="AM70" s="4"/>
      <c r="AU70" s="4"/>
    </row>
    <row r="71" spans="14:47" ht="12.75" x14ac:dyDescent="0.2">
      <c r="N71" s="2" t="s">
        <v>76</v>
      </c>
      <c r="Q71"/>
      <c r="R71"/>
      <c r="S71"/>
      <c r="T71"/>
      <c r="AU71" s="4"/>
    </row>
    <row r="72" spans="14:47" ht="12.75" x14ac:dyDescent="0.2">
      <c r="N72" s="2" t="s">
        <v>76</v>
      </c>
      <c r="Q72"/>
      <c r="R72"/>
      <c r="S72"/>
      <c r="T72"/>
    </row>
    <row r="73" spans="14:47" ht="12.75" x14ac:dyDescent="0.2">
      <c r="N73" s="2" t="s">
        <v>76</v>
      </c>
      <c r="Q73"/>
      <c r="R73"/>
      <c r="S73"/>
      <c r="T73"/>
    </row>
    <row r="74" spans="14:47" ht="12.75" x14ac:dyDescent="0.2">
      <c r="N74" s="2" t="s">
        <v>76</v>
      </c>
      <c r="Q74"/>
      <c r="R74"/>
      <c r="S74"/>
      <c r="T74"/>
    </row>
    <row r="75" spans="14:47" ht="12.75" x14ac:dyDescent="0.2">
      <c r="N75" s="2" t="s">
        <v>76</v>
      </c>
      <c r="Q75"/>
      <c r="R75"/>
      <c r="S75"/>
      <c r="T75"/>
    </row>
    <row r="76" spans="14:47" ht="12.75" x14ac:dyDescent="0.2">
      <c r="N76" s="2" t="s">
        <v>76</v>
      </c>
      <c r="Q76"/>
      <c r="R76"/>
      <c r="S76"/>
      <c r="T76"/>
    </row>
    <row r="77" spans="14:47" ht="12.75" x14ac:dyDescent="0.2">
      <c r="N77" s="2" t="s">
        <v>76</v>
      </c>
      <c r="Q77"/>
      <c r="R77"/>
      <c r="S77"/>
      <c r="T77"/>
    </row>
    <row r="78" spans="14:47" ht="12.75" x14ac:dyDescent="0.2">
      <c r="N78" s="2" t="s">
        <v>76</v>
      </c>
      <c r="Q78"/>
      <c r="R78"/>
      <c r="S78"/>
      <c r="T78"/>
    </row>
    <row r="79" spans="14:47" ht="12.75" x14ac:dyDescent="0.2">
      <c r="N79" s="2" t="s">
        <v>76</v>
      </c>
      <c r="Q79"/>
      <c r="R79"/>
      <c r="S79"/>
      <c r="T79"/>
    </row>
    <row r="80" spans="14:47" ht="12.75" x14ac:dyDescent="0.2">
      <c r="N80" s="2" t="s">
        <v>76</v>
      </c>
      <c r="Q80"/>
      <c r="R80"/>
      <c r="S80"/>
      <c r="T80"/>
    </row>
    <row r="81" spans="14:20" ht="12.75" x14ac:dyDescent="0.2">
      <c r="N81" s="2" t="s">
        <v>76</v>
      </c>
      <c r="Q81"/>
      <c r="R81"/>
      <c r="S81"/>
      <c r="T81"/>
    </row>
    <row r="82" spans="14:20" ht="12.75" x14ac:dyDescent="0.2">
      <c r="N82" s="2" t="s">
        <v>76</v>
      </c>
      <c r="Q82"/>
      <c r="R82"/>
      <c r="S82"/>
      <c r="T82"/>
    </row>
    <row r="83" spans="14:20" ht="12.75" x14ac:dyDescent="0.2">
      <c r="N83" s="2" t="s">
        <v>76</v>
      </c>
      <c r="Q83"/>
      <c r="R83"/>
      <c r="S83"/>
      <c r="T83"/>
    </row>
    <row r="84" spans="14:20" ht="12.75" x14ac:dyDescent="0.2">
      <c r="N84" s="2" t="s">
        <v>76</v>
      </c>
      <c r="Q84"/>
      <c r="R84"/>
      <c r="S84"/>
      <c r="T84"/>
    </row>
    <row r="85" spans="14:20" ht="12.75" x14ac:dyDescent="0.2">
      <c r="N85" s="2" t="s">
        <v>76</v>
      </c>
      <c r="Q85"/>
      <c r="R85"/>
      <c r="S85"/>
      <c r="T85"/>
    </row>
    <row r="86" spans="14:20" ht="12.75" x14ac:dyDescent="0.2">
      <c r="N86" s="2" t="s">
        <v>76</v>
      </c>
      <c r="Q86"/>
      <c r="R86"/>
      <c r="S86"/>
      <c r="T86"/>
    </row>
    <row r="87" spans="14:20" ht="12.75" x14ac:dyDescent="0.2">
      <c r="N87" s="2" t="s">
        <v>76</v>
      </c>
      <c r="Q87"/>
      <c r="R87"/>
      <c r="S87"/>
      <c r="T87"/>
    </row>
    <row r="88" spans="14:20" ht="12.75" x14ac:dyDescent="0.2">
      <c r="N88" s="2" t="s">
        <v>76</v>
      </c>
      <c r="Q88"/>
      <c r="R88"/>
      <c r="S88"/>
      <c r="T88"/>
    </row>
    <row r="89" spans="14:20" ht="12.75" x14ac:dyDescent="0.2">
      <c r="N89" s="2" t="s">
        <v>76</v>
      </c>
      <c r="Q89"/>
      <c r="R89"/>
      <c r="S89"/>
      <c r="T89"/>
    </row>
    <row r="90" spans="14:20" ht="12.75" x14ac:dyDescent="0.2">
      <c r="N90" s="2" t="s">
        <v>76</v>
      </c>
      <c r="Q90"/>
      <c r="R90"/>
      <c r="S90"/>
      <c r="T90"/>
    </row>
    <row r="91" spans="14:20" ht="12.75" x14ac:dyDescent="0.2">
      <c r="N91" s="2" t="s">
        <v>76</v>
      </c>
      <c r="Q91"/>
      <c r="R91"/>
      <c r="S91"/>
      <c r="T91"/>
    </row>
    <row r="92" spans="14:20" ht="12.75" x14ac:dyDescent="0.2">
      <c r="N92" s="2" t="s">
        <v>76</v>
      </c>
      <c r="Q92"/>
      <c r="R92"/>
      <c r="S92"/>
      <c r="T92"/>
    </row>
    <row r="93" spans="14:20" ht="12.75" x14ac:dyDescent="0.2">
      <c r="N93" s="2" t="s">
        <v>76</v>
      </c>
      <c r="Q93"/>
      <c r="R93"/>
      <c r="S93"/>
      <c r="T93"/>
    </row>
    <row r="94" spans="14:20" ht="12.75" x14ac:dyDescent="0.2">
      <c r="N94" s="2" t="s">
        <v>76</v>
      </c>
      <c r="Q94"/>
      <c r="R94" s="161"/>
      <c r="S94" s="161"/>
      <c r="T94" s="161"/>
    </row>
    <row r="95" spans="14:20" ht="12.75" x14ac:dyDescent="0.2">
      <c r="N95" s="2" t="s">
        <v>76</v>
      </c>
      <c r="Q95"/>
      <c r="R95" s="161"/>
      <c r="S95" s="161"/>
      <c r="T95" s="161"/>
    </row>
    <row r="96" spans="14:20" ht="12.75" x14ac:dyDescent="0.2">
      <c r="N96" s="2" t="s">
        <v>76</v>
      </c>
      <c r="Q96"/>
      <c r="R96" s="161"/>
      <c r="S96" s="161"/>
      <c r="T96" s="161"/>
    </row>
    <row r="97" spans="14:20" ht="12.75" x14ac:dyDescent="0.2">
      <c r="N97" s="2" t="s">
        <v>76</v>
      </c>
      <c r="Q97"/>
      <c r="R97" s="161"/>
      <c r="S97" s="161"/>
      <c r="T97" s="161"/>
    </row>
    <row r="98" spans="14:20" ht="12.75" x14ac:dyDescent="0.2">
      <c r="N98" s="2" t="s">
        <v>76</v>
      </c>
      <c r="Q98"/>
      <c r="R98" s="161"/>
      <c r="S98" s="161"/>
      <c r="T98" s="161"/>
    </row>
    <row r="99" spans="14:20" ht="12.75" x14ac:dyDescent="0.2">
      <c r="N99" s="2" t="s">
        <v>76</v>
      </c>
      <c r="Q99"/>
      <c r="R99" s="161"/>
      <c r="S99" s="161"/>
      <c r="T99" s="161"/>
    </row>
    <row r="100" spans="14:20" ht="12.75" x14ac:dyDescent="0.2">
      <c r="N100" s="2" t="s">
        <v>76</v>
      </c>
      <c r="Q100"/>
      <c r="R100" s="161"/>
      <c r="S100" s="161"/>
      <c r="T100" s="161"/>
    </row>
    <row r="101" spans="14:20" ht="12.75" x14ac:dyDescent="0.2">
      <c r="N101" s="2" t="s">
        <v>76</v>
      </c>
      <c r="Q101"/>
      <c r="R101" s="161"/>
      <c r="S101" s="161"/>
      <c r="T101" s="161"/>
    </row>
    <row r="102" spans="14:20" ht="12.75" x14ac:dyDescent="0.2">
      <c r="N102" s="2" t="s">
        <v>76</v>
      </c>
      <c r="Q102"/>
      <c r="R102" s="161"/>
      <c r="S102" s="161"/>
      <c r="T102" s="161"/>
    </row>
    <row r="103" spans="14:20" ht="12.75" x14ac:dyDescent="0.2">
      <c r="N103" s="2" t="s">
        <v>76</v>
      </c>
      <c r="Q103"/>
      <c r="R103" s="161"/>
      <c r="S103" s="161"/>
      <c r="T103" s="161"/>
    </row>
    <row r="104" spans="14:20" ht="12.75" x14ac:dyDescent="0.2">
      <c r="N104" s="2" t="s">
        <v>76</v>
      </c>
      <c r="Q104"/>
      <c r="R104" s="161"/>
      <c r="S104" s="161"/>
      <c r="T104" s="161"/>
    </row>
    <row r="105" spans="14:20" ht="12.75" x14ac:dyDescent="0.2">
      <c r="N105" s="2" t="s">
        <v>76</v>
      </c>
      <c r="Q105"/>
      <c r="R105" s="161"/>
      <c r="S105" s="161"/>
      <c r="T105" s="161"/>
    </row>
    <row r="106" spans="14:20" ht="12.75" x14ac:dyDescent="0.2">
      <c r="N106" s="2" t="s">
        <v>76</v>
      </c>
      <c r="Q106"/>
      <c r="R106" s="161"/>
      <c r="S106" s="161"/>
      <c r="T106" s="161"/>
    </row>
    <row r="107" spans="14:20" ht="12.75" x14ac:dyDescent="0.2">
      <c r="N107" s="2" t="s">
        <v>76</v>
      </c>
      <c r="Q107"/>
      <c r="R107" s="161"/>
      <c r="S107" s="161"/>
      <c r="T107" s="161"/>
    </row>
    <row r="108" spans="14:20" ht="12.75" x14ac:dyDescent="0.2">
      <c r="N108" s="2" t="s">
        <v>76</v>
      </c>
      <c r="Q108"/>
      <c r="R108" s="161"/>
      <c r="S108" s="161"/>
      <c r="T108" s="161"/>
    </row>
    <row r="109" spans="14:20" ht="12.75" x14ac:dyDescent="0.2">
      <c r="N109" s="2" t="s">
        <v>76</v>
      </c>
      <c r="Q109"/>
      <c r="R109" s="161"/>
      <c r="S109" s="161"/>
      <c r="T109" s="161"/>
    </row>
    <row r="110" spans="14:20" ht="12.75" x14ac:dyDescent="0.2">
      <c r="N110" s="2" t="s">
        <v>76</v>
      </c>
      <c r="Q110"/>
      <c r="R110" s="161"/>
      <c r="S110" s="161"/>
      <c r="T110" s="161"/>
    </row>
    <row r="111" spans="14:20" ht="12.75" x14ac:dyDescent="0.2">
      <c r="N111" s="2" t="s">
        <v>76</v>
      </c>
      <c r="Q111"/>
      <c r="R111" s="161"/>
      <c r="S111" s="161"/>
      <c r="T111" s="161"/>
    </row>
    <row r="112" spans="14:20" ht="12.75" x14ac:dyDescent="0.2">
      <c r="N112" s="2" t="s">
        <v>76</v>
      </c>
      <c r="Q112"/>
      <c r="R112" s="161"/>
      <c r="S112" s="161"/>
      <c r="T112" s="161"/>
    </row>
    <row r="113" spans="14:20" ht="12.75" x14ac:dyDescent="0.2">
      <c r="N113" s="2" t="s">
        <v>76</v>
      </c>
      <c r="Q113"/>
      <c r="R113" s="161"/>
      <c r="S113" s="161"/>
      <c r="T113" s="161"/>
    </row>
    <row r="114" spans="14:20" ht="12.75" x14ac:dyDescent="0.2">
      <c r="N114" s="2" t="s">
        <v>76</v>
      </c>
      <c r="Q114"/>
      <c r="R114" s="161"/>
      <c r="S114" s="161"/>
      <c r="T114" s="161"/>
    </row>
    <row r="115" spans="14:20" ht="12.75" x14ac:dyDescent="0.2">
      <c r="N115" s="2" t="s">
        <v>76</v>
      </c>
      <c r="Q115"/>
      <c r="R115" s="161"/>
      <c r="S115" s="161"/>
      <c r="T115" s="161"/>
    </row>
    <row r="116" spans="14:20" ht="12.75" x14ac:dyDescent="0.2">
      <c r="N116" s="2" t="s">
        <v>76</v>
      </c>
      <c r="Q116"/>
      <c r="R116" s="161"/>
      <c r="S116" s="161"/>
      <c r="T116" s="161"/>
    </row>
    <row r="117" spans="14:20" ht="12.75" x14ac:dyDescent="0.2">
      <c r="N117" s="2" t="s">
        <v>76</v>
      </c>
      <c r="Q117"/>
      <c r="R117" s="161"/>
      <c r="S117" s="161"/>
      <c r="T117" s="161"/>
    </row>
    <row r="118" spans="14:20" ht="12.75" x14ac:dyDescent="0.2">
      <c r="N118" s="2" t="s">
        <v>76</v>
      </c>
      <c r="Q118"/>
      <c r="R118" s="161"/>
      <c r="S118" s="161"/>
      <c r="T118" s="161"/>
    </row>
    <row r="119" spans="14:20" ht="12.75" x14ac:dyDescent="0.2">
      <c r="N119" s="2" t="s">
        <v>76</v>
      </c>
      <c r="Q119"/>
      <c r="R119" s="161"/>
      <c r="S119" s="161"/>
      <c r="T119" s="161"/>
    </row>
    <row r="120" spans="14:20" ht="12.75" x14ac:dyDescent="0.2">
      <c r="N120" s="2" t="s">
        <v>76</v>
      </c>
      <c r="Q120"/>
      <c r="R120" s="161"/>
      <c r="S120" s="161"/>
      <c r="T120" s="161"/>
    </row>
    <row r="121" spans="14:20" ht="12.75" x14ac:dyDescent="0.2">
      <c r="N121" s="2" t="s">
        <v>76</v>
      </c>
      <c r="Q121"/>
      <c r="R121" s="161"/>
      <c r="S121" s="161"/>
      <c r="T121" s="161"/>
    </row>
    <row r="122" spans="14:20" ht="12.75" x14ac:dyDescent="0.2">
      <c r="N122" s="2" t="s">
        <v>76</v>
      </c>
      <c r="Q122"/>
      <c r="R122" s="161"/>
      <c r="S122" s="161"/>
      <c r="T122" s="161"/>
    </row>
    <row r="123" spans="14:20" ht="12.75" x14ac:dyDescent="0.2">
      <c r="N123" s="2" t="s">
        <v>76</v>
      </c>
      <c r="Q123"/>
      <c r="R123" s="161"/>
      <c r="S123" s="161"/>
      <c r="T123" s="161"/>
    </row>
    <row r="124" spans="14:20" ht="12.75" x14ac:dyDescent="0.2">
      <c r="N124" s="2" t="s">
        <v>76</v>
      </c>
      <c r="Q124"/>
      <c r="R124" s="161"/>
      <c r="S124" s="161"/>
      <c r="T124" s="161"/>
    </row>
    <row r="125" spans="14:20" ht="12.75" x14ac:dyDescent="0.2">
      <c r="N125" s="2" t="s">
        <v>76</v>
      </c>
      <c r="Q125"/>
      <c r="R125" s="161"/>
      <c r="S125" s="161"/>
      <c r="T125" s="161"/>
    </row>
    <row r="126" spans="14:20" ht="12.75" x14ac:dyDescent="0.2">
      <c r="N126" s="2" t="s">
        <v>76</v>
      </c>
      <c r="Q126"/>
      <c r="R126" s="161"/>
      <c r="S126" s="161"/>
      <c r="T126" s="161"/>
    </row>
    <row r="127" spans="14:20" ht="12.75" x14ac:dyDescent="0.2">
      <c r="N127" s="2" t="s">
        <v>76</v>
      </c>
      <c r="Q127"/>
      <c r="R127" s="161"/>
      <c r="S127" s="161"/>
      <c r="T127" s="161"/>
    </row>
    <row r="128" spans="14:20" ht="12.75" x14ac:dyDescent="0.2">
      <c r="N128" s="2" t="s">
        <v>76</v>
      </c>
      <c r="Q128"/>
      <c r="R128" s="161"/>
      <c r="S128" s="161"/>
      <c r="T128" s="161"/>
    </row>
    <row r="129" spans="14:20" ht="12.75" x14ac:dyDescent="0.2">
      <c r="N129" s="2" t="s">
        <v>76</v>
      </c>
      <c r="Q129"/>
      <c r="R129" s="161"/>
      <c r="S129" s="161"/>
      <c r="T129" s="161"/>
    </row>
    <row r="130" spans="14:20" ht="12.75" x14ac:dyDescent="0.2">
      <c r="N130" s="2" t="s">
        <v>76</v>
      </c>
      <c r="Q130"/>
      <c r="R130" s="161"/>
      <c r="S130" s="161"/>
      <c r="T130" s="161"/>
    </row>
    <row r="131" spans="14:20" ht="12.75" x14ac:dyDescent="0.2">
      <c r="N131" s="2" t="s">
        <v>76</v>
      </c>
      <c r="Q131"/>
      <c r="R131" s="161"/>
      <c r="S131" s="161"/>
      <c r="T131" s="161"/>
    </row>
    <row r="132" spans="14:20" ht="12.75" x14ac:dyDescent="0.2">
      <c r="N132" s="2" t="s">
        <v>76</v>
      </c>
      <c r="Q132"/>
      <c r="R132" s="161"/>
      <c r="S132" s="161"/>
      <c r="T132" s="161"/>
    </row>
    <row r="133" spans="14:20" ht="12.75" x14ac:dyDescent="0.2">
      <c r="N133" s="2" t="s">
        <v>76</v>
      </c>
      <c r="Q133"/>
      <c r="R133" s="161"/>
      <c r="S133" s="161"/>
      <c r="T133" s="161"/>
    </row>
    <row r="134" spans="14:20" ht="12.75" x14ac:dyDescent="0.2">
      <c r="N134" s="2" t="s">
        <v>76</v>
      </c>
      <c r="Q134"/>
      <c r="R134" s="161"/>
      <c r="S134" s="161"/>
      <c r="T134" s="161"/>
    </row>
    <row r="135" spans="14:20" ht="12.75" x14ac:dyDescent="0.2">
      <c r="N135" s="2" t="s">
        <v>76</v>
      </c>
      <c r="Q135"/>
      <c r="R135" s="161"/>
      <c r="S135" s="161"/>
      <c r="T135" s="161"/>
    </row>
    <row r="136" spans="14:20" ht="12.75" x14ac:dyDescent="0.2">
      <c r="N136" s="2" t="s">
        <v>76</v>
      </c>
      <c r="Q136"/>
      <c r="R136" s="161"/>
      <c r="S136" s="161"/>
      <c r="T136" s="161"/>
    </row>
    <row r="137" spans="14:20" ht="12.75" x14ac:dyDescent="0.2">
      <c r="N137" s="2" t="s">
        <v>76</v>
      </c>
      <c r="Q137"/>
      <c r="R137" s="161"/>
      <c r="S137" s="161"/>
      <c r="T137" s="161"/>
    </row>
    <row r="138" spans="14:20" ht="12.75" x14ac:dyDescent="0.2">
      <c r="N138" s="2" t="s">
        <v>76</v>
      </c>
      <c r="Q138"/>
      <c r="R138" s="161"/>
      <c r="S138" s="161"/>
      <c r="T138" s="161"/>
    </row>
    <row r="139" spans="14:20" ht="12.75" x14ac:dyDescent="0.2">
      <c r="N139" s="2" t="s">
        <v>76</v>
      </c>
      <c r="Q139"/>
      <c r="R139" s="161"/>
      <c r="S139" s="161"/>
      <c r="T139" s="161"/>
    </row>
    <row r="140" spans="14:20" ht="12.75" x14ac:dyDescent="0.2">
      <c r="N140" s="2" t="s">
        <v>76</v>
      </c>
      <c r="Q140"/>
      <c r="R140" s="161"/>
      <c r="S140" s="161"/>
      <c r="T140" s="161"/>
    </row>
    <row r="141" spans="14:20" ht="12.75" x14ac:dyDescent="0.2">
      <c r="N141" s="2" t="s">
        <v>76</v>
      </c>
      <c r="Q141"/>
      <c r="R141" s="161"/>
      <c r="S141" s="161"/>
      <c r="T141" s="161"/>
    </row>
    <row r="142" spans="14:20" ht="12.75" x14ac:dyDescent="0.2">
      <c r="N142" s="2" t="s">
        <v>76</v>
      </c>
      <c r="Q142"/>
      <c r="R142" s="161"/>
      <c r="S142" s="161"/>
      <c r="T142" s="161"/>
    </row>
    <row r="143" spans="14:20" ht="12.75" x14ac:dyDescent="0.2">
      <c r="N143" s="2" t="s">
        <v>76</v>
      </c>
      <c r="Q143"/>
      <c r="R143" s="161"/>
      <c r="S143" s="161"/>
      <c r="T143" s="161"/>
    </row>
    <row r="144" spans="14:20" ht="12.75" x14ac:dyDescent="0.2">
      <c r="N144" s="2" t="s">
        <v>76</v>
      </c>
      <c r="Q144"/>
      <c r="R144" s="161"/>
      <c r="S144" s="161"/>
      <c r="T144" s="161"/>
    </row>
    <row r="145" spans="14:20" ht="12.75" x14ac:dyDescent="0.2">
      <c r="N145" s="2" t="s">
        <v>76</v>
      </c>
      <c r="Q145"/>
      <c r="R145" s="161"/>
      <c r="S145" s="161"/>
      <c r="T145" s="161"/>
    </row>
    <row r="146" spans="14:20" ht="12.75" x14ac:dyDescent="0.2">
      <c r="N146" s="2" t="s">
        <v>76</v>
      </c>
      <c r="Q146"/>
      <c r="R146" s="161"/>
      <c r="S146" s="161"/>
      <c r="T146" s="161"/>
    </row>
    <row r="147" spans="14:20" ht="12.75" x14ac:dyDescent="0.2">
      <c r="N147" s="2" t="s">
        <v>76</v>
      </c>
      <c r="Q147"/>
      <c r="R147" s="161"/>
      <c r="S147" s="161"/>
      <c r="T147" s="161"/>
    </row>
    <row r="148" spans="14:20" ht="12.75" x14ac:dyDescent="0.2">
      <c r="N148" s="2" t="s">
        <v>76</v>
      </c>
      <c r="Q148"/>
      <c r="R148" s="161"/>
      <c r="S148" s="161"/>
      <c r="T148" s="161"/>
    </row>
    <row r="149" spans="14:20" ht="12.75" x14ac:dyDescent="0.2">
      <c r="N149" s="2" t="s">
        <v>76</v>
      </c>
      <c r="Q149"/>
      <c r="R149" s="161"/>
      <c r="S149" s="161"/>
      <c r="T149" s="161"/>
    </row>
    <row r="150" spans="14:20" ht="12.75" x14ac:dyDescent="0.2">
      <c r="N150" s="2" t="s">
        <v>76</v>
      </c>
      <c r="Q150"/>
      <c r="R150" s="161"/>
      <c r="S150" s="161"/>
      <c r="T150" s="161"/>
    </row>
    <row r="151" spans="14:20" ht="12.75" x14ac:dyDescent="0.2">
      <c r="N151" s="2" t="s">
        <v>76</v>
      </c>
      <c r="Q151"/>
      <c r="R151" s="161"/>
      <c r="S151" s="161"/>
      <c r="T151" s="161"/>
    </row>
    <row r="152" spans="14:20" ht="12.75" x14ac:dyDescent="0.2">
      <c r="Q152"/>
      <c r="R152" s="161"/>
      <c r="S152" s="161"/>
      <c r="T152" s="161"/>
    </row>
    <row r="153" spans="14:20" ht="12.75" x14ac:dyDescent="0.2">
      <c r="Q153"/>
      <c r="R153" s="161"/>
      <c r="S153" s="161"/>
      <c r="T153" s="161"/>
    </row>
    <row r="154" spans="14:20" ht="12.75" x14ac:dyDescent="0.2">
      <c r="Q154"/>
      <c r="R154" s="161"/>
      <c r="S154" s="161"/>
      <c r="T154" s="161"/>
    </row>
    <row r="155" spans="14:20" ht="12.75" x14ac:dyDescent="0.2">
      <c r="Q155"/>
      <c r="R155" s="161"/>
      <c r="S155" s="161"/>
      <c r="T155" s="161"/>
    </row>
    <row r="156" spans="14:20" ht="12.75" x14ac:dyDescent="0.2">
      <c r="Q156"/>
      <c r="R156" s="161"/>
      <c r="S156" s="161"/>
      <c r="T156" s="161"/>
    </row>
    <row r="157" spans="14:20" ht="12.75" x14ac:dyDescent="0.2">
      <c r="Q157"/>
      <c r="R157" s="161"/>
      <c r="S157" s="161"/>
      <c r="T157" s="161"/>
    </row>
    <row r="158" spans="14:20" ht="12.75" x14ac:dyDescent="0.2">
      <c r="Q158"/>
      <c r="R158" s="161"/>
      <c r="S158" s="161"/>
      <c r="T158" s="161"/>
    </row>
    <row r="159" spans="14:20" ht="12.75" x14ac:dyDescent="0.2">
      <c r="Q159"/>
      <c r="R159" s="161"/>
      <c r="S159" s="161"/>
      <c r="T159" s="161"/>
    </row>
    <row r="160" spans="14:20" ht="12.75" x14ac:dyDescent="0.2">
      <c r="Q160"/>
      <c r="R160" s="161"/>
      <c r="S160" s="161"/>
      <c r="T160" s="161"/>
    </row>
  </sheetData>
  <sheetProtection sheet="1" objects="1" scenarios="1" pivotTables="0"/>
  <mergeCells count="9">
    <mergeCell ref="C4:D4"/>
    <mergeCell ref="S12:T12"/>
    <mergeCell ref="AI24:AJ24"/>
    <mergeCell ref="AD35:AE35"/>
    <mergeCell ref="Z4:AI4"/>
    <mergeCell ref="Z5:AI8"/>
    <mergeCell ref="AB14:AB15"/>
    <mergeCell ref="AA14:AA15"/>
    <mergeCell ref="AI25:AJ25"/>
  </mergeCells>
  <conditionalFormatting sqref="F5:G15 F18:G38">
    <cfRule type="colorScale" priority="183">
      <colorScale>
        <cfvo type="num" val="$AR$19"/>
        <cfvo type="num" val="0"/>
        <cfvo type="num" val="$AR$20"/>
        <color rgb="FF5A8AC6"/>
        <color rgb="FFFCFCFF"/>
        <color rgb="FFF8696B"/>
      </colorScale>
    </cfRule>
  </conditionalFormatting>
  <conditionalFormatting sqref="AJ5:AK5 Q12">
    <cfRule type="expression" dxfId="336" priority="192">
      <formula>$AR$5="X"</formula>
    </cfRule>
  </conditionalFormatting>
  <conditionalFormatting sqref="F40:F42">
    <cfRule type="iconSet" priority="16">
      <iconSet showValue="0" reverse="1">
        <cfvo type="percent" val="0"/>
        <cfvo type="num" val="1.2"/>
        <cfvo type="num" val="1.5"/>
      </iconSet>
    </cfRule>
  </conditionalFormatting>
  <conditionalFormatting sqref="D40:D42">
    <cfRule type="iconSet" priority="15">
      <iconSet showValue="0" reverse="1">
        <cfvo type="percent" val="0"/>
        <cfvo type="num" val="1.2"/>
        <cfvo type="num" val="1.5"/>
      </iconSet>
    </cfRule>
  </conditionalFormatting>
  <conditionalFormatting sqref="J40:K44">
    <cfRule type="colorScale" priority="1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5:D38">
    <cfRule type="cellIs" dxfId="335" priority="13" operator="equal">
      <formula>1.000011000011</formula>
    </cfRule>
  </conditionalFormatting>
  <conditionalFormatting sqref="L5:L38">
    <cfRule type="cellIs" dxfId="334" priority="11" stopIfTrue="1" operator="equal">
      <formula>1.000011000011</formula>
    </cfRule>
    <cfRule type="dataBar" priority="1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{96F3797C-4FBC-4623-A9B6-EEF95D7319AF}</x14:id>
        </ext>
      </extLst>
    </cfRule>
  </conditionalFormatting>
  <conditionalFormatting sqref="H5:K38">
    <cfRule type="expression" priority="9" stopIfTrue="1">
      <formula>$H5=""</formula>
    </cfRule>
    <cfRule type="expression" dxfId="333" priority="10">
      <formula>$H5=$AQ$22</formula>
    </cfRule>
  </conditionalFormatting>
  <conditionalFormatting sqref="V21:W64">
    <cfRule type="dataBar" priority="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{DB84A4D9-A55A-4E88-AE0D-6441B4105CA0}</x14:id>
        </ext>
      </extLst>
    </cfRule>
  </conditionalFormatting>
  <conditionalFormatting sqref="Y36:Y43">
    <cfRule type="iconSet" priority="6">
      <iconSet showValue="0" reverse="1">
        <cfvo type="percent" val="0"/>
        <cfvo type="num" val="0.2"/>
        <cfvo type="num" val="0.5"/>
      </iconSet>
    </cfRule>
  </conditionalFormatting>
  <conditionalFormatting sqref="AE36:AF43">
    <cfRule type="dataBar" priority="5">
      <dataBar>
        <cfvo type="num" val="0"/>
        <cfvo type="num" val="$AR$39"/>
        <color rgb="FFFF0000"/>
      </dataBar>
    </cfRule>
  </conditionalFormatting>
  <conditionalFormatting sqref="AD36:AD43">
    <cfRule type="cellIs" dxfId="332" priority="3" stopIfTrue="1" operator="equal">
      <formula>0</formula>
    </cfRule>
    <cfRule type="dataBar" priority="4">
      <dataBar>
        <cfvo type="num" val="-$AR$39"/>
        <cfvo type="num" val="0"/>
        <color theme="0"/>
      </dataBar>
      <extLst>
        <ext xmlns:x14="http://schemas.microsoft.com/office/spreadsheetml/2009/9/main" uri="{B025F937-C7B1-47D3-B67F-A62EFF666E3E}">
          <x14:id>{5C7B6F86-0CD3-4096-86C9-BBB7309B3C32}</x14:id>
        </ext>
      </extLst>
    </cfRule>
  </conditionalFormatting>
  <conditionalFormatting sqref="C18:C38 C5:C15">
    <cfRule type="iconSet" priority="259">
      <iconSet showValue="0" reverse="1">
        <cfvo type="percent" val="0"/>
        <cfvo type="num" val="0.2"/>
        <cfvo type="num" val="0.5"/>
      </iconSet>
    </cfRule>
  </conditionalFormatting>
  <conditionalFormatting sqref="V21:V64">
    <cfRule type="cellIs" dxfId="331" priority="2" stopIfTrue="1" operator="equal">
      <formula>0</formula>
    </cfRule>
  </conditionalFormatting>
  <conditionalFormatting sqref="AE36:AE43">
    <cfRule type="cellIs" dxfId="330" priority="1" stopIfTrue="1" operator="equal">
      <formula>0</formula>
    </cfRule>
  </conditionalFormatting>
  <pageMargins left="0.25" right="0.25" top="0.3" bottom="0.31" header="0.3" footer="0.28999999999999998"/>
  <pageSetup paperSize="9" fitToWidth="0" orientation="landscape"/>
  <colBreaks count="1" manualBreakCount="1">
    <brk id="14" max="43" man="1"/>
  </colBreaks>
  <drawing r:id="rId2"/>
  <legacyDrawing r:id="rId3"/>
  <controls>
    <mc:AlternateContent xmlns:mc="http://schemas.openxmlformats.org/markup-compatibility/2006">
      <mc:Choice Requires="x14">
        <control shapeId="10455" r:id="rId4" name="ComboBox1">
          <controlPr defaultSize="0" autoLine="0" linkedCell="valTheme" listFillRange="ThemeList" r:id="rId5">
            <anchor moveWithCells="1">
              <from>
                <xdr:col>27</xdr:col>
                <xdr:colOff>95250</xdr:colOff>
                <xdr:row>13</xdr:row>
                <xdr:rowOff>38100</xdr:rowOff>
              </from>
              <to>
                <xdr:col>37</xdr:col>
                <xdr:colOff>104775</xdr:colOff>
                <xdr:row>14</xdr:row>
                <xdr:rowOff>123825</xdr:rowOff>
              </to>
            </anchor>
          </controlPr>
        </control>
      </mc:Choice>
      <mc:Fallback>
        <control shapeId="10455" r:id="rId4" name="ComboBox1"/>
      </mc:Fallback>
    </mc:AlternateContent>
    <mc:AlternateContent xmlns:mc="http://schemas.openxmlformats.org/markup-compatibility/2006">
      <mc:Choice Requires="x14">
        <control shapeId="10255" r:id="rId6" name="Scroll Bar 15">
          <controlPr defaultSize="0" autoPict="0">
            <anchor moveWithCells="1">
              <from>
                <xdr:col>0</xdr:col>
                <xdr:colOff>38100</xdr:colOff>
                <xdr:row>4</xdr:row>
                <xdr:rowOff>19050</xdr:rowOff>
              </from>
              <to>
                <xdr:col>13</xdr:col>
                <xdr:colOff>57150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7" r:id="rId7" name="Button 27">
          <controlPr defaultSize="0" print="0" autoFill="0" autoPict="0" macro="[0]!ReturnToSummary">
            <anchor moveWithCells="1" sizeWithCells="1">
              <from>
                <xdr:col>17</xdr:col>
                <xdr:colOff>371475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6" r:id="rId8" name="SortSelector">
          <controlPr defaultSize="0" autoLine="0" autoPict="0" macro="[0]!FilterSOFDetailTables">
            <anchor moveWithCells="1">
              <from>
                <xdr:col>10</xdr:col>
                <xdr:colOff>314325</xdr:colOff>
                <xdr:row>0</xdr:row>
                <xdr:rowOff>19050</xdr:rowOff>
              </from>
              <to>
                <xdr:col>16</xdr:col>
                <xdr:colOff>447675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8" r:id="rId9" name="Check Box 18">
          <controlPr defaultSize="0" autoFill="0" autoLine="0" autoPict="0" altText="Show cumulative">
            <anchor moveWithCells="1">
              <from>
                <xdr:col>24</xdr:col>
                <xdr:colOff>19050</xdr:colOff>
                <xdr:row>19</xdr:row>
                <xdr:rowOff>47625</xdr:rowOff>
              </from>
              <to>
                <xdr:col>26</xdr:col>
                <xdr:colOff>647700</xdr:colOff>
                <xdr:row>19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1" r:id="rId10" name="Check Box 1">
          <controlPr defaultSize="0" autoFill="0" autoLine="0" autoPict="0" macro="[0]!SOFDetailsTables">
            <anchor moveWithCells="1">
              <from>
                <xdr:col>34</xdr:col>
                <xdr:colOff>85725</xdr:colOff>
                <xdr:row>25</xdr:row>
                <xdr:rowOff>47625</xdr:rowOff>
              </from>
              <to>
                <xdr:col>36</xdr:col>
                <xdr:colOff>19050</xdr:colOff>
                <xdr:row>26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11" name="Check Box 2">
          <controlPr defaultSize="0" autoFill="0" autoLine="0" autoPict="0" macro="[0]!SOFDetailsTables">
            <anchor moveWithCells="1">
              <from>
                <xdr:col>34</xdr:col>
                <xdr:colOff>85725</xdr:colOff>
                <xdr:row>27</xdr:row>
                <xdr:rowOff>0</xdr:rowOff>
              </from>
              <to>
                <xdr:col>36</xdr:col>
                <xdr:colOff>19050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3" r:id="rId12" name="Check Box 3">
          <controlPr defaultSize="0" autoFill="0" autoLine="0" autoPict="0" macro="[0]!SOFDetailsTables">
            <anchor moveWithCells="1">
              <from>
                <xdr:col>34</xdr:col>
                <xdr:colOff>85725</xdr:colOff>
                <xdr:row>28</xdr:row>
                <xdr:rowOff>104775</xdr:rowOff>
              </from>
              <to>
                <xdr:col>36</xdr:col>
                <xdr:colOff>19050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4" r:id="rId13" name="Check Box 4">
          <controlPr defaultSize="0" autoFill="0" autoLine="0" autoPict="0" macro="[0]!SOFDetailsTables">
            <anchor moveWithCells="1">
              <from>
                <xdr:col>34</xdr:col>
                <xdr:colOff>85725</xdr:colOff>
                <xdr:row>30</xdr:row>
                <xdr:rowOff>28575</xdr:rowOff>
              </from>
              <to>
                <xdr:col>36</xdr:col>
                <xdr:colOff>19050</xdr:colOff>
                <xdr:row>31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5" r:id="rId14" name="Check Box 5">
          <controlPr defaultSize="0" autoFill="0" autoLine="0" autoPict="0" macro="[0]!SOFDetailsTables">
            <anchor moveWithCells="1">
              <from>
                <xdr:col>34</xdr:col>
                <xdr:colOff>85725</xdr:colOff>
                <xdr:row>31</xdr:row>
                <xdr:rowOff>133350</xdr:rowOff>
              </from>
              <to>
                <xdr:col>36</xdr:col>
                <xdr:colOff>19050</xdr:colOff>
                <xdr:row>33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6" r:id="rId15" name="Check Box 6">
          <controlPr defaultSize="0" autoFill="0" autoLine="0" autoPict="0" macro="[0]!SOFDetailsTables">
            <anchor moveWithCells="1">
              <from>
                <xdr:col>34</xdr:col>
                <xdr:colOff>85725</xdr:colOff>
                <xdr:row>33</xdr:row>
                <xdr:rowOff>76200</xdr:rowOff>
              </from>
              <to>
                <xdr:col>36</xdr:col>
                <xdr:colOff>19050</xdr:colOff>
                <xdr:row>34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7" r:id="rId16" name="Check Box 7">
          <controlPr defaultSize="0" autoFill="0" autoLine="0" autoPict="0" macro="[0]!SOFDetailsTables">
            <anchor moveWithCells="1">
              <from>
                <xdr:col>34</xdr:col>
                <xdr:colOff>85725</xdr:colOff>
                <xdr:row>35</xdr:row>
                <xdr:rowOff>0</xdr:rowOff>
              </from>
              <to>
                <xdr:col>36</xdr:col>
                <xdr:colOff>19050</xdr:colOff>
                <xdr:row>36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8" r:id="rId17" name="Check Box 8">
          <controlPr defaultSize="0" autoFill="0" autoLine="0" autoPict="0" macro="[0]!SOFDetailsTables">
            <anchor moveWithCells="1">
              <from>
                <xdr:col>34</xdr:col>
                <xdr:colOff>85725</xdr:colOff>
                <xdr:row>36</xdr:row>
                <xdr:rowOff>95250</xdr:rowOff>
              </from>
              <to>
                <xdr:col>36</xdr:col>
                <xdr:colOff>19050</xdr:colOff>
                <xdr:row>37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9" r:id="rId18" name="Check Box 9">
          <controlPr defaultSize="0" autoFill="0" autoLine="0" autoPict="0" macro="[0]!SOFDetailsTables">
            <anchor moveWithCells="1">
              <from>
                <xdr:col>34</xdr:col>
                <xdr:colOff>85725</xdr:colOff>
                <xdr:row>38</xdr:row>
                <xdr:rowOff>9525</xdr:rowOff>
              </from>
              <to>
                <xdr:col>36</xdr:col>
                <xdr:colOff>19050</xdr:colOff>
                <xdr:row>39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19" name="Check Box 10">
          <controlPr defaultSize="0" autoFill="0" autoLine="0" autoPict="0" macro="[0]!SOFDetailsTables">
            <anchor moveWithCells="1">
              <from>
                <xdr:col>34</xdr:col>
                <xdr:colOff>85725</xdr:colOff>
                <xdr:row>39</xdr:row>
                <xdr:rowOff>95250</xdr:rowOff>
              </from>
              <to>
                <xdr:col>36</xdr:col>
                <xdr:colOff>19050</xdr:colOff>
                <xdr:row>40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1" r:id="rId20" name="Check Box 11">
          <controlPr defaultSize="0" autoFill="0" autoLine="0" autoPict="0" macro="[0]!SOFDetailsTables">
            <anchor moveWithCells="1">
              <from>
                <xdr:col>34</xdr:col>
                <xdr:colOff>85725</xdr:colOff>
                <xdr:row>41</xdr:row>
                <xdr:rowOff>9525</xdr:rowOff>
              </from>
              <to>
                <xdr:col>36</xdr:col>
                <xdr:colOff>19050</xdr:colOff>
                <xdr:row>42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2" r:id="rId21" name="Check Box 12">
          <controlPr defaultSize="0" autoFill="0" autoLine="0" autoPict="0" macro="[0]!SOFDetailsTables">
            <anchor moveWithCells="1">
              <from>
                <xdr:col>34</xdr:col>
                <xdr:colOff>85725</xdr:colOff>
                <xdr:row>42</xdr:row>
                <xdr:rowOff>95250</xdr:rowOff>
              </from>
              <to>
                <xdr:col>36</xdr:col>
                <xdr:colOff>19050</xdr:colOff>
                <xdr:row>43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3" r:id="rId22" name="Drop Down 13">
          <controlPr defaultSize="0" autoLine="0" autoPict="0" macro="[0]!UnitChange">
            <anchor moveWithCells="1">
              <from>
                <xdr:col>34</xdr:col>
                <xdr:colOff>9525</xdr:colOff>
                <xdr:row>20</xdr:row>
                <xdr:rowOff>19050</xdr:rowOff>
              </from>
              <to>
                <xdr:col>38</xdr:col>
                <xdr:colOff>95250</xdr:colOff>
                <xdr:row>21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F3797C-4FBC-4623-A9B6-EEF95D7319A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L5:L38</xm:sqref>
        </x14:conditionalFormatting>
        <x14:conditionalFormatting xmlns:xm="http://schemas.microsoft.com/office/excel/2006/main">
          <x14:cfRule type="dataBar" id="{DB84A4D9-A55A-4E88-AE0D-6441B4105C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V21:W64</xm:sqref>
        </x14:conditionalFormatting>
        <x14:conditionalFormatting xmlns:xm="http://schemas.microsoft.com/office/excel/2006/main">
          <x14:cfRule type="dataBar" id="{5C7B6F86-0CD3-4096-86C9-BBB7309B3C32}">
            <x14:dataBar minLength="0" maxLength="100" gradient="0" negativeBarColorSameAsPositive="1" axisPosition="none">
              <x14:cfvo type="num">
                <xm:f>-$AR$39</xm:f>
              </x14:cfvo>
              <x14:cfvo type="num">
                <xm:f>0</xm:f>
              </x14:cfvo>
            </x14:dataBar>
          </x14:cfRule>
          <xm:sqref>AD36:AD43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810"/>
  <sheetViews>
    <sheetView workbookViewId="0">
      <selection activeCell="B16" sqref="B16:AH418"/>
    </sheetView>
  </sheetViews>
  <sheetFormatPr defaultRowHeight="12.75" x14ac:dyDescent="0.2"/>
  <cols>
    <col min="2" max="2" width="11.85546875" customWidth="1"/>
    <col min="3" max="3" width="18.42578125" customWidth="1"/>
    <col min="4" max="5" width="11" bestFit="1" customWidth="1"/>
    <col min="6" max="6" width="12.42578125" customWidth="1"/>
    <col min="7" max="7" width="12" customWidth="1"/>
    <col min="8" max="8" width="11" bestFit="1" customWidth="1"/>
    <col min="9" max="9" width="12" bestFit="1" customWidth="1"/>
    <col min="10" max="10" width="12" customWidth="1"/>
    <col min="11" max="11" width="11" bestFit="1" customWidth="1"/>
    <col min="12" max="12" width="12" bestFit="1" customWidth="1"/>
    <col min="13" max="13" width="12" customWidth="1"/>
    <col min="14" max="14" width="11" bestFit="1" customWidth="1"/>
    <col min="15" max="15" width="12" bestFit="1" customWidth="1"/>
    <col min="16" max="16" width="10" customWidth="1"/>
    <col min="17" max="17" width="10" bestFit="1" customWidth="1"/>
    <col min="18" max="18" width="10" customWidth="1"/>
    <col min="19" max="19" width="11" bestFit="1" customWidth="1"/>
    <col min="20" max="20" width="10.5703125" bestFit="1" customWidth="1"/>
    <col min="21" max="21" width="11" bestFit="1" customWidth="1"/>
    <col min="22" max="22" width="9" bestFit="1" customWidth="1"/>
    <col min="23" max="27" width="8.140625" bestFit="1" customWidth="1"/>
    <col min="28" max="28" width="12" customWidth="1"/>
    <col min="29" max="29" width="11" customWidth="1"/>
    <col min="30" max="30" width="12" customWidth="1"/>
    <col min="31" max="31" width="12.5703125" customWidth="1"/>
    <col min="32" max="33" width="12.42578125" customWidth="1"/>
    <col min="34" max="34" width="12.5703125" customWidth="1"/>
  </cols>
  <sheetData>
    <row r="1" spans="1:34" x14ac:dyDescent="0.2">
      <c r="A1" t="s">
        <v>147</v>
      </c>
      <c r="B1">
        <v>1</v>
      </c>
    </row>
    <row r="3" spans="1:34" x14ac:dyDescent="0.2">
      <c r="B3" s="29" t="s">
        <v>112</v>
      </c>
      <c r="C3" s="32"/>
      <c r="D3" s="33">
        <v>1</v>
      </c>
      <c r="E3" s="33">
        <v>2</v>
      </c>
      <c r="F3" s="33">
        <v>3</v>
      </c>
      <c r="G3" s="33">
        <v>4</v>
      </c>
      <c r="H3" s="33">
        <v>5</v>
      </c>
      <c r="I3" s="33">
        <v>6</v>
      </c>
      <c r="J3" s="33">
        <v>7</v>
      </c>
      <c r="K3" s="33">
        <v>8</v>
      </c>
      <c r="L3" s="33">
        <v>9</v>
      </c>
      <c r="M3" s="33">
        <v>10</v>
      </c>
      <c r="N3" s="33">
        <v>11</v>
      </c>
      <c r="O3" s="33">
        <v>12</v>
      </c>
    </row>
    <row r="4" spans="1:34" x14ac:dyDescent="0.2">
      <c r="B4" s="29" t="s">
        <v>109</v>
      </c>
      <c r="D4" s="418">
        <v>2</v>
      </c>
      <c r="E4" s="418">
        <v>3</v>
      </c>
      <c r="F4" s="418">
        <v>4</v>
      </c>
      <c r="G4" s="418">
        <v>5</v>
      </c>
      <c r="H4" s="418">
        <v>6</v>
      </c>
      <c r="I4" s="418">
        <v>7</v>
      </c>
      <c r="J4" s="418">
        <v>8</v>
      </c>
      <c r="K4" s="418">
        <v>9</v>
      </c>
      <c r="L4" s="418">
        <v>10</v>
      </c>
      <c r="M4" s="418">
        <v>11</v>
      </c>
      <c r="N4" s="418">
        <v>12</v>
      </c>
      <c r="O4" s="418">
        <v>13</v>
      </c>
    </row>
    <row r="5" spans="1:34" x14ac:dyDescent="0.2">
      <c r="B5" s="29" t="s">
        <v>109</v>
      </c>
      <c r="D5" s="418">
        <v>14</v>
      </c>
      <c r="E5" s="418">
        <v>15</v>
      </c>
      <c r="F5" s="418">
        <v>16</v>
      </c>
      <c r="G5" s="418">
        <v>17</v>
      </c>
      <c r="H5" s="418">
        <v>18</v>
      </c>
      <c r="I5" s="418">
        <v>19</v>
      </c>
      <c r="J5" s="418">
        <v>20</v>
      </c>
      <c r="K5" s="418">
        <v>21</v>
      </c>
      <c r="L5" s="418">
        <v>22</v>
      </c>
      <c r="M5" s="418">
        <v>23</v>
      </c>
      <c r="N5" s="418">
        <v>24</v>
      </c>
      <c r="O5" s="418">
        <v>25</v>
      </c>
    </row>
    <row r="6" spans="1:34" x14ac:dyDescent="0.2">
      <c r="B6" s="31" t="s">
        <v>261</v>
      </c>
      <c r="C6" s="31" t="s">
        <v>110</v>
      </c>
      <c r="D6" s="31" t="s">
        <v>14</v>
      </c>
      <c r="E6" s="31" t="s">
        <v>15</v>
      </c>
      <c r="F6" s="31" t="s">
        <v>16</v>
      </c>
      <c r="G6" s="31" t="s">
        <v>17</v>
      </c>
      <c r="H6" s="31" t="s">
        <v>18</v>
      </c>
      <c r="I6" s="31" t="s">
        <v>19</v>
      </c>
      <c r="J6" s="31" t="s">
        <v>20</v>
      </c>
      <c r="K6" s="31" t="s">
        <v>21</v>
      </c>
      <c r="L6" s="31" t="s">
        <v>22</v>
      </c>
      <c r="M6" s="31" t="s">
        <v>23</v>
      </c>
      <c r="N6" s="31" t="s">
        <v>24</v>
      </c>
      <c r="O6" s="31" t="s">
        <v>25</v>
      </c>
    </row>
    <row r="7" spans="1:34" x14ac:dyDescent="0.2">
      <c r="A7" t="str">
        <f>valTheme</f>
        <v>Bangladesh CO</v>
      </c>
      <c r="B7" t="str">
        <f>valSOF</f>
        <v>76952288 - SOF 11</v>
      </c>
      <c r="C7" t="s">
        <v>35</v>
      </c>
      <c r="D7" s="37">
        <f>SUMPRODUCT((DB_SOFList[Theme(T)]=valTheme2)*(DB_SOFList[SOFFull]=valSOF)*DB_SOFList[Plan01])/valUnits2</f>
        <v>118.193066</v>
      </c>
      <c r="E7" s="37">
        <f>SUMPRODUCT((DB_SOFList[Theme(T)]=valTheme2)*(DB_SOFList[SOFFull]=valSOF)*DB_SOFList[Plan02])/valUnits2+D7*valCumm2</f>
        <v>411.70257400000008</v>
      </c>
      <c r="F7" s="37">
        <f>SUMPRODUCT((DB_SOFList[Theme(T)]=valTheme2)*(DB_SOFList[SOFFull]=valSOF)*DB_SOFList[Plan03])/valUnits2+E7*valCumm2</f>
        <v>385.03125300000005</v>
      </c>
      <c r="G7" s="37">
        <f>SUMPRODUCT((DB_SOFList[Theme(T)]=valTheme2)*(DB_SOFList[SOFFull]=valSOF)*DB_SOFList[Plan04])/valUnits2+F7*valCumm2</f>
        <v>481.73154799999992</v>
      </c>
      <c r="H7" s="37">
        <f>SUMPRODUCT((DB_SOFList[Theme(T)]=valTheme2)*(DB_SOFList[SOFFull]=valSOF)*DB_SOFList[Plan05])/valUnits2+G7*valCumm2</f>
        <v>415.56320800000003</v>
      </c>
      <c r="I7" s="37">
        <f>SUMPRODUCT((DB_SOFList[Theme(T)]=valTheme2)*(DB_SOFList[SOFFull]=valSOF)*DB_SOFList[Plan06])/valUnits2+H7*valCumm2</f>
        <v>293.59524800000003</v>
      </c>
      <c r="J7" s="37">
        <f>SUMPRODUCT((DB_SOFList[Theme(T)]=valTheme2)*(DB_SOFList[SOFFull]=valSOF)*DB_SOFList[Plan07])/valUnits2+I7*valCumm2</f>
        <v>267.00289799999996</v>
      </c>
      <c r="K7" s="37">
        <f>SUMPRODUCT((DB_SOFList[Theme(T)]=valTheme2)*(DB_SOFList[SOFFull]=valSOF)*DB_SOFList[Plan08])/valUnits2+J7*valCumm2</f>
        <v>281.95899800000001</v>
      </c>
      <c r="L7" s="37">
        <f>SUMPRODUCT((DB_SOFList[Theme(T)]=valTheme2)*(DB_SOFList[SOFFull]=valSOF)*DB_SOFList[Plan09])/valUnits2+K7*valCumm2</f>
        <v>270.57959299999999</v>
      </c>
      <c r="M7" s="37">
        <f>SUMPRODUCT((DB_SOFList[Theme(T)]=valTheme2)*(DB_SOFList[SOFFull]=valSOF)*DB_SOFList[Plan10])/valUnits2+L7*valCumm2</f>
        <v>273.42974800000002</v>
      </c>
      <c r="N7" s="37">
        <f>SUMPRODUCT((DB_SOFList[Theme(T)]=valTheme2)*(DB_SOFList[SOFFull]=valSOF)*DB_SOFList[Plan11])/valUnits2+M7*valCumm2</f>
        <v>0</v>
      </c>
      <c r="O7" s="37">
        <f>SUMPRODUCT((DB_SOFList[Theme(T)]=valTheme2)*(DB_SOFList[SOFFull]=valSOF)*DB_SOFList[Plan12])/valUnits2+N7*valCumm2</f>
        <v>0</v>
      </c>
    </row>
    <row r="8" spans="1:34" x14ac:dyDescent="0.2">
      <c r="A8" t="str">
        <f>valTheme</f>
        <v>Bangladesh CO</v>
      </c>
      <c r="B8" t="str">
        <f>valSOF</f>
        <v>76952288 - SOF 11</v>
      </c>
      <c r="C8" t="s">
        <v>111</v>
      </c>
      <c r="D8" s="37">
        <f>IF(LastClosedMon&gt;D3,SUMPRODUCT((DB_SOFList[Theme(T)]=valTheme2)*(DB_SOFList[SOFFull]=valSOF)*DB_SOFList[Act01]),"")/valUnits2</f>
        <v>18.663329999999998</v>
      </c>
      <c r="E8" s="37">
        <f>IF(LastClosedMon&gt;E3,(SUMPRODUCT((DB_SOFList[Theme(T)]=valTheme2)*(DB_SOFList[SOFFull]=valSOF)*DB_SOFList[Act02])/valUnits2+D8*valCumm2),"")</f>
        <v>231.81171999999995</v>
      </c>
      <c r="F8" s="37">
        <f>IF(LastClosedMon&gt;F3,(SUMPRODUCT((DB_SOFList[Theme(T)]=valTheme2)*(DB_SOFList[SOFFull]=valSOF)*DB_SOFList[Act03])/valUnits2+E8*valCumm2),"")</f>
        <v>197.74703999999997</v>
      </c>
      <c r="G8" s="37">
        <f>IF(LastClosedMon&gt;G3,(SUMPRODUCT((DB_SOFList[Theme(T)]=valTheme2)*(DB_SOFList[SOFFull]=valSOF)*DB_SOFList[Act04])/valUnits2+F8*valCumm2),"")</f>
        <v>188.13629999999998</v>
      </c>
      <c r="H8" s="37">
        <f>IF(LastClosedMon&gt;H3,(SUMPRODUCT((DB_SOFList[Theme(T)]=valTheme2)*(DB_SOFList[SOFFull]=valSOF)*DB_SOFList[Act05])/valUnits2+G8*valCumm2),"")</f>
        <v>148.80026000000004</v>
      </c>
      <c r="I8" s="37">
        <f>IF(LastClosedMon&gt;I3,(SUMPRODUCT((DB_SOFList[Theme(T)]=valTheme2)*(DB_SOFList[SOFFull]=valSOF)*DB_SOFList[Act06])/valUnits2+H8*valCumm2),"")</f>
        <v>89.118040000000008</v>
      </c>
      <c r="J8" s="37" t="str">
        <f>IF(LastClosedMon&gt;J3,(SUMPRODUCT((DB_SOFList[Theme(T)]=valTheme2)*(DB_SOFList[SOFFull]=valSOF)*DB_SOFList[Act07])/valUnits2+I8*valCumm2),"")</f>
        <v/>
      </c>
      <c r="K8" s="37" t="str">
        <f>IF(LastClosedMon&gt;K3,(SUMPRODUCT((DB_SOFList[Theme(T)]=valTheme2)*(DB_SOFList[SOFFull]=valSOF)*DB_SOFList[Act08])/valUnits2+J8*valCumm2),"")</f>
        <v/>
      </c>
      <c r="L8" s="37" t="str">
        <f>IF(LastClosedMon&gt;L3,(SUMPRODUCT((DB_SOFList[Theme(T)]=valTheme2)*(DB_SOFList[SOFFull]=valSOF)*DB_SOFList[Act09])/valUnits2+K8*valCumm2),"")</f>
        <v/>
      </c>
      <c r="M8" s="37" t="str">
        <f>IF(LastClosedMon&gt;M3,(SUMPRODUCT((DB_SOFList[Theme(T)]=valTheme2)*(DB_SOFList[SOFFull]=valSOF)*DB_SOFList[Act10])/valUnits2+L8*valCumm2),"")</f>
        <v/>
      </c>
      <c r="N8" s="37" t="str">
        <f>IF(LastClosedMon&gt;N3,(SUMPRODUCT((DB_SOFList[Theme(T)]=valTheme2)*(DB_SOFList[SOFFull]=valSOF)*DB_SOFList[Act11])/valUnits2+M8*valCumm2),"")</f>
        <v/>
      </c>
      <c r="O8" s="37" t="str">
        <f>IF(LastClosedMon&gt;O3,(SUMPRODUCT((DB_SOFList[Theme(T)]=valTheme2)*(DB_SOFList[SOFFull]=valSOF)*DB_SOFList[Act12])/valUnits2+N8*valCumm2),"")</f>
        <v/>
      </c>
    </row>
    <row r="13" spans="1:34" x14ac:dyDescent="0.2">
      <c r="P13">
        <f>Selections!$G$9</f>
        <v>1</v>
      </c>
      <c r="Q13">
        <f>Selections!$G$10</f>
        <v>1</v>
      </c>
      <c r="R13">
        <f>Selections!$G$11</f>
        <v>1</v>
      </c>
      <c r="S13">
        <f>Selections!$G$12</f>
        <v>1</v>
      </c>
      <c r="T13">
        <f>Selections!$G$13</f>
        <v>1</v>
      </c>
      <c r="U13">
        <f>Selections!$G$14</f>
        <v>1</v>
      </c>
      <c r="V13">
        <f>Selections!$G$15</f>
        <v>0</v>
      </c>
      <c r="W13">
        <f>Selections!$G$16</f>
        <v>0</v>
      </c>
      <c r="X13">
        <f>Selections!$G$17</f>
        <v>0</v>
      </c>
      <c r="Y13">
        <f>Selections!$G$18</f>
        <v>0</v>
      </c>
      <c r="Z13">
        <f>Selections!$G$19</f>
        <v>0</v>
      </c>
      <c r="AA13">
        <f>Selections!$G$20</f>
        <v>0</v>
      </c>
    </row>
    <row r="14" spans="1:34" x14ac:dyDescent="0.2">
      <c r="D14">
        <f>Selections!$F$9</f>
        <v>1</v>
      </c>
      <c r="E14">
        <f>Selections!$F$10</f>
        <v>1</v>
      </c>
      <c r="F14">
        <f>Selections!$F$11</f>
        <v>1</v>
      </c>
      <c r="G14">
        <f>Selections!$F$12</f>
        <v>1</v>
      </c>
      <c r="H14">
        <f>Selections!$F$13</f>
        <v>1</v>
      </c>
      <c r="I14">
        <f>Selections!$F$14</f>
        <v>1</v>
      </c>
      <c r="J14">
        <f>Selections!$F$15</f>
        <v>0</v>
      </c>
      <c r="K14">
        <f>Selections!$F$16</f>
        <v>0</v>
      </c>
      <c r="L14">
        <f>Selections!$F$17</f>
        <v>0</v>
      </c>
      <c r="M14">
        <f>Selections!$F$18</f>
        <v>0</v>
      </c>
      <c r="N14">
        <f>Selections!$F$19</f>
        <v>0</v>
      </c>
      <c r="O14">
        <f>Selections!$F$20</f>
        <v>0</v>
      </c>
      <c r="P14">
        <f>Selections!$F$9</f>
        <v>1</v>
      </c>
      <c r="Q14">
        <f>Selections!$F$10</f>
        <v>1</v>
      </c>
      <c r="R14">
        <f>Selections!$F$11</f>
        <v>1</v>
      </c>
      <c r="S14">
        <f>Selections!$F$12</f>
        <v>1</v>
      </c>
      <c r="T14">
        <f>Selections!$F$13</f>
        <v>1</v>
      </c>
      <c r="U14">
        <f>Selections!$F$14</f>
        <v>1</v>
      </c>
      <c r="V14">
        <f>Selections!$F$15</f>
        <v>0</v>
      </c>
      <c r="W14">
        <f>Selections!$F$16</f>
        <v>0</v>
      </c>
      <c r="X14">
        <f>Selections!$F$17</f>
        <v>0</v>
      </c>
      <c r="Y14">
        <f>Selections!$F$18</f>
        <v>0</v>
      </c>
      <c r="Z14">
        <f>Selections!$F$19</f>
        <v>0</v>
      </c>
      <c r="AA14">
        <f>Selections!$F$20</f>
        <v>0</v>
      </c>
    </row>
    <row r="15" spans="1:34" x14ac:dyDescent="0.2">
      <c r="A15" t="s">
        <v>42</v>
      </c>
      <c r="B15" t="s">
        <v>43</v>
      </c>
      <c r="C15" t="s">
        <v>44</v>
      </c>
      <c r="D15" t="s">
        <v>45</v>
      </c>
      <c r="E15" t="s">
        <v>46</v>
      </c>
      <c r="F15" t="s">
        <v>47</v>
      </c>
      <c r="G15" t="s">
        <v>48</v>
      </c>
      <c r="H15" t="s">
        <v>49</v>
      </c>
      <c r="I15" t="s">
        <v>50</v>
      </c>
      <c r="J15" t="s">
        <v>51</v>
      </c>
      <c r="K15" t="s">
        <v>52</v>
      </c>
      <c r="L15" t="s">
        <v>53</v>
      </c>
      <c r="M15" t="s">
        <v>54</v>
      </c>
      <c r="N15" t="s">
        <v>55</v>
      </c>
      <c r="O15" t="s">
        <v>56</v>
      </c>
      <c r="P15" t="s">
        <v>57</v>
      </c>
      <c r="Q15" t="s">
        <v>58</v>
      </c>
      <c r="R15" t="s">
        <v>59</v>
      </c>
      <c r="S15" t="s">
        <v>60</v>
      </c>
      <c r="T15" t="s">
        <v>61</v>
      </c>
      <c r="U15" t="s">
        <v>62</v>
      </c>
      <c r="V15" t="s">
        <v>63</v>
      </c>
      <c r="W15" t="s">
        <v>64</v>
      </c>
      <c r="X15" t="s">
        <v>65</v>
      </c>
      <c r="Y15" t="s">
        <v>66</v>
      </c>
      <c r="Z15" t="s">
        <v>67</v>
      </c>
      <c r="AA15" t="s">
        <v>68</v>
      </c>
      <c r="AB15" t="s">
        <v>35</v>
      </c>
      <c r="AC15" t="s">
        <v>34</v>
      </c>
      <c r="AD15" t="s">
        <v>31</v>
      </c>
      <c r="AE15" t="s">
        <v>30</v>
      </c>
      <c r="AF15" t="s">
        <v>274</v>
      </c>
      <c r="AG15" t="s">
        <v>275</v>
      </c>
      <c r="AH15" t="s">
        <v>276</v>
      </c>
    </row>
    <row r="16" spans="1:34" x14ac:dyDescent="0.2">
      <c r="A16">
        <f>SUBTOTAL(3,$B$16:B16)</f>
        <v>1</v>
      </c>
      <c r="B16" t="s">
        <v>1</v>
      </c>
      <c r="C16" t="s">
        <v>841</v>
      </c>
      <c r="D16">
        <v>242.49</v>
      </c>
      <c r="E16">
        <v>3022.9</v>
      </c>
      <c r="F16">
        <v>2635.7200000000003</v>
      </c>
      <c r="G16">
        <v>1532.25</v>
      </c>
      <c r="H16">
        <v>1635.31</v>
      </c>
      <c r="I16">
        <v>0</v>
      </c>
      <c r="P16">
        <v>242.49</v>
      </c>
      <c r="Q16">
        <v>3022.8999999999996</v>
      </c>
      <c r="R16">
        <v>2635.7200000000003</v>
      </c>
      <c r="S16">
        <v>1532.2499999999998</v>
      </c>
      <c r="T16">
        <v>1635.31</v>
      </c>
      <c r="U16">
        <v>610.80999999999995</v>
      </c>
      <c r="AB16">
        <f>SUMPRODUCT(DB_SOFList[[#This Row],[Plan01]:[Plan12]],$D$14:$O$14)/valUnits2</f>
        <v>9.0686700000000009</v>
      </c>
      <c r="AC16">
        <f>SUMPRODUCT(DB_SOFList[[#This Row],[Act01]:[Act12]],$P$14:$AA$14)/valUnits2</f>
        <v>9.6794799999999999</v>
      </c>
      <c r="AD16">
        <f>DB_SOFList[[#This Row],[Actual]]-DB_SOFList[[#This Row],[Plan]]</f>
        <v>0.61080999999999896</v>
      </c>
      <c r="AE16">
        <f>IF(DB_SOFList[[#This Row],[Plan]]&lt;&gt;0,DB_SOFList[[#This Row],[Actual]]/DB_SOFList[[#This Row],[Plan]],1.000011000011)</f>
        <v>1.0673538677667176</v>
      </c>
      <c r="AF16" s="34">
        <f>SUM(DB_SOFList[[#This Row],[Plan01]:[Plan12]])/valUnits2</f>
        <v>9.0686700000000009</v>
      </c>
      <c r="AG16" s="34">
        <f>SUMPRODUCT(DB_SOFList[[#This Row],[Act01]:[Act12]],$P$13:$AA$13)/valUnits2</f>
        <v>9.6794799999999999</v>
      </c>
      <c r="AH16" s="34">
        <f>IF(DB_SOFList[[#This Row],[FYPlan]]&lt;&gt;0,DB_SOFList[[#This Row],[FYActuals]]/DB_SOFList[[#This Row],[FYPlan]],1.000011000011)</f>
        <v>1.0673538677667176</v>
      </c>
    </row>
    <row r="17" spans="1:34" hidden="1" x14ac:dyDescent="0.2">
      <c r="A17">
        <f>SUBTOTAL(3,$B$16:B17)</f>
        <v>1</v>
      </c>
      <c r="B17" t="s">
        <v>342</v>
      </c>
      <c r="C17" t="s">
        <v>841</v>
      </c>
      <c r="D17">
        <v>242.49</v>
      </c>
      <c r="E17">
        <v>3022.9</v>
      </c>
      <c r="F17">
        <v>2635.7200000000003</v>
      </c>
      <c r="G17">
        <v>1532.25</v>
      </c>
      <c r="H17">
        <v>1635.31</v>
      </c>
      <c r="P17">
        <v>242.49</v>
      </c>
      <c r="Q17">
        <v>3022.8999999999996</v>
      </c>
      <c r="R17">
        <v>2635.7200000000003</v>
      </c>
      <c r="S17">
        <v>1532.2499999999998</v>
      </c>
      <c r="T17">
        <v>1635.31</v>
      </c>
      <c r="AB17">
        <f>SUMPRODUCT(DB_SOFList[[#This Row],[Plan01]:[Plan12]],$D$14:$O$14)/valUnits2</f>
        <v>9.0686700000000009</v>
      </c>
      <c r="AC17">
        <f>SUMPRODUCT(DB_SOFList[[#This Row],[Act01]:[Act12]],$P$14:$AA$14)/valUnits2</f>
        <v>9.0686700000000009</v>
      </c>
      <c r="AD17">
        <f>DB_SOFList[[#This Row],[Actual]]-DB_SOFList[[#This Row],[Plan]]</f>
        <v>0</v>
      </c>
      <c r="AE17">
        <f>IF(DB_SOFList[[#This Row],[Plan]]&lt;&gt;0,DB_SOFList[[#This Row],[Actual]]/DB_SOFList[[#This Row],[Plan]],1.000011000011)</f>
        <v>1</v>
      </c>
      <c r="AF17" s="34">
        <f>SUM(DB_SOFList[[#This Row],[Plan01]:[Plan12]])/valUnits2</f>
        <v>9.0686700000000009</v>
      </c>
      <c r="AG17" s="34">
        <f>SUMPRODUCT(DB_SOFList[[#This Row],[Act01]:[Act12]],$P$13:$AA$13)/valUnits2</f>
        <v>9.0686700000000009</v>
      </c>
      <c r="AH17" s="34">
        <f>IF(DB_SOFList[[#This Row],[FYPlan]]&lt;&gt;0,DB_SOFList[[#This Row],[FYActuals]]/DB_SOFList[[#This Row],[FYPlan]],1.000011000011)</f>
        <v>1</v>
      </c>
    </row>
    <row r="18" spans="1:34" hidden="1" x14ac:dyDescent="0.2">
      <c r="A18">
        <f>SUBTOTAL(3,$B$16:B18)</f>
        <v>1</v>
      </c>
      <c r="B18" t="s">
        <v>351</v>
      </c>
      <c r="C18" t="s">
        <v>841</v>
      </c>
      <c r="D18">
        <v>0</v>
      </c>
      <c r="E18">
        <v>0</v>
      </c>
      <c r="F18">
        <v>0</v>
      </c>
      <c r="I18">
        <v>0</v>
      </c>
      <c r="P18">
        <v>0</v>
      </c>
      <c r="Q18">
        <v>0</v>
      </c>
      <c r="R18">
        <v>0</v>
      </c>
      <c r="U18">
        <v>610.80999999999995</v>
      </c>
      <c r="AB18">
        <f>SUMPRODUCT(DB_SOFList[[#This Row],[Plan01]:[Plan12]],$D$14:$O$14)/valUnits2</f>
        <v>0</v>
      </c>
      <c r="AC18">
        <f>SUMPRODUCT(DB_SOFList[[#This Row],[Act01]:[Act12]],$P$14:$AA$14)/valUnits2</f>
        <v>0.61080999999999996</v>
      </c>
      <c r="AD18">
        <f>DB_SOFList[[#This Row],[Actual]]-DB_SOFList[[#This Row],[Plan]]</f>
        <v>0.61080999999999996</v>
      </c>
      <c r="AE18">
        <f>IF(DB_SOFList[[#This Row],[Plan]]&lt;&gt;0,DB_SOFList[[#This Row],[Actual]]/DB_SOFList[[#This Row],[Plan]],1.000011000011)</f>
        <v>1.0000110000110001</v>
      </c>
      <c r="AF18" s="34">
        <f>SUM(DB_SOFList[[#This Row],[Plan01]:[Plan12]])/valUnits2</f>
        <v>0</v>
      </c>
      <c r="AG18" s="34">
        <f>SUMPRODUCT(DB_SOFList[[#This Row],[Act01]:[Act12]],$P$13:$AA$13)/valUnits2</f>
        <v>0.61080999999999996</v>
      </c>
      <c r="AH18" s="34">
        <f>IF(DB_SOFList[[#This Row],[FYPlan]]&lt;&gt;0,DB_SOFList[[#This Row],[FYActuals]]/DB_SOFList[[#This Row],[FYPlan]],1.000011000011)</f>
        <v>1.0000110000110001</v>
      </c>
    </row>
    <row r="19" spans="1:34" x14ac:dyDescent="0.2">
      <c r="A19">
        <f>SUBTOTAL(3,$B$16:B19)</f>
        <v>2</v>
      </c>
      <c r="B19" t="s">
        <v>1</v>
      </c>
      <c r="C19" t="s">
        <v>842</v>
      </c>
      <c r="D19">
        <v>0</v>
      </c>
      <c r="E19">
        <v>0</v>
      </c>
      <c r="F19">
        <v>205.351</v>
      </c>
      <c r="G19">
        <v>7487.9770000000008</v>
      </c>
      <c r="H19">
        <v>56966.083000000006</v>
      </c>
      <c r="I19">
        <v>23893.074000000001</v>
      </c>
      <c r="J19">
        <v>45072.378000000004</v>
      </c>
      <c r="K19">
        <v>23893.074000000001</v>
      </c>
      <c r="L19">
        <v>23893.074000000001</v>
      </c>
      <c r="M19">
        <v>23893.074000000001</v>
      </c>
      <c r="N19">
        <v>23893.074000000001</v>
      </c>
      <c r="O19">
        <v>49574.838000000003</v>
      </c>
      <c r="P19">
        <v>0</v>
      </c>
      <c r="Q19">
        <v>0</v>
      </c>
      <c r="R19">
        <v>207.21</v>
      </c>
      <c r="S19">
        <v>7521.44</v>
      </c>
      <c r="T19">
        <v>56837.04</v>
      </c>
      <c r="U19">
        <v>20980.080000000002</v>
      </c>
      <c r="V19">
        <v>3097</v>
      </c>
      <c r="W19">
        <v>0</v>
      </c>
      <c r="X19">
        <v>0</v>
      </c>
      <c r="Y19">
        <v>0</v>
      </c>
      <c r="Z19">
        <v>0</v>
      </c>
      <c r="AA19">
        <v>0</v>
      </c>
      <c r="AB19">
        <f>SUMPRODUCT(DB_SOFList[[#This Row],[Plan01]:[Plan12]],$D$14:$O$14)/valUnits2</f>
        <v>88.552485000000019</v>
      </c>
      <c r="AC19">
        <f>SUMPRODUCT(DB_SOFList[[#This Row],[Act01]:[Act12]],$P$14:$AA$14)/valUnits2</f>
        <v>85.545770000000005</v>
      </c>
      <c r="AD19">
        <f>DB_SOFList[[#This Row],[Actual]]-DB_SOFList[[#This Row],[Plan]]</f>
        <v>-3.006715000000014</v>
      </c>
      <c r="AE19">
        <f>IF(DB_SOFList[[#This Row],[Plan]]&lt;&gt;0,DB_SOFList[[#This Row],[Actual]]/DB_SOFList[[#This Row],[Plan]],1.000011000011)</f>
        <v>0.9660459556837957</v>
      </c>
      <c r="AF19" s="34">
        <f>SUM(DB_SOFList[[#This Row],[Plan01]:[Plan12]])/valUnits2</f>
        <v>278.771997</v>
      </c>
      <c r="AG19" s="34">
        <f>SUMPRODUCT(DB_SOFList[[#This Row],[Act01]:[Act12]],$P$13:$AA$13)/valUnits2</f>
        <v>85.545770000000005</v>
      </c>
      <c r="AH19" s="34">
        <f>IF(DB_SOFList[[#This Row],[FYPlan]]&lt;&gt;0,DB_SOFList[[#This Row],[FYActuals]]/DB_SOFList[[#This Row],[FYPlan]],1.000011000011)</f>
        <v>0.30686643895584681</v>
      </c>
    </row>
    <row r="20" spans="1:34" hidden="1" x14ac:dyDescent="0.2">
      <c r="A20">
        <f>SUBTOTAL(3,$B$16:B20)</f>
        <v>2</v>
      </c>
      <c r="B20" t="s">
        <v>351</v>
      </c>
      <c r="C20" t="s">
        <v>842</v>
      </c>
      <c r="D20">
        <v>0</v>
      </c>
      <c r="E20">
        <v>0</v>
      </c>
      <c r="F20">
        <v>0</v>
      </c>
      <c r="G20">
        <v>6568.3650000000007</v>
      </c>
      <c r="H20">
        <v>15049.647999999999</v>
      </c>
      <c r="I20">
        <v>4308.8690000000006</v>
      </c>
      <c r="J20">
        <v>4308.8690000000006</v>
      </c>
      <c r="K20">
        <v>4308.8690000000006</v>
      </c>
      <c r="L20">
        <v>4308.8690000000006</v>
      </c>
      <c r="M20">
        <v>4308.8690000000006</v>
      </c>
      <c r="N20">
        <v>4308.8690000000006</v>
      </c>
      <c r="O20">
        <v>4308.8690000000006</v>
      </c>
      <c r="P20">
        <v>0</v>
      </c>
      <c r="Q20">
        <v>0</v>
      </c>
      <c r="R20">
        <v>0</v>
      </c>
      <c r="S20">
        <v>6608.53</v>
      </c>
      <c r="T20">
        <v>15037.320000000002</v>
      </c>
      <c r="U20">
        <v>7789.76</v>
      </c>
      <c r="V20">
        <v>3097</v>
      </c>
      <c r="W20">
        <v>0</v>
      </c>
      <c r="X20">
        <v>0</v>
      </c>
      <c r="Y20">
        <v>0</v>
      </c>
      <c r="Z20">
        <v>0</v>
      </c>
      <c r="AA20">
        <v>0</v>
      </c>
      <c r="AB20">
        <f>SUMPRODUCT(DB_SOFList[[#This Row],[Plan01]:[Plan12]],$D$14:$O$14)/valUnits2</f>
        <v>25.926881999999999</v>
      </c>
      <c r="AC20">
        <f>SUMPRODUCT(DB_SOFList[[#This Row],[Act01]:[Act12]],$P$14:$AA$14)/valUnits2</f>
        <v>29.43561</v>
      </c>
      <c r="AD20">
        <f>DB_SOFList[[#This Row],[Actual]]-DB_SOFList[[#This Row],[Plan]]</f>
        <v>3.5087280000000014</v>
      </c>
      <c r="AE20">
        <f>IF(DB_SOFList[[#This Row],[Plan]]&lt;&gt;0,DB_SOFList[[#This Row],[Actual]]/DB_SOFList[[#This Row],[Plan]],1.000011000011)</f>
        <v>1.1353316607835837</v>
      </c>
      <c r="AF20" s="34">
        <f>SUM(DB_SOFList[[#This Row],[Plan01]:[Plan12]])/valUnits2</f>
        <v>51.780095999999993</v>
      </c>
      <c r="AG20" s="34">
        <f>SUMPRODUCT(DB_SOFList[[#This Row],[Act01]:[Act12]],$P$13:$AA$13)/valUnits2</f>
        <v>29.43561</v>
      </c>
      <c r="AH20" s="34">
        <f>IF(DB_SOFList[[#This Row],[FYPlan]]&lt;&gt;0,DB_SOFList[[#This Row],[FYActuals]]/DB_SOFList[[#This Row],[FYPlan]],1.000011000011)</f>
        <v>0.56847345358340018</v>
      </c>
    </row>
    <row r="21" spans="1:34" hidden="1" x14ac:dyDescent="0.2">
      <c r="A21">
        <f>SUBTOTAL(3,$B$16:B21)</f>
        <v>2</v>
      </c>
      <c r="B21" t="s">
        <v>348</v>
      </c>
      <c r="C21" t="s">
        <v>842</v>
      </c>
      <c r="D21">
        <v>0</v>
      </c>
      <c r="E21">
        <v>0</v>
      </c>
      <c r="F21">
        <v>205.351</v>
      </c>
      <c r="G21">
        <v>16.495000000000001</v>
      </c>
      <c r="H21">
        <v>41168.827000000005</v>
      </c>
      <c r="I21">
        <v>13974.606000000002</v>
      </c>
      <c r="J21">
        <v>35153.910000000003</v>
      </c>
      <c r="K21">
        <v>13974.606000000002</v>
      </c>
      <c r="L21">
        <v>13974.606000000002</v>
      </c>
      <c r="M21">
        <v>13974.606000000002</v>
      </c>
      <c r="N21">
        <v>13974.606000000002</v>
      </c>
      <c r="O21">
        <v>39656.370000000003</v>
      </c>
      <c r="P21">
        <v>0</v>
      </c>
      <c r="Q21">
        <v>0</v>
      </c>
      <c r="R21">
        <v>207.21</v>
      </c>
      <c r="S21">
        <v>16.47</v>
      </c>
      <c r="T21">
        <v>41060.94</v>
      </c>
      <c r="U21">
        <v>11836.960000000003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f>SUMPRODUCT(DB_SOFList[[#This Row],[Plan01]:[Plan12]],$D$14:$O$14)/valUnits2</f>
        <v>55.365279000000001</v>
      </c>
      <c r="AC21">
        <f>SUMPRODUCT(DB_SOFList[[#This Row],[Act01]:[Act12]],$P$14:$AA$14)/valUnits2</f>
        <v>53.121580000000002</v>
      </c>
      <c r="AD21">
        <f>DB_SOFList[[#This Row],[Actual]]-DB_SOFList[[#This Row],[Plan]]</f>
        <v>-2.2436989999999994</v>
      </c>
      <c r="AE21">
        <f>IF(DB_SOFList[[#This Row],[Plan]]&lt;&gt;0,DB_SOFList[[#This Row],[Actual]]/DB_SOFList[[#This Row],[Plan]],1.000011000011)</f>
        <v>0.95947461946321988</v>
      </c>
      <c r="AF21" s="34">
        <f>SUM(DB_SOFList[[#This Row],[Plan01]:[Plan12]])/valUnits2</f>
        <v>186.073983</v>
      </c>
      <c r="AG21" s="34">
        <f>SUMPRODUCT(DB_SOFList[[#This Row],[Act01]:[Act12]],$P$13:$AA$13)/valUnits2</f>
        <v>53.121580000000002</v>
      </c>
      <c r="AH21" s="34">
        <f>IF(DB_SOFList[[#This Row],[FYPlan]]&lt;&gt;0,DB_SOFList[[#This Row],[FYActuals]]/DB_SOFList[[#This Row],[FYPlan]],1.000011000011)</f>
        <v>0.2854863379798776</v>
      </c>
    </row>
    <row r="22" spans="1:34" hidden="1" x14ac:dyDescent="0.2">
      <c r="A22">
        <f>SUBTOTAL(3,$B$16:B22)</f>
        <v>2</v>
      </c>
      <c r="B22" t="s">
        <v>350</v>
      </c>
      <c r="C22" t="s">
        <v>842</v>
      </c>
      <c r="D22">
        <v>0</v>
      </c>
      <c r="E22">
        <v>0</v>
      </c>
      <c r="F22">
        <v>0</v>
      </c>
      <c r="G22">
        <v>903.11699999999996</v>
      </c>
      <c r="H22">
        <v>747.60800000000006</v>
      </c>
      <c r="I22">
        <v>5609.5990000000002</v>
      </c>
      <c r="J22">
        <v>5609.5990000000002</v>
      </c>
      <c r="K22">
        <v>5609.5990000000002</v>
      </c>
      <c r="L22">
        <v>5609.5990000000002</v>
      </c>
      <c r="M22">
        <v>5609.5990000000002</v>
      </c>
      <c r="N22">
        <v>5609.5990000000002</v>
      </c>
      <c r="O22">
        <v>5609.5990000000002</v>
      </c>
      <c r="P22">
        <v>0</v>
      </c>
      <c r="Q22">
        <v>0</v>
      </c>
      <c r="R22">
        <v>0</v>
      </c>
      <c r="S22">
        <v>896.43999999999994</v>
      </c>
      <c r="T22">
        <v>738.78</v>
      </c>
      <c r="U22">
        <v>1353.36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f>SUMPRODUCT(DB_SOFList[[#This Row],[Plan01]:[Plan12]],$D$14:$O$14)/valUnits2</f>
        <v>7.2603240000000007</v>
      </c>
      <c r="AC22">
        <f>SUMPRODUCT(DB_SOFList[[#This Row],[Act01]:[Act12]],$P$14:$AA$14)/valUnits2</f>
        <v>2.9885799999999998</v>
      </c>
      <c r="AD22">
        <f>DB_SOFList[[#This Row],[Actual]]-DB_SOFList[[#This Row],[Plan]]</f>
        <v>-4.2717440000000009</v>
      </c>
      <c r="AE22">
        <f>IF(DB_SOFList[[#This Row],[Plan]]&lt;&gt;0,DB_SOFList[[#This Row],[Actual]]/DB_SOFList[[#This Row],[Plan]],1.000011000011)</f>
        <v>0.41163176739770835</v>
      </c>
      <c r="AF22" s="34">
        <f>SUM(DB_SOFList[[#This Row],[Plan01]:[Plan12]])/valUnits2</f>
        <v>40.917918000000007</v>
      </c>
      <c r="AG22" s="34">
        <f>SUMPRODUCT(DB_SOFList[[#This Row],[Act01]:[Act12]],$P$13:$AA$13)/valUnits2</f>
        <v>2.9885799999999998</v>
      </c>
      <c r="AH22" s="34">
        <f>IF(DB_SOFList[[#This Row],[FYPlan]]&lt;&gt;0,DB_SOFList[[#This Row],[FYActuals]]/DB_SOFList[[#This Row],[FYPlan]],1.000011000011)</f>
        <v>7.3038418034856986E-2</v>
      </c>
    </row>
    <row r="23" spans="1:34" x14ac:dyDescent="0.2">
      <c r="A23">
        <f>SUBTOTAL(3,$B$16:B23)</f>
        <v>3</v>
      </c>
      <c r="B23" t="s">
        <v>1</v>
      </c>
      <c r="C23" t="s">
        <v>843</v>
      </c>
      <c r="E23">
        <v>4458.7359999999999</v>
      </c>
      <c r="F23">
        <v>2390.5330000000004</v>
      </c>
      <c r="G23">
        <v>86928.647999999986</v>
      </c>
      <c r="H23">
        <v>56687.087</v>
      </c>
      <c r="I23">
        <v>76170.999000000011</v>
      </c>
      <c r="J23">
        <v>76170.999000000011</v>
      </c>
      <c r="K23">
        <v>76170.998999999996</v>
      </c>
      <c r="L23">
        <v>76170.998999999996</v>
      </c>
      <c r="M23">
        <v>76170.999000000011</v>
      </c>
      <c r="N23">
        <v>76170.999000000011</v>
      </c>
      <c r="O23">
        <v>76170.998999999996</v>
      </c>
      <c r="Q23">
        <v>4481.1400000000003</v>
      </c>
      <c r="R23">
        <v>2420.54</v>
      </c>
      <c r="S23">
        <v>88352.440000000017</v>
      </c>
      <c r="T23">
        <v>56617.700000000004</v>
      </c>
      <c r="U23">
        <v>89591.589999999982</v>
      </c>
      <c r="V23">
        <v>681</v>
      </c>
      <c r="W23">
        <v>0</v>
      </c>
      <c r="X23">
        <v>0</v>
      </c>
      <c r="Y23">
        <v>0</v>
      </c>
      <c r="Z23">
        <v>0</v>
      </c>
      <c r="AA23">
        <v>0</v>
      </c>
      <c r="AB23">
        <f>SUMPRODUCT(DB_SOFList[[#This Row],[Plan01]:[Plan12]],$D$14:$O$14)/valUnits2</f>
        <v>226.63600299999999</v>
      </c>
      <c r="AC23">
        <f>SUMPRODUCT(DB_SOFList[[#This Row],[Act01]:[Act12]],$P$14:$AA$14)/valUnits2</f>
        <v>241.46341000000004</v>
      </c>
      <c r="AD23">
        <f>DB_SOFList[[#This Row],[Actual]]-DB_SOFList[[#This Row],[Plan]]</f>
        <v>14.827407000000051</v>
      </c>
      <c r="AE23">
        <f>IF(DB_SOFList[[#This Row],[Plan]]&lt;&gt;0,DB_SOFList[[#This Row],[Actual]]/DB_SOFList[[#This Row],[Plan]],1.000011000011)</f>
        <v>1.065423881482767</v>
      </c>
      <c r="AF23" s="34">
        <f>SUM(DB_SOFList[[#This Row],[Plan01]:[Plan12]])/valUnits2</f>
        <v>683.66199700000004</v>
      </c>
      <c r="AG23" s="34">
        <f>SUMPRODUCT(DB_SOFList[[#This Row],[Act01]:[Act12]],$P$13:$AA$13)/valUnits2</f>
        <v>241.46341000000004</v>
      </c>
      <c r="AH23" s="34">
        <f>IF(DB_SOFList[[#This Row],[FYPlan]]&lt;&gt;0,DB_SOFList[[#This Row],[FYActuals]]/DB_SOFList[[#This Row],[FYPlan]],1.000011000011)</f>
        <v>0.35319121299644218</v>
      </c>
    </row>
    <row r="24" spans="1:34" hidden="1" x14ac:dyDescent="0.2">
      <c r="A24">
        <f>SUBTOTAL(3,$B$16:B24)</f>
        <v>3</v>
      </c>
      <c r="B24" t="s">
        <v>351</v>
      </c>
      <c r="C24" t="s">
        <v>843</v>
      </c>
      <c r="G24">
        <v>9781.1070000000018</v>
      </c>
      <c r="H24">
        <v>11151.615</v>
      </c>
      <c r="I24">
        <v>5586.3899999999994</v>
      </c>
      <c r="J24">
        <v>5586.3899999999994</v>
      </c>
      <c r="K24">
        <v>5586.3899999999994</v>
      </c>
      <c r="L24">
        <v>5586.3899999999994</v>
      </c>
      <c r="M24">
        <v>5586.3899999999994</v>
      </c>
      <c r="N24">
        <v>5586.3899999999994</v>
      </c>
      <c r="O24">
        <v>5586.3899999999994</v>
      </c>
      <c r="S24">
        <v>9799.02</v>
      </c>
      <c r="T24">
        <v>11205.630000000001</v>
      </c>
      <c r="U24">
        <v>6933.5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f>SUMPRODUCT(DB_SOFList[[#This Row],[Plan01]:[Plan12]],$D$14:$O$14)/valUnits2</f>
        <v>26.519112</v>
      </c>
      <c r="AC24">
        <f>SUMPRODUCT(DB_SOFList[[#This Row],[Act01]:[Act12]],$P$14:$AA$14)/valUnits2</f>
        <v>27.93815</v>
      </c>
      <c r="AD24">
        <f>DB_SOFList[[#This Row],[Actual]]-DB_SOFList[[#This Row],[Plan]]</f>
        <v>1.4190380000000005</v>
      </c>
      <c r="AE24">
        <f>IF(DB_SOFList[[#This Row],[Plan]]&lt;&gt;0,DB_SOFList[[#This Row],[Actual]]/DB_SOFList[[#This Row],[Plan]],1.000011000011)</f>
        <v>1.0535100119491181</v>
      </c>
      <c r="AF24" s="34">
        <f>SUM(DB_SOFList[[#This Row],[Plan01]:[Plan12]])/valUnits2</f>
        <v>60.037451999999995</v>
      </c>
      <c r="AG24" s="34">
        <f>SUMPRODUCT(DB_SOFList[[#This Row],[Act01]:[Act12]],$P$13:$AA$13)/valUnits2</f>
        <v>27.93815</v>
      </c>
      <c r="AH24" s="34">
        <f>IF(DB_SOFList[[#This Row],[FYPlan]]&lt;&gt;0,DB_SOFList[[#This Row],[FYActuals]]/DB_SOFList[[#This Row],[FYPlan]],1.000011000011)</f>
        <v>0.46534536475665228</v>
      </c>
    </row>
    <row r="25" spans="1:34" hidden="1" x14ac:dyDescent="0.2">
      <c r="A25">
        <f>SUBTOTAL(3,$B$16:B25)</f>
        <v>3</v>
      </c>
      <c r="B25" t="s">
        <v>345</v>
      </c>
      <c r="C25" t="s">
        <v>843</v>
      </c>
      <c r="G25">
        <v>71414.804999999993</v>
      </c>
      <c r="H25">
        <v>44609.921999999999</v>
      </c>
      <c r="I25">
        <v>44265.896999999997</v>
      </c>
      <c r="J25">
        <v>44265.896999999997</v>
      </c>
      <c r="K25">
        <v>44265.896999999997</v>
      </c>
      <c r="L25">
        <v>44265.896999999997</v>
      </c>
      <c r="M25">
        <v>44265.897000000004</v>
      </c>
      <c r="N25">
        <v>44265.897000000004</v>
      </c>
      <c r="O25">
        <v>44265.896999999997</v>
      </c>
      <c r="S25">
        <v>72844.440000000017</v>
      </c>
      <c r="T25">
        <v>44488.5</v>
      </c>
      <c r="U25">
        <v>7139.5499999999956</v>
      </c>
      <c r="V25">
        <v>681</v>
      </c>
      <c r="W25">
        <v>0</v>
      </c>
      <c r="X25">
        <v>0</v>
      </c>
      <c r="Y25">
        <v>0</v>
      </c>
      <c r="Z25">
        <v>0</v>
      </c>
      <c r="AA25">
        <v>0</v>
      </c>
      <c r="AB25">
        <f>SUMPRODUCT(DB_SOFList[[#This Row],[Plan01]:[Plan12]],$D$14:$O$14)/valUnits2</f>
        <v>160.29062399999998</v>
      </c>
      <c r="AC25">
        <f>SUMPRODUCT(DB_SOFList[[#This Row],[Act01]:[Act12]],$P$14:$AA$14)/valUnits2</f>
        <v>124.47249000000002</v>
      </c>
      <c r="AD25">
        <f>DB_SOFList[[#This Row],[Actual]]-DB_SOFList[[#This Row],[Plan]]</f>
        <v>-35.818133999999958</v>
      </c>
      <c r="AE25">
        <f>IF(DB_SOFList[[#This Row],[Plan]]&lt;&gt;0,DB_SOFList[[#This Row],[Actual]]/DB_SOFList[[#This Row],[Plan]],1.000011000011)</f>
        <v>0.77654255061107025</v>
      </c>
      <c r="AF25" s="34">
        <f>SUM(DB_SOFList[[#This Row],[Plan01]:[Plan12]])/valUnits2</f>
        <v>425.88600599999995</v>
      </c>
      <c r="AG25" s="34">
        <f>SUMPRODUCT(DB_SOFList[[#This Row],[Act01]:[Act12]],$P$13:$AA$13)/valUnits2</f>
        <v>124.47249000000002</v>
      </c>
      <c r="AH25" s="34">
        <f>IF(DB_SOFList[[#This Row],[FYPlan]]&lt;&gt;0,DB_SOFList[[#This Row],[FYActuals]]/DB_SOFList[[#This Row],[FYPlan]],1.000011000011)</f>
        <v>0.29226715188195229</v>
      </c>
    </row>
    <row r="26" spans="1:34" hidden="1" x14ac:dyDescent="0.2">
      <c r="A26">
        <f>SUBTOTAL(3,$B$16:B26)</f>
        <v>3</v>
      </c>
      <c r="B26" t="s">
        <v>349</v>
      </c>
      <c r="C26" t="s">
        <v>843</v>
      </c>
      <c r="G26">
        <v>460.18400000000003</v>
      </c>
      <c r="H26">
        <v>418.95699999999999</v>
      </c>
      <c r="I26">
        <v>24559.218000000001</v>
      </c>
      <c r="J26">
        <v>24559.218000000001</v>
      </c>
      <c r="K26">
        <v>24559.217999999997</v>
      </c>
      <c r="L26">
        <v>24559.217999999997</v>
      </c>
      <c r="M26">
        <v>24559.217999999997</v>
      </c>
      <c r="N26">
        <v>24559.217999999997</v>
      </c>
      <c r="O26">
        <v>24559.217999999993</v>
      </c>
      <c r="S26">
        <v>445.75</v>
      </c>
      <c r="T26">
        <v>413.97999999999996</v>
      </c>
      <c r="U26">
        <v>88187.769999999975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f>SUMPRODUCT(DB_SOFList[[#This Row],[Plan01]:[Plan12]],$D$14:$O$14)/valUnits2</f>
        <v>25.438359000000002</v>
      </c>
      <c r="AC26">
        <f>SUMPRODUCT(DB_SOFList[[#This Row],[Act01]:[Act12]],$P$14:$AA$14)/valUnits2</f>
        <v>89.047499999999971</v>
      </c>
      <c r="AD26">
        <f>DB_SOFList[[#This Row],[Actual]]-DB_SOFList[[#This Row],[Plan]]</f>
        <v>63.609140999999966</v>
      </c>
      <c r="AE26">
        <f>IF(DB_SOFList[[#This Row],[Plan]]&lt;&gt;0,DB_SOFList[[#This Row],[Actual]]/DB_SOFList[[#This Row],[Plan]],1.000011000011)</f>
        <v>3.500520611412079</v>
      </c>
      <c r="AF26" s="34">
        <f>SUM(DB_SOFList[[#This Row],[Plan01]:[Plan12]])/valUnits2</f>
        <v>172.793667</v>
      </c>
      <c r="AG26" s="34">
        <f>SUMPRODUCT(DB_SOFList[[#This Row],[Act01]:[Act12]],$P$13:$AA$13)/valUnits2</f>
        <v>89.047499999999971</v>
      </c>
      <c r="AH26" s="34">
        <f>IF(DB_SOFList[[#This Row],[FYPlan]]&lt;&gt;0,DB_SOFList[[#This Row],[FYActuals]]/DB_SOFList[[#This Row],[FYPlan]],1.000011000011)</f>
        <v>0.51534006741115101</v>
      </c>
    </row>
    <row r="27" spans="1:34" hidden="1" x14ac:dyDescent="0.2">
      <c r="A27">
        <f>SUBTOTAL(3,$B$16:B27)</f>
        <v>3</v>
      </c>
      <c r="B27" t="s">
        <v>350</v>
      </c>
      <c r="C27" t="s">
        <v>843</v>
      </c>
      <c r="E27">
        <v>4458.7359999999999</v>
      </c>
      <c r="F27">
        <v>2390.5330000000004</v>
      </c>
      <c r="G27">
        <v>5272.5519999999997</v>
      </c>
      <c r="H27">
        <v>506.59300000000002</v>
      </c>
      <c r="I27">
        <v>1759.4940000000001</v>
      </c>
      <c r="J27">
        <v>1759.4940000000001</v>
      </c>
      <c r="K27">
        <v>1759.4940000000001</v>
      </c>
      <c r="L27">
        <v>1759.4940000000001</v>
      </c>
      <c r="M27">
        <v>1759.4940000000001</v>
      </c>
      <c r="N27">
        <v>1759.4940000000001</v>
      </c>
      <c r="O27">
        <v>1759.4940000000001</v>
      </c>
      <c r="Q27">
        <v>4481.1400000000003</v>
      </c>
      <c r="R27">
        <v>2420.54</v>
      </c>
      <c r="S27">
        <v>5263.23</v>
      </c>
      <c r="T27">
        <v>509.59</v>
      </c>
      <c r="U27">
        <v>-12669.23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f>SUMPRODUCT(DB_SOFList[[#This Row],[Plan01]:[Plan12]],$D$14:$O$14)/valUnits2</f>
        <v>14.387908000000001</v>
      </c>
      <c r="AC27">
        <f>SUMPRODUCT(DB_SOFList[[#This Row],[Act01]:[Act12]],$P$14:$AA$14)/valUnits2</f>
        <v>5.2700000000004367E-3</v>
      </c>
      <c r="AD27">
        <f>DB_SOFList[[#This Row],[Actual]]-DB_SOFList[[#This Row],[Plan]]</f>
        <v>-14.382638</v>
      </c>
      <c r="AE27">
        <f>IF(DB_SOFList[[#This Row],[Plan]]&lt;&gt;0,DB_SOFList[[#This Row],[Actual]]/DB_SOFList[[#This Row],[Plan]],1.000011000011)</f>
        <v>3.6627979550608999E-4</v>
      </c>
      <c r="AF27" s="34">
        <f>SUM(DB_SOFList[[#This Row],[Plan01]:[Plan12]])/valUnits2</f>
        <v>24.944871999999997</v>
      </c>
      <c r="AG27" s="34">
        <f>SUMPRODUCT(DB_SOFList[[#This Row],[Act01]:[Act12]],$P$13:$AA$13)/valUnits2</f>
        <v>5.2700000000004367E-3</v>
      </c>
      <c r="AH27" s="34">
        <f>IF(DB_SOFList[[#This Row],[FYPlan]]&lt;&gt;0,DB_SOFList[[#This Row],[FYActuals]]/DB_SOFList[[#This Row],[FYPlan]],1.000011000011)</f>
        <v>2.1126586658774747E-4</v>
      </c>
    </row>
    <row r="28" spans="1:34" x14ac:dyDescent="0.2">
      <c r="A28">
        <f>SUBTOTAL(3,$B$16:B28)</f>
        <v>4</v>
      </c>
      <c r="B28" t="s">
        <v>1</v>
      </c>
      <c r="C28" t="s">
        <v>844</v>
      </c>
      <c r="D28">
        <v>0</v>
      </c>
      <c r="E28">
        <v>0</v>
      </c>
      <c r="F28">
        <v>47542.697999999997</v>
      </c>
      <c r="P28">
        <v>0</v>
      </c>
      <c r="Q28">
        <v>0</v>
      </c>
      <c r="R28">
        <v>47549.440000000002</v>
      </c>
      <c r="AB28">
        <f>SUMPRODUCT(DB_SOFList[[#This Row],[Plan01]:[Plan12]],$D$14:$O$14)/valUnits2</f>
        <v>47.542697999999994</v>
      </c>
      <c r="AC28">
        <f>SUMPRODUCT(DB_SOFList[[#This Row],[Act01]:[Act12]],$P$14:$AA$14)/valUnits2</f>
        <v>47.549440000000004</v>
      </c>
      <c r="AD28">
        <f>DB_SOFList[[#This Row],[Actual]]-DB_SOFList[[#This Row],[Plan]]</f>
        <v>6.7420000000097957E-3</v>
      </c>
      <c r="AE28">
        <f>IF(DB_SOFList[[#This Row],[Plan]]&lt;&gt;0,DB_SOFList[[#This Row],[Actual]]/DB_SOFList[[#This Row],[Plan]],1.000011000011)</f>
        <v>1.0001418093689174</v>
      </c>
      <c r="AF28" s="34">
        <f>SUM(DB_SOFList[[#This Row],[Plan01]:[Plan12]])/valUnits2</f>
        <v>47.542697999999994</v>
      </c>
      <c r="AG28" s="34">
        <f>SUMPRODUCT(DB_SOFList[[#This Row],[Act01]:[Act12]],$P$13:$AA$13)/valUnits2</f>
        <v>47.549440000000004</v>
      </c>
      <c r="AH28" s="34">
        <f>IF(DB_SOFList[[#This Row],[FYPlan]]&lt;&gt;0,DB_SOFList[[#This Row],[FYActuals]]/DB_SOFList[[#This Row],[FYPlan]],1.000011000011)</f>
        <v>1.0001418093689174</v>
      </c>
    </row>
    <row r="29" spans="1:34" hidden="1" x14ac:dyDescent="0.2">
      <c r="A29">
        <f>SUBTOTAL(3,$B$16:B29)</f>
        <v>4</v>
      </c>
      <c r="B29" t="s">
        <v>349</v>
      </c>
      <c r="C29" t="s">
        <v>844</v>
      </c>
      <c r="D29">
        <v>0</v>
      </c>
      <c r="E29">
        <v>0</v>
      </c>
      <c r="F29">
        <v>47542.697999999997</v>
      </c>
      <c r="P29">
        <v>0</v>
      </c>
      <c r="Q29">
        <v>0</v>
      </c>
      <c r="R29">
        <v>47549.440000000002</v>
      </c>
      <c r="AB29">
        <f>SUMPRODUCT(DB_SOFList[[#This Row],[Plan01]:[Plan12]],$D$14:$O$14)/valUnits2</f>
        <v>47.542697999999994</v>
      </c>
      <c r="AC29">
        <f>SUMPRODUCT(DB_SOFList[[#This Row],[Act01]:[Act12]],$P$14:$AA$14)/valUnits2</f>
        <v>47.549440000000004</v>
      </c>
      <c r="AD29">
        <f>DB_SOFList[[#This Row],[Actual]]-DB_SOFList[[#This Row],[Plan]]</f>
        <v>6.7420000000097957E-3</v>
      </c>
      <c r="AE29">
        <f>IF(DB_SOFList[[#This Row],[Plan]]&lt;&gt;0,DB_SOFList[[#This Row],[Actual]]/DB_SOFList[[#This Row],[Plan]],1.000011000011)</f>
        <v>1.0001418093689174</v>
      </c>
      <c r="AF29" s="34">
        <f>SUM(DB_SOFList[[#This Row],[Plan01]:[Plan12]])/valUnits2</f>
        <v>47.542697999999994</v>
      </c>
      <c r="AG29" s="34">
        <f>SUMPRODUCT(DB_SOFList[[#This Row],[Act01]:[Act12]],$P$13:$AA$13)/valUnits2</f>
        <v>47.549440000000004</v>
      </c>
      <c r="AH29" s="34">
        <f>IF(DB_SOFList[[#This Row],[FYPlan]]&lt;&gt;0,DB_SOFList[[#This Row],[FYActuals]]/DB_SOFList[[#This Row],[FYPlan]],1.000011000011)</f>
        <v>1.0001418093689174</v>
      </c>
    </row>
    <row r="30" spans="1:34" x14ac:dyDescent="0.2">
      <c r="A30">
        <f>SUBTOTAL(3,$B$16:B30)</f>
        <v>5</v>
      </c>
      <c r="B30" t="s">
        <v>1</v>
      </c>
      <c r="C30" t="s">
        <v>845</v>
      </c>
      <c r="H30">
        <v>12135.929999999998</v>
      </c>
      <c r="I30">
        <v>0</v>
      </c>
      <c r="T30">
        <v>12136.91</v>
      </c>
      <c r="U30">
        <v>21186</v>
      </c>
      <c r="AB30">
        <f>SUMPRODUCT(DB_SOFList[[#This Row],[Plan01]:[Plan12]],$D$14:$O$14)/valUnits2</f>
        <v>12.135929999999998</v>
      </c>
      <c r="AC30">
        <f>SUMPRODUCT(DB_SOFList[[#This Row],[Act01]:[Act12]],$P$14:$AA$14)/valUnits2</f>
        <v>33.32291</v>
      </c>
      <c r="AD30">
        <f>DB_SOFList[[#This Row],[Actual]]-DB_SOFList[[#This Row],[Plan]]</f>
        <v>21.186980000000002</v>
      </c>
      <c r="AE30">
        <f>IF(DB_SOFList[[#This Row],[Plan]]&lt;&gt;0,DB_SOFList[[#This Row],[Actual]]/DB_SOFList[[#This Row],[Plan]],1.000011000011)</f>
        <v>2.7458060486505778</v>
      </c>
      <c r="AF30" s="34">
        <f>SUM(DB_SOFList[[#This Row],[Plan01]:[Plan12]])/valUnits2</f>
        <v>12.135929999999998</v>
      </c>
      <c r="AG30" s="34">
        <f>SUMPRODUCT(DB_SOFList[[#This Row],[Act01]:[Act12]],$P$13:$AA$13)/valUnits2</f>
        <v>33.32291</v>
      </c>
      <c r="AH30" s="34">
        <f>IF(DB_SOFList[[#This Row],[FYPlan]]&lt;&gt;0,DB_SOFList[[#This Row],[FYActuals]]/DB_SOFList[[#This Row],[FYPlan]],1.000011000011)</f>
        <v>2.7458060486505778</v>
      </c>
    </row>
    <row r="31" spans="1:34" hidden="1" x14ac:dyDescent="0.2">
      <c r="A31">
        <f>SUBTOTAL(3,$B$16:B31)</f>
        <v>5</v>
      </c>
      <c r="B31" t="s">
        <v>342</v>
      </c>
      <c r="C31" t="s">
        <v>845</v>
      </c>
      <c r="H31">
        <v>151.71</v>
      </c>
      <c r="I31">
        <v>0</v>
      </c>
      <c r="T31">
        <v>152.69</v>
      </c>
      <c r="U31">
        <v>203.47</v>
      </c>
      <c r="AB31">
        <f>SUMPRODUCT(DB_SOFList[[#This Row],[Plan01]:[Plan12]],$D$14:$O$14)/valUnits2</f>
        <v>0.15171000000000001</v>
      </c>
      <c r="AC31">
        <f>SUMPRODUCT(DB_SOFList[[#This Row],[Act01]:[Act12]],$P$14:$AA$14)/valUnits2</f>
        <v>0.35615999999999998</v>
      </c>
      <c r="AD31">
        <f>DB_SOFList[[#This Row],[Actual]]-DB_SOFList[[#This Row],[Plan]]</f>
        <v>0.20444999999999997</v>
      </c>
      <c r="AE31">
        <f>IF(DB_SOFList[[#This Row],[Plan]]&lt;&gt;0,DB_SOFList[[#This Row],[Actual]]/DB_SOFList[[#This Row],[Plan]],1.000011000011)</f>
        <v>2.3476369388965788</v>
      </c>
      <c r="AF31" s="34">
        <f>SUM(DB_SOFList[[#This Row],[Plan01]:[Plan12]])/valUnits2</f>
        <v>0.15171000000000001</v>
      </c>
      <c r="AG31" s="34">
        <f>SUMPRODUCT(DB_SOFList[[#This Row],[Act01]:[Act12]],$P$13:$AA$13)/valUnits2</f>
        <v>0.35615999999999998</v>
      </c>
      <c r="AH31" s="34">
        <f>IF(DB_SOFList[[#This Row],[FYPlan]]&lt;&gt;0,DB_SOFList[[#This Row],[FYActuals]]/DB_SOFList[[#This Row],[FYPlan]],1.000011000011)</f>
        <v>2.3476369388965788</v>
      </c>
    </row>
    <row r="32" spans="1:34" hidden="1" x14ac:dyDescent="0.2">
      <c r="A32">
        <f>SUBTOTAL(3,$B$16:B32)</f>
        <v>5</v>
      </c>
      <c r="B32" t="s">
        <v>351</v>
      </c>
      <c r="C32" t="s">
        <v>845</v>
      </c>
      <c r="I32">
        <v>0</v>
      </c>
      <c r="U32">
        <v>247.09</v>
      </c>
      <c r="AB32">
        <f>SUMPRODUCT(DB_SOFList[[#This Row],[Plan01]:[Plan12]],$D$14:$O$14)/valUnits2</f>
        <v>0</v>
      </c>
      <c r="AC32">
        <f>SUMPRODUCT(DB_SOFList[[#This Row],[Act01]:[Act12]],$P$14:$AA$14)/valUnits2</f>
        <v>0.24709</v>
      </c>
      <c r="AD32">
        <f>DB_SOFList[[#This Row],[Actual]]-DB_SOFList[[#This Row],[Plan]]</f>
        <v>0.24709</v>
      </c>
      <c r="AE32">
        <f>IF(DB_SOFList[[#This Row],[Plan]]&lt;&gt;0,DB_SOFList[[#This Row],[Actual]]/DB_SOFList[[#This Row],[Plan]],1.000011000011)</f>
        <v>1.0000110000110001</v>
      </c>
      <c r="AF32" s="34">
        <f>SUM(DB_SOFList[[#This Row],[Plan01]:[Plan12]])/valUnits2</f>
        <v>0</v>
      </c>
      <c r="AG32" s="34">
        <f>SUMPRODUCT(DB_SOFList[[#This Row],[Act01]:[Act12]],$P$13:$AA$13)/valUnits2</f>
        <v>0.24709</v>
      </c>
      <c r="AH32" s="34">
        <f>IF(DB_SOFList[[#This Row],[FYPlan]]&lt;&gt;0,DB_SOFList[[#This Row],[FYActuals]]/DB_SOFList[[#This Row],[FYPlan]],1.000011000011)</f>
        <v>1.0000110000110001</v>
      </c>
    </row>
    <row r="33" spans="1:34" hidden="1" x14ac:dyDescent="0.2">
      <c r="A33">
        <f>SUBTOTAL(3,$B$16:B33)</f>
        <v>5</v>
      </c>
      <c r="B33" t="s">
        <v>348</v>
      </c>
      <c r="C33" t="s">
        <v>845</v>
      </c>
      <c r="H33">
        <v>4802.6399999999994</v>
      </c>
      <c r="I33">
        <v>0</v>
      </c>
      <c r="T33">
        <v>4802.6399999999994</v>
      </c>
      <c r="U33">
        <v>7889.6</v>
      </c>
      <c r="AB33">
        <f>SUMPRODUCT(DB_SOFList[[#This Row],[Plan01]:[Plan12]],$D$14:$O$14)/valUnits2</f>
        <v>4.8026399999999994</v>
      </c>
      <c r="AC33">
        <f>SUMPRODUCT(DB_SOFList[[#This Row],[Act01]:[Act12]],$P$14:$AA$14)/valUnits2</f>
        <v>12.69224</v>
      </c>
      <c r="AD33">
        <f>DB_SOFList[[#This Row],[Actual]]-DB_SOFList[[#This Row],[Plan]]</f>
        <v>7.8896000000000006</v>
      </c>
      <c r="AE33">
        <f>IF(DB_SOFList[[#This Row],[Plan]]&lt;&gt;0,DB_SOFList[[#This Row],[Actual]]/DB_SOFList[[#This Row],[Plan]],1.000011000011)</f>
        <v>2.6427631469358523</v>
      </c>
      <c r="AF33" s="34">
        <f>SUM(DB_SOFList[[#This Row],[Plan01]:[Plan12]])/valUnits2</f>
        <v>4.8026399999999994</v>
      </c>
      <c r="AG33" s="34">
        <f>SUMPRODUCT(DB_SOFList[[#This Row],[Act01]:[Act12]],$P$13:$AA$13)/valUnits2</f>
        <v>12.69224</v>
      </c>
      <c r="AH33" s="34">
        <f>IF(DB_SOFList[[#This Row],[FYPlan]]&lt;&gt;0,DB_SOFList[[#This Row],[FYActuals]]/DB_SOFList[[#This Row],[FYPlan]],1.000011000011)</f>
        <v>2.6427631469358523</v>
      </c>
    </row>
    <row r="34" spans="1:34" hidden="1" x14ac:dyDescent="0.2">
      <c r="A34">
        <f>SUBTOTAL(3,$B$16:B34)</f>
        <v>5</v>
      </c>
      <c r="B34" t="s">
        <v>349</v>
      </c>
      <c r="C34" t="s">
        <v>845</v>
      </c>
      <c r="H34">
        <v>6959.3499999999995</v>
      </c>
      <c r="I34">
        <v>0</v>
      </c>
      <c r="T34">
        <v>6959.35</v>
      </c>
      <c r="U34">
        <v>12845.84</v>
      </c>
      <c r="AB34">
        <f>SUMPRODUCT(DB_SOFList[[#This Row],[Plan01]:[Plan12]],$D$14:$O$14)/valUnits2</f>
        <v>6.9593499999999997</v>
      </c>
      <c r="AC34">
        <f>SUMPRODUCT(DB_SOFList[[#This Row],[Act01]:[Act12]],$P$14:$AA$14)/valUnits2</f>
        <v>19.805190000000003</v>
      </c>
      <c r="AD34">
        <f>DB_SOFList[[#This Row],[Actual]]-DB_SOFList[[#This Row],[Plan]]</f>
        <v>12.845840000000003</v>
      </c>
      <c r="AE34">
        <f>IF(DB_SOFList[[#This Row],[Plan]]&lt;&gt;0,DB_SOFList[[#This Row],[Actual]]/DB_SOFList[[#This Row],[Plan]],1.000011000011)</f>
        <v>2.8458390510608038</v>
      </c>
      <c r="AF34" s="34">
        <f>SUM(DB_SOFList[[#This Row],[Plan01]:[Plan12]])/valUnits2</f>
        <v>6.9593499999999997</v>
      </c>
      <c r="AG34" s="34">
        <f>SUMPRODUCT(DB_SOFList[[#This Row],[Act01]:[Act12]],$P$13:$AA$13)/valUnits2</f>
        <v>19.805190000000003</v>
      </c>
      <c r="AH34" s="34">
        <f>IF(DB_SOFList[[#This Row],[FYPlan]]&lt;&gt;0,DB_SOFList[[#This Row],[FYActuals]]/DB_SOFList[[#This Row],[FYPlan]],1.000011000011)</f>
        <v>2.8458390510608038</v>
      </c>
    </row>
    <row r="35" spans="1:34" hidden="1" x14ac:dyDescent="0.2">
      <c r="A35">
        <f>SUBTOTAL(3,$B$16:B35)</f>
        <v>5</v>
      </c>
      <c r="B35" t="s">
        <v>350</v>
      </c>
      <c r="C35" t="s">
        <v>845</v>
      </c>
      <c r="H35">
        <v>222.23000000000002</v>
      </c>
      <c r="T35">
        <v>222.23</v>
      </c>
      <c r="AB35">
        <f>SUMPRODUCT(DB_SOFList[[#This Row],[Plan01]:[Plan12]],$D$14:$O$14)/valUnits2</f>
        <v>0.22223000000000001</v>
      </c>
      <c r="AC35">
        <f>SUMPRODUCT(DB_SOFList[[#This Row],[Act01]:[Act12]],$P$14:$AA$14)/valUnits2</f>
        <v>0.22222999999999998</v>
      </c>
      <c r="AD35">
        <f>DB_SOFList[[#This Row],[Actual]]-DB_SOFList[[#This Row],[Plan]]</f>
        <v>0</v>
      </c>
      <c r="AE35">
        <f>IF(DB_SOFList[[#This Row],[Plan]]&lt;&gt;0,DB_SOFList[[#This Row],[Actual]]/DB_SOFList[[#This Row],[Plan]],1.000011000011)</f>
        <v>0.99999999999999989</v>
      </c>
      <c r="AF35" s="34">
        <f>SUM(DB_SOFList[[#This Row],[Plan01]:[Plan12]])/valUnits2</f>
        <v>0.22223000000000001</v>
      </c>
      <c r="AG35" s="34">
        <f>SUMPRODUCT(DB_SOFList[[#This Row],[Act01]:[Act12]],$P$13:$AA$13)/valUnits2</f>
        <v>0.22222999999999998</v>
      </c>
      <c r="AH35" s="34">
        <f>IF(DB_SOFList[[#This Row],[FYPlan]]&lt;&gt;0,DB_SOFList[[#This Row],[FYActuals]]/DB_SOFList[[#This Row],[FYPlan]],1.000011000011)</f>
        <v>0.99999999999999989</v>
      </c>
    </row>
    <row r="36" spans="1:34" x14ac:dyDescent="0.2">
      <c r="A36">
        <f>SUBTOTAL(3,$B$16:B36)</f>
        <v>6</v>
      </c>
      <c r="B36" t="s">
        <v>1</v>
      </c>
      <c r="C36" t="s">
        <v>357</v>
      </c>
      <c r="D36">
        <v>866.66</v>
      </c>
      <c r="E36">
        <v>992.55999999999938</v>
      </c>
      <c r="F36">
        <v>39738.18</v>
      </c>
      <c r="G36">
        <v>1065.95</v>
      </c>
      <c r="H36">
        <v>5339.3099999999995</v>
      </c>
      <c r="I36">
        <v>5758.9740000000002</v>
      </c>
      <c r="J36">
        <v>0</v>
      </c>
      <c r="P36">
        <v>866.66</v>
      </c>
      <c r="Q36">
        <v>992.55999999999938</v>
      </c>
      <c r="R36">
        <v>39738.18</v>
      </c>
      <c r="S36">
        <v>1065.95</v>
      </c>
      <c r="T36">
        <v>5339.73</v>
      </c>
      <c r="U36">
        <v>63525.049999999988</v>
      </c>
      <c r="V36">
        <v>-3.19</v>
      </c>
      <c r="AB36">
        <f>SUMPRODUCT(DB_SOFList[[#This Row],[Plan01]:[Plan12]],$D$14:$O$14)/valUnits2</f>
        <v>53.761634000000001</v>
      </c>
      <c r="AC36">
        <f>SUMPRODUCT(DB_SOFList[[#This Row],[Act01]:[Act12]],$P$14:$AA$14)/valUnits2</f>
        <v>111.52812999999999</v>
      </c>
      <c r="AD36">
        <f>DB_SOFList[[#This Row],[Actual]]-DB_SOFList[[#This Row],[Plan]]</f>
        <v>57.766495999999989</v>
      </c>
      <c r="AE36">
        <f>IF(DB_SOFList[[#This Row],[Plan]]&lt;&gt;0,DB_SOFList[[#This Row],[Actual]]/DB_SOFList[[#This Row],[Plan]],1.000011000011)</f>
        <v>2.0744929367288201</v>
      </c>
      <c r="AF36" s="34">
        <f>SUM(DB_SOFList[[#This Row],[Plan01]:[Plan12]])/valUnits2</f>
        <v>53.761634000000001</v>
      </c>
      <c r="AG36" s="34">
        <f>SUMPRODUCT(DB_SOFList[[#This Row],[Act01]:[Act12]],$P$13:$AA$13)/valUnits2</f>
        <v>111.52812999999999</v>
      </c>
      <c r="AH36" s="34">
        <f>IF(DB_SOFList[[#This Row],[FYPlan]]&lt;&gt;0,DB_SOFList[[#This Row],[FYActuals]]/DB_SOFList[[#This Row],[FYPlan]],1.000011000011)</f>
        <v>2.0744929367288201</v>
      </c>
    </row>
    <row r="37" spans="1:34" hidden="1" x14ac:dyDescent="0.2">
      <c r="A37">
        <f>SUBTOTAL(3,$B$16:B37)</f>
        <v>6</v>
      </c>
      <c r="B37" t="s">
        <v>351</v>
      </c>
      <c r="C37" t="s">
        <v>357</v>
      </c>
      <c r="E37">
        <v>42.879999999999995</v>
      </c>
      <c r="F37">
        <v>45.81</v>
      </c>
      <c r="G37">
        <v>140.63</v>
      </c>
      <c r="H37">
        <v>179.32999999999998</v>
      </c>
      <c r="I37">
        <v>461.57200000000006</v>
      </c>
      <c r="Q37">
        <v>42.879999999999995</v>
      </c>
      <c r="R37">
        <v>45.81</v>
      </c>
      <c r="S37">
        <v>140.63</v>
      </c>
      <c r="T37">
        <v>179.75</v>
      </c>
      <c r="U37">
        <v>152.38000000000002</v>
      </c>
      <c r="AB37">
        <f>SUMPRODUCT(DB_SOFList[[#This Row],[Plan01]:[Plan12]],$D$14:$O$14)/valUnits2</f>
        <v>0.87022199999999994</v>
      </c>
      <c r="AC37">
        <f>SUMPRODUCT(DB_SOFList[[#This Row],[Act01]:[Act12]],$P$14:$AA$14)/valUnits2</f>
        <v>0.56145</v>
      </c>
      <c r="AD37">
        <f>DB_SOFList[[#This Row],[Actual]]-DB_SOFList[[#This Row],[Plan]]</f>
        <v>-0.30877199999999994</v>
      </c>
      <c r="AE37">
        <f>IF(DB_SOFList[[#This Row],[Plan]]&lt;&gt;0,DB_SOFList[[#This Row],[Actual]]/DB_SOFList[[#This Row],[Plan]],1.000011000011)</f>
        <v>0.64518019539841565</v>
      </c>
      <c r="AF37" s="34">
        <f>SUM(DB_SOFList[[#This Row],[Plan01]:[Plan12]])/valUnits2</f>
        <v>0.87022199999999994</v>
      </c>
      <c r="AG37" s="34">
        <f>SUMPRODUCT(DB_SOFList[[#This Row],[Act01]:[Act12]],$P$13:$AA$13)/valUnits2</f>
        <v>0.56145</v>
      </c>
      <c r="AH37" s="34">
        <f>IF(DB_SOFList[[#This Row],[FYPlan]]&lt;&gt;0,DB_SOFList[[#This Row],[FYActuals]]/DB_SOFList[[#This Row],[FYPlan]],1.000011000011)</f>
        <v>0.64518019539841565</v>
      </c>
    </row>
    <row r="38" spans="1:34" hidden="1" x14ac:dyDescent="0.2">
      <c r="A38">
        <f>SUBTOTAL(3,$B$16:B38)</f>
        <v>6</v>
      </c>
      <c r="B38" t="s">
        <v>343</v>
      </c>
      <c r="C38" t="s">
        <v>357</v>
      </c>
      <c r="D38">
        <v>866.66</v>
      </c>
      <c r="E38">
        <v>949.67999999999938</v>
      </c>
      <c r="F38">
        <v>39692.370000000003</v>
      </c>
      <c r="G38">
        <v>925.32</v>
      </c>
      <c r="H38">
        <v>5159.9799999999996</v>
      </c>
      <c r="I38">
        <v>5297.402</v>
      </c>
      <c r="J38">
        <v>0</v>
      </c>
      <c r="P38">
        <v>866.66</v>
      </c>
      <c r="Q38">
        <v>949.67999999999938</v>
      </c>
      <c r="R38">
        <v>39692.370000000003</v>
      </c>
      <c r="S38">
        <v>925.32</v>
      </c>
      <c r="T38">
        <v>5159.9799999999996</v>
      </c>
      <c r="U38">
        <v>63372.459999999992</v>
      </c>
      <c r="V38">
        <v>-3.19</v>
      </c>
      <c r="AB38">
        <f>SUMPRODUCT(DB_SOFList[[#This Row],[Plan01]:[Plan12]],$D$14:$O$14)/valUnits2</f>
        <v>52.891411999999995</v>
      </c>
      <c r="AC38">
        <f>SUMPRODUCT(DB_SOFList[[#This Row],[Act01]:[Act12]],$P$14:$AA$14)/valUnits2</f>
        <v>110.96646999999999</v>
      </c>
      <c r="AD38">
        <f>DB_SOFList[[#This Row],[Actual]]-DB_SOFList[[#This Row],[Plan]]</f>
        <v>58.075057999999991</v>
      </c>
      <c r="AE38">
        <f>IF(DB_SOFList[[#This Row],[Plan]]&lt;&gt;0,DB_SOFList[[#This Row],[Actual]]/DB_SOFList[[#This Row],[Plan]],1.000011000011)</f>
        <v>2.0980054380094826</v>
      </c>
      <c r="AF38" s="34">
        <f>SUM(DB_SOFList[[#This Row],[Plan01]:[Plan12]])/valUnits2</f>
        <v>52.891411999999995</v>
      </c>
      <c r="AG38" s="34">
        <f>SUMPRODUCT(DB_SOFList[[#This Row],[Act01]:[Act12]],$P$13:$AA$13)/valUnits2</f>
        <v>110.96646999999999</v>
      </c>
      <c r="AH38" s="34">
        <f>IF(DB_SOFList[[#This Row],[FYPlan]]&lt;&gt;0,DB_SOFList[[#This Row],[FYActuals]]/DB_SOFList[[#This Row],[FYPlan]],1.000011000011)</f>
        <v>2.0980054380094826</v>
      </c>
    </row>
    <row r="39" spans="1:34" hidden="1" x14ac:dyDescent="0.2">
      <c r="A39">
        <f>SUBTOTAL(3,$B$16:B39)</f>
        <v>6</v>
      </c>
      <c r="B39" t="s">
        <v>350</v>
      </c>
      <c r="C39" t="s">
        <v>357</v>
      </c>
      <c r="I39">
        <v>0</v>
      </c>
      <c r="U39">
        <v>0.21</v>
      </c>
      <c r="AB39">
        <f>SUMPRODUCT(DB_SOFList[[#This Row],[Plan01]:[Plan12]],$D$14:$O$14)/valUnits2</f>
        <v>0</v>
      </c>
      <c r="AC39">
        <f>SUMPRODUCT(DB_SOFList[[#This Row],[Act01]:[Act12]],$P$14:$AA$14)/valUnits2</f>
        <v>2.0999999999999998E-4</v>
      </c>
      <c r="AD39">
        <f>DB_SOFList[[#This Row],[Actual]]-DB_SOFList[[#This Row],[Plan]]</f>
        <v>2.0999999999999998E-4</v>
      </c>
      <c r="AE39">
        <f>IF(DB_SOFList[[#This Row],[Plan]]&lt;&gt;0,DB_SOFList[[#This Row],[Actual]]/DB_SOFList[[#This Row],[Plan]],1.000011000011)</f>
        <v>1.0000110000110001</v>
      </c>
      <c r="AF39" s="34">
        <f>SUM(DB_SOFList[[#This Row],[Plan01]:[Plan12]])/valUnits2</f>
        <v>0</v>
      </c>
      <c r="AG39" s="34">
        <f>SUMPRODUCT(DB_SOFList[[#This Row],[Act01]:[Act12]],$P$13:$AA$13)/valUnits2</f>
        <v>2.0999999999999998E-4</v>
      </c>
      <c r="AH39" s="34">
        <f>IF(DB_SOFList[[#This Row],[FYPlan]]&lt;&gt;0,DB_SOFList[[#This Row],[FYActuals]]/DB_SOFList[[#This Row],[FYPlan]],1.000011000011)</f>
        <v>1.0000110000110001</v>
      </c>
    </row>
    <row r="40" spans="1:34" x14ac:dyDescent="0.2">
      <c r="A40">
        <f>SUBTOTAL(3,$B$16:B40)</f>
        <v>7</v>
      </c>
      <c r="B40" t="s">
        <v>1</v>
      </c>
      <c r="C40" t="s">
        <v>846</v>
      </c>
      <c r="D40">
        <v>10113.969999999998</v>
      </c>
      <c r="E40">
        <v>86.5</v>
      </c>
      <c r="F40">
        <v>79.170000000000258</v>
      </c>
      <c r="G40">
        <v>2971.84</v>
      </c>
      <c r="H40">
        <v>2881.3</v>
      </c>
      <c r="I40">
        <v>4447.4170000000004</v>
      </c>
      <c r="J40">
        <v>4447.4170000000004</v>
      </c>
      <c r="K40">
        <v>4447.4170000000004</v>
      </c>
      <c r="L40">
        <v>4447.4170000000004</v>
      </c>
      <c r="M40">
        <v>4447.4170000000004</v>
      </c>
      <c r="N40">
        <v>4447.4170000000004</v>
      </c>
      <c r="O40">
        <v>4447.4170000000004</v>
      </c>
      <c r="P40">
        <v>10113.969999999999</v>
      </c>
      <c r="Q40">
        <v>86.5</v>
      </c>
      <c r="R40">
        <v>79.169999999999987</v>
      </c>
      <c r="S40">
        <v>2971.8400000000006</v>
      </c>
      <c r="T40">
        <v>2881.6099999999997</v>
      </c>
      <c r="U40">
        <v>2706.61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f>SUMPRODUCT(DB_SOFList[[#This Row],[Plan01]:[Plan12]],$D$14:$O$14)/valUnits2</f>
        <v>20.580197000000002</v>
      </c>
      <c r="AC40">
        <f>SUMPRODUCT(DB_SOFList[[#This Row],[Act01]:[Act12]],$P$14:$AA$14)/valUnits2</f>
        <v>18.839700000000001</v>
      </c>
      <c r="AD40">
        <f>DB_SOFList[[#This Row],[Actual]]-DB_SOFList[[#This Row],[Plan]]</f>
        <v>-1.7404970000000013</v>
      </c>
      <c r="AE40">
        <f>IF(DB_SOFList[[#This Row],[Plan]]&lt;&gt;0,DB_SOFList[[#This Row],[Actual]]/DB_SOFList[[#This Row],[Plan]],1.000011000011)</f>
        <v>0.91542855493560138</v>
      </c>
      <c r="AF40" s="34">
        <f>SUM(DB_SOFList[[#This Row],[Plan01]:[Plan12]])/valUnits2</f>
        <v>47.264699000000007</v>
      </c>
      <c r="AG40" s="34">
        <f>SUMPRODUCT(DB_SOFList[[#This Row],[Act01]:[Act12]],$P$13:$AA$13)/valUnits2</f>
        <v>18.839700000000001</v>
      </c>
      <c r="AH40" s="34">
        <f>IF(DB_SOFList[[#This Row],[FYPlan]]&lt;&gt;0,DB_SOFList[[#This Row],[FYActuals]]/DB_SOFList[[#This Row],[FYPlan]],1.000011000011)</f>
        <v>0.39859980913027709</v>
      </c>
    </row>
    <row r="41" spans="1:34" hidden="1" x14ac:dyDescent="0.2">
      <c r="A41">
        <f>SUBTOTAL(3,$B$16:B41)</f>
        <v>7</v>
      </c>
      <c r="B41" t="s">
        <v>351</v>
      </c>
      <c r="C41" t="s">
        <v>846</v>
      </c>
      <c r="D41">
        <v>0</v>
      </c>
      <c r="E41">
        <v>0</v>
      </c>
      <c r="F41">
        <v>0</v>
      </c>
      <c r="G41">
        <v>206.8</v>
      </c>
      <c r="H41">
        <v>70.69</v>
      </c>
      <c r="I41">
        <v>358.09000000000003</v>
      </c>
      <c r="J41">
        <v>358.09000000000003</v>
      </c>
      <c r="K41">
        <v>358.08999999999992</v>
      </c>
      <c r="L41">
        <v>358.09000000000003</v>
      </c>
      <c r="M41">
        <v>358.08999999999992</v>
      </c>
      <c r="N41">
        <v>358.09000000000003</v>
      </c>
      <c r="O41">
        <v>358.08999999999992</v>
      </c>
      <c r="P41">
        <v>0</v>
      </c>
      <c r="Q41">
        <v>0</v>
      </c>
      <c r="R41">
        <v>0</v>
      </c>
      <c r="S41">
        <v>206.79999999999998</v>
      </c>
      <c r="T41">
        <v>71</v>
      </c>
      <c r="U41">
        <v>76.41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f>SUMPRODUCT(DB_SOFList[[#This Row],[Plan01]:[Plan12]],$D$14:$O$14)/valUnits2</f>
        <v>0.63558000000000003</v>
      </c>
      <c r="AC41">
        <f>SUMPRODUCT(DB_SOFList[[#This Row],[Act01]:[Act12]],$P$14:$AA$14)/valUnits2</f>
        <v>0.35420999999999991</v>
      </c>
      <c r="AD41">
        <f>DB_SOFList[[#This Row],[Actual]]-DB_SOFList[[#This Row],[Plan]]</f>
        <v>-0.28137000000000012</v>
      </c>
      <c r="AE41">
        <f>IF(DB_SOFList[[#This Row],[Plan]]&lt;&gt;0,DB_SOFList[[#This Row],[Actual]]/DB_SOFList[[#This Row],[Plan]],1.000011000011)</f>
        <v>0.55730199188143092</v>
      </c>
      <c r="AF41" s="34">
        <f>SUM(DB_SOFList[[#This Row],[Plan01]:[Plan12]])/valUnits2</f>
        <v>2.7841199999999997</v>
      </c>
      <c r="AG41" s="34">
        <f>SUMPRODUCT(DB_SOFList[[#This Row],[Act01]:[Act12]],$P$13:$AA$13)/valUnits2</f>
        <v>0.35420999999999991</v>
      </c>
      <c r="AH41" s="34">
        <f>IF(DB_SOFList[[#This Row],[FYPlan]]&lt;&gt;0,DB_SOFList[[#This Row],[FYActuals]]/DB_SOFList[[#This Row],[FYPlan]],1.000011000011)</f>
        <v>0.12722511960691349</v>
      </c>
    </row>
    <row r="42" spans="1:34" hidden="1" x14ac:dyDescent="0.2">
      <c r="A42">
        <f>SUBTOTAL(3,$B$16:B42)</f>
        <v>7</v>
      </c>
      <c r="B42" t="s">
        <v>343</v>
      </c>
      <c r="C42" t="s">
        <v>846</v>
      </c>
      <c r="D42">
        <v>10113.969999999998</v>
      </c>
      <c r="E42">
        <v>86.5</v>
      </c>
      <c r="F42">
        <v>79.170000000000258</v>
      </c>
      <c r="G42">
        <v>2765.04</v>
      </c>
      <c r="H42">
        <v>2810.61</v>
      </c>
      <c r="I42">
        <v>4089.3270000000002</v>
      </c>
      <c r="J42">
        <v>4089.3270000000002</v>
      </c>
      <c r="K42">
        <v>4089.3270000000002</v>
      </c>
      <c r="L42">
        <v>4089.3270000000002</v>
      </c>
      <c r="M42">
        <v>4089.3270000000002</v>
      </c>
      <c r="N42">
        <v>4089.3270000000002</v>
      </c>
      <c r="O42">
        <v>4089.3270000000002</v>
      </c>
      <c r="P42">
        <v>10113.969999999999</v>
      </c>
      <c r="Q42">
        <v>86.5</v>
      </c>
      <c r="R42">
        <v>79.169999999999987</v>
      </c>
      <c r="S42">
        <v>2765.0400000000004</v>
      </c>
      <c r="T42">
        <v>2810.6099999999997</v>
      </c>
      <c r="U42">
        <v>2630.05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f>SUMPRODUCT(DB_SOFList[[#This Row],[Plan01]:[Plan12]],$D$14:$O$14)/valUnits2</f>
        <v>19.944616999999997</v>
      </c>
      <c r="AC42">
        <f>SUMPRODUCT(DB_SOFList[[#This Row],[Act01]:[Act12]],$P$14:$AA$14)/valUnits2</f>
        <v>18.485340000000001</v>
      </c>
      <c r="AD42">
        <f>DB_SOFList[[#This Row],[Actual]]-DB_SOFList[[#This Row],[Plan]]</f>
        <v>-1.4592769999999966</v>
      </c>
      <c r="AE42">
        <f>IF(DB_SOFList[[#This Row],[Plan]]&lt;&gt;0,DB_SOFList[[#This Row],[Actual]]/DB_SOFList[[#This Row],[Plan]],1.000011000011)</f>
        <v>0.92683354110033811</v>
      </c>
      <c r="AF42" s="34">
        <f>SUM(DB_SOFList[[#This Row],[Plan01]:[Plan12]])/valUnits2</f>
        <v>44.480578999999999</v>
      </c>
      <c r="AG42" s="34">
        <f>SUMPRODUCT(DB_SOFList[[#This Row],[Act01]:[Act12]],$P$13:$AA$13)/valUnits2</f>
        <v>18.485340000000001</v>
      </c>
      <c r="AH42" s="34">
        <f>IF(DB_SOFList[[#This Row],[FYPlan]]&lt;&gt;0,DB_SOFList[[#This Row],[FYActuals]]/DB_SOFList[[#This Row],[FYPlan]],1.000011000011)</f>
        <v>0.4155822701858265</v>
      </c>
    </row>
    <row r="43" spans="1:34" hidden="1" x14ac:dyDescent="0.2">
      <c r="A43">
        <f>SUBTOTAL(3,$B$16:B43)</f>
        <v>7</v>
      </c>
      <c r="B43" t="s">
        <v>350</v>
      </c>
      <c r="C43" t="s">
        <v>846</v>
      </c>
      <c r="I43">
        <v>0</v>
      </c>
      <c r="U43">
        <v>0.15</v>
      </c>
      <c r="AB43">
        <f>SUMPRODUCT(DB_SOFList[[#This Row],[Plan01]:[Plan12]],$D$14:$O$14)/valUnits2</f>
        <v>0</v>
      </c>
      <c r="AC43">
        <f>SUMPRODUCT(DB_SOFList[[#This Row],[Act01]:[Act12]],$P$14:$AA$14)/valUnits2</f>
        <v>1.4999999999999999E-4</v>
      </c>
      <c r="AD43">
        <f>DB_SOFList[[#This Row],[Actual]]-DB_SOFList[[#This Row],[Plan]]</f>
        <v>1.4999999999999999E-4</v>
      </c>
      <c r="AE43">
        <f>IF(DB_SOFList[[#This Row],[Plan]]&lt;&gt;0,DB_SOFList[[#This Row],[Actual]]/DB_SOFList[[#This Row],[Plan]],1.000011000011)</f>
        <v>1.0000110000110001</v>
      </c>
      <c r="AF43" s="34">
        <f>SUM(DB_SOFList[[#This Row],[Plan01]:[Plan12]])/valUnits2</f>
        <v>0</v>
      </c>
      <c r="AG43" s="34">
        <f>SUMPRODUCT(DB_SOFList[[#This Row],[Act01]:[Act12]],$P$13:$AA$13)/valUnits2</f>
        <v>1.4999999999999999E-4</v>
      </c>
      <c r="AH43" s="34">
        <f>IF(DB_SOFList[[#This Row],[FYPlan]]&lt;&gt;0,DB_SOFList[[#This Row],[FYActuals]]/DB_SOFList[[#This Row],[FYPlan]],1.000011000011)</f>
        <v>1.0000110000110001</v>
      </c>
    </row>
    <row r="44" spans="1:34" x14ac:dyDescent="0.2">
      <c r="A44">
        <f>SUBTOTAL(3,$B$16:B44)</f>
        <v>8</v>
      </c>
      <c r="B44" t="s">
        <v>1</v>
      </c>
      <c r="C44" t="s">
        <v>847</v>
      </c>
      <c r="H44">
        <v>12423.094000000001</v>
      </c>
      <c r="I44">
        <v>0</v>
      </c>
      <c r="T44">
        <v>12714.929999999998</v>
      </c>
      <c r="U44">
        <v>-688.88000000000022</v>
      </c>
      <c r="AB44">
        <f>SUMPRODUCT(DB_SOFList[[#This Row],[Plan01]:[Plan12]],$D$14:$O$14)/valUnits2</f>
        <v>12.423094000000001</v>
      </c>
      <c r="AC44">
        <f>SUMPRODUCT(DB_SOFList[[#This Row],[Act01]:[Act12]],$P$14:$AA$14)/valUnits2</f>
        <v>12.026049999999998</v>
      </c>
      <c r="AD44">
        <f>DB_SOFList[[#This Row],[Actual]]-DB_SOFList[[#This Row],[Plan]]</f>
        <v>-0.39704400000000284</v>
      </c>
      <c r="AE44">
        <f>IF(DB_SOFList[[#This Row],[Plan]]&lt;&gt;0,DB_SOFList[[#This Row],[Actual]]/DB_SOFList[[#This Row],[Plan]],1.000011000011)</f>
        <v>0.96803984579042845</v>
      </c>
      <c r="AF44" s="34">
        <f>SUM(DB_SOFList[[#This Row],[Plan01]:[Plan12]])/valUnits2</f>
        <v>12.423094000000001</v>
      </c>
      <c r="AG44" s="34">
        <f>SUMPRODUCT(DB_SOFList[[#This Row],[Act01]:[Act12]],$P$13:$AA$13)/valUnits2</f>
        <v>12.026049999999998</v>
      </c>
      <c r="AH44" s="34">
        <f>IF(DB_SOFList[[#This Row],[FYPlan]]&lt;&gt;0,DB_SOFList[[#This Row],[FYActuals]]/DB_SOFList[[#This Row],[FYPlan]],1.000011000011)</f>
        <v>0.96803984579042845</v>
      </c>
    </row>
    <row r="45" spans="1:34" hidden="1" x14ac:dyDescent="0.2">
      <c r="A45">
        <f>SUBTOTAL(3,$B$16:B45)</f>
        <v>8</v>
      </c>
      <c r="B45" t="s">
        <v>342</v>
      </c>
      <c r="C45" t="s">
        <v>847</v>
      </c>
      <c r="H45">
        <v>9318.1869999999999</v>
      </c>
      <c r="I45">
        <v>0</v>
      </c>
      <c r="T45">
        <v>9526.64</v>
      </c>
      <c r="U45">
        <v>261.21999999999986</v>
      </c>
      <c r="AB45">
        <f>SUMPRODUCT(DB_SOFList[[#This Row],[Plan01]:[Plan12]],$D$14:$O$14)/valUnits2</f>
        <v>9.318187</v>
      </c>
      <c r="AC45">
        <f>SUMPRODUCT(DB_SOFList[[#This Row],[Act01]:[Act12]],$P$14:$AA$14)/valUnits2</f>
        <v>9.7878599999999985</v>
      </c>
      <c r="AD45">
        <f>DB_SOFList[[#This Row],[Actual]]-DB_SOFList[[#This Row],[Plan]]</f>
        <v>0.46967299999999845</v>
      </c>
      <c r="AE45">
        <f>IF(DB_SOFList[[#This Row],[Plan]]&lt;&gt;0,DB_SOFList[[#This Row],[Actual]]/DB_SOFList[[#This Row],[Plan]],1.000011000011)</f>
        <v>1.050403903677829</v>
      </c>
      <c r="AF45" s="34">
        <f>SUM(DB_SOFList[[#This Row],[Plan01]:[Plan12]])/valUnits2</f>
        <v>9.318187</v>
      </c>
      <c r="AG45" s="34">
        <f>SUMPRODUCT(DB_SOFList[[#This Row],[Act01]:[Act12]],$P$13:$AA$13)/valUnits2</f>
        <v>9.7878599999999985</v>
      </c>
      <c r="AH45" s="34">
        <f>IF(DB_SOFList[[#This Row],[FYPlan]]&lt;&gt;0,DB_SOFList[[#This Row],[FYActuals]]/DB_SOFList[[#This Row],[FYPlan]],1.000011000011)</f>
        <v>1.050403903677829</v>
      </c>
    </row>
    <row r="46" spans="1:34" hidden="1" x14ac:dyDescent="0.2">
      <c r="A46">
        <f>SUBTOTAL(3,$B$16:B46)</f>
        <v>8</v>
      </c>
      <c r="B46" t="s">
        <v>351</v>
      </c>
      <c r="C46" t="s">
        <v>847</v>
      </c>
      <c r="H46">
        <v>3104.9070000000002</v>
      </c>
      <c r="I46">
        <v>0</v>
      </c>
      <c r="T46">
        <v>3188.2899999999995</v>
      </c>
      <c r="U46">
        <v>-950.7</v>
      </c>
      <c r="AB46">
        <f>SUMPRODUCT(DB_SOFList[[#This Row],[Plan01]:[Plan12]],$D$14:$O$14)/valUnits2</f>
        <v>3.1049070000000003</v>
      </c>
      <c r="AC46">
        <f>SUMPRODUCT(DB_SOFList[[#This Row],[Act01]:[Act12]],$P$14:$AA$14)/valUnits2</f>
        <v>2.2375899999999991</v>
      </c>
      <c r="AD46">
        <f>DB_SOFList[[#This Row],[Actual]]-DB_SOFList[[#This Row],[Plan]]</f>
        <v>-0.86731700000000123</v>
      </c>
      <c r="AE46">
        <f>IF(DB_SOFList[[#This Row],[Plan]]&lt;&gt;0,DB_SOFList[[#This Row],[Actual]]/DB_SOFList[[#This Row],[Plan]],1.000011000011)</f>
        <v>0.72066248683132828</v>
      </c>
      <c r="AF46" s="34">
        <f>SUM(DB_SOFList[[#This Row],[Plan01]:[Plan12]])/valUnits2</f>
        <v>3.1049070000000003</v>
      </c>
      <c r="AG46" s="34">
        <f>SUMPRODUCT(DB_SOFList[[#This Row],[Act01]:[Act12]],$P$13:$AA$13)/valUnits2</f>
        <v>2.2375899999999991</v>
      </c>
      <c r="AH46" s="34">
        <f>IF(DB_SOFList[[#This Row],[FYPlan]]&lt;&gt;0,DB_SOFList[[#This Row],[FYActuals]]/DB_SOFList[[#This Row],[FYPlan]],1.000011000011)</f>
        <v>0.72066248683132828</v>
      </c>
    </row>
    <row r="47" spans="1:34" hidden="1" x14ac:dyDescent="0.2">
      <c r="A47">
        <f>SUBTOTAL(3,$B$16:B47)</f>
        <v>8</v>
      </c>
      <c r="B47" t="s">
        <v>350</v>
      </c>
      <c r="C47" t="s">
        <v>847</v>
      </c>
      <c r="I47">
        <v>0</v>
      </c>
      <c r="U47">
        <v>0.6</v>
      </c>
      <c r="AB47">
        <f>SUMPRODUCT(DB_SOFList[[#This Row],[Plan01]:[Plan12]],$D$14:$O$14)/valUnits2</f>
        <v>0</v>
      </c>
      <c r="AC47">
        <f>SUMPRODUCT(DB_SOFList[[#This Row],[Act01]:[Act12]],$P$14:$AA$14)/valUnits2</f>
        <v>5.9999999999999995E-4</v>
      </c>
      <c r="AD47">
        <f>DB_SOFList[[#This Row],[Actual]]-DB_SOFList[[#This Row],[Plan]]</f>
        <v>5.9999999999999995E-4</v>
      </c>
      <c r="AE47">
        <f>IF(DB_SOFList[[#This Row],[Plan]]&lt;&gt;0,DB_SOFList[[#This Row],[Actual]]/DB_SOFList[[#This Row],[Plan]],1.000011000011)</f>
        <v>1.0000110000110001</v>
      </c>
      <c r="AF47" s="34">
        <f>SUM(DB_SOFList[[#This Row],[Plan01]:[Plan12]])/valUnits2</f>
        <v>0</v>
      </c>
      <c r="AG47" s="34">
        <f>SUMPRODUCT(DB_SOFList[[#This Row],[Act01]:[Act12]],$P$13:$AA$13)/valUnits2</f>
        <v>5.9999999999999995E-4</v>
      </c>
      <c r="AH47" s="34">
        <f>IF(DB_SOFList[[#This Row],[FYPlan]]&lt;&gt;0,DB_SOFList[[#This Row],[FYActuals]]/DB_SOFList[[#This Row],[FYPlan]],1.000011000011)</f>
        <v>1.0000110000110001</v>
      </c>
    </row>
    <row r="48" spans="1:34" x14ac:dyDescent="0.2">
      <c r="A48">
        <f>SUBTOTAL(3,$B$16:B48)</f>
        <v>9</v>
      </c>
      <c r="B48" t="s">
        <v>1</v>
      </c>
      <c r="C48" t="s">
        <v>848</v>
      </c>
      <c r="D48">
        <v>83.542000000000002</v>
      </c>
      <c r="E48">
        <v>84.763000000000005</v>
      </c>
      <c r="F48">
        <v>544.44200000000001</v>
      </c>
      <c r="G48">
        <v>8217.1820000000007</v>
      </c>
      <c r="H48">
        <v>1660.3120000000001</v>
      </c>
      <c r="P48">
        <v>0</v>
      </c>
      <c r="Q48">
        <v>0</v>
      </c>
      <c r="R48">
        <v>459.67999999999995</v>
      </c>
      <c r="S48">
        <v>4545.9799999999996</v>
      </c>
      <c r="T48">
        <v>1642.5200000000002</v>
      </c>
      <c r="AB48">
        <f>SUMPRODUCT(DB_SOFList[[#This Row],[Plan01]:[Plan12]],$D$14:$O$14)/valUnits2</f>
        <v>10.590241000000001</v>
      </c>
      <c r="AC48">
        <f>SUMPRODUCT(DB_SOFList[[#This Row],[Act01]:[Act12]],$P$14:$AA$14)/valUnits2</f>
        <v>6.64818</v>
      </c>
      <c r="AD48">
        <f>DB_SOFList[[#This Row],[Actual]]-DB_SOFList[[#This Row],[Plan]]</f>
        <v>-3.9420610000000007</v>
      </c>
      <c r="AE48">
        <f>IF(DB_SOFList[[#This Row],[Plan]]&lt;&gt;0,DB_SOFList[[#This Row],[Actual]]/DB_SOFList[[#This Row],[Plan]],1.000011000011)</f>
        <v>0.62776475058499603</v>
      </c>
      <c r="AF48" s="34">
        <f>SUM(DB_SOFList[[#This Row],[Plan01]:[Plan12]])/valUnits2</f>
        <v>10.590241000000001</v>
      </c>
      <c r="AG48" s="34">
        <f>SUMPRODUCT(DB_SOFList[[#This Row],[Act01]:[Act12]],$P$13:$AA$13)/valUnits2</f>
        <v>6.64818</v>
      </c>
      <c r="AH48" s="34">
        <f>IF(DB_SOFList[[#This Row],[FYPlan]]&lt;&gt;0,DB_SOFList[[#This Row],[FYActuals]]/DB_SOFList[[#This Row],[FYPlan]],1.000011000011)</f>
        <v>0.62776475058499603</v>
      </c>
    </row>
    <row r="49" spans="1:34" hidden="1" x14ac:dyDescent="0.2">
      <c r="A49">
        <f>SUBTOTAL(3,$B$16:B49)</f>
        <v>9</v>
      </c>
      <c r="B49" t="s">
        <v>351</v>
      </c>
      <c r="C49" t="s">
        <v>848</v>
      </c>
      <c r="G49">
        <v>582.07600000000002</v>
      </c>
      <c r="H49">
        <v>0</v>
      </c>
      <c r="S49">
        <v>576.66999999999996</v>
      </c>
      <c r="T49">
        <v>0</v>
      </c>
      <c r="AB49">
        <f>SUMPRODUCT(DB_SOFList[[#This Row],[Plan01]:[Plan12]],$D$14:$O$14)/valUnits2</f>
        <v>0.58207600000000004</v>
      </c>
      <c r="AC49">
        <f>SUMPRODUCT(DB_SOFList[[#This Row],[Act01]:[Act12]],$P$14:$AA$14)/valUnits2</f>
        <v>0.5766699999999999</v>
      </c>
      <c r="AD49">
        <f>DB_SOFList[[#This Row],[Actual]]-DB_SOFList[[#This Row],[Plan]]</f>
        <v>-5.4060000000001329E-3</v>
      </c>
      <c r="AE49">
        <f>IF(DB_SOFList[[#This Row],[Plan]]&lt;&gt;0,DB_SOFList[[#This Row],[Actual]]/DB_SOFList[[#This Row],[Plan]],1.000011000011)</f>
        <v>0.99071255299995165</v>
      </c>
      <c r="AF49" s="34">
        <f>SUM(DB_SOFList[[#This Row],[Plan01]:[Plan12]])/valUnits2</f>
        <v>0.58207600000000004</v>
      </c>
      <c r="AG49" s="34">
        <f>SUMPRODUCT(DB_SOFList[[#This Row],[Act01]:[Act12]],$P$13:$AA$13)/valUnits2</f>
        <v>0.5766699999999999</v>
      </c>
      <c r="AH49" s="34">
        <f>IF(DB_SOFList[[#This Row],[FYPlan]]&lt;&gt;0,DB_SOFList[[#This Row],[FYActuals]]/DB_SOFList[[#This Row],[FYPlan]],1.000011000011)</f>
        <v>0.99071255299995165</v>
      </c>
    </row>
    <row r="50" spans="1:34" hidden="1" x14ac:dyDescent="0.2">
      <c r="A50">
        <f>SUBTOTAL(3,$B$16:B50)</f>
        <v>9</v>
      </c>
      <c r="B50" t="s">
        <v>345</v>
      </c>
      <c r="C50" t="s">
        <v>848</v>
      </c>
      <c r="D50">
        <v>83.542000000000002</v>
      </c>
      <c r="E50">
        <v>84.763000000000005</v>
      </c>
      <c r="F50">
        <v>544.44200000000001</v>
      </c>
      <c r="G50">
        <v>7541.7800000000007</v>
      </c>
      <c r="H50">
        <v>1660.3120000000001</v>
      </c>
      <c r="P50">
        <v>0</v>
      </c>
      <c r="Q50">
        <v>0</v>
      </c>
      <c r="R50">
        <v>459.67999999999995</v>
      </c>
      <c r="S50">
        <v>3876.5599999999995</v>
      </c>
      <c r="T50">
        <v>1642.5200000000002</v>
      </c>
      <c r="AB50">
        <f>SUMPRODUCT(DB_SOFList[[#This Row],[Plan01]:[Plan12]],$D$14:$O$14)/valUnits2</f>
        <v>9.9148390000000006</v>
      </c>
      <c r="AC50">
        <f>SUMPRODUCT(DB_SOFList[[#This Row],[Act01]:[Act12]],$P$14:$AA$14)/valUnits2</f>
        <v>5.9787600000000003</v>
      </c>
      <c r="AD50">
        <f>DB_SOFList[[#This Row],[Actual]]-DB_SOFList[[#This Row],[Plan]]</f>
        <v>-3.9360790000000003</v>
      </c>
      <c r="AE50">
        <f>IF(DB_SOFList[[#This Row],[Plan]]&lt;&gt;0,DB_SOFList[[#This Row],[Actual]]/DB_SOFList[[#This Row],[Plan]],1.000011000011)</f>
        <v>0.60301130457085583</v>
      </c>
      <c r="AF50" s="34">
        <f>SUM(DB_SOFList[[#This Row],[Plan01]:[Plan12]])/valUnits2</f>
        <v>9.9148390000000006</v>
      </c>
      <c r="AG50" s="34">
        <f>SUMPRODUCT(DB_SOFList[[#This Row],[Act01]:[Act12]],$P$13:$AA$13)/valUnits2</f>
        <v>5.9787600000000003</v>
      </c>
      <c r="AH50" s="34">
        <f>IF(DB_SOFList[[#This Row],[FYPlan]]&lt;&gt;0,DB_SOFList[[#This Row],[FYActuals]]/DB_SOFList[[#This Row],[FYPlan]],1.000011000011)</f>
        <v>0.60301130457085583</v>
      </c>
    </row>
    <row r="51" spans="1:34" hidden="1" x14ac:dyDescent="0.2">
      <c r="A51">
        <f>SUBTOTAL(3,$B$16:B51)</f>
        <v>9</v>
      </c>
      <c r="B51" t="s">
        <v>350</v>
      </c>
      <c r="C51" t="s">
        <v>848</v>
      </c>
      <c r="G51">
        <v>93.325999999999993</v>
      </c>
      <c r="S51">
        <v>92.75</v>
      </c>
      <c r="AB51">
        <f>SUMPRODUCT(DB_SOFList[[#This Row],[Plan01]:[Plan12]],$D$14:$O$14)/valUnits2</f>
        <v>9.3325999999999992E-2</v>
      </c>
      <c r="AC51">
        <f>SUMPRODUCT(DB_SOFList[[#This Row],[Act01]:[Act12]],$P$14:$AA$14)/valUnits2</f>
        <v>9.2749999999999999E-2</v>
      </c>
      <c r="AD51">
        <f>DB_SOFList[[#This Row],[Actual]]-DB_SOFList[[#This Row],[Plan]]</f>
        <v>-5.7599999999999318E-4</v>
      </c>
      <c r="AE51">
        <f>IF(DB_SOFList[[#This Row],[Plan]]&lt;&gt;0,DB_SOFList[[#This Row],[Actual]]/DB_SOFList[[#This Row],[Plan]],1.000011000011)</f>
        <v>0.9938280864925102</v>
      </c>
      <c r="AF51" s="34">
        <f>SUM(DB_SOFList[[#This Row],[Plan01]:[Plan12]])/valUnits2</f>
        <v>9.3325999999999992E-2</v>
      </c>
      <c r="AG51" s="34">
        <f>SUMPRODUCT(DB_SOFList[[#This Row],[Act01]:[Act12]],$P$13:$AA$13)/valUnits2</f>
        <v>9.2749999999999999E-2</v>
      </c>
      <c r="AH51" s="34">
        <f>IF(DB_SOFList[[#This Row],[FYPlan]]&lt;&gt;0,DB_SOFList[[#This Row],[FYActuals]]/DB_SOFList[[#This Row],[FYPlan]],1.000011000011)</f>
        <v>0.9938280864925102</v>
      </c>
    </row>
    <row r="52" spans="1:34" x14ac:dyDescent="0.2">
      <c r="A52">
        <f>SUBTOTAL(3,$B$16:B52)</f>
        <v>10</v>
      </c>
      <c r="B52" t="s">
        <v>1</v>
      </c>
      <c r="C52" t="s">
        <v>849</v>
      </c>
      <c r="G52">
        <v>10.608000000000001</v>
      </c>
      <c r="H52">
        <v>19.908000000000001</v>
      </c>
      <c r="I52">
        <v>0</v>
      </c>
      <c r="S52">
        <v>10.27</v>
      </c>
      <c r="T52">
        <v>20.059999999999999</v>
      </c>
      <c r="U52">
        <v>4718.5499999999993</v>
      </c>
      <c r="AB52">
        <f>SUMPRODUCT(DB_SOFList[[#This Row],[Plan01]:[Plan12]],$D$14:$O$14)/valUnits2</f>
        <v>3.0516000000000001E-2</v>
      </c>
      <c r="AC52">
        <f>SUMPRODUCT(DB_SOFList[[#This Row],[Act01]:[Act12]],$P$14:$AA$14)/valUnits2</f>
        <v>4.7488799999999989</v>
      </c>
      <c r="AD52">
        <f>DB_SOFList[[#This Row],[Actual]]-DB_SOFList[[#This Row],[Plan]]</f>
        <v>4.7183639999999984</v>
      </c>
      <c r="AE52">
        <f>IF(DB_SOFList[[#This Row],[Plan]]&lt;&gt;0,DB_SOFList[[#This Row],[Actual]]/DB_SOFList[[#This Row],[Plan]],1.000011000011)</f>
        <v>155.61934722768379</v>
      </c>
      <c r="AF52" s="34">
        <f>SUM(DB_SOFList[[#This Row],[Plan01]:[Plan12]])/valUnits2</f>
        <v>3.0516000000000001E-2</v>
      </c>
      <c r="AG52" s="34">
        <f>SUMPRODUCT(DB_SOFList[[#This Row],[Act01]:[Act12]],$P$13:$AA$13)/valUnits2</f>
        <v>4.7488799999999989</v>
      </c>
      <c r="AH52" s="34">
        <f>IF(DB_SOFList[[#This Row],[FYPlan]]&lt;&gt;0,DB_SOFList[[#This Row],[FYActuals]]/DB_SOFList[[#This Row],[FYPlan]],1.000011000011)</f>
        <v>155.61934722768379</v>
      </c>
    </row>
    <row r="53" spans="1:34" hidden="1" x14ac:dyDescent="0.2">
      <c r="A53">
        <f>SUBTOTAL(3,$B$16:B53)</f>
        <v>10</v>
      </c>
      <c r="B53" t="s">
        <v>342</v>
      </c>
      <c r="C53" t="s">
        <v>849</v>
      </c>
      <c r="I53">
        <v>0</v>
      </c>
      <c r="U53">
        <v>2522.2399999999998</v>
      </c>
      <c r="AB53" s="34">
        <f>SUMPRODUCT(DB_SOFList[[#This Row],[Plan01]:[Plan12]],$D$14:$O$14)/valUnits2</f>
        <v>0</v>
      </c>
      <c r="AC53" s="34">
        <f>SUMPRODUCT(DB_SOFList[[#This Row],[Act01]:[Act12]],$P$14:$AA$14)/valUnits2</f>
        <v>2.5222399999999996</v>
      </c>
      <c r="AD53" s="34">
        <f>DB_SOFList[[#This Row],[Actual]]-DB_SOFList[[#This Row],[Plan]]</f>
        <v>2.5222399999999996</v>
      </c>
      <c r="AE53" s="34">
        <f>IF(DB_SOFList[[#This Row],[Plan]]&lt;&gt;0,DB_SOFList[[#This Row],[Actual]]/DB_SOFList[[#This Row],[Plan]],1.000011000011)</f>
        <v>1.0000110000110001</v>
      </c>
      <c r="AF53" s="34">
        <f>SUM(DB_SOFList[[#This Row],[Plan01]:[Plan12]])/valUnits2</f>
        <v>0</v>
      </c>
      <c r="AG53" s="34">
        <f>SUMPRODUCT(DB_SOFList[[#This Row],[Act01]:[Act12]],$P$13:$AA$13)/valUnits2</f>
        <v>2.5222399999999996</v>
      </c>
      <c r="AH53" s="34">
        <f>IF(DB_SOFList[[#This Row],[FYPlan]]&lt;&gt;0,DB_SOFList[[#This Row],[FYActuals]]/DB_SOFList[[#This Row],[FYPlan]],1.000011000011)</f>
        <v>1.0000110000110001</v>
      </c>
    </row>
    <row r="54" spans="1:34" hidden="1" x14ac:dyDescent="0.2">
      <c r="A54">
        <f>SUBTOTAL(3,$B$16:B54)</f>
        <v>10</v>
      </c>
      <c r="B54" t="s">
        <v>351</v>
      </c>
      <c r="C54" t="s">
        <v>849</v>
      </c>
      <c r="G54">
        <v>10.608000000000001</v>
      </c>
      <c r="H54">
        <v>19.908000000000001</v>
      </c>
      <c r="I54">
        <v>0</v>
      </c>
      <c r="S54">
        <v>10.27</v>
      </c>
      <c r="T54">
        <v>20.059999999999999</v>
      </c>
      <c r="U54">
        <v>2191.9499999999998</v>
      </c>
      <c r="AB54">
        <f>SUMPRODUCT(DB_SOFList[[#This Row],[Plan01]:[Plan12]],$D$14:$O$14)/valUnits2</f>
        <v>3.0516000000000001E-2</v>
      </c>
      <c r="AC54">
        <f>SUMPRODUCT(DB_SOFList[[#This Row],[Act01]:[Act12]],$P$14:$AA$14)/valUnits2</f>
        <v>2.2222799999999996</v>
      </c>
      <c r="AD54">
        <f>DB_SOFList[[#This Row],[Actual]]-DB_SOFList[[#This Row],[Plan]]</f>
        <v>2.1917639999999996</v>
      </c>
      <c r="AE54">
        <f>IF(DB_SOFList[[#This Row],[Plan]]&lt;&gt;0,DB_SOFList[[#This Row],[Actual]]/DB_SOFList[[#This Row],[Plan]],1.000011000011)</f>
        <v>72.823436885568213</v>
      </c>
      <c r="AF54" s="34">
        <f>SUM(DB_SOFList[[#This Row],[Plan01]:[Plan12]])/valUnits2</f>
        <v>3.0516000000000001E-2</v>
      </c>
      <c r="AG54" s="34">
        <f>SUMPRODUCT(DB_SOFList[[#This Row],[Act01]:[Act12]],$P$13:$AA$13)/valUnits2</f>
        <v>2.2222799999999996</v>
      </c>
      <c r="AH54" s="34">
        <f>IF(DB_SOFList[[#This Row],[FYPlan]]&lt;&gt;0,DB_SOFList[[#This Row],[FYActuals]]/DB_SOFList[[#This Row],[FYPlan]],1.000011000011)</f>
        <v>72.823436885568213</v>
      </c>
    </row>
    <row r="55" spans="1:34" hidden="1" x14ac:dyDescent="0.2">
      <c r="A55">
        <f>SUBTOTAL(3,$B$16:B55)</f>
        <v>10</v>
      </c>
      <c r="B55" t="s">
        <v>350</v>
      </c>
      <c r="C55" t="s">
        <v>849</v>
      </c>
      <c r="I55">
        <v>0</v>
      </c>
      <c r="U55">
        <v>4.3600000000000003</v>
      </c>
      <c r="AB55">
        <f>SUMPRODUCT(DB_SOFList[[#This Row],[Plan01]:[Plan12]],$D$14:$O$14)/valUnits2</f>
        <v>0</v>
      </c>
      <c r="AC55">
        <f>SUMPRODUCT(DB_SOFList[[#This Row],[Act01]:[Act12]],$P$14:$AA$14)/valUnits2</f>
        <v>4.3600000000000002E-3</v>
      </c>
      <c r="AD55">
        <f>DB_SOFList[[#This Row],[Actual]]-DB_SOFList[[#This Row],[Plan]]</f>
        <v>4.3600000000000002E-3</v>
      </c>
      <c r="AE55">
        <f>IF(DB_SOFList[[#This Row],[Plan]]&lt;&gt;0,DB_SOFList[[#This Row],[Actual]]/DB_SOFList[[#This Row],[Plan]],1.000011000011)</f>
        <v>1.0000110000110001</v>
      </c>
      <c r="AF55" s="34">
        <f>SUM(DB_SOFList[[#This Row],[Plan01]:[Plan12]])/valUnits2</f>
        <v>0</v>
      </c>
      <c r="AG55" s="34">
        <f>SUMPRODUCT(DB_SOFList[[#This Row],[Act01]:[Act12]],$P$13:$AA$13)/valUnits2</f>
        <v>4.3600000000000002E-3</v>
      </c>
      <c r="AH55" s="34">
        <f>IF(DB_SOFList[[#This Row],[FYPlan]]&lt;&gt;0,DB_SOFList[[#This Row],[FYActuals]]/DB_SOFList[[#This Row],[FYPlan]],1.000011000011)</f>
        <v>1.0000110000110001</v>
      </c>
    </row>
    <row r="56" spans="1:34" x14ac:dyDescent="0.2">
      <c r="A56">
        <f>SUBTOTAL(3,$B$16:B56)</f>
        <v>11</v>
      </c>
      <c r="B56" t="s">
        <v>1</v>
      </c>
      <c r="C56" t="s">
        <v>366</v>
      </c>
      <c r="D56">
        <v>0</v>
      </c>
      <c r="E56">
        <v>0</v>
      </c>
      <c r="F56">
        <v>0</v>
      </c>
      <c r="G56">
        <v>524.08600000000001</v>
      </c>
      <c r="H56">
        <v>162.79200000000003</v>
      </c>
      <c r="I56">
        <v>1356.4160000000002</v>
      </c>
      <c r="J56">
        <v>678.20900000000006</v>
      </c>
      <c r="K56">
        <v>1356.4160000000002</v>
      </c>
      <c r="P56">
        <v>0</v>
      </c>
      <c r="Q56">
        <v>0</v>
      </c>
      <c r="R56">
        <v>0</v>
      </c>
      <c r="S56">
        <v>532.14</v>
      </c>
      <c r="T56">
        <v>164.35</v>
      </c>
      <c r="U56">
        <v>23812.010000000002</v>
      </c>
      <c r="V56">
        <v>0</v>
      </c>
      <c r="W56">
        <v>0</v>
      </c>
      <c r="AB56">
        <f>SUMPRODUCT(DB_SOFList[[#This Row],[Plan01]:[Plan12]],$D$14:$O$14)/valUnits2</f>
        <v>2.0432940000000004</v>
      </c>
      <c r="AC56">
        <f>SUMPRODUCT(DB_SOFList[[#This Row],[Act01]:[Act12]],$P$14:$AA$14)/valUnits2</f>
        <v>24.508500000000005</v>
      </c>
      <c r="AD56">
        <f>DB_SOFList[[#This Row],[Actual]]-DB_SOFList[[#This Row],[Plan]]</f>
        <v>22.465206000000006</v>
      </c>
      <c r="AE56">
        <f>IF(DB_SOFList[[#This Row],[Plan]]&lt;&gt;0,DB_SOFList[[#This Row],[Actual]]/DB_SOFList[[#This Row],[Plan]],1.000011000011)</f>
        <v>11.994602832485194</v>
      </c>
      <c r="AF56" s="34">
        <f>SUM(DB_SOFList[[#This Row],[Plan01]:[Plan12]])/valUnits2</f>
        <v>4.0779190000000005</v>
      </c>
      <c r="AG56" s="34">
        <f>SUMPRODUCT(DB_SOFList[[#This Row],[Act01]:[Act12]],$P$13:$AA$13)/valUnits2</f>
        <v>24.508500000000005</v>
      </c>
      <c r="AH56" s="34">
        <f>IF(DB_SOFList[[#This Row],[FYPlan]]&lt;&gt;0,DB_SOFList[[#This Row],[FYActuals]]/DB_SOFList[[#This Row],[FYPlan]],1.000011000011)</f>
        <v>6.0100507145924187</v>
      </c>
    </row>
    <row r="57" spans="1:34" hidden="1" x14ac:dyDescent="0.2">
      <c r="A57">
        <f>SUBTOTAL(3,$B$16:B57)</f>
        <v>11</v>
      </c>
      <c r="B57" t="s">
        <v>351</v>
      </c>
      <c r="C57" t="s">
        <v>366</v>
      </c>
      <c r="D57">
        <v>0</v>
      </c>
      <c r="E57">
        <v>0</v>
      </c>
      <c r="F57">
        <v>0</v>
      </c>
      <c r="G57">
        <v>524.08600000000001</v>
      </c>
      <c r="H57">
        <v>162.79200000000003</v>
      </c>
      <c r="I57">
        <v>0</v>
      </c>
      <c r="J57">
        <v>0</v>
      </c>
      <c r="K57">
        <v>0</v>
      </c>
      <c r="P57">
        <v>0</v>
      </c>
      <c r="Q57">
        <v>0</v>
      </c>
      <c r="R57">
        <v>0</v>
      </c>
      <c r="S57">
        <v>532.14</v>
      </c>
      <c r="T57">
        <v>164.35</v>
      </c>
      <c r="U57">
        <v>176.83</v>
      </c>
      <c r="V57">
        <v>0</v>
      </c>
      <c r="W57">
        <v>0</v>
      </c>
      <c r="AB57">
        <f>SUMPRODUCT(DB_SOFList[[#This Row],[Plan01]:[Plan12]],$D$14:$O$14)/valUnits2</f>
        <v>0.68687799999999999</v>
      </c>
      <c r="AC57">
        <f>SUMPRODUCT(DB_SOFList[[#This Row],[Act01]:[Act12]],$P$14:$AA$14)/valUnits2</f>
        <v>0.8733200000000001</v>
      </c>
      <c r="AD57">
        <f>DB_SOFList[[#This Row],[Actual]]-DB_SOFList[[#This Row],[Plan]]</f>
        <v>0.18644200000000011</v>
      </c>
      <c r="AE57">
        <f>IF(DB_SOFList[[#This Row],[Plan]]&lt;&gt;0,DB_SOFList[[#This Row],[Actual]]/DB_SOFList[[#This Row],[Plan]],1.000011000011)</f>
        <v>1.271433937322203</v>
      </c>
      <c r="AF57" s="34">
        <f>SUM(DB_SOFList[[#This Row],[Plan01]:[Plan12]])/valUnits2</f>
        <v>0.68687799999999999</v>
      </c>
      <c r="AG57" s="34">
        <f>SUMPRODUCT(DB_SOFList[[#This Row],[Act01]:[Act12]],$P$13:$AA$13)/valUnits2</f>
        <v>0.8733200000000001</v>
      </c>
      <c r="AH57" s="34">
        <f>IF(DB_SOFList[[#This Row],[FYPlan]]&lt;&gt;0,DB_SOFList[[#This Row],[FYActuals]]/DB_SOFList[[#This Row],[FYPlan]],1.000011000011)</f>
        <v>1.271433937322203</v>
      </c>
    </row>
    <row r="58" spans="1:34" hidden="1" x14ac:dyDescent="0.2">
      <c r="A58">
        <f>SUBTOTAL(3,$B$16:B58)</f>
        <v>11</v>
      </c>
      <c r="B58" t="s">
        <v>343</v>
      </c>
      <c r="C58" t="s">
        <v>366</v>
      </c>
      <c r="D58">
        <v>0</v>
      </c>
      <c r="E58">
        <v>0</v>
      </c>
      <c r="F58">
        <v>0</v>
      </c>
      <c r="G58">
        <v>0</v>
      </c>
      <c r="H58">
        <v>0</v>
      </c>
      <c r="I58">
        <v>1356.4160000000002</v>
      </c>
      <c r="J58">
        <v>678.20900000000006</v>
      </c>
      <c r="K58">
        <v>1356.4160000000002</v>
      </c>
      <c r="P58">
        <v>0</v>
      </c>
      <c r="Q58">
        <v>0</v>
      </c>
      <c r="R58">
        <v>0</v>
      </c>
      <c r="S58">
        <v>0</v>
      </c>
      <c r="T58">
        <v>0</v>
      </c>
      <c r="U58">
        <v>23634.82</v>
      </c>
      <c r="V58">
        <v>0</v>
      </c>
      <c r="W58">
        <v>0</v>
      </c>
      <c r="AB58">
        <f>SUMPRODUCT(DB_SOFList[[#This Row],[Plan01]:[Plan12]],$D$14:$O$14)/valUnits2</f>
        <v>1.3564160000000001</v>
      </c>
      <c r="AC58">
        <f>SUMPRODUCT(DB_SOFList[[#This Row],[Act01]:[Act12]],$P$14:$AA$14)/valUnits2</f>
        <v>23.634820000000001</v>
      </c>
      <c r="AD58">
        <f>DB_SOFList[[#This Row],[Actual]]-DB_SOFList[[#This Row],[Plan]]</f>
        <v>22.278404000000002</v>
      </c>
      <c r="AE58">
        <f>IF(DB_SOFList[[#This Row],[Plan]]&lt;&gt;0,DB_SOFList[[#This Row],[Actual]]/DB_SOFList[[#This Row],[Plan]],1.000011000011)</f>
        <v>17.42446270170803</v>
      </c>
      <c r="AF58" s="34">
        <f>SUM(DB_SOFList[[#This Row],[Plan01]:[Plan12]])/valUnits2</f>
        <v>3.391041</v>
      </c>
      <c r="AG58" s="34">
        <f>SUMPRODUCT(DB_SOFList[[#This Row],[Act01]:[Act12]],$P$13:$AA$13)/valUnits2</f>
        <v>23.634820000000001</v>
      </c>
      <c r="AH58" s="34">
        <f>IF(DB_SOFList[[#This Row],[FYPlan]]&lt;&gt;0,DB_SOFList[[#This Row],[FYActuals]]/DB_SOFList[[#This Row],[FYPlan]],1.000011000011)</f>
        <v>6.9697830253305701</v>
      </c>
    </row>
    <row r="59" spans="1:34" hidden="1" x14ac:dyDescent="0.2">
      <c r="A59">
        <f>SUBTOTAL(3,$B$16:B59)</f>
        <v>11</v>
      </c>
      <c r="B59" t="s">
        <v>350</v>
      </c>
      <c r="C59" t="s">
        <v>366</v>
      </c>
      <c r="I59">
        <v>0</v>
      </c>
      <c r="U59">
        <v>0.36</v>
      </c>
      <c r="AB59">
        <f>SUMPRODUCT(DB_SOFList[[#This Row],[Plan01]:[Plan12]],$D$14:$O$14)/valUnits2</f>
        <v>0</v>
      </c>
      <c r="AC59">
        <f>SUMPRODUCT(DB_SOFList[[#This Row],[Act01]:[Act12]],$P$14:$AA$14)/valUnits2</f>
        <v>3.5999999999999997E-4</v>
      </c>
      <c r="AD59">
        <f>DB_SOFList[[#This Row],[Actual]]-DB_SOFList[[#This Row],[Plan]]</f>
        <v>3.5999999999999997E-4</v>
      </c>
      <c r="AE59">
        <f>IF(DB_SOFList[[#This Row],[Plan]]&lt;&gt;0,DB_SOFList[[#This Row],[Actual]]/DB_SOFList[[#This Row],[Plan]],1.000011000011)</f>
        <v>1.0000110000110001</v>
      </c>
      <c r="AF59" s="34">
        <f>SUM(DB_SOFList[[#This Row],[Plan01]:[Plan12]])/valUnits2</f>
        <v>0</v>
      </c>
      <c r="AG59" s="34">
        <f>SUMPRODUCT(DB_SOFList[[#This Row],[Act01]:[Act12]],$P$13:$AA$13)/valUnits2</f>
        <v>3.5999999999999997E-4</v>
      </c>
      <c r="AH59" s="34">
        <f>IF(DB_SOFList[[#This Row],[FYPlan]]&lt;&gt;0,DB_SOFList[[#This Row],[FYActuals]]/DB_SOFList[[#This Row],[FYPlan]],1.000011000011)</f>
        <v>1.0000110000110001</v>
      </c>
    </row>
    <row r="60" spans="1:34" x14ac:dyDescent="0.2">
      <c r="A60">
        <f>SUBTOTAL(3,$B$16:B60)</f>
        <v>12</v>
      </c>
      <c r="B60" t="s">
        <v>1</v>
      </c>
      <c r="C60" t="s">
        <v>353</v>
      </c>
      <c r="D60">
        <v>65548.173999999999</v>
      </c>
      <c r="E60">
        <v>1503.0729999999849</v>
      </c>
      <c r="F60">
        <v>171218.26500000004</v>
      </c>
      <c r="G60">
        <v>178691.24000000008</v>
      </c>
      <c r="H60">
        <v>13046.758000000045</v>
      </c>
      <c r="I60">
        <v>90653.274999999994</v>
      </c>
      <c r="P60">
        <v>63977.509999999987</v>
      </c>
      <c r="Q60">
        <v>1543.0999999999767</v>
      </c>
      <c r="R60">
        <v>174578.84999999998</v>
      </c>
      <c r="S60">
        <v>178700.98999999996</v>
      </c>
      <c r="T60">
        <v>13076.200000000015</v>
      </c>
      <c r="U60">
        <v>57626.750000000007</v>
      </c>
      <c r="AB60">
        <f>SUMPRODUCT(DB_SOFList[[#This Row],[Plan01]:[Plan12]],$D$14:$O$14)/valUnits2</f>
        <v>520.66078500000015</v>
      </c>
      <c r="AC60">
        <f>SUMPRODUCT(DB_SOFList[[#This Row],[Act01]:[Act12]],$P$14:$AA$14)/valUnits2</f>
        <v>489.50339999999989</v>
      </c>
      <c r="AD60">
        <f>DB_SOFList[[#This Row],[Actual]]-DB_SOFList[[#This Row],[Plan]]</f>
        <v>-31.157385000000261</v>
      </c>
      <c r="AE60">
        <f>IF(DB_SOFList[[#This Row],[Plan]]&lt;&gt;0,DB_SOFList[[#This Row],[Actual]]/DB_SOFList[[#This Row],[Plan]],1.000011000011)</f>
        <v>0.94015799557479585</v>
      </c>
      <c r="AF60" s="34">
        <f>SUM(DB_SOFList[[#This Row],[Plan01]:[Plan12]])/valUnits2</f>
        <v>520.66078500000015</v>
      </c>
      <c r="AG60" s="34">
        <f>SUMPRODUCT(DB_SOFList[[#This Row],[Act01]:[Act12]],$P$13:$AA$13)/valUnits2</f>
        <v>489.50339999999989</v>
      </c>
      <c r="AH60" s="34">
        <f>IF(DB_SOFList[[#This Row],[FYPlan]]&lt;&gt;0,DB_SOFList[[#This Row],[FYActuals]]/DB_SOFList[[#This Row],[FYPlan]],1.000011000011)</f>
        <v>0.94015799557479585</v>
      </c>
    </row>
    <row r="61" spans="1:34" hidden="1" x14ac:dyDescent="0.2">
      <c r="A61">
        <f>SUBTOTAL(3,$B$16:B61)</f>
        <v>12</v>
      </c>
      <c r="B61" t="s">
        <v>351</v>
      </c>
      <c r="C61" t="s">
        <v>353</v>
      </c>
      <c r="F61">
        <v>0</v>
      </c>
      <c r="G61">
        <v>441.84699999999998</v>
      </c>
      <c r="H61">
        <v>861.21</v>
      </c>
      <c r="I61">
        <v>0</v>
      </c>
      <c r="R61">
        <v>0</v>
      </c>
      <c r="S61">
        <v>440.36</v>
      </c>
      <c r="T61">
        <v>860.59</v>
      </c>
      <c r="U61">
        <v>1277.29</v>
      </c>
      <c r="AB61">
        <f>SUMPRODUCT(DB_SOFList[[#This Row],[Plan01]:[Plan12]],$D$14:$O$14)/valUnits2</f>
        <v>1.3030569999999999</v>
      </c>
      <c r="AC61">
        <f>SUMPRODUCT(DB_SOFList[[#This Row],[Act01]:[Act12]],$P$14:$AA$14)/valUnits2</f>
        <v>2.5782399999999996</v>
      </c>
      <c r="AD61">
        <f>DB_SOFList[[#This Row],[Actual]]-DB_SOFList[[#This Row],[Plan]]</f>
        <v>1.2751829999999997</v>
      </c>
      <c r="AE61">
        <f>IF(DB_SOFList[[#This Row],[Plan]]&lt;&gt;0,DB_SOFList[[#This Row],[Actual]]/DB_SOFList[[#This Row],[Plan]],1.000011000011)</f>
        <v>1.978608763853001</v>
      </c>
      <c r="AF61" s="34">
        <f>SUM(DB_SOFList[[#This Row],[Plan01]:[Plan12]])/valUnits2</f>
        <v>1.3030569999999999</v>
      </c>
      <c r="AG61" s="34">
        <f>SUMPRODUCT(DB_SOFList[[#This Row],[Act01]:[Act12]],$P$13:$AA$13)/valUnits2</f>
        <v>2.5782399999999996</v>
      </c>
      <c r="AH61" s="34">
        <f>IF(DB_SOFList[[#This Row],[FYPlan]]&lt;&gt;0,DB_SOFList[[#This Row],[FYActuals]]/DB_SOFList[[#This Row],[FYPlan]],1.000011000011)</f>
        <v>1.978608763853001</v>
      </c>
    </row>
    <row r="62" spans="1:34" hidden="1" x14ac:dyDescent="0.2">
      <c r="A62">
        <f>SUBTOTAL(3,$B$16:B62)</f>
        <v>12</v>
      </c>
      <c r="B62" t="s">
        <v>349</v>
      </c>
      <c r="C62" t="s">
        <v>353</v>
      </c>
      <c r="D62">
        <v>65548.173999999999</v>
      </c>
      <c r="E62">
        <v>1503.0729999999849</v>
      </c>
      <c r="F62">
        <v>171218.26500000004</v>
      </c>
      <c r="G62">
        <v>178249.39300000007</v>
      </c>
      <c r="H62">
        <v>12185.548000000046</v>
      </c>
      <c r="I62">
        <v>90653.274999999994</v>
      </c>
      <c r="P62">
        <v>63977.509999999987</v>
      </c>
      <c r="Q62">
        <v>1543.0999999999767</v>
      </c>
      <c r="R62">
        <v>174578.84999999998</v>
      </c>
      <c r="S62">
        <v>178260.62999999998</v>
      </c>
      <c r="T62">
        <v>12215.610000000015</v>
      </c>
      <c r="U62">
        <v>56348.23</v>
      </c>
      <c r="AB62">
        <f>SUMPRODUCT(DB_SOFList[[#This Row],[Plan01]:[Plan12]],$D$14:$O$14)/valUnits2</f>
        <v>519.35772800000018</v>
      </c>
      <c r="AC62">
        <f>SUMPRODUCT(DB_SOFList[[#This Row],[Act01]:[Act12]],$P$14:$AA$14)/valUnits2</f>
        <v>486.92392999999993</v>
      </c>
      <c r="AD62">
        <f>DB_SOFList[[#This Row],[Actual]]-DB_SOFList[[#This Row],[Plan]]</f>
        <v>-32.433798000000252</v>
      </c>
      <c r="AE62">
        <f>IF(DB_SOFList[[#This Row],[Plan]]&lt;&gt;0,DB_SOFList[[#This Row],[Actual]]/DB_SOFList[[#This Row],[Plan]],1.000011000011)</f>
        <v>0.93755017736060287</v>
      </c>
      <c r="AF62" s="34">
        <f>SUM(DB_SOFList[[#This Row],[Plan01]:[Plan12]])/valUnits2</f>
        <v>519.35772800000018</v>
      </c>
      <c r="AG62" s="34">
        <f>SUMPRODUCT(DB_SOFList[[#This Row],[Act01]:[Act12]],$P$13:$AA$13)/valUnits2</f>
        <v>486.92392999999993</v>
      </c>
      <c r="AH62" s="34">
        <f>IF(DB_SOFList[[#This Row],[FYPlan]]&lt;&gt;0,DB_SOFList[[#This Row],[FYActuals]]/DB_SOFList[[#This Row],[FYPlan]],1.000011000011)</f>
        <v>0.93755017736060287</v>
      </c>
    </row>
    <row r="63" spans="1:34" hidden="1" x14ac:dyDescent="0.2">
      <c r="A63">
        <f>SUBTOTAL(3,$B$16:B63)</f>
        <v>12</v>
      </c>
      <c r="B63" t="s">
        <v>350</v>
      </c>
      <c r="C63" t="s">
        <v>353</v>
      </c>
      <c r="F63">
        <v>0</v>
      </c>
      <c r="G63">
        <v>0</v>
      </c>
      <c r="I63">
        <v>0</v>
      </c>
      <c r="R63">
        <v>0</v>
      </c>
      <c r="S63">
        <v>0</v>
      </c>
      <c r="U63">
        <v>1.23</v>
      </c>
      <c r="AB63">
        <f>SUMPRODUCT(DB_SOFList[[#This Row],[Plan01]:[Plan12]],$D$14:$O$14)/valUnits2</f>
        <v>0</v>
      </c>
      <c r="AC63">
        <f>SUMPRODUCT(DB_SOFList[[#This Row],[Act01]:[Act12]],$P$14:$AA$14)/valUnits2</f>
        <v>1.23E-3</v>
      </c>
      <c r="AD63">
        <f>DB_SOFList[[#This Row],[Actual]]-DB_SOFList[[#This Row],[Plan]]</f>
        <v>1.23E-3</v>
      </c>
      <c r="AE63">
        <f>IF(DB_SOFList[[#This Row],[Plan]]&lt;&gt;0,DB_SOFList[[#This Row],[Actual]]/DB_SOFList[[#This Row],[Plan]],1.000011000011)</f>
        <v>1.0000110000110001</v>
      </c>
      <c r="AF63" s="34">
        <f>SUM(DB_SOFList[[#This Row],[Plan01]:[Plan12]])/valUnits2</f>
        <v>0</v>
      </c>
      <c r="AG63" s="34">
        <f>SUMPRODUCT(DB_SOFList[[#This Row],[Act01]:[Act12]],$P$13:$AA$13)/valUnits2</f>
        <v>1.23E-3</v>
      </c>
      <c r="AH63" s="34">
        <f>IF(DB_SOFList[[#This Row],[FYPlan]]&lt;&gt;0,DB_SOFList[[#This Row],[FYActuals]]/DB_SOFList[[#This Row],[FYPlan]],1.000011000011)</f>
        <v>1.0000110000110001</v>
      </c>
    </row>
    <row r="64" spans="1:34" x14ac:dyDescent="0.2">
      <c r="A64">
        <f>SUBTOTAL(3,$B$16:B64)</f>
        <v>13</v>
      </c>
      <c r="B64" t="s">
        <v>1</v>
      </c>
      <c r="C64" t="s">
        <v>850</v>
      </c>
      <c r="D64">
        <v>6231.6670000000004</v>
      </c>
      <c r="E64">
        <v>6352.0679999999993</v>
      </c>
      <c r="F64">
        <v>6615.0840000000007</v>
      </c>
      <c r="G64">
        <v>49266.033000000003</v>
      </c>
      <c r="H64">
        <v>23272.922000000002</v>
      </c>
      <c r="I64">
        <v>19642.595999999998</v>
      </c>
      <c r="J64">
        <v>19642.595999999994</v>
      </c>
      <c r="K64">
        <v>19642.595999999994</v>
      </c>
      <c r="L64">
        <v>19642.595999999994</v>
      </c>
      <c r="M64">
        <v>19642.595999999994</v>
      </c>
      <c r="N64">
        <v>19642.595999999994</v>
      </c>
      <c r="O64">
        <v>19642.595999999994</v>
      </c>
      <c r="P64">
        <v>6231.67</v>
      </c>
      <c r="Q64">
        <v>6420.4400000000014</v>
      </c>
      <c r="R64">
        <v>6613.77</v>
      </c>
      <c r="S64">
        <v>49479.44000000001</v>
      </c>
      <c r="T64">
        <v>23292.090000000004</v>
      </c>
      <c r="U64">
        <v>9666.130000000001</v>
      </c>
      <c r="V64">
        <v>1324</v>
      </c>
      <c r="W64">
        <v>0</v>
      </c>
      <c r="X64">
        <v>0</v>
      </c>
      <c r="Y64">
        <v>0</v>
      </c>
      <c r="Z64">
        <v>0</v>
      </c>
      <c r="AA64">
        <v>0</v>
      </c>
      <c r="AB64">
        <f>SUMPRODUCT(DB_SOFList[[#This Row],[Plan01]:[Plan12]],$D$14:$O$14)/valUnits2</f>
        <v>111.38037000000003</v>
      </c>
      <c r="AC64">
        <f>SUMPRODUCT(DB_SOFList[[#This Row],[Act01]:[Act12]],$P$14:$AA$14)/valUnits2</f>
        <v>101.70354</v>
      </c>
      <c r="AD64">
        <f>DB_SOFList[[#This Row],[Actual]]-DB_SOFList[[#This Row],[Plan]]</f>
        <v>-9.6768300000000238</v>
      </c>
      <c r="AE64">
        <f>IF(DB_SOFList[[#This Row],[Plan]]&lt;&gt;0,DB_SOFList[[#This Row],[Actual]]/DB_SOFList[[#This Row],[Plan]],1.000011000011)</f>
        <v>0.91311907116128255</v>
      </c>
      <c r="AF64" s="34">
        <f>SUM(DB_SOFList[[#This Row],[Plan01]:[Plan12]])/valUnits2</f>
        <v>229.23594599999996</v>
      </c>
      <c r="AG64" s="34">
        <f>SUMPRODUCT(DB_SOFList[[#This Row],[Act01]:[Act12]],$P$13:$AA$13)/valUnits2</f>
        <v>101.70354</v>
      </c>
      <c r="AH64" s="34">
        <f>IF(DB_SOFList[[#This Row],[FYPlan]]&lt;&gt;0,DB_SOFList[[#This Row],[FYActuals]]/DB_SOFList[[#This Row],[FYPlan]],1.000011000011)</f>
        <v>0.44366314173083493</v>
      </c>
    </row>
    <row r="65" spans="1:34" hidden="1" x14ac:dyDescent="0.2">
      <c r="A65">
        <f>SUBTOTAL(3,$B$16:B65)</f>
        <v>13</v>
      </c>
      <c r="B65" t="s">
        <v>351</v>
      </c>
      <c r="C65" t="s">
        <v>850</v>
      </c>
      <c r="D65">
        <v>21.917000000000002</v>
      </c>
      <c r="E65">
        <v>2681.54</v>
      </c>
      <c r="F65">
        <v>0</v>
      </c>
      <c r="G65">
        <v>4624.7159999999994</v>
      </c>
      <c r="H65">
        <v>3136.55</v>
      </c>
      <c r="I65">
        <v>1235.0629999999999</v>
      </c>
      <c r="J65">
        <v>1235.0629999999999</v>
      </c>
      <c r="K65">
        <v>1235.0629999999999</v>
      </c>
      <c r="L65">
        <v>1235.0629999999999</v>
      </c>
      <c r="M65">
        <v>1235.0629999999999</v>
      </c>
      <c r="N65">
        <v>1235.0629999999999</v>
      </c>
      <c r="O65">
        <v>1235.0629999999999</v>
      </c>
      <c r="P65">
        <v>21.92</v>
      </c>
      <c r="Q65">
        <v>2681.5400000000004</v>
      </c>
      <c r="R65">
        <v>0</v>
      </c>
      <c r="S65">
        <v>4615.9600000000009</v>
      </c>
      <c r="T65">
        <v>3129.4799999999996</v>
      </c>
      <c r="U65">
        <v>937.98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f>SUMPRODUCT(DB_SOFList[[#This Row],[Plan01]:[Plan12]],$D$14:$O$14)/valUnits2</f>
        <v>11.699785999999998</v>
      </c>
      <c r="AC65">
        <f>SUMPRODUCT(DB_SOFList[[#This Row],[Act01]:[Act12]],$P$14:$AA$14)/valUnits2</f>
        <v>11.386880000000001</v>
      </c>
      <c r="AD65">
        <f>DB_SOFList[[#This Row],[Actual]]-DB_SOFList[[#This Row],[Plan]]</f>
        <v>-0.31290599999999635</v>
      </c>
      <c r="AE65">
        <f>IF(DB_SOFList[[#This Row],[Plan]]&lt;&gt;0,DB_SOFList[[#This Row],[Actual]]/DB_SOFList[[#This Row],[Plan]],1.000011000011)</f>
        <v>0.97325540826131385</v>
      </c>
      <c r="AF65" s="34">
        <f>SUM(DB_SOFList[[#This Row],[Plan01]:[Plan12]])/valUnits2</f>
        <v>19.110163999999994</v>
      </c>
      <c r="AG65" s="34">
        <f>SUMPRODUCT(DB_SOFList[[#This Row],[Act01]:[Act12]],$P$13:$AA$13)/valUnits2</f>
        <v>11.386880000000001</v>
      </c>
      <c r="AH65" s="34">
        <f>IF(DB_SOFList[[#This Row],[FYPlan]]&lt;&gt;0,DB_SOFList[[#This Row],[FYActuals]]/DB_SOFList[[#This Row],[FYPlan]],1.000011000011)</f>
        <v>0.59585464572674551</v>
      </c>
    </row>
    <row r="66" spans="1:34" hidden="1" x14ac:dyDescent="0.2">
      <c r="A66">
        <f>SUBTOTAL(3,$B$16:B66)</f>
        <v>13</v>
      </c>
      <c r="B66" t="s">
        <v>345</v>
      </c>
      <c r="C66" t="s">
        <v>850</v>
      </c>
      <c r="D66">
        <v>6209.75</v>
      </c>
      <c r="E66">
        <v>3670.5279999999998</v>
      </c>
      <c r="F66">
        <v>6615.0840000000007</v>
      </c>
      <c r="G66">
        <v>44641.317000000003</v>
      </c>
      <c r="H66">
        <v>20136.372000000003</v>
      </c>
      <c r="I66">
        <v>18407.532999999999</v>
      </c>
      <c r="J66">
        <v>18407.532999999996</v>
      </c>
      <c r="K66">
        <v>18407.532999999996</v>
      </c>
      <c r="L66">
        <v>18407.532999999996</v>
      </c>
      <c r="M66">
        <v>18407.532999999996</v>
      </c>
      <c r="N66">
        <v>18407.532999999996</v>
      </c>
      <c r="O66">
        <v>18407.532999999996</v>
      </c>
      <c r="P66">
        <v>6209.75</v>
      </c>
      <c r="Q66">
        <v>3738.900000000001</v>
      </c>
      <c r="R66">
        <v>6613.77</v>
      </c>
      <c r="S66">
        <v>44863.48000000001</v>
      </c>
      <c r="T66">
        <v>20162.610000000004</v>
      </c>
      <c r="U66">
        <v>8727.6000000000022</v>
      </c>
      <c r="V66">
        <v>1324</v>
      </c>
      <c r="W66">
        <v>0</v>
      </c>
      <c r="X66">
        <v>0</v>
      </c>
      <c r="Y66">
        <v>0</v>
      </c>
      <c r="Z66">
        <v>0</v>
      </c>
      <c r="AA66">
        <v>0</v>
      </c>
      <c r="AB66" s="34">
        <f>SUMPRODUCT(DB_SOFList[[#This Row],[Plan01]:[Plan12]],$D$14:$O$14)/valUnits2</f>
        <v>99.680583999999996</v>
      </c>
      <c r="AC66" s="34">
        <f>SUMPRODUCT(DB_SOFList[[#This Row],[Act01]:[Act12]],$P$14:$AA$14)/valUnits2</f>
        <v>90.316110000000009</v>
      </c>
      <c r="AD66" s="34">
        <f>DB_SOFList[[#This Row],[Actual]]-DB_SOFList[[#This Row],[Plan]]</f>
        <v>-9.3644739999999871</v>
      </c>
      <c r="AE66" s="34">
        <f>IF(DB_SOFList[[#This Row],[Plan]]&lt;&gt;0,DB_SOFList[[#This Row],[Actual]]/DB_SOFList[[#This Row],[Plan]],1.000011000011)</f>
        <v>0.90605518523045581</v>
      </c>
      <c r="AF66" s="34">
        <f>SUM(DB_SOFList[[#This Row],[Plan01]:[Plan12]])/valUnits2</f>
        <v>210.12578199999999</v>
      </c>
      <c r="AG66" s="34">
        <f>SUMPRODUCT(DB_SOFList[[#This Row],[Act01]:[Act12]],$P$13:$AA$13)/valUnits2</f>
        <v>90.316110000000009</v>
      </c>
      <c r="AH66" s="34">
        <f>IF(DB_SOFList[[#This Row],[FYPlan]]&lt;&gt;0,DB_SOFList[[#This Row],[FYActuals]]/DB_SOFList[[#This Row],[FYPlan]],1.000011000011)</f>
        <v>0.42981926891770006</v>
      </c>
    </row>
    <row r="67" spans="1:34" hidden="1" x14ac:dyDescent="0.2">
      <c r="A67">
        <f>SUBTOTAL(3,$B$16:B67)</f>
        <v>13</v>
      </c>
      <c r="B67" t="s">
        <v>350</v>
      </c>
      <c r="C67" t="s">
        <v>850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0.55000000000000004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f>SUMPRODUCT(DB_SOFList[[#This Row],[Plan01]:[Plan12]],$D$14:$O$14)/valUnits2</f>
        <v>0</v>
      </c>
      <c r="AC67">
        <f>SUMPRODUCT(DB_SOFList[[#This Row],[Act01]:[Act12]],$P$14:$AA$14)/valUnits2</f>
        <v>5.5000000000000003E-4</v>
      </c>
      <c r="AD67">
        <f>DB_SOFList[[#This Row],[Actual]]-DB_SOFList[[#This Row],[Plan]]</f>
        <v>5.5000000000000003E-4</v>
      </c>
      <c r="AE67">
        <f>IF(DB_SOFList[[#This Row],[Plan]]&lt;&gt;0,DB_SOFList[[#This Row],[Actual]]/DB_SOFList[[#This Row],[Plan]],1.000011000011)</f>
        <v>1.0000110000110001</v>
      </c>
      <c r="AF67" s="34">
        <f>SUM(DB_SOFList[[#This Row],[Plan01]:[Plan12]])/valUnits2</f>
        <v>0</v>
      </c>
      <c r="AG67" s="34">
        <f>SUMPRODUCT(DB_SOFList[[#This Row],[Act01]:[Act12]],$P$13:$AA$13)/valUnits2</f>
        <v>5.5000000000000003E-4</v>
      </c>
      <c r="AH67" s="34">
        <f>IF(DB_SOFList[[#This Row],[FYPlan]]&lt;&gt;0,DB_SOFList[[#This Row],[FYActuals]]/DB_SOFList[[#This Row],[FYPlan]],1.000011000011)</f>
        <v>1.0000110000110001</v>
      </c>
    </row>
    <row r="68" spans="1:34" x14ac:dyDescent="0.2">
      <c r="A68">
        <f>SUBTOTAL(3,$B$16:B68)</f>
        <v>14</v>
      </c>
      <c r="B68" t="s">
        <v>1</v>
      </c>
      <c r="C68" t="s">
        <v>851</v>
      </c>
      <c r="F68">
        <v>0</v>
      </c>
      <c r="G68">
        <v>403.30500000000001</v>
      </c>
      <c r="H68">
        <v>6206.9159999999993</v>
      </c>
      <c r="I68">
        <v>4750.6329999999998</v>
      </c>
      <c r="J68">
        <v>4750.6329999999998</v>
      </c>
      <c r="K68">
        <v>4750.6329999999998</v>
      </c>
      <c r="L68">
        <v>4750.6329999999998</v>
      </c>
      <c r="M68">
        <v>4750.6329999999998</v>
      </c>
      <c r="N68">
        <v>4750.6329999999998</v>
      </c>
      <c r="O68">
        <v>4750.6329999999998</v>
      </c>
      <c r="R68">
        <v>0</v>
      </c>
      <c r="S68">
        <v>400.34999999999997</v>
      </c>
      <c r="T68">
        <v>6247.6799999999994</v>
      </c>
      <c r="U68">
        <v>13505.090000000002</v>
      </c>
      <c r="V68">
        <v>453</v>
      </c>
      <c r="W68">
        <v>0</v>
      </c>
      <c r="X68">
        <v>0</v>
      </c>
      <c r="Y68">
        <v>0</v>
      </c>
      <c r="Z68">
        <v>0</v>
      </c>
      <c r="AA68">
        <v>0</v>
      </c>
      <c r="AB68">
        <f>SUMPRODUCT(DB_SOFList[[#This Row],[Plan01]:[Plan12]],$D$14:$O$14)/valUnits2</f>
        <v>11.360854</v>
      </c>
      <c r="AC68">
        <f>SUMPRODUCT(DB_SOFList[[#This Row],[Act01]:[Act12]],$P$14:$AA$14)/valUnits2</f>
        <v>20.153120000000001</v>
      </c>
      <c r="AD68">
        <f>DB_SOFList[[#This Row],[Actual]]-DB_SOFList[[#This Row],[Plan]]</f>
        <v>8.7922660000000015</v>
      </c>
      <c r="AE68">
        <f>IF(DB_SOFList[[#This Row],[Plan]]&lt;&gt;0,DB_SOFList[[#This Row],[Actual]]/DB_SOFList[[#This Row],[Plan]],1.000011000011)</f>
        <v>1.7739088980458688</v>
      </c>
      <c r="AF68" s="34">
        <f>SUM(DB_SOFList[[#This Row],[Plan01]:[Plan12]])/valUnits2</f>
        <v>39.864652</v>
      </c>
      <c r="AG68" s="34">
        <f>SUMPRODUCT(DB_SOFList[[#This Row],[Act01]:[Act12]],$P$13:$AA$13)/valUnits2</f>
        <v>20.153120000000001</v>
      </c>
      <c r="AH68" s="34">
        <f>IF(DB_SOFList[[#This Row],[FYPlan]]&lt;&gt;0,DB_SOFList[[#This Row],[FYActuals]]/DB_SOFList[[#This Row],[FYPlan]],1.000011000011)</f>
        <v>0.50553859093013032</v>
      </c>
    </row>
    <row r="69" spans="1:34" hidden="1" x14ac:dyDescent="0.2">
      <c r="A69">
        <f>SUBTOTAL(3,$B$16:B69)</f>
        <v>14</v>
      </c>
      <c r="B69" t="s">
        <v>345</v>
      </c>
      <c r="C69" t="s">
        <v>851</v>
      </c>
      <c r="F69">
        <v>0</v>
      </c>
      <c r="G69">
        <v>403.30500000000001</v>
      </c>
      <c r="H69">
        <v>6206.9159999999993</v>
      </c>
      <c r="I69">
        <v>4750.6329999999998</v>
      </c>
      <c r="J69">
        <v>4750.6329999999998</v>
      </c>
      <c r="K69">
        <v>4750.6329999999998</v>
      </c>
      <c r="L69">
        <v>4750.6329999999998</v>
      </c>
      <c r="M69">
        <v>4750.6329999999998</v>
      </c>
      <c r="N69">
        <v>4750.6329999999998</v>
      </c>
      <c r="O69">
        <v>4750.6329999999998</v>
      </c>
      <c r="R69">
        <v>0</v>
      </c>
      <c r="S69">
        <v>400.34999999999997</v>
      </c>
      <c r="T69">
        <v>6247.6799999999994</v>
      </c>
      <c r="U69">
        <v>13505.090000000002</v>
      </c>
      <c r="V69">
        <v>453</v>
      </c>
      <c r="W69">
        <v>0</v>
      </c>
      <c r="X69">
        <v>0</v>
      </c>
      <c r="Y69">
        <v>0</v>
      </c>
      <c r="Z69">
        <v>0</v>
      </c>
      <c r="AA69">
        <v>0</v>
      </c>
      <c r="AB69">
        <f>SUMPRODUCT(DB_SOFList[[#This Row],[Plan01]:[Plan12]],$D$14:$O$14)/valUnits2</f>
        <v>11.360854</v>
      </c>
      <c r="AC69">
        <f>SUMPRODUCT(DB_SOFList[[#This Row],[Act01]:[Act12]],$P$14:$AA$14)/valUnits2</f>
        <v>20.153120000000001</v>
      </c>
      <c r="AD69">
        <f>DB_SOFList[[#This Row],[Actual]]-DB_SOFList[[#This Row],[Plan]]</f>
        <v>8.7922660000000015</v>
      </c>
      <c r="AE69">
        <f>IF(DB_SOFList[[#This Row],[Plan]]&lt;&gt;0,DB_SOFList[[#This Row],[Actual]]/DB_SOFList[[#This Row],[Plan]],1.000011000011)</f>
        <v>1.7739088980458688</v>
      </c>
      <c r="AF69" s="34">
        <f>SUM(DB_SOFList[[#This Row],[Plan01]:[Plan12]])/valUnits2</f>
        <v>39.864652</v>
      </c>
      <c r="AG69" s="34">
        <f>SUMPRODUCT(DB_SOFList[[#This Row],[Act01]:[Act12]],$P$13:$AA$13)/valUnits2</f>
        <v>20.153120000000001</v>
      </c>
      <c r="AH69" s="34">
        <f>IF(DB_SOFList[[#This Row],[FYPlan]]&lt;&gt;0,DB_SOFList[[#This Row],[FYActuals]]/DB_SOFList[[#This Row],[FYPlan]],1.000011000011)</f>
        <v>0.50553859093013032</v>
      </c>
    </row>
    <row r="70" spans="1:34" x14ac:dyDescent="0.2">
      <c r="A70">
        <f>SUBTOTAL(3,$B$16:B70)</f>
        <v>15</v>
      </c>
      <c r="B70" t="s">
        <v>1</v>
      </c>
      <c r="C70" t="s">
        <v>852</v>
      </c>
      <c r="D70">
        <v>-387.26499999999999</v>
      </c>
      <c r="E70">
        <v>268.34199999999998</v>
      </c>
      <c r="P70">
        <v>-395.20000000000005</v>
      </c>
      <c r="Q70">
        <v>279.02</v>
      </c>
      <c r="AB70">
        <f>SUMPRODUCT(DB_SOFList[[#This Row],[Plan01]:[Plan12]],$D$14:$O$14)/valUnits2</f>
        <v>-0.118923</v>
      </c>
      <c r="AC70">
        <f>SUMPRODUCT(DB_SOFList[[#This Row],[Act01]:[Act12]],$P$14:$AA$14)/valUnits2</f>
        <v>-0.11618000000000006</v>
      </c>
      <c r="AD70">
        <f>DB_SOFList[[#This Row],[Actual]]-DB_SOFList[[#This Row],[Plan]]</f>
        <v>2.7429999999999399E-3</v>
      </c>
      <c r="AE70">
        <f>IF(DB_SOFList[[#This Row],[Plan]]&lt;&gt;0,DB_SOFList[[#This Row],[Actual]]/DB_SOFList[[#This Row],[Plan]],1.000011000011)</f>
        <v>0.9769346551970608</v>
      </c>
      <c r="AF70" s="34">
        <f>SUM(DB_SOFList[[#This Row],[Plan01]:[Plan12]])/valUnits2</f>
        <v>-0.118923</v>
      </c>
      <c r="AG70" s="34">
        <f>SUMPRODUCT(DB_SOFList[[#This Row],[Act01]:[Act12]],$P$13:$AA$13)/valUnits2</f>
        <v>-0.11618000000000006</v>
      </c>
      <c r="AH70" s="34">
        <f>IF(DB_SOFList[[#This Row],[FYPlan]]&lt;&gt;0,DB_SOFList[[#This Row],[FYActuals]]/DB_SOFList[[#This Row],[FYPlan]],1.000011000011)</f>
        <v>0.9769346551970608</v>
      </c>
    </row>
    <row r="71" spans="1:34" hidden="1" x14ac:dyDescent="0.2">
      <c r="A71">
        <f>SUBTOTAL(3,$B$16:B71)</f>
        <v>15</v>
      </c>
      <c r="B71" t="s">
        <v>342</v>
      </c>
      <c r="C71" t="s">
        <v>852</v>
      </c>
      <c r="D71">
        <v>-1037.548</v>
      </c>
      <c r="P71">
        <v>-1061.6500000000001</v>
      </c>
      <c r="AB71">
        <f>SUMPRODUCT(DB_SOFList[[#This Row],[Plan01]:[Plan12]],$D$14:$O$14)/valUnits2</f>
        <v>-1.0375479999999999</v>
      </c>
      <c r="AC71">
        <f>SUMPRODUCT(DB_SOFList[[#This Row],[Act01]:[Act12]],$P$14:$AA$14)/valUnits2</f>
        <v>-1.06165</v>
      </c>
      <c r="AD71">
        <f>DB_SOFList[[#This Row],[Actual]]-DB_SOFList[[#This Row],[Plan]]</f>
        <v>-2.4102000000000068E-2</v>
      </c>
      <c r="AE71">
        <f>IF(DB_SOFList[[#This Row],[Plan]]&lt;&gt;0,DB_SOFList[[#This Row],[Actual]]/DB_SOFList[[#This Row],[Plan]],1.000011000011)</f>
        <v>1.0232297686468481</v>
      </c>
      <c r="AF71" s="34">
        <f>SUM(DB_SOFList[[#This Row],[Plan01]:[Plan12]])/valUnits2</f>
        <v>-1.0375479999999999</v>
      </c>
      <c r="AG71" s="34">
        <f>SUMPRODUCT(DB_SOFList[[#This Row],[Act01]:[Act12]],$P$13:$AA$13)/valUnits2</f>
        <v>-1.06165</v>
      </c>
      <c r="AH71" s="34">
        <f>IF(DB_SOFList[[#This Row],[FYPlan]]&lt;&gt;0,DB_SOFList[[#This Row],[FYActuals]]/DB_SOFList[[#This Row],[FYPlan]],1.000011000011)</f>
        <v>1.0232297686468481</v>
      </c>
    </row>
    <row r="72" spans="1:34" hidden="1" x14ac:dyDescent="0.2">
      <c r="A72">
        <f>SUBTOTAL(3,$B$16:B72)</f>
        <v>15</v>
      </c>
      <c r="B72" t="s">
        <v>351</v>
      </c>
      <c r="C72" t="s">
        <v>852</v>
      </c>
      <c r="D72">
        <v>851.36099999999999</v>
      </c>
      <c r="P72">
        <v>868.58</v>
      </c>
      <c r="AB72">
        <f>SUMPRODUCT(DB_SOFList[[#This Row],[Plan01]:[Plan12]],$D$14:$O$14)/valUnits2</f>
        <v>0.85136100000000003</v>
      </c>
      <c r="AC72">
        <f>SUMPRODUCT(DB_SOFList[[#This Row],[Act01]:[Act12]],$P$14:$AA$14)/valUnits2</f>
        <v>0.86858000000000002</v>
      </c>
      <c r="AD72">
        <f>DB_SOFList[[#This Row],[Actual]]-DB_SOFList[[#This Row],[Plan]]</f>
        <v>1.7218999999999984E-2</v>
      </c>
      <c r="AE72">
        <f>IF(DB_SOFList[[#This Row],[Plan]]&lt;&gt;0,DB_SOFList[[#This Row],[Actual]]/DB_SOFList[[#This Row],[Plan]],1.000011000011)</f>
        <v>1.0202252628438464</v>
      </c>
      <c r="AF72" s="34">
        <f>SUM(DB_SOFList[[#This Row],[Plan01]:[Plan12]])/valUnits2</f>
        <v>0.85136100000000003</v>
      </c>
      <c r="AG72" s="34">
        <f>SUMPRODUCT(DB_SOFList[[#This Row],[Act01]:[Act12]],$P$13:$AA$13)/valUnits2</f>
        <v>0.86858000000000002</v>
      </c>
      <c r="AH72" s="34">
        <f>IF(DB_SOFList[[#This Row],[FYPlan]]&lt;&gt;0,DB_SOFList[[#This Row],[FYActuals]]/DB_SOFList[[#This Row],[FYPlan]],1.000011000011)</f>
        <v>1.0202252628438464</v>
      </c>
    </row>
    <row r="73" spans="1:34" hidden="1" x14ac:dyDescent="0.2">
      <c r="A73">
        <f>SUBTOTAL(3,$B$16:B73)</f>
        <v>15</v>
      </c>
      <c r="B73" t="s">
        <v>350</v>
      </c>
      <c r="C73" t="s">
        <v>852</v>
      </c>
      <c r="D73">
        <v>-201.078</v>
      </c>
      <c r="E73">
        <v>268.34199999999998</v>
      </c>
      <c r="P73">
        <v>-202.13</v>
      </c>
      <c r="Q73">
        <v>279.02</v>
      </c>
      <c r="AB73">
        <f>SUMPRODUCT(DB_SOFList[[#This Row],[Plan01]:[Plan12]],$D$14:$O$14)/valUnits2</f>
        <v>6.7263999999999977E-2</v>
      </c>
      <c r="AC73">
        <f>SUMPRODUCT(DB_SOFList[[#This Row],[Act01]:[Act12]],$P$14:$AA$14)/valUnits2</f>
        <v>7.6889999999999986E-2</v>
      </c>
      <c r="AD73">
        <f>DB_SOFList[[#This Row],[Actual]]-DB_SOFList[[#This Row],[Plan]]</f>
        <v>9.6260000000000095E-3</v>
      </c>
      <c r="AE73">
        <f>IF(DB_SOFList[[#This Row],[Plan]]&lt;&gt;0,DB_SOFList[[#This Row],[Actual]]/DB_SOFList[[#This Row],[Plan]],1.000011000011)</f>
        <v>1.1431077545195054</v>
      </c>
      <c r="AF73" s="34">
        <f>SUM(DB_SOFList[[#This Row],[Plan01]:[Plan12]])/valUnits2</f>
        <v>6.7263999999999977E-2</v>
      </c>
      <c r="AG73" s="34">
        <f>SUMPRODUCT(DB_SOFList[[#This Row],[Act01]:[Act12]],$P$13:$AA$13)/valUnits2</f>
        <v>7.6889999999999986E-2</v>
      </c>
      <c r="AH73" s="34">
        <f>IF(DB_SOFList[[#This Row],[FYPlan]]&lt;&gt;0,DB_SOFList[[#This Row],[FYActuals]]/DB_SOFList[[#This Row],[FYPlan]],1.000011000011)</f>
        <v>1.1431077545195054</v>
      </c>
    </row>
    <row r="74" spans="1:34" x14ac:dyDescent="0.2">
      <c r="A74">
        <f>SUBTOTAL(3,$B$16:B74)</f>
        <v>16</v>
      </c>
      <c r="B74" t="s">
        <v>1</v>
      </c>
      <c r="C74" t="s">
        <v>853</v>
      </c>
      <c r="F74">
        <v>336.26799999999997</v>
      </c>
      <c r="G74">
        <v>775.202</v>
      </c>
      <c r="H74">
        <v>637.11500000000001</v>
      </c>
      <c r="I74">
        <v>695.50000000000011</v>
      </c>
      <c r="J74">
        <v>2066.194</v>
      </c>
      <c r="K74">
        <v>2066.194</v>
      </c>
      <c r="L74">
        <v>695.5</v>
      </c>
      <c r="M74">
        <v>2066.194</v>
      </c>
      <c r="N74">
        <v>2066.194</v>
      </c>
      <c r="O74">
        <v>695.5</v>
      </c>
      <c r="R74">
        <v>335.14</v>
      </c>
      <c r="S74">
        <v>762.45</v>
      </c>
      <c r="T74">
        <v>637.24</v>
      </c>
      <c r="U74">
        <v>1465.8799999999999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f>SUMPRODUCT(DB_SOFList[[#This Row],[Plan01]:[Plan12]],$D$14:$O$14)/valUnits2</f>
        <v>2.4440849999999998</v>
      </c>
      <c r="AC74">
        <f>SUMPRODUCT(DB_SOFList[[#This Row],[Act01]:[Act12]],$P$14:$AA$14)/valUnits2</f>
        <v>3.2007099999999999</v>
      </c>
      <c r="AD74">
        <f>DB_SOFList[[#This Row],[Actual]]-DB_SOFList[[#This Row],[Plan]]</f>
        <v>0.7566250000000001</v>
      </c>
      <c r="AE74">
        <f>IF(DB_SOFList[[#This Row],[Plan]]&lt;&gt;0,DB_SOFList[[#This Row],[Actual]]/DB_SOFList[[#This Row],[Plan]],1.000011000011)</f>
        <v>1.3095739305302394</v>
      </c>
      <c r="AF74" s="34">
        <f>SUM(DB_SOFList[[#This Row],[Plan01]:[Plan12]])/valUnits2</f>
        <v>12.099860999999999</v>
      </c>
      <c r="AG74" s="34">
        <f>SUMPRODUCT(DB_SOFList[[#This Row],[Act01]:[Act12]],$P$13:$AA$13)/valUnits2</f>
        <v>3.2007099999999999</v>
      </c>
      <c r="AH74" s="34">
        <f>IF(DB_SOFList[[#This Row],[FYPlan]]&lt;&gt;0,DB_SOFList[[#This Row],[FYActuals]]/DB_SOFList[[#This Row],[FYPlan]],1.000011000011)</f>
        <v>0.26452452635612922</v>
      </c>
    </row>
    <row r="75" spans="1:34" hidden="1" x14ac:dyDescent="0.2">
      <c r="A75">
        <f>SUBTOTAL(3,$B$16:B75)</f>
        <v>16</v>
      </c>
      <c r="B75" t="s">
        <v>351</v>
      </c>
      <c r="C75" t="s">
        <v>853</v>
      </c>
      <c r="G75">
        <v>12.959</v>
      </c>
      <c r="H75">
        <v>24.883999999999997</v>
      </c>
      <c r="I75">
        <v>141.30100000000002</v>
      </c>
      <c r="J75">
        <v>141.30099999999999</v>
      </c>
      <c r="K75">
        <v>141.30100000000002</v>
      </c>
      <c r="L75">
        <v>141.30099999999999</v>
      </c>
      <c r="M75">
        <v>141.30099999999999</v>
      </c>
      <c r="N75">
        <v>141.30099999999999</v>
      </c>
      <c r="O75">
        <v>141.30100000000002</v>
      </c>
      <c r="S75">
        <v>12.79</v>
      </c>
      <c r="T75">
        <v>25.04</v>
      </c>
      <c r="U75">
        <v>141.54999999999998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f>SUMPRODUCT(DB_SOFList[[#This Row],[Plan01]:[Plan12]],$D$14:$O$14)/valUnits2</f>
        <v>0.179144</v>
      </c>
      <c r="AC75">
        <f>SUMPRODUCT(DB_SOFList[[#This Row],[Act01]:[Act12]],$P$14:$AA$14)/valUnits2</f>
        <v>0.17937999999999998</v>
      </c>
      <c r="AD75">
        <f>DB_SOFList[[#This Row],[Actual]]-DB_SOFList[[#This Row],[Plan]]</f>
        <v>2.3599999999998622E-4</v>
      </c>
      <c r="AE75">
        <f>IF(DB_SOFList[[#This Row],[Plan]]&lt;&gt;0,DB_SOFList[[#This Row],[Actual]]/DB_SOFList[[#This Row],[Plan]],1.000011000011)</f>
        <v>1.0013173759657035</v>
      </c>
      <c r="AF75" s="34">
        <f>SUM(DB_SOFList[[#This Row],[Plan01]:[Plan12]])/valUnits2</f>
        <v>1.0269499999999998</v>
      </c>
      <c r="AG75" s="34">
        <f>SUMPRODUCT(DB_SOFList[[#This Row],[Act01]:[Act12]],$P$13:$AA$13)/valUnits2</f>
        <v>0.17937999999999998</v>
      </c>
      <c r="AH75" s="34">
        <f>IF(DB_SOFList[[#This Row],[FYPlan]]&lt;&gt;0,DB_SOFList[[#This Row],[FYActuals]]/DB_SOFList[[#This Row],[FYPlan]],1.000011000011)</f>
        <v>0.17467257412727008</v>
      </c>
    </row>
    <row r="76" spans="1:34" hidden="1" x14ac:dyDescent="0.2">
      <c r="A76">
        <f>SUBTOTAL(3,$B$16:B76)</f>
        <v>16</v>
      </c>
      <c r="B76" t="s">
        <v>346</v>
      </c>
      <c r="C76" t="s">
        <v>853</v>
      </c>
      <c r="F76">
        <v>336.26799999999997</v>
      </c>
      <c r="G76">
        <v>320.65600000000001</v>
      </c>
      <c r="H76">
        <v>175.089</v>
      </c>
      <c r="I76">
        <v>554.19900000000007</v>
      </c>
      <c r="J76">
        <v>1924.893</v>
      </c>
      <c r="K76">
        <v>1924.893</v>
      </c>
      <c r="L76">
        <v>554.19899999999996</v>
      </c>
      <c r="M76">
        <v>1924.893</v>
      </c>
      <c r="N76">
        <v>1924.893</v>
      </c>
      <c r="O76">
        <v>554.19899999999996</v>
      </c>
      <c r="R76">
        <v>335.14</v>
      </c>
      <c r="S76">
        <v>314.67</v>
      </c>
      <c r="T76">
        <v>175.92000000000002</v>
      </c>
      <c r="U76">
        <v>597.64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f>SUMPRODUCT(DB_SOFList[[#This Row],[Plan01]:[Plan12]],$D$14:$O$14)/valUnits2</f>
        <v>1.386212</v>
      </c>
      <c r="AC76">
        <f>SUMPRODUCT(DB_SOFList[[#This Row],[Act01]:[Act12]],$P$14:$AA$14)/valUnits2</f>
        <v>1.4233699999999998</v>
      </c>
      <c r="AD76">
        <f>DB_SOFList[[#This Row],[Actual]]-DB_SOFList[[#This Row],[Plan]]</f>
        <v>3.7157999999999802E-2</v>
      </c>
      <c r="AE76">
        <f>IF(DB_SOFList[[#This Row],[Plan]]&lt;&gt;0,DB_SOFList[[#This Row],[Actual]]/DB_SOFList[[#This Row],[Plan]],1.000011000011)</f>
        <v>1.026805423701425</v>
      </c>
      <c r="AF76" s="34">
        <f>SUM(DB_SOFList[[#This Row],[Plan01]:[Plan12]])/valUnits2</f>
        <v>10.194182000000001</v>
      </c>
      <c r="AG76" s="34">
        <f>SUMPRODUCT(DB_SOFList[[#This Row],[Act01]:[Act12]],$P$13:$AA$13)/valUnits2</f>
        <v>1.4233699999999998</v>
      </c>
      <c r="AH76" s="34">
        <f>IF(DB_SOFList[[#This Row],[FYPlan]]&lt;&gt;0,DB_SOFList[[#This Row],[FYActuals]]/DB_SOFList[[#This Row],[FYPlan]],1.000011000011)</f>
        <v>0.13962571984686947</v>
      </c>
    </row>
    <row r="77" spans="1:34" hidden="1" x14ac:dyDescent="0.2">
      <c r="A77">
        <f>SUBTOTAL(3,$B$16:B77)</f>
        <v>16</v>
      </c>
      <c r="B77" t="s">
        <v>350</v>
      </c>
      <c r="C77" t="s">
        <v>853</v>
      </c>
      <c r="G77">
        <v>441.58699999999999</v>
      </c>
      <c r="H77">
        <v>437.142</v>
      </c>
      <c r="I77">
        <v>0</v>
      </c>
      <c r="S77">
        <v>434.99</v>
      </c>
      <c r="T77">
        <v>436.28000000000003</v>
      </c>
      <c r="U77">
        <v>726.68999999999994</v>
      </c>
      <c r="AB77">
        <f>SUMPRODUCT(DB_SOFList[[#This Row],[Plan01]:[Plan12]],$D$14:$O$14)/valUnits2</f>
        <v>0.87872900000000009</v>
      </c>
      <c r="AC77">
        <f>SUMPRODUCT(DB_SOFList[[#This Row],[Act01]:[Act12]],$P$14:$AA$14)/valUnits2</f>
        <v>1.59796</v>
      </c>
      <c r="AD77">
        <f>DB_SOFList[[#This Row],[Actual]]-DB_SOFList[[#This Row],[Plan]]</f>
        <v>0.71923099999999995</v>
      </c>
      <c r="AE77">
        <f>IF(DB_SOFList[[#This Row],[Plan]]&lt;&gt;0,DB_SOFList[[#This Row],[Actual]]/DB_SOFList[[#This Row],[Plan]],1.000011000011)</f>
        <v>1.8184901146997536</v>
      </c>
      <c r="AF77" s="34">
        <f>SUM(DB_SOFList[[#This Row],[Plan01]:[Plan12]])/valUnits2</f>
        <v>0.87872900000000009</v>
      </c>
      <c r="AG77" s="34">
        <f>SUMPRODUCT(DB_SOFList[[#This Row],[Act01]:[Act12]],$P$13:$AA$13)/valUnits2</f>
        <v>1.59796</v>
      </c>
      <c r="AH77" s="34">
        <f>IF(DB_SOFList[[#This Row],[FYPlan]]&lt;&gt;0,DB_SOFList[[#This Row],[FYActuals]]/DB_SOFList[[#This Row],[FYPlan]],1.000011000011)</f>
        <v>1.8184901146997536</v>
      </c>
    </row>
    <row r="78" spans="1:34" x14ac:dyDescent="0.2">
      <c r="A78">
        <f>SUBTOTAL(3,$B$16:B78)</f>
        <v>17</v>
      </c>
      <c r="B78" t="s">
        <v>1</v>
      </c>
      <c r="C78" t="s">
        <v>854</v>
      </c>
      <c r="D78">
        <v>10.851000000000001</v>
      </c>
      <c r="E78">
        <v>387.96699999999998</v>
      </c>
      <c r="F78">
        <v>140.29400000000001</v>
      </c>
      <c r="G78">
        <v>12380.616</v>
      </c>
      <c r="H78">
        <v>2423.4120000000003</v>
      </c>
      <c r="I78">
        <v>4352.5360000000001</v>
      </c>
      <c r="J78">
        <v>4352.5360000000001</v>
      </c>
      <c r="K78">
        <v>4352.5360000000001</v>
      </c>
      <c r="L78">
        <v>4352.5360000000001</v>
      </c>
      <c r="M78">
        <v>4352.5360000000001</v>
      </c>
      <c r="N78">
        <v>4352.5360000000001</v>
      </c>
      <c r="O78">
        <v>4352.5360000000001</v>
      </c>
      <c r="P78">
        <v>10.9</v>
      </c>
      <c r="Q78">
        <v>395.52</v>
      </c>
      <c r="R78">
        <v>139.77000000000001</v>
      </c>
      <c r="S78">
        <v>12434.76</v>
      </c>
      <c r="T78">
        <v>2412.92</v>
      </c>
      <c r="U78">
        <v>1272.7299999999998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f>SUMPRODUCT(DB_SOFList[[#This Row],[Plan01]:[Plan12]],$D$14:$O$14)/valUnits2</f>
        <v>19.695675999999999</v>
      </c>
      <c r="AC78">
        <f>SUMPRODUCT(DB_SOFList[[#This Row],[Act01]:[Act12]],$P$14:$AA$14)/valUnits2</f>
        <v>16.666600000000003</v>
      </c>
      <c r="AD78">
        <f>DB_SOFList[[#This Row],[Actual]]-DB_SOFList[[#This Row],[Plan]]</f>
        <v>-3.0290759999999963</v>
      </c>
      <c r="AE78">
        <f>IF(DB_SOFList[[#This Row],[Plan]]&lt;&gt;0,DB_SOFList[[#This Row],[Actual]]/DB_SOFList[[#This Row],[Plan]],1.000011000011)</f>
        <v>0.84620604035119196</v>
      </c>
      <c r="AF78" s="34">
        <f>SUM(DB_SOFList[[#This Row],[Plan01]:[Plan12]])/valUnits2</f>
        <v>45.810892000000003</v>
      </c>
      <c r="AG78" s="34">
        <f>SUMPRODUCT(DB_SOFList[[#This Row],[Act01]:[Act12]],$P$13:$AA$13)/valUnits2</f>
        <v>16.666600000000003</v>
      </c>
      <c r="AH78" s="34">
        <f>IF(DB_SOFList[[#This Row],[FYPlan]]&lt;&gt;0,DB_SOFList[[#This Row],[FYActuals]]/DB_SOFList[[#This Row],[FYPlan]],1.000011000011)</f>
        <v>0.36381304254018892</v>
      </c>
    </row>
    <row r="79" spans="1:34" hidden="1" x14ac:dyDescent="0.2">
      <c r="A79">
        <f>SUBTOTAL(3,$B$16:B79)</f>
        <v>17</v>
      </c>
      <c r="B79" t="s">
        <v>351</v>
      </c>
      <c r="C79" t="s">
        <v>854</v>
      </c>
      <c r="E79">
        <v>0</v>
      </c>
      <c r="F79">
        <v>0</v>
      </c>
      <c r="G79">
        <v>2665.0970000000002</v>
      </c>
      <c r="H79">
        <v>637.92599999999993</v>
      </c>
      <c r="I79">
        <v>2471.6570000000002</v>
      </c>
      <c r="J79">
        <v>2471.6570000000002</v>
      </c>
      <c r="K79">
        <v>2471.6570000000002</v>
      </c>
      <c r="L79">
        <v>2471.6570000000002</v>
      </c>
      <c r="M79">
        <v>2471.6570000000002</v>
      </c>
      <c r="N79">
        <v>2471.6570000000002</v>
      </c>
      <c r="O79">
        <v>2471.6570000000002</v>
      </c>
      <c r="Q79">
        <v>0</v>
      </c>
      <c r="R79">
        <v>0</v>
      </c>
      <c r="S79">
        <v>2682.84</v>
      </c>
      <c r="T79">
        <v>603.18999999999994</v>
      </c>
      <c r="U79">
        <v>1522.3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f>SUMPRODUCT(DB_SOFList[[#This Row],[Plan01]:[Plan12]],$D$14:$O$14)/valUnits2</f>
        <v>5.77468</v>
      </c>
      <c r="AC79">
        <f>SUMPRODUCT(DB_SOFList[[#This Row],[Act01]:[Act12]],$P$14:$AA$14)/valUnits2</f>
        <v>4.8083299999999998</v>
      </c>
      <c r="AD79">
        <f>DB_SOFList[[#This Row],[Actual]]-DB_SOFList[[#This Row],[Plan]]</f>
        <v>-0.96635000000000026</v>
      </c>
      <c r="AE79">
        <f>IF(DB_SOFList[[#This Row],[Plan]]&lt;&gt;0,DB_SOFList[[#This Row],[Actual]]/DB_SOFList[[#This Row],[Plan]],1.000011000011)</f>
        <v>0.83265739400278449</v>
      </c>
      <c r="AF79" s="34">
        <f>SUM(DB_SOFList[[#This Row],[Plan01]:[Plan12]])/valUnits2</f>
        <v>20.604621999999996</v>
      </c>
      <c r="AG79" s="34">
        <f>SUMPRODUCT(DB_SOFList[[#This Row],[Act01]:[Act12]],$P$13:$AA$13)/valUnits2</f>
        <v>4.8083299999999998</v>
      </c>
      <c r="AH79" s="34">
        <f>IF(DB_SOFList[[#This Row],[FYPlan]]&lt;&gt;0,DB_SOFList[[#This Row],[FYActuals]]/DB_SOFList[[#This Row],[FYPlan]],1.000011000011)</f>
        <v>0.23336171855033305</v>
      </c>
    </row>
    <row r="80" spans="1:34" hidden="1" x14ac:dyDescent="0.2">
      <c r="A80">
        <f>SUBTOTAL(3,$B$16:B80)</f>
        <v>17</v>
      </c>
      <c r="B80" t="s">
        <v>349</v>
      </c>
      <c r="C80" t="s">
        <v>854</v>
      </c>
      <c r="D80">
        <v>10.851000000000001</v>
      </c>
      <c r="E80">
        <v>387.96699999999998</v>
      </c>
      <c r="F80">
        <v>140.29400000000001</v>
      </c>
      <c r="G80">
        <v>9715.5190000000002</v>
      </c>
      <c r="H80">
        <v>1785.4860000000001</v>
      </c>
      <c r="I80">
        <v>1880.8790000000001</v>
      </c>
      <c r="J80">
        <v>1880.8790000000001</v>
      </c>
      <c r="K80">
        <v>1880.8790000000001</v>
      </c>
      <c r="L80">
        <v>1880.8790000000001</v>
      </c>
      <c r="M80">
        <v>1880.8790000000001</v>
      </c>
      <c r="N80">
        <v>1880.8790000000001</v>
      </c>
      <c r="O80">
        <v>1880.8790000000001</v>
      </c>
      <c r="P80">
        <v>10.9</v>
      </c>
      <c r="Q80">
        <v>395.52</v>
      </c>
      <c r="R80">
        <v>139.77000000000001</v>
      </c>
      <c r="S80">
        <v>9751.92</v>
      </c>
      <c r="T80">
        <v>1809.73</v>
      </c>
      <c r="U80">
        <v>-250.13000000000008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f>SUMPRODUCT(DB_SOFList[[#This Row],[Plan01]:[Plan12]],$D$14:$O$14)/valUnits2</f>
        <v>13.920996000000001</v>
      </c>
      <c r="AC80">
        <f>SUMPRODUCT(DB_SOFList[[#This Row],[Act01]:[Act12]],$P$14:$AA$14)/valUnits2</f>
        <v>11.857710000000001</v>
      </c>
      <c r="AD80">
        <f>DB_SOFList[[#This Row],[Actual]]-DB_SOFList[[#This Row],[Plan]]</f>
        <v>-2.0632859999999997</v>
      </c>
      <c r="AE80">
        <f>IF(DB_SOFList[[#This Row],[Plan]]&lt;&gt;0,DB_SOFList[[#This Row],[Actual]]/DB_SOFList[[#This Row],[Plan]],1.000011000011)</f>
        <v>0.85178603599914837</v>
      </c>
      <c r="AF80" s="34">
        <f>SUM(DB_SOFList[[#This Row],[Plan01]:[Plan12]])/valUnits2</f>
        <v>25.206270000000004</v>
      </c>
      <c r="AG80" s="34">
        <f>SUMPRODUCT(DB_SOFList[[#This Row],[Act01]:[Act12]],$P$13:$AA$13)/valUnits2</f>
        <v>11.857710000000001</v>
      </c>
      <c r="AH80" s="34">
        <f>IF(DB_SOFList[[#This Row],[FYPlan]]&lt;&gt;0,DB_SOFList[[#This Row],[FYActuals]]/DB_SOFList[[#This Row],[FYPlan]],1.000011000011)</f>
        <v>0.47042700090096629</v>
      </c>
    </row>
    <row r="81" spans="1:34" hidden="1" x14ac:dyDescent="0.2">
      <c r="A81">
        <f>SUBTOTAL(3,$B$16:B81)</f>
        <v>17</v>
      </c>
      <c r="B81" t="s">
        <v>350</v>
      </c>
      <c r="C81" t="s">
        <v>854</v>
      </c>
      <c r="I81">
        <v>0</v>
      </c>
      <c r="U81">
        <v>0.56000000000000005</v>
      </c>
      <c r="AB81">
        <f>SUMPRODUCT(DB_SOFList[[#This Row],[Plan01]:[Plan12]],$D$14:$O$14)/valUnits2</f>
        <v>0</v>
      </c>
      <c r="AC81">
        <f>SUMPRODUCT(DB_SOFList[[#This Row],[Act01]:[Act12]],$P$14:$AA$14)/valUnits2</f>
        <v>5.6000000000000006E-4</v>
      </c>
      <c r="AD81">
        <f>DB_SOFList[[#This Row],[Actual]]-DB_SOFList[[#This Row],[Plan]]</f>
        <v>5.6000000000000006E-4</v>
      </c>
      <c r="AE81">
        <f>IF(DB_SOFList[[#This Row],[Plan]]&lt;&gt;0,DB_SOFList[[#This Row],[Actual]]/DB_SOFList[[#This Row],[Plan]],1.000011000011)</f>
        <v>1.0000110000110001</v>
      </c>
      <c r="AF81" s="34">
        <f>SUM(DB_SOFList[[#This Row],[Plan01]:[Plan12]])/valUnits2</f>
        <v>0</v>
      </c>
      <c r="AG81" s="34">
        <f>SUMPRODUCT(DB_SOFList[[#This Row],[Act01]:[Act12]],$P$13:$AA$13)/valUnits2</f>
        <v>5.6000000000000006E-4</v>
      </c>
      <c r="AH81" s="34">
        <f>IF(DB_SOFList[[#This Row],[FYPlan]]&lt;&gt;0,DB_SOFList[[#This Row],[FYActuals]]/DB_SOFList[[#This Row],[FYPlan]],1.000011000011)</f>
        <v>1.0000110000110001</v>
      </c>
    </row>
    <row r="82" spans="1:34" x14ac:dyDescent="0.2">
      <c r="A82">
        <f>SUBTOTAL(3,$B$16:B82)</f>
        <v>18</v>
      </c>
      <c r="B82" t="s">
        <v>1</v>
      </c>
      <c r="C82" t="s">
        <v>855</v>
      </c>
      <c r="D82">
        <v>24265.008999999998</v>
      </c>
      <c r="E82">
        <v>34510.915000000001</v>
      </c>
      <c r="F82">
        <v>13506.010000000009</v>
      </c>
      <c r="G82">
        <v>22031.364000000001</v>
      </c>
      <c r="H82">
        <v>37472.788999999982</v>
      </c>
      <c r="I82">
        <v>27863.66</v>
      </c>
      <c r="J82">
        <v>27863.66</v>
      </c>
      <c r="K82">
        <v>27863.66</v>
      </c>
      <c r="L82">
        <v>27863.660000000003</v>
      </c>
      <c r="M82">
        <v>27863.66</v>
      </c>
      <c r="N82">
        <v>27863.66</v>
      </c>
      <c r="O82">
        <v>27863.66</v>
      </c>
      <c r="P82">
        <v>23848.47</v>
      </c>
      <c r="Q82">
        <v>35559.229999999996</v>
      </c>
      <c r="R82">
        <v>13640.069999999951</v>
      </c>
      <c r="S82">
        <v>22023.61</v>
      </c>
      <c r="T82">
        <v>37102.459999999977</v>
      </c>
      <c r="U82">
        <v>20928.22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f>SUMPRODUCT(DB_SOFList[[#This Row],[Plan01]:[Plan12]],$D$14:$O$14)/valUnits2</f>
        <v>159.64974699999999</v>
      </c>
      <c r="AC82">
        <f>SUMPRODUCT(DB_SOFList[[#This Row],[Act01]:[Act12]],$P$14:$AA$14)/valUnits2</f>
        <v>153.10205999999991</v>
      </c>
      <c r="AD82">
        <f>DB_SOFList[[#This Row],[Actual]]-DB_SOFList[[#This Row],[Plan]]</f>
        <v>-6.5476870000000815</v>
      </c>
      <c r="AE82">
        <f>IF(DB_SOFList[[#This Row],[Plan]]&lt;&gt;0,DB_SOFList[[#This Row],[Actual]]/DB_SOFList[[#This Row],[Plan]],1.000011000011)</f>
        <v>0.95898717584563364</v>
      </c>
      <c r="AF82" s="34">
        <f>SUM(DB_SOFList[[#This Row],[Plan01]:[Plan12]])/valUnits2</f>
        <v>326.83170699999994</v>
      </c>
      <c r="AG82" s="34">
        <f>SUMPRODUCT(DB_SOFList[[#This Row],[Act01]:[Act12]],$P$13:$AA$13)/valUnits2</f>
        <v>153.10205999999991</v>
      </c>
      <c r="AH82" s="34">
        <f>IF(DB_SOFList[[#This Row],[FYPlan]]&lt;&gt;0,DB_SOFList[[#This Row],[FYActuals]]/DB_SOFList[[#This Row],[FYPlan]],1.000011000011)</f>
        <v>0.46844310610292145</v>
      </c>
    </row>
    <row r="83" spans="1:34" hidden="1" x14ac:dyDescent="0.2">
      <c r="A83">
        <f>SUBTOTAL(3,$B$16:B83)</f>
        <v>18</v>
      </c>
      <c r="B83" t="s">
        <v>342</v>
      </c>
      <c r="C83" t="s">
        <v>855</v>
      </c>
      <c r="D83">
        <v>24256.228999999999</v>
      </c>
      <c r="E83">
        <v>33761.97</v>
      </c>
      <c r="F83">
        <v>12674.22800000001</v>
      </c>
      <c r="G83">
        <v>14788.233000000002</v>
      </c>
      <c r="H83">
        <v>32636.643999999982</v>
      </c>
      <c r="I83">
        <v>23632.7</v>
      </c>
      <c r="J83">
        <v>23632.7</v>
      </c>
      <c r="K83">
        <v>23632.7</v>
      </c>
      <c r="L83">
        <v>23632.700000000004</v>
      </c>
      <c r="M83">
        <v>23632.7</v>
      </c>
      <c r="N83">
        <v>23632.7</v>
      </c>
      <c r="O83">
        <v>23632.7</v>
      </c>
      <c r="P83">
        <v>23839.82</v>
      </c>
      <c r="Q83">
        <v>34794.579999999994</v>
      </c>
      <c r="R83">
        <v>12800.759999999951</v>
      </c>
      <c r="S83">
        <v>14727.63</v>
      </c>
      <c r="T83">
        <v>32272.529999999977</v>
      </c>
      <c r="U83">
        <v>17845.86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f>SUMPRODUCT(DB_SOFList[[#This Row],[Plan01]:[Plan12]],$D$14:$O$14)/valUnits2</f>
        <v>141.75000400000002</v>
      </c>
      <c r="AC83">
        <f>SUMPRODUCT(DB_SOFList[[#This Row],[Act01]:[Act12]],$P$14:$AA$14)/valUnits2</f>
        <v>136.28117999999992</v>
      </c>
      <c r="AD83">
        <f>DB_SOFList[[#This Row],[Actual]]-DB_SOFList[[#This Row],[Plan]]</f>
        <v>-5.4688240000000974</v>
      </c>
      <c r="AE83">
        <f>IF(DB_SOFList[[#This Row],[Plan]]&lt;&gt;0,DB_SOFList[[#This Row],[Actual]]/DB_SOFList[[#This Row],[Plan]],1.000011000011)</f>
        <v>0.96141923212926261</v>
      </c>
      <c r="AF83" s="34">
        <f>SUM(DB_SOFList[[#This Row],[Plan01]:[Plan12]])/valUnits2</f>
        <v>283.5462040000001</v>
      </c>
      <c r="AG83" s="34">
        <f>SUMPRODUCT(DB_SOFList[[#This Row],[Act01]:[Act12]],$P$13:$AA$13)/valUnits2</f>
        <v>136.28117999999992</v>
      </c>
      <c r="AH83" s="34">
        <f>IF(DB_SOFList[[#This Row],[FYPlan]]&lt;&gt;0,DB_SOFList[[#This Row],[FYActuals]]/DB_SOFList[[#This Row],[FYPlan]],1.000011000011)</f>
        <v>0.48063129774786145</v>
      </c>
    </row>
    <row r="84" spans="1:34" hidden="1" x14ac:dyDescent="0.2">
      <c r="A84">
        <f>SUBTOTAL(3,$B$16:B84)</f>
        <v>18</v>
      </c>
      <c r="B84" t="s">
        <v>351</v>
      </c>
      <c r="C84" t="s">
        <v>855</v>
      </c>
      <c r="D84">
        <v>8.7799999999999994</v>
      </c>
      <c r="E84">
        <v>748.94499999999994</v>
      </c>
      <c r="F84">
        <v>831.78199999999993</v>
      </c>
      <c r="G84">
        <v>7243.1309999999994</v>
      </c>
      <c r="H84">
        <v>4836.1449999999995</v>
      </c>
      <c r="I84">
        <v>4230.96</v>
      </c>
      <c r="J84">
        <v>4230.96</v>
      </c>
      <c r="K84">
        <v>4230.96</v>
      </c>
      <c r="L84">
        <v>4230.96</v>
      </c>
      <c r="M84">
        <v>4230.96</v>
      </c>
      <c r="N84">
        <v>4230.96</v>
      </c>
      <c r="O84">
        <v>4230.96</v>
      </c>
      <c r="P84">
        <v>8.65</v>
      </c>
      <c r="Q84">
        <v>764.65</v>
      </c>
      <c r="R84">
        <v>839.31000000000006</v>
      </c>
      <c r="S84">
        <v>7295.9800000000005</v>
      </c>
      <c r="T84">
        <v>4829.93</v>
      </c>
      <c r="U84">
        <v>3080.9100000000008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f>SUMPRODUCT(DB_SOFList[[#This Row],[Plan01]:[Plan12]],$D$14:$O$14)/valUnits2</f>
        <v>17.899742999999997</v>
      </c>
      <c r="AC84">
        <f>SUMPRODUCT(DB_SOFList[[#This Row],[Act01]:[Act12]],$P$14:$AA$14)/valUnits2</f>
        <v>16.819430000000001</v>
      </c>
      <c r="AD84">
        <f>DB_SOFList[[#This Row],[Actual]]-DB_SOFList[[#This Row],[Plan]]</f>
        <v>-1.0803129999999967</v>
      </c>
      <c r="AE84">
        <f>IF(DB_SOFList[[#This Row],[Plan]]&lt;&gt;0,DB_SOFList[[#This Row],[Actual]]/DB_SOFList[[#This Row],[Plan]],1.000011000011)</f>
        <v>0.93964645190715879</v>
      </c>
      <c r="AF84" s="34">
        <f>SUM(DB_SOFList[[#This Row],[Plan01]:[Plan12]])/valUnits2</f>
        <v>43.285502999999999</v>
      </c>
      <c r="AG84" s="34">
        <f>SUMPRODUCT(DB_SOFList[[#This Row],[Act01]:[Act12]],$P$13:$AA$13)/valUnits2</f>
        <v>16.819430000000001</v>
      </c>
      <c r="AH84" s="34">
        <f>IF(DB_SOFList[[#This Row],[FYPlan]]&lt;&gt;0,DB_SOFList[[#This Row],[FYActuals]]/DB_SOFList[[#This Row],[FYPlan]],1.000011000011)</f>
        <v>0.38856958645022566</v>
      </c>
    </row>
    <row r="85" spans="1:34" hidden="1" x14ac:dyDescent="0.2">
      <c r="A85">
        <f>SUBTOTAL(3,$B$16:B85)</f>
        <v>18</v>
      </c>
      <c r="B85" t="s">
        <v>350</v>
      </c>
      <c r="C85" t="s">
        <v>855</v>
      </c>
      <c r="I85">
        <v>0</v>
      </c>
      <c r="U85">
        <v>1.4500000000000455</v>
      </c>
      <c r="AB85">
        <f>SUMPRODUCT(DB_SOFList[[#This Row],[Plan01]:[Plan12]],$D$14:$O$14)/valUnits2</f>
        <v>0</v>
      </c>
      <c r="AC85">
        <f>SUMPRODUCT(DB_SOFList[[#This Row],[Act01]:[Act12]],$P$14:$AA$14)/valUnits2</f>
        <v>1.4500000000000454E-3</v>
      </c>
      <c r="AD85">
        <f>DB_SOFList[[#This Row],[Actual]]-DB_SOFList[[#This Row],[Plan]]</f>
        <v>1.4500000000000454E-3</v>
      </c>
      <c r="AE85">
        <f>IF(DB_SOFList[[#This Row],[Plan]]&lt;&gt;0,DB_SOFList[[#This Row],[Actual]]/DB_SOFList[[#This Row],[Plan]],1.000011000011)</f>
        <v>1.0000110000110001</v>
      </c>
      <c r="AF85" s="34">
        <f>SUM(DB_SOFList[[#This Row],[Plan01]:[Plan12]])/valUnits2</f>
        <v>0</v>
      </c>
      <c r="AG85" s="34">
        <f>SUMPRODUCT(DB_SOFList[[#This Row],[Act01]:[Act12]],$P$13:$AA$13)/valUnits2</f>
        <v>1.4500000000000454E-3</v>
      </c>
      <c r="AH85" s="34">
        <f>IF(DB_SOFList[[#This Row],[FYPlan]]&lt;&gt;0,DB_SOFList[[#This Row],[FYActuals]]/DB_SOFList[[#This Row],[FYPlan]],1.000011000011)</f>
        <v>1.0000110000110001</v>
      </c>
    </row>
    <row r="86" spans="1:34" x14ac:dyDescent="0.2">
      <c r="A86">
        <f>SUBTOTAL(3,$B$16:B86)</f>
        <v>19</v>
      </c>
      <c r="B86" t="s">
        <v>1</v>
      </c>
      <c r="C86" t="s">
        <v>367</v>
      </c>
      <c r="D86">
        <v>1909.7419999999997</v>
      </c>
      <c r="E86">
        <v>64419.615999999995</v>
      </c>
      <c r="F86">
        <v>27810.746000000003</v>
      </c>
      <c r="G86">
        <v>34509.28899999999</v>
      </c>
      <c r="H86">
        <v>74811.926999999996</v>
      </c>
      <c r="I86">
        <v>8130.2859999999991</v>
      </c>
      <c r="J86">
        <v>7500.8200000000006</v>
      </c>
      <c r="K86">
        <v>7226.7739999999994</v>
      </c>
      <c r="L86">
        <v>7338.9439999999995</v>
      </c>
      <c r="M86">
        <v>0</v>
      </c>
      <c r="P86">
        <v>1877.9800000000002</v>
      </c>
      <c r="Q86">
        <v>66015.76999999999</v>
      </c>
      <c r="R86">
        <v>28203.75</v>
      </c>
      <c r="S86">
        <v>34231.129999999997</v>
      </c>
      <c r="T86">
        <v>74403.510000000009</v>
      </c>
      <c r="U86">
        <v>6629.3300000000027</v>
      </c>
      <c r="V86">
        <v>0</v>
      </c>
      <c r="W86">
        <v>0</v>
      </c>
      <c r="X86">
        <v>0</v>
      </c>
      <c r="Y86">
        <v>0</v>
      </c>
      <c r="AB86">
        <f>SUMPRODUCT(DB_SOFList[[#This Row],[Plan01]:[Plan12]],$D$14:$O$14)/valUnits2</f>
        <v>211.59160599999998</v>
      </c>
      <c r="AC86">
        <f>SUMPRODUCT(DB_SOFList[[#This Row],[Act01]:[Act12]],$P$14:$AA$14)/valUnits2</f>
        <v>211.36147</v>
      </c>
      <c r="AD86">
        <f>DB_SOFList[[#This Row],[Actual]]-DB_SOFList[[#This Row],[Plan]]</f>
        <v>-0.23013599999998746</v>
      </c>
      <c r="AE86">
        <f>IF(DB_SOFList[[#This Row],[Plan]]&lt;&gt;0,DB_SOFList[[#This Row],[Actual]]/DB_SOFList[[#This Row],[Plan]],1.000011000011)</f>
        <v>0.99891235761025421</v>
      </c>
      <c r="AF86" s="34">
        <f>SUM(DB_SOFList[[#This Row],[Plan01]:[Plan12]])/valUnits2</f>
        <v>233.65814399999996</v>
      </c>
      <c r="AG86" s="34">
        <f>SUMPRODUCT(DB_SOFList[[#This Row],[Act01]:[Act12]],$P$13:$AA$13)/valUnits2</f>
        <v>211.36147</v>
      </c>
      <c r="AH86" s="34">
        <f>IF(DB_SOFList[[#This Row],[FYPlan]]&lt;&gt;0,DB_SOFList[[#This Row],[FYActuals]]/DB_SOFList[[#This Row],[FYPlan]],1.000011000011)</f>
        <v>0.90457566075676787</v>
      </c>
    </row>
    <row r="87" spans="1:34" hidden="1" x14ac:dyDescent="0.2">
      <c r="A87">
        <f>SUBTOTAL(3,$B$16:B87)</f>
        <v>19</v>
      </c>
      <c r="B87" t="s">
        <v>342</v>
      </c>
      <c r="C87" t="s">
        <v>367</v>
      </c>
      <c r="D87">
        <v>1909.7419999999997</v>
      </c>
      <c r="E87">
        <v>62574.987999999998</v>
      </c>
      <c r="F87">
        <v>25593.973000000002</v>
      </c>
      <c r="G87">
        <v>33726.641999999993</v>
      </c>
      <c r="H87">
        <v>73608.182000000001</v>
      </c>
      <c r="I87">
        <v>8130.2859999999991</v>
      </c>
      <c r="J87">
        <v>7500.8200000000006</v>
      </c>
      <c r="K87">
        <v>7226.7739999999994</v>
      </c>
      <c r="L87">
        <v>7338.9439999999995</v>
      </c>
      <c r="M87">
        <v>0</v>
      </c>
      <c r="P87">
        <v>1877.9800000000002</v>
      </c>
      <c r="Q87">
        <v>64132.459999999992</v>
      </c>
      <c r="R87">
        <v>25966.91</v>
      </c>
      <c r="S87">
        <v>33449.18</v>
      </c>
      <c r="T87">
        <v>73199.72</v>
      </c>
      <c r="U87">
        <v>5846.7600000000029</v>
      </c>
      <c r="V87">
        <v>0</v>
      </c>
      <c r="W87">
        <v>0</v>
      </c>
      <c r="X87">
        <v>0</v>
      </c>
      <c r="Y87">
        <v>0</v>
      </c>
      <c r="AB87">
        <f>SUMPRODUCT(DB_SOFList[[#This Row],[Plan01]:[Plan12]],$D$14:$O$14)/valUnits2</f>
        <v>205.543813</v>
      </c>
      <c r="AC87">
        <f>SUMPRODUCT(DB_SOFList[[#This Row],[Act01]:[Act12]],$P$14:$AA$14)/valUnits2</f>
        <v>204.47301000000002</v>
      </c>
      <c r="AD87">
        <f>DB_SOFList[[#This Row],[Actual]]-DB_SOFList[[#This Row],[Plan]]</f>
        <v>-1.0708029999999837</v>
      </c>
      <c r="AE87">
        <f>IF(DB_SOFList[[#This Row],[Plan]]&lt;&gt;0,DB_SOFList[[#This Row],[Actual]]/DB_SOFList[[#This Row],[Plan]],1.000011000011)</f>
        <v>0.99479039050423779</v>
      </c>
      <c r="AF87" s="34">
        <f>SUM(DB_SOFList[[#This Row],[Plan01]:[Plan12]])/valUnits2</f>
        <v>227.61035100000001</v>
      </c>
      <c r="AG87" s="34">
        <f>SUMPRODUCT(DB_SOFList[[#This Row],[Act01]:[Act12]],$P$13:$AA$13)/valUnits2</f>
        <v>204.47301000000002</v>
      </c>
      <c r="AH87" s="34">
        <f>IF(DB_SOFList[[#This Row],[FYPlan]]&lt;&gt;0,DB_SOFList[[#This Row],[FYActuals]]/DB_SOFList[[#This Row],[FYPlan]],1.000011000011)</f>
        <v>0.89834671007558886</v>
      </c>
    </row>
    <row r="88" spans="1:34" hidden="1" x14ac:dyDescent="0.2">
      <c r="A88">
        <f>SUBTOTAL(3,$B$16:B88)</f>
        <v>19</v>
      </c>
      <c r="B88" t="s">
        <v>351</v>
      </c>
      <c r="C88" t="s">
        <v>367</v>
      </c>
      <c r="D88">
        <v>0</v>
      </c>
      <c r="G88">
        <v>782.64699999999993</v>
      </c>
      <c r="H88">
        <v>1051.2530000000002</v>
      </c>
      <c r="I88">
        <v>0</v>
      </c>
      <c r="J88">
        <v>0</v>
      </c>
      <c r="M88">
        <v>0</v>
      </c>
      <c r="P88">
        <v>0</v>
      </c>
      <c r="S88">
        <v>781.95</v>
      </c>
      <c r="T88">
        <v>1050.52</v>
      </c>
      <c r="U88">
        <v>781.87999999999988</v>
      </c>
      <c r="V88">
        <v>0</v>
      </c>
      <c r="Y88">
        <v>0</v>
      </c>
      <c r="AB88">
        <f>SUMPRODUCT(DB_SOFList[[#This Row],[Plan01]:[Plan12]],$D$14:$O$14)/valUnits2</f>
        <v>1.8339000000000001</v>
      </c>
      <c r="AC88">
        <f>SUMPRODUCT(DB_SOFList[[#This Row],[Act01]:[Act12]],$P$14:$AA$14)/valUnits2</f>
        <v>2.61435</v>
      </c>
      <c r="AD88">
        <f>DB_SOFList[[#This Row],[Actual]]-DB_SOFList[[#This Row],[Plan]]</f>
        <v>0.78044999999999987</v>
      </c>
      <c r="AE88">
        <f>IF(DB_SOFList[[#This Row],[Plan]]&lt;&gt;0,DB_SOFList[[#This Row],[Actual]]/DB_SOFList[[#This Row],[Plan]],1.000011000011)</f>
        <v>1.4255684606576149</v>
      </c>
      <c r="AF88" s="34">
        <f>SUM(DB_SOFList[[#This Row],[Plan01]:[Plan12]])/valUnits2</f>
        <v>1.8339000000000001</v>
      </c>
      <c r="AG88" s="34">
        <f>SUMPRODUCT(DB_SOFList[[#This Row],[Act01]:[Act12]],$P$13:$AA$13)/valUnits2</f>
        <v>2.61435</v>
      </c>
      <c r="AH88" s="34">
        <f>IF(DB_SOFList[[#This Row],[FYPlan]]&lt;&gt;0,DB_SOFList[[#This Row],[FYActuals]]/DB_SOFList[[#This Row],[FYPlan]],1.000011000011)</f>
        <v>1.4255684606576149</v>
      </c>
    </row>
    <row r="89" spans="1:34" hidden="1" x14ac:dyDescent="0.2">
      <c r="A89">
        <f>SUBTOTAL(3,$B$16:B89)</f>
        <v>19</v>
      </c>
      <c r="B89" t="s">
        <v>350</v>
      </c>
      <c r="C89" t="s">
        <v>367</v>
      </c>
      <c r="D89">
        <v>0</v>
      </c>
      <c r="E89">
        <v>1844.6279999999999</v>
      </c>
      <c r="F89">
        <v>2216.7730000000001</v>
      </c>
      <c r="G89">
        <v>0</v>
      </c>
      <c r="H89">
        <v>152.49199999999999</v>
      </c>
      <c r="I89">
        <v>0</v>
      </c>
      <c r="J89">
        <v>0</v>
      </c>
      <c r="M89">
        <v>0</v>
      </c>
      <c r="P89">
        <v>0</v>
      </c>
      <c r="Q89">
        <v>1883.31</v>
      </c>
      <c r="R89">
        <v>2236.8399999999997</v>
      </c>
      <c r="S89">
        <v>0</v>
      </c>
      <c r="T89">
        <v>153.27000000000001</v>
      </c>
      <c r="U89">
        <v>0.69</v>
      </c>
      <c r="V89">
        <v>0</v>
      </c>
      <c r="Y89">
        <v>0</v>
      </c>
      <c r="AB89">
        <f>SUMPRODUCT(DB_SOFList[[#This Row],[Plan01]:[Plan12]],$D$14:$O$14)/valUnits2</f>
        <v>4.2138929999999997</v>
      </c>
      <c r="AC89">
        <f>SUMPRODUCT(DB_SOFList[[#This Row],[Act01]:[Act12]],$P$14:$AA$14)/valUnits2</f>
        <v>4.2741099999999994</v>
      </c>
      <c r="AD89">
        <f>DB_SOFList[[#This Row],[Actual]]-DB_SOFList[[#This Row],[Plan]]</f>
        <v>6.0216999999999743E-2</v>
      </c>
      <c r="AE89">
        <f>IF(DB_SOFList[[#This Row],[Plan]]&lt;&gt;0,DB_SOFList[[#This Row],[Actual]]/DB_SOFList[[#This Row],[Plan]],1.000011000011)</f>
        <v>1.0142901113056264</v>
      </c>
      <c r="AF89" s="34">
        <f>SUM(DB_SOFList[[#This Row],[Plan01]:[Plan12]])/valUnits2</f>
        <v>4.2138929999999997</v>
      </c>
      <c r="AG89" s="34">
        <f>SUMPRODUCT(DB_SOFList[[#This Row],[Act01]:[Act12]],$P$13:$AA$13)/valUnits2</f>
        <v>4.2741099999999994</v>
      </c>
      <c r="AH89" s="34">
        <f>IF(DB_SOFList[[#This Row],[FYPlan]]&lt;&gt;0,DB_SOFList[[#This Row],[FYActuals]]/DB_SOFList[[#This Row],[FYPlan]],1.000011000011)</f>
        <v>1.0142901113056264</v>
      </c>
    </row>
    <row r="90" spans="1:34" x14ac:dyDescent="0.2">
      <c r="A90">
        <f>SUBTOTAL(3,$B$16:B90)</f>
        <v>20</v>
      </c>
      <c r="B90" t="s">
        <v>1</v>
      </c>
      <c r="C90" t="s">
        <v>856</v>
      </c>
      <c r="D90">
        <v>240888.10100000014</v>
      </c>
      <c r="E90">
        <v>197930.742</v>
      </c>
      <c r="F90">
        <v>298393.69300000009</v>
      </c>
      <c r="G90">
        <v>1932706.76</v>
      </c>
      <c r="H90">
        <v>343966.89199999999</v>
      </c>
      <c r="I90">
        <v>146708.76799999998</v>
      </c>
      <c r="J90">
        <v>1567975.1400000001</v>
      </c>
      <c r="K90">
        <v>174592.18200000006</v>
      </c>
      <c r="L90">
        <v>174592.18200000003</v>
      </c>
      <c r="M90">
        <v>1412400.4679999999</v>
      </c>
      <c r="N90">
        <v>174592.18200000003</v>
      </c>
      <c r="O90">
        <v>1528099.9599999997</v>
      </c>
      <c r="P90">
        <v>117107.87999999999</v>
      </c>
      <c r="Q90">
        <v>75538.51999999996</v>
      </c>
      <c r="R90">
        <v>173635.18000000011</v>
      </c>
      <c r="S90">
        <v>166174.55000000002</v>
      </c>
      <c r="T90">
        <v>191941.11999999997</v>
      </c>
      <c r="U90">
        <v>2515275.3400000003</v>
      </c>
      <c r="V90">
        <v>9022.2099999999991</v>
      </c>
      <c r="W90">
        <v>0</v>
      </c>
      <c r="X90">
        <v>0</v>
      </c>
      <c r="Y90">
        <v>0</v>
      </c>
      <c r="Z90">
        <v>0</v>
      </c>
      <c r="AA90">
        <v>0</v>
      </c>
      <c r="AB90">
        <f>SUMPRODUCT(DB_SOFList[[#This Row],[Plan01]:[Plan12]],$D$14:$O$14)/valUnits2</f>
        <v>3160.5949560000004</v>
      </c>
      <c r="AC90">
        <f>SUMPRODUCT(DB_SOFList[[#This Row],[Act01]:[Act12]],$P$14:$AA$14)/valUnits2</f>
        <v>3239.6725900000001</v>
      </c>
      <c r="AD90">
        <f>DB_SOFList[[#This Row],[Actual]]-DB_SOFList[[#This Row],[Plan]]</f>
        <v>79.077633999999762</v>
      </c>
      <c r="AE90">
        <f>IF(DB_SOFList[[#This Row],[Plan]]&lt;&gt;0,DB_SOFList[[#This Row],[Actual]]/DB_SOFList[[#This Row],[Plan]],1.000011000011)</f>
        <v>1.0250198570525086</v>
      </c>
      <c r="AF90" s="34">
        <f>SUM(DB_SOFList[[#This Row],[Plan01]:[Plan12]])/valUnits2</f>
        <v>8192.8470700000016</v>
      </c>
      <c r="AG90" s="34">
        <f>SUMPRODUCT(DB_SOFList[[#This Row],[Act01]:[Act12]],$P$13:$AA$13)/valUnits2</f>
        <v>3239.6725900000001</v>
      </c>
      <c r="AH90" s="34">
        <f>IF(DB_SOFList[[#This Row],[FYPlan]]&lt;&gt;0,DB_SOFList[[#This Row],[FYActuals]]/DB_SOFList[[#This Row],[FYPlan]],1.000011000011)</f>
        <v>0.3954269574813386</v>
      </c>
    </row>
    <row r="91" spans="1:34" hidden="1" x14ac:dyDescent="0.2">
      <c r="A91">
        <f>SUBTOTAL(3,$B$16:B91)</f>
        <v>20</v>
      </c>
      <c r="B91" t="s">
        <v>351</v>
      </c>
      <c r="C91" t="s">
        <v>856</v>
      </c>
      <c r="D91">
        <v>50054.557000000001</v>
      </c>
      <c r="E91">
        <v>54283.291000000005</v>
      </c>
      <c r="F91">
        <v>59022.078000000009</v>
      </c>
      <c r="G91">
        <v>100420.93800000001</v>
      </c>
      <c r="H91">
        <v>66518.488000000027</v>
      </c>
      <c r="I91">
        <v>38497.697999999997</v>
      </c>
      <c r="J91">
        <v>38497.697999999997</v>
      </c>
      <c r="K91">
        <v>38497.697999999997</v>
      </c>
      <c r="L91">
        <v>38497.697999999997</v>
      </c>
      <c r="M91">
        <v>38497.697999999997</v>
      </c>
      <c r="N91">
        <v>38497.697999999997</v>
      </c>
      <c r="O91">
        <v>38497.637999999999</v>
      </c>
      <c r="P91">
        <v>11045.15</v>
      </c>
      <c r="Q91">
        <v>15186.759999999998</v>
      </c>
      <c r="R91">
        <v>19757.479999999996</v>
      </c>
      <c r="S91">
        <v>59614.020000000004</v>
      </c>
      <c r="T91">
        <v>27274.78000000001</v>
      </c>
      <c r="U91">
        <v>25284.170000000006</v>
      </c>
      <c r="V91">
        <v>3098</v>
      </c>
      <c r="W91">
        <v>0</v>
      </c>
      <c r="X91">
        <v>0</v>
      </c>
      <c r="Y91">
        <v>0</v>
      </c>
      <c r="Z91">
        <v>0</v>
      </c>
      <c r="AA91">
        <v>0</v>
      </c>
      <c r="AB91">
        <f>SUMPRODUCT(DB_SOFList[[#This Row],[Plan01]:[Plan12]],$D$14:$O$14)/valUnits2</f>
        <v>368.79705000000001</v>
      </c>
      <c r="AC91">
        <f>SUMPRODUCT(DB_SOFList[[#This Row],[Act01]:[Act12]],$P$14:$AA$14)/valUnits2</f>
        <v>158.16236000000001</v>
      </c>
      <c r="AD91">
        <f>DB_SOFList[[#This Row],[Actual]]-DB_SOFList[[#This Row],[Plan]]</f>
        <v>-210.63469000000001</v>
      </c>
      <c r="AE91">
        <f>IF(DB_SOFList[[#This Row],[Plan]]&lt;&gt;0,DB_SOFList[[#This Row],[Actual]]/DB_SOFList[[#This Row],[Plan]],1.000011000011)</f>
        <v>0.42886015492802887</v>
      </c>
      <c r="AF91" s="34">
        <f>SUM(DB_SOFList[[#This Row],[Plan01]:[Plan12]])/valUnits2</f>
        <v>599.78317799999991</v>
      </c>
      <c r="AG91" s="34">
        <f>SUMPRODUCT(DB_SOFList[[#This Row],[Act01]:[Act12]],$P$13:$AA$13)/valUnits2</f>
        <v>158.16236000000001</v>
      </c>
      <c r="AH91" s="34">
        <f>IF(DB_SOFList[[#This Row],[FYPlan]]&lt;&gt;0,DB_SOFList[[#This Row],[FYActuals]]/DB_SOFList[[#This Row],[FYPlan]],1.000011000011)</f>
        <v>0.26369922632274961</v>
      </c>
    </row>
    <row r="92" spans="1:34" hidden="1" x14ac:dyDescent="0.2">
      <c r="A92">
        <f>SUBTOTAL(3,$B$16:B92)</f>
        <v>20</v>
      </c>
      <c r="B92" t="s">
        <v>347</v>
      </c>
      <c r="C92" t="s">
        <v>856</v>
      </c>
      <c r="D92">
        <v>187521.65600000013</v>
      </c>
      <c r="E92">
        <v>140291.323</v>
      </c>
      <c r="F92">
        <v>236742.48300000012</v>
      </c>
      <c r="G92">
        <v>1820269.2339999999</v>
      </c>
      <c r="H92">
        <v>275168.23099999997</v>
      </c>
      <c r="I92">
        <v>108211.06999999999</v>
      </c>
      <c r="J92">
        <v>1529477.442</v>
      </c>
      <c r="K92">
        <v>136094.48400000005</v>
      </c>
      <c r="L92">
        <v>136094.48400000003</v>
      </c>
      <c r="M92">
        <v>1373902.7699999998</v>
      </c>
      <c r="N92">
        <v>136094.48400000003</v>
      </c>
      <c r="O92">
        <v>1489602.3219999997</v>
      </c>
      <c r="P92">
        <v>102931.48</v>
      </c>
      <c r="Q92">
        <v>57106.299999999952</v>
      </c>
      <c r="R92">
        <v>151338.06000000008</v>
      </c>
      <c r="S92">
        <v>94896.88</v>
      </c>
      <c r="T92">
        <v>162444.39999999997</v>
      </c>
      <c r="U92">
        <v>2489155.5100000002</v>
      </c>
      <c r="V92">
        <v>5924.21</v>
      </c>
      <c r="W92">
        <v>0</v>
      </c>
      <c r="X92">
        <v>0</v>
      </c>
      <c r="Y92">
        <v>0</v>
      </c>
      <c r="Z92">
        <v>0</v>
      </c>
      <c r="AA92">
        <v>0</v>
      </c>
      <c r="AB92">
        <f>SUMPRODUCT(DB_SOFList[[#This Row],[Plan01]:[Plan12]],$D$14:$O$14)/valUnits2</f>
        <v>2768.2039970000005</v>
      </c>
      <c r="AC92">
        <f>SUMPRODUCT(DB_SOFList[[#This Row],[Act01]:[Act12]],$P$14:$AA$14)/valUnits2</f>
        <v>3057.8726300000003</v>
      </c>
      <c r="AD92">
        <f>DB_SOFList[[#This Row],[Actual]]-DB_SOFList[[#This Row],[Plan]]</f>
        <v>289.66863299999977</v>
      </c>
      <c r="AE92">
        <f>IF(DB_SOFList[[#This Row],[Plan]]&lt;&gt;0,DB_SOFList[[#This Row],[Actual]]/DB_SOFList[[#This Row],[Plan]],1.000011000011)</f>
        <v>1.10464136072122</v>
      </c>
      <c r="AF92" s="34">
        <f>SUM(DB_SOFList[[#This Row],[Plan01]:[Plan12]])/valUnits2</f>
        <v>7569.469983</v>
      </c>
      <c r="AG92" s="34">
        <f>SUMPRODUCT(DB_SOFList[[#This Row],[Act01]:[Act12]],$P$13:$AA$13)/valUnits2</f>
        <v>3057.8726300000003</v>
      </c>
      <c r="AH92" s="34">
        <f>IF(DB_SOFList[[#This Row],[FYPlan]]&lt;&gt;0,DB_SOFList[[#This Row],[FYActuals]]/DB_SOFList[[#This Row],[FYPlan]],1.000011000011)</f>
        <v>0.40397447071823606</v>
      </c>
    </row>
    <row r="93" spans="1:34" hidden="1" x14ac:dyDescent="0.2">
      <c r="A93">
        <f>SUBTOTAL(3,$B$16:B93)</f>
        <v>20</v>
      </c>
      <c r="B93" t="s">
        <v>350</v>
      </c>
      <c r="C93" t="s">
        <v>856</v>
      </c>
      <c r="D93">
        <v>3311.8880000000004</v>
      </c>
      <c r="E93">
        <v>3356.1280000000002</v>
      </c>
      <c r="F93">
        <v>2629.1320000000005</v>
      </c>
      <c r="G93">
        <v>12016.588000000002</v>
      </c>
      <c r="H93">
        <v>2280.1729999999998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3131.25</v>
      </c>
      <c r="Q93">
        <v>3245.46</v>
      </c>
      <c r="R93">
        <v>2539.64</v>
      </c>
      <c r="S93">
        <v>11663.650000000001</v>
      </c>
      <c r="T93">
        <v>2221.94</v>
      </c>
      <c r="U93">
        <v>835.66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f>SUMPRODUCT(DB_SOFList[[#This Row],[Plan01]:[Plan12]],$D$14:$O$14)/valUnits2</f>
        <v>23.593909000000004</v>
      </c>
      <c r="AC93">
        <f>SUMPRODUCT(DB_SOFList[[#This Row],[Act01]:[Act12]],$P$14:$AA$14)/valUnits2</f>
        <v>23.637599999999999</v>
      </c>
      <c r="AD93">
        <f>DB_SOFList[[#This Row],[Actual]]-DB_SOFList[[#This Row],[Plan]]</f>
        <v>4.3690999999995483E-2</v>
      </c>
      <c r="AE93">
        <f>IF(DB_SOFList[[#This Row],[Plan]]&lt;&gt;0,DB_SOFList[[#This Row],[Actual]]/DB_SOFList[[#This Row],[Plan]],1.000011000011)</f>
        <v>1.001851791494152</v>
      </c>
      <c r="AF93" s="34">
        <f>SUM(DB_SOFList[[#This Row],[Plan01]:[Plan12]])/valUnits2</f>
        <v>23.593909000000004</v>
      </c>
      <c r="AG93" s="34">
        <f>SUMPRODUCT(DB_SOFList[[#This Row],[Act01]:[Act12]],$P$13:$AA$13)/valUnits2</f>
        <v>23.637599999999999</v>
      </c>
      <c r="AH93" s="34">
        <f>IF(DB_SOFList[[#This Row],[FYPlan]]&lt;&gt;0,DB_SOFList[[#This Row],[FYActuals]]/DB_SOFList[[#This Row],[FYPlan]],1.000011000011)</f>
        <v>1.001851791494152</v>
      </c>
    </row>
    <row r="94" spans="1:34" x14ac:dyDescent="0.2">
      <c r="A94">
        <f>SUBTOTAL(3,$B$16:B94)</f>
        <v>21</v>
      </c>
      <c r="B94" t="s">
        <v>1</v>
      </c>
      <c r="C94" t="s">
        <v>857</v>
      </c>
      <c r="D94">
        <v>-1354.71</v>
      </c>
      <c r="E94">
        <v>20341.91</v>
      </c>
      <c r="F94">
        <v>1892.3</v>
      </c>
      <c r="H94">
        <v>-22216.02</v>
      </c>
      <c r="P94">
        <v>-1354.71</v>
      </c>
      <c r="Q94">
        <v>20341.91</v>
      </c>
      <c r="R94">
        <v>1892.3</v>
      </c>
      <c r="T94">
        <v>-22216.019999999997</v>
      </c>
      <c r="AB94">
        <f>SUMPRODUCT(DB_SOFList[[#This Row],[Plan01]:[Plan12]],$D$14:$O$14)/valUnits2</f>
        <v>-1.3365200000000004</v>
      </c>
      <c r="AC94">
        <f>SUMPRODUCT(DB_SOFList[[#This Row],[Act01]:[Act12]],$P$14:$AA$14)/valUnits2</f>
        <v>-1.3365199999999968</v>
      </c>
      <c r="AD94">
        <f>DB_SOFList[[#This Row],[Actual]]-DB_SOFList[[#This Row],[Plan]]</f>
        <v>3.5527136788005009E-15</v>
      </c>
      <c r="AE94">
        <f>IF(DB_SOFList[[#This Row],[Plan]]&lt;&gt;0,DB_SOFList[[#This Row],[Actual]]/DB_SOFList[[#This Row],[Plan]],1.000011000011)</f>
        <v>0.99999999999999734</v>
      </c>
      <c r="AF94" s="34">
        <f>SUM(DB_SOFList[[#This Row],[Plan01]:[Plan12]])/valUnits2</f>
        <v>-1.3365200000000004</v>
      </c>
      <c r="AG94" s="34">
        <f>SUMPRODUCT(DB_SOFList[[#This Row],[Act01]:[Act12]],$P$13:$AA$13)/valUnits2</f>
        <v>-1.3365199999999968</v>
      </c>
      <c r="AH94" s="34">
        <f>IF(DB_SOFList[[#This Row],[FYPlan]]&lt;&gt;0,DB_SOFList[[#This Row],[FYActuals]]/DB_SOFList[[#This Row],[FYPlan]],1.000011000011)</f>
        <v>0.99999999999999734</v>
      </c>
    </row>
    <row r="95" spans="1:34" hidden="1" x14ac:dyDescent="0.2">
      <c r="A95">
        <f>SUBTOTAL(3,$B$16:B95)</f>
        <v>21</v>
      </c>
      <c r="B95" t="s">
        <v>351</v>
      </c>
      <c r="C95" t="s">
        <v>857</v>
      </c>
      <c r="D95">
        <v>-1354.71</v>
      </c>
      <c r="E95">
        <v>14552.349999999999</v>
      </c>
      <c r="F95">
        <v>1310.3</v>
      </c>
      <c r="H95">
        <v>-15262.46</v>
      </c>
      <c r="P95">
        <v>-1354.71</v>
      </c>
      <c r="Q95">
        <v>14552.35</v>
      </c>
      <c r="R95">
        <v>1310.3</v>
      </c>
      <c r="T95">
        <v>-15262.46</v>
      </c>
      <c r="AB95">
        <f>SUMPRODUCT(DB_SOFList[[#This Row],[Plan01]:[Plan12]],$D$14:$O$14)/valUnits2</f>
        <v>-0.75452000000000041</v>
      </c>
      <c r="AC95">
        <f>SUMPRODUCT(DB_SOFList[[#This Row],[Act01]:[Act12]],$P$14:$AA$14)/valUnits2</f>
        <v>-0.75452000000000041</v>
      </c>
      <c r="AD95">
        <f>DB_SOFList[[#This Row],[Actual]]-DB_SOFList[[#This Row],[Plan]]</f>
        <v>0</v>
      </c>
      <c r="AE95">
        <f>IF(DB_SOFList[[#This Row],[Plan]]&lt;&gt;0,DB_SOFList[[#This Row],[Actual]]/DB_SOFList[[#This Row],[Plan]],1.000011000011)</f>
        <v>1</v>
      </c>
      <c r="AF95" s="34">
        <f>SUM(DB_SOFList[[#This Row],[Plan01]:[Plan12]])/valUnits2</f>
        <v>-0.75452000000000041</v>
      </c>
      <c r="AG95" s="34">
        <f>SUMPRODUCT(DB_SOFList[[#This Row],[Act01]:[Act12]],$P$13:$AA$13)/valUnits2</f>
        <v>-0.75452000000000041</v>
      </c>
      <c r="AH95" s="34">
        <f>IF(DB_SOFList[[#This Row],[FYPlan]]&lt;&gt;0,DB_SOFList[[#This Row],[FYActuals]]/DB_SOFList[[#This Row],[FYPlan]],1.000011000011)</f>
        <v>1</v>
      </c>
    </row>
    <row r="96" spans="1:34" hidden="1" x14ac:dyDescent="0.2">
      <c r="A96">
        <f>SUBTOTAL(3,$B$16:B96)</f>
        <v>21</v>
      </c>
      <c r="B96" t="s">
        <v>350</v>
      </c>
      <c r="C96" t="s">
        <v>857</v>
      </c>
      <c r="D96">
        <v>0</v>
      </c>
      <c r="E96">
        <v>5789.56</v>
      </c>
      <c r="F96">
        <v>582</v>
      </c>
      <c r="H96">
        <v>-6953.56</v>
      </c>
      <c r="P96">
        <v>0</v>
      </c>
      <c r="Q96">
        <v>5789.56</v>
      </c>
      <c r="R96">
        <v>582</v>
      </c>
      <c r="T96">
        <v>-6953.5599999999995</v>
      </c>
      <c r="AB96">
        <f>SUMPRODUCT(DB_SOFList[[#This Row],[Plan01]:[Plan12]],$D$14:$O$14)/valUnits2</f>
        <v>-0.58199999999999996</v>
      </c>
      <c r="AC96">
        <f>SUMPRODUCT(DB_SOFList[[#This Row],[Act01]:[Act12]],$P$14:$AA$14)/valUnits2</f>
        <v>-0.58199999999999907</v>
      </c>
      <c r="AD96">
        <f>DB_SOFList[[#This Row],[Actual]]-DB_SOFList[[#This Row],[Plan]]</f>
        <v>8.8817841970012523E-16</v>
      </c>
      <c r="AE96">
        <f>IF(DB_SOFList[[#This Row],[Plan]]&lt;&gt;0,DB_SOFList[[#This Row],[Actual]]/DB_SOFList[[#This Row],[Plan]],1.000011000011)</f>
        <v>0.99999999999999845</v>
      </c>
      <c r="AF96" s="34">
        <f>SUM(DB_SOFList[[#This Row],[Plan01]:[Plan12]])/valUnits2</f>
        <v>-0.58199999999999996</v>
      </c>
      <c r="AG96" s="34">
        <f>SUMPRODUCT(DB_SOFList[[#This Row],[Act01]:[Act12]],$P$13:$AA$13)/valUnits2</f>
        <v>-0.58199999999999907</v>
      </c>
      <c r="AH96" s="34">
        <f>IF(DB_SOFList[[#This Row],[FYPlan]]&lt;&gt;0,DB_SOFList[[#This Row],[FYActuals]]/DB_SOFList[[#This Row],[FYPlan]],1.000011000011)</f>
        <v>0.99999999999999845</v>
      </c>
    </row>
    <row r="97" spans="1:34" x14ac:dyDescent="0.2">
      <c r="A97">
        <f>SUBTOTAL(3,$B$16:B97)</f>
        <v>22</v>
      </c>
      <c r="B97" t="s">
        <v>1</v>
      </c>
      <c r="C97" t="s">
        <v>858</v>
      </c>
      <c r="D97">
        <v>133960.85999999999</v>
      </c>
      <c r="E97">
        <v>103760.67</v>
      </c>
      <c r="F97">
        <v>53003.299999999996</v>
      </c>
      <c r="G97">
        <v>188883.16</v>
      </c>
      <c r="H97">
        <v>144051.30000000002</v>
      </c>
      <c r="I97">
        <v>218096.842</v>
      </c>
      <c r="J97">
        <v>308363.50599999999</v>
      </c>
      <c r="K97">
        <v>270186.99700000003</v>
      </c>
      <c r="L97">
        <v>246082.67200000002</v>
      </c>
      <c r="M97">
        <v>346147.84500000003</v>
      </c>
      <c r="N97">
        <v>205149.34200000003</v>
      </c>
      <c r="O97">
        <v>282018.00199999998</v>
      </c>
      <c r="P97">
        <v>133960.85999999999</v>
      </c>
      <c r="Q97">
        <v>103927.93999999999</v>
      </c>
      <c r="R97">
        <v>53124.159999999982</v>
      </c>
      <c r="S97">
        <v>189485.6100000001</v>
      </c>
      <c r="T97">
        <v>145498.30000000002</v>
      </c>
      <c r="U97">
        <v>325659.3</v>
      </c>
      <c r="V97">
        <v>16391</v>
      </c>
      <c r="W97">
        <v>0</v>
      </c>
      <c r="X97">
        <v>0</v>
      </c>
      <c r="Y97">
        <v>0</v>
      </c>
      <c r="Z97">
        <v>0</v>
      </c>
      <c r="AA97">
        <v>0</v>
      </c>
      <c r="AB97">
        <f>SUMPRODUCT(DB_SOFList[[#This Row],[Plan01]:[Plan12]],$D$14:$O$14)/valUnits2</f>
        <v>841.75613199999998</v>
      </c>
      <c r="AC97">
        <f>SUMPRODUCT(DB_SOFList[[#This Row],[Act01]:[Act12]],$P$14:$AA$14)/valUnits2</f>
        <v>951.6561700000002</v>
      </c>
      <c r="AD97">
        <f>DB_SOFList[[#This Row],[Actual]]-DB_SOFList[[#This Row],[Plan]]</f>
        <v>109.90003800000022</v>
      </c>
      <c r="AE97">
        <f>IF(DB_SOFList[[#This Row],[Plan]]&lt;&gt;0,DB_SOFList[[#This Row],[Actual]]/DB_SOFList[[#This Row],[Plan]],1.000011000011)</f>
        <v>1.1305604245957548</v>
      </c>
      <c r="AF97" s="34">
        <f>SUM(DB_SOFList[[#This Row],[Plan01]:[Plan12]])/valUnits2</f>
        <v>2499.7044959999998</v>
      </c>
      <c r="AG97" s="34">
        <f>SUMPRODUCT(DB_SOFList[[#This Row],[Act01]:[Act12]],$P$13:$AA$13)/valUnits2</f>
        <v>951.6561700000002</v>
      </c>
      <c r="AH97" s="34">
        <f>IF(DB_SOFList[[#This Row],[FYPlan]]&lt;&gt;0,DB_SOFList[[#This Row],[FYActuals]]/DB_SOFList[[#This Row],[FYPlan]],1.000011000011)</f>
        <v>0.38070746823187707</v>
      </c>
    </row>
    <row r="98" spans="1:34" hidden="1" x14ac:dyDescent="0.2">
      <c r="A98">
        <f>SUBTOTAL(3,$B$16:B98)</f>
        <v>22</v>
      </c>
      <c r="B98" t="s">
        <v>342</v>
      </c>
      <c r="C98" t="s">
        <v>858</v>
      </c>
      <c r="D98">
        <v>35391.089999999989</v>
      </c>
      <c r="E98">
        <v>45934.560000000005</v>
      </c>
      <c r="F98">
        <v>73780.570000000007</v>
      </c>
      <c r="G98">
        <v>111615.25000000001</v>
      </c>
      <c r="H98">
        <v>82321.809999999983</v>
      </c>
      <c r="I98">
        <v>141134.777</v>
      </c>
      <c r="J98">
        <v>214734.77499999997</v>
      </c>
      <c r="K98">
        <v>183398.69000000003</v>
      </c>
      <c r="L98">
        <v>167120.60700000002</v>
      </c>
      <c r="M98">
        <v>229780.32199999999</v>
      </c>
      <c r="N98">
        <v>128187.27700000002</v>
      </c>
      <c r="O98">
        <v>171722.60699999999</v>
      </c>
      <c r="P98">
        <v>35391.089999999989</v>
      </c>
      <c r="Q98">
        <v>45963.169999999984</v>
      </c>
      <c r="R98">
        <v>73974.179999999993</v>
      </c>
      <c r="S98">
        <v>111984.6700000001</v>
      </c>
      <c r="T98">
        <v>83694.689999999973</v>
      </c>
      <c r="U98">
        <v>215752.09999999998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f>SUMPRODUCT(DB_SOFList[[#This Row],[Plan01]:[Plan12]],$D$14:$O$14)/valUnits2</f>
        <v>490.17805700000002</v>
      </c>
      <c r="AC98">
        <f>SUMPRODUCT(DB_SOFList[[#This Row],[Act01]:[Act12]],$P$14:$AA$14)/valUnits2</f>
        <v>566.75990000000002</v>
      </c>
      <c r="AD98">
        <f>DB_SOFList[[#This Row],[Actual]]-DB_SOFList[[#This Row],[Plan]]</f>
        <v>76.581842999999992</v>
      </c>
      <c r="AE98">
        <f>IF(DB_SOFList[[#This Row],[Plan]]&lt;&gt;0,DB_SOFList[[#This Row],[Actual]]/DB_SOFList[[#This Row],[Plan]],1.000011000011)</f>
        <v>1.1562327034153632</v>
      </c>
      <c r="AF98" s="34">
        <f>SUM(DB_SOFList[[#This Row],[Plan01]:[Plan12]])/valUnits2</f>
        <v>1585.122335</v>
      </c>
      <c r="AG98" s="34">
        <f>SUMPRODUCT(DB_SOFList[[#This Row],[Act01]:[Act12]],$P$13:$AA$13)/valUnits2</f>
        <v>566.75990000000002</v>
      </c>
      <c r="AH98" s="34">
        <f>IF(DB_SOFList[[#This Row],[FYPlan]]&lt;&gt;0,DB_SOFList[[#This Row],[FYActuals]]/DB_SOFList[[#This Row],[FYPlan]],1.000011000011)</f>
        <v>0.35754962723429168</v>
      </c>
    </row>
    <row r="99" spans="1:34" hidden="1" x14ac:dyDescent="0.2">
      <c r="A99">
        <f>SUBTOTAL(3,$B$16:B99)</f>
        <v>22</v>
      </c>
      <c r="B99" t="s">
        <v>351</v>
      </c>
      <c r="C99" t="s">
        <v>858</v>
      </c>
      <c r="D99">
        <v>89182.61</v>
      </c>
      <c r="E99">
        <v>39860.379999999997</v>
      </c>
      <c r="F99">
        <v>-44295.790000000008</v>
      </c>
      <c r="G99">
        <v>53223.869999999988</v>
      </c>
      <c r="H99">
        <v>37310.080000000009</v>
      </c>
      <c r="I99">
        <v>34876.834999999992</v>
      </c>
      <c r="J99">
        <v>34876.834999999999</v>
      </c>
      <c r="K99">
        <v>39796.834999999992</v>
      </c>
      <c r="L99">
        <v>34876.834999999992</v>
      </c>
      <c r="M99">
        <v>34876.834999999999</v>
      </c>
      <c r="N99">
        <v>34876.834999999992</v>
      </c>
      <c r="O99">
        <v>34876.834999999992</v>
      </c>
      <c r="P99">
        <v>89182.609999999986</v>
      </c>
      <c r="Q99">
        <v>39933.130000000005</v>
      </c>
      <c r="R99">
        <v>-44368.540000000008</v>
      </c>
      <c r="S99">
        <v>53403.05</v>
      </c>
      <c r="T99">
        <v>37323.880000000012</v>
      </c>
      <c r="U99">
        <v>35959.740000000005</v>
      </c>
      <c r="V99">
        <v>16391</v>
      </c>
      <c r="W99">
        <v>0</v>
      </c>
      <c r="X99">
        <v>0</v>
      </c>
      <c r="Y99">
        <v>0</v>
      </c>
      <c r="Z99">
        <v>0</v>
      </c>
      <c r="AA99">
        <v>0</v>
      </c>
      <c r="AB99">
        <f>SUMPRODUCT(DB_SOFList[[#This Row],[Plan01]:[Plan12]],$D$14:$O$14)/valUnits2</f>
        <v>210.157985</v>
      </c>
      <c r="AC99">
        <f>SUMPRODUCT(DB_SOFList[[#This Row],[Act01]:[Act12]],$P$14:$AA$14)/valUnits2</f>
        <v>211.43386999999998</v>
      </c>
      <c r="AD99">
        <f>DB_SOFList[[#This Row],[Actual]]-DB_SOFList[[#This Row],[Plan]]</f>
        <v>1.2758849999999882</v>
      </c>
      <c r="AE99">
        <f>IF(DB_SOFList[[#This Row],[Plan]]&lt;&gt;0,DB_SOFList[[#This Row],[Actual]]/DB_SOFList[[#This Row],[Plan]],1.000011000011)</f>
        <v>1.0060710755292024</v>
      </c>
      <c r="AF99" s="34">
        <f>SUM(DB_SOFList[[#This Row],[Plan01]:[Plan12]])/valUnits2</f>
        <v>424.33899500000001</v>
      </c>
      <c r="AG99" s="34">
        <f>SUMPRODUCT(DB_SOFList[[#This Row],[Act01]:[Act12]],$P$13:$AA$13)/valUnits2</f>
        <v>211.43386999999998</v>
      </c>
      <c r="AH99" s="34">
        <f>IF(DB_SOFList[[#This Row],[FYPlan]]&lt;&gt;0,DB_SOFList[[#This Row],[FYActuals]]/DB_SOFList[[#This Row],[FYPlan]],1.000011000011)</f>
        <v>0.49826641551055184</v>
      </c>
    </row>
    <row r="100" spans="1:34" hidden="1" x14ac:dyDescent="0.2">
      <c r="A100">
        <f>SUBTOTAL(3,$B$16:B100)</f>
        <v>22</v>
      </c>
      <c r="B100" t="s">
        <v>343</v>
      </c>
      <c r="C100" t="s">
        <v>858</v>
      </c>
      <c r="D100">
        <v>7855.18</v>
      </c>
      <c r="E100">
        <v>11163.539999999999</v>
      </c>
      <c r="F100">
        <v>18728.96</v>
      </c>
      <c r="G100">
        <v>16707.73</v>
      </c>
      <c r="H100">
        <v>13666.100000000002</v>
      </c>
      <c r="I100">
        <v>34528.481</v>
      </c>
      <c r="J100">
        <v>51195.147000000004</v>
      </c>
      <c r="K100">
        <v>38476.39</v>
      </c>
      <c r="L100">
        <v>36528.481</v>
      </c>
      <c r="M100">
        <v>73933.938999999998</v>
      </c>
      <c r="N100">
        <v>34528.481</v>
      </c>
      <c r="O100">
        <v>67861.811000000002</v>
      </c>
      <c r="P100">
        <v>7855.18</v>
      </c>
      <c r="Q100">
        <v>11229.45</v>
      </c>
      <c r="R100">
        <v>18728.96</v>
      </c>
      <c r="S100">
        <v>16761.440000000002</v>
      </c>
      <c r="T100">
        <v>13726.420000000002</v>
      </c>
      <c r="U100">
        <v>64857.440000000002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f>SUMPRODUCT(DB_SOFList[[#This Row],[Plan01]:[Plan12]],$D$14:$O$14)/valUnits2</f>
        <v>102.64999100000001</v>
      </c>
      <c r="AC100">
        <f>SUMPRODUCT(DB_SOFList[[#This Row],[Act01]:[Act12]],$P$14:$AA$14)/valUnits2</f>
        <v>133.15889000000001</v>
      </c>
      <c r="AD100">
        <f>DB_SOFList[[#This Row],[Actual]]-DB_SOFList[[#This Row],[Plan]]</f>
        <v>30.508899</v>
      </c>
      <c r="AE100">
        <f>IF(DB_SOFList[[#This Row],[Plan]]&lt;&gt;0,DB_SOFList[[#This Row],[Actual]]/DB_SOFList[[#This Row],[Plan]],1.000011000011)</f>
        <v>1.297212875547159</v>
      </c>
      <c r="AF100" s="34">
        <f>SUM(DB_SOFList[[#This Row],[Plan01]:[Plan12]])/valUnits2</f>
        <v>405.17424</v>
      </c>
      <c r="AG100" s="34">
        <f>SUMPRODUCT(DB_SOFList[[#This Row],[Act01]:[Act12]],$P$13:$AA$13)/valUnits2</f>
        <v>133.15889000000001</v>
      </c>
      <c r="AH100" s="34">
        <f>IF(DB_SOFList[[#This Row],[FYPlan]]&lt;&gt;0,DB_SOFList[[#This Row],[FYActuals]]/DB_SOFList[[#This Row],[FYPlan]],1.000011000011)</f>
        <v>0.32864599190708671</v>
      </c>
    </row>
    <row r="101" spans="1:34" hidden="1" x14ac:dyDescent="0.2">
      <c r="A101">
        <f>SUBTOTAL(3,$B$16:B101)</f>
        <v>22</v>
      </c>
      <c r="B101" t="s">
        <v>346</v>
      </c>
      <c r="C101" t="s">
        <v>858</v>
      </c>
      <c r="D101">
        <v>1531.98</v>
      </c>
      <c r="E101">
        <v>2067.5500000000002</v>
      </c>
      <c r="F101">
        <v>2275.65</v>
      </c>
      <c r="G101">
        <v>2495.9199999999996</v>
      </c>
      <c r="H101">
        <v>6837.23</v>
      </c>
      <c r="I101">
        <v>6140.0830000000005</v>
      </c>
      <c r="J101">
        <v>6140.0830000000005</v>
      </c>
      <c r="K101">
        <v>7015.0829999999996</v>
      </c>
      <c r="L101">
        <v>6140.0830000000005</v>
      </c>
      <c r="M101">
        <v>6140.0830000000005</v>
      </c>
      <c r="N101">
        <v>6140.0830000000005</v>
      </c>
      <c r="O101">
        <v>6140.0829999999996</v>
      </c>
      <c r="P101">
        <v>1531.98</v>
      </c>
      <c r="Q101">
        <v>2067.5499999999997</v>
      </c>
      <c r="R101">
        <v>2275.65</v>
      </c>
      <c r="S101">
        <v>2495.92</v>
      </c>
      <c r="T101">
        <v>6837.23</v>
      </c>
      <c r="U101">
        <v>4994.3999999999996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f>SUMPRODUCT(DB_SOFList[[#This Row],[Plan01]:[Plan12]],$D$14:$O$14)/valUnits2</f>
        <v>21.348413000000001</v>
      </c>
      <c r="AC101">
        <f>SUMPRODUCT(DB_SOFList[[#This Row],[Act01]:[Act12]],$P$14:$AA$14)/valUnits2</f>
        <v>20.202729999999999</v>
      </c>
      <c r="AD101">
        <f>DB_SOFList[[#This Row],[Actual]]-DB_SOFList[[#This Row],[Plan]]</f>
        <v>-1.1456830000000018</v>
      </c>
      <c r="AE101">
        <f>IF(DB_SOFList[[#This Row],[Plan]]&lt;&gt;0,DB_SOFList[[#This Row],[Actual]]/DB_SOFList[[#This Row],[Plan]],1.000011000011)</f>
        <v>0.94633404365935769</v>
      </c>
      <c r="AF101" s="34">
        <f>SUM(DB_SOFList[[#This Row],[Plan01]:[Plan12]])/valUnits2</f>
        <v>59.06391099999999</v>
      </c>
      <c r="AG101" s="34">
        <f>SUMPRODUCT(DB_SOFList[[#This Row],[Act01]:[Act12]],$P$13:$AA$13)/valUnits2</f>
        <v>20.202729999999999</v>
      </c>
      <c r="AH101" s="34">
        <f>IF(DB_SOFList[[#This Row],[FYPlan]]&lt;&gt;0,DB_SOFList[[#This Row],[FYActuals]]/DB_SOFList[[#This Row],[FYPlan]],1.000011000011)</f>
        <v>0.34204863270906666</v>
      </c>
    </row>
    <row r="102" spans="1:34" hidden="1" x14ac:dyDescent="0.2">
      <c r="A102">
        <f>SUBTOTAL(3,$B$16:B102)</f>
        <v>22</v>
      </c>
      <c r="B102" t="s">
        <v>348</v>
      </c>
      <c r="C102" t="s">
        <v>858</v>
      </c>
      <c r="D102">
        <v>0</v>
      </c>
      <c r="E102">
        <v>0</v>
      </c>
      <c r="F102">
        <v>0</v>
      </c>
      <c r="G102">
        <v>255.96</v>
      </c>
      <c r="H102">
        <v>630.76</v>
      </c>
      <c r="I102">
        <v>1416.6660000000002</v>
      </c>
      <c r="J102">
        <v>1416.6660000000002</v>
      </c>
      <c r="K102">
        <v>1499.999</v>
      </c>
      <c r="L102">
        <v>1416.6660000000002</v>
      </c>
      <c r="M102">
        <v>1416.6660000000002</v>
      </c>
      <c r="N102">
        <v>1416.6660000000002</v>
      </c>
      <c r="O102">
        <v>1416.6660000000002</v>
      </c>
      <c r="P102">
        <v>0</v>
      </c>
      <c r="Q102">
        <v>0</v>
      </c>
      <c r="R102">
        <v>0</v>
      </c>
      <c r="S102">
        <v>255.96</v>
      </c>
      <c r="T102">
        <v>630.76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f>SUMPRODUCT(DB_SOFList[[#This Row],[Plan01]:[Plan12]],$D$14:$O$14)/valUnits2</f>
        <v>2.3033860000000006</v>
      </c>
      <c r="AC102">
        <f>SUMPRODUCT(DB_SOFList[[#This Row],[Act01]:[Act12]],$P$14:$AA$14)/valUnits2</f>
        <v>0.88672000000000006</v>
      </c>
      <c r="AD102">
        <f>DB_SOFList[[#This Row],[Actual]]-DB_SOFList[[#This Row],[Plan]]</f>
        <v>-1.4166660000000006</v>
      </c>
      <c r="AE102">
        <f>IF(DB_SOFList[[#This Row],[Plan]]&lt;&gt;0,DB_SOFList[[#This Row],[Actual]]/DB_SOFList[[#This Row],[Plan]],1.000011000011)</f>
        <v>0.38496370126413887</v>
      </c>
      <c r="AF102" s="34">
        <f>SUM(DB_SOFList[[#This Row],[Plan01]:[Plan12]])/valUnits2</f>
        <v>10.886715000000001</v>
      </c>
      <c r="AG102" s="34">
        <f>SUMPRODUCT(DB_SOFList[[#This Row],[Act01]:[Act12]],$P$13:$AA$13)/valUnits2</f>
        <v>0.88672000000000006</v>
      </c>
      <c r="AH102" s="34">
        <f>IF(DB_SOFList[[#This Row],[FYPlan]]&lt;&gt;0,DB_SOFList[[#This Row],[FYActuals]]/DB_SOFList[[#This Row],[FYPlan]],1.000011000011)</f>
        <v>8.144973024461466E-2</v>
      </c>
    </row>
    <row r="103" spans="1:34" hidden="1" x14ac:dyDescent="0.2">
      <c r="A103">
        <f>SUBTOTAL(3,$B$16:B103)</f>
        <v>22</v>
      </c>
      <c r="B103" t="s">
        <v>350</v>
      </c>
      <c r="C103" t="s">
        <v>858</v>
      </c>
      <c r="E103">
        <v>4734.6399999999994</v>
      </c>
      <c r="F103">
        <v>2513.9099999999994</v>
      </c>
      <c r="G103">
        <v>4584.4300000000012</v>
      </c>
      <c r="H103">
        <v>3285.32</v>
      </c>
      <c r="I103">
        <v>0</v>
      </c>
      <c r="Q103">
        <v>4734.6399999999985</v>
      </c>
      <c r="R103">
        <v>2513.9099999999994</v>
      </c>
      <c r="S103">
        <v>4584.5700000000006</v>
      </c>
      <c r="T103">
        <v>3285.32</v>
      </c>
      <c r="U103">
        <v>4095.6200000000003</v>
      </c>
      <c r="AB103">
        <f>SUMPRODUCT(DB_SOFList[[#This Row],[Plan01]:[Plan12]],$D$14:$O$14)/valUnits2</f>
        <v>15.1183</v>
      </c>
      <c r="AC103">
        <f>SUMPRODUCT(DB_SOFList[[#This Row],[Act01]:[Act12]],$P$14:$AA$14)/valUnits2</f>
        <v>19.214059999999996</v>
      </c>
      <c r="AD103">
        <f>DB_SOFList[[#This Row],[Actual]]-DB_SOFList[[#This Row],[Plan]]</f>
        <v>4.0957599999999967</v>
      </c>
      <c r="AE103">
        <f>IF(DB_SOFList[[#This Row],[Plan]]&lt;&gt;0,DB_SOFList[[#This Row],[Actual]]/DB_SOFList[[#This Row],[Plan]],1.000011000011)</f>
        <v>1.2709140577975035</v>
      </c>
      <c r="AF103" s="34">
        <f>SUM(DB_SOFList[[#This Row],[Plan01]:[Plan12]])/valUnits2</f>
        <v>15.1183</v>
      </c>
      <c r="AG103" s="34">
        <f>SUMPRODUCT(DB_SOFList[[#This Row],[Act01]:[Act12]],$P$13:$AA$13)/valUnits2</f>
        <v>19.214059999999996</v>
      </c>
      <c r="AH103" s="34">
        <f>IF(DB_SOFList[[#This Row],[FYPlan]]&lt;&gt;0,DB_SOFList[[#This Row],[FYActuals]]/DB_SOFList[[#This Row],[FYPlan]],1.000011000011)</f>
        <v>1.2709140577975035</v>
      </c>
    </row>
    <row r="104" spans="1:34" x14ac:dyDescent="0.2">
      <c r="A104">
        <f>SUBTOTAL(3,$B$16:B104)</f>
        <v>23</v>
      </c>
      <c r="B104" t="s">
        <v>1</v>
      </c>
      <c r="C104" t="s">
        <v>859</v>
      </c>
      <c r="D104">
        <v>-1815.3950000000125</v>
      </c>
      <c r="E104">
        <v>29153.720999999998</v>
      </c>
      <c r="F104">
        <v>4299.4600000000082</v>
      </c>
      <c r="G104">
        <v>133890.5</v>
      </c>
      <c r="H104">
        <v>9809.8039999999964</v>
      </c>
      <c r="I104">
        <v>93964.539000000004</v>
      </c>
      <c r="J104">
        <v>48297.436000000002</v>
      </c>
      <c r="K104">
        <v>48530.661000000007</v>
      </c>
      <c r="L104">
        <v>46090.978999999992</v>
      </c>
      <c r="M104">
        <v>44438.949000000001</v>
      </c>
      <c r="N104">
        <v>66924.794000000009</v>
      </c>
      <c r="O104">
        <v>57187.243000000009</v>
      </c>
      <c r="P104">
        <v>-1746.8499999999908</v>
      </c>
      <c r="Q104">
        <v>30089.859999999993</v>
      </c>
      <c r="R104">
        <v>4339.7900000000045</v>
      </c>
      <c r="S104">
        <v>132334.45000000001</v>
      </c>
      <c r="T104">
        <v>9784.5899999999965</v>
      </c>
      <c r="U104">
        <v>9253.149999999996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f>SUMPRODUCT(DB_SOFList[[#This Row],[Plan01]:[Plan12]],$D$14:$O$14)/valUnits2</f>
        <v>269.30262900000002</v>
      </c>
      <c r="AC104">
        <f>SUMPRODUCT(DB_SOFList[[#This Row],[Act01]:[Act12]],$P$14:$AA$14)/valUnits2</f>
        <v>184.05499000000003</v>
      </c>
      <c r="AD104">
        <f>DB_SOFList[[#This Row],[Actual]]-DB_SOFList[[#This Row],[Plan]]</f>
        <v>-85.247638999999992</v>
      </c>
      <c r="AE104">
        <f>IF(DB_SOFList[[#This Row],[Plan]]&lt;&gt;0,DB_SOFList[[#This Row],[Actual]]/DB_SOFList[[#This Row],[Plan]],1.000011000011)</f>
        <v>0.68345040181542382</v>
      </c>
      <c r="AF104" s="34">
        <f>SUM(DB_SOFList[[#This Row],[Plan01]:[Plan12]])/valUnits2</f>
        <v>580.77269100000001</v>
      </c>
      <c r="AG104" s="34">
        <f>SUMPRODUCT(DB_SOFList[[#This Row],[Act01]:[Act12]],$P$13:$AA$13)/valUnits2</f>
        <v>184.05499000000003</v>
      </c>
      <c r="AH104" s="34">
        <f>IF(DB_SOFList[[#This Row],[FYPlan]]&lt;&gt;0,DB_SOFList[[#This Row],[FYActuals]]/DB_SOFList[[#This Row],[FYPlan]],1.000011000011)</f>
        <v>0.31691398864345022</v>
      </c>
    </row>
    <row r="105" spans="1:34" hidden="1" x14ac:dyDescent="0.2">
      <c r="A105">
        <f>SUBTOTAL(3,$B$16:B105)</f>
        <v>23</v>
      </c>
      <c r="B105" t="s">
        <v>351</v>
      </c>
      <c r="C105" t="s">
        <v>859</v>
      </c>
      <c r="D105">
        <v>1982.175</v>
      </c>
      <c r="E105">
        <v>2888.5659999999998</v>
      </c>
      <c r="F105">
        <v>3224.69</v>
      </c>
      <c r="G105">
        <v>4780.2919999999986</v>
      </c>
      <c r="H105">
        <v>4175.7380000000003</v>
      </c>
      <c r="I105">
        <v>2951.6419999999998</v>
      </c>
      <c r="J105">
        <v>2951.6419999999998</v>
      </c>
      <c r="K105">
        <v>2951.6419999999998</v>
      </c>
      <c r="L105">
        <v>2951.6420000000007</v>
      </c>
      <c r="M105">
        <v>2951.6419999999998</v>
      </c>
      <c r="N105">
        <v>2951.6420000000007</v>
      </c>
      <c r="O105">
        <v>4255.9470000000001</v>
      </c>
      <c r="P105">
        <v>1952.8600000000001</v>
      </c>
      <c r="Q105">
        <v>2949.1400000000003</v>
      </c>
      <c r="R105">
        <v>3253.8800000000006</v>
      </c>
      <c r="S105">
        <v>4807.51</v>
      </c>
      <c r="T105">
        <v>4143.6599999999989</v>
      </c>
      <c r="U105">
        <v>1475.37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f>SUMPRODUCT(DB_SOFList[[#This Row],[Plan01]:[Plan12]],$D$14:$O$14)/valUnits2</f>
        <v>20.003102999999999</v>
      </c>
      <c r="AC105">
        <f>SUMPRODUCT(DB_SOFList[[#This Row],[Act01]:[Act12]],$P$14:$AA$14)/valUnits2</f>
        <v>18.582419999999999</v>
      </c>
      <c r="AD105">
        <f>DB_SOFList[[#This Row],[Actual]]-DB_SOFList[[#This Row],[Plan]]</f>
        <v>-1.4206830000000004</v>
      </c>
      <c r="AE105">
        <f>IF(DB_SOFList[[#This Row],[Plan]]&lt;&gt;0,DB_SOFList[[#This Row],[Actual]]/DB_SOFList[[#This Row],[Plan]],1.000011000011)</f>
        <v>0.92897686923873757</v>
      </c>
      <c r="AF105" s="34">
        <f>SUM(DB_SOFList[[#This Row],[Plan01]:[Plan12]])/valUnits2</f>
        <v>39.01726</v>
      </c>
      <c r="AG105" s="34">
        <f>SUMPRODUCT(DB_SOFList[[#This Row],[Act01]:[Act12]],$P$13:$AA$13)/valUnits2</f>
        <v>18.582419999999999</v>
      </c>
      <c r="AH105" s="34">
        <f>IF(DB_SOFList[[#This Row],[FYPlan]]&lt;&gt;0,DB_SOFList[[#This Row],[FYActuals]]/DB_SOFList[[#This Row],[FYPlan]],1.000011000011)</f>
        <v>0.47626153143506228</v>
      </c>
    </row>
    <row r="106" spans="1:34" hidden="1" x14ac:dyDescent="0.2">
      <c r="A106">
        <f>SUBTOTAL(3,$B$16:B106)</f>
        <v>23</v>
      </c>
      <c r="B106" t="s">
        <v>346</v>
      </c>
      <c r="C106" t="s">
        <v>859</v>
      </c>
      <c r="D106">
        <v>-3797.5700000000124</v>
      </c>
      <c r="E106">
        <v>26265.154999999999</v>
      </c>
      <c r="F106">
        <v>1074.7700000000077</v>
      </c>
      <c r="G106">
        <v>129110.20800000001</v>
      </c>
      <c r="H106">
        <v>5634.0659999999953</v>
      </c>
      <c r="I106">
        <v>90752.036999999997</v>
      </c>
      <c r="J106">
        <v>45084.934000000001</v>
      </c>
      <c r="K106">
        <v>45318.159000000007</v>
      </c>
      <c r="L106">
        <v>42878.476999999992</v>
      </c>
      <c r="M106">
        <v>41226.447</v>
      </c>
      <c r="N106">
        <v>63712.292000000001</v>
      </c>
      <c r="O106">
        <v>52670.436000000009</v>
      </c>
      <c r="P106">
        <v>-3699.7099999999909</v>
      </c>
      <c r="Q106">
        <v>27140.719999999994</v>
      </c>
      <c r="R106">
        <v>1085.9100000000042</v>
      </c>
      <c r="S106">
        <v>127526.94</v>
      </c>
      <c r="T106">
        <v>5640.9299999999967</v>
      </c>
      <c r="U106">
        <v>7776.0099999999957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f>SUMPRODUCT(DB_SOFList[[#This Row],[Plan01]:[Plan12]],$D$14:$O$14)/valUnits2</f>
        <v>249.03866599999998</v>
      </c>
      <c r="AC106">
        <f>SUMPRODUCT(DB_SOFList[[#This Row],[Act01]:[Act12]],$P$14:$AA$14)/valUnits2</f>
        <v>165.47080000000003</v>
      </c>
      <c r="AD106">
        <f>DB_SOFList[[#This Row],[Actual]]-DB_SOFList[[#This Row],[Plan]]</f>
        <v>-83.567865999999952</v>
      </c>
      <c r="AE106">
        <f>IF(DB_SOFList[[#This Row],[Plan]]&lt;&gt;0,DB_SOFList[[#This Row],[Actual]]/DB_SOFList[[#This Row],[Plan]],1.000011000011)</f>
        <v>0.6644381880844159</v>
      </c>
      <c r="AF106" s="34">
        <f>SUM(DB_SOFList[[#This Row],[Plan01]:[Plan12]])/valUnits2</f>
        <v>539.92941099999996</v>
      </c>
      <c r="AG106" s="34">
        <f>SUMPRODUCT(DB_SOFList[[#This Row],[Act01]:[Act12]],$P$13:$AA$13)/valUnits2</f>
        <v>165.47080000000003</v>
      </c>
      <c r="AH106" s="34">
        <f>IF(DB_SOFList[[#This Row],[FYPlan]]&lt;&gt;0,DB_SOFList[[#This Row],[FYActuals]]/DB_SOFList[[#This Row],[FYPlan]],1.000011000011)</f>
        <v>0.30646746894845489</v>
      </c>
    </row>
    <row r="107" spans="1:34" hidden="1" x14ac:dyDescent="0.2">
      <c r="A107">
        <f>SUBTOTAL(3,$B$16:B107)</f>
        <v>23</v>
      </c>
      <c r="B107" t="s">
        <v>350</v>
      </c>
      <c r="C107" t="s">
        <v>859</v>
      </c>
      <c r="G107">
        <v>0</v>
      </c>
      <c r="H107">
        <v>0</v>
      </c>
      <c r="I107">
        <v>260.86</v>
      </c>
      <c r="J107">
        <v>260.86</v>
      </c>
      <c r="K107">
        <v>260.86</v>
      </c>
      <c r="L107">
        <v>260.86</v>
      </c>
      <c r="M107">
        <v>260.86</v>
      </c>
      <c r="N107">
        <v>260.86</v>
      </c>
      <c r="O107">
        <v>260.86</v>
      </c>
      <c r="S107">
        <v>0</v>
      </c>
      <c r="T107">
        <v>0</v>
      </c>
      <c r="U107">
        <v>1.77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f>SUMPRODUCT(DB_SOFList[[#This Row],[Plan01]:[Plan12]],$D$14:$O$14)/valUnits2</f>
        <v>0.26086000000000004</v>
      </c>
      <c r="AC107">
        <f>SUMPRODUCT(DB_SOFList[[#This Row],[Act01]:[Act12]],$P$14:$AA$14)/valUnits2</f>
        <v>1.7700000000000001E-3</v>
      </c>
      <c r="AD107">
        <f>DB_SOFList[[#This Row],[Actual]]-DB_SOFList[[#This Row],[Plan]]</f>
        <v>-0.25909000000000004</v>
      </c>
      <c r="AE107">
        <f>IF(DB_SOFList[[#This Row],[Plan]]&lt;&gt;0,DB_SOFList[[#This Row],[Actual]]/DB_SOFList[[#This Row],[Plan]],1.000011000011)</f>
        <v>6.7852487924557224E-3</v>
      </c>
      <c r="AF107" s="34">
        <f>SUM(DB_SOFList[[#This Row],[Plan01]:[Plan12]])/valUnits2</f>
        <v>1.8260200000000004</v>
      </c>
      <c r="AG107" s="34">
        <f>SUMPRODUCT(DB_SOFList[[#This Row],[Act01]:[Act12]],$P$13:$AA$13)/valUnits2</f>
        <v>1.7700000000000001E-3</v>
      </c>
      <c r="AH107" s="34">
        <f>IF(DB_SOFList[[#This Row],[FYPlan]]&lt;&gt;0,DB_SOFList[[#This Row],[FYActuals]]/DB_SOFList[[#This Row],[FYPlan]],1.000011000011)</f>
        <v>9.6932125606510313E-4</v>
      </c>
    </row>
    <row r="108" spans="1:34" x14ac:dyDescent="0.2">
      <c r="A108">
        <f>SUBTOTAL(3,$B$16:B108)</f>
        <v>24</v>
      </c>
      <c r="B108" t="s">
        <v>1</v>
      </c>
      <c r="C108" t="s">
        <v>364</v>
      </c>
      <c r="D108">
        <v>61.42</v>
      </c>
      <c r="E108">
        <v>9.1999999999999993</v>
      </c>
      <c r="F108">
        <v>7.83</v>
      </c>
      <c r="G108">
        <v>0</v>
      </c>
      <c r="H108">
        <v>72.399999999999991</v>
      </c>
      <c r="I108">
        <v>3505.6389999999997</v>
      </c>
      <c r="J108">
        <v>3505.6389999999997</v>
      </c>
      <c r="K108">
        <v>1749.9290000000001</v>
      </c>
      <c r="P108">
        <v>61.42</v>
      </c>
      <c r="Q108">
        <v>9.1999999999999993</v>
      </c>
      <c r="R108">
        <v>7.83</v>
      </c>
      <c r="S108">
        <v>0</v>
      </c>
      <c r="T108">
        <v>72.400000000000006</v>
      </c>
      <c r="U108">
        <v>0</v>
      </c>
      <c r="V108">
        <v>0</v>
      </c>
      <c r="W108">
        <v>0</v>
      </c>
      <c r="AB108">
        <f>SUMPRODUCT(DB_SOFList[[#This Row],[Plan01]:[Plan12]],$D$14:$O$14)/valUnits2</f>
        <v>3.6564889999999997</v>
      </c>
      <c r="AC108">
        <f>SUMPRODUCT(DB_SOFList[[#This Row],[Act01]:[Act12]],$P$14:$AA$14)/valUnits2</f>
        <v>0.15085000000000001</v>
      </c>
      <c r="AD108">
        <f>DB_SOFList[[#This Row],[Actual]]-DB_SOFList[[#This Row],[Plan]]</f>
        <v>-3.5056389999999995</v>
      </c>
      <c r="AE108">
        <f>IF(DB_SOFList[[#This Row],[Plan]]&lt;&gt;0,DB_SOFList[[#This Row],[Actual]]/DB_SOFList[[#This Row],[Plan]],1.000011000011)</f>
        <v>4.1255422893382153E-2</v>
      </c>
      <c r="AF108" s="34">
        <f>SUM(DB_SOFList[[#This Row],[Plan01]:[Plan12]])/valUnits2</f>
        <v>8.912056999999999</v>
      </c>
      <c r="AG108" s="34">
        <f>SUMPRODUCT(DB_SOFList[[#This Row],[Act01]:[Act12]],$P$13:$AA$13)/valUnits2</f>
        <v>0.15085000000000001</v>
      </c>
      <c r="AH108" s="34">
        <f>IF(DB_SOFList[[#This Row],[FYPlan]]&lt;&gt;0,DB_SOFList[[#This Row],[FYActuals]]/DB_SOFList[[#This Row],[FYPlan]],1.000011000011)</f>
        <v>1.6926507539168571E-2</v>
      </c>
    </row>
    <row r="109" spans="1:34" hidden="1" x14ac:dyDescent="0.2">
      <c r="A109">
        <f>SUBTOTAL(3,$B$16:B109)</f>
        <v>24</v>
      </c>
      <c r="B109" t="s">
        <v>349</v>
      </c>
      <c r="C109" t="s">
        <v>364</v>
      </c>
      <c r="D109">
        <v>61.42</v>
      </c>
      <c r="E109">
        <v>9.1999999999999993</v>
      </c>
      <c r="F109">
        <v>7.83</v>
      </c>
      <c r="G109">
        <v>0</v>
      </c>
      <c r="H109">
        <v>72.399999999999991</v>
      </c>
      <c r="I109">
        <v>3505.6389999999997</v>
      </c>
      <c r="J109">
        <v>3505.6389999999997</v>
      </c>
      <c r="K109">
        <v>1749.9290000000001</v>
      </c>
      <c r="P109">
        <v>61.42</v>
      </c>
      <c r="Q109">
        <v>9.1999999999999993</v>
      </c>
      <c r="R109">
        <v>7.83</v>
      </c>
      <c r="S109">
        <v>0</v>
      </c>
      <c r="T109">
        <v>72.400000000000006</v>
      </c>
      <c r="U109">
        <v>0</v>
      </c>
      <c r="V109">
        <v>0</v>
      </c>
      <c r="W109">
        <v>0</v>
      </c>
      <c r="AB109">
        <f>SUMPRODUCT(DB_SOFList[[#This Row],[Plan01]:[Plan12]],$D$14:$O$14)/valUnits2</f>
        <v>3.6564889999999997</v>
      </c>
      <c r="AC109">
        <f>SUMPRODUCT(DB_SOFList[[#This Row],[Act01]:[Act12]],$P$14:$AA$14)/valUnits2</f>
        <v>0.15085000000000001</v>
      </c>
      <c r="AD109">
        <f>DB_SOFList[[#This Row],[Actual]]-DB_SOFList[[#This Row],[Plan]]</f>
        <v>-3.5056389999999995</v>
      </c>
      <c r="AE109">
        <f>IF(DB_SOFList[[#This Row],[Plan]]&lt;&gt;0,DB_SOFList[[#This Row],[Actual]]/DB_SOFList[[#This Row],[Plan]],1.000011000011)</f>
        <v>4.1255422893382153E-2</v>
      </c>
      <c r="AF109" s="34">
        <f>SUM(DB_SOFList[[#This Row],[Plan01]:[Plan12]])/valUnits2</f>
        <v>8.912056999999999</v>
      </c>
      <c r="AG109" s="34">
        <f>SUMPRODUCT(DB_SOFList[[#This Row],[Act01]:[Act12]],$P$13:$AA$13)/valUnits2</f>
        <v>0.15085000000000001</v>
      </c>
      <c r="AH109" s="34">
        <f>IF(DB_SOFList[[#This Row],[FYPlan]]&lt;&gt;0,DB_SOFList[[#This Row],[FYActuals]]/DB_SOFList[[#This Row],[FYPlan]],1.000011000011)</f>
        <v>1.6926507539168571E-2</v>
      </c>
    </row>
    <row r="110" spans="1:34" x14ac:dyDescent="0.2">
      <c r="A110">
        <f>SUBTOTAL(3,$B$16:B110)</f>
        <v>25</v>
      </c>
      <c r="B110" t="s">
        <v>1</v>
      </c>
      <c r="C110" t="s">
        <v>860</v>
      </c>
      <c r="D110">
        <v>13810.36</v>
      </c>
      <c r="E110">
        <v>21293.039999999997</v>
      </c>
      <c r="F110">
        <v>435824.22000000003</v>
      </c>
      <c r="G110">
        <v>288297.75</v>
      </c>
      <c r="H110">
        <v>57483.960000000006</v>
      </c>
      <c r="I110">
        <v>160466.07399999999</v>
      </c>
      <c r="J110">
        <v>160466.07399999999</v>
      </c>
      <c r="K110">
        <v>160466.07399999999</v>
      </c>
      <c r="L110">
        <v>160570.07400000002</v>
      </c>
      <c r="M110">
        <v>0</v>
      </c>
      <c r="N110">
        <v>0</v>
      </c>
      <c r="O110">
        <v>0</v>
      </c>
      <c r="P110">
        <v>13810.359999999999</v>
      </c>
      <c r="Q110">
        <v>21314.589999999993</v>
      </c>
      <c r="R110">
        <v>435836.30000000016</v>
      </c>
      <c r="S110">
        <v>288330.26</v>
      </c>
      <c r="T110">
        <v>57491.139999999985</v>
      </c>
      <c r="U110">
        <v>48255.64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f>SUMPRODUCT(DB_SOFList[[#This Row],[Plan01]:[Plan12]],$D$14:$O$14)/valUnits2</f>
        <v>977.17540399999996</v>
      </c>
      <c r="AC110">
        <f>SUMPRODUCT(DB_SOFList[[#This Row],[Act01]:[Act12]],$P$14:$AA$14)/valUnits2</f>
        <v>865.0382900000003</v>
      </c>
      <c r="AD110">
        <f>DB_SOFList[[#This Row],[Actual]]-DB_SOFList[[#This Row],[Plan]]</f>
        <v>-112.13711399999966</v>
      </c>
      <c r="AE110">
        <f>IF(DB_SOFList[[#This Row],[Plan]]&lt;&gt;0,DB_SOFList[[#This Row],[Actual]]/DB_SOFList[[#This Row],[Plan]],1.000011000011)</f>
        <v>0.88524361794108397</v>
      </c>
      <c r="AF110" s="34">
        <f>SUM(DB_SOFList[[#This Row],[Plan01]:[Plan12]])/valUnits2</f>
        <v>1458.6776259999999</v>
      </c>
      <c r="AG110" s="34">
        <f>SUMPRODUCT(DB_SOFList[[#This Row],[Act01]:[Act12]],$P$13:$AA$13)/valUnits2</f>
        <v>865.0382900000003</v>
      </c>
      <c r="AH110" s="34">
        <f>IF(DB_SOFList[[#This Row],[FYPlan]]&lt;&gt;0,DB_SOFList[[#This Row],[FYActuals]]/DB_SOFList[[#This Row],[FYPlan]],1.000011000011)</f>
        <v>0.59302910703588207</v>
      </c>
    </row>
    <row r="111" spans="1:34" hidden="1" x14ac:dyDescent="0.2">
      <c r="A111">
        <f>SUBTOTAL(3,$B$16:B111)</f>
        <v>25</v>
      </c>
      <c r="B111" t="s">
        <v>351</v>
      </c>
      <c r="C111" t="s">
        <v>860</v>
      </c>
      <c r="D111">
        <v>3018.81</v>
      </c>
      <c r="E111">
        <v>3662.1399999999994</v>
      </c>
      <c r="F111">
        <v>6415.6</v>
      </c>
      <c r="G111">
        <v>11187.760000000004</v>
      </c>
      <c r="H111">
        <v>3660.3999999999996</v>
      </c>
      <c r="I111">
        <v>4280.2629999999999</v>
      </c>
      <c r="J111">
        <v>4280.2629999999999</v>
      </c>
      <c r="K111">
        <v>4280.2629999999999</v>
      </c>
      <c r="L111">
        <v>4280.2629999999999</v>
      </c>
      <c r="M111">
        <v>0</v>
      </c>
      <c r="N111">
        <v>0</v>
      </c>
      <c r="O111">
        <v>0</v>
      </c>
      <c r="P111">
        <v>3018.81</v>
      </c>
      <c r="Q111">
        <v>3662.1400000000003</v>
      </c>
      <c r="R111">
        <v>6427.6800000000012</v>
      </c>
      <c r="S111">
        <v>11220.27</v>
      </c>
      <c r="T111">
        <v>3667.5800000000022</v>
      </c>
      <c r="U111">
        <v>3265.1899999999991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f>SUMPRODUCT(DB_SOFList[[#This Row],[Plan01]:[Plan12]],$D$14:$O$14)/valUnits2</f>
        <v>32.224973000000006</v>
      </c>
      <c r="AC111">
        <f>SUMPRODUCT(DB_SOFList[[#This Row],[Act01]:[Act12]],$P$14:$AA$14)/valUnits2</f>
        <v>31.261670000000002</v>
      </c>
      <c r="AD111">
        <f>DB_SOFList[[#This Row],[Actual]]-DB_SOFList[[#This Row],[Plan]]</f>
        <v>-0.96330300000000335</v>
      </c>
      <c r="AE111">
        <f>IF(DB_SOFList[[#This Row],[Plan]]&lt;&gt;0,DB_SOFList[[#This Row],[Actual]]/DB_SOFList[[#This Row],[Plan]],1.000011000011)</f>
        <v>0.9701069415946445</v>
      </c>
      <c r="AF111" s="34">
        <f>SUM(DB_SOFList[[#This Row],[Plan01]:[Plan12]])/valUnits2</f>
        <v>45.065761999999999</v>
      </c>
      <c r="AG111" s="34">
        <f>SUMPRODUCT(DB_SOFList[[#This Row],[Act01]:[Act12]],$P$13:$AA$13)/valUnits2</f>
        <v>31.261670000000002</v>
      </c>
      <c r="AH111" s="34">
        <f>IF(DB_SOFList[[#This Row],[FYPlan]]&lt;&gt;0,DB_SOFList[[#This Row],[FYActuals]]/DB_SOFList[[#This Row],[FYPlan]],1.000011000011)</f>
        <v>0.69369003457658174</v>
      </c>
    </row>
    <row r="112" spans="1:34" hidden="1" x14ac:dyDescent="0.2">
      <c r="A112">
        <f>SUBTOTAL(3,$B$16:B112)</f>
        <v>25</v>
      </c>
      <c r="B112" t="s">
        <v>344</v>
      </c>
      <c r="C112" t="s">
        <v>860</v>
      </c>
      <c r="D112">
        <v>10791.550000000001</v>
      </c>
      <c r="E112">
        <v>17596.89</v>
      </c>
      <c r="F112">
        <v>429401.63000000006</v>
      </c>
      <c r="G112">
        <v>277109.99</v>
      </c>
      <c r="H112">
        <v>53182.210000000006</v>
      </c>
      <c r="I112">
        <v>156185.81099999999</v>
      </c>
      <c r="J112">
        <v>156185.81099999999</v>
      </c>
      <c r="K112">
        <v>156185.81099999999</v>
      </c>
      <c r="L112">
        <v>156289.81100000002</v>
      </c>
      <c r="M112">
        <v>0</v>
      </c>
      <c r="N112">
        <v>0</v>
      </c>
      <c r="O112">
        <v>0</v>
      </c>
      <c r="P112">
        <v>10791.55</v>
      </c>
      <c r="Q112">
        <v>17618.439999999995</v>
      </c>
      <c r="R112">
        <v>429401.63000000018</v>
      </c>
      <c r="S112">
        <v>277109.99</v>
      </c>
      <c r="T112">
        <v>53182.209999999985</v>
      </c>
      <c r="U112">
        <v>44963.25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f>SUMPRODUCT(DB_SOFList[[#This Row],[Plan01]:[Plan12]],$D$14:$O$14)/valUnits2</f>
        <v>944.26808100000005</v>
      </c>
      <c r="AC112">
        <f>SUMPRODUCT(DB_SOFList[[#This Row],[Act01]:[Act12]],$P$14:$AA$14)/valUnits2</f>
        <v>833.06707000000006</v>
      </c>
      <c r="AD112">
        <f>DB_SOFList[[#This Row],[Actual]]-DB_SOFList[[#This Row],[Plan]]</f>
        <v>-111.20101099999999</v>
      </c>
      <c r="AE112">
        <f>IF(DB_SOFList[[#This Row],[Plan]]&lt;&gt;0,DB_SOFList[[#This Row],[Actual]]/DB_SOFList[[#This Row],[Plan]],1.000011000011)</f>
        <v>0.88223576202826237</v>
      </c>
      <c r="AF112" s="34">
        <f>SUM(DB_SOFList[[#This Row],[Plan01]:[Plan12]])/valUnits2</f>
        <v>1412.9295139999999</v>
      </c>
      <c r="AG112" s="34">
        <f>SUMPRODUCT(DB_SOFList[[#This Row],[Act01]:[Act12]],$P$13:$AA$13)/valUnits2</f>
        <v>833.06707000000006</v>
      </c>
      <c r="AH112" s="34">
        <f>IF(DB_SOFList[[#This Row],[FYPlan]]&lt;&gt;0,DB_SOFList[[#This Row],[FYActuals]]/DB_SOFList[[#This Row],[FYPlan]],1.000011000011)</f>
        <v>0.58960270965080863</v>
      </c>
    </row>
    <row r="113" spans="1:34" hidden="1" x14ac:dyDescent="0.2">
      <c r="A113">
        <f>SUBTOTAL(3,$B$16:B113)</f>
        <v>25</v>
      </c>
      <c r="B113" t="s">
        <v>350</v>
      </c>
      <c r="C113" t="s">
        <v>860</v>
      </c>
      <c r="E113">
        <v>34.010000000000005</v>
      </c>
      <c r="F113">
        <v>6.99</v>
      </c>
      <c r="H113">
        <v>641.34999999999991</v>
      </c>
      <c r="I113">
        <v>0</v>
      </c>
      <c r="Q113">
        <v>34.010000000000005</v>
      </c>
      <c r="R113">
        <v>6.99</v>
      </c>
      <c r="T113">
        <v>641.34999999999991</v>
      </c>
      <c r="U113">
        <v>27.2</v>
      </c>
      <c r="AB113">
        <f>SUMPRODUCT(DB_SOFList[[#This Row],[Plan01]:[Plan12]],$D$14:$O$14)/valUnits2</f>
        <v>0.6823499999999999</v>
      </c>
      <c r="AC113">
        <f>SUMPRODUCT(DB_SOFList[[#This Row],[Act01]:[Act12]],$P$14:$AA$14)/valUnits2</f>
        <v>0.7095499999999999</v>
      </c>
      <c r="AD113">
        <f>DB_SOFList[[#This Row],[Actual]]-DB_SOFList[[#This Row],[Plan]]</f>
        <v>2.7200000000000002E-2</v>
      </c>
      <c r="AE113">
        <f>IF(DB_SOFList[[#This Row],[Plan]]&lt;&gt;0,DB_SOFList[[#This Row],[Actual]]/DB_SOFList[[#This Row],[Plan]],1.000011000011)</f>
        <v>1.0398622407855207</v>
      </c>
      <c r="AF113" s="34">
        <f>SUM(DB_SOFList[[#This Row],[Plan01]:[Plan12]])/valUnits2</f>
        <v>0.6823499999999999</v>
      </c>
      <c r="AG113" s="34">
        <f>SUMPRODUCT(DB_SOFList[[#This Row],[Act01]:[Act12]],$P$13:$AA$13)/valUnits2</f>
        <v>0.7095499999999999</v>
      </c>
      <c r="AH113" s="34">
        <f>IF(DB_SOFList[[#This Row],[FYPlan]]&lt;&gt;0,DB_SOFList[[#This Row],[FYActuals]]/DB_SOFList[[#This Row],[FYPlan]],1.000011000011)</f>
        <v>1.0398622407855207</v>
      </c>
    </row>
    <row r="114" spans="1:34" x14ac:dyDescent="0.2">
      <c r="A114">
        <f>SUBTOTAL(3,$B$16:B114)</f>
        <v>26</v>
      </c>
      <c r="B114" t="s">
        <v>1</v>
      </c>
      <c r="C114" t="s">
        <v>861</v>
      </c>
      <c r="F114">
        <v>7.2759576141834259E-12</v>
      </c>
      <c r="R114">
        <v>0</v>
      </c>
      <c r="AB114">
        <f>SUMPRODUCT(DB_SOFList[[#This Row],[Plan01]:[Plan12]],$D$14:$O$14)/valUnits2</f>
        <v>7.2759576141834261E-15</v>
      </c>
      <c r="AC114">
        <f>SUMPRODUCT(DB_SOFList[[#This Row],[Act01]:[Act12]],$P$14:$AA$14)/valUnits2</f>
        <v>0</v>
      </c>
      <c r="AD114">
        <f>DB_SOFList[[#This Row],[Actual]]-DB_SOFList[[#This Row],[Plan]]</f>
        <v>-7.2759576141834261E-15</v>
      </c>
      <c r="AE114">
        <f>IF(DB_SOFList[[#This Row],[Plan]]&lt;&gt;0,DB_SOFList[[#This Row],[Actual]]/DB_SOFList[[#This Row],[Plan]],1.000011000011)</f>
        <v>0</v>
      </c>
      <c r="AF114" s="34">
        <f>SUM(DB_SOFList[[#This Row],[Plan01]:[Plan12]])/valUnits2</f>
        <v>7.2759576141834261E-15</v>
      </c>
      <c r="AG114" s="34">
        <f>SUMPRODUCT(DB_SOFList[[#This Row],[Act01]:[Act12]],$P$13:$AA$13)/valUnits2</f>
        <v>0</v>
      </c>
      <c r="AH114" s="34">
        <f>IF(DB_SOFList[[#This Row],[FYPlan]]&lt;&gt;0,DB_SOFList[[#This Row],[FYActuals]]/DB_SOFList[[#This Row],[FYPlan]],1.000011000011)</f>
        <v>0</v>
      </c>
    </row>
    <row r="115" spans="1:34" hidden="1" x14ac:dyDescent="0.2">
      <c r="A115">
        <f>SUBTOTAL(3,$B$16:B115)</f>
        <v>26</v>
      </c>
      <c r="B115" t="s">
        <v>342</v>
      </c>
      <c r="C115" t="s">
        <v>861</v>
      </c>
      <c r="F115">
        <v>7.2759576141834259E-12</v>
      </c>
      <c r="R115">
        <v>0</v>
      </c>
      <c r="AB115">
        <f>SUMPRODUCT(DB_SOFList[[#This Row],[Plan01]:[Plan12]],$D$14:$O$14)/valUnits2</f>
        <v>7.2759576141834261E-15</v>
      </c>
      <c r="AC115">
        <f>SUMPRODUCT(DB_SOFList[[#This Row],[Act01]:[Act12]],$P$14:$AA$14)/valUnits2</f>
        <v>0</v>
      </c>
      <c r="AD115">
        <f>DB_SOFList[[#This Row],[Actual]]-DB_SOFList[[#This Row],[Plan]]</f>
        <v>-7.2759576141834261E-15</v>
      </c>
      <c r="AE115">
        <f>IF(DB_SOFList[[#This Row],[Plan]]&lt;&gt;0,DB_SOFList[[#This Row],[Actual]]/DB_SOFList[[#This Row],[Plan]],1.000011000011)</f>
        <v>0</v>
      </c>
      <c r="AF115" s="34">
        <f>SUM(DB_SOFList[[#This Row],[Plan01]:[Plan12]])/valUnits2</f>
        <v>7.2759576141834261E-15</v>
      </c>
      <c r="AG115" s="34">
        <f>SUMPRODUCT(DB_SOFList[[#This Row],[Act01]:[Act12]],$P$13:$AA$13)/valUnits2</f>
        <v>0</v>
      </c>
      <c r="AH115" s="34">
        <f>IF(DB_SOFList[[#This Row],[FYPlan]]&lt;&gt;0,DB_SOFList[[#This Row],[FYActuals]]/DB_SOFList[[#This Row],[FYPlan]],1.000011000011)</f>
        <v>0</v>
      </c>
    </row>
    <row r="116" spans="1:34" x14ac:dyDescent="0.2">
      <c r="A116">
        <f>SUBTOTAL(3,$B$16:B116)</f>
        <v>27</v>
      </c>
      <c r="B116" t="s">
        <v>1</v>
      </c>
      <c r="C116" t="s">
        <v>862</v>
      </c>
      <c r="E116">
        <v>1317.3430000000001</v>
      </c>
      <c r="F116">
        <v>756.71100000000001</v>
      </c>
      <c r="G116">
        <v>14004.163</v>
      </c>
      <c r="H116">
        <v>89435.270000000019</v>
      </c>
      <c r="I116">
        <v>35880.652999999998</v>
      </c>
      <c r="J116">
        <v>35880.652999999998</v>
      </c>
      <c r="K116">
        <v>35880.652999999998</v>
      </c>
      <c r="L116">
        <v>35880.652999999998</v>
      </c>
      <c r="M116">
        <v>35880.652999999998</v>
      </c>
      <c r="N116">
        <v>35880.652999999998</v>
      </c>
      <c r="O116">
        <v>35880.652999999998</v>
      </c>
      <c r="Q116">
        <v>1322.56</v>
      </c>
      <c r="R116">
        <v>766.23</v>
      </c>
      <c r="S116">
        <v>14074.419999999998</v>
      </c>
      <c r="T116">
        <v>88576.219999999987</v>
      </c>
      <c r="U116">
        <v>13453.490000000005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f>SUMPRODUCT(DB_SOFList[[#This Row],[Plan01]:[Plan12]],$D$14:$O$14)/valUnits2</f>
        <v>141.39414000000002</v>
      </c>
      <c r="AC116">
        <f>SUMPRODUCT(DB_SOFList[[#This Row],[Act01]:[Act12]],$P$14:$AA$14)/valUnits2</f>
        <v>118.19292</v>
      </c>
      <c r="AD116">
        <f>DB_SOFList[[#This Row],[Actual]]-DB_SOFList[[#This Row],[Plan]]</f>
        <v>-23.201220000000021</v>
      </c>
      <c r="AE116">
        <f>IF(DB_SOFList[[#This Row],[Plan]]&lt;&gt;0,DB_SOFList[[#This Row],[Actual]]/DB_SOFList[[#This Row],[Plan]],1.000011000011)</f>
        <v>0.83591102148929219</v>
      </c>
      <c r="AF116" s="34">
        <f>SUM(DB_SOFList[[#This Row],[Plan01]:[Plan12]])/valUnits2</f>
        <v>356.67805799999996</v>
      </c>
      <c r="AG116" s="34">
        <f>SUMPRODUCT(DB_SOFList[[#This Row],[Act01]:[Act12]],$P$13:$AA$13)/valUnits2</f>
        <v>118.19292</v>
      </c>
      <c r="AH116" s="34">
        <f>IF(DB_SOFList[[#This Row],[FYPlan]]&lt;&gt;0,DB_SOFList[[#This Row],[FYActuals]]/DB_SOFList[[#This Row],[FYPlan]],1.000011000011)</f>
        <v>0.33137143524539436</v>
      </c>
    </row>
    <row r="117" spans="1:34" hidden="1" x14ac:dyDescent="0.2">
      <c r="A117">
        <f>SUBTOTAL(3,$B$16:B117)</f>
        <v>27</v>
      </c>
      <c r="B117" t="s">
        <v>351</v>
      </c>
      <c r="C117" t="s">
        <v>862</v>
      </c>
      <c r="G117">
        <v>5563.1830000000009</v>
      </c>
      <c r="H117">
        <v>8780.4209999999985</v>
      </c>
      <c r="I117">
        <v>3255.145</v>
      </c>
      <c r="J117">
        <v>3255.145</v>
      </c>
      <c r="K117">
        <v>3255.145</v>
      </c>
      <c r="L117">
        <v>3255.145</v>
      </c>
      <c r="M117">
        <v>3255.145</v>
      </c>
      <c r="N117">
        <v>3255.145</v>
      </c>
      <c r="O117">
        <v>3255.145</v>
      </c>
      <c r="S117">
        <v>5582.36</v>
      </c>
      <c r="T117">
        <v>8865.3900000000012</v>
      </c>
      <c r="U117">
        <v>3944.14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f>SUMPRODUCT(DB_SOFList[[#This Row],[Plan01]:[Plan12]],$D$14:$O$14)/valUnits2</f>
        <v>17.598749000000002</v>
      </c>
      <c r="AC117">
        <f>SUMPRODUCT(DB_SOFList[[#This Row],[Act01]:[Act12]],$P$14:$AA$14)/valUnits2</f>
        <v>18.39189</v>
      </c>
      <c r="AD117">
        <f>DB_SOFList[[#This Row],[Actual]]-DB_SOFList[[#This Row],[Plan]]</f>
        <v>0.79314099999999854</v>
      </c>
      <c r="AE117">
        <f>IF(DB_SOFList[[#This Row],[Plan]]&lt;&gt;0,DB_SOFList[[#This Row],[Actual]]/DB_SOFList[[#This Row],[Plan]],1.000011000011)</f>
        <v>1.0450680329607518</v>
      </c>
      <c r="AF117" s="34">
        <f>SUM(DB_SOFList[[#This Row],[Plan01]:[Plan12]])/valUnits2</f>
        <v>37.129618999999998</v>
      </c>
      <c r="AG117" s="34">
        <f>SUMPRODUCT(DB_SOFList[[#This Row],[Act01]:[Act12]],$P$13:$AA$13)/valUnits2</f>
        <v>18.39189</v>
      </c>
      <c r="AH117" s="34">
        <f>IF(DB_SOFList[[#This Row],[FYPlan]]&lt;&gt;0,DB_SOFList[[#This Row],[FYActuals]]/DB_SOFList[[#This Row],[FYPlan]],1.000011000011)</f>
        <v>0.49534281512557404</v>
      </c>
    </row>
    <row r="118" spans="1:34" hidden="1" x14ac:dyDescent="0.2">
      <c r="A118">
        <f>SUBTOTAL(3,$B$16:B118)</f>
        <v>27</v>
      </c>
      <c r="B118" t="s">
        <v>346</v>
      </c>
      <c r="C118" t="s">
        <v>862</v>
      </c>
      <c r="F118">
        <v>99.876999999999995</v>
      </c>
      <c r="G118">
        <v>6930.0259999999998</v>
      </c>
      <c r="H118">
        <v>80476.503000000012</v>
      </c>
      <c r="I118">
        <v>31600.264999999996</v>
      </c>
      <c r="J118">
        <v>31600.264999999999</v>
      </c>
      <c r="K118">
        <v>31600.264999999999</v>
      </c>
      <c r="L118">
        <v>31600.264999999999</v>
      </c>
      <c r="M118">
        <v>31600.264999999999</v>
      </c>
      <c r="N118">
        <v>31600.264999999996</v>
      </c>
      <c r="O118">
        <v>31600.264999999999</v>
      </c>
      <c r="R118">
        <v>101.13</v>
      </c>
      <c r="S118">
        <v>6973.49</v>
      </c>
      <c r="T118">
        <v>79531.429999999993</v>
      </c>
      <c r="U118">
        <v>13190.530000000006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f>SUMPRODUCT(DB_SOFList[[#This Row],[Plan01]:[Plan12]],$D$14:$O$14)/valUnits2</f>
        <v>119.10667100000002</v>
      </c>
      <c r="AC118">
        <f>SUMPRODUCT(DB_SOFList[[#This Row],[Act01]:[Act12]],$P$14:$AA$14)/valUnits2</f>
        <v>99.796579999999992</v>
      </c>
      <c r="AD118">
        <f>DB_SOFList[[#This Row],[Actual]]-DB_SOFList[[#This Row],[Plan]]</f>
        <v>-19.310091000000028</v>
      </c>
      <c r="AE118">
        <f>IF(DB_SOFList[[#This Row],[Plan]]&lt;&gt;0,DB_SOFList[[#This Row],[Actual]]/DB_SOFList[[#This Row],[Plan]],1.000011000011)</f>
        <v>0.83787565517635842</v>
      </c>
      <c r="AF118" s="34">
        <f>SUM(DB_SOFList[[#This Row],[Plan01]:[Plan12]])/valUnits2</f>
        <v>308.70826100000005</v>
      </c>
      <c r="AG118" s="34">
        <f>SUMPRODUCT(DB_SOFList[[#This Row],[Act01]:[Act12]],$P$13:$AA$13)/valUnits2</f>
        <v>99.796579999999992</v>
      </c>
      <c r="AH118" s="34">
        <f>IF(DB_SOFList[[#This Row],[FYPlan]]&lt;&gt;0,DB_SOFList[[#This Row],[FYActuals]]/DB_SOFList[[#This Row],[FYPlan]],1.000011000011)</f>
        <v>0.3232714915912146</v>
      </c>
    </row>
    <row r="119" spans="1:34" hidden="1" x14ac:dyDescent="0.2">
      <c r="A119">
        <f>SUBTOTAL(3,$B$16:B119)</f>
        <v>27</v>
      </c>
      <c r="B119" t="s">
        <v>350</v>
      </c>
      <c r="C119" t="s">
        <v>862</v>
      </c>
      <c r="E119">
        <v>1317.3430000000001</v>
      </c>
      <c r="F119">
        <v>656.83400000000006</v>
      </c>
      <c r="G119">
        <v>1510.954</v>
      </c>
      <c r="H119">
        <v>178.346</v>
      </c>
      <c r="I119">
        <v>1025.2429999999999</v>
      </c>
      <c r="J119">
        <v>1025.2429999999999</v>
      </c>
      <c r="K119">
        <v>1025.2429999999999</v>
      </c>
      <c r="L119">
        <v>1025.2429999999999</v>
      </c>
      <c r="M119">
        <v>1025.2429999999999</v>
      </c>
      <c r="N119">
        <v>1025.2429999999999</v>
      </c>
      <c r="O119">
        <v>1025.2429999999999</v>
      </c>
      <c r="Q119">
        <v>1322.56</v>
      </c>
      <c r="R119">
        <v>665.1</v>
      </c>
      <c r="S119">
        <v>1518.5700000000002</v>
      </c>
      <c r="T119">
        <v>179.4</v>
      </c>
      <c r="U119">
        <v>-3681.18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f>SUMPRODUCT(DB_SOFList[[#This Row],[Plan01]:[Plan12]],$D$14:$O$14)/valUnits2</f>
        <v>4.68872</v>
      </c>
      <c r="AC119">
        <f>SUMPRODUCT(DB_SOFList[[#This Row],[Act01]:[Act12]],$P$14:$AA$14)/valUnits2</f>
        <v>4.4500000000002732E-3</v>
      </c>
      <c r="AD119">
        <f>DB_SOFList[[#This Row],[Actual]]-DB_SOFList[[#This Row],[Plan]]</f>
        <v>-4.6842699999999997</v>
      </c>
      <c r="AE119">
        <f>IF(DB_SOFList[[#This Row],[Plan]]&lt;&gt;0,DB_SOFList[[#This Row],[Actual]]/DB_SOFList[[#This Row],[Plan]],1.000011000011)</f>
        <v>9.4908631780107856E-4</v>
      </c>
      <c r="AF119" s="34">
        <f>SUM(DB_SOFList[[#This Row],[Plan01]:[Plan12]])/valUnits2</f>
        <v>10.840178000000002</v>
      </c>
      <c r="AG119" s="34">
        <f>SUMPRODUCT(DB_SOFList[[#This Row],[Act01]:[Act12]],$P$13:$AA$13)/valUnits2</f>
        <v>4.4500000000002732E-3</v>
      </c>
      <c r="AH119" s="34">
        <f>IF(DB_SOFList[[#This Row],[FYPlan]]&lt;&gt;0,DB_SOFList[[#This Row],[FYActuals]]/DB_SOFList[[#This Row],[FYPlan]],1.000011000011)</f>
        <v>4.1050986432144128E-4</v>
      </c>
    </row>
    <row r="120" spans="1:34" x14ac:dyDescent="0.2">
      <c r="A120">
        <f>SUBTOTAL(3,$B$16:B120)</f>
        <v>28</v>
      </c>
      <c r="B120" t="s">
        <v>1</v>
      </c>
      <c r="C120" t="s">
        <v>863</v>
      </c>
      <c r="D120">
        <v>-2877.63</v>
      </c>
      <c r="E120">
        <v>168.67</v>
      </c>
      <c r="F120">
        <v>1033.82</v>
      </c>
      <c r="G120">
        <v>7245.52</v>
      </c>
      <c r="H120">
        <v>994.98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-2877.6300000000019</v>
      </c>
      <c r="Q120">
        <v>168.67</v>
      </c>
      <c r="R120">
        <v>1033.82</v>
      </c>
      <c r="S120">
        <v>7245.52</v>
      </c>
      <c r="T120">
        <v>995.80000000000007</v>
      </c>
      <c r="U120">
        <v>271.08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f>SUMPRODUCT(DB_SOFList[[#This Row],[Plan01]:[Plan12]],$D$14:$O$14)/valUnits2</f>
        <v>6.565360000000001</v>
      </c>
      <c r="AC120">
        <f>SUMPRODUCT(DB_SOFList[[#This Row],[Act01]:[Act12]],$P$14:$AA$14)/valUnits2</f>
        <v>6.8372599999999988</v>
      </c>
      <c r="AD120">
        <f>DB_SOFList[[#This Row],[Actual]]-DB_SOFList[[#This Row],[Plan]]</f>
        <v>0.27189999999999781</v>
      </c>
      <c r="AE120">
        <f>IF(DB_SOFList[[#This Row],[Plan]]&lt;&gt;0,DB_SOFList[[#This Row],[Actual]]/DB_SOFList[[#This Row],[Plan]],1.000011000011)</f>
        <v>1.0414143321919891</v>
      </c>
      <c r="AF120" s="34">
        <f>SUM(DB_SOFList[[#This Row],[Plan01]:[Plan12]])/valUnits2</f>
        <v>6.565360000000001</v>
      </c>
      <c r="AG120" s="34">
        <f>SUMPRODUCT(DB_SOFList[[#This Row],[Act01]:[Act12]],$P$13:$AA$13)/valUnits2</f>
        <v>6.8372599999999988</v>
      </c>
      <c r="AH120" s="34">
        <f>IF(DB_SOFList[[#This Row],[FYPlan]]&lt;&gt;0,DB_SOFList[[#This Row],[FYActuals]]/DB_SOFList[[#This Row],[FYPlan]],1.000011000011)</f>
        <v>1.0414143321919891</v>
      </c>
    </row>
    <row r="121" spans="1:34" hidden="1" x14ac:dyDescent="0.2">
      <c r="A121">
        <f>SUBTOTAL(3,$B$16:B121)</f>
        <v>28</v>
      </c>
      <c r="B121" t="s">
        <v>351</v>
      </c>
      <c r="C121" t="s">
        <v>863</v>
      </c>
      <c r="G121">
        <v>777.83999999999992</v>
      </c>
      <c r="H121">
        <v>291.01000000000005</v>
      </c>
      <c r="S121">
        <v>777.83999999999992</v>
      </c>
      <c r="T121">
        <v>291.83000000000004</v>
      </c>
      <c r="AB121">
        <f>SUMPRODUCT(DB_SOFList[[#This Row],[Plan01]:[Plan12]],$D$14:$O$14)/valUnits2</f>
        <v>1.0688499999999999</v>
      </c>
      <c r="AC121">
        <f>SUMPRODUCT(DB_SOFList[[#This Row],[Act01]:[Act12]],$P$14:$AA$14)/valUnits2</f>
        <v>1.0696700000000001</v>
      </c>
      <c r="AD121">
        <f>DB_SOFList[[#This Row],[Actual]]-DB_SOFList[[#This Row],[Plan]]</f>
        <v>8.2000000000026496E-4</v>
      </c>
      <c r="AE121">
        <f>IF(DB_SOFList[[#This Row],[Plan]]&lt;&gt;0,DB_SOFList[[#This Row],[Actual]]/DB_SOFList[[#This Row],[Plan]],1.000011000011)</f>
        <v>1.0007671796790947</v>
      </c>
      <c r="AF121" s="34">
        <f>SUM(DB_SOFList[[#This Row],[Plan01]:[Plan12]])/valUnits2</f>
        <v>1.0688499999999999</v>
      </c>
      <c r="AG121" s="34">
        <f>SUMPRODUCT(DB_SOFList[[#This Row],[Act01]:[Act12]],$P$13:$AA$13)/valUnits2</f>
        <v>1.0696700000000001</v>
      </c>
      <c r="AH121" s="34">
        <f>IF(DB_SOFList[[#This Row],[FYPlan]]&lt;&gt;0,DB_SOFList[[#This Row],[FYActuals]]/DB_SOFList[[#This Row],[FYPlan]],1.000011000011)</f>
        <v>1.0007671796790947</v>
      </c>
    </row>
    <row r="122" spans="1:34" hidden="1" x14ac:dyDescent="0.2">
      <c r="A122">
        <f>SUBTOTAL(3,$B$16:B122)</f>
        <v>28</v>
      </c>
      <c r="B122" t="s">
        <v>343</v>
      </c>
      <c r="C122" t="s">
        <v>863</v>
      </c>
      <c r="D122">
        <v>-2877.63</v>
      </c>
      <c r="E122">
        <v>168.67</v>
      </c>
      <c r="F122">
        <v>1033.82</v>
      </c>
      <c r="G122">
        <v>6467.68</v>
      </c>
      <c r="H122">
        <v>703.97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-2877.6300000000019</v>
      </c>
      <c r="Q122">
        <v>168.67</v>
      </c>
      <c r="R122">
        <v>1033.82</v>
      </c>
      <c r="S122">
        <v>6467.68</v>
      </c>
      <c r="T122">
        <v>703.97</v>
      </c>
      <c r="U122">
        <v>271.08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f>SUMPRODUCT(DB_SOFList[[#This Row],[Plan01]:[Plan12]],$D$14:$O$14)/valUnits2</f>
        <v>5.4965099999999998</v>
      </c>
      <c r="AC122">
        <f>SUMPRODUCT(DB_SOFList[[#This Row],[Act01]:[Act12]],$P$14:$AA$14)/valUnits2</f>
        <v>5.7675899999999984</v>
      </c>
      <c r="AD122">
        <f>DB_SOFList[[#This Row],[Actual]]-DB_SOFList[[#This Row],[Plan]]</f>
        <v>0.27107999999999866</v>
      </c>
      <c r="AE122">
        <f>IF(DB_SOFList[[#This Row],[Plan]]&lt;&gt;0,DB_SOFList[[#This Row],[Actual]]/DB_SOFList[[#This Row],[Plan]],1.000011000011)</f>
        <v>1.049318567600168</v>
      </c>
      <c r="AF122" s="34">
        <f>SUM(DB_SOFList[[#This Row],[Plan01]:[Plan12]])/valUnits2</f>
        <v>5.4965099999999998</v>
      </c>
      <c r="AG122" s="34">
        <f>SUMPRODUCT(DB_SOFList[[#This Row],[Act01]:[Act12]],$P$13:$AA$13)/valUnits2</f>
        <v>5.7675899999999984</v>
      </c>
      <c r="AH122" s="34">
        <f>IF(DB_SOFList[[#This Row],[FYPlan]]&lt;&gt;0,DB_SOFList[[#This Row],[FYActuals]]/DB_SOFList[[#This Row],[FYPlan]],1.000011000011)</f>
        <v>1.049318567600168</v>
      </c>
    </row>
    <row r="123" spans="1:34" x14ac:dyDescent="0.2">
      <c r="A123">
        <f>SUBTOTAL(3,$B$16:B123)</f>
        <v>29</v>
      </c>
      <c r="B123" t="s">
        <v>1</v>
      </c>
      <c r="C123" t="s">
        <v>864</v>
      </c>
      <c r="D123">
        <v>0</v>
      </c>
      <c r="F123">
        <v>22651.826999999997</v>
      </c>
      <c r="G123">
        <v>-63.133000000000003</v>
      </c>
      <c r="P123">
        <v>0</v>
      </c>
      <c r="R123">
        <v>23984.86</v>
      </c>
      <c r="S123">
        <v>-65.539999999999992</v>
      </c>
      <c r="AB123" s="34">
        <f>SUMPRODUCT(DB_SOFList[[#This Row],[Plan01]:[Plan12]],$D$14:$O$14)/valUnits2</f>
        <v>22.588693999999997</v>
      </c>
      <c r="AC123" s="34">
        <f>SUMPRODUCT(DB_SOFList[[#This Row],[Act01]:[Act12]],$P$14:$AA$14)/valUnits2</f>
        <v>23.919319999999999</v>
      </c>
      <c r="AD123" s="34">
        <f>DB_SOFList[[#This Row],[Actual]]-DB_SOFList[[#This Row],[Plan]]</f>
        <v>1.3306260000000023</v>
      </c>
      <c r="AE123" s="34">
        <f>IF(DB_SOFList[[#This Row],[Plan]]&lt;&gt;0,DB_SOFList[[#This Row],[Actual]]/DB_SOFList[[#This Row],[Plan]],1.000011000011)</f>
        <v>1.0589067256389415</v>
      </c>
      <c r="AF123" s="34">
        <f>SUM(DB_SOFList[[#This Row],[Plan01]:[Plan12]])/valUnits2</f>
        <v>22.588693999999997</v>
      </c>
      <c r="AG123" s="34">
        <f>SUMPRODUCT(DB_SOFList[[#This Row],[Act01]:[Act12]],$P$13:$AA$13)/valUnits2</f>
        <v>23.919319999999999</v>
      </c>
      <c r="AH123" s="34">
        <f>IF(DB_SOFList[[#This Row],[FYPlan]]&lt;&gt;0,DB_SOFList[[#This Row],[FYActuals]]/DB_SOFList[[#This Row],[FYPlan]],1.000011000011)</f>
        <v>1.0589067256389415</v>
      </c>
    </row>
    <row r="124" spans="1:34" hidden="1" x14ac:dyDescent="0.2">
      <c r="A124">
        <f>SUBTOTAL(3,$B$16:B124)</f>
        <v>29</v>
      </c>
      <c r="B124" t="s">
        <v>349</v>
      </c>
      <c r="C124" t="s">
        <v>864</v>
      </c>
      <c r="D124">
        <v>0</v>
      </c>
      <c r="F124">
        <v>22651.826999999997</v>
      </c>
      <c r="G124">
        <v>-63.133000000000003</v>
      </c>
      <c r="P124">
        <v>0</v>
      </c>
      <c r="R124">
        <v>23984.86</v>
      </c>
      <c r="S124">
        <v>-65.539999999999992</v>
      </c>
      <c r="AB124">
        <f>SUMPRODUCT(DB_SOFList[[#This Row],[Plan01]:[Plan12]],$D$14:$O$14)/valUnits2</f>
        <v>22.588693999999997</v>
      </c>
      <c r="AC124">
        <f>SUMPRODUCT(DB_SOFList[[#This Row],[Act01]:[Act12]],$P$14:$AA$14)/valUnits2</f>
        <v>23.919319999999999</v>
      </c>
      <c r="AD124">
        <f>DB_SOFList[[#This Row],[Actual]]-DB_SOFList[[#This Row],[Plan]]</f>
        <v>1.3306260000000023</v>
      </c>
      <c r="AE124">
        <f>IF(DB_SOFList[[#This Row],[Plan]]&lt;&gt;0,DB_SOFList[[#This Row],[Actual]]/DB_SOFList[[#This Row],[Plan]],1.000011000011)</f>
        <v>1.0589067256389415</v>
      </c>
      <c r="AF124" s="34">
        <f>SUM(DB_SOFList[[#This Row],[Plan01]:[Plan12]])/valUnits2</f>
        <v>22.588693999999997</v>
      </c>
      <c r="AG124" s="34">
        <f>SUMPRODUCT(DB_SOFList[[#This Row],[Act01]:[Act12]],$P$13:$AA$13)/valUnits2</f>
        <v>23.919319999999999</v>
      </c>
      <c r="AH124" s="34">
        <f>IF(DB_SOFList[[#This Row],[FYPlan]]&lt;&gt;0,DB_SOFList[[#This Row],[FYActuals]]/DB_SOFList[[#This Row],[FYPlan]],1.000011000011)</f>
        <v>1.0589067256389415</v>
      </c>
    </row>
    <row r="125" spans="1:34" x14ac:dyDescent="0.2">
      <c r="A125">
        <f>SUBTOTAL(3,$B$16:B125)</f>
        <v>30</v>
      </c>
      <c r="B125" t="s">
        <v>1</v>
      </c>
      <c r="C125" t="s">
        <v>865</v>
      </c>
      <c r="D125">
        <v>865.33799999999997</v>
      </c>
      <c r="E125">
        <v>-877.99099999999999</v>
      </c>
      <c r="F125">
        <v>0</v>
      </c>
      <c r="G125">
        <v>122.04299999999999</v>
      </c>
      <c r="H125">
        <v>11338.200999999999</v>
      </c>
      <c r="I125">
        <v>2932.069</v>
      </c>
      <c r="J125">
        <v>2932.069</v>
      </c>
      <c r="K125">
        <v>2932.069</v>
      </c>
      <c r="L125">
        <v>2932.069</v>
      </c>
      <c r="M125">
        <v>2932.069</v>
      </c>
      <c r="N125">
        <v>2932.069</v>
      </c>
      <c r="O125">
        <v>2932.069</v>
      </c>
      <c r="P125">
        <v>865.34</v>
      </c>
      <c r="Q125">
        <v>-864.9</v>
      </c>
      <c r="R125">
        <v>0</v>
      </c>
      <c r="S125">
        <v>121.11000000000001</v>
      </c>
      <c r="T125">
        <v>11353.5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f>SUMPRODUCT(DB_SOFList[[#This Row],[Plan01]:[Plan12]],$D$14:$O$14)/valUnits2</f>
        <v>14.379659999999998</v>
      </c>
      <c r="AC125">
        <f>SUMPRODUCT(DB_SOFList[[#This Row],[Act01]:[Act12]],$P$14:$AA$14)/valUnits2</f>
        <v>11.47505</v>
      </c>
      <c r="AD125">
        <f>DB_SOFList[[#This Row],[Actual]]-DB_SOFList[[#This Row],[Plan]]</f>
        <v>-2.9046099999999981</v>
      </c>
      <c r="AE125">
        <f>IF(DB_SOFList[[#This Row],[Plan]]&lt;&gt;0,DB_SOFList[[#This Row],[Actual]]/DB_SOFList[[#This Row],[Plan]],1.000011000011)</f>
        <v>0.79800565521020672</v>
      </c>
      <c r="AF125" s="34">
        <f>SUM(DB_SOFList[[#This Row],[Plan01]:[Plan12]])/valUnits2</f>
        <v>31.972073999999996</v>
      </c>
      <c r="AG125" s="34">
        <f>SUMPRODUCT(DB_SOFList[[#This Row],[Act01]:[Act12]],$P$13:$AA$13)/valUnits2</f>
        <v>11.47505</v>
      </c>
      <c r="AH125" s="34">
        <f>IF(DB_SOFList[[#This Row],[FYPlan]]&lt;&gt;0,DB_SOFList[[#This Row],[FYActuals]]/DB_SOFList[[#This Row],[FYPlan]],1.000011000011)</f>
        <v>0.35890852748558011</v>
      </c>
    </row>
    <row r="126" spans="1:34" hidden="1" x14ac:dyDescent="0.2">
      <c r="A126">
        <f>SUBTOTAL(3,$B$16:B126)</f>
        <v>30</v>
      </c>
      <c r="B126" t="s">
        <v>351</v>
      </c>
      <c r="C126" t="s">
        <v>865</v>
      </c>
      <c r="D126">
        <v>0</v>
      </c>
      <c r="E126">
        <v>0</v>
      </c>
      <c r="F126">
        <v>0</v>
      </c>
      <c r="G126">
        <v>122.04299999999999</v>
      </c>
      <c r="H126">
        <v>42.975000000000001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121.11000000000001</v>
      </c>
      <c r="T126">
        <v>43.199999999999996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f>SUMPRODUCT(DB_SOFList[[#This Row],[Plan01]:[Plan12]],$D$14:$O$14)/valUnits2</f>
        <v>0.165018</v>
      </c>
      <c r="AC126">
        <f>SUMPRODUCT(DB_SOFList[[#This Row],[Act01]:[Act12]],$P$14:$AA$14)/valUnits2</f>
        <v>0.16431000000000001</v>
      </c>
      <c r="AD126">
        <f>DB_SOFList[[#This Row],[Actual]]-DB_SOFList[[#This Row],[Plan]]</f>
        <v>-7.0799999999998642E-4</v>
      </c>
      <c r="AE126">
        <f>IF(DB_SOFList[[#This Row],[Plan]]&lt;&gt;0,DB_SOFList[[#This Row],[Actual]]/DB_SOFList[[#This Row],[Plan]],1.000011000011)</f>
        <v>0.9957095589572047</v>
      </c>
      <c r="AF126" s="34">
        <f>SUM(DB_SOFList[[#This Row],[Plan01]:[Plan12]])/valUnits2</f>
        <v>0.165018</v>
      </c>
      <c r="AG126" s="34">
        <f>SUMPRODUCT(DB_SOFList[[#This Row],[Act01]:[Act12]],$P$13:$AA$13)/valUnits2</f>
        <v>0.16431000000000001</v>
      </c>
      <c r="AH126" s="34">
        <f>IF(DB_SOFList[[#This Row],[FYPlan]]&lt;&gt;0,DB_SOFList[[#This Row],[FYActuals]]/DB_SOFList[[#This Row],[FYPlan]],1.000011000011)</f>
        <v>0.9957095589572047</v>
      </c>
    </row>
    <row r="127" spans="1:34" hidden="1" x14ac:dyDescent="0.2">
      <c r="A127">
        <f>SUBTOTAL(3,$B$16:B127)</f>
        <v>30</v>
      </c>
      <c r="B127" t="s">
        <v>346</v>
      </c>
      <c r="C127" t="s">
        <v>865</v>
      </c>
      <c r="D127">
        <v>865.33799999999997</v>
      </c>
      <c r="E127">
        <v>-877.99099999999999</v>
      </c>
      <c r="F127">
        <v>0</v>
      </c>
      <c r="G127">
        <v>0</v>
      </c>
      <c r="H127">
        <v>11295.225999999999</v>
      </c>
      <c r="I127">
        <v>2932.069</v>
      </c>
      <c r="J127">
        <v>2932.069</v>
      </c>
      <c r="K127">
        <v>2932.069</v>
      </c>
      <c r="L127">
        <v>2932.069</v>
      </c>
      <c r="M127">
        <v>2932.069</v>
      </c>
      <c r="N127">
        <v>2932.069</v>
      </c>
      <c r="O127">
        <v>2932.069</v>
      </c>
      <c r="P127">
        <v>865.34</v>
      </c>
      <c r="Q127">
        <v>-864.9</v>
      </c>
      <c r="R127">
        <v>0</v>
      </c>
      <c r="S127">
        <v>0</v>
      </c>
      <c r="T127">
        <v>11310.3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f>SUMPRODUCT(DB_SOFList[[#This Row],[Plan01]:[Plan12]],$D$14:$O$14)/valUnits2</f>
        <v>14.214641999999998</v>
      </c>
      <c r="AC127">
        <f>SUMPRODUCT(DB_SOFList[[#This Row],[Act01]:[Act12]],$P$14:$AA$14)/valUnits2</f>
        <v>11.310739999999999</v>
      </c>
      <c r="AD127">
        <f>DB_SOFList[[#This Row],[Actual]]-DB_SOFList[[#This Row],[Plan]]</f>
        <v>-2.9039019999999987</v>
      </c>
      <c r="AE127">
        <f>IF(DB_SOFList[[#This Row],[Plan]]&lt;&gt;0,DB_SOFList[[#This Row],[Actual]]/DB_SOFList[[#This Row],[Plan]],1.000011000011)</f>
        <v>0.79571050751753025</v>
      </c>
      <c r="AF127" s="34">
        <f>SUM(DB_SOFList[[#This Row],[Plan01]:[Plan12]])/valUnits2</f>
        <v>31.807055999999996</v>
      </c>
      <c r="AG127" s="34">
        <f>SUMPRODUCT(DB_SOFList[[#This Row],[Act01]:[Act12]],$P$13:$AA$13)/valUnits2</f>
        <v>11.310739999999999</v>
      </c>
      <c r="AH127" s="34">
        <f>IF(DB_SOFList[[#This Row],[FYPlan]]&lt;&gt;0,DB_SOFList[[#This Row],[FYActuals]]/DB_SOFList[[#This Row],[FYPlan]],1.000011000011)</f>
        <v>0.35560474380275875</v>
      </c>
    </row>
    <row r="128" spans="1:34" hidden="1" x14ac:dyDescent="0.2">
      <c r="A128">
        <f>SUBTOTAL(3,$B$16:B128)</f>
        <v>30</v>
      </c>
      <c r="B128" t="s">
        <v>350</v>
      </c>
      <c r="C128" t="s">
        <v>865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f>SUMPRODUCT(DB_SOFList[[#This Row],[Plan01]:[Plan12]],$D$14:$O$14)/valUnits2</f>
        <v>0</v>
      </c>
      <c r="AC128">
        <f>SUMPRODUCT(DB_SOFList[[#This Row],[Act01]:[Act12]],$P$14:$AA$14)/valUnits2</f>
        <v>0</v>
      </c>
      <c r="AD128">
        <f>DB_SOFList[[#This Row],[Actual]]-DB_SOFList[[#This Row],[Plan]]</f>
        <v>0</v>
      </c>
      <c r="AE128">
        <f>IF(DB_SOFList[[#This Row],[Plan]]&lt;&gt;0,DB_SOFList[[#This Row],[Actual]]/DB_SOFList[[#This Row],[Plan]],1.000011000011)</f>
        <v>1.0000110000110001</v>
      </c>
      <c r="AF128" s="34">
        <f>SUM(DB_SOFList[[#This Row],[Plan01]:[Plan12]])/valUnits2</f>
        <v>0</v>
      </c>
      <c r="AG128" s="34">
        <f>SUMPRODUCT(DB_SOFList[[#This Row],[Act01]:[Act12]],$P$13:$AA$13)/valUnits2</f>
        <v>0</v>
      </c>
      <c r="AH128" s="34">
        <f>IF(DB_SOFList[[#This Row],[FYPlan]]&lt;&gt;0,DB_SOFList[[#This Row],[FYActuals]]/DB_SOFList[[#This Row],[FYPlan]],1.000011000011)</f>
        <v>1.0000110000110001</v>
      </c>
    </row>
    <row r="129" spans="1:34" x14ac:dyDescent="0.2">
      <c r="A129">
        <f>SUBTOTAL(3,$B$16:B129)</f>
        <v>31</v>
      </c>
      <c r="B129" t="s">
        <v>1</v>
      </c>
      <c r="C129" t="s">
        <v>355</v>
      </c>
      <c r="D129">
        <v>12091.820000000002</v>
      </c>
      <c r="E129">
        <v>8769.2499999999982</v>
      </c>
      <c r="F129">
        <v>349.80899999999895</v>
      </c>
      <c r="G129">
        <v>1606.4390000000001</v>
      </c>
      <c r="H129">
        <v>599.36400000000049</v>
      </c>
      <c r="I129">
        <v>10359.532999999999</v>
      </c>
      <c r="P129">
        <v>12206.119999999999</v>
      </c>
      <c r="Q129">
        <v>8939.9599999999991</v>
      </c>
      <c r="R129">
        <v>345.81</v>
      </c>
      <c r="S129">
        <v>1623.7000000000003</v>
      </c>
      <c r="T129">
        <v>641.72999999999956</v>
      </c>
      <c r="U129">
        <v>0</v>
      </c>
      <c r="AB129">
        <f>SUMPRODUCT(DB_SOFList[[#This Row],[Plan01]:[Plan12]],$D$14:$O$14)/valUnits2</f>
        <v>33.776214999999993</v>
      </c>
      <c r="AC129">
        <f>SUMPRODUCT(DB_SOFList[[#This Row],[Act01]:[Act12]],$P$14:$AA$14)/valUnits2</f>
        <v>23.75732</v>
      </c>
      <c r="AD129">
        <f>DB_SOFList[[#This Row],[Actual]]-DB_SOFList[[#This Row],[Plan]]</f>
        <v>-10.018894999999993</v>
      </c>
      <c r="AE129">
        <f>IF(DB_SOFList[[#This Row],[Plan]]&lt;&gt;0,DB_SOFList[[#This Row],[Actual]]/DB_SOFList[[#This Row],[Plan]],1.000011000011)</f>
        <v>0.70337425315417978</v>
      </c>
      <c r="AF129" s="34">
        <f>SUM(DB_SOFList[[#This Row],[Plan01]:[Plan12]])/valUnits2</f>
        <v>33.776214999999993</v>
      </c>
      <c r="AG129" s="34">
        <f>SUMPRODUCT(DB_SOFList[[#This Row],[Act01]:[Act12]],$P$13:$AA$13)/valUnits2</f>
        <v>23.75732</v>
      </c>
      <c r="AH129" s="34">
        <f>IF(DB_SOFList[[#This Row],[FYPlan]]&lt;&gt;0,DB_SOFList[[#This Row],[FYActuals]]/DB_SOFList[[#This Row],[FYPlan]],1.000011000011)</f>
        <v>0.70337425315417978</v>
      </c>
    </row>
    <row r="130" spans="1:34" hidden="1" x14ac:dyDescent="0.2">
      <c r="A130">
        <f>SUBTOTAL(3,$B$16:B130)</f>
        <v>31</v>
      </c>
      <c r="B130" t="s">
        <v>351</v>
      </c>
      <c r="C130" t="s">
        <v>355</v>
      </c>
      <c r="G130">
        <v>84.13000000000001</v>
      </c>
      <c r="S130">
        <v>85.25</v>
      </c>
      <c r="AB130">
        <f>SUMPRODUCT(DB_SOFList[[#This Row],[Plan01]:[Plan12]],$D$14:$O$14)/valUnits2</f>
        <v>8.413000000000001E-2</v>
      </c>
      <c r="AC130">
        <f>SUMPRODUCT(DB_SOFList[[#This Row],[Act01]:[Act12]],$P$14:$AA$14)/valUnits2</f>
        <v>8.5250000000000006E-2</v>
      </c>
      <c r="AD130">
        <f>DB_SOFList[[#This Row],[Actual]]-DB_SOFList[[#This Row],[Plan]]</f>
        <v>1.119999999999996E-3</v>
      </c>
      <c r="AE130">
        <f>IF(DB_SOFList[[#This Row],[Plan]]&lt;&gt;0,DB_SOFList[[#This Row],[Actual]]/DB_SOFList[[#This Row],[Plan]],1.000011000011)</f>
        <v>1.0133127302983478</v>
      </c>
      <c r="AF130" s="34">
        <f>SUM(DB_SOFList[[#This Row],[Plan01]:[Plan12]])/valUnits2</f>
        <v>8.413000000000001E-2</v>
      </c>
      <c r="AG130" s="34">
        <f>SUMPRODUCT(DB_SOFList[[#This Row],[Act01]:[Act12]],$P$13:$AA$13)/valUnits2</f>
        <v>8.5250000000000006E-2</v>
      </c>
      <c r="AH130" s="34">
        <f>IF(DB_SOFList[[#This Row],[FYPlan]]&lt;&gt;0,DB_SOFList[[#This Row],[FYActuals]]/DB_SOFList[[#This Row],[FYPlan]],1.000011000011)</f>
        <v>1.0133127302983478</v>
      </c>
    </row>
    <row r="131" spans="1:34" hidden="1" x14ac:dyDescent="0.2">
      <c r="A131">
        <f>SUBTOTAL(3,$B$16:B131)</f>
        <v>31</v>
      </c>
      <c r="B131" t="s">
        <v>349</v>
      </c>
      <c r="C131" t="s">
        <v>355</v>
      </c>
      <c r="D131">
        <v>12091.820000000002</v>
      </c>
      <c r="E131">
        <v>8769.2499999999982</v>
      </c>
      <c r="F131">
        <v>349.80899999999895</v>
      </c>
      <c r="G131">
        <v>1522.309</v>
      </c>
      <c r="H131">
        <v>599.36400000000049</v>
      </c>
      <c r="I131">
        <v>10359.532999999999</v>
      </c>
      <c r="P131">
        <v>12206.119999999999</v>
      </c>
      <c r="Q131">
        <v>8939.9599999999991</v>
      </c>
      <c r="R131">
        <v>345.81</v>
      </c>
      <c r="S131">
        <v>1538.4500000000003</v>
      </c>
      <c r="T131">
        <v>641.72999999999956</v>
      </c>
      <c r="U131">
        <v>0</v>
      </c>
      <c r="AB131" s="34">
        <f>SUMPRODUCT(DB_SOFList[[#This Row],[Plan01]:[Plan12]],$D$14:$O$14)/valUnits2</f>
        <v>33.692084999999999</v>
      </c>
      <c r="AC131" s="34">
        <f>SUMPRODUCT(DB_SOFList[[#This Row],[Act01]:[Act12]],$P$14:$AA$14)/valUnits2</f>
        <v>23.672069999999998</v>
      </c>
      <c r="AD131" s="34">
        <f>DB_SOFList[[#This Row],[Actual]]-DB_SOFList[[#This Row],[Plan]]</f>
        <v>-10.020015000000001</v>
      </c>
      <c r="AE131" s="34">
        <f>IF(DB_SOFList[[#This Row],[Plan]]&lt;&gt;0,DB_SOFList[[#This Row],[Actual]]/DB_SOFList[[#This Row],[Plan]],1.000011000011)</f>
        <v>0.70260032883094048</v>
      </c>
      <c r="AF131" s="34">
        <f>SUM(DB_SOFList[[#This Row],[Plan01]:[Plan12]])/valUnits2</f>
        <v>33.692084999999999</v>
      </c>
      <c r="AG131" s="34">
        <f>SUMPRODUCT(DB_SOFList[[#This Row],[Act01]:[Act12]],$P$13:$AA$13)/valUnits2</f>
        <v>23.672069999999998</v>
      </c>
      <c r="AH131" s="34">
        <f>IF(DB_SOFList[[#This Row],[FYPlan]]&lt;&gt;0,DB_SOFList[[#This Row],[FYActuals]]/DB_SOFList[[#This Row],[FYPlan]],1.000011000011)</f>
        <v>0.70260032883094048</v>
      </c>
    </row>
    <row r="132" spans="1:34" hidden="1" x14ac:dyDescent="0.2">
      <c r="A132">
        <f>SUBTOTAL(3,$B$16:B132)</f>
        <v>31</v>
      </c>
      <c r="B132" t="s">
        <v>350</v>
      </c>
      <c r="C132" t="s">
        <v>355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AB132">
        <f>SUMPRODUCT(DB_SOFList[[#This Row],[Plan01]:[Plan12]],$D$14:$O$14)/valUnits2</f>
        <v>0</v>
      </c>
      <c r="AC132">
        <f>SUMPRODUCT(DB_SOFList[[#This Row],[Act01]:[Act12]],$P$14:$AA$14)/valUnits2</f>
        <v>0</v>
      </c>
      <c r="AD132">
        <f>DB_SOFList[[#This Row],[Actual]]-DB_SOFList[[#This Row],[Plan]]</f>
        <v>0</v>
      </c>
      <c r="AE132">
        <f>IF(DB_SOFList[[#This Row],[Plan]]&lt;&gt;0,DB_SOFList[[#This Row],[Actual]]/DB_SOFList[[#This Row],[Plan]],1.000011000011)</f>
        <v>1.0000110000110001</v>
      </c>
      <c r="AF132" s="34">
        <f>SUM(DB_SOFList[[#This Row],[Plan01]:[Plan12]])/valUnits2</f>
        <v>0</v>
      </c>
      <c r="AG132" s="34">
        <f>SUMPRODUCT(DB_SOFList[[#This Row],[Act01]:[Act12]],$P$13:$AA$13)/valUnits2</f>
        <v>0</v>
      </c>
      <c r="AH132" s="34">
        <f>IF(DB_SOFList[[#This Row],[FYPlan]]&lt;&gt;0,DB_SOFList[[#This Row],[FYActuals]]/DB_SOFList[[#This Row],[FYPlan]],1.000011000011)</f>
        <v>1.0000110000110001</v>
      </c>
    </row>
    <row r="133" spans="1:34" x14ac:dyDescent="0.2">
      <c r="A133">
        <f>SUBTOTAL(3,$B$16:B133)</f>
        <v>32</v>
      </c>
      <c r="B133" t="s">
        <v>1</v>
      </c>
      <c r="C133" t="s">
        <v>866</v>
      </c>
      <c r="D133">
        <v>183334.97</v>
      </c>
      <c r="E133">
        <v>208931.52000000002</v>
      </c>
      <c r="F133">
        <v>230836.45</v>
      </c>
      <c r="G133">
        <v>-314775.52</v>
      </c>
      <c r="H133">
        <v>-116727.21000000002</v>
      </c>
      <c r="I133">
        <v>47750.003999999986</v>
      </c>
      <c r="J133">
        <v>47750.003999999986</v>
      </c>
      <c r="K133">
        <v>47750.003999999986</v>
      </c>
      <c r="L133">
        <v>47750.003999999986</v>
      </c>
      <c r="P133">
        <v>183334.97000000003</v>
      </c>
      <c r="Q133">
        <v>208931.52000000002</v>
      </c>
      <c r="R133">
        <v>231446.49</v>
      </c>
      <c r="S133">
        <v>-314976.16000000003</v>
      </c>
      <c r="T133">
        <v>-117136.61000000006</v>
      </c>
      <c r="U133">
        <v>33166.419999999991</v>
      </c>
      <c r="V133">
        <v>7223.65</v>
      </c>
      <c r="W133">
        <v>0</v>
      </c>
      <c r="X133">
        <v>0</v>
      </c>
      <c r="AB133">
        <f>SUMPRODUCT(DB_SOFList[[#This Row],[Plan01]:[Plan12]],$D$14:$O$14)/valUnits2</f>
        <v>239.35021399999988</v>
      </c>
      <c r="AC133">
        <f>SUMPRODUCT(DB_SOFList[[#This Row],[Act01]:[Act12]],$P$14:$AA$14)/valUnits2</f>
        <v>224.76662999999988</v>
      </c>
      <c r="AD133">
        <f>DB_SOFList[[#This Row],[Actual]]-DB_SOFList[[#This Row],[Plan]]</f>
        <v>-14.583584000000002</v>
      </c>
      <c r="AE133">
        <f>IF(DB_SOFList[[#This Row],[Plan]]&lt;&gt;0,DB_SOFList[[#This Row],[Actual]]/DB_SOFList[[#This Row],[Plan]],1.000011000011)</f>
        <v>0.93907010252349299</v>
      </c>
      <c r="AF133" s="34">
        <f>SUM(DB_SOFList[[#This Row],[Plan01]:[Plan12]])/valUnits2</f>
        <v>382.60022599999979</v>
      </c>
      <c r="AG133" s="34">
        <f>SUMPRODUCT(DB_SOFList[[#This Row],[Act01]:[Act12]],$P$13:$AA$13)/valUnits2</f>
        <v>224.76662999999988</v>
      </c>
      <c r="AH133" s="34">
        <f>IF(DB_SOFList[[#This Row],[FYPlan]]&lt;&gt;0,DB_SOFList[[#This Row],[FYActuals]]/DB_SOFList[[#This Row],[FYPlan]],1.000011000011)</f>
        <v>0.58747124211055746</v>
      </c>
    </row>
    <row r="134" spans="1:34" hidden="1" x14ac:dyDescent="0.2">
      <c r="A134">
        <f>SUBTOTAL(3,$B$16:B134)</f>
        <v>32</v>
      </c>
      <c r="B134" t="s">
        <v>351</v>
      </c>
      <c r="C134" t="s">
        <v>866</v>
      </c>
      <c r="D134">
        <v>183103.44</v>
      </c>
      <c r="E134">
        <v>97510.87000000001</v>
      </c>
      <c r="F134">
        <v>146496.21000000002</v>
      </c>
      <c r="G134">
        <v>-152757.20000000004</v>
      </c>
      <c r="H134">
        <v>-130480.71000000002</v>
      </c>
      <c r="I134">
        <v>42194.447999999989</v>
      </c>
      <c r="J134">
        <v>42194.447999999989</v>
      </c>
      <c r="K134">
        <v>42194.447999999989</v>
      </c>
      <c r="L134">
        <v>42194.447999999989</v>
      </c>
      <c r="P134">
        <v>183103.44000000003</v>
      </c>
      <c r="Q134">
        <v>97510.87</v>
      </c>
      <c r="R134">
        <v>146861.69</v>
      </c>
      <c r="S134">
        <v>-152778.25000000006</v>
      </c>
      <c r="T134">
        <v>-131079.34000000005</v>
      </c>
      <c r="U134">
        <v>30734.599999999991</v>
      </c>
      <c r="V134">
        <v>7223.65</v>
      </c>
      <c r="W134">
        <v>0</v>
      </c>
      <c r="X134">
        <v>0</v>
      </c>
      <c r="AB134">
        <f>SUMPRODUCT(DB_SOFList[[#This Row],[Plan01]:[Plan12]],$D$14:$O$14)/valUnits2</f>
        <v>186.06705799999989</v>
      </c>
      <c r="AC134">
        <f>SUMPRODUCT(DB_SOFList[[#This Row],[Act01]:[Act12]],$P$14:$AA$14)/valUnits2</f>
        <v>174.35300999999995</v>
      </c>
      <c r="AD134">
        <f>DB_SOFList[[#This Row],[Actual]]-DB_SOFList[[#This Row],[Plan]]</f>
        <v>-11.714047999999934</v>
      </c>
      <c r="AE134">
        <f>IF(DB_SOFList[[#This Row],[Plan]]&lt;&gt;0,DB_SOFList[[#This Row],[Actual]]/DB_SOFList[[#This Row],[Plan]],1.000011000011)</f>
        <v>0.93704394466214469</v>
      </c>
      <c r="AF134" s="34">
        <f>SUM(DB_SOFList[[#This Row],[Plan01]:[Plan12]])/valUnits2</f>
        <v>312.65040199999981</v>
      </c>
      <c r="AG134" s="34">
        <f>SUMPRODUCT(DB_SOFList[[#This Row],[Act01]:[Act12]],$P$13:$AA$13)/valUnits2</f>
        <v>174.35300999999995</v>
      </c>
      <c r="AH134" s="34">
        <f>IF(DB_SOFList[[#This Row],[FYPlan]]&lt;&gt;0,DB_SOFList[[#This Row],[FYActuals]]/DB_SOFList[[#This Row],[FYPlan]],1.000011000011)</f>
        <v>0.55766123723071392</v>
      </c>
    </row>
    <row r="135" spans="1:34" hidden="1" x14ac:dyDescent="0.2">
      <c r="A135">
        <f>SUBTOTAL(3,$B$16:B135)</f>
        <v>32</v>
      </c>
      <c r="B135" t="s">
        <v>349</v>
      </c>
      <c r="C135" t="s">
        <v>866</v>
      </c>
      <c r="G135">
        <v>65.539999999999992</v>
      </c>
      <c r="H135">
        <v>2562.48</v>
      </c>
      <c r="I135">
        <v>0</v>
      </c>
      <c r="S135">
        <v>65.539999999999992</v>
      </c>
      <c r="T135">
        <v>2562.48</v>
      </c>
      <c r="U135">
        <v>-2398.81</v>
      </c>
      <c r="AB135">
        <f>SUMPRODUCT(DB_SOFList[[#This Row],[Plan01]:[Plan12]],$D$14:$O$14)/valUnits2</f>
        <v>2.6280199999999998</v>
      </c>
      <c r="AC135">
        <f>SUMPRODUCT(DB_SOFList[[#This Row],[Act01]:[Act12]],$P$14:$AA$14)/valUnits2</f>
        <v>0.22921000000000002</v>
      </c>
      <c r="AD135">
        <f>DB_SOFList[[#This Row],[Actual]]-DB_SOFList[[#This Row],[Plan]]</f>
        <v>-2.3988099999999997</v>
      </c>
      <c r="AE135">
        <f>IF(DB_SOFList[[#This Row],[Plan]]&lt;&gt;0,DB_SOFList[[#This Row],[Actual]]/DB_SOFList[[#This Row],[Plan]],1.000011000011)</f>
        <v>8.7217753289548797E-2</v>
      </c>
      <c r="AF135" s="34">
        <f>SUM(DB_SOFList[[#This Row],[Plan01]:[Plan12]])/valUnits2</f>
        <v>2.6280199999999998</v>
      </c>
      <c r="AG135" s="34">
        <f>SUMPRODUCT(DB_SOFList[[#This Row],[Act01]:[Act12]],$P$13:$AA$13)/valUnits2</f>
        <v>0.22921000000000002</v>
      </c>
      <c r="AH135" s="34">
        <f>IF(DB_SOFList[[#This Row],[FYPlan]]&lt;&gt;0,DB_SOFList[[#This Row],[FYActuals]]/DB_SOFList[[#This Row],[FYPlan]],1.000011000011)</f>
        <v>8.7217753289548797E-2</v>
      </c>
    </row>
    <row r="136" spans="1:34" hidden="1" x14ac:dyDescent="0.2">
      <c r="A136">
        <f>SUBTOTAL(3,$B$16:B136)</f>
        <v>32</v>
      </c>
      <c r="B136" t="s">
        <v>350</v>
      </c>
      <c r="C136" t="s">
        <v>866</v>
      </c>
      <c r="D136">
        <v>231.53</v>
      </c>
      <c r="E136">
        <v>111420.65</v>
      </c>
      <c r="F136">
        <v>84340.24</v>
      </c>
      <c r="G136">
        <v>-162083.85999999999</v>
      </c>
      <c r="H136">
        <v>11191.020000000002</v>
      </c>
      <c r="I136">
        <v>5555.5560000000005</v>
      </c>
      <c r="J136">
        <v>5555.5560000000005</v>
      </c>
      <c r="K136">
        <v>5555.5560000000005</v>
      </c>
      <c r="L136">
        <v>5555.5560000000005</v>
      </c>
      <c r="P136">
        <v>231.53</v>
      </c>
      <c r="Q136">
        <v>111420.65000000001</v>
      </c>
      <c r="R136">
        <v>84584.799999999988</v>
      </c>
      <c r="S136">
        <v>-162263.45000000001</v>
      </c>
      <c r="T136">
        <v>11380.250000000002</v>
      </c>
      <c r="U136">
        <v>4830.6299999999992</v>
      </c>
      <c r="V136">
        <v>0</v>
      </c>
      <c r="W136">
        <v>0</v>
      </c>
      <c r="X136">
        <v>0</v>
      </c>
      <c r="AB136">
        <f>SUMPRODUCT(DB_SOFList[[#This Row],[Plan01]:[Plan12]],$D$14:$O$14)/valUnits2</f>
        <v>50.655135999999999</v>
      </c>
      <c r="AC136">
        <f>SUMPRODUCT(DB_SOFList[[#This Row],[Act01]:[Act12]],$P$14:$AA$14)/valUnits2</f>
        <v>50.184409999999964</v>
      </c>
      <c r="AD136">
        <f>DB_SOFList[[#This Row],[Actual]]-DB_SOFList[[#This Row],[Plan]]</f>
        <v>-0.47072600000003462</v>
      </c>
      <c r="AE136">
        <f>IF(DB_SOFList[[#This Row],[Plan]]&lt;&gt;0,DB_SOFList[[#This Row],[Actual]]/DB_SOFList[[#This Row],[Plan]],1.000011000011)</f>
        <v>0.99070724042671543</v>
      </c>
      <c r="AF136" s="34">
        <f>SUM(DB_SOFList[[#This Row],[Plan01]:[Plan12]])/valUnits2</f>
        <v>67.321803999999986</v>
      </c>
      <c r="AG136" s="34">
        <f>SUMPRODUCT(DB_SOFList[[#This Row],[Act01]:[Act12]],$P$13:$AA$13)/valUnits2</f>
        <v>50.184409999999964</v>
      </c>
      <c r="AH136" s="34">
        <f>IF(DB_SOFList[[#This Row],[FYPlan]]&lt;&gt;0,DB_SOFList[[#This Row],[FYActuals]]/DB_SOFList[[#This Row],[FYPlan]],1.000011000011)</f>
        <v>0.74544065990863784</v>
      </c>
    </row>
    <row r="137" spans="1:34" x14ac:dyDescent="0.2">
      <c r="A137">
        <f>SUBTOTAL(3,$B$16:B137)</f>
        <v>33</v>
      </c>
      <c r="B137" t="s">
        <v>1</v>
      </c>
      <c r="C137" t="s">
        <v>867</v>
      </c>
      <c r="H137">
        <v>103.25999999999999</v>
      </c>
      <c r="I137">
        <v>0</v>
      </c>
      <c r="T137">
        <v>103.25999999999999</v>
      </c>
      <c r="U137">
        <v>46032.149999999994</v>
      </c>
      <c r="AB137">
        <f>SUMPRODUCT(DB_SOFList[[#This Row],[Plan01]:[Plan12]],$D$14:$O$14)/valUnits2</f>
        <v>0.10325999999999999</v>
      </c>
      <c r="AC137">
        <f>SUMPRODUCT(DB_SOFList[[#This Row],[Act01]:[Act12]],$P$14:$AA$14)/valUnits2</f>
        <v>46.135409999999993</v>
      </c>
      <c r="AD137">
        <f>DB_SOFList[[#This Row],[Actual]]-DB_SOFList[[#This Row],[Plan]]</f>
        <v>46.032149999999994</v>
      </c>
      <c r="AE137">
        <f>IF(DB_SOFList[[#This Row],[Plan]]&lt;&gt;0,DB_SOFList[[#This Row],[Actual]]/DB_SOFList[[#This Row],[Plan]],1.000011000011)</f>
        <v>446.78878558977334</v>
      </c>
      <c r="AF137" s="34">
        <f>SUM(DB_SOFList[[#This Row],[Plan01]:[Plan12]])/valUnits2</f>
        <v>0.10325999999999999</v>
      </c>
      <c r="AG137" s="34">
        <f>SUMPRODUCT(DB_SOFList[[#This Row],[Act01]:[Act12]],$P$13:$AA$13)/valUnits2</f>
        <v>46.135409999999993</v>
      </c>
      <c r="AH137" s="34">
        <f>IF(DB_SOFList[[#This Row],[FYPlan]]&lt;&gt;0,DB_SOFList[[#This Row],[FYActuals]]/DB_SOFList[[#This Row],[FYPlan]],1.000011000011)</f>
        <v>446.78878558977334</v>
      </c>
    </row>
    <row r="138" spans="1:34" hidden="1" x14ac:dyDescent="0.2">
      <c r="A138">
        <f>SUBTOTAL(3,$B$16:B138)</f>
        <v>33</v>
      </c>
      <c r="B138" t="s">
        <v>351</v>
      </c>
      <c r="C138" t="s">
        <v>867</v>
      </c>
      <c r="I138">
        <v>0</v>
      </c>
      <c r="U138">
        <v>2402.1600000000003</v>
      </c>
      <c r="AB138">
        <f>SUMPRODUCT(DB_SOFList[[#This Row],[Plan01]:[Plan12]],$D$14:$O$14)/valUnits2</f>
        <v>0</v>
      </c>
      <c r="AC138">
        <f>SUMPRODUCT(DB_SOFList[[#This Row],[Act01]:[Act12]],$P$14:$AA$14)/valUnits2</f>
        <v>2.4021600000000003</v>
      </c>
      <c r="AD138">
        <f>DB_SOFList[[#This Row],[Actual]]-DB_SOFList[[#This Row],[Plan]]</f>
        <v>2.4021600000000003</v>
      </c>
      <c r="AE138">
        <f>IF(DB_SOFList[[#This Row],[Plan]]&lt;&gt;0,DB_SOFList[[#This Row],[Actual]]/DB_SOFList[[#This Row],[Plan]],1.000011000011)</f>
        <v>1.0000110000110001</v>
      </c>
      <c r="AF138" s="34">
        <f>SUM(DB_SOFList[[#This Row],[Plan01]:[Plan12]])/valUnits2</f>
        <v>0</v>
      </c>
      <c r="AG138" s="34">
        <f>SUMPRODUCT(DB_SOFList[[#This Row],[Act01]:[Act12]],$P$13:$AA$13)/valUnits2</f>
        <v>2.4021600000000003</v>
      </c>
      <c r="AH138" s="34">
        <f>IF(DB_SOFList[[#This Row],[FYPlan]]&lt;&gt;0,DB_SOFList[[#This Row],[FYActuals]]/DB_SOFList[[#This Row],[FYPlan]],1.000011000011)</f>
        <v>1.0000110000110001</v>
      </c>
    </row>
    <row r="139" spans="1:34" hidden="1" x14ac:dyDescent="0.2">
      <c r="A139">
        <f>SUBTOTAL(3,$B$16:B139)</f>
        <v>33</v>
      </c>
      <c r="B139" t="s">
        <v>349</v>
      </c>
      <c r="C139" t="s">
        <v>867</v>
      </c>
      <c r="H139">
        <v>103.25999999999999</v>
      </c>
      <c r="I139">
        <v>0</v>
      </c>
      <c r="T139">
        <v>103.25999999999999</v>
      </c>
      <c r="U139">
        <v>43629.989999999991</v>
      </c>
      <c r="AB139">
        <f>SUMPRODUCT(DB_SOFList[[#This Row],[Plan01]:[Plan12]],$D$14:$O$14)/valUnits2</f>
        <v>0.10325999999999999</v>
      </c>
      <c r="AC139">
        <f>SUMPRODUCT(DB_SOFList[[#This Row],[Act01]:[Act12]],$P$14:$AA$14)/valUnits2</f>
        <v>43.733249999999991</v>
      </c>
      <c r="AD139">
        <f>DB_SOFList[[#This Row],[Actual]]-DB_SOFList[[#This Row],[Plan]]</f>
        <v>43.629989999999992</v>
      </c>
      <c r="AE139">
        <f>IF(DB_SOFList[[#This Row],[Plan]]&lt;&gt;0,DB_SOFList[[#This Row],[Actual]]/DB_SOFList[[#This Row],[Plan]],1.000011000011)</f>
        <v>423.52556653108655</v>
      </c>
      <c r="AF139" s="34">
        <f>SUM(DB_SOFList[[#This Row],[Plan01]:[Plan12]])/valUnits2</f>
        <v>0.10325999999999999</v>
      </c>
      <c r="AG139" s="34">
        <f>SUMPRODUCT(DB_SOFList[[#This Row],[Act01]:[Act12]],$P$13:$AA$13)/valUnits2</f>
        <v>43.733249999999991</v>
      </c>
      <c r="AH139" s="34">
        <f>IF(DB_SOFList[[#This Row],[FYPlan]]&lt;&gt;0,DB_SOFList[[#This Row],[FYActuals]]/DB_SOFList[[#This Row],[FYPlan]],1.000011000011)</f>
        <v>423.52556653108655</v>
      </c>
    </row>
    <row r="140" spans="1:34" x14ac:dyDescent="0.2">
      <c r="A140">
        <f>SUBTOTAL(3,$B$16:B140)</f>
        <v>34</v>
      </c>
      <c r="B140" t="s">
        <v>1</v>
      </c>
      <c r="C140" t="s">
        <v>868</v>
      </c>
      <c r="F140">
        <v>0</v>
      </c>
      <c r="G140">
        <v>52.31</v>
      </c>
      <c r="H140">
        <v>101.98999999999998</v>
      </c>
      <c r="I140">
        <v>0</v>
      </c>
      <c r="R140">
        <v>0</v>
      </c>
      <c r="S140">
        <v>52.31</v>
      </c>
      <c r="T140">
        <v>102.27</v>
      </c>
      <c r="U140">
        <v>10788.199999999999</v>
      </c>
      <c r="AB140">
        <f>SUMPRODUCT(DB_SOFList[[#This Row],[Plan01]:[Plan12]],$D$14:$O$14)/valUnits2</f>
        <v>0.15429999999999999</v>
      </c>
      <c r="AC140">
        <f>SUMPRODUCT(DB_SOFList[[#This Row],[Act01]:[Act12]],$P$14:$AA$14)/valUnits2</f>
        <v>10.942779999999999</v>
      </c>
      <c r="AD140">
        <f>DB_SOFList[[#This Row],[Actual]]-DB_SOFList[[#This Row],[Plan]]</f>
        <v>10.78848</v>
      </c>
      <c r="AE140">
        <f>IF(DB_SOFList[[#This Row],[Plan]]&lt;&gt;0,DB_SOFList[[#This Row],[Actual]]/DB_SOFList[[#This Row],[Plan]],1.000011000011)</f>
        <v>70.918859364873626</v>
      </c>
      <c r="AF140" s="34">
        <f>SUM(DB_SOFList[[#This Row],[Plan01]:[Plan12]])/valUnits2</f>
        <v>0.15429999999999999</v>
      </c>
      <c r="AG140" s="34">
        <f>SUMPRODUCT(DB_SOFList[[#This Row],[Act01]:[Act12]],$P$13:$AA$13)/valUnits2</f>
        <v>10.942779999999999</v>
      </c>
      <c r="AH140" s="34">
        <f>IF(DB_SOFList[[#This Row],[FYPlan]]&lt;&gt;0,DB_SOFList[[#This Row],[FYActuals]]/DB_SOFList[[#This Row],[FYPlan]],1.000011000011)</f>
        <v>70.918859364873626</v>
      </c>
    </row>
    <row r="141" spans="1:34" hidden="1" x14ac:dyDescent="0.2">
      <c r="A141">
        <f>SUBTOTAL(3,$B$16:B141)</f>
        <v>34</v>
      </c>
      <c r="B141" t="s">
        <v>351</v>
      </c>
      <c r="C141" t="s">
        <v>868</v>
      </c>
      <c r="G141">
        <v>52.31</v>
      </c>
      <c r="H141">
        <v>101.98999999999998</v>
      </c>
      <c r="I141">
        <v>0</v>
      </c>
      <c r="S141">
        <v>52.31</v>
      </c>
      <c r="T141">
        <v>102.27</v>
      </c>
      <c r="U141">
        <v>72.75</v>
      </c>
      <c r="AB141">
        <f>SUMPRODUCT(DB_SOFList[[#This Row],[Plan01]:[Plan12]],$D$14:$O$14)/valUnits2</f>
        <v>0.15429999999999999</v>
      </c>
      <c r="AC141">
        <f>SUMPRODUCT(DB_SOFList[[#This Row],[Act01]:[Act12]],$P$14:$AA$14)/valUnits2</f>
        <v>0.22732999999999998</v>
      </c>
      <c r="AD141">
        <f>DB_SOFList[[#This Row],[Actual]]-DB_SOFList[[#This Row],[Plan]]</f>
        <v>7.3029999999999984E-2</v>
      </c>
      <c r="AE141">
        <f>IF(DB_SOFList[[#This Row],[Plan]]&lt;&gt;0,DB_SOFList[[#This Row],[Actual]]/DB_SOFList[[#This Row],[Plan]],1.000011000011)</f>
        <v>1.4732987686325338</v>
      </c>
      <c r="AF141" s="34">
        <f>SUM(DB_SOFList[[#This Row],[Plan01]:[Plan12]])/valUnits2</f>
        <v>0.15429999999999999</v>
      </c>
      <c r="AG141" s="34">
        <f>SUMPRODUCT(DB_SOFList[[#This Row],[Act01]:[Act12]],$P$13:$AA$13)/valUnits2</f>
        <v>0.22732999999999998</v>
      </c>
      <c r="AH141" s="34">
        <f>IF(DB_SOFList[[#This Row],[FYPlan]]&lt;&gt;0,DB_SOFList[[#This Row],[FYActuals]]/DB_SOFList[[#This Row],[FYPlan]],1.000011000011)</f>
        <v>1.4732987686325338</v>
      </c>
    </row>
    <row r="142" spans="1:34" hidden="1" x14ac:dyDescent="0.2">
      <c r="A142">
        <f>SUBTOTAL(3,$B$16:B142)</f>
        <v>34</v>
      </c>
      <c r="B142" t="s">
        <v>343</v>
      </c>
      <c r="C142" t="s">
        <v>868</v>
      </c>
      <c r="F142">
        <v>0</v>
      </c>
      <c r="I142">
        <v>0</v>
      </c>
      <c r="R142">
        <v>0</v>
      </c>
      <c r="U142">
        <v>10715.31</v>
      </c>
      <c r="AB142">
        <f>SUMPRODUCT(DB_SOFList[[#This Row],[Plan01]:[Plan12]],$D$14:$O$14)/valUnits2</f>
        <v>0</v>
      </c>
      <c r="AC142">
        <f>SUMPRODUCT(DB_SOFList[[#This Row],[Act01]:[Act12]],$P$14:$AA$14)/valUnits2</f>
        <v>10.715309999999999</v>
      </c>
      <c r="AD142">
        <f>DB_SOFList[[#This Row],[Actual]]-DB_SOFList[[#This Row],[Plan]]</f>
        <v>10.715309999999999</v>
      </c>
      <c r="AE142">
        <f>IF(DB_SOFList[[#This Row],[Plan]]&lt;&gt;0,DB_SOFList[[#This Row],[Actual]]/DB_SOFList[[#This Row],[Plan]],1.000011000011)</f>
        <v>1.0000110000110001</v>
      </c>
      <c r="AF142" s="34">
        <f>SUM(DB_SOFList[[#This Row],[Plan01]:[Plan12]])/valUnits2</f>
        <v>0</v>
      </c>
      <c r="AG142" s="34">
        <f>SUMPRODUCT(DB_SOFList[[#This Row],[Act01]:[Act12]],$P$13:$AA$13)/valUnits2</f>
        <v>10.715309999999999</v>
      </c>
      <c r="AH142" s="34">
        <f>IF(DB_SOFList[[#This Row],[FYPlan]]&lt;&gt;0,DB_SOFList[[#This Row],[FYActuals]]/DB_SOFList[[#This Row],[FYPlan]],1.000011000011)</f>
        <v>1.0000110000110001</v>
      </c>
    </row>
    <row r="143" spans="1:34" hidden="1" x14ac:dyDescent="0.2">
      <c r="A143">
        <f>SUBTOTAL(3,$B$16:B143)</f>
        <v>34</v>
      </c>
      <c r="B143" t="s">
        <v>350</v>
      </c>
      <c r="C143" t="s">
        <v>868</v>
      </c>
      <c r="I143">
        <v>0</v>
      </c>
      <c r="U143">
        <v>0.14000000000000001</v>
      </c>
      <c r="AB143">
        <f>SUMPRODUCT(DB_SOFList[[#This Row],[Plan01]:[Plan12]],$D$14:$O$14)/valUnits2</f>
        <v>0</v>
      </c>
      <c r="AC143">
        <f>SUMPRODUCT(DB_SOFList[[#This Row],[Act01]:[Act12]],$P$14:$AA$14)/valUnits2</f>
        <v>1.4000000000000001E-4</v>
      </c>
      <c r="AD143">
        <f>DB_SOFList[[#This Row],[Actual]]-DB_SOFList[[#This Row],[Plan]]</f>
        <v>1.4000000000000001E-4</v>
      </c>
      <c r="AE143">
        <f>IF(DB_SOFList[[#This Row],[Plan]]&lt;&gt;0,DB_SOFList[[#This Row],[Actual]]/DB_SOFList[[#This Row],[Plan]],1.000011000011)</f>
        <v>1.0000110000110001</v>
      </c>
      <c r="AF143" s="34">
        <f>SUM(DB_SOFList[[#This Row],[Plan01]:[Plan12]])/valUnits2</f>
        <v>0</v>
      </c>
      <c r="AG143" s="34">
        <f>SUMPRODUCT(DB_SOFList[[#This Row],[Act01]:[Act12]],$P$13:$AA$13)/valUnits2</f>
        <v>1.4000000000000001E-4</v>
      </c>
      <c r="AH143" s="34">
        <f>IF(DB_SOFList[[#This Row],[FYPlan]]&lt;&gt;0,DB_SOFList[[#This Row],[FYActuals]]/DB_SOFList[[#This Row],[FYPlan]],1.000011000011)</f>
        <v>1.0000110000110001</v>
      </c>
    </row>
    <row r="144" spans="1:34" x14ac:dyDescent="0.2">
      <c r="A144">
        <f>SUBTOTAL(3,$B$16:B144)</f>
        <v>35</v>
      </c>
      <c r="B144" t="s">
        <v>1</v>
      </c>
      <c r="C144" t="s">
        <v>869</v>
      </c>
      <c r="D144">
        <v>131796.56</v>
      </c>
      <c r="E144">
        <v>189697.30000000002</v>
      </c>
      <c r="F144">
        <v>154826.40999999997</v>
      </c>
      <c r="G144">
        <v>174904.44</v>
      </c>
      <c r="H144">
        <v>235995.74999999997</v>
      </c>
      <c r="I144">
        <v>27184</v>
      </c>
      <c r="J144">
        <v>27185</v>
      </c>
      <c r="K144">
        <v>27186</v>
      </c>
      <c r="L144">
        <v>27187</v>
      </c>
      <c r="M144">
        <v>42416</v>
      </c>
      <c r="N144">
        <v>27189</v>
      </c>
      <c r="O144">
        <v>27190</v>
      </c>
      <c r="P144">
        <v>131796.56000000003</v>
      </c>
      <c r="Q144">
        <v>189697.30000000002</v>
      </c>
      <c r="R144">
        <v>154826.41000000003</v>
      </c>
      <c r="S144">
        <v>174904.44000000003</v>
      </c>
      <c r="T144">
        <v>235999.47</v>
      </c>
      <c r="U144">
        <v>43275.15</v>
      </c>
      <c r="V144">
        <v>8630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f>SUMPRODUCT(DB_SOFList[[#This Row],[Plan01]:[Plan12]],$D$14:$O$14)/valUnits2</f>
        <v>914.40445999999997</v>
      </c>
      <c r="AC144">
        <f>SUMPRODUCT(DB_SOFList[[#This Row],[Act01]:[Act12]],$P$14:$AA$14)/valUnits2</f>
        <v>930.4993300000001</v>
      </c>
      <c r="AD144">
        <f>DB_SOFList[[#This Row],[Actual]]-DB_SOFList[[#This Row],[Plan]]</f>
        <v>16.094870000000128</v>
      </c>
      <c r="AE144">
        <f>IF(DB_SOFList[[#This Row],[Plan]]&lt;&gt;0,DB_SOFList[[#This Row],[Actual]]/DB_SOFList[[#This Row],[Plan]],1.000011000011)</f>
        <v>1.0176014780155382</v>
      </c>
      <c r="AF144" s="34">
        <f>SUM(DB_SOFList[[#This Row],[Plan01]:[Plan12]])/valUnits2</f>
        <v>1092.75746</v>
      </c>
      <c r="AG144" s="34">
        <f>SUMPRODUCT(DB_SOFList[[#This Row],[Act01]:[Act12]],$P$13:$AA$13)/valUnits2</f>
        <v>930.4993300000001</v>
      </c>
      <c r="AH144" s="34">
        <f>IF(DB_SOFList[[#This Row],[FYPlan]]&lt;&gt;0,DB_SOFList[[#This Row],[FYActuals]]/DB_SOFList[[#This Row],[FYPlan]],1.000011000011)</f>
        <v>0.85151496472053378</v>
      </c>
    </row>
    <row r="145" spans="1:34" hidden="1" x14ac:dyDescent="0.2">
      <c r="A145">
        <f>SUBTOTAL(3,$B$16:B145)</f>
        <v>35</v>
      </c>
      <c r="B145" t="s">
        <v>351</v>
      </c>
      <c r="C145" t="s">
        <v>869</v>
      </c>
      <c r="D145">
        <v>7174.4</v>
      </c>
      <c r="E145">
        <v>17556.05</v>
      </c>
      <c r="F145">
        <v>22320.260000000002</v>
      </c>
      <c r="G145">
        <v>27198.619999999992</v>
      </c>
      <c r="H145">
        <v>19877.340000000004</v>
      </c>
      <c r="I145">
        <v>8453</v>
      </c>
      <c r="J145">
        <v>8453</v>
      </c>
      <c r="K145">
        <v>8453</v>
      </c>
      <c r="L145">
        <v>8453</v>
      </c>
      <c r="M145">
        <v>8453</v>
      </c>
      <c r="N145">
        <v>8453</v>
      </c>
      <c r="O145">
        <v>8453</v>
      </c>
      <c r="P145">
        <v>7174.4000000000005</v>
      </c>
      <c r="Q145">
        <v>17556.050000000003</v>
      </c>
      <c r="R145">
        <v>22320.260000000002</v>
      </c>
      <c r="S145">
        <v>27198.619999999984</v>
      </c>
      <c r="T145">
        <v>19881.060000000005</v>
      </c>
      <c r="U145">
        <v>14101.309999999998</v>
      </c>
      <c r="V145">
        <v>8630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f>SUMPRODUCT(DB_SOFList[[#This Row],[Plan01]:[Plan12]],$D$14:$O$14)/valUnits2</f>
        <v>102.57966999999998</v>
      </c>
      <c r="AC145">
        <f>SUMPRODUCT(DB_SOFList[[#This Row],[Act01]:[Act12]],$P$14:$AA$14)/valUnits2</f>
        <v>108.23169999999999</v>
      </c>
      <c r="AD145">
        <f>DB_SOFList[[#This Row],[Actual]]-DB_SOFList[[#This Row],[Plan]]</f>
        <v>5.6520300000000105</v>
      </c>
      <c r="AE145">
        <f>IF(DB_SOFList[[#This Row],[Plan]]&lt;&gt;0,DB_SOFList[[#This Row],[Actual]]/DB_SOFList[[#This Row],[Plan]],1.000011000011)</f>
        <v>1.0550989294467414</v>
      </c>
      <c r="AF145" s="34">
        <f>SUM(DB_SOFList[[#This Row],[Plan01]:[Plan12]])/valUnits2</f>
        <v>153.29766999999998</v>
      </c>
      <c r="AG145" s="34">
        <f>SUMPRODUCT(DB_SOFList[[#This Row],[Act01]:[Act12]],$P$13:$AA$13)/valUnits2</f>
        <v>108.23169999999999</v>
      </c>
      <c r="AH145" s="34">
        <f>IF(DB_SOFList[[#This Row],[FYPlan]]&lt;&gt;0,DB_SOFList[[#This Row],[FYActuals]]/DB_SOFList[[#This Row],[FYPlan]],1.000011000011)</f>
        <v>0.70602312481331253</v>
      </c>
    </row>
    <row r="146" spans="1:34" hidden="1" x14ac:dyDescent="0.2">
      <c r="A146">
        <f>SUBTOTAL(3,$B$16:B146)</f>
        <v>35</v>
      </c>
      <c r="B146" t="s">
        <v>344</v>
      </c>
      <c r="C146" t="s">
        <v>869</v>
      </c>
      <c r="D146">
        <v>111634.09</v>
      </c>
      <c r="E146">
        <v>7996.0800000000017</v>
      </c>
      <c r="F146">
        <v>19427.309999999998</v>
      </c>
      <c r="G146">
        <v>132146.93</v>
      </c>
      <c r="H146">
        <v>30170.619999999995</v>
      </c>
      <c r="I146">
        <v>10295</v>
      </c>
      <c r="J146">
        <v>10295</v>
      </c>
      <c r="K146">
        <v>10295</v>
      </c>
      <c r="L146">
        <v>10295</v>
      </c>
      <c r="M146">
        <v>10295</v>
      </c>
      <c r="N146">
        <v>10295.000000000002</v>
      </c>
      <c r="O146">
        <v>10295</v>
      </c>
      <c r="P146">
        <v>111634.09000000001</v>
      </c>
      <c r="Q146">
        <v>7996.0799999999981</v>
      </c>
      <c r="R146">
        <v>19427.310000000001</v>
      </c>
      <c r="S146">
        <v>132146.93000000002</v>
      </c>
      <c r="T146">
        <v>30170.620000000003</v>
      </c>
      <c r="U146">
        <v>9375.68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f>SUMPRODUCT(DB_SOFList[[#This Row],[Plan01]:[Plan12]],$D$14:$O$14)/valUnits2</f>
        <v>311.67003</v>
      </c>
      <c r="AC146">
        <f>SUMPRODUCT(DB_SOFList[[#This Row],[Act01]:[Act12]],$P$14:$AA$14)/valUnits2</f>
        <v>310.75071000000003</v>
      </c>
      <c r="AD146">
        <f>DB_SOFList[[#This Row],[Actual]]-DB_SOFList[[#This Row],[Plan]]</f>
        <v>-0.91931999999997061</v>
      </c>
      <c r="AE146">
        <f>IF(DB_SOFList[[#This Row],[Plan]]&lt;&gt;0,DB_SOFList[[#This Row],[Actual]]/DB_SOFList[[#This Row],[Plan]],1.000011000011)</f>
        <v>0.99705034199149667</v>
      </c>
      <c r="AF146" s="34">
        <f>SUM(DB_SOFList[[#This Row],[Plan01]:[Plan12]])/valUnits2</f>
        <v>373.44002999999998</v>
      </c>
      <c r="AG146" s="34">
        <f>SUMPRODUCT(DB_SOFList[[#This Row],[Act01]:[Act12]],$P$13:$AA$13)/valUnits2</f>
        <v>310.75071000000003</v>
      </c>
      <c r="AH146" s="34">
        <f>IF(DB_SOFList[[#This Row],[FYPlan]]&lt;&gt;0,DB_SOFList[[#This Row],[FYActuals]]/DB_SOFList[[#This Row],[FYPlan]],1.000011000011)</f>
        <v>0.83213015487386299</v>
      </c>
    </row>
    <row r="147" spans="1:34" hidden="1" x14ac:dyDescent="0.2">
      <c r="A147">
        <f>SUBTOTAL(3,$B$16:B147)</f>
        <v>35</v>
      </c>
      <c r="B147" t="s">
        <v>348</v>
      </c>
      <c r="C147" t="s">
        <v>869</v>
      </c>
      <c r="D147">
        <v>6657.1099999999969</v>
      </c>
      <c r="E147">
        <v>136997.63</v>
      </c>
      <c r="F147">
        <v>87911.99</v>
      </c>
      <c r="G147">
        <v>5121.0699999999943</v>
      </c>
      <c r="H147">
        <v>156116.84</v>
      </c>
      <c r="I147">
        <v>5042.5</v>
      </c>
      <c r="J147">
        <v>5042.5</v>
      </c>
      <c r="K147">
        <v>5042.5</v>
      </c>
      <c r="L147">
        <v>5042.5</v>
      </c>
      <c r="M147">
        <v>5042.5</v>
      </c>
      <c r="N147">
        <v>5042.5</v>
      </c>
      <c r="O147">
        <v>5042.5</v>
      </c>
      <c r="P147">
        <v>6657.1100000000006</v>
      </c>
      <c r="Q147">
        <v>136997.63</v>
      </c>
      <c r="R147">
        <v>87911.990000000034</v>
      </c>
      <c r="S147">
        <v>5121.0700000000006</v>
      </c>
      <c r="T147">
        <v>156116.84</v>
      </c>
      <c r="U147">
        <v>9420.43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f>SUMPRODUCT(DB_SOFList[[#This Row],[Plan01]:[Plan12]],$D$14:$O$14)/valUnits2</f>
        <v>397.84714000000002</v>
      </c>
      <c r="AC147">
        <f>SUMPRODUCT(DB_SOFList[[#This Row],[Act01]:[Act12]],$P$14:$AA$14)/valUnits2</f>
        <v>402.22507000000002</v>
      </c>
      <c r="AD147">
        <f>DB_SOFList[[#This Row],[Actual]]-DB_SOFList[[#This Row],[Plan]]</f>
        <v>4.3779299999999921</v>
      </c>
      <c r="AE147">
        <f>IF(DB_SOFList[[#This Row],[Plan]]&lt;&gt;0,DB_SOFList[[#This Row],[Actual]]/DB_SOFList[[#This Row],[Plan]],1.000011000011)</f>
        <v>1.0110040504501301</v>
      </c>
      <c r="AF147" s="34">
        <f>SUM(DB_SOFList[[#This Row],[Plan01]:[Plan12]])/valUnits2</f>
        <v>428.10214000000002</v>
      </c>
      <c r="AG147" s="34">
        <f>SUMPRODUCT(DB_SOFList[[#This Row],[Act01]:[Act12]],$P$13:$AA$13)/valUnits2</f>
        <v>402.22507000000002</v>
      </c>
      <c r="AH147" s="34">
        <f>IF(DB_SOFList[[#This Row],[FYPlan]]&lt;&gt;0,DB_SOFList[[#This Row],[FYActuals]]/DB_SOFList[[#This Row],[FYPlan]],1.000011000011)</f>
        <v>0.93955398120644762</v>
      </c>
    </row>
    <row r="148" spans="1:34" hidden="1" x14ac:dyDescent="0.2">
      <c r="A148">
        <f>SUBTOTAL(3,$B$16:B148)</f>
        <v>35</v>
      </c>
      <c r="B148" t="s">
        <v>349</v>
      </c>
      <c r="C148" t="s">
        <v>869</v>
      </c>
      <c r="D148">
        <v>5424.07</v>
      </c>
      <c r="E148">
        <v>21944.58</v>
      </c>
      <c r="F148">
        <v>19597.27</v>
      </c>
      <c r="G148">
        <v>6234.47</v>
      </c>
      <c r="H148">
        <v>27362.36</v>
      </c>
      <c r="I148">
        <v>3393.5</v>
      </c>
      <c r="J148">
        <v>3394.5</v>
      </c>
      <c r="K148">
        <v>3395.5</v>
      </c>
      <c r="L148">
        <v>3396.5</v>
      </c>
      <c r="M148">
        <v>18625.5</v>
      </c>
      <c r="N148">
        <v>3398.5</v>
      </c>
      <c r="O148">
        <v>3399.5</v>
      </c>
      <c r="P148">
        <v>5424.0700000000015</v>
      </c>
      <c r="Q148">
        <v>21944.580000000005</v>
      </c>
      <c r="R148">
        <v>19597.269999999997</v>
      </c>
      <c r="S148">
        <v>6234.4699999999993</v>
      </c>
      <c r="T148">
        <v>27362.36</v>
      </c>
      <c r="U148">
        <v>6033.5099999999993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f>SUMPRODUCT(DB_SOFList[[#This Row],[Plan01]:[Plan12]],$D$14:$O$14)/valUnits2</f>
        <v>83.956249999999997</v>
      </c>
      <c r="AC148">
        <f>SUMPRODUCT(DB_SOFList[[#This Row],[Act01]:[Act12]],$P$14:$AA$14)/valUnits2</f>
        <v>86.596260000000001</v>
      </c>
      <c r="AD148">
        <f>DB_SOFList[[#This Row],[Actual]]-DB_SOFList[[#This Row],[Plan]]</f>
        <v>2.6400100000000037</v>
      </c>
      <c r="AE148">
        <f>IF(DB_SOFList[[#This Row],[Plan]]&lt;&gt;0,DB_SOFList[[#This Row],[Actual]]/DB_SOFList[[#This Row],[Plan]],1.000011000011)</f>
        <v>1.0314450681158343</v>
      </c>
      <c r="AF148" s="34">
        <f>SUM(DB_SOFList[[#This Row],[Plan01]:[Plan12]])/valUnits2</f>
        <v>119.56625</v>
      </c>
      <c r="AG148" s="34">
        <f>SUMPRODUCT(DB_SOFList[[#This Row],[Act01]:[Act12]],$P$13:$AA$13)/valUnits2</f>
        <v>86.596260000000001</v>
      </c>
      <c r="AH148" s="34">
        <f>IF(DB_SOFList[[#This Row],[FYPlan]]&lt;&gt;0,DB_SOFList[[#This Row],[FYActuals]]/DB_SOFList[[#This Row],[FYPlan]],1.000011000011)</f>
        <v>0.72425337417540492</v>
      </c>
    </row>
    <row r="149" spans="1:34" hidden="1" x14ac:dyDescent="0.2">
      <c r="A149">
        <f>SUBTOTAL(3,$B$16:B149)</f>
        <v>35</v>
      </c>
      <c r="B149" t="s">
        <v>350</v>
      </c>
      <c r="C149" t="s">
        <v>869</v>
      </c>
      <c r="D149">
        <v>906.89</v>
      </c>
      <c r="E149">
        <v>5202.9599999999991</v>
      </c>
      <c r="F149">
        <v>5569.579999999999</v>
      </c>
      <c r="G149">
        <v>4203.3500000000004</v>
      </c>
      <c r="H149">
        <v>2468.5900000000006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906.89</v>
      </c>
      <c r="Q149">
        <v>5202.9599999999991</v>
      </c>
      <c r="R149">
        <v>5569.579999999999</v>
      </c>
      <c r="S149">
        <v>4203.3500000000004</v>
      </c>
      <c r="T149">
        <v>2468.59</v>
      </c>
      <c r="U149">
        <v>4344.22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f>SUMPRODUCT(DB_SOFList[[#This Row],[Plan01]:[Plan12]],$D$14:$O$14)/valUnits2</f>
        <v>18.351369999999999</v>
      </c>
      <c r="AC149">
        <f>SUMPRODUCT(DB_SOFList[[#This Row],[Act01]:[Act12]],$P$14:$AA$14)/valUnits2</f>
        <v>22.695589999999999</v>
      </c>
      <c r="AD149">
        <f>DB_SOFList[[#This Row],[Actual]]-DB_SOFList[[#This Row],[Plan]]</f>
        <v>4.34422</v>
      </c>
      <c r="AE149">
        <f>IF(DB_SOFList[[#This Row],[Plan]]&lt;&gt;0,DB_SOFList[[#This Row],[Actual]]/DB_SOFList[[#This Row],[Plan]],1.000011000011)</f>
        <v>1.236724560618635</v>
      </c>
      <c r="AF149" s="34">
        <f>SUM(DB_SOFList[[#This Row],[Plan01]:[Plan12]])/valUnits2</f>
        <v>18.351369999999999</v>
      </c>
      <c r="AG149" s="34">
        <f>SUMPRODUCT(DB_SOFList[[#This Row],[Act01]:[Act12]],$P$13:$AA$13)/valUnits2</f>
        <v>22.695589999999999</v>
      </c>
      <c r="AH149" s="34">
        <f>IF(DB_SOFList[[#This Row],[FYPlan]]&lt;&gt;0,DB_SOFList[[#This Row],[FYActuals]]/DB_SOFList[[#This Row],[FYPlan]],1.000011000011)</f>
        <v>1.236724560618635</v>
      </c>
    </row>
    <row r="150" spans="1:34" x14ac:dyDescent="0.2">
      <c r="A150">
        <f>SUBTOTAL(3,$B$16:B150)</f>
        <v>36</v>
      </c>
      <c r="B150" t="s">
        <v>1</v>
      </c>
      <c r="C150" t="s">
        <v>870</v>
      </c>
      <c r="D150">
        <v>0</v>
      </c>
      <c r="G150">
        <v>0</v>
      </c>
      <c r="J150">
        <v>0</v>
      </c>
      <c r="M150">
        <v>0</v>
      </c>
      <c r="P150">
        <v>0</v>
      </c>
      <c r="S150">
        <v>0</v>
      </c>
      <c r="V150">
        <v>0</v>
      </c>
      <c r="Y150">
        <v>0</v>
      </c>
      <c r="AB150">
        <f>SUMPRODUCT(DB_SOFList[[#This Row],[Plan01]:[Plan12]],$D$14:$O$14)/valUnits2</f>
        <v>0</v>
      </c>
      <c r="AC150">
        <f>SUMPRODUCT(DB_SOFList[[#This Row],[Act01]:[Act12]],$P$14:$AA$14)/valUnits2</f>
        <v>0</v>
      </c>
      <c r="AD150">
        <f>DB_SOFList[[#This Row],[Actual]]-DB_SOFList[[#This Row],[Plan]]</f>
        <v>0</v>
      </c>
      <c r="AE150">
        <f>IF(DB_SOFList[[#This Row],[Plan]]&lt;&gt;0,DB_SOFList[[#This Row],[Actual]]/DB_SOFList[[#This Row],[Plan]],1.000011000011)</f>
        <v>1.0000110000110001</v>
      </c>
      <c r="AF150" s="34">
        <f>SUM(DB_SOFList[[#This Row],[Plan01]:[Plan12]])/valUnits2</f>
        <v>0</v>
      </c>
      <c r="AG150" s="34">
        <f>SUMPRODUCT(DB_SOFList[[#This Row],[Act01]:[Act12]],$P$13:$AA$13)/valUnits2</f>
        <v>0</v>
      </c>
      <c r="AH150" s="34">
        <f>IF(DB_SOFList[[#This Row],[FYPlan]]&lt;&gt;0,DB_SOFList[[#This Row],[FYActuals]]/DB_SOFList[[#This Row],[FYPlan]],1.000011000011)</f>
        <v>1.0000110000110001</v>
      </c>
    </row>
    <row r="151" spans="1:34" hidden="1" x14ac:dyDescent="0.2">
      <c r="A151">
        <f>SUBTOTAL(3,$B$16:B151)</f>
        <v>36</v>
      </c>
      <c r="B151" t="s">
        <v>351</v>
      </c>
      <c r="C151" t="s">
        <v>870</v>
      </c>
      <c r="D151">
        <v>0</v>
      </c>
      <c r="G151">
        <v>0</v>
      </c>
      <c r="J151">
        <v>0</v>
      </c>
      <c r="M151">
        <v>0</v>
      </c>
      <c r="P151">
        <v>0</v>
      </c>
      <c r="S151">
        <v>0</v>
      </c>
      <c r="V151">
        <v>0</v>
      </c>
      <c r="Y151">
        <v>0</v>
      </c>
      <c r="AB151">
        <f>SUMPRODUCT(DB_SOFList[[#This Row],[Plan01]:[Plan12]],$D$14:$O$14)/valUnits2</f>
        <v>0</v>
      </c>
      <c r="AC151">
        <f>SUMPRODUCT(DB_SOFList[[#This Row],[Act01]:[Act12]],$P$14:$AA$14)/valUnits2</f>
        <v>0</v>
      </c>
      <c r="AD151">
        <f>DB_SOFList[[#This Row],[Actual]]-DB_SOFList[[#This Row],[Plan]]</f>
        <v>0</v>
      </c>
      <c r="AE151">
        <f>IF(DB_SOFList[[#This Row],[Plan]]&lt;&gt;0,DB_SOFList[[#This Row],[Actual]]/DB_SOFList[[#This Row],[Plan]],1.000011000011)</f>
        <v>1.0000110000110001</v>
      </c>
      <c r="AF151" s="34">
        <f>SUM(DB_SOFList[[#This Row],[Plan01]:[Plan12]])/valUnits2</f>
        <v>0</v>
      </c>
      <c r="AG151" s="34">
        <f>SUMPRODUCT(DB_SOFList[[#This Row],[Act01]:[Act12]],$P$13:$AA$13)/valUnits2</f>
        <v>0</v>
      </c>
      <c r="AH151" s="34">
        <f>IF(DB_SOFList[[#This Row],[FYPlan]]&lt;&gt;0,DB_SOFList[[#This Row],[FYActuals]]/DB_SOFList[[#This Row],[FYPlan]],1.000011000011)</f>
        <v>1.0000110000110001</v>
      </c>
    </row>
    <row r="152" spans="1:34" hidden="1" x14ac:dyDescent="0.2">
      <c r="A152">
        <f>SUBTOTAL(3,$B$16:B152)</f>
        <v>36</v>
      </c>
      <c r="B152" t="s">
        <v>348</v>
      </c>
      <c r="C152" t="s">
        <v>870</v>
      </c>
      <c r="D152">
        <v>0</v>
      </c>
      <c r="G152">
        <v>0</v>
      </c>
      <c r="J152">
        <v>0</v>
      </c>
      <c r="M152">
        <v>0</v>
      </c>
      <c r="P152">
        <v>0</v>
      </c>
      <c r="S152">
        <v>0</v>
      </c>
      <c r="V152">
        <v>0</v>
      </c>
      <c r="Y152">
        <v>0</v>
      </c>
      <c r="AB152">
        <f>SUMPRODUCT(DB_SOFList[[#This Row],[Plan01]:[Plan12]],$D$14:$O$14)/valUnits2</f>
        <v>0</v>
      </c>
      <c r="AC152">
        <f>SUMPRODUCT(DB_SOFList[[#This Row],[Act01]:[Act12]],$P$14:$AA$14)/valUnits2</f>
        <v>0</v>
      </c>
      <c r="AD152">
        <f>DB_SOFList[[#This Row],[Actual]]-DB_SOFList[[#This Row],[Plan]]</f>
        <v>0</v>
      </c>
      <c r="AE152">
        <f>IF(DB_SOFList[[#This Row],[Plan]]&lt;&gt;0,DB_SOFList[[#This Row],[Actual]]/DB_SOFList[[#This Row],[Plan]],1.000011000011)</f>
        <v>1.0000110000110001</v>
      </c>
      <c r="AF152" s="34">
        <f>SUM(DB_SOFList[[#This Row],[Plan01]:[Plan12]])/valUnits2</f>
        <v>0</v>
      </c>
      <c r="AG152" s="34">
        <f>SUMPRODUCT(DB_SOFList[[#This Row],[Act01]:[Act12]],$P$13:$AA$13)/valUnits2</f>
        <v>0</v>
      </c>
      <c r="AH152" s="34">
        <f>IF(DB_SOFList[[#This Row],[FYPlan]]&lt;&gt;0,DB_SOFList[[#This Row],[FYActuals]]/DB_SOFList[[#This Row],[FYPlan]],1.000011000011)</f>
        <v>1.0000110000110001</v>
      </c>
    </row>
    <row r="153" spans="1:34" x14ac:dyDescent="0.2">
      <c r="A153">
        <f>SUBTOTAL(3,$B$16:B153)</f>
        <v>37</v>
      </c>
      <c r="B153" t="s">
        <v>1</v>
      </c>
      <c r="C153" t="s">
        <v>871</v>
      </c>
      <c r="D153">
        <v>308.12</v>
      </c>
      <c r="P153">
        <v>308.12</v>
      </c>
      <c r="AB153">
        <f>SUMPRODUCT(DB_SOFList[[#This Row],[Plan01]:[Plan12]],$D$14:$O$14)/valUnits2</f>
        <v>0.30812</v>
      </c>
      <c r="AC153">
        <f>SUMPRODUCT(DB_SOFList[[#This Row],[Act01]:[Act12]],$P$14:$AA$14)/valUnits2</f>
        <v>0.30812</v>
      </c>
      <c r="AD153">
        <f>DB_SOFList[[#This Row],[Actual]]-DB_SOFList[[#This Row],[Plan]]</f>
        <v>0</v>
      </c>
      <c r="AE153">
        <f>IF(DB_SOFList[[#This Row],[Plan]]&lt;&gt;0,DB_SOFList[[#This Row],[Actual]]/DB_SOFList[[#This Row],[Plan]],1.000011000011)</f>
        <v>1</v>
      </c>
      <c r="AF153" s="34">
        <f>SUM(DB_SOFList[[#This Row],[Plan01]:[Plan12]])/valUnits2</f>
        <v>0.30812</v>
      </c>
      <c r="AG153" s="34">
        <f>SUMPRODUCT(DB_SOFList[[#This Row],[Act01]:[Act12]],$P$13:$AA$13)/valUnits2</f>
        <v>0.30812</v>
      </c>
      <c r="AH153" s="34">
        <f>IF(DB_SOFList[[#This Row],[FYPlan]]&lt;&gt;0,DB_SOFList[[#This Row],[FYActuals]]/DB_SOFList[[#This Row],[FYPlan]],1.000011000011)</f>
        <v>1</v>
      </c>
    </row>
    <row r="154" spans="1:34" hidden="1" x14ac:dyDescent="0.2">
      <c r="A154">
        <f>SUBTOTAL(3,$B$16:B154)</f>
        <v>37</v>
      </c>
      <c r="B154" t="s">
        <v>343</v>
      </c>
      <c r="C154" t="s">
        <v>871</v>
      </c>
      <c r="D154">
        <v>308.12</v>
      </c>
      <c r="P154">
        <v>308.12</v>
      </c>
      <c r="AB154" s="34">
        <f>SUMPRODUCT(DB_SOFList[[#This Row],[Plan01]:[Plan12]],$D$14:$O$14)/valUnits2</f>
        <v>0.30812</v>
      </c>
      <c r="AC154" s="34">
        <f>SUMPRODUCT(DB_SOFList[[#This Row],[Act01]:[Act12]],$P$14:$AA$14)/valUnits2</f>
        <v>0.30812</v>
      </c>
      <c r="AD154" s="34">
        <f>DB_SOFList[[#This Row],[Actual]]-DB_SOFList[[#This Row],[Plan]]</f>
        <v>0</v>
      </c>
      <c r="AE154" s="34">
        <f>IF(DB_SOFList[[#This Row],[Plan]]&lt;&gt;0,DB_SOFList[[#This Row],[Actual]]/DB_SOFList[[#This Row],[Plan]],1.000011000011)</f>
        <v>1</v>
      </c>
      <c r="AF154" s="34">
        <f>SUM(DB_SOFList[[#This Row],[Plan01]:[Plan12]])/valUnits2</f>
        <v>0.30812</v>
      </c>
      <c r="AG154" s="34">
        <f>SUMPRODUCT(DB_SOFList[[#This Row],[Act01]:[Act12]],$P$13:$AA$13)/valUnits2</f>
        <v>0.30812</v>
      </c>
      <c r="AH154" s="34">
        <f>IF(DB_SOFList[[#This Row],[FYPlan]]&lt;&gt;0,DB_SOFList[[#This Row],[FYActuals]]/DB_SOFList[[#This Row],[FYPlan]],1.000011000011)</f>
        <v>1</v>
      </c>
    </row>
    <row r="155" spans="1:34" x14ac:dyDescent="0.2">
      <c r="A155">
        <f>SUBTOTAL(3,$B$16:B155)</f>
        <v>38</v>
      </c>
      <c r="B155" t="s">
        <v>1</v>
      </c>
      <c r="C155" t="s">
        <v>872</v>
      </c>
      <c r="E155">
        <v>509.88800000000003</v>
      </c>
      <c r="F155">
        <v>22256.657999999999</v>
      </c>
      <c r="G155">
        <v>11709.093000000001</v>
      </c>
      <c r="H155">
        <v>-33346.777999999991</v>
      </c>
      <c r="I155">
        <v>19215.662</v>
      </c>
      <c r="J155">
        <v>19215.662</v>
      </c>
      <c r="K155">
        <v>19215.662</v>
      </c>
      <c r="L155">
        <v>22363.18</v>
      </c>
      <c r="M155">
        <v>29978.146000000001</v>
      </c>
      <c r="N155">
        <v>22363.18</v>
      </c>
      <c r="O155">
        <v>19215.662</v>
      </c>
      <c r="Q155">
        <v>515.74</v>
      </c>
      <c r="R155">
        <v>22178.149999999994</v>
      </c>
      <c r="S155">
        <v>11571.820000000002</v>
      </c>
      <c r="T155">
        <v>-33264.29</v>
      </c>
      <c r="U155">
        <v>1820.4299999999998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f>SUMPRODUCT(DB_SOFList[[#This Row],[Plan01]:[Plan12]],$D$14:$O$14)/valUnits2</f>
        <v>20.344523000000006</v>
      </c>
      <c r="AC155">
        <f>SUMPRODUCT(DB_SOFList[[#This Row],[Act01]:[Act12]],$P$14:$AA$14)/valUnits2</f>
        <v>2.8218499999999982</v>
      </c>
      <c r="AD155">
        <f>DB_SOFList[[#This Row],[Actual]]-DB_SOFList[[#This Row],[Plan]]</f>
        <v>-17.522673000000008</v>
      </c>
      <c r="AE155">
        <f>IF(DB_SOFList[[#This Row],[Plan]]&lt;&gt;0,DB_SOFList[[#This Row],[Actual]]/DB_SOFList[[#This Row],[Plan]],1.000011000011)</f>
        <v>0.13870317824605657</v>
      </c>
      <c r="AF155" s="34">
        <f>SUM(DB_SOFList[[#This Row],[Plan01]:[Plan12]])/valUnits2</f>
        <v>152.69601500000002</v>
      </c>
      <c r="AG155" s="34">
        <f>SUMPRODUCT(DB_SOFList[[#This Row],[Act01]:[Act12]],$P$13:$AA$13)/valUnits2</f>
        <v>2.8218499999999982</v>
      </c>
      <c r="AH155" s="34">
        <f>IF(DB_SOFList[[#This Row],[FYPlan]]&lt;&gt;0,DB_SOFList[[#This Row],[FYActuals]]/DB_SOFList[[#This Row],[FYPlan]],1.000011000011)</f>
        <v>1.8480181031574387E-2</v>
      </c>
    </row>
    <row r="156" spans="1:34" hidden="1" x14ac:dyDescent="0.2">
      <c r="A156">
        <f>SUBTOTAL(3,$B$16:B156)</f>
        <v>38</v>
      </c>
      <c r="B156" t="s">
        <v>351</v>
      </c>
      <c r="C156" t="s">
        <v>872</v>
      </c>
      <c r="G156">
        <v>1531.8340000000001</v>
      </c>
      <c r="H156">
        <v>-1129.3790000000001</v>
      </c>
      <c r="I156">
        <v>2558.6289999999999</v>
      </c>
      <c r="J156">
        <v>2558.6289999999999</v>
      </c>
      <c r="K156">
        <v>2558.6289999999999</v>
      </c>
      <c r="L156">
        <v>2558.6289999999999</v>
      </c>
      <c r="M156">
        <v>2558.6289999999999</v>
      </c>
      <c r="N156">
        <v>2558.6289999999999</v>
      </c>
      <c r="O156">
        <v>2558.6289999999999</v>
      </c>
      <c r="S156">
        <v>1549.98</v>
      </c>
      <c r="T156">
        <v>-1169.7699999999998</v>
      </c>
      <c r="U156">
        <v>373.56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f>SUMPRODUCT(DB_SOFList[[#This Row],[Plan01]:[Plan12]],$D$14:$O$14)/valUnits2</f>
        <v>2.961084</v>
      </c>
      <c r="AC156">
        <f>SUMPRODUCT(DB_SOFList[[#This Row],[Act01]:[Act12]],$P$14:$AA$14)/valUnits2</f>
        <v>0.75377000000000016</v>
      </c>
      <c r="AD156">
        <f>DB_SOFList[[#This Row],[Actual]]-DB_SOFList[[#This Row],[Plan]]</f>
        <v>-2.2073139999999998</v>
      </c>
      <c r="AE156">
        <f>IF(DB_SOFList[[#This Row],[Plan]]&lt;&gt;0,DB_SOFList[[#This Row],[Actual]]/DB_SOFList[[#This Row],[Plan]],1.000011000011)</f>
        <v>0.25455880346521753</v>
      </c>
      <c r="AF156" s="34">
        <f>SUM(DB_SOFList[[#This Row],[Plan01]:[Plan12]])/valUnits2</f>
        <v>18.312857999999999</v>
      </c>
      <c r="AG156" s="34">
        <f>SUMPRODUCT(DB_SOFList[[#This Row],[Act01]:[Act12]],$P$13:$AA$13)/valUnits2</f>
        <v>0.75377000000000016</v>
      </c>
      <c r="AH156" s="34">
        <f>IF(DB_SOFList[[#This Row],[FYPlan]]&lt;&gt;0,DB_SOFList[[#This Row],[FYActuals]]/DB_SOFList[[#This Row],[FYPlan]],1.000011000011)</f>
        <v>4.116069703592963E-2</v>
      </c>
    </row>
    <row r="157" spans="1:34" hidden="1" x14ac:dyDescent="0.2">
      <c r="A157">
        <f>SUBTOTAL(3,$B$16:B157)</f>
        <v>38</v>
      </c>
      <c r="B157" t="s">
        <v>348</v>
      </c>
      <c r="C157" t="s">
        <v>872</v>
      </c>
      <c r="E157">
        <v>509.88800000000003</v>
      </c>
      <c r="F157">
        <v>22256.657999999999</v>
      </c>
      <c r="G157">
        <v>10177.259</v>
      </c>
      <c r="H157">
        <v>-32305.672999999992</v>
      </c>
      <c r="I157">
        <v>16657.032999999999</v>
      </c>
      <c r="J157">
        <v>16657.032999999999</v>
      </c>
      <c r="K157">
        <v>16657.032999999999</v>
      </c>
      <c r="L157">
        <v>19804.550999999999</v>
      </c>
      <c r="M157">
        <v>27419.517</v>
      </c>
      <c r="N157">
        <v>19804.550999999999</v>
      </c>
      <c r="O157">
        <v>16657.032999999999</v>
      </c>
      <c r="Q157">
        <v>515.74</v>
      </c>
      <c r="R157">
        <v>22178.149999999994</v>
      </c>
      <c r="S157">
        <v>10021.840000000002</v>
      </c>
      <c r="T157">
        <v>-32182.62</v>
      </c>
      <c r="U157">
        <v>1446.1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f>SUMPRODUCT(DB_SOFList[[#This Row],[Plan01]:[Plan12]],$D$14:$O$14)/valUnits2</f>
        <v>17.295165000000008</v>
      </c>
      <c r="AC157">
        <f>SUMPRODUCT(DB_SOFList[[#This Row],[Act01]:[Act12]],$P$14:$AA$14)/valUnits2</f>
        <v>1.9792099999999968</v>
      </c>
      <c r="AD157">
        <f>DB_SOFList[[#This Row],[Actual]]-DB_SOFList[[#This Row],[Plan]]</f>
        <v>-15.315955000000011</v>
      </c>
      <c r="AE157">
        <f>IF(DB_SOFList[[#This Row],[Plan]]&lt;&gt;0,DB_SOFList[[#This Row],[Actual]]/DB_SOFList[[#This Row],[Plan]],1.000011000011)</f>
        <v>0.11443718519019598</v>
      </c>
      <c r="AF157" s="34">
        <f>SUM(DB_SOFList[[#This Row],[Plan01]:[Plan12]])/valUnits2</f>
        <v>134.294883</v>
      </c>
      <c r="AG157" s="34">
        <f>SUMPRODUCT(DB_SOFList[[#This Row],[Act01]:[Act12]],$P$13:$AA$13)/valUnits2</f>
        <v>1.9792099999999968</v>
      </c>
      <c r="AH157" s="34">
        <f>IF(DB_SOFList[[#This Row],[FYPlan]]&lt;&gt;0,DB_SOFList[[#This Row],[FYActuals]]/DB_SOFList[[#This Row],[FYPlan]],1.000011000011)</f>
        <v>1.4737791610421946E-2</v>
      </c>
    </row>
    <row r="158" spans="1:34" hidden="1" x14ac:dyDescent="0.2">
      <c r="A158">
        <f>SUBTOTAL(3,$B$16:B158)</f>
        <v>38</v>
      </c>
      <c r="B158" t="s">
        <v>350</v>
      </c>
      <c r="C158" t="s">
        <v>872</v>
      </c>
      <c r="H158">
        <v>88.274000000000001</v>
      </c>
      <c r="I158">
        <v>0</v>
      </c>
      <c r="T158">
        <v>88.1</v>
      </c>
      <c r="U158">
        <v>0.77</v>
      </c>
      <c r="AB158">
        <f>SUMPRODUCT(DB_SOFList[[#This Row],[Plan01]:[Plan12]],$D$14:$O$14)/valUnits2</f>
        <v>8.8274000000000005E-2</v>
      </c>
      <c r="AC158">
        <f>SUMPRODUCT(DB_SOFList[[#This Row],[Act01]:[Act12]],$P$14:$AA$14)/valUnits2</f>
        <v>8.8869999999999991E-2</v>
      </c>
      <c r="AD158">
        <f>DB_SOFList[[#This Row],[Actual]]-DB_SOFList[[#This Row],[Plan]]</f>
        <v>5.9599999999998543E-4</v>
      </c>
      <c r="AE158">
        <f>IF(DB_SOFList[[#This Row],[Plan]]&lt;&gt;0,DB_SOFList[[#This Row],[Actual]]/DB_SOFList[[#This Row],[Plan]],1.000011000011)</f>
        <v>1.0067517049187755</v>
      </c>
      <c r="AF158" s="34">
        <f>SUM(DB_SOFList[[#This Row],[Plan01]:[Plan12]])/valUnits2</f>
        <v>8.8274000000000005E-2</v>
      </c>
      <c r="AG158" s="34">
        <f>SUMPRODUCT(DB_SOFList[[#This Row],[Act01]:[Act12]],$P$13:$AA$13)/valUnits2</f>
        <v>8.8869999999999991E-2</v>
      </c>
      <c r="AH158" s="34">
        <f>IF(DB_SOFList[[#This Row],[FYPlan]]&lt;&gt;0,DB_SOFList[[#This Row],[FYActuals]]/DB_SOFList[[#This Row],[FYPlan]],1.000011000011)</f>
        <v>1.0067517049187755</v>
      </c>
    </row>
    <row r="159" spans="1:34" x14ac:dyDescent="0.2">
      <c r="A159">
        <f>SUBTOTAL(3,$B$16:B159)</f>
        <v>39</v>
      </c>
      <c r="B159" t="s">
        <v>1</v>
      </c>
      <c r="C159" t="s">
        <v>873</v>
      </c>
      <c r="F159">
        <v>-34974.351000000002</v>
      </c>
      <c r="R159">
        <v>-34749.879999999997</v>
      </c>
      <c r="AB159">
        <f>SUMPRODUCT(DB_SOFList[[#This Row],[Plan01]:[Plan12]],$D$14:$O$14)/valUnits2</f>
        <v>-34.974351000000006</v>
      </c>
      <c r="AC159">
        <f>SUMPRODUCT(DB_SOFList[[#This Row],[Act01]:[Act12]],$P$14:$AA$14)/valUnits2</f>
        <v>-34.749879999999997</v>
      </c>
      <c r="AD159">
        <f>DB_SOFList[[#This Row],[Actual]]-DB_SOFList[[#This Row],[Plan]]</f>
        <v>0.2244710000000083</v>
      </c>
      <c r="AE159">
        <f>IF(DB_SOFList[[#This Row],[Plan]]&lt;&gt;0,DB_SOFList[[#This Row],[Actual]]/DB_SOFList[[#This Row],[Plan]],1.000011000011)</f>
        <v>0.99358183944571243</v>
      </c>
      <c r="AF159" s="34">
        <f>SUM(DB_SOFList[[#This Row],[Plan01]:[Plan12]])/valUnits2</f>
        <v>-34.974351000000006</v>
      </c>
      <c r="AG159" s="34">
        <f>SUMPRODUCT(DB_SOFList[[#This Row],[Act01]:[Act12]],$P$13:$AA$13)/valUnits2</f>
        <v>-34.749879999999997</v>
      </c>
      <c r="AH159" s="34">
        <f>IF(DB_SOFList[[#This Row],[FYPlan]]&lt;&gt;0,DB_SOFList[[#This Row],[FYActuals]]/DB_SOFList[[#This Row],[FYPlan]],1.000011000011)</f>
        <v>0.99358183944571243</v>
      </c>
    </row>
    <row r="160" spans="1:34" hidden="1" x14ac:dyDescent="0.2">
      <c r="A160">
        <f>SUBTOTAL(3,$B$16:B160)</f>
        <v>39</v>
      </c>
      <c r="B160" t="s">
        <v>343</v>
      </c>
      <c r="C160" t="s">
        <v>873</v>
      </c>
      <c r="F160">
        <v>-34974.351000000002</v>
      </c>
      <c r="R160">
        <v>-34749.879999999997</v>
      </c>
      <c r="AB160">
        <f>SUMPRODUCT(DB_SOFList[[#This Row],[Plan01]:[Plan12]],$D$14:$O$14)/valUnits2</f>
        <v>-34.974351000000006</v>
      </c>
      <c r="AC160">
        <f>SUMPRODUCT(DB_SOFList[[#This Row],[Act01]:[Act12]],$P$14:$AA$14)/valUnits2</f>
        <v>-34.749879999999997</v>
      </c>
      <c r="AD160">
        <f>DB_SOFList[[#This Row],[Actual]]-DB_SOFList[[#This Row],[Plan]]</f>
        <v>0.2244710000000083</v>
      </c>
      <c r="AE160">
        <f>IF(DB_SOFList[[#This Row],[Plan]]&lt;&gt;0,DB_SOFList[[#This Row],[Actual]]/DB_SOFList[[#This Row],[Plan]],1.000011000011)</f>
        <v>0.99358183944571243</v>
      </c>
      <c r="AF160" s="34">
        <f>SUM(DB_SOFList[[#This Row],[Plan01]:[Plan12]])/valUnits2</f>
        <v>-34.974351000000006</v>
      </c>
      <c r="AG160" s="34">
        <f>SUMPRODUCT(DB_SOFList[[#This Row],[Act01]:[Act12]],$P$13:$AA$13)/valUnits2</f>
        <v>-34.749879999999997</v>
      </c>
      <c r="AH160" s="34">
        <f>IF(DB_SOFList[[#This Row],[FYPlan]]&lt;&gt;0,DB_SOFList[[#This Row],[FYActuals]]/DB_SOFList[[#This Row],[FYPlan]],1.000011000011)</f>
        <v>0.99358183944571243</v>
      </c>
    </row>
    <row r="161" spans="1:34" x14ac:dyDescent="0.2">
      <c r="A161">
        <f>SUBTOTAL(3,$B$16:B161)</f>
        <v>40</v>
      </c>
      <c r="B161" t="s">
        <v>1</v>
      </c>
      <c r="C161" t="s">
        <v>874</v>
      </c>
      <c r="D161">
        <v>7203.1429999999991</v>
      </c>
      <c r="E161">
        <v>183183.01100000003</v>
      </c>
      <c r="F161">
        <v>9825.15600000001</v>
      </c>
      <c r="G161">
        <v>190070.42399999991</v>
      </c>
      <c r="H161">
        <v>12985.302000000003</v>
      </c>
      <c r="I161">
        <v>72568.410999999993</v>
      </c>
      <c r="J161">
        <v>99431.364999999962</v>
      </c>
      <c r="K161">
        <v>72977.512000000002</v>
      </c>
      <c r="L161">
        <v>72958.14999999998</v>
      </c>
      <c r="M161">
        <v>79636.689999999988</v>
      </c>
      <c r="N161">
        <v>68133.578999999998</v>
      </c>
      <c r="O161">
        <v>73975.49099999998</v>
      </c>
      <c r="P161">
        <v>7084.1299999999992</v>
      </c>
      <c r="Q161">
        <v>188850.02000000005</v>
      </c>
      <c r="R161">
        <v>9919.439999999986</v>
      </c>
      <c r="S161">
        <v>189469.66999999995</v>
      </c>
      <c r="T161">
        <v>12899.429999999991</v>
      </c>
      <c r="U161">
        <v>11920.210000000008</v>
      </c>
      <c r="V161">
        <v>53578.559999999998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f>SUMPRODUCT(DB_SOFList[[#This Row],[Plan01]:[Plan12]],$D$14:$O$14)/valUnits2</f>
        <v>475.83544699999993</v>
      </c>
      <c r="AC161">
        <f>SUMPRODUCT(DB_SOFList[[#This Row],[Act01]:[Act12]],$P$14:$AA$14)/valUnits2</f>
        <v>420.1429</v>
      </c>
      <c r="AD161">
        <f>DB_SOFList[[#This Row],[Actual]]-DB_SOFList[[#This Row],[Plan]]</f>
        <v>-55.692546999999934</v>
      </c>
      <c r="AE161">
        <f>IF(DB_SOFList[[#This Row],[Plan]]&lt;&gt;0,DB_SOFList[[#This Row],[Actual]]/DB_SOFList[[#This Row],[Plan]],1.000011000011)</f>
        <v>0.88295838960479978</v>
      </c>
      <c r="AF161" s="34">
        <f>SUM(DB_SOFList[[#This Row],[Plan01]:[Plan12]])/valUnits2</f>
        <v>942.94823399999996</v>
      </c>
      <c r="AG161" s="34">
        <f>SUMPRODUCT(DB_SOFList[[#This Row],[Act01]:[Act12]],$P$13:$AA$13)/valUnits2</f>
        <v>420.1429</v>
      </c>
      <c r="AH161" s="34">
        <f>IF(DB_SOFList[[#This Row],[FYPlan]]&lt;&gt;0,DB_SOFList[[#This Row],[FYActuals]]/DB_SOFList[[#This Row],[FYPlan]],1.000011000011)</f>
        <v>0.44556305940332247</v>
      </c>
    </row>
    <row r="162" spans="1:34" hidden="1" x14ac:dyDescent="0.2">
      <c r="A162">
        <f>SUBTOTAL(3,$B$16:B162)</f>
        <v>40</v>
      </c>
      <c r="B162" t="s">
        <v>342</v>
      </c>
      <c r="C162" t="s">
        <v>874</v>
      </c>
      <c r="D162">
        <v>4631.4709999999995</v>
      </c>
      <c r="E162">
        <v>177952.25200000001</v>
      </c>
      <c r="F162">
        <v>4783.8610000000099</v>
      </c>
      <c r="G162">
        <v>178382.00199999992</v>
      </c>
      <c r="H162">
        <v>6686.2680000000028</v>
      </c>
      <c r="I162">
        <v>66269.688999999998</v>
      </c>
      <c r="J162">
        <v>93458.718999999968</v>
      </c>
      <c r="K162">
        <v>67004.866000000009</v>
      </c>
      <c r="L162">
        <v>66659.427999999985</v>
      </c>
      <c r="M162">
        <v>73664.043999999994</v>
      </c>
      <c r="N162">
        <v>61834.857000000004</v>
      </c>
      <c r="O162">
        <v>68002.844999999987</v>
      </c>
      <c r="P162">
        <v>4550.4899999999989</v>
      </c>
      <c r="Q162">
        <v>183512.22000000003</v>
      </c>
      <c r="R162">
        <v>4832.5899999999874</v>
      </c>
      <c r="S162">
        <v>177775.36999999994</v>
      </c>
      <c r="T162">
        <v>6652.7199999999912</v>
      </c>
      <c r="U162">
        <v>4592.6700000000092</v>
      </c>
      <c r="V162">
        <v>53578.559999999998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f>SUMPRODUCT(DB_SOFList[[#This Row],[Plan01]:[Plan12]],$D$14:$O$14)/valUnits2</f>
        <v>438.70554299999986</v>
      </c>
      <c r="AC162">
        <f>SUMPRODUCT(DB_SOFList[[#This Row],[Act01]:[Act12]],$P$14:$AA$14)/valUnits2</f>
        <v>381.9160599999999</v>
      </c>
      <c r="AD162">
        <f>DB_SOFList[[#This Row],[Actual]]-DB_SOFList[[#This Row],[Plan]]</f>
        <v>-56.789482999999962</v>
      </c>
      <c r="AE162">
        <f>IF(DB_SOFList[[#This Row],[Plan]]&lt;&gt;0,DB_SOFList[[#This Row],[Actual]]/DB_SOFList[[#This Row],[Plan]],1.000011000011)</f>
        <v>0.87055216441612182</v>
      </c>
      <c r="AF162" s="34">
        <f>SUM(DB_SOFList[[#This Row],[Plan01]:[Plan12]])/valUnits2</f>
        <v>869.33030199999985</v>
      </c>
      <c r="AG162" s="34">
        <f>SUMPRODUCT(DB_SOFList[[#This Row],[Act01]:[Act12]],$P$13:$AA$13)/valUnits2</f>
        <v>381.9160599999999</v>
      </c>
      <c r="AH162" s="34">
        <f>IF(DB_SOFList[[#This Row],[FYPlan]]&lt;&gt;0,DB_SOFList[[#This Row],[FYActuals]]/DB_SOFList[[#This Row],[FYPlan]],1.000011000011)</f>
        <v>0.43932215306582051</v>
      </c>
    </row>
    <row r="163" spans="1:34" hidden="1" x14ac:dyDescent="0.2">
      <c r="A163">
        <f>SUBTOTAL(3,$B$16:B163)</f>
        <v>40</v>
      </c>
      <c r="B163" t="s">
        <v>351</v>
      </c>
      <c r="C163" t="s">
        <v>874</v>
      </c>
      <c r="D163">
        <v>2571.6719999999996</v>
      </c>
      <c r="E163">
        <v>3184.8140000000003</v>
      </c>
      <c r="F163">
        <v>4007.5530000000003</v>
      </c>
      <c r="G163">
        <v>9559.784999999998</v>
      </c>
      <c r="H163">
        <v>5177.6109999999999</v>
      </c>
      <c r="I163">
        <v>5926.7340000000004</v>
      </c>
      <c r="J163">
        <v>5600.6580000000013</v>
      </c>
      <c r="K163">
        <v>5600.6580000000013</v>
      </c>
      <c r="L163">
        <v>5926.7340000000013</v>
      </c>
      <c r="M163">
        <v>5600.6580000000013</v>
      </c>
      <c r="N163">
        <v>5926.7340000000013</v>
      </c>
      <c r="O163">
        <v>5600.6580000000013</v>
      </c>
      <c r="P163">
        <v>2533.6400000000003</v>
      </c>
      <c r="Q163">
        <v>3251.6000000000004</v>
      </c>
      <c r="R163">
        <v>4043.7499999999991</v>
      </c>
      <c r="S163">
        <v>9590.4500000000007</v>
      </c>
      <c r="T163">
        <v>5138.53</v>
      </c>
      <c r="U163">
        <v>5297.55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f>SUMPRODUCT(DB_SOFList[[#This Row],[Plan01]:[Plan12]],$D$14:$O$14)/valUnits2</f>
        <v>30.428169</v>
      </c>
      <c r="AC163">
        <f>SUMPRODUCT(DB_SOFList[[#This Row],[Act01]:[Act12]],$P$14:$AA$14)/valUnits2</f>
        <v>29.855520000000002</v>
      </c>
      <c r="AD163">
        <f>DB_SOFList[[#This Row],[Actual]]-DB_SOFList[[#This Row],[Plan]]</f>
        <v>-0.57264899999999841</v>
      </c>
      <c r="AE163">
        <f>IF(DB_SOFList[[#This Row],[Plan]]&lt;&gt;0,DB_SOFList[[#This Row],[Actual]]/DB_SOFList[[#This Row],[Plan]],1.000011000011)</f>
        <v>0.98118030039862081</v>
      </c>
      <c r="AF163" s="34">
        <f>SUM(DB_SOFList[[#This Row],[Plan01]:[Plan12]])/valUnits2</f>
        <v>64.684269000000029</v>
      </c>
      <c r="AG163" s="34">
        <f>SUMPRODUCT(DB_SOFList[[#This Row],[Act01]:[Act12]],$P$13:$AA$13)/valUnits2</f>
        <v>29.855520000000002</v>
      </c>
      <c r="AH163" s="34">
        <f>IF(DB_SOFList[[#This Row],[FYPlan]]&lt;&gt;0,DB_SOFList[[#This Row],[FYActuals]]/DB_SOFList[[#This Row],[FYPlan]],1.000011000011)</f>
        <v>0.46155766249750751</v>
      </c>
    </row>
    <row r="164" spans="1:34" hidden="1" x14ac:dyDescent="0.2">
      <c r="A164">
        <f>SUBTOTAL(3,$B$16:B164)</f>
        <v>40</v>
      </c>
      <c r="B164" t="s">
        <v>350</v>
      </c>
      <c r="C164" t="s">
        <v>874</v>
      </c>
      <c r="D164">
        <v>0</v>
      </c>
      <c r="E164">
        <v>2045.9449999999999</v>
      </c>
      <c r="F164">
        <v>1033.742</v>
      </c>
      <c r="G164">
        <v>2128.6370000000002</v>
      </c>
      <c r="H164">
        <v>1121.423</v>
      </c>
      <c r="I164">
        <v>371.988</v>
      </c>
      <c r="J164">
        <v>371.988</v>
      </c>
      <c r="K164">
        <v>371.988</v>
      </c>
      <c r="L164">
        <v>371.988</v>
      </c>
      <c r="M164">
        <v>371.988</v>
      </c>
      <c r="N164">
        <v>371.988</v>
      </c>
      <c r="O164">
        <v>371.988</v>
      </c>
      <c r="P164">
        <v>0</v>
      </c>
      <c r="Q164">
        <v>2086.1999999999998</v>
      </c>
      <c r="R164">
        <v>1043.0999999999999</v>
      </c>
      <c r="S164">
        <v>2103.85</v>
      </c>
      <c r="T164">
        <v>1108.18</v>
      </c>
      <c r="U164">
        <v>2029.99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f>SUMPRODUCT(DB_SOFList[[#This Row],[Plan01]:[Plan12]],$D$14:$O$14)/valUnits2</f>
        <v>6.7017350000000002</v>
      </c>
      <c r="AC164">
        <f>SUMPRODUCT(DB_SOFList[[#This Row],[Act01]:[Act12]],$P$14:$AA$14)/valUnits2</f>
        <v>8.371319999999999</v>
      </c>
      <c r="AD164">
        <f>DB_SOFList[[#This Row],[Actual]]-DB_SOFList[[#This Row],[Plan]]</f>
        <v>1.6695849999999988</v>
      </c>
      <c r="AE164">
        <f>IF(DB_SOFList[[#This Row],[Plan]]&lt;&gt;0,DB_SOFList[[#This Row],[Actual]]/DB_SOFList[[#This Row],[Plan]],1.000011000011)</f>
        <v>1.2491272782346658</v>
      </c>
      <c r="AF164" s="34">
        <f>SUM(DB_SOFList[[#This Row],[Plan01]:[Plan12]])/valUnits2</f>
        <v>8.933663000000001</v>
      </c>
      <c r="AG164" s="34">
        <f>SUMPRODUCT(DB_SOFList[[#This Row],[Act01]:[Act12]],$P$13:$AA$13)/valUnits2</f>
        <v>8.371319999999999</v>
      </c>
      <c r="AH164" s="34">
        <f>IF(DB_SOFList[[#This Row],[FYPlan]]&lt;&gt;0,DB_SOFList[[#This Row],[FYActuals]]/DB_SOFList[[#This Row],[FYPlan]],1.000011000011)</f>
        <v>0.93705347963091934</v>
      </c>
    </row>
    <row r="165" spans="1:34" x14ac:dyDescent="0.2">
      <c r="A165">
        <f>SUBTOTAL(3,$B$16:B165)</f>
        <v>41</v>
      </c>
      <c r="B165" t="s">
        <v>1</v>
      </c>
      <c r="C165" t="s">
        <v>875</v>
      </c>
      <c r="D165">
        <v>1044.6479999999999</v>
      </c>
      <c r="E165">
        <v>692.01299999999992</v>
      </c>
      <c r="F165">
        <v>2494.0889999999999</v>
      </c>
      <c r="G165">
        <v>6447.8270000000011</v>
      </c>
      <c r="H165">
        <v>45328.12999999999</v>
      </c>
      <c r="I165">
        <v>11227.68</v>
      </c>
      <c r="J165">
        <v>11227.68</v>
      </c>
      <c r="K165">
        <v>11227.68</v>
      </c>
      <c r="L165">
        <v>11227.68</v>
      </c>
      <c r="M165">
        <v>11227.68</v>
      </c>
      <c r="N165">
        <v>11227.679999999998</v>
      </c>
      <c r="O165">
        <v>11227.679999999998</v>
      </c>
      <c r="P165">
        <v>1065.98</v>
      </c>
      <c r="Q165">
        <v>690.56999999999994</v>
      </c>
      <c r="R165">
        <v>2552.1999999999998</v>
      </c>
      <c r="S165">
        <v>6371.4800000000014</v>
      </c>
      <c r="T165">
        <v>46634.89</v>
      </c>
      <c r="U165">
        <v>7114.52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f>SUMPRODUCT(DB_SOFList[[#This Row],[Plan01]:[Plan12]],$D$14:$O$14)/valUnits2</f>
        <v>67.234386999999984</v>
      </c>
      <c r="AC165">
        <f>SUMPRODUCT(DB_SOFList[[#This Row],[Act01]:[Act12]],$P$14:$AA$14)/valUnits2</f>
        <v>64.429640000000006</v>
      </c>
      <c r="AD165">
        <f>DB_SOFList[[#This Row],[Actual]]-DB_SOFList[[#This Row],[Plan]]</f>
        <v>-2.8047469999999777</v>
      </c>
      <c r="AE165">
        <f>IF(DB_SOFList[[#This Row],[Plan]]&lt;&gt;0,DB_SOFList[[#This Row],[Actual]]/DB_SOFList[[#This Row],[Plan]],1.000011000011)</f>
        <v>0.95828403998091072</v>
      </c>
      <c r="AF165" s="34">
        <f>SUM(DB_SOFList[[#This Row],[Plan01]:[Plan12]])/valUnits2</f>
        <v>134.60046699999995</v>
      </c>
      <c r="AG165" s="34">
        <f>SUMPRODUCT(DB_SOFList[[#This Row],[Act01]:[Act12]],$P$13:$AA$13)/valUnits2</f>
        <v>64.429640000000006</v>
      </c>
      <c r="AH165" s="34">
        <f>IF(DB_SOFList[[#This Row],[FYPlan]]&lt;&gt;0,DB_SOFList[[#This Row],[FYActuals]]/DB_SOFList[[#This Row],[FYPlan]],1.000011000011)</f>
        <v>0.47867322778308063</v>
      </c>
    </row>
    <row r="166" spans="1:34" hidden="1" x14ac:dyDescent="0.2">
      <c r="A166">
        <f>SUBTOTAL(3,$B$16:B166)</f>
        <v>41</v>
      </c>
      <c r="B166" t="s">
        <v>351</v>
      </c>
      <c r="C166" t="s">
        <v>875</v>
      </c>
      <c r="D166">
        <v>0</v>
      </c>
      <c r="E166">
        <v>0</v>
      </c>
      <c r="F166">
        <v>0</v>
      </c>
      <c r="G166">
        <v>2635.9280000000008</v>
      </c>
      <c r="H166">
        <v>4308.3189999999995</v>
      </c>
      <c r="I166">
        <v>2759.14</v>
      </c>
      <c r="J166">
        <v>2759.14</v>
      </c>
      <c r="K166">
        <v>2759.14</v>
      </c>
      <c r="L166">
        <v>2759.14</v>
      </c>
      <c r="M166">
        <v>2759.14</v>
      </c>
      <c r="N166">
        <v>2759.14</v>
      </c>
      <c r="O166">
        <v>2759.14</v>
      </c>
      <c r="P166">
        <v>0</v>
      </c>
      <c r="Q166">
        <v>0</v>
      </c>
      <c r="R166">
        <v>0</v>
      </c>
      <c r="S166">
        <v>2625.190000000001</v>
      </c>
      <c r="T166">
        <v>4388.83</v>
      </c>
      <c r="U166">
        <v>3260.6499999999996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s="34">
        <f>SUMPRODUCT(DB_SOFList[[#This Row],[Plan01]:[Plan12]],$D$14:$O$14)/valUnits2</f>
        <v>9.7033870000000011</v>
      </c>
      <c r="AC166" s="34">
        <f>SUMPRODUCT(DB_SOFList[[#This Row],[Act01]:[Act12]],$P$14:$AA$14)/valUnits2</f>
        <v>10.27467</v>
      </c>
      <c r="AD166" s="34">
        <f>DB_SOFList[[#This Row],[Actual]]-DB_SOFList[[#This Row],[Plan]]</f>
        <v>0.57128299999999932</v>
      </c>
      <c r="AE166" s="34">
        <f>IF(DB_SOFList[[#This Row],[Plan]]&lt;&gt;0,DB_SOFList[[#This Row],[Actual]]/DB_SOFList[[#This Row],[Plan]],1.000011000011)</f>
        <v>1.0588745970865636</v>
      </c>
      <c r="AF166" s="34">
        <f>SUM(DB_SOFList[[#This Row],[Plan01]:[Plan12]])/valUnits2</f>
        <v>26.258226999999998</v>
      </c>
      <c r="AG166" s="34">
        <f>SUMPRODUCT(DB_SOFList[[#This Row],[Act01]:[Act12]],$P$13:$AA$13)/valUnits2</f>
        <v>10.27467</v>
      </c>
      <c r="AH166" s="34">
        <f>IF(DB_SOFList[[#This Row],[FYPlan]]&lt;&gt;0,DB_SOFList[[#This Row],[FYActuals]]/DB_SOFList[[#This Row],[FYPlan]],1.000011000011)</f>
        <v>0.39129336493282663</v>
      </c>
    </row>
    <row r="167" spans="1:34" hidden="1" x14ac:dyDescent="0.2">
      <c r="A167">
        <f>SUBTOTAL(3,$B$16:B167)</f>
        <v>41</v>
      </c>
      <c r="B167" t="s">
        <v>344</v>
      </c>
      <c r="C167" t="s">
        <v>875</v>
      </c>
      <c r="D167">
        <v>1044.6479999999999</v>
      </c>
      <c r="E167">
        <v>692.01299999999992</v>
      </c>
      <c r="F167">
        <v>2483.8330000000001</v>
      </c>
      <c r="G167">
        <v>3811.8990000000003</v>
      </c>
      <c r="H167">
        <v>41019.810999999994</v>
      </c>
      <c r="I167">
        <v>8468.5400000000009</v>
      </c>
      <c r="J167">
        <v>8468.5400000000009</v>
      </c>
      <c r="K167">
        <v>8468.5400000000009</v>
      </c>
      <c r="L167">
        <v>8468.5400000000009</v>
      </c>
      <c r="M167">
        <v>8468.5400000000009</v>
      </c>
      <c r="N167">
        <v>8468.5399999999991</v>
      </c>
      <c r="O167">
        <v>8468.5399999999991</v>
      </c>
      <c r="P167">
        <v>1065.98</v>
      </c>
      <c r="Q167">
        <v>690.56999999999994</v>
      </c>
      <c r="R167">
        <v>2541.8799999999997</v>
      </c>
      <c r="S167">
        <v>3746.2900000000004</v>
      </c>
      <c r="T167">
        <v>42246.06</v>
      </c>
      <c r="U167">
        <v>3853.02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s="34">
        <f>SUMPRODUCT(DB_SOFList[[#This Row],[Plan01]:[Plan12]],$D$14:$O$14)/valUnits2</f>
        <v>57.520744000000001</v>
      </c>
      <c r="AC167" s="34">
        <f>SUMPRODUCT(DB_SOFList[[#This Row],[Act01]:[Act12]],$P$14:$AA$14)/valUnits2</f>
        <v>54.143799999999999</v>
      </c>
      <c r="AD167" s="34">
        <f>DB_SOFList[[#This Row],[Actual]]-DB_SOFList[[#This Row],[Plan]]</f>
        <v>-3.3769440000000017</v>
      </c>
      <c r="AE167" s="34">
        <f>IF(DB_SOFList[[#This Row],[Plan]]&lt;&gt;0,DB_SOFList[[#This Row],[Actual]]/DB_SOFList[[#This Row],[Plan]],1.000011000011)</f>
        <v>0.94129171903617936</v>
      </c>
      <c r="AF167" s="34">
        <f>SUM(DB_SOFList[[#This Row],[Plan01]:[Plan12]])/valUnits2</f>
        <v>108.33198399999999</v>
      </c>
      <c r="AG167" s="34">
        <f>SUMPRODUCT(DB_SOFList[[#This Row],[Act01]:[Act12]],$P$13:$AA$13)/valUnits2</f>
        <v>54.143799999999999</v>
      </c>
      <c r="AH167" s="34">
        <f>IF(DB_SOFList[[#This Row],[FYPlan]]&lt;&gt;0,DB_SOFList[[#This Row],[FYActuals]]/DB_SOFList[[#This Row],[FYPlan]],1.000011000011)</f>
        <v>0.49979514821772308</v>
      </c>
    </row>
    <row r="168" spans="1:34" hidden="1" x14ac:dyDescent="0.2">
      <c r="A168">
        <f>SUBTOTAL(3,$B$16:B168)</f>
        <v>41</v>
      </c>
      <c r="B168" t="s">
        <v>350</v>
      </c>
      <c r="C168" t="s">
        <v>875</v>
      </c>
      <c r="F168">
        <v>10.256</v>
      </c>
      <c r="I168">
        <v>0</v>
      </c>
      <c r="R168">
        <v>10.32</v>
      </c>
      <c r="U168">
        <v>0.85</v>
      </c>
      <c r="AB168">
        <f>SUMPRODUCT(DB_SOFList[[#This Row],[Plan01]:[Plan12]],$D$14:$O$14)/valUnits2</f>
        <v>1.0255999999999999E-2</v>
      </c>
      <c r="AC168">
        <f>SUMPRODUCT(DB_SOFList[[#This Row],[Act01]:[Act12]],$P$14:$AA$14)/valUnits2</f>
        <v>1.1169999999999999E-2</v>
      </c>
      <c r="AD168">
        <f>DB_SOFList[[#This Row],[Actual]]-DB_SOFList[[#This Row],[Plan]]</f>
        <v>9.1399999999999988E-4</v>
      </c>
      <c r="AE168">
        <f>IF(DB_SOFList[[#This Row],[Plan]]&lt;&gt;0,DB_SOFList[[#This Row],[Actual]]/DB_SOFList[[#This Row],[Plan]],1.000011000011)</f>
        <v>1.0891185647425896</v>
      </c>
      <c r="AF168" s="34">
        <f>SUM(DB_SOFList[[#This Row],[Plan01]:[Plan12]])/valUnits2</f>
        <v>1.0255999999999999E-2</v>
      </c>
      <c r="AG168" s="34">
        <f>SUMPRODUCT(DB_SOFList[[#This Row],[Act01]:[Act12]],$P$13:$AA$13)/valUnits2</f>
        <v>1.1169999999999999E-2</v>
      </c>
      <c r="AH168" s="34">
        <f>IF(DB_SOFList[[#This Row],[FYPlan]]&lt;&gt;0,DB_SOFList[[#This Row],[FYActuals]]/DB_SOFList[[#This Row],[FYPlan]],1.000011000011)</f>
        <v>1.0891185647425896</v>
      </c>
    </row>
    <row r="169" spans="1:34" x14ac:dyDescent="0.2">
      <c r="A169">
        <f>SUBTOTAL(3,$B$16:B169)</f>
        <v>42</v>
      </c>
      <c r="B169" t="s">
        <v>1</v>
      </c>
      <c r="C169" t="s">
        <v>876</v>
      </c>
      <c r="D169">
        <v>5724.5899999999992</v>
      </c>
      <c r="E169">
        <v>76955.389999999985</v>
      </c>
      <c r="F169">
        <v>56528.47</v>
      </c>
      <c r="G169">
        <v>-1717.5599999999995</v>
      </c>
      <c r="H169">
        <v>31516.809999999998</v>
      </c>
      <c r="I169">
        <v>53926.798000000003</v>
      </c>
      <c r="J169">
        <v>15644.091999999999</v>
      </c>
      <c r="K169">
        <v>15644.091999999999</v>
      </c>
      <c r="L169">
        <v>15644.091999999999</v>
      </c>
      <c r="P169">
        <v>5724.59</v>
      </c>
      <c r="Q169">
        <v>76978.739999999991</v>
      </c>
      <c r="R169">
        <v>56528.47</v>
      </c>
      <c r="S169">
        <v>-1717.5599999999977</v>
      </c>
      <c r="T169">
        <v>31518.579999999994</v>
      </c>
      <c r="U169">
        <v>46877.44000000001</v>
      </c>
      <c r="V169">
        <v>449.41</v>
      </c>
      <c r="W169">
        <v>0</v>
      </c>
      <c r="X169">
        <v>0</v>
      </c>
      <c r="AB169">
        <f>SUMPRODUCT(DB_SOFList[[#This Row],[Plan01]:[Plan12]],$D$14:$O$14)/valUnits2</f>
        <v>222.93449799999999</v>
      </c>
      <c r="AC169">
        <f>SUMPRODUCT(DB_SOFList[[#This Row],[Act01]:[Act12]],$P$14:$AA$14)/valUnits2</f>
        <v>215.91025999999999</v>
      </c>
      <c r="AD169">
        <f>DB_SOFList[[#This Row],[Actual]]-DB_SOFList[[#This Row],[Plan]]</f>
        <v>-7.0242379999999969</v>
      </c>
      <c r="AE169">
        <f>IF(DB_SOFList[[#This Row],[Plan]]&lt;&gt;0,DB_SOFList[[#This Row],[Actual]]/DB_SOFList[[#This Row],[Plan]],1.000011000011)</f>
        <v>0.96849191998987971</v>
      </c>
      <c r="AF169" s="34">
        <f>SUM(DB_SOFList[[#This Row],[Plan01]:[Plan12]])/valUnits2</f>
        <v>269.86677399999996</v>
      </c>
      <c r="AG169" s="34">
        <f>SUMPRODUCT(DB_SOFList[[#This Row],[Act01]:[Act12]],$P$13:$AA$13)/valUnits2</f>
        <v>215.91025999999999</v>
      </c>
      <c r="AH169" s="34">
        <f>IF(DB_SOFList[[#This Row],[FYPlan]]&lt;&gt;0,DB_SOFList[[#This Row],[FYActuals]]/DB_SOFList[[#This Row],[FYPlan]],1.000011000011)</f>
        <v>0.80006240412537788</v>
      </c>
    </row>
    <row r="170" spans="1:34" hidden="1" x14ac:dyDescent="0.2">
      <c r="A170">
        <f>SUBTOTAL(3,$B$16:B170)</f>
        <v>42</v>
      </c>
      <c r="B170" t="s">
        <v>351</v>
      </c>
      <c r="C170" t="s">
        <v>876</v>
      </c>
      <c r="D170">
        <v>386.56</v>
      </c>
      <c r="E170">
        <v>423.59</v>
      </c>
      <c r="F170">
        <v>815.32999999999993</v>
      </c>
      <c r="G170">
        <v>4599.49</v>
      </c>
      <c r="H170">
        <v>626.59999999999991</v>
      </c>
      <c r="I170">
        <v>824.32</v>
      </c>
      <c r="J170">
        <v>824.32</v>
      </c>
      <c r="K170">
        <v>824.32</v>
      </c>
      <c r="L170">
        <v>824.32</v>
      </c>
      <c r="P170">
        <v>386.56</v>
      </c>
      <c r="Q170">
        <v>423.59</v>
      </c>
      <c r="R170">
        <v>815.32999999999993</v>
      </c>
      <c r="S170">
        <v>4599.49</v>
      </c>
      <c r="T170">
        <v>628.37000000000012</v>
      </c>
      <c r="U170">
        <v>447.12</v>
      </c>
      <c r="V170">
        <v>0</v>
      </c>
      <c r="W170">
        <v>0</v>
      </c>
      <c r="X170">
        <v>0</v>
      </c>
      <c r="AB170">
        <f>SUMPRODUCT(DB_SOFList[[#This Row],[Plan01]:[Plan12]],$D$14:$O$14)/valUnits2</f>
        <v>7.675889999999999</v>
      </c>
      <c r="AC170">
        <f>SUMPRODUCT(DB_SOFList[[#This Row],[Act01]:[Act12]],$P$14:$AA$14)/valUnits2</f>
        <v>7.3004599999999993</v>
      </c>
      <c r="AD170">
        <f>DB_SOFList[[#This Row],[Actual]]-DB_SOFList[[#This Row],[Plan]]</f>
        <v>-0.37542999999999971</v>
      </c>
      <c r="AE170">
        <f>IF(DB_SOFList[[#This Row],[Plan]]&lt;&gt;0,DB_SOFList[[#This Row],[Actual]]/DB_SOFList[[#This Row],[Plan]],1.000011000011)</f>
        <v>0.95108971076969584</v>
      </c>
      <c r="AF170" s="34">
        <f>SUM(DB_SOFList[[#This Row],[Plan01]:[Plan12]])/valUnits2</f>
        <v>10.148849999999998</v>
      </c>
      <c r="AG170" s="34">
        <f>SUMPRODUCT(DB_SOFList[[#This Row],[Act01]:[Act12]],$P$13:$AA$13)/valUnits2</f>
        <v>7.3004599999999993</v>
      </c>
      <c r="AH170" s="34">
        <f>IF(DB_SOFList[[#This Row],[FYPlan]]&lt;&gt;0,DB_SOFList[[#This Row],[FYActuals]]/DB_SOFList[[#This Row],[FYPlan]],1.000011000011)</f>
        <v>0.71933864427989391</v>
      </c>
    </row>
    <row r="171" spans="1:34" hidden="1" x14ac:dyDescent="0.2">
      <c r="A171">
        <f>SUBTOTAL(3,$B$16:B171)</f>
        <v>42</v>
      </c>
      <c r="B171" t="s">
        <v>344</v>
      </c>
      <c r="C171" t="s">
        <v>876</v>
      </c>
      <c r="D171">
        <v>5338.0299999999988</v>
      </c>
      <c r="E171">
        <v>76531.799999999988</v>
      </c>
      <c r="F171">
        <v>55713.14</v>
      </c>
      <c r="G171">
        <v>-6317.0499999999993</v>
      </c>
      <c r="H171">
        <v>30890.21</v>
      </c>
      <c r="I171">
        <v>52960.398000000001</v>
      </c>
      <c r="J171">
        <v>14677.691999999999</v>
      </c>
      <c r="K171">
        <v>14677.691999999999</v>
      </c>
      <c r="L171">
        <v>14677.691999999999</v>
      </c>
      <c r="P171">
        <v>5338.03</v>
      </c>
      <c r="Q171">
        <v>76555.149999999994</v>
      </c>
      <c r="R171">
        <v>55713.14</v>
      </c>
      <c r="S171">
        <v>-6317.0499999999975</v>
      </c>
      <c r="T171">
        <v>30890.209999999995</v>
      </c>
      <c r="U171">
        <v>46429.41</v>
      </c>
      <c r="V171">
        <v>449.41</v>
      </c>
      <c r="W171">
        <v>0</v>
      </c>
      <c r="X171">
        <v>0</v>
      </c>
      <c r="AB171">
        <f>SUMPRODUCT(DB_SOFList[[#This Row],[Plan01]:[Plan12]],$D$14:$O$14)/valUnits2</f>
        <v>215.11652799999999</v>
      </c>
      <c r="AC171">
        <f>SUMPRODUCT(DB_SOFList[[#This Row],[Act01]:[Act12]],$P$14:$AA$14)/valUnits2</f>
        <v>208.60889</v>
      </c>
      <c r="AD171">
        <f>DB_SOFList[[#This Row],[Actual]]-DB_SOFList[[#This Row],[Plan]]</f>
        <v>-6.5076379999999858</v>
      </c>
      <c r="AE171">
        <f>IF(DB_SOFList[[#This Row],[Plan]]&lt;&gt;0,DB_SOFList[[#This Row],[Actual]]/DB_SOFList[[#This Row],[Plan]],1.000011000011)</f>
        <v>0.96974831241233128</v>
      </c>
      <c r="AF171" s="34">
        <f>SUM(DB_SOFList[[#This Row],[Plan01]:[Plan12]])/valUnits2</f>
        <v>259.14960400000001</v>
      </c>
      <c r="AG171" s="34">
        <f>SUMPRODUCT(DB_SOFList[[#This Row],[Act01]:[Act12]],$P$13:$AA$13)/valUnits2</f>
        <v>208.60889</v>
      </c>
      <c r="AH171" s="34">
        <f>IF(DB_SOFList[[#This Row],[FYPlan]]&lt;&gt;0,DB_SOFList[[#This Row],[FYActuals]]/DB_SOFList[[#This Row],[FYPlan]],1.000011000011)</f>
        <v>0.80497475890412706</v>
      </c>
    </row>
    <row r="172" spans="1:34" hidden="1" x14ac:dyDescent="0.2">
      <c r="A172">
        <f>SUBTOTAL(3,$B$16:B172)</f>
        <v>42</v>
      </c>
      <c r="B172" t="s">
        <v>350</v>
      </c>
      <c r="C172" t="s">
        <v>876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142.07999999999998</v>
      </c>
      <c r="J172">
        <v>142.07999999999998</v>
      </c>
      <c r="K172">
        <v>142.07999999999998</v>
      </c>
      <c r="L172">
        <v>142.07999999999998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0.91</v>
      </c>
      <c r="V172">
        <v>0</v>
      </c>
      <c r="W172">
        <v>0</v>
      </c>
      <c r="X172">
        <v>0</v>
      </c>
      <c r="AB172">
        <f>SUMPRODUCT(DB_SOFList[[#This Row],[Plan01]:[Plan12]],$D$14:$O$14)/valUnits2</f>
        <v>0.14207999999999998</v>
      </c>
      <c r="AC172">
        <f>SUMPRODUCT(DB_SOFList[[#This Row],[Act01]:[Act12]],$P$14:$AA$14)/valUnits2</f>
        <v>9.1E-4</v>
      </c>
      <c r="AD172">
        <f>DB_SOFList[[#This Row],[Actual]]-DB_SOFList[[#This Row],[Plan]]</f>
        <v>-0.14116999999999999</v>
      </c>
      <c r="AE172">
        <f>IF(DB_SOFList[[#This Row],[Plan]]&lt;&gt;0,DB_SOFList[[#This Row],[Actual]]/DB_SOFList[[#This Row],[Plan]],1.000011000011)</f>
        <v>6.4048423423423428E-3</v>
      </c>
      <c r="AF172" s="34">
        <f>SUM(DB_SOFList[[#This Row],[Plan01]:[Plan12]])/valUnits2</f>
        <v>0.56831999999999994</v>
      </c>
      <c r="AG172" s="34">
        <f>SUMPRODUCT(DB_SOFList[[#This Row],[Act01]:[Act12]],$P$13:$AA$13)/valUnits2</f>
        <v>9.1E-4</v>
      </c>
      <c r="AH172" s="34">
        <f>IF(DB_SOFList[[#This Row],[FYPlan]]&lt;&gt;0,DB_SOFList[[#This Row],[FYActuals]]/DB_SOFList[[#This Row],[FYPlan]],1.000011000011)</f>
        <v>1.6012105855855857E-3</v>
      </c>
    </row>
    <row r="173" spans="1:34" x14ac:dyDescent="0.2">
      <c r="A173">
        <f>SUBTOTAL(3,$B$16:B173)</f>
        <v>43</v>
      </c>
      <c r="B173" t="s">
        <v>1</v>
      </c>
      <c r="C173" t="s">
        <v>362</v>
      </c>
      <c r="D173">
        <v>0</v>
      </c>
      <c r="G173">
        <v>1637.6579999999999</v>
      </c>
      <c r="H173">
        <v>11710.977999999999</v>
      </c>
      <c r="I173">
        <v>10185.135000000002</v>
      </c>
      <c r="P173">
        <v>0</v>
      </c>
      <c r="S173">
        <v>1626.88</v>
      </c>
      <c r="T173">
        <v>11736.820000000003</v>
      </c>
      <c r="U173">
        <v>62393.31</v>
      </c>
      <c r="AB173">
        <f>SUMPRODUCT(DB_SOFList[[#This Row],[Plan01]:[Plan12]],$D$14:$O$14)/valUnits2</f>
        <v>23.533771000000002</v>
      </c>
      <c r="AC173">
        <f>SUMPRODUCT(DB_SOFList[[#This Row],[Act01]:[Act12]],$P$14:$AA$14)/valUnits2</f>
        <v>75.757010000000008</v>
      </c>
      <c r="AD173">
        <f>DB_SOFList[[#This Row],[Actual]]-DB_SOFList[[#This Row],[Plan]]</f>
        <v>52.223239000000007</v>
      </c>
      <c r="AE173">
        <f>IF(DB_SOFList[[#This Row],[Plan]]&lt;&gt;0,DB_SOFList[[#This Row],[Actual]]/DB_SOFList[[#This Row],[Plan]],1.000011000011)</f>
        <v>3.2190765347381007</v>
      </c>
      <c r="AF173" s="34">
        <f>SUM(DB_SOFList[[#This Row],[Plan01]:[Plan12]])/valUnits2</f>
        <v>23.533771000000002</v>
      </c>
      <c r="AG173" s="34">
        <f>SUMPRODUCT(DB_SOFList[[#This Row],[Act01]:[Act12]],$P$13:$AA$13)/valUnits2</f>
        <v>75.757010000000008</v>
      </c>
      <c r="AH173" s="34">
        <f>IF(DB_SOFList[[#This Row],[FYPlan]]&lt;&gt;0,DB_SOFList[[#This Row],[FYActuals]]/DB_SOFList[[#This Row],[FYPlan]],1.000011000011)</f>
        <v>3.2190765347381007</v>
      </c>
    </row>
    <row r="174" spans="1:34" hidden="1" x14ac:dyDescent="0.2">
      <c r="A174">
        <f>SUBTOTAL(3,$B$16:B174)</f>
        <v>43</v>
      </c>
      <c r="B174" t="s">
        <v>351</v>
      </c>
      <c r="C174" t="s">
        <v>362</v>
      </c>
      <c r="D174">
        <v>0</v>
      </c>
      <c r="G174">
        <v>864.09199999999987</v>
      </c>
      <c r="H174">
        <v>390.80200000000002</v>
      </c>
      <c r="I174">
        <v>331.06899999999996</v>
      </c>
      <c r="P174">
        <v>0</v>
      </c>
      <c r="S174">
        <v>864.87000000000012</v>
      </c>
      <c r="T174">
        <v>393.79</v>
      </c>
      <c r="U174">
        <v>296.18</v>
      </c>
      <c r="AB174">
        <f>SUMPRODUCT(DB_SOFList[[#This Row],[Plan01]:[Plan12]],$D$14:$O$14)/valUnits2</f>
        <v>1.5859629999999998</v>
      </c>
      <c r="AC174">
        <f>SUMPRODUCT(DB_SOFList[[#This Row],[Act01]:[Act12]],$P$14:$AA$14)/valUnits2</f>
        <v>1.5548400000000002</v>
      </c>
      <c r="AD174">
        <f>DB_SOFList[[#This Row],[Actual]]-DB_SOFList[[#This Row],[Plan]]</f>
        <v>-3.1122999999999568E-2</v>
      </c>
      <c r="AE174">
        <f>IF(DB_SOFList[[#This Row],[Plan]]&lt;&gt;0,DB_SOFList[[#This Row],[Actual]]/DB_SOFList[[#This Row],[Plan]],1.000011000011)</f>
        <v>0.98037596085154599</v>
      </c>
      <c r="AF174" s="34">
        <f>SUM(DB_SOFList[[#This Row],[Plan01]:[Plan12]])/valUnits2</f>
        <v>1.5859629999999998</v>
      </c>
      <c r="AG174" s="34">
        <f>SUMPRODUCT(DB_SOFList[[#This Row],[Act01]:[Act12]],$P$13:$AA$13)/valUnits2</f>
        <v>1.5548400000000002</v>
      </c>
      <c r="AH174" s="34">
        <f>IF(DB_SOFList[[#This Row],[FYPlan]]&lt;&gt;0,DB_SOFList[[#This Row],[FYActuals]]/DB_SOFList[[#This Row],[FYPlan]],1.000011000011)</f>
        <v>0.98037596085154599</v>
      </c>
    </row>
    <row r="175" spans="1:34" hidden="1" x14ac:dyDescent="0.2">
      <c r="A175">
        <f>SUBTOTAL(3,$B$16:B175)</f>
        <v>43</v>
      </c>
      <c r="B175" t="s">
        <v>346</v>
      </c>
      <c r="C175" t="s">
        <v>362</v>
      </c>
      <c r="D175">
        <v>0</v>
      </c>
      <c r="G175">
        <v>773.56600000000003</v>
      </c>
      <c r="H175">
        <v>11320.175999999999</v>
      </c>
      <c r="I175">
        <v>9854.0660000000025</v>
      </c>
      <c r="P175">
        <v>0</v>
      </c>
      <c r="S175">
        <v>762.01</v>
      </c>
      <c r="T175">
        <v>11343.030000000002</v>
      </c>
      <c r="U175">
        <v>62096.54</v>
      </c>
      <c r="AB175">
        <f>SUMPRODUCT(DB_SOFList[[#This Row],[Plan01]:[Plan12]],$D$14:$O$14)/valUnits2</f>
        <v>21.947808000000006</v>
      </c>
      <c r="AC175">
        <f>SUMPRODUCT(DB_SOFList[[#This Row],[Act01]:[Act12]],$P$14:$AA$14)/valUnits2</f>
        <v>74.201580000000007</v>
      </c>
      <c r="AD175">
        <f>DB_SOFList[[#This Row],[Actual]]-DB_SOFList[[#This Row],[Plan]]</f>
        <v>52.253771999999998</v>
      </c>
      <c r="AE175">
        <f>IF(DB_SOFList[[#This Row],[Plan]]&lt;&gt;0,DB_SOFList[[#This Row],[Actual]]/DB_SOFList[[#This Row],[Plan]],1.000011000011)</f>
        <v>3.3808196244472337</v>
      </c>
      <c r="AF175" s="34">
        <f>SUM(DB_SOFList[[#This Row],[Plan01]:[Plan12]])/valUnits2</f>
        <v>21.947808000000006</v>
      </c>
      <c r="AG175" s="34">
        <f>SUMPRODUCT(DB_SOFList[[#This Row],[Act01]:[Act12]],$P$13:$AA$13)/valUnits2</f>
        <v>74.201580000000007</v>
      </c>
      <c r="AH175" s="34">
        <f>IF(DB_SOFList[[#This Row],[FYPlan]]&lt;&gt;0,DB_SOFList[[#This Row],[FYActuals]]/DB_SOFList[[#This Row],[FYPlan]],1.000011000011)</f>
        <v>3.3808196244472337</v>
      </c>
    </row>
    <row r="176" spans="1:34" hidden="1" x14ac:dyDescent="0.2">
      <c r="A176">
        <f>SUBTOTAL(3,$B$16:B176)</f>
        <v>43</v>
      </c>
      <c r="B176" t="s">
        <v>350</v>
      </c>
      <c r="C176" t="s">
        <v>362</v>
      </c>
      <c r="D176">
        <v>0</v>
      </c>
      <c r="I176">
        <v>0</v>
      </c>
      <c r="P176">
        <v>0</v>
      </c>
      <c r="U176">
        <v>0.59</v>
      </c>
      <c r="AB176">
        <f>SUMPRODUCT(DB_SOFList[[#This Row],[Plan01]:[Plan12]],$D$14:$O$14)/valUnits2</f>
        <v>0</v>
      </c>
      <c r="AC176">
        <f>SUMPRODUCT(DB_SOFList[[#This Row],[Act01]:[Act12]],$P$14:$AA$14)/valUnits2</f>
        <v>5.8999999999999992E-4</v>
      </c>
      <c r="AD176">
        <f>DB_SOFList[[#This Row],[Actual]]-DB_SOFList[[#This Row],[Plan]]</f>
        <v>5.8999999999999992E-4</v>
      </c>
      <c r="AE176">
        <f>IF(DB_SOFList[[#This Row],[Plan]]&lt;&gt;0,DB_SOFList[[#This Row],[Actual]]/DB_SOFList[[#This Row],[Plan]],1.000011000011)</f>
        <v>1.0000110000110001</v>
      </c>
      <c r="AF176" s="34">
        <f>SUM(DB_SOFList[[#This Row],[Plan01]:[Plan12]])/valUnits2</f>
        <v>0</v>
      </c>
      <c r="AG176" s="34">
        <f>SUMPRODUCT(DB_SOFList[[#This Row],[Act01]:[Act12]],$P$13:$AA$13)/valUnits2</f>
        <v>5.8999999999999992E-4</v>
      </c>
      <c r="AH176" s="34">
        <f>IF(DB_SOFList[[#This Row],[FYPlan]]&lt;&gt;0,DB_SOFList[[#This Row],[FYActuals]]/DB_SOFList[[#This Row],[FYPlan]],1.000011000011)</f>
        <v>1.0000110000110001</v>
      </c>
    </row>
    <row r="177" spans="1:34" x14ac:dyDescent="0.2">
      <c r="A177">
        <f>SUBTOTAL(3,$B$16:B177)</f>
        <v>44</v>
      </c>
      <c r="B177" t="s">
        <v>1</v>
      </c>
      <c r="C177" t="s">
        <v>877</v>
      </c>
      <c r="D177">
        <v>60399.904000000046</v>
      </c>
      <c r="E177">
        <v>107904.51600000002</v>
      </c>
      <c r="F177">
        <v>62089.090999999993</v>
      </c>
      <c r="G177">
        <v>94575.51</v>
      </c>
      <c r="H177">
        <v>13128.823999999999</v>
      </c>
      <c r="I177">
        <v>100486.58800000003</v>
      </c>
      <c r="J177">
        <v>76173.677000000011</v>
      </c>
      <c r="K177">
        <v>75223.647000000012</v>
      </c>
      <c r="L177">
        <v>68418.091000000015</v>
      </c>
      <c r="M177">
        <v>64630.067000000025</v>
      </c>
      <c r="N177">
        <v>67959.996000000014</v>
      </c>
      <c r="O177">
        <v>64630.06700000001</v>
      </c>
      <c r="P177">
        <v>59114.240000000042</v>
      </c>
      <c r="Q177">
        <v>111289.41000000002</v>
      </c>
      <c r="R177">
        <v>62654.560000000012</v>
      </c>
      <c r="S177">
        <v>94578.919999999984</v>
      </c>
      <c r="T177">
        <v>13001.65</v>
      </c>
      <c r="U177">
        <v>16941.559999999983</v>
      </c>
      <c r="V177">
        <v>1222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f>SUMPRODUCT(DB_SOFList[[#This Row],[Plan01]:[Plan12]],$D$14:$O$14)/valUnits2</f>
        <v>438.58443300000016</v>
      </c>
      <c r="AC177">
        <f>SUMPRODUCT(DB_SOFList[[#This Row],[Act01]:[Act12]],$P$14:$AA$14)/valUnits2</f>
        <v>357.58034000000009</v>
      </c>
      <c r="AD177">
        <f>DB_SOFList[[#This Row],[Actual]]-DB_SOFList[[#This Row],[Plan]]</f>
        <v>-81.004093000000069</v>
      </c>
      <c r="AE177">
        <f>IF(DB_SOFList[[#This Row],[Plan]]&lt;&gt;0,DB_SOFList[[#This Row],[Actual]]/DB_SOFList[[#This Row],[Plan]],1.000011000011)</f>
        <v>0.81530559020091797</v>
      </c>
      <c r="AF177" s="34">
        <f>SUM(DB_SOFList[[#This Row],[Plan01]:[Plan12]])/valUnits2</f>
        <v>855.6199780000004</v>
      </c>
      <c r="AG177" s="34">
        <f>SUMPRODUCT(DB_SOFList[[#This Row],[Act01]:[Act12]],$P$13:$AA$13)/valUnits2</f>
        <v>357.58034000000009</v>
      </c>
      <c r="AH177" s="34">
        <f>IF(DB_SOFList[[#This Row],[FYPlan]]&lt;&gt;0,DB_SOFList[[#This Row],[FYActuals]]/DB_SOFList[[#This Row],[FYPlan]],1.000011000011)</f>
        <v>0.41791957784323724</v>
      </c>
    </row>
    <row r="178" spans="1:34" hidden="1" x14ac:dyDescent="0.2">
      <c r="A178">
        <f>SUBTOTAL(3,$B$16:B178)</f>
        <v>44</v>
      </c>
      <c r="B178" t="s">
        <v>342</v>
      </c>
      <c r="C178" t="s">
        <v>877</v>
      </c>
      <c r="D178">
        <v>60399.904000000046</v>
      </c>
      <c r="E178">
        <v>105851.45700000002</v>
      </c>
      <c r="F178">
        <v>59972.280999999995</v>
      </c>
      <c r="G178">
        <v>87446.015999999989</v>
      </c>
      <c r="H178">
        <v>8677.780999999999</v>
      </c>
      <c r="I178">
        <v>95664.887000000032</v>
      </c>
      <c r="J178">
        <v>71351.97600000001</v>
      </c>
      <c r="K178">
        <v>70401.946000000011</v>
      </c>
      <c r="L178">
        <v>63596.390000000021</v>
      </c>
      <c r="M178">
        <v>59808.366000000024</v>
      </c>
      <c r="N178">
        <v>63138.29500000002</v>
      </c>
      <c r="O178">
        <v>59808.366000000009</v>
      </c>
      <c r="P178">
        <v>59114.240000000042</v>
      </c>
      <c r="Q178">
        <v>109193.84000000001</v>
      </c>
      <c r="R178">
        <v>60519.23000000001</v>
      </c>
      <c r="S178">
        <v>87427.329999999987</v>
      </c>
      <c r="T178">
        <v>8582.0999999999967</v>
      </c>
      <c r="U178">
        <v>13236.519999999984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f>SUMPRODUCT(DB_SOFList[[#This Row],[Plan01]:[Plan12]],$D$14:$O$14)/valUnits2</f>
        <v>418.01232600000014</v>
      </c>
      <c r="AC178">
        <f>SUMPRODUCT(DB_SOFList[[#This Row],[Act01]:[Act12]],$P$14:$AA$14)/valUnits2</f>
        <v>338.07325999999995</v>
      </c>
      <c r="AD178">
        <f>DB_SOFList[[#This Row],[Actual]]-DB_SOFList[[#This Row],[Plan]]</f>
        <v>-79.939066000000196</v>
      </c>
      <c r="AE178">
        <f>IF(DB_SOFList[[#This Row],[Plan]]&lt;&gt;0,DB_SOFList[[#This Row],[Actual]]/DB_SOFList[[#This Row],[Plan]],1.000011000011)</f>
        <v>0.80876385448978327</v>
      </c>
      <c r="AF178" s="34">
        <f>SUM(DB_SOFList[[#This Row],[Plan01]:[Plan12]])/valUnits2</f>
        <v>806.11766500000022</v>
      </c>
      <c r="AG178" s="34">
        <f>SUMPRODUCT(DB_SOFList[[#This Row],[Act01]:[Act12]],$P$13:$AA$13)/valUnits2</f>
        <v>338.07325999999995</v>
      </c>
      <c r="AH178" s="34">
        <f>IF(DB_SOFList[[#This Row],[FYPlan]]&lt;&gt;0,DB_SOFList[[#This Row],[FYActuals]]/DB_SOFList[[#This Row],[FYPlan]],1.000011000011)</f>
        <v>0.41938450759542634</v>
      </c>
    </row>
    <row r="179" spans="1:34" hidden="1" x14ac:dyDescent="0.2">
      <c r="A179">
        <f>SUBTOTAL(3,$B$16:B179)</f>
        <v>44</v>
      </c>
      <c r="B179" t="s">
        <v>351</v>
      </c>
      <c r="C179" t="s">
        <v>877</v>
      </c>
      <c r="D179">
        <v>0</v>
      </c>
      <c r="E179">
        <v>2053.0590000000002</v>
      </c>
      <c r="F179">
        <v>2116.81</v>
      </c>
      <c r="G179">
        <v>7129.4940000000006</v>
      </c>
      <c r="H179">
        <v>4156.6039999999994</v>
      </c>
      <c r="I179">
        <v>4821.7010000000009</v>
      </c>
      <c r="J179">
        <v>4821.701</v>
      </c>
      <c r="K179">
        <v>4821.7010000000009</v>
      </c>
      <c r="L179">
        <v>4821.7010000000009</v>
      </c>
      <c r="M179">
        <v>4821.7010000000009</v>
      </c>
      <c r="N179">
        <v>4821.7010000000009</v>
      </c>
      <c r="O179">
        <v>4821.7010000000009</v>
      </c>
      <c r="P179">
        <v>0</v>
      </c>
      <c r="Q179">
        <v>2095.5700000000006</v>
      </c>
      <c r="R179">
        <v>2135.3300000000004</v>
      </c>
      <c r="S179">
        <v>7151.59</v>
      </c>
      <c r="T179">
        <v>4128.6800000000012</v>
      </c>
      <c r="U179">
        <v>3412.01</v>
      </c>
      <c r="V179">
        <v>1222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f>SUMPRODUCT(DB_SOFList[[#This Row],[Plan01]:[Plan12]],$D$14:$O$14)/valUnits2</f>
        <v>20.277668000000002</v>
      </c>
      <c r="AC179">
        <f>SUMPRODUCT(DB_SOFList[[#This Row],[Act01]:[Act12]],$P$14:$AA$14)/valUnits2</f>
        <v>18.923179999999999</v>
      </c>
      <c r="AD179">
        <f>DB_SOFList[[#This Row],[Actual]]-DB_SOFList[[#This Row],[Plan]]</f>
        <v>-1.3544880000000035</v>
      </c>
      <c r="AE179">
        <f>IF(DB_SOFList[[#This Row],[Plan]]&lt;&gt;0,DB_SOFList[[#This Row],[Actual]]/DB_SOFList[[#This Row],[Plan]],1.000011000011)</f>
        <v>0.93320296988785878</v>
      </c>
      <c r="AF179" s="34">
        <f>SUM(DB_SOFList[[#This Row],[Plan01]:[Plan12]])/valUnits2</f>
        <v>49.207874000000011</v>
      </c>
      <c r="AG179" s="34">
        <f>SUMPRODUCT(DB_SOFList[[#This Row],[Act01]:[Act12]],$P$13:$AA$13)/valUnits2</f>
        <v>18.923179999999999</v>
      </c>
      <c r="AH179" s="34">
        <f>IF(DB_SOFList[[#This Row],[FYPlan]]&lt;&gt;0,DB_SOFList[[#This Row],[FYActuals]]/DB_SOFList[[#This Row],[FYPlan]],1.000011000011)</f>
        <v>0.38455593509282671</v>
      </c>
    </row>
    <row r="180" spans="1:34" hidden="1" x14ac:dyDescent="0.2">
      <c r="A180">
        <f>SUBTOTAL(3,$B$16:B180)</f>
        <v>44</v>
      </c>
      <c r="B180" t="s">
        <v>350</v>
      </c>
      <c r="C180" t="s">
        <v>877</v>
      </c>
      <c r="H180">
        <v>294.43900000000002</v>
      </c>
      <c r="I180">
        <v>0</v>
      </c>
      <c r="T180">
        <v>290.87</v>
      </c>
      <c r="U180">
        <v>293.03000000000003</v>
      </c>
      <c r="AB180">
        <f>SUMPRODUCT(DB_SOFList[[#This Row],[Plan01]:[Plan12]],$D$14:$O$14)/valUnits2</f>
        <v>0.29443900000000001</v>
      </c>
      <c r="AC180">
        <f>SUMPRODUCT(DB_SOFList[[#This Row],[Act01]:[Act12]],$P$14:$AA$14)/valUnits2</f>
        <v>0.58390000000000009</v>
      </c>
      <c r="AD180">
        <f>DB_SOFList[[#This Row],[Actual]]-DB_SOFList[[#This Row],[Plan]]</f>
        <v>0.28946100000000008</v>
      </c>
      <c r="AE180">
        <f>IF(DB_SOFList[[#This Row],[Plan]]&lt;&gt;0,DB_SOFList[[#This Row],[Actual]]/DB_SOFList[[#This Row],[Plan]],1.000011000011)</f>
        <v>1.9830932722906955</v>
      </c>
      <c r="AF180" s="34">
        <f>SUM(DB_SOFList[[#This Row],[Plan01]:[Plan12]])/valUnits2</f>
        <v>0.29443900000000001</v>
      </c>
      <c r="AG180" s="34">
        <f>SUMPRODUCT(DB_SOFList[[#This Row],[Act01]:[Act12]],$P$13:$AA$13)/valUnits2</f>
        <v>0.58390000000000009</v>
      </c>
      <c r="AH180" s="34">
        <f>IF(DB_SOFList[[#This Row],[FYPlan]]&lt;&gt;0,DB_SOFList[[#This Row],[FYActuals]]/DB_SOFList[[#This Row],[FYPlan]],1.000011000011)</f>
        <v>1.9830932722906955</v>
      </c>
    </row>
    <row r="181" spans="1:34" x14ac:dyDescent="0.2">
      <c r="A181">
        <f>SUBTOTAL(3,$B$16:B181)</f>
        <v>45</v>
      </c>
      <c r="B181" t="s">
        <v>1</v>
      </c>
      <c r="C181" t="s">
        <v>878</v>
      </c>
      <c r="D181">
        <v>4607.6589999999997</v>
      </c>
      <c r="E181">
        <v>9539.5959999999977</v>
      </c>
      <c r="F181">
        <v>12590.771000000001</v>
      </c>
      <c r="G181">
        <v>13267.445999999998</v>
      </c>
      <c r="H181">
        <v>13426.076999999999</v>
      </c>
      <c r="I181">
        <v>13177.581999999999</v>
      </c>
      <c r="J181">
        <v>13177.581999999999</v>
      </c>
      <c r="K181">
        <v>13177.581999999999</v>
      </c>
      <c r="L181">
        <v>13177.581999999999</v>
      </c>
      <c r="M181">
        <v>13177.581999999999</v>
      </c>
      <c r="N181">
        <v>13177.581999999999</v>
      </c>
      <c r="O181">
        <v>13177.581999999999</v>
      </c>
      <c r="P181">
        <v>4690.1800000000021</v>
      </c>
      <c r="Q181">
        <v>9515.66</v>
      </c>
      <c r="R181">
        <v>-695.09999999999991</v>
      </c>
      <c r="S181">
        <v>92.860000000000014</v>
      </c>
      <c r="T181">
        <v>263.16000000000003</v>
      </c>
      <c r="U181">
        <v>9502.2900000000009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f>SUMPRODUCT(DB_SOFList[[#This Row],[Plan01]:[Plan12]],$D$14:$O$14)/valUnits2</f>
        <v>66.609130999999991</v>
      </c>
      <c r="AC181">
        <f>SUMPRODUCT(DB_SOFList[[#This Row],[Act01]:[Act12]],$P$14:$AA$14)/valUnits2</f>
        <v>23.369050000000001</v>
      </c>
      <c r="AD181">
        <f>DB_SOFList[[#This Row],[Actual]]-DB_SOFList[[#This Row],[Plan]]</f>
        <v>-43.240080999999989</v>
      </c>
      <c r="AE181">
        <f>IF(DB_SOFList[[#This Row],[Plan]]&lt;&gt;0,DB_SOFList[[#This Row],[Actual]]/DB_SOFList[[#This Row],[Plan]],1.000011000011)</f>
        <v>0.35083853593586145</v>
      </c>
      <c r="AF181" s="34">
        <f>SUM(DB_SOFList[[#This Row],[Plan01]:[Plan12]])/valUnits2</f>
        <v>145.67462299999997</v>
      </c>
      <c r="AG181" s="34">
        <f>SUMPRODUCT(DB_SOFList[[#This Row],[Act01]:[Act12]],$P$13:$AA$13)/valUnits2</f>
        <v>23.369050000000001</v>
      </c>
      <c r="AH181" s="34">
        <f>IF(DB_SOFList[[#This Row],[FYPlan]]&lt;&gt;0,DB_SOFList[[#This Row],[FYActuals]]/DB_SOFList[[#This Row],[FYPlan]],1.000011000011)</f>
        <v>0.16041949873451883</v>
      </c>
    </row>
    <row r="182" spans="1:34" hidden="1" x14ac:dyDescent="0.2">
      <c r="A182">
        <f>SUBTOTAL(3,$B$16:B182)</f>
        <v>45</v>
      </c>
      <c r="B182" t="s">
        <v>342</v>
      </c>
      <c r="C182" t="s">
        <v>878</v>
      </c>
      <c r="D182">
        <v>4607.6589999999997</v>
      </c>
      <c r="E182">
        <v>9286.8229999999985</v>
      </c>
      <c r="F182">
        <v>11150.308000000001</v>
      </c>
      <c r="G182">
        <v>11737.118999999999</v>
      </c>
      <c r="H182">
        <v>11737.118999999999</v>
      </c>
      <c r="I182">
        <v>11737.118999999999</v>
      </c>
      <c r="J182">
        <v>11737.118999999999</v>
      </c>
      <c r="K182">
        <v>11737.118999999999</v>
      </c>
      <c r="L182">
        <v>11737.118999999999</v>
      </c>
      <c r="M182">
        <v>11737.118999999999</v>
      </c>
      <c r="N182">
        <v>11737.118999999999</v>
      </c>
      <c r="O182">
        <v>11737.118999999999</v>
      </c>
      <c r="P182">
        <v>4690.1800000000021</v>
      </c>
      <c r="Q182">
        <v>9261.76</v>
      </c>
      <c r="R182">
        <v>-695.09999999999991</v>
      </c>
      <c r="S182">
        <v>0</v>
      </c>
      <c r="T182">
        <v>0</v>
      </c>
      <c r="U182">
        <v>4060.4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f>SUMPRODUCT(DB_SOFList[[#This Row],[Plan01]:[Plan12]],$D$14:$O$14)/valUnits2</f>
        <v>60.256146999999999</v>
      </c>
      <c r="AC182">
        <f>SUMPRODUCT(DB_SOFList[[#This Row],[Act01]:[Act12]],$P$14:$AA$14)/valUnits2</f>
        <v>17.317240000000002</v>
      </c>
      <c r="AD182">
        <f>DB_SOFList[[#This Row],[Actual]]-DB_SOFList[[#This Row],[Plan]]</f>
        <v>-42.938907</v>
      </c>
      <c r="AE182">
        <f>IF(DB_SOFList[[#This Row],[Plan]]&lt;&gt;0,DB_SOFList[[#This Row],[Actual]]/DB_SOFList[[#This Row],[Plan]],1.000011000011)</f>
        <v>0.28739374922196737</v>
      </c>
      <c r="AF182" s="34">
        <f>SUM(DB_SOFList[[#This Row],[Plan01]:[Plan12]])/valUnits2</f>
        <v>130.67886100000004</v>
      </c>
      <c r="AG182" s="34">
        <f>SUMPRODUCT(DB_SOFList[[#This Row],[Act01]:[Act12]],$P$13:$AA$13)/valUnits2</f>
        <v>17.317240000000002</v>
      </c>
      <c r="AH182" s="34">
        <f>IF(DB_SOFList[[#This Row],[FYPlan]]&lt;&gt;0,DB_SOFList[[#This Row],[FYActuals]]/DB_SOFList[[#This Row],[FYPlan]],1.000011000011)</f>
        <v>0.13251753089583476</v>
      </c>
    </row>
    <row r="183" spans="1:34" hidden="1" x14ac:dyDescent="0.2">
      <c r="A183">
        <f>SUBTOTAL(3,$B$16:B183)</f>
        <v>45</v>
      </c>
      <c r="B183" t="s">
        <v>351</v>
      </c>
      <c r="C183" t="s">
        <v>878</v>
      </c>
      <c r="D183">
        <v>0</v>
      </c>
      <c r="E183">
        <v>252.773</v>
      </c>
      <c r="F183">
        <v>1440.463</v>
      </c>
      <c r="G183">
        <v>1530.327</v>
      </c>
      <c r="H183">
        <v>1688.9580000000001</v>
      </c>
      <c r="I183">
        <v>1440.463</v>
      </c>
      <c r="J183">
        <v>1440.463</v>
      </c>
      <c r="K183">
        <v>1440.463</v>
      </c>
      <c r="L183">
        <v>1440.463</v>
      </c>
      <c r="M183">
        <v>1440.463</v>
      </c>
      <c r="N183">
        <v>1440.463</v>
      </c>
      <c r="O183">
        <v>1440.463</v>
      </c>
      <c r="P183">
        <v>0</v>
      </c>
      <c r="Q183">
        <v>253.9</v>
      </c>
      <c r="R183">
        <v>0</v>
      </c>
      <c r="S183">
        <v>92.860000000000014</v>
      </c>
      <c r="T183">
        <v>263.16000000000003</v>
      </c>
      <c r="U183">
        <v>5441.89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f>SUMPRODUCT(DB_SOFList[[#This Row],[Plan01]:[Plan12]],$D$14:$O$14)/valUnits2</f>
        <v>6.3529840000000002</v>
      </c>
      <c r="AC183">
        <f>SUMPRODUCT(DB_SOFList[[#This Row],[Act01]:[Act12]],$P$14:$AA$14)/valUnits2</f>
        <v>6.0518100000000006</v>
      </c>
      <c r="AD183">
        <f>DB_SOFList[[#This Row],[Actual]]-DB_SOFList[[#This Row],[Plan]]</f>
        <v>-0.30117399999999961</v>
      </c>
      <c r="AE183">
        <f>IF(DB_SOFList[[#This Row],[Plan]]&lt;&gt;0,DB_SOFList[[#This Row],[Actual]]/DB_SOFList[[#This Row],[Plan]],1.000011000011)</f>
        <v>0.95259330103774864</v>
      </c>
      <c r="AF183" s="34">
        <f>SUM(DB_SOFList[[#This Row],[Plan01]:[Plan12]])/valUnits2</f>
        <v>14.995761999999999</v>
      </c>
      <c r="AG183" s="34">
        <f>SUMPRODUCT(DB_SOFList[[#This Row],[Act01]:[Act12]],$P$13:$AA$13)/valUnits2</f>
        <v>6.0518100000000006</v>
      </c>
      <c r="AH183" s="34">
        <f>IF(DB_SOFList[[#This Row],[FYPlan]]&lt;&gt;0,DB_SOFList[[#This Row],[FYActuals]]/DB_SOFList[[#This Row],[FYPlan]],1.000011000011)</f>
        <v>0.4035680214183181</v>
      </c>
    </row>
    <row r="184" spans="1:34" hidden="1" x14ac:dyDescent="0.2">
      <c r="A184">
        <f>SUBTOTAL(3,$B$16:B184)</f>
        <v>45</v>
      </c>
      <c r="B184" t="s">
        <v>350</v>
      </c>
      <c r="C184" t="s">
        <v>878</v>
      </c>
      <c r="D184">
        <v>0</v>
      </c>
      <c r="E184">
        <v>0</v>
      </c>
      <c r="P184">
        <v>0</v>
      </c>
      <c r="Q184">
        <v>0</v>
      </c>
      <c r="AB184">
        <f>SUMPRODUCT(DB_SOFList[[#This Row],[Plan01]:[Plan12]],$D$14:$O$14)/valUnits2</f>
        <v>0</v>
      </c>
      <c r="AC184">
        <f>SUMPRODUCT(DB_SOFList[[#This Row],[Act01]:[Act12]],$P$14:$AA$14)/valUnits2</f>
        <v>0</v>
      </c>
      <c r="AD184">
        <f>DB_SOFList[[#This Row],[Actual]]-DB_SOFList[[#This Row],[Plan]]</f>
        <v>0</v>
      </c>
      <c r="AE184">
        <f>IF(DB_SOFList[[#This Row],[Plan]]&lt;&gt;0,DB_SOFList[[#This Row],[Actual]]/DB_SOFList[[#This Row],[Plan]],1.000011000011)</f>
        <v>1.0000110000110001</v>
      </c>
      <c r="AF184" s="34">
        <f>SUM(DB_SOFList[[#This Row],[Plan01]:[Plan12]])/valUnits2</f>
        <v>0</v>
      </c>
      <c r="AG184" s="34">
        <f>SUMPRODUCT(DB_SOFList[[#This Row],[Act01]:[Act12]],$P$13:$AA$13)/valUnits2</f>
        <v>0</v>
      </c>
      <c r="AH184" s="34">
        <f>IF(DB_SOFList[[#This Row],[FYPlan]]&lt;&gt;0,DB_SOFList[[#This Row],[FYActuals]]/DB_SOFList[[#This Row],[FYPlan]],1.000011000011)</f>
        <v>1.0000110000110001</v>
      </c>
    </row>
    <row r="185" spans="1:34" x14ac:dyDescent="0.2">
      <c r="A185">
        <f>SUBTOTAL(3,$B$16:B185)</f>
        <v>46</v>
      </c>
      <c r="B185" t="s">
        <v>1</v>
      </c>
      <c r="C185" t="s">
        <v>879</v>
      </c>
      <c r="E185">
        <v>1347.7660000000001</v>
      </c>
      <c r="F185">
        <v>26199.86</v>
      </c>
      <c r="G185">
        <v>0</v>
      </c>
      <c r="H185">
        <v>58059.58</v>
      </c>
      <c r="I185">
        <v>10048.280000000001</v>
      </c>
      <c r="J185">
        <v>10083.751</v>
      </c>
      <c r="K185">
        <v>10048.280000000001</v>
      </c>
      <c r="L185">
        <v>10048.280999999999</v>
      </c>
      <c r="M185">
        <v>10048.280999999999</v>
      </c>
      <c r="N185">
        <v>10048.280999999999</v>
      </c>
      <c r="O185">
        <v>10048.280999999999</v>
      </c>
      <c r="Q185">
        <v>1346.3</v>
      </c>
      <c r="R185">
        <v>26928.3</v>
      </c>
      <c r="S185">
        <v>0</v>
      </c>
      <c r="T185">
        <v>59748.4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f>SUMPRODUCT(DB_SOFList[[#This Row],[Plan01]:[Plan12]],$D$14:$O$14)/valUnits2</f>
        <v>95.65548600000001</v>
      </c>
      <c r="AC185">
        <f>SUMPRODUCT(DB_SOFList[[#This Row],[Act01]:[Act12]],$P$14:$AA$14)/valUnits2</f>
        <v>88.022999999999996</v>
      </c>
      <c r="AD185">
        <f>DB_SOFList[[#This Row],[Actual]]-DB_SOFList[[#This Row],[Plan]]</f>
        <v>-7.6324860000000143</v>
      </c>
      <c r="AE185">
        <f>IF(DB_SOFList[[#This Row],[Plan]]&lt;&gt;0,DB_SOFList[[#This Row],[Actual]]/DB_SOFList[[#This Row],[Plan]],1.000011000011)</f>
        <v>0.92020859106815878</v>
      </c>
      <c r="AF185" s="34">
        <f>SUM(DB_SOFList[[#This Row],[Plan01]:[Plan12]])/valUnits2</f>
        <v>155.98064099999996</v>
      </c>
      <c r="AG185" s="34">
        <f>SUMPRODUCT(DB_SOFList[[#This Row],[Act01]:[Act12]],$P$13:$AA$13)/valUnits2</f>
        <v>88.022999999999996</v>
      </c>
      <c r="AH185" s="34">
        <f>IF(DB_SOFList[[#This Row],[FYPlan]]&lt;&gt;0,DB_SOFList[[#This Row],[FYActuals]]/DB_SOFList[[#This Row],[FYPlan]],1.000011000011)</f>
        <v>0.56432002994525465</v>
      </c>
    </row>
    <row r="186" spans="1:34" hidden="1" x14ac:dyDescent="0.2">
      <c r="A186">
        <f>SUBTOTAL(3,$B$16:B186)</f>
        <v>46</v>
      </c>
      <c r="B186" t="s">
        <v>344</v>
      </c>
      <c r="C186" t="s">
        <v>879</v>
      </c>
      <c r="E186">
        <v>1347.7660000000001</v>
      </c>
      <c r="F186">
        <v>26199.86</v>
      </c>
      <c r="G186">
        <v>0</v>
      </c>
      <c r="H186">
        <v>58059.58</v>
      </c>
      <c r="I186">
        <v>10048.280000000001</v>
      </c>
      <c r="J186">
        <v>10083.751</v>
      </c>
      <c r="K186">
        <v>10048.280000000001</v>
      </c>
      <c r="L186">
        <v>10048.280999999999</v>
      </c>
      <c r="M186">
        <v>10048.280999999999</v>
      </c>
      <c r="N186">
        <v>10048.280999999999</v>
      </c>
      <c r="O186">
        <v>10048.280999999999</v>
      </c>
      <c r="Q186">
        <v>1346.3</v>
      </c>
      <c r="R186">
        <v>26928.3</v>
      </c>
      <c r="S186">
        <v>0</v>
      </c>
      <c r="T186">
        <v>59748.4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f>SUMPRODUCT(DB_SOFList[[#This Row],[Plan01]:[Plan12]],$D$14:$O$14)/valUnits2</f>
        <v>95.65548600000001</v>
      </c>
      <c r="AC186">
        <f>SUMPRODUCT(DB_SOFList[[#This Row],[Act01]:[Act12]],$P$14:$AA$14)/valUnits2</f>
        <v>88.022999999999996</v>
      </c>
      <c r="AD186">
        <f>DB_SOFList[[#This Row],[Actual]]-DB_SOFList[[#This Row],[Plan]]</f>
        <v>-7.6324860000000143</v>
      </c>
      <c r="AE186">
        <f>IF(DB_SOFList[[#This Row],[Plan]]&lt;&gt;0,DB_SOFList[[#This Row],[Actual]]/DB_SOFList[[#This Row],[Plan]],1.000011000011)</f>
        <v>0.92020859106815878</v>
      </c>
      <c r="AF186" s="34">
        <f>SUM(DB_SOFList[[#This Row],[Plan01]:[Plan12]])/valUnits2</f>
        <v>155.98064099999996</v>
      </c>
      <c r="AG186" s="34">
        <f>SUMPRODUCT(DB_SOFList[[#This Row],[Act01]:[Act12]],$P$13:$AA$13)/valUnits2</f>
        <v>88.022999999999996</v>
      </c>
      <c r="AH186" s="34">
        <f>IF(DB_SOFList[[#This Row],[FYPlan]]&lt;&gt;0,DB_SOFList[[#This Row],[FYActuals]]/DB_SOFList[[#This Row],[FYPlan]],1.000011000011)</f>
        <v>0.56432002994525465</v>
      </c>
    </row>
    <row r="187" spans="1:34" x14ac:dyDescent="0.2">
      <c r="A187">
        <f>SUBTOTAL(3,$B$16:B187)</f>
        <v>47</v>
      </c>
      <c r="B187" t="s">
        <v>1</v>
      </c>
      <c r="C187" t="s">
        <v>880</v>
      </c>
      <c r="F187">
        <v>1740.1639999999998</v>
      </c>
      <c r="R187">
        <v>1719.5</v>
      </c>
      <c r="AB187">
        <f>SUMPRODUCT(DB_SOFList[[#This Row],[Plan01]:[Plan12]],$D$14:$O$14)/valUnits2</f>
        <v>1.7401639999999998</v>
      </c>
      <c r="AC187">
        <f>SUMPRODUCT(DB_SOFList[[#This Row],[Act01]:[Act12]],$P$14:$AA$14)/valUnits2</f>
        <v>1.7195</v>
      </c>
      <c r="AD187">
        <f>DB_SOFList[[#This Row],[Actual]]-DB_SOFList[[#This Row],[Plan]]</f>
        <v>-2.0663999999999794E-2</v>
      </c>
      <c r="AE187">
        <f>IF(DB_SOFList[[#This Row],[Plan]]&lt;&gt;0,DB_SOFList[[#This Row],[Actual]]/DB_SOFList[[#This Row],[Plan]],1.000011000011)</f>
        <v>0.98812525715967015</v>
      </c>
      <c r="AF187" s="34">
        <f>SUM(DB_SOFList[[#This Row],[Plan01]:[Plan12]])/valUnits2</f>
        <v>1.7401639999999998</v>
      </c>
      <c r="AG187" s="34">
        <f>SUMPRODUCT(DB_SOFList[[#This Row],[Act01]:[Act12]],$P$13:$AA$13)/valUnits2</f>
        <v>1.7195</v>
      </c>
      <c r="AH187" s="34">
        <f>IF(DB_SOFList[[#This Row],[FYPlan]]&lt;&gt;0,DB_SOFList[[#This Row],[FYActuals]]/DB_SOFList[[#This Row],[FYPlan]],1.000011000011)</f>
        <v>0.98812525715967015</v>
      </c>
    </row>
    <row r="188" spans="1:34" hidden="1" x14ac:dyDescent="0.2">
      <c r="A188">
        <f>SUBTOTAL(3,$B$16:B188)</f>
        <v>47</v>
      </c>
      <c r="B188" t="s">
        <v>342</v>
      </c>
      <c r="C188" t="s">
        <v>880</v>
      </c>
      <c r="F188">
        <v>1740.1639999999998</v>
      </c>
      <c r="R188">
        <v>1719.5</v>
      </c>
      <c r="AB188">
        <f>SUMPRODUCT(DB_SOFList[[#This Row],[Plan01]:[Plan12]],$D$14:$O$14)/valUnits2</f>
        <v>1.7401639999999998</v>
      </c>
      <c r="AC188">
        <f>SUMPRODUCT(DB_SOFList[[#This Row],[Act01]:[Act12]],$P$14:$AA$14)/valUnits2</f>
        <v>1.7195</v>
      </c>
      <c r="AD188">
        <f>DB_SOFList[[#This Row],[Actual]]-DB_SOFList[[#This Row],[Plan]]</f>
        <v>-2.0663999999999794E-2</v>
      </c>
      <c r="AE188">
        <f>IF(DB_SOFList[[#This Row],[Plan]]&lt;&gt;0,DB_SOFList[[#This Row],[Actual]]/DB_SOFList[[#This Row],[Plan]],1.000011000011)</f>
        <v>0.98812525715967015</v>
      </c>
      <c r="AF188" s="34">
        <f>SUM(DB_SOFList[[#This Row],[Plan01]:[Plan12]])/valUnits2</f>
        <v>1.7401639999999998</v>
      </c>
      <c r="AG188" s="34">
        <f>SUMPRODUCT(DB_SOFList[[#This Row],[Act01]:[Act12]],$P$13:$AA$13)/valUnits2</f>
        <v>1.7195</v>
      </c>
      <c r="AH188" s="34">
        <f>IF(DB_SOFList[[#This Row],[FYPlan]]&lt;&gt;0,DB_SOFList[[#This Row],[FYActuals]]/DB_SOFList[[#This Row],[FYPlan]],1.000011000011)</f>
        <v>0.98812525715967015</v>
      </c>
    </row>
    <row r="189" spans="1:34" x14ac:dyDescent="0.2">
      <c r="A189">
        <f>SUBTOTAL(3,$B$16:B189)</f>
        <v>48</v>
      </c>
      <c r="B189" t="s">
        <v>1</v>
      </c>
      <c r="C189" t="s">
        <v>881</v>
      </c>
      <c r="F189">
        <v>0</v>
      </c>
      <c r="G189">
        <v>122437.60000000003</v>
      </c>
      <c r="H189">
        <v>13715.3</v>
      </c>
      <c r="I189">
        <v>86117.083999999988</v>
      </c>
      <c r="J189">
        <v>23092.564999999999</v>
      </c>
      <c r="K189">
        <v>13063.527</v>
      </c>
      <c r="L189">
        <v>86117.083999999988</v>
      </c>
      <c r="M189">
        <v>11930.527</v>
      </c>
      <c r="N189">
        <v>11930.527</v>
      </c>
      <c r="O189">
        <v>187161.95</v>
      </c>
      <c r="R189">
        <v>0</v>
      </c>
      <c r="S189">
        <v>122437.64000000001</v>
      </c>
      <c r="T189">
        <v>13717.600000000002</v>
      </c>
      <c r="U189">
        <v>55763.66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f>SUMPRODUCT(DB_SOFList[[#This Row],[Plan01]:[Plan12]],$D$14:$O$14)/valUnits2</f>
        <v>222.26998399999999</v>
      </c>
      <c r="AC189">
        <f>SUMPRODUCT(DB_SOFList[[#This Row],[Act01]:[Act12]],$P$14:$AA$14)/valUnits2</f>
        <v>191.91890000000004</v>
      </c>
      <c r="AD189">
        <f>DB_SOFList[[#This Row],[Actual]]-DB_SOFList[[#This Row],[Plan]]</f>
        <v>-30.351083999999958</v>
      </c>
      <c r="AE189">
        <f>IF(DB_SOFList[[#This Row],[Plan]]&lt;&gt;0,DB_SOFList[[#This Row],[Actual]]/DB_SOFList[[#This Row],[Plan]],1.000011000011)</f>
        <v>0.86344947053219767</v>
      </c>
      <c r="AF189" s="34">
        <f>SUM(DB_SOFList[[#This Row],[Plan01]:[Plan12]])/valUnits2</f>
        <v>555.56616399999996</v>
      </c>
      <c r="AG189" s="34">
        <f>SUMPRODUCT(DB_SOFList[[#This Row],[Act01]:[Act12]],$P$13:$AA$13)/valUnits2</f>
        <v>191.91890000000004</v>
      </c>
      <c r="AH189" s="34">
        <f>IF(DB_SOFList[[#This Row],[FYPlan]]&lt;&gt;0,DB_SOFList[[#This Row],[FYActuals]]/DB_SOFList[[#This Row],[FYPlan]],1.000011000011)</f>
        <v>0.34544742361235675</v>
      </c>
    </row>
    <row r="190" spans="1:34" hidden="1" x14ac:dyDescent="0.2">
      <c r="A190">
        <f>SUBTOTAL(3,$B$16:B190)</f>
        <v>48</v>
      </c>
      <c r="B190" t="s">
        <v>342</v>
      </c>
      <c r="C190" t="s">
        <v>881</v>
      </c>
      <c r="F190">
        <v>0</v>
      </c>
      <c r="G190">
        <v>118744.27000000003</v>
      </c>
      <c r="H190">
        <v>10991.75</v>
      </c>
      <c r="I190">
        <v>84318.406999999992</v>
      </c>
      <c r="J190">
        <v>19495.204999999998</v>
      </c>
      <c r="K190">
        <v>11264.85</v>
      </c>
      <c r="L190">
        <v>84318.406999999992</v>
      </c>
      <c r="M190">
        <v>10131.85</v>
      </c>
      <c r="N190">
        <v>10131.85</v>
      </c>
      <c r="O190">
        <v>183564.59000000003</v>
      </c>
      <c r="R190">
        <v>0</v>
      </c>
      <c r="S190">
        <v>118744.31000000001</v>
      </c>
      <c r="T190">
        <v>10991.750000000002</v>
      </c>
      <c r="U190">
        <v>53768.47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f>SUMPRODUCT(DB_SOFList[[#This Row],[Plan01]:[Plan12]],$D$14:$O$14)/valUnits2</f>
        <v>214.05442700000003</v>
      </c>
      <c r="AC190">
        <f>SUMPRODUCT(DB_SOFList[[#This Row],[Act01]:[Act12]],$P$14:$AA$14)/valUnits2</f>
        <v>183.50453000000002</v>
      </c>
      <c r="AD190">
        <f>DB_SOFList[[#This Row],[Actual]]-DB_SOFList[[#This Row],[Plan]]</f>
        <v>-30.549897000000016</v>
      </c>
      <c r="AE190">
        <f>IF(DB_SOFList[[#This Row],[Plan]]&lt;&gt;0,DB_SOFList[[#This Row],[Actual]]/DB_SOFList[[#This Row],[Plan]],1.000011000011)</f>
        <v>0.85727977025207702</v>
      </c>
      <c r="AF190" s="34">
        <f>SUM(DB_SOFList[[#This Row],[Plan01]:[Plan12]])/valUnits2</f>
        <v>532.96117900000002</v>
      </c>
      <c r="AG190" s="34">
        <f>SUMPRODUCT(DB_SOFList[[#This Row],[Act01]:[Act12]],$P$13:$AA$13)/valUnits2</f>
        <v>183.50453000000002</v>
      </c>
      <c r="AH190" s="34">
        <f>IF(DB_SOFList[[#This Row],[FYPlan]]&lt;&gt;0,DB_SOFList[[#This Row],[FYActuals]]/DB_SOFList[[#This Row],[FYPlan]],1.000011000011)</f>
        <v>0.34431125048227951</v>
      </c>
    </row>
    <row r="191" spans="1:34" hidden="1" x14ac:dyDescent="0.2">
      <c r="A191">
        <f>SUBTOTAL(3,$B$16:B191)</f>
        <v>48</v>
      </c>
      <c r="B191" t="s">
        <v>351</v>
      </c>
      <c r="C191" t="s">
        <v>881</v>
      </c>
      <c r="G191">
        <v>3693.3300000000004</v>
      </c>
      <c r="H191">
        <v>2723.5499999999997</v>
      </c>
      <c r="I191">
        <v>1798.6769999999997</v>
      </c>
      <c r="J191">
        <v>3597.3599999999992</v>
      </c>
      <c r="K191">
        <v>1798.6769999999997</v>
      </c>
      <c r="L191">
        <v>1798.6769999999997</v>
      </c>
      <c r="M191">
        <v>1798.6769999999997</v>
      </c>
      <c r="N191">
        <v>1798.6769999999997</v>
      </c>
      <c r="O191">
        <v>3597.3599999999992</v>
      </c>
      <c r="S191">
        <v>3693.3300000000004</v>
      </c>
      <c r="T191">
        <v>2725.8500000000004</v>
      </c>
      <c r="U191">
        <v>1994.0300000000002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f>SUMPRODUCT(DB_SOFList[[#This Row],[Plan01]:[Plan12]],$D$14:$O$14)/valUnits2</f>
        <v>8.2155570000000004</v>
      </c>
      <c r="AC191">
        <f>SUMPRODUCT(DB_SOFList[[#This Row],[Act01]:[Act12]],$P$14:$AA$14)/valUnits2</f>
        <v>8.4132100000000012</v>
      </c>
      <c r="AD191">
        <f>DB_SOFList[[#This Row],[Actual]]-DB_SOFList[[#This Row],[Plan]]</f>
        <v>0.19765300000000074</v>
      </c>
      <c r="AE191">
        <f>IF(DB_SOFList[[#This Row],[Plan]]&lt;&gt;0,DB_SOFList[[#This Row],[Actual]]/DB_SOFList[[#This Row],[Plan]],1.000011000011)</f>
        <v>1.0240583809472688</v>
      </c>
      <c r="AF191" s="34">
        <f>SUM(DB_SOFList[[#This Row],[Plan01]:[Plan12]])/valUnits2</f>
        <v>22.604984999999996</v>
      </c>
      <c r="AG191" s="34">
        <f>SUMPRODUCT(DB_SOFList[[#This Row],[Act01]:[Act12]],$P$13:$AA$13)/valUnits2</f>
        <v>8.4132100000000012</v>
      </c>
      <c r="AH191" s="34">
        <f>IF(DB_SOFList[[#This Row],[FYPlan]]&lt;&gt;0,DB_SOFList[[#This Row],[FYActuals]]/DB_SOFList[[#This Row],[FYPlan]],1.000011000011)</f>
        <v>0.37218383467186567</v>
      </c>
    </row>
    <row r="192" spans="1:34" hidden="1" x14ac:dyDescent="0.2">
      <c r="A192">
        <f>SUBTOTAL(3,$B$16:B192)</f>
        <v>48</v>
      </c>
      <c r="B192" t="s">
        <v>350</v>
      </c>
      <c r="C192" t="s">
        <v>881</v>
      </c>
      <c r="I192">
        <v>0</v>
      </c>
      <c r="U192">
        <v>1.1599999999999999</v>
      </c>
      <c r="AB192" s="34">
        <f>SUMPRODUCT(DB_SOFList[[#This Row],[Plan01]:[Plan12]],$D$14:$O$14)/valUnits2</f>
        <v>0</v>
      </c>
      <c r="AC192" s="34">
        <f>SUMPRODUCT(DB_SOFList[[#This Row],[Act01]:[Act12]],$P$14:$AA$14)/valUnits2</f>
        <v>1.16E-3</v>
      </c>
      <c r="AD192" s="34">
        <f>DB_SOFList[[#This Row],[Actual]]-DB_SOFList[[#This Row],[Plan]]</f>
        <v>1.16E-3</v>
      </c>
      <c r="AE192" s="34">
        <f>IF(DB_SOFList[[#This Row],[Plan]]&lt;&gt;0,DB_SOFList[[#This Row],[Actual]]/DB_SOFList[[#This Row],[Plan]],1.000011000011)</f>
        <v>1.0000110000110001</v>
      </c>
      <c r="AF192" s="34">
        <f>SUM(DB_SOFList[[#This Row],[Plan01]:[Plan12]])/valUnits2</f>
        <v>0</v>
      </c>
      <c r="AG192" s="34">
        <f>SUMPRODUCT(DB_SOFList[[#This Row],[Act01]:[Act12]],$P$13:$AA$13)/valUnits2</f>
        <v>1.16E-3</v>
      </c>
      <c r="AH192" s="34">
        <f>IF(DB_SOFList[[#This Row],[FYPlan]]&lt;&gt;0,DB_SOFList[[#This Row],[FYActuals]]/DB_SOFList[[#This Row],[FYPlan]],1.000011000011)</f>
        <v>1.0000110000110001</v>
      </c>
    </row>
    <row r="193" spans="1:34" x14ac:dyDescent="0.2">
      <c r="A193">
        <f>SUBTOTAL(3,$B$16:B193)</f>
        <v>49</v>
      </c>
      <c r="B193" t="s">
        <v>1</v>
      </c>
      <c r="C193" t="s">
        <v>882</v>
      </c>
      <c r="D193">
        <v>17167.903000000009</v>
      </c>
      <c r="E193">
        <v>9760.9560000000001</v>
      </c>
      <c r="F193">
        <v>5948.1569999999992</v>
      </c>
      <c r="G193">
        <v>20421.905000000002</v>
      </c>
      <c r="H193">
        <v>113522.33800000005</v>
      </c>
      <c r="I193">
        <v>29927.852999999999</v>
      </c>
      <c r="J193">
        <v>38316.542999999991</v>
      </c>
      <c r="K193">
        <v>30837.313000000002</v>
      </c>
      <c r="L193">
        <v>30653.699000000001</v>
      </c>
      <c r="M193">
        <v>35962.407999999996</v>
      </c>
      <c r="N193">
        <v>38606.642999999989</v>
      </c>
      <c r="O193">
        <v>25673.47700000001</v>
      </c>
      <c r="P193">
        <v>17288.999999999989</v>
      </c>
      <c r="Q193">
        <v>9994.5300000000079</v>
      </c>
      <c r="R193">
        <v>6002.1899999999923</v>
      </c>
      <c r="S193">
        <v>20243.919999999998</v>
      </c>
      <c r="T193">
        <v>113302.28000000003</v>
      </c>
      <c r="U193">
        <v>18135.030000000024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f>SUMPRODUCT(DB_SOFList[[#This Row],[Plan01]:[Plan12]],$D$14:$O$14)/valUnits2</f>
        <v>196.74911200000008</v>
      </c>
      <c r="AC193">
        <f>SUMPRODUCT(DB_SOFList[[#This Row],[Act01]:[Act12]],$P$14:$AA$14)/valUnits2</f>
        <v>184.96695000000005</v>
      </c>
      <c r="AD193">
        <f>DB_SOFList[[#This Row],[Actual]]-DB_SOFList[[#This Row],[Plan]]</f>
        <v>-11.782162000000028</v>
      </c>
      <c r="AE193">
        <f>IF(DB_SOFList[[#This Row],[Plan]]&lt;&gt;0,DB_SOFList[[#This Row],[Actual]]/DB_SOFList[[#This Row],[Plan]],1.000011000011)</f>
        <v>0.94011580596104538</v>
      </c>
      <c r="AF193" s="34">
        <f>SUM(DB_SOFList[[#This Row],[Plan01]:[Plan12]])/valUnits2</f>
        <v>396.79919500000011</v>
      </c>
      <c r="AG193" s="34">
        <f>SUMPRODUCT(DB_SOFList[[#This Row],[Act01]:[Act12]],$P$13:$AA$13)/valUnits2</f>
        <v>184.96695000000005</v>
      </c>
      <c r="AH193" s="34">
        <f>IF(DB_SOFList[[#This Row],[FYPlan]]&lt;&gt;0,DB_SOFList[[#This Row],[FYActuals]]/DB_SOFList[[#This Row],[FYPlan]],1.000011000011)</f>
        <v>0.46614749306636066</v>
      </c>
    </row>
    <row r="194" spans="1:34" hidden="1" x14ac:dyDescent="0.2">
      <c r="A194">
        <f>SUBTOTAL(3,$B$16:B194)</f>
        <v>49</v>
      </c>
      <c r="B194" t="s">
        <v>342</v>
      </c>
      <c r="C194" t="s">
        <v>882</v>
      </c>
      <c r="D194">
        <v>15815.819000000009</v>
      </c>
      <c r="E194">
        <v>8397.732</v>
      </c>
      <c r="F194">
        <v>4060.2589999999991</v>
      </c>
      <c r="G194">
        <v>15888.638000000003</v>
      </c>
      <c r="H194">
        <v>109945.58400000005</v>
      </c>
      <c r="I194">
        <v>24296.654999999999</v>
      </c>
      <c r="J194">
        <v>33011.420999999988</v>
      </c>
      <c r="K194">
        <v>25532.191000000003</v>
      </c>
      <c r="L194">
        <v>25022.501</v>
      </c>
      <c r="M194">
        <v>30657.285999999996</v>
      </c>
      <c r="N194">
        <v>33301.520999999986</v>
      </c>
      <c r="O194">
        <v>20042.27900000001</v>
      </c>
      <c r="P194">
        <v>15956.909999999989</v>
      </c>
      <c r="Q194">
        <v>8602.7200000000084</v>
      </c>
      <c r="R194">
        <v>4097.1999999999925</v>
      </c>
      <c r="S194">
        <v>15737.75</v>
      </c>
      <c r="T194">
        <v>109732.69000000003</v>
      </c>
      <c r="U194">
        <v>15682.210000000025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s="34">
        <f>SUMPRODUCT(DB_SOFList[[#This Row],[Plan01]:[Plan12]],$D$14:$O$14)/valUnits2</f>
        <v>178.40468700000005</v>
      </c>
      <c r="AC194" s="34">
        <f>SUMPRODUCT(DB_SOFList[[#This Row],[Act01]:[Act12]],$P$14:$AA$14)/valUnits2</f>
        <v>169.80948000000004</v>
      </c>
      <c r="AD194" s="34">
        <f>DB_SOFList[[#This Row],[Actual]]-DB_SOFList[[#This Row],[Plan]]</f>
        <v>-8.5952070000000163</v>
      </c>
      <c r="AE194" s="34">
        <f>IF(DB_SOFList[[#This Row],[Plan]]&lt;&gt;0,DB_SOFList[[#This Row],[Actual]]/DB_SOFList[[#This Row],[Plan]],1.000011000011)</f>
        <v>0.95182185432157385</v>
      </c>
      <c r="AF194" s="34">
        <f>SUM(DB_SOFList[[#This Row],[Plan01]:[Plan12]])/valUnits2</f>
        <v>345.97188600000004</v>
      </c>
      <c r="AG194" s="34">
        <f>SUMPRODUCT(DB_SOFList[[#This Row],[Act01]:[Act12]],$P$13:$AA$13)/valUnits2</f>
        <v>169.80948000000004</v>
      </c>
      <c r="AH194" s="34">
        <f>IF(DB_SOFList[[#This Row],[FYPlan]]&lt;&gt;0,DB_SOFList[[#This Row],[FYActuals]]/DB_SOFList[[#This Row],[FYPlan]],1.000011000011)</f>
        <v>0.49081872507987545</v>
      </c>
    </row>
    <row r="195" spans="1:34" hidden="1" x14ac:dyDescent="0.2">
      <c r="A195">
        <f>SUBTOTAL(3,$B$16:B195)</f>
        <v>49</v>
      </c>
      <c r="B195" t="s">
        <v>351</v>
      </c>
      <c r="C195" t="s">
        <v>882</v>
      </c>
      <c r="D195">
        <v>1352.0840000000001</v>
      </c>
      <c r="E195">
        <v>1363.2240000000002</v>
      </c>
      <c r="F195">
        <v>1887.8979999999997</v>
      </c>
      <c r="G195">
        <v>4533.2669999999998</v>
      </c>
      <c r="H195">
        <v>3576.7540000000004</v>
      </c>
      <c r="I195">
        <v>5631.1980000000003</v>
      </c>
      <c r="J195">
        <v>5305.1220000000003</v>
      </c>
      <c r="K195">
        <v>5305.1220000000003</v>
      </c>
      <c r="L195">
        <v>5631.1980000000003</v>
      </c>
      <c r="M195">
        <v>5305.1220000000003</v>
      </c>
      <c r="N195">
        <v>5305.1220000000003</v>
      </c>
      <c r="O195">
        <v>5631.1980000000003</v>
      </c>
      <c r="P195">
        <v>1332.09</v>
      </c>
      <c r="Q195">
        <v>1391.81</v>
      </c>
      <c r="R195">
        <v>1904.99</v>
      </c>
      <c r="S195">
        <v>4506.17</v>
      </c>
      <c r="T195">
        <v>3569.5899999999997</v>
      </c>
      <c r="U195">
        <v>2452.8199999999997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f>SUMPRODUCT(DB_SOFList[[#This Row],[Plan01]:[Plan12]],$D$14:$O$14)/valUnits2</f>
        <v>18.344425000000005</v>
      </c>
      <c r="AC195">
        <f>SUMPRODUCT(DB_SOFList[[#This Row],[Act01]:[Act12]],$P$14:$AA$14)/valUnits2</f>
        <v>15.15747</v>
      </c>
      <c r="AD195">
        <f>DB_SOFList[[#This Row],[Actual]]-DB_SOFList[[#This Row],[Plan]]</f>
        <v>-3.1869550000000046</v>
      </c>
      <c r="AE195">
        <f>IF(DB_SOFList[[#This Row],[Plan]]&lt;&gt;0,DB_SOFList[[#This Row],[Actual]]/DB_SOFList[[#This Row],[Plan]],1.000011000011)</f>
        <v>0.82627119683500549</v>
      </c>
      <c r="AF195" s="34">
        <f>SUM(DB_SOFList[[#This Row],[Plan01]:[Plan12]])/valUnits2</f>
        <v>50.827309000000007</v>
      </c>
      <c r="AG195" s="34">
        <f>SUMPRODUCT(DB_SOFList[[#This Row],[Act01]:[Act12]],$P$13:$AA$13)/valUnits2</f>
        <v>15.15747</v>
      </c>
      <c r="AH195" s="34">
        <f>IF(DB_SOFList[[#This Row],[FYPlan]]&lt;&gt;0,DB_SOFList[[#This Row],[FYActuals]]/DB_SOFList[[#This Row],[FYPlan]],1.000011000011)</f>
        <v>0.29821507961399252</v>
      </c>
    </row>
    <row r="196" spans="1:34" x14ac:dyDescent="0.2">
      <c r="A196">
        <f>SUBTOTAL(3,$B$16:B196)</f>
        <v>50</v>
      </c>
      <c r="B196" t="s">
        <v>1</v>
      </c>
      <c r="C196" t="s">
        <v>883</v>
      </c>
      <c r="D196">
        <v>5235.1170000000002</v>
      </c>
      <c r="E196">
        <v>7391.0509999999995</v>
      </c>
      <c r="F196">
        <v>31377.944</v>
      </c>
      <c r="G196">
        <v>19405.886999999999</v>
      </c>
      <c r="H196">
        <v>11482.049000000001</v>
      </c>
      <c r="I196">
        <v>162667.31099999999</v>
      </c>
      <c r="J196">
        <v>23237.006000000001</v>
      </c>
      <c r="K196">
        <v>158096.80799999996</v>
      </c>
      <c r="L196">
        <v>24347.442000000003</v>
      </c>
      <c r="M196">
        <v>161560.486</v>
      </c>
      <c r="N196">
        <v>25835.827000000001</v>
      </c>
      <c r="O196">
        <v>151375.94500000001</v>
      </c>
      <c r="P196">
        <v>5291.3700000000008</v>
      </c>
      <c r="Q196">
        <v>7568.1200000000008</v>
      </c>
      <c r="R196">
        <v>31208.22</v>
      </c>
      <c r="S196">
        <v>19234.88</v>
      </c>
      <c r="T196">
        <v>11507.09</v>
      </c>
      <c r="U196">
        <v>6223.3799999999992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f>SUMPRODUCT(DB_SOFList[[#This Row],[Plan01]:[Plan12]],$D$14:$O$14)/valUnits2</f>
        <v>237.559359</v>
      </c>
      <c r="AC196">
        <f>SUMPRODUCT(DB_SOFList[[#This Row],[Act01]:[Act12]],$P$14:$AA$14)/valUnits2</f>
        <v>81.033060000000006</v>
      </c>
      <c r="AD196">
        <f>DB_SOFList[[#This Row],[Actual]]-DB_SOFList[[#This Row],[Plan]]</f>
        <v>-156.52629899999999</v>
      </c>
      <c r="AE196">
        <f>IF(DB_SOFList[[#This Row],[Plan]]&lt;&gt;0,DB_SOFList[[#This Row],[Actual]]/DB_SOFList[[#This Row],[Plan]],1.000011000011)</f>
        <v>0.3411065779142804</v>
      </c>
      <c r="AF196" s="34">
        <f>SUM(DB_SOFList[[#This Row],[Plan01]:[Plan12]])/valUnits2</f>
        <v>782.0128729999999</v>
      </c>
      <c r="AG196" s="34">
        <f>SUMPRODUCT(DB_SOFList[[#This Row],[Act01]:[Act12]],$P$13:$AA$13)/valUnits2</f>
        <v>81.033060000000006</v>
      </c>
      <c r="AH196" s="34">
        <f>IF(DB_SOFList[[#This Row],[FYPlan]]&lt;&gt;0,DB_SOFList[[#This Row],[FYActuals]]/DB_SOFList[[#This Row],[FYPlan]],1.000011000011)</f>
        <v>0.10362113310121944</v>
      </c>
    </row>
    <row r="197" spans="1:34" hidden="1" x14ac:dyDescent="0.2">
      <c r="A197">
        <f>SUBTOTAL(3,$B$16:B197)</f>
        <v>50</v>
      </c>
      <c r="B197" t="s">
        <v>351</v>
      </c>
      <c r="C197" t="s">
        <v>883</v>
      </c>
      <c r="D197">
        <v>61.866999999999997</v>
      </c>
      <c r="E197">
        <v>4252.03</v>
      </c>
      <c r="F197">
        <v>134.13900000000001</v>
      </c>
      <c r="G197">
        <v>12626.182999999999</v>
      </c>
      <c r="H197">
        <v>7002.6720000000005</v>
      </c>
      <c r="I197">
        <v>2633.6320000000001</v>
      </c>
      <c r="J197">
        <v>2633.6320000000001</v>
      </c>
      <c r="K197">
        <v>2633.6320000000001</v>
      </c>
      <c r="L197">
        <v>2615.712</v>
      </c>
      <c r="M197">
        <v>2615.712</v>
      </c>
      <c r="N197">
        <v>2615.712</v>
      </c>
      <c r="O197">
        <v>2615.712</v>
      </c>
      <c r="P197">
        <v>62.19</v>
      </c>
      <c r="Q197">
        <v>4346.71</v>
      </c>
      <c r="R197">
        <v>133.39000000000001</v>
      </c>
      <c r="S197">
        <v>12529.009999999998</v>
      </c>
      <c r="T197">
        <v>7042.35</v>
      </c>
      <c r="U197">
        <v>4477.3999999999996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s="34">
        <f>SUMPRODUCT(DB_SOFList[[#This Row],[Plan01]:[Plan12]],$D$14:$O$14)/valUnits2</f>
        <v>26.710522999999998</v>
      </c>
      <c r="AC197" s="34">
        <f>SUMPRODUCT(DB_SOFList[[#This Row],[Act01]:[Act12]],$P$14:$AA$14)/valUnits2</f>
        <v>28.591050000000003</v>
      </c>
      <c r="AD197" s="34">
        <f>DB_SOFList[[#This Row],[Actual]]-DB_SOFList[[#This Row],[Plan]]</f>
        <v>1.8805270000000043</v>
      </c>
      <c r="AE197" s="34">
        <f>IF(DB_SOFList[[#This Row],[Plan]]&lt;&gt;0,DB_SOFList[[#This Row],[Actual]]/DB_SOFList[[#This Row],[Plan]],1.000011000011)</f>
        <v>1.0704039752422669</v>
      </c>
      <c r="AF197" s="34">
        <f>SUM(DB_SOFList[[#This Row],[Plan01]:[Plan12]])/valUnits2</f>
        <v>42.440635</v>
      </c>
      <c r="AG197" s="34">
        <f>SUMPRODUCT(DB_SOFList[[#This Row],[Act01]:[Act12]],$P$13:$AA$13)/valUnits2</f>
        <v>28.591050000000003</v>
      </c>
      <c r="AH197" s="34">
        <f>IF(DB_SOFList[[#This Row],[FYPlan]]&lt;&gt;0,DB_SOFList[[#This Row],[FYActuals]]/DB_SOFList[[#This Row],[FYPlan]],1.000011000011)</f>
        <v>0.67367158856129283</v>
      </c>
    </row>
    <row r="198" spans="1:34" hidden="1" x14ac:dyDescent="0.2">
      <c r="A198">
        <f>SUBTOTAL(3,$B$16:B198)</f>
        <v>50</v>
      </c>
      <c r="B198" t="s">
        <v>343</v>
      </c>
      <c r="C198" t="s">
        <v>883</v>
      </c>
      <c r="D198">
        <v>3945.6210000000001</v>
      </c>
      <c r="E198">
        <v>3139.0209999999997</v>
      </c>
      <c r="F198">
        <v>31243.805</v>
      </c>
      <c r="G198">
        <v>3524.4970000000003</v>
      </c>
      <c r="H198">
        <v>4479.3770000000004</v>
      </c>
      <c r="I198">
        <v>160033.67899999997</v>
      </c>
      <c r="J198">
        <v>20603.374</v>
      </c>
      <c r="K198">
        <v>155463.17599999995</v>
      </c>
      <c r="L198">
        <v>21731.730000000003</v>
      </c>
      <c r="M198">
        <v>158944.774</v>
      </c>
      <c r="N198">
        <v>23220.115000000002</v>
      </c>
      <c r="O198">
        <v>148760.23300000001</v>
      </c>
      <c r="P198">
        <v>3976.6700000000005</v>
      </c>
      <c r="Q198">
        <v>3221.4100000000003</v>
      </c>
      <c r="R198">
        <v>31074.83</v>
      </c>
      <c r="S198">
        <v>3492.920000000001</v>
      </c>
      <c r="T198">
        <v>4464.74</v>
      </c>
      <c r="U198">
        <v>1745.98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f>SUMPRODUCT(DB_SOFList[[#This Row],[Plan01]:[Plan12]],$D$14:$O$14)/valUnits2</f>
        <v>206.36599999999996</v>
      </c>
      <c r="AC198">
        <f>SUMPRODUCT(DB_SOFList[[#This Row],[Act01]:[Act12]],$P$14:$AA$14)/valUnits2</f>
        <v>47.976550000000003</v>
      </c>
      <c r="AD198">
        <f>DB_SOFList[[#This Row],[Actual]]-DB_SOFList[[#This Row],[Plan]]</f>
        <v>-158.38944999999995</v>
      </c>
      <c r="AE198">
        <f>IF(DB_SOFList[[#This Row],[Plan]]&lt;&gt;0,DB_SOFList[[#This Row],[Actual]]/DB_SOFList[[#This Row],[Plan]],1.000011000011)</f>
        <v>0.23248282178265806</v>
      </c>
      <c r="AF198" s="34">
        <f>SUM(DB_SOFList[[#This Row],[Plan01]:[Plan12]])/valUnits2</f>
        <v>735.08940199999984</v>
      </c>
      <c r="AG198" s="34">
        <f>SUMPRODUCT(DB_SOFList[[#This Row],[Act01]:[Act12]],$P$13:$AA$13)/valUnits2</f>
        <v>47.976550000000003</v>
      </c>
      <c r="AH198" s="34">
        <f>IF(DB_SOFList[[#This Row],[FYPlan]]&lt;&gt;0,DB_SOFList[[#This Row],[FYActuals]]/DB_SOFList[[#This Row],[FYPlan]],1.000011000011)</f>
        <v>6.5266278998809477E-2</v>
      </c>
    </row>
    <row r="199" spans="1:34" hidden="1" x14ac:dyDescent="0.2">
      <c r="A199">
        <f>SUBTOTAL(3,$B$16:B199)</f>
        <v>50</v>
      </c>
      <c r="B199" t="s">
        <v>350</v>
      </c>
      <c r="C199" t="s">
        <v>883</v>
      </c>
      <c r="D199">
        <v>1227.6289999999999</v>
      </c>
      <c r="G199">
        <v>3255.2069999999999</v>
      </c>
      <c r="P199">
        <v>1252.51</v>
      </c>
      <c r="S199">
        <v>3212.95</v>
      </c>
      <c r="AB199">
        <f>SUMPRODUCT(DB_SOFList[[#This Row],[Plan01]:[Plan12]],$D$14:$O$14)/valUnits2</f>
        <v>4.4828359999999989</v>
      </c>
      <c r="AC199">
        <f>SUMPRODUCT(DB_SOFList[[#This Row],[Act01]:[Act12]],$P$14:$AA$14)/valUnits2</f>
        <v>4.4654600000000002</v>
      </c>
      <c r="AD199">
        <f>DB_SOFList[[#This Row],[Actual]]-DB_SOFList[[#This Row],[Plan]]</f>
        <v>-1.7375999999998726E-2</v>
      </c>
      <c r="AE199">
        <f>IF(DB_SOFList[[#This Row],[Plan]]&lt;&gt;0,DB_SOFList[[#This Row],[Actual]]/DB_SOFList[[#This Row],[Plan]],1.000011000011)</f>
        <v>0.99612388229237059</v>
      </c>
      <c r="AF199" s="34">
        <f>SUM(DB_SOFList[[#This Row],[Plan01]:[Plan12]])/valUnits2</f>
        <v>4.4828359999999989</v>
      </c>
      <c r="AG199" s="34">
        <f>SUMPRODUCT(DB_SOFList[[#This Row],[Act01]:[Act12]],$P$13:$AA$13)/valUnits2</f>
        <v>4.4654600000000002</v>
      </c>
      <c r="AH199" s="34">
        <f>IF(DB_SOFList[[#This Row],[FYPlan]]&lt;&gt;0,DB_SOFList[[#This Row],[FYActuals]]/DB_SOFList[[#This Row],[FYPlan]],1.000011000011)</f>
        <v>0.99612388229237059</v>
      </c>
    </row>
    <row r="200" spans="1:34" x14ac:dyDescent="0.2">
      <c r="A200">
        <f>SUBTOTAL(3,$B$16:B200)</f>
        <v>51</v>
      </c>
      <c r="B200" t="s">
        <v>1</v>
      </c>
      <c r="C200" t="s">
        <v>884</v>
      </c>
      <c r="D200">
        <v>57412.942999999999</v>
      </c>
      <c r="E200">
        <v>60048.273000000008</v>
      </c>
      <c r="F200">
        <v>56064.492999999995</v>
      </c>
      <c r="G200">
        <v>55198.332999999999</v>
      </c>
      <c r="H200">
        <v>47112.272999999994</v>
      </c>
      <c r="I200">
        <v>55198.332999999999</v>
      </c>
      <c r="J200">
        <v>48703.332999999999</v>
      </c>
      <c r="K200">
        <v>48703.332999999999</v>
      </c>
      <c r="L200">
        <v>48703.332999999999</v>
      </c>
      <c r="M200">
        <v>48703.332999999999</v>
      </c>
      <c r="N200">
        <v>48703.332999999999</v>
      </c>
      <c r="O200">
        <v>48706.332999999999</v>
      </c>
      <c r="P200">
        <v>2214.61</v>
      </c>
      <c r="Q200">
        <v>4849.9399999999996</v>
      </c>
      <c r="R200">
        <v>867.14</v>
      </c>
      <c r="S200">
        <v>0</v>
      </c>
      <c r="T200">
        <v>-8087.0399999999991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f>SUMPRODUCT(DB_SOFList[[#This Row],[Plan01]:[Plan12]],$D$14:$O$14)/valUnits2</f>
        <v>331.034648</v>
      </c>
      <c r="AC200">
        <f>SUMPRODUCT(DB_SOFList[[#This Row],[Act01]:[Act12]],$P$14:$AA$14)/valUnits2</f>
        <v>-0.15534999999999946</v>
      </c>
      <c r="AD200">
        <f>DB_SOFList[[#This Row],[Actual]]-DB_SOFList[[#This Row],[Plan]]</f>
        <v>-331.189998</v>
      </c>
      <c r="AE200">
        <f>IF(DB_SOFList[[#This Row],[Plan]]&lt;&gt;0,DB_SOFList[[#This Row],[Actual]]/DB_SOFList[[#This Row],[Plan]],1.000011000011)</f>
        <v>-4.6928622408129152E-4</v>
      </c>
      <c r="AF200" s="34">
        <f>SUM(DB_SOFList[[#This Row],[Plan01]:[Plan12]])/valUnits2</f>
        <v>623.25764599999991</v>
      </c>
      <c r="AG200" s="34">
        <f>SUMPRODUCT(DB_SOFList[[#This Row],[Act01]:[Act12]],$P$13:$AA$13)/valUnits2</f>
        <v>-0.15534999999999946</v>
      </c>
      <c r="AH200" s="34">
        <f>IF(DB_SOFList[[#This Row],[FYPlan]]&lt;&gt;0,DB_SOFList[[#This Row],[FYActuals]]/DB_SOFList[[#This Row],[FYPlan]],1.000011000011)</f>
        <v>-2.4925486433583117E-4</v>
      </c>
    </row>
    <row r="201" spans="1:34" hidden="1" x14ac:dyDescent="0.2">
      <c r="A201">
        <f>SUBTOTAL(3,$B$16:B201)</f>
        <v>51</v>
      </c>
      <c r="B201" t="s">
        <v>342</v>
      </c>
      <c r="C201" t="s">
        <v>884</v>
      </c>
      <c r="D201">
        <v>14927.57</v>
      </c>
      <c r="E201">
        <v>15151.71</v>
      </c>
      <c r="F201">
        <v>15000</v>
      </c>
      <c r="G201">
        <v>15000</v>
      </c>
      <c r="H201">
        <v>14848.29</v>
      </c>
      <c r="I201">
        <v>15000</v>
      </c>
      <c r="J201">
        <v>15000</v>
      </c>
      <c r="K201">
        <v>15000</v>
      </c>
      <c r="L201">
        <v>15000</v>
      </c>
      <c r="M201">
        <v>15000</v>
      </c>
      <c r="N201">
        <v>15000</v>
      </c>
      <c r="O201">
        <v>15000</v>
      </c>
      <c r="P201">
        <v>-72.430000000000007</v>
      </c>
      <c r="Q201">
        <v>151.70999999999998</v>
      </c>
      <c r="R201">
        <v>0.98</v>
      </c>
      <c r="S201">
        <v>0</v>
      </c>
      <c r="T201">
        <v>-152.69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f>SUMPRODUCT(DB_SOFList[[#This Row],[Plan01]:[Plan12]],$D$14:$O$14)/valUnits2</f>
        <v>89.927570000000003</v>
      </c>
      <c r="AC201">
        <f>SUMPRODUCT(DB_SOFList[[#This Row],[Act01]:[Act12]],$P$14:$AA$14)/valUnits2</f>
        <v>-7.2430000000000022E-2</v>
      </c>
      <c r="AD201">
        <f>DB_SOFList[[#This Row],[Actual]]-DB_SOFList[[#This Row],[Plan]]</f>
        <v>-90</v>
      </c>
      <c r="AE201">
        <f>IF(DB_SOFList[[#This Row],[Plan]]&lt;&gt;0,DB_SOFList[[#This Row],[Actual]]/DB_SOFList[[#This Row],[Plan]],1.000011000011)</f>
        <v>-8.0542596669742124E-4</v>
      </c>
      <c r="AF201" s="34">
        <f>SUM(DB_SOFList[[#This Row],[Plan01]:[Plan12]])/valUnits2</f>
        <v>179.92757</v>
      </c>
      <c r="AG201" s="34">
        <f>SUMPRODUCT(DB_SOFList[[#This Row],[Act01]:[Act12]],$P$13:$AA$13)/valUnits2</f>
        <v>-7.2430000000000022E-2</v>
      </c>
      <c r="AH201" s="34">
        <f>IF(DB_SOFList[[#This Row],[FYPlan]]&lt;&gt;0,DB_SOFList[[#This Row],[FYActuals]]/DB_SOFList[[#This Row],[FYPlan]],1.000011000011)</f>
        <v>-4.0255087088654631E-4</v>
      </c>
    </row>
    <row r="202" spans="1:34" hidden="1" x14ac:dyDescent="0.2">
      <c r="A202">
        <f>SUBTOTAL(3,$B$16:B202)</f>
        <v>51</v>
      </c>
      <c r="B202" t="s">
        <v>351</v>
      </c>
      <c r="C202" t="s">
        <v>884</v>
      </c>
      <c r="D202">
        <v>10833.333000000001</v>
      </c>
      <c r="E202">
        <v>10833.333000000001</v>
      </c>
      <c r="F202">
        <v>10833.333000000001</v>
      </c>
      <c r="G202">
        <v>10833.333000000001</v>
      </c>
      <c r="H202">
        <v>10833.333000000001</v>
      </c>
      <c r="I202">
        <v>10833.333000000001</v>
      </c>
      <c r="J202">
        <v>10833.333000000001</v>
      </c>
      <c r="K202">
        <v>10833.333000000001</v>
      </c>
      <c r="L202">
        <v>10833.333000000001</v>
      </c>
      <c r="M202">
        <v>10833.333000000001</v>
      </c>
      <c r="N202">
        <v>10833.333000000001</v>
      </c>
      <c r="O202">
        <v>10833.333000000001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f>SUMPRODUCT(DB_SOFList[[#This Row],[Plan01]:[Plan12]],$D$14:$O$14)/valUnits2</f>
        <v>64.999998000000005</v>
      </c>
      <c r="AC202">
        <f>SUMPRODUCT(DB_SOFList[[#This Row],[Act01]:[Act12]],$P$14:$AA$14)/valUnits2</f>
        <v>0</v>
      </c>
      <c r="AD202">
        <f>DB_SOFList[[#This Row],[Actual]]-DB_SOFList[[#This Row],[Plan]]</f>
        <v>-64.999998000000005</v>
      </c>
      <c r="AE202">
        <f>IF(DB_SOFList[[#This Row],[Plan]]&lt;&gt;0,DB_SOFList[[#This Row],[Actual]]/DB_SOFList[[#This Row],[Plan]],1.000011000011)</f>
        <v>0</v>
      </c>
      <c r="AF202" s="34">
        <f>SUM(DB_SOFList[[#This Row],[Plan01]:[Plan12]])/valUnits2</f>
        <v>129.99999600000001</v>
      </c>
      <c r="AG202" s="34">
        <f>SUMPRODUCT(DB_SOFList[[#This Row],[Act01]:[Act12]],$P$13:$AA$13)/valUnits2</f>
        <v>0</v>
      </c>
      <c r="AH202" s="34">
        <f>IF(DB_SOFList[[#This Row],[FYPlan]]&lt;&gt;0,DB_SOFList[[#This Row],[FYActuals]]/DB_SOFList[[#This Row],[FYPlan]],1.000011000011)</f>
        <v>0</v>
      </c>
    </row>
    <row r="203" spans="1:34" hidden="1" x14ac:dyDescent="0.2">
      <c r="A203">
        <f>SUBTOTAL(3,$B$16:B203)</f>
        <v>51</v>
      </c>
      <c r="B203" t="s">
        <v>343</v>
      </c>
      <c r="C203" t="s">
        <v>884</v>
      </c>
      <c r="D203">
        <v>4750</v>
      </c>
      <c r="E203">
        <v>4750</v>
      </c>
      <c r="F203">
        <v>4750</v>
      </c>
      <c r="G203">
        <v>4750</v>
      </c>
      <c r="H203">
        <v>4750</v>
      </c>
      <c r="I203">
        <v>4750</v>
      </c>
      <c r="J203">
        <v>4750</v>
      </c>
      <c r="K203">
        <v>4750</v>
      </c>
      <c r="L203">
        <v>4750</v>
      </c>
      <c r="M203">
        <v>4750</v>
      </c>
      <c r="N203">
        <v>4750</v>
      </c>
      <c r="O203">
        <v>4750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f>SUMPRODUCT(DB_SOFList[[#This Row],[Plan01]:[Plan12]],$D$14:$O$14)/valUnits2</f>
        <v>28.5</v>
      </c>
      <c r="AC203">
        <f>SUMPRODUCT(DB_SOFList[[#This Row],[Act01]:[Act12]],$P$14:$AA$14)/valUnits2</f>
        <v>0</v>
      </c>
      <c r="AD203">
        <f>DB_SOFList[[#This Row],[Actual]]-DB_SOFList[[#This Row],[Plan]]</f>
        <v>-28.5</v>
      </c>
      <c r="AE203">
        <f>IF(DB_SOFList[[#This Row],[Plan]]&lt;&gt;0,DB_SOFList[[#This Row],[Actual]]/DB_SOFList[[#This Row],[Plan]],1.000011000011)</f>
        <v>0</v>
      </c>
      <c r="AF203" s="34">
        <f>SUM(DB_SOFList[[#This Row],[Plan01]:[Plan12]])/valUnits2</f>
        <v>57</v>
      </c>
      <c r="AG203" s="34">
        <f>SUMPRODUCT(DB_SOFList[[#This Row],[Act01]:[Act12]],$P$13:$AA$13)/valUnits2</f>
        <v>0</v>
      </c>
      <c r="AH203" s="34">
        <f>IF(DB_SOFList[[#This Row],[FYPlan]]&lt;&gt;0,DB_SOFList[[#This Row],[FYActuals]]/DB_SOFList[[#This Row],[FYPlan]],1.000011000011)</f>
        <v>0</v>
      </c>
    </row>
    <row r="204" spans="1:34" hidden="1" x14ac:dyDescent="0.2">
      <c r="A204">
        <f>SUBTOTAL(3,$B$16:B204)</f>
        <v>51</v>
      </c>
      <c r="B204" t="s">
        <v>348</v>
      </c>
      <c r="C204" t="s">
        <v>884</v>
      </c>
      <c r="D204">
        <v>21356.952999999998</v>
      </c>
      <c r="E204">
        <v>21962.223000000002</v>
      </c>
      <c r="F204">
        <v>20026.332999999999</v>
      </c>
      <c r="G204">
        <v>20026.332999999999</v>
      </c>
      <c r="H204">
        <v>16759.823</v>
      </c>
      <c r="I204">
        <v>20026.332999999999</v>
      </c>
      <c r="J204">
        <v>13531.332999999999</v>
      </c>
      <c r="K204">
        <v>13531.332999999999</v>
      </c>
      <c r="L204">
        <v>13531.332999999999</v>
      </c>
      <c r="M204">
        <v>13531.332999999999</v>
      </c>
      <c r="N204">
        <v>13531.332999999999</v>
      </c>
      <c r="O204">
        <v>13531.332999999999</v>
      </c>
      <c r="P204">
        <v>1330.6200000000001</v>
      </c>
      <c r="Q204">
        <v>1935.8899999999999</v>
      </c>
      <c r="R204">
        <v>0</v>
      </c>
      <c r="S204">
        <v>0</v>
      </c>
      <c r="T204">
        <v>-3266.5099999999998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f>SUMPRODUCT(DB_SOFList[[#This Row],[Plan01]:[Plan12]],$D$14:$O$14)/valUnits2</f>
        <v>120.15799800000001</v>
      </c>
      <c r="AC204">
        <f>SUMPRODUCT(DB_SOFList[[#This Row],[Act01]:[Act12]],$P$14:$AA$14)/valUnits2</f>
        <v>4.5474735088646413E-16</v>
      </c>
      <c r="AD204">
        <f>DB_SOFList[[#This Row],[Actual]]-DB_SOFList[[#This Row],[Plan]]</f>
        <v>-120.15799800000001</v>
      </c>
      <c r="AE204">
        <f>IF(DB_SOFList[[#This Row],[Plan]]&lt;&gt;0,DB_SOFList[[#This Row],[Actual]]/DB_SOFList[[#This Row],[Plan]],1.000011000011)</f>
        <v>3.7845782923785408E-18</v>
      </c>
      <c r="AF204" s="34">
        <f>SUM(DB_SOFList[[#This Row],[Plan01]:[Plan12]])/valUnits2</f>
        <v>201.34599599999993</v>
      </c>
      <c r="AG204" s="34">
        <f>SUMPRODUCT(DB_SOFList[[#This Row],[Act01]:[Act12]],$P$13:$AA$13)/valUnits2</f>
        <v>4.5474735088646413E-16</v>
      </c>
      <c r="AH204" s="34">
        <f>IF(DB_SOFList[[#This Row],[FYPlan]]&lt;&gt;0,DB_SOFList[[#This Row],[FYActuals]]/DB_SOFList[[#This Row],[FYPlan]],1.000011000011)</f>
        <v>2.2585368466252701E-18</v>
      </c>
    </row>
    <row r="205" spans="1:34" hidden="1" x14ac:dyDescent="0.2">
      <c r="A205">
        <f>SUBTOTAL(3,$B$16:B205)</f>
        <v>51</v>
      </c>
      <c r="B205" t="s">
        <v>349</v>
      </c>
      <c r="C205" t="s">
        <v>884</v>
      </c>
      <c r="D205">
        <v>3275.7400000000002</v>
      </c>
      <c r="E205">
        <v>5080.12</v>
      </c>
      <c r="F205">
        <v>3130.75</v>
      </c>
      <c r="G205">
        <v>2347</v>
      </c>
      <c r="H205">
        <v>-2098.6099999999997</v>
      </c>
      <c r="I205">
        <v>2347</v>
      </c>
      <c r="J205">
        <v>2347</v>
      </c>
      <c r="K205">
        <v>2347</v>
      </c>
      <c r="L205">
        <v>2347</v>
      </c>
      <c r="M205">
        <v>2347</v>
      </c>
      <c r="N205">
        <v>2347</v>
      </c>
      <c r="O205">
        <v>2350</v>
      </c>
      <c r="P205">
        <v>928.74</v>
      </c>
      <c r="Q205">
        <v>2733.12</v>
      </c>
      <c r="R205">
        <v>783.75</v>
      </c>
      <c r="S205">
        <v>0</v>
      </c>
      <c r="T205">
        <v>-4445.6099999999997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f>SUMPRODUCT(DB_SOFList[[#This Row],[Plan01]:[Plan12]],$D$14:$O$14)/valUnits2</f>
        <v>14.082000000000001</v>
      </c>
      <c r="AC205">
        <f>SUMPRODUCT(DB_SOFList[[#This Row],[Act01]:[Act12]],$P$14:$AA$14)/valUnits2</f>
        <v>0</v>
      </c>
      <c r="AD205">
        <f>DB_SOFList[[#This Row],[Actual]]-DB_SOFList[[#This Row],[Plan]]</f>
        <v>-14.082000000000001</v>
      </c>
      <c r="AE205">
        <f>IF(DB_SOFList[[#This Row],[Plan]]&lt;&gt;0,DB_SOFList[[#This Row],[Actual]]/DB_SOFList[[#This Row],[Plan]],1.000011000011)</f>
        <v>0</v>
      </c>
      <c r="AF205" s="34">
        <f>SUM(DB_SOFList[[#This Row],[Plan01]:[Plan12]])/valUnits2</f>
        <v>28.167000000000002</v>
      </c>
      <c r="AG205" s="34">
        <f>SUMPRODUCT(DB_SOFList[[#This Row],[Act01]:[Act12]],$P$13:$AA$13)/valUnits2</f>
        <v>0</v>
      </c>
      <c r="AH205" s="34">
        <f>IF(DB_SOFList[[#This Row],[FYPlan]]&lt;&gt;0,DB_SOFList[[#This Row],[FYActuals]]/DB_SOFList[[#This Row],[FYPlan]],1.000011000011)</f>
        <v>0</v>
      </c>
    </row>
    <row r="206" spans="1:34" hidden="1" x14ac:dyDescent="0.2">
      <c r="A206">
        <f>SUBTOTAL(3,$B$16:B206)</f>
        <v>51</v>
      </c>
      <c r="B206" t="s">
        <v>350</v>
      </c>
      <c r="C206" t="s">
        <v>884</v>
      </c>
      <c r="D206">
        <v>2269.3469999999998</v>
      </c>
      <c r="E206">
        <v>2270.8869999999997</v>
      </c>
      <c r="F206">
        <v>2324.0770000000002</v>
      </c>
      <c r="G206">
        <v>2241.6669999999999</v>
      </c>
      <c r="H206">
        <v>2019.4369999999999</v>
      </c>
      <c r="I206">
        <v>2241.6669999999999</v>
      </c>
      <c r="J206">
        <v>2241.6669999999999</v>
      </c>
      <c r="K206">
        <v>2241.6669999999999</v>
      </c>
      <c r="L206">
        <v>2241.6669999999999</v>
      </c>
      <c r="M206">
        <v>2241.6669999999999</v>
      </c>
      <c r="N206">
        <v>2241.6669999999999</v>
      </c>
      <c r="O206">
        <v>2241.6669999999999</v>
      </c>
      <c r="P206">
        <v>27.68</v>
      </c>
      <c r="Q206">
        <v>29.22</v>
      </c>
      <c r="R206">
        <v>82.41</v>
      </c>
      <c r="S206">
        <v>0</v>
      </c>
      <c r="T206">
        <v>-222.23000000000002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f>SUMPRODUCT(DB_SOFList[[#This Row],[Plan01]:[Plan12]],$D$14:$O$14)/valUnits2</f>
        <v>13.367081999999998</v>
      </c>
      <c r="AC206">
        <f>SUMPRODUCT(DB_SOFList[[#This Row],[Act01]:[Act12]],$P$14:$AA$14)/valUnits2</f>
        <v>-8.2920000000000021E-2</v>
      </c>
      <c r="AD206">
        <f>DB_SOFList[[#This Row],[Actual]]-DB_SOFList[[#This Row],[Plan]]</f>
        <v>-13.450001999999998</v>
      </c>
      <c r="AE206">
        <f>IF(DB_SOFList[[#This Row],[Plan]]&lt;&gt;0,DB_SOFList[[#This Row],[Actual]]/DB_SOFList[[#This Row],[Plan]],1.000011000011)</f>
        <v>-6.2032985209487029E-3</v>
      </c>
      <c r="AF206" s="34">
        <f>SUM(DB_SOFList[[#This Row],[Plan01]:[Plan12]])/valUnits2</f>
        <v>26.817084000000001</v>
      </c>
      <c r="AG206" s="34">
        <f>SUMPRODUCT(DB_SOFList[[#This Row],[Act01]:[Act12]],$P$13:$AA$13)/valUnits2</f>
        <v>-8.2920000000000021E-2</v>
      </c>
      <c r="AH206" s="34">
        <f>IF(DB_SOFList[[#This Row],[FYPlan]]&lt;&gt;0,DB_SOFList[[#This Row],[FYActuals]]/DB_SOFList[[#This Row],[FYPlan]],1.000011000011)</f>
        <v>-3.0920587786502072E-3</v>
      </c>
    </row>
    <row r="207" spans="1:34" x14ac:dyDescent="0.2">
      <c r="A207">
        <f>SUBTOTAL(3,$B$16:B207)</f>
        <v>52</v>
      </c>
      <c r="B207" t="s">
        <v>1</v>
      </c>
      <c r="C207" t="s">
        <v>885</v>
      </c>
      <c r="D207">
        <v>25911.971000000005</v>
      </c>
      <c r="E207">
        <v>-12426.77</v>
      </c>
      <c r="F207">
        <v>4075.5439999999999</v>
      </c>
      <c r="G207">
        <v>105477.62599999997</v>
      </c>
      <c r="H207">
        <v>80555.883999999976</v>
      </c>
      <c r="I207">
        <v>44235.007000000005</v>
      </c>
      <c r="J207">
        <v>44235.007000000005</v>
      </c>
      <c r="K207">
        <v>44235.007000000005</v>
      </c>
      <c r="L207">
        <v>44235.007000000005</v>
      </c>
      <c r="M207">
        <v>44235.007000000005</v>
      </c>
      <c r="N207">
        <v>44235.007000000005</v>
      </c>
      <c r="O207">
        <v>44235.007000000005</v>
      </c>
      <c r="P207">
        <v>25911.969999999998</v>
      </c>
      <c r="Q207">
        <v>-12108.969999999998</v>
      </c>
      <c r="R207">
        <v>4049</v>
      </c>
      <c r="S207">
        <v>105799.84000000003</v>
      </c>
      <c r="T207">
        <v>80878.310000000012</v>
      </c>
      <c r="U207">
        <v>9921.5099999999929</v>
      </c>
      <c r="V207">
        <v>14129.87</v>
      </c>
      <c r="W207">
        <v>0</v>
      </c>
      <c r="X207">
        <v>0</v>
      </c>
      <c r="Y207">
        <v>0</v>
      </c>
      <c r="Z207">
        <v>0</v>
      </c>
      <c r="AA207">
        <v>0</v>
      </c>
      <c r="AB207" s="34">
        <f>SUMPRODUCT(DB_SOFList[[#This Row],[Plan01]:[Plan12]],$D$14:$O$14)/valUnits2</f>
        <v>247.82926199999997</v>
      </c>
      <c r="AC207" s="34">
        <f>SUMPRODUCT(DB_SOFList[[#This Row],[Act01]:[Act12]],$P$14:$AA$14)/valUnits2</f>
        <v>214.45166</v>
      </c>
      <c r="AD207" s="34">
        <f>DB_SOFList[[#This Row],[Actual]]-DB_SOFList[[#This Row],[Plan]]</f>
        <v>-33.377601999999968</v>
      </c>
      <c r="AE207" s="34">
        <f>IF(DB_SOFList[[#This Row],[Plan]]&lt;&gt;0,DB_SOFList[[#This Row],[Actual]]/DB_SOFList[[#This Row],[Plan]],1.000011000011)</f>
        <v>0.865320173531405</v>
      </c>
      <c r="AF207" s="34">
        <f>SUM(DB_SOFList[[#This Row],[Plan01]:[Plan12]])/valUnits2</f>
        <v>513.23930399999983</v>
      </c>
      <c r="AG207" s="34">
        <f>SUMPRODUCT(DB_SOFList[[#This Row],[Act01]:[Act12]],$P$13:$AA$13)/valUnits2</f>
        <v>214.45166</v>
      </c>
      <c r="AH207" s="34">
        <f>IF(DB_SOFList[[#This Row],[FYPlan]]&lt;&gt;0,DB_SOFList[[#This Row],[FYActuals]]/DB_SOFList[[#This Row],[FYPlan]],1.000011000011)</f>
        <v>0.41783951137148312</v>
      </c>
    </row>
    <row r="208" spans="1:34" hidden="1" x14ac:dyDescent="0.2">
      <c r="A208">
        <f>SUBTOTAL(3,$B$16:B208)</f>
        <v>52</v>
      </c>
      <c r="B208" t="s">
        <v>351</v>
      </c>
      <c r="C208" t="s">
        <v>885</v>
      </c>
      <c r="D208">
        <v>21.917000000000002</v>
      </c>
      <c r="E208">
        <v>3134.826</v>
      </c>
      <c r="F208">
        <v>564.91800000000001</v>
      </c>
      <c r="G208">
        <v>12149.623000000001</v>
      </c>
      <c r="H208">
        <v>7251.8779999999997</v>
      </c>
      <c r="I208">
        <v>3613.5</v>
      </c>
      <c r="J208">
        <v>3613.5</v>
      </c>
      <c r="K208">
        <v>3613.5</v>
      </c>
      <c r="L208">
        <v>3613.5</v>
      </c>
      <c r="M208">
        <v>3613.5</v>
      </c>
      <c r="N208">
        <v>3613.5</v>
      </c>
      <c r="O208">
        <v>3613.5</v>
      </c>
      <c r="P208">
        <v>21.92</v>
      </c>
      <c r="Q208">
        <v>3126.9500000000003</v>
      </c>
      <c r="R208">
        <v>561.25</v>
      </c>
      <c r="S208">
        <v>12109.600000000002</v>
      </c>
      <c r="T208">
        <v>7248.0099999999993</v>
      </c>
      <c r="U208">
        <v>2369.33</v>
      </c>
      <c r="V208">
        <v>3097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f>SUMPRODUCT(DB_SOFList[[#This Row],[Plan01]:[Plan12]],$D$14:$O$14)/valUnits2</f>
        <v>26.736661999999999</v>
      </c>
      <c r="AC208">
        <f>SUMPRODUCT(DB_SOFList[[#This Row],[Act01]:[Act12]],$P$14:$AA$14)/valUnits2</f>
        <v>25.437060000000006</v>
      </c>
      <c r="AD208">
        <f>DB_SOFList[[#This Row],[Actual]]-DB_SOFList[[#This Row],[Plan]]</f>
        <v>-1.299601999999993</v>
      </c>
      <c r="AE208">
        <f>IF(DB_SOFList[[#This Row],[Plan]]&lt;&gt;0,DB_SOFList[[#This Row],[Actual]]/DB_SOFList[[#This Row],[Plan]],1.000011000011)</f>
        <v>0.95139251115191592</v>
      </c>
      <c r="AF208" s="34">
        <f>SUM(DB_SOFList[[#This Row],[Plan01]:[Plan12]])/valUnits2</f>
        <v>48.417662</v>
      </c>
      <c r="AG208" s="34">
        <f>SUMPRODUCT(DB_SOFList[[#This Row],[Act01]:[Act12]],$P$13:$AA$13)/valUnits2</f>
        <v>25.437060000000006</v>
      </c>
      <c r="AH208" s="34">
        <f>IF(DB_SOFList[[#This Row],[FYPlan]]&lt;&gt;0,DB_SOFList[[#This Row],[FYActuals]]/DB_SOFList[[#This Row],[FYPlan]],1.000011000011)</f>
        <v>0.52536737523592125</v>
      </c>
    </row>
    <row r="209" spans="1:34" hidden="1" x14ac:dyDescent="0.2">
      <c r="A209">
        <f>SUBTOTAL(3,$B$16:B209)</f>
        <v>52</v>
      </c>
      <c r="B209" t="s">
        <v>346</v>
      </c>
      <c r="C209" t="s">
        <v>885</v>
      </c>
      <c r="D209">
        <v>25890.054000000004</v>
      </c>
      <c r="E209">
        <v>-15561.596000000001</v>
      </c>
      <c r="F209">
        <v>2978.6979999999999</v>
      </c>
      <c r="G209">
        <v>93326.723999999973</v>
      </c>
      <c r="H209">
        <v>73304.005999999979</v>
      </c>
      <c r="I209">
        <v>40621.507000000005</v>
      </c>
      <c r="J209">
        <v>40621.507000000005</v>
      </c>
      <c r="K209">
        <v>40621.507000000005</v>
      </c>
      <c r="L209">
        <v>40621.507000000005</v>
      </c>
      <c r="M209">
        <v>40621.507000000005</v>
      </c>
      <c r="N209">
        <v>40621.507000000005</v>
      </c>
      <c r="O209">
        <v>40621.507000000005</v>
      </c>
      <c r="P209">
        <v>25890.05</v>
      </c>
      <c r="Q209">
        <v>-15235.919999999998</v>
      </c>
      <c r="R209">
        <v>2978.86</v>
      </c>
      <c r="S209">
        <v>93688.950000000026</v>
      </c>
      <c r="T209">
        <v>73630.300000000017</v>
      </c>
      <c r="U209">
        <v>7543.1099999999933</v>
      </c>
      <c r="V209">
        <v>11032.87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f>SUMPRODUCT(DB_SOFList[[#This Row],[Plan01]:[Plan12]],$D$14:$O$14)/valUnits2</f>
        <v>220.55939299999994</v>
      </c>
      <c r="AC209">
        <f>SUMPRODUCT(DB_SOFList[[#This Row],[Act01]:[Act12]],$P$14:$AA$14)/valUnits2</f>
        <v>188.49535000000003</v>
      </c>
      <c r="AD209">
        <f>DB_SOFList[[#This Row],[Actual]]-DB_SOFList[[#This Row],[Plan]]</f>
        <v>-32.064042999999913</v>
      </c>
      <c r="AE209">
        <f>IF(DB_SOFList[[#This Row],[Plan]]&lt;&gt;0,DB_SOFList[[#This Row],[Actual]]/DB_SOFList[[#This Row],[Plan]],1.000011000011)</f>
        <v>0.85462399690227697</v>
      </c>
      <c r="AF209" s="34">
        <f>SUM(DB_SOFList[[#This Row],[Plan01]:[Plan12]])/valUnits2</f>
        <v>464.28843499999988</v>
      </c>
      <c r="AG209" s="34">
        <f>SUMPRODUCT(DB_SOFList[[#This Row],[Act01]:[Act12]],$P$13:$AA$13)/valUnits2</f>
        <v>188.49535000000003</v>
      </c>
      <c r="AH209" s="34">
        <f>IF(DB_SOFList[[#This Row],[FYPlan]]&lt;&gt;0,DB_SOFList[[#This Row],[FYActuals]]/DB_SOFList[[#This Row],[FYPlan]],1.000011000011)</f>
        <v>0.40598760552801638</v>
      </c>
    </row>
    <row r="210" spans="1:34" hidden="1" x14ac:dyDescent="0.2">
      <c r="A210">
        <f>SUBTOTAL(3,$B$16:B210)</f>
        <v>52</v>
      </c>
      <c r="B210" t="s">
        <v>350</v>
      </c>
      <c r="C210" t="s">
        <v>885</v>
      </c>
      <c r="D210">
        <v>0</v>
      </c>
      <c r="E210">
        <v>0</v>
      </c>
      <c r="F210">
        <v>531.928</v>
      </c>
      <c r="G210">
        <v>1.2789999999999999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508.89</v>
      </c>
      <c r="S210">
        <v>1.29</v>
      </c>
      <c r="T210">
        <v>0</v>
      </c>
      <c r="U210">
        <v>9.07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f>SUMPRODUCT(DB_SOFList[[#This Row],[Plan01]:[Plan12]],$D$14:$O$14)/valUnits2</f>
        <v>0.53320699999999999</v>
      </c>
      <c r="AC210">
        <f>SUMPRODUCT(DB_SOFList[[#This Row],[Act01]:[Act12]],$P$14:$AA$14)/valUnits2</f>
        <v>0.51924999999999999</v>
      </c>
      <c r="AD210">
        <f>DB_SOFList[[#This Row],[Actual]]-DB_SOFList[[#This Row],[Plan]]</f>
        <v>-1.3956999999999997E-2</v>
      </c>
      <c r="AE210">
        <f>IF(DB_SOFList[[#This Row],[Plan]]&lt;&gt;0,DB_SOFList[[#This Row],[Actual]]/DB_SOFList[[#This Row],[Plan]],1.000011000011)</f>
        <v>0.97382442466059149</v>
      </c>
      <c r="AF210" s="34">
        <f>SUM(DB_SOFList[[#This Row],[Plan01]:[Plan12]])/valUnits2</f>
        <v>0.53320699999999999</v>
      </c>
      <c r="AG210" s="34">
        <f>SUMPRODUCT(DB_SOFList[[#This Row],[Act01]:[Act12]],$P$13:$AA$13)/valUnits2</f>
        <v>0.51924999999999999</v>
      </c>
      <c r="AH210" s="34">
        <f>IF(DB_SOFList[[#This Row],[FYPlan]]&lt;&gt;0,DB_SOFList[[#This Row],[FYActuals]]/DB_SOFList[[#This Row],[FYPlan]],1.000011000011)</f>
        <v>0.97382442466059149</v>
      </c>
    </row>
    <row r="211" spans="1:34" x14ac:dyDescent="0.2">
      <c r="A211">
        <f>SUBTOTAL(3,$B$16:B211)</f>
        <v>53</v>
      </c>
      <c r="B211" t="s">
        <v>1</v>
      </c>
      <c r="C211" t="s">
        <v>886</v>
      </c>
      <c r="D211">
        <v>6272.8189999999995</v>
      </c>
      <c r="E211">
        <v>-3296.5239999999999</v>
      </c>
      <c r="G211">
        <v>155.24</v>
      </c>
      <c r="P211">
        <v>6208.16</v>
      </c>
      <c r="Q211">
        <v>-3324.29</v>
      </c>
      <c r="S211">
        <v>154.38</v>
      </c>
      <c r="AB211">
        <f>SUMPRODUCT(DB_SOFList[[#This Row],[Plan01]:[Plan12]],$D$14:$O$14)/valUnits2</f>
        <v>3.131535</v>
      </c>
      <c r="AC211">
        <f>SUMPRODUCT(DB_SOFList[[#This Row],[Act01]:[Act12]],$P$14:$AA$14)/valUnits2</f>
        <v>3.0382500000000001</v>
      </c>
      <c r="AD211">
        <f>DB_SOFList[[#This Row],[Actual]]-DB_SOFList[[#This Row],[Plan]]</f>
        <v>-9.328499999999984E-2</v>
      </c>
      <c r="AE211">
        <f>IF(DB_SOFList[[#This Row],[Plan]]&lt;&gt;0,DB_SOFList[[#This Row],[Actual]]/DB_SOFList[[#This Row],[Plan]],1.000011000011)</f>
        <v>0.97021109455905818</v>
      </c>
      <c r="AF211" s="34">
        <f>SUM(DB_SOFList[[#This Row],[Plan01]:[Plan12]])/valUnits2</f>
        <v>3.131535</v>
      </c>
      <c r="AG211" s="34">
        <f>SUMPRODUCT(DB_SOFList[[#This Row],[Act01]:[Act12]],$P$13:$AA$13)/valUnits2</f>
        <v>3.0382500000000001</v>
      </c>
      <c r="AH211" s="34">
        <f>IF(DB_SOFList[[#This Row],[FYPlan]]&lt;&gt;0,DB_SOFList[[#This Row],[FYActuals]]/DB_SOFList[[#This Row],[FYPlan]],1.000011000011)</f>
        <v>0.97021109455905818</v>
      </c>
    </row>
    <row r="212" spans="1:34" hidden="1" x14ac:dyDescent="0.2">
      <c r="A212">
        <f>SUBTOTAL(3,$B$16:B212)</f>
        <v>53</v>
      </c>
      <c r="B212" t="s">
        <v>342</v>
      </c>
      <c r="C212" t="s">
        <v>886</v>
      </c>
      <c r="D212">
        <v>6272.8189999999995</v>
      </c>
      <c r="E212">
        <v>-3296.5239999999999</v>
      </c>
      <c r="P212">
        <v>6208.16</v>
      </c>
      <c r="Q212">
        <v>-3324.29</v>
      </c>
      <c r="AB212">
        <f>SUMPRODUCT(DB_SOFList[[#This Row],[Plan01]:[Plan12]],$D$14:$O$14)/valUnits2</f>
        <v>2.9762949999999995</v>
      </c>
      <c r="AC212">
        <f>SUMPRODUCT(DB_SOFList[[#This Row],[Act01]:[Act12]],$P$14:$AA$14)/valUnits2</f>
        <v>2.8838699999999999</v>
      </c>
      <c r="AD212">
        <f>DB_SOFList[[#This Row],[Actual]]-DB_SOFList[[#This Row],[Plan]]</f>
        <v>-9.2424999999999535E-2</v>
      </c>
      <c r="AE212">
        <f>IF(DB_SOFList[[#This Row],[Plan]]&lt;&gt;0,DB_SOFList[[#This Row],[Actual]]/DB_SOFList[[#This Row],[Plan]],1.000011000011)</f>
        <v>0.96894629060627402</v>
      </c>
      <c r="AF212" s="34">
        <f>SUM(DB_SOFList[[#This Row],[Plan01]:[Plan12]])/valUnits2</f>
        <v>2.9762949999999995</v>
      </c>
      <c r="AG212" s="34">
        <f>SUMPRODUCT(DB_SOFList[[#This Row],[Act01]:[Act12]],$P$13:$AA$13)/valUnits2</f>
        <v>2.8838699999999999</v>
      </c>
      <c r="AH212" s="34">
        <f>IF(DB_SOFList[[#This Row],[FYPlan]]&lt;&gt;0,DB_SOFList[[#This Row],[FYActuals]]/DB_SOFList[[#This Row],[FYPlan]],1.000011000011)</f>
        <v>0.96894629060627402</v>
      </c>
    </row>
    <row r="213" spans="1:34" hidden="1" x14ac:dyDescent="0.2">
      <c r="A213">
        <f>SUBTOTAL(3,$B$16:B213)</f>
        <v>53</v>
      </c>
      <c r="B213" t="s">
        <v>351</v>
      </c>
      <c r="C213" t="s">
        <v>886</v>
      </c>
      <c r="G213">
        <v>155.24</v>
      </c>
      <c r="S213">
        <v>154.38</v>
      </c>
      <c r="AB213">
        <f>SUMPRODUCT(DB_SOFList[[#This Row],[Plan01]:[Plan12]],$D$14:$O$14)/valUnits2</f>
        <v>0.15524000000000002</v>
      </c>
      <c r="AC213">
        <f>SUMPRODUCT(DB_SOFList[[#This Row],[Act01]:[Act12]],$P$14:$AA$14)/valUnits2</f>
        <v>0.15437999999999999</v>
      </c>
      <c r="AD213">
        <f>DB_SOFList[[#This Row],[Actual]]-DB_SOFList[[#This Row],[Plan]]</f>
        <v>-8.6000000000002741E-4</v>
      </c>
      <c r="AE213">
        <f>IF(DB_SOFList[[#This Row],[Plan]]&lt;&gt;0,DB_SOFList[[#This Row],[Actual]]/DB_SOFList[[#This Row],[Plan]],1.000011000011)</f>
        <v>0.99446019067250691</v>
      </c>
      <c r="AF213" s="34">
        <f>SUM(DB_SOFList[[#This Row],[Plan01]:[Plan12]])/valUnits2</f>
        <v>0.15524000000000002</v>
      </c>
      <c r="AG213" s="34">
        <f>SUMPRODUCT(DB_SOFList[[#This Row],[Act01]:[Act12]],$P$13:$AA$13)/valUnits2</f>
        <v>0.15437999999999999</v>
      </c>
      <c r="AH213" s="34">
        <f>IF(DB_SOFList[[#This Row],[FYPlan]]&lt;&gt;0,DB_SOFList[[#This Row],[FYActuals]]/DB_SOFList[[#This Row],[FYPlan]],1.000011000011)</f>
        <v>0.99446019067250691</v>
      </c>
    </row>
    <row r="214" spans="1:34" x14ac:dyDescent="0.2">
      <c r="A214">
        <f>SUBTOTAL(3,$B$16:B214)</f>
        <v>54</v>
      </c>
      <c r="B214" t="s">
        <v>1</v>
      </c>
      <c r="C214" t="s">
        <v>887</v>
      </c>
      <c r="D214">
        <v>383.459</v>
      </c>
      <c r="E214">
        <v>1555.423</v>
      </c>
      <c r="F214">
        <v>5800.7929999999988</v>
      </c>
      <c r="G214">
        <v>6732.0520000000006</v>
      </c>
      <c r="H214">
        <v>-972.90999999999985</v>
      </c>
      <c r="P214">
        <v>383.46</v>
      </c>
      <c r="Q214">
        <v>1555.41</v>
      </c>
      <c r="R214">
        <v>5774.93</v>
      </c>
      <c r="S214">
        <v>6668.04</v>
      </c>
      <c r="T214">
        <v>-961.04000000000019</v>
      </c>
      <c r="AB214">
        <f>SUMPRODUCT(DB_SOFList[[#This Row],[Plan01]:[Plan12]],$D$14:$O$14)/valUnits2</f>
        <v>13.498816999999999</v>
      </c>
      <c r="AC214">
        <f>SUMPRODUCT(DB_SOFList[[#This Row],[Act01]:[Act12]],$P$14:$AA$14)/valUnits2</f>
        <v>13.4208</v>
      </c>
      <c r="AD214">
        <f>DB_SOFList[[#This Row],[Actual]]-DB_SOFList[[#This Row],[Plan]]</f>
        <v>-7.8016999999999115E-2</v>
      </c>
      <c r="AE214">
        <f>IF(DB_SOFList[[#This Row],[Plan]]&lt;&gt;0,DB_SOFList[[#This Row],[Actual]]/DB_SOFList[[#This Row],[Plan]],1.000011000011)</f>
        <v>0.99422045650370705</v>
      </c>
      <c r="AF214" s="34">
        <f>SUM(DB_SOFList[[#This Row],[Plan01]:[Plan12]])/valUnits2</f>
        <v>13.498816999999999</v>
      </c>
      <c r="AG214" s="34">
        <f>SUMPRODUCT(DB_SOFList[[#This Row],[Act01]:[Act12]],$P$13:$AA$13)/valUnits2</f>
        <v>13.4208</v>
      </c>
      <c r="AH214" s="34">
        <f>IF(DB_SOFList[[#This Row],[FYPlan]]&lt;&gt;0,DB_SOFList[[#This Row],[FYActuals]]/DB_SOFList[[#This Row],[FYPlan]],1.000011000011)</f>
        <v>0.99422045650370705</v>
      </c>
    </row>
    <row r="215" spans="1:34" hidden="1" x14ac:dyDescent="0.2">
      <c r="A215">
        <f>SUBTOTAL(3,$B$16:B215)</f>
        <v>54</v>
      </c>
      <c r="B215" t="s">
        <v>351</v>
      </c>
      <c r="C215" t="s">
        <v>887</v>
      </c>
      <c r="D215">
        <v>0</v>
      </c>
      <c r="E215">
        <v>0</v>
      </c>
      <c r="F215">
        <v>0</v>
      </c>
      <c r="G215">
        <v>377.01400000000001</v>
      </c>
      <c r="H215">
        <v>0</v>
      </c>
      <c r="P215">
        <v>0</v>
      </c>
      <c r="Q215">
        <v>0</v>
      </c>
      <c r="R215">
        <v>0</v>
      </c>
      <c r="S215">
        <v>369.3</v>
      </c>
      <c r="T215">
        <v>0</v>
      </c>
      <c r="AB215">
        <f>SUMPRODUCT(DB_SOFList[[#This Row],[Plan01]:[Plan12]],$D$14:$O$14)/valUnits2</f>
        <v>0.37701400000000002</v>
      </c>
      <c r="AC215">
        <f>SUMPRODUCT(DB_SOFList[[#This Row],[Act01]:[Act12]],$P$14:$AA$14)/valUnits2</f>
        <v>0.36930000000000002</v>
      </c>
      <c r="AD215">
        <f>DB_SOFList[[#This Row],[Actual]]-DB_SOFList[[#This Row],[Plan]]</f>
        <v>-7.7139999999999986E-3</v>
      </c>
      <c r="AE215">
        <f>IF(DB_SOFList[[#This Row],[Plan]]&lt;&gt;0,DB_SOFList[[#This Row],[Actual]]/DB_SOFList[[#This Row],[Plan]],1.000011000011)</f>
        <v>0.97953922135517513</v>
      </c>
      <c r="AF215" s="34">
        <f>SUM(DB_SOFList[[#This Row],[Plan01]:[Plan12]])/valUnits2</f>
        <v>0.37701400000000002</v>
      </c>
      <c r="AG215" s="34">
        <f>SUMPRODUCT(DB_SOFList[[#This Row],[Act01]:[Act12]],$P$13:$AA$13)/valUnits2</f>
        <v>0.36930000000000002</v>
      </c>
      <c r="AH215" s="34">
        <f>IF(DB_SOFList[[#This Row],[FYPlan]]&lt;&gt;0,DB_SOFList[[#This Row],[FYActuals]]/DB_SOFList[[#This Row],[FYPlan]],1.000011000011)</f>
        <v>0.97953922135517513</v>
      </c>
    </row>
    <row r="216" spans="1:34" hidden="1" x14ac:dyDescent="0.2">
      <c r="A216">
        <f>SUBTOTAL(3,$B$16:B216)</f>
        <v>54</v>
      </c>
      <c r="B216" t="s">
        <v>345</v>
      </c>
      <c r="C216" t="s">
        <v>887</v>
      </c>
      <c r="D216">
        <v>383.459</v>
      </c>
      <c r="E216">
        <v>1555.423</v>
      </c>
      <c r="F216">
        <v>5800.7929999999988</v>
      </c>
      <c r="G216">
        <v>6355.0380000000005</v>
      </c>
      <c r="H216">
        <v>-972.90999999999985</v>
      </c>
      <c r="P216">
        <v>383.46</v>
      </c>
      <c r="Q216">
        <v>1555.41</v>
      </c>
      <c r="R216">
        <v>5774.93</v>
      </c>
      <c r="S216">
        <v>6298.74</v>
      </c>
      <c r="T216">
        <v>-961.04000000000019</v>
      </c>
      <c r="AB216">
        <f>SUMPRODUCT(DB_SOFList[[#This Row],[Plan01]:[Plan12]],$D$14:$O$14)/valUnits2</f>
        <v>13.121803</v>
      </c>
      <c r="AC216">
        <f>SUMPRODUCT(DB_SOFList[[#This Row],[Act01]:[Act12]],$P$14:$AA$14)/valUnits2</f>
        <v>13.051500000000001</v>
      </c>
      <c r="AD216">
        <f>DB_SOFList[[#This Row],[Actual]]-DB_SOFList[[#This Row],[Plan]]</f>
        <v>-7.0302999999999116E-2</v>
      </c>
      <c r="AE216">
        <f>IF(DB_SOFList[[#This Row],[Plan]]&lt;&gt;0,DB_SOFList[[#This Row],[Actual]]/DB_SOFList[[#This Row],[Plan]],1.000011000011)</f>
        <v>0.99464227591284526</v>
      </c>
      <c r="AF216" s="34">
        <f>SUM(DB_SOFList[[#This Row],[Plan01]:[Plan12]])/valUnits2</f>
        <v>13.121803</v>
      </c>
      <c r="AG216" s="34">
        <f>SUMPRODUCT(DB_SOFList[[#This Row],[Act01]:[Act12]],$P$13:$AA$13)/valUnits2</f>
        <v>13.051500000000001</v>
      </c>
      <c r="AH216" s="34">
        <f>IF(DB_SOFList[[#This Row],[FYPlan]]&lt;&gt;0,DB_SOFList[[#This Row],[FYActuals]]/DB_SOFList[[#This Row],[FYPlan]],1.000011000011)</f>
        <v>0.99464227591284526</v>
      </c>
    </row>
    <row r="217" spans="1:34" x14ac:dyDescent="0.2">
      <c r="A217">
        <f>SUBTOTAL(3,$B$16:B217)</f>
        <v>55</v>
      </c>
      <c r="B217" t="s">
        <v>1</v>
      </c>
      <c r="C217" t="s">
        <v>361</v>
      </c>
      <c r="D217">
        <v>29175.424999999999</v>
      </c>
      <c r="E217">
        <v>5391.5889999999999</v>
      </c>
      <c r="F217">
        <v>3659.3919999999985</v>
      </c>
      <c r="G217">
        <v>15700.725000000002</v>
      </c>
      <c r="H217">
        <v>8148.735999999999</v>
      </c>
      <c r="I217">
        <v>16049.362999999999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29736.309999999998</v>
      </c>
      <c r="Q217">
        <v>5419.88</v>
      </c>
      <c r="R217">
        <v>3689.6900000000023</v>
      </c>
      <c r="S217">
        <v>15319.59</v>
      </c>
      <c r="T217">
        <v>8271.23</v>
      </c>
      <c r="U217">
        <v>19320.499999999996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f>SUMPRODUCT(DB_SOFList[[#This Row],[Plan01]:[Plan12]],$D$14:$O$14)/valUnits2</f>
        <v>78.125230000000002</v>
      </c>
      <c r="AC217">
        <f>SUMPRODUCT(DB_SOFList[[#This Row],[Act01]:[Act12]],$P$14:$AA$14)/valUnits2</f>
        <v>81.757199999999997</v>
      </c>
      <c r="AD217">
        <f>DB_SOFList[[#This Row],[Actual]]-DB_SOFList[[#This Row],[Plan]]</f>
        <v>3.6319699999999955</v>
      </c>
      <c r="AE217">
        <f>IF(DB_SOFList[[#This Row],[Plan]]&lt;&gt;0,DB_SOFList[[#This Row],[Actual]]/DB_SOFList[[#This Row],[Plan]],1.000011000011)</f>
        <v>1.046489079136151</v>
      </c>
      <c r="AF217" s="34">
        <f>SUM(DB_SOFList[[#This Row],[Plan01]:[Plan12]])/valUnits2</f>
        <v>78.125230000000002</v>
      </c>
      <c r="AG217" s="34">
        <f>SUMPRODUCT(DB_SOFList[[#This Row],[Act01]:[Act12]],$P$13:$AA$13)/valUnits2</f>
        <v>81.757199999999997</v>
      </c>
      <c r="AH217" s="34">
        <f>IF(DB_SOFList[[#This Row],[FYPlan]]&lt;&gt;0,DB_SOFList[[#This Row],[FYActuals]]/DB_SOFList[[#This Row],[FYPlan]],1.000011000011)</f>
        <v>1.046489079136151</v>
      </c>
    </row>
    <row r="218" spans="1:34" hidden="1" x14ac:dyDescent="0.2">
      <c r="A218">
        <f>SUBTOTAL(3,$B$16:B218)</f>
        <v>55</v>
      </c>
      <c r="B218" t="s">
        <v>351</v>
      </c>
      <c r="C218" t="s">
        <v>361</v>
      </c>
      <c r="D218">
        <v>0</v>
      </c>
      <c r="E218">
        <v>0</v>
      </c>
      <c r="F218">
        <v>0</v>
      </c>
      <c r="G218">
        <v>402.53700000000003</v>
      </c>
      <c r="H218">
        <v>2160.645</v>
      </c>
      <c r="I218">
        <v>1427.6299999999999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410.26</v>
      </c>
      <c r="T218">
        <v>2194.42</v>
      </c>
      <c r="U218">
        <v>117.78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f>SUMPRODUCT(DB_SOFList[[#This Row],[Plan01]:[Plan12]],$D$14:$O$14)/valUnits2</f>
        <v>3.990812</v>
      </c>
      <c r="AC218">
        <f>SUMPRODUCT(DB_SOFList[[#This Row],[Act01]:[Act12]],$P$14:$AA$14)/valUnits2</f>
        <v>2.7224600000000003</v>
      </c>
      <c r="AD218">
        <f>DB_SOFList[[#This Row],[Actual]]-DB_SOFList[[#This Row],[Plan]]</f>
        <v>-1.2683519999999997</v>
      </c>
      <c r="AE218">
        <f>IF(DB_SOFList[[#This Row],[Plan]]&lt;&gt;0,DB_SOFList[[#This Row],[Actual]]/DB_SOFList[[#This Row],[Plan]],1.000011000011)</f>
        <v>0.68218197198966035</v>
      </c>
      <c r="AF218" s="34">
        <f>SUM(DB_SOFList[[#This Row],[Plan01]:[Plan12]])/valUnits2</f>
        <v>3.990812</v>
      </c>
      <c r="AG218" s="34">
        <f>SUMPRODUCT(DB_SOFList[[#This Row],[Act01]:[Act12]],$P$13:$AA$13)/valUnits2</f>
        <v>2.7224600000000003</v>
      </c>
      <c r="AH218" s="34">
        <f>IF(DB_SOFList[[#This Row],[FYPlan]]&lt;&gt;0,DB_SOFList[[#This Row],[FYActuals]]/DB_SOFList[[#This Row],[FYPlan]],1.000011000011)</f>
        <v>0.68218197198966035</v>
      </c>
    </row>
    <row r="219" spans="1:34" hidden="1" x14ac:dyDescent="0.2">
      <c r="A219">
        <f>SUBTOTAL(3,$B$16:B219)</f>
        <v>55</v>
      </c>
      <c r="B219" t="s">
        <v>346</v>
      </c>
      <c r="C219" t="s">
        <v>361</v>
      </c>
      <c r="D219">
        <v>29175.424999999999</v>
      </c>
      <c r="E219">
        <v>5391.5889999999999</v>
      </c>
      <c r="F219">
        <v>3659.3919999999985</v>
      </c>
      <c r="G219">
        <v>15298.188000000002</v>
      </c>
      <c r="H219">
        <v>5988.0909999999985</v>
      </c>
      <c r="I219">
        <v>14621.733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29736.309999999998</v>
      </c>
      <c r="Q219">
        <v>5419.88</v>
      </c>
      <c r="R219">
        <v>3689.6900000000023</v>
      </c>
      <c r="S219">
        <v>14909.33</v>
      </c>
      <c r="T219">
        <v>6076.8099999999986</v>
      </c>
      <c r="U219">
        <v>19202.489999999998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f>SUMPRODUCT(DB_SOFList[[#This Row],[Plan01]:[Plan12]],$D$14:$O$14)/valUnits2</f>
        <v>74.134418000000011</v>
      </c>
      <c r="AC219">
        <f>SUMPRODUCT(DB_SOFList[[#This Row],[Act01]:[Act12]],$P$14:$AA$14)/valUnits2</f>
        <v>79.034509999999997</v>
      </c>
      <c r="AD219">
        <f>DB_SOFList[[#This Row],[Actual]]-DB_SOFList[[#This Row],[Plan]]</f>
        <v>4.9000919999999866</v>
      </c>
      <c r="AE219">
        <f>IF(DB_SOFList[[#This Row],[Plan]]&lt;&gt;0,DB_SOFList[[#This Row],[Actual]]/DB_SOFList[[#This Row],[Plan]],1.000011000011)</f>
        <v>1.0660973962188518</v>
      </c>
      <c r="AF219" s="34">
        <f>SUM(DB_SOFList[[#This Row],[Plan01]:[Plan12]])/valUnits2</f>
        <v>74.134418000000011</v>
      </c>
      <c r="AG219" s="34">
        <f>SUMPRODUCT(DB_SOFList[[#This Row],[Act01]:[Act12]],$P$13:$AA$13)/valUnits2</f>
        <v>79.034509999999997</v>
      </c>
      <c r="AH219" s="34">
        <f>IF(DB_SOFList[[#This Row],[FYPlan]]&lt;&gt;0,DB_SOFList[[#This Row],[FYActuals]]/DB_SOFList[[#This Row],[FYPlan]],1.000011000011)</f>
        <v>1.0660973962188518</v>
      </c>
    </row>
    <row r="220" spans="1:34" hidden="1" x14ac:dyDescent="0.2">
      <c r="A220">
        <f>SUBTOTAL(3,$B$16:B220)</f>
        <v>55</v>
      </c>
      <c r="B220" t="s">
        <v>350</v>
      </c>
      <c r="C220" t="s">
        <v>361</v>
      </c>
      <c r="I220">
        <v>0</v>
      </c>
      <c r="U220">
        <v>0.23</v>
      </c>
      <c r="AB220">
        <f>SUMPRODUCT(DB_SOFList[[#This Row],[Plan01]:[Plan12]],$D$14:$O$14)/valUnits2</f>
        <v>0</v>
      </c>
      <c r="AC220">
        <f>SUMPRODUCT(DB_SOFList[[#This Row],[Act01]:[Act12]],$P$14:$AA$14)/valUnits2</f>
        <v>2.3000000000000001E-4</v>
      </c>
      <c r="AD220">
        <f>DB_SOFList[[#This Row],[Actual]]-DB_SOFList[[#This Row],[Plan]]</f>
        <v>2.3000000000000001E-4</v>
      </c>
      <c r="AE220">
        <f>IF(DB_SOFList[[#This Row],[Plan]]&lt;&gt;0,DB_SOFList[[#This Row],[Actual]]/DB_SOFList[[#This Row],[Plan]],1.000011000011)</f>
        <v>1.0000110000110001</v>
      </c>
      <c r="AF220" s="34">
        <f>SUM(DB_SOFList[[#This Row],[Plan01]:[Plan12]])/valUnits2</f>
        <v>0</v>
      </c>
      <c r="AG220" s="34">
        <f>SUMPRODUCT(DB_SOFList[[#This Row],[Act01]:[Act12]],$P$13:$AA$13)/valUnits2</f>
        <v>2.3000000000000001E-4</v>
      </c>
      <c r="AH220" s="34">
        <f>IF(DB_SOFList[[#This Row],[FYPlan]]&lt;&gt;0,DB_SOFList[[#This Row],[FYActuals]]/DB_SOFList[[#This Row],[FYPlan]],1.000011000011)</f>
        <v>1.0000110000110001</v>
      </c>
    </row>
    <row r="221" spans="1:34" x14ac:dyDescent="0.2">
      <c r="A221">
        <f>SUBTOTAL(3,$B$16:B221)</f>
        <v>56</v>
      </c>
      <c r="B221" t="s">
        <v>1</v>
      </c>
      <c r="C221" t="s">
        <v>888</v>
      </c>
      <c r="D221">
        <v>7181.5839999999998</v>
      </c>
      <c r="E221">
        <v>-7864.9250000000002</v>
      </c>
      <c r="F221">
        <v>750.12400000000002</v>
      </c>
      <c r="P221">
        <v>7176.88</v>
      </c>
      <c r="Q221">
        <v>-7955.51</v>
      </c>
      <c r="R221">
        <v>782.23</v>
      </c>
      <c r="AB221">
        <f>SUMPRODUCT(DB_SOFList[[#This Row],[Plan01]:[Plan12]],$D$14:$O$14)/valUnits2</f>
        <v>6.6782999999999676E-2</v>
      </c>
      <c r="AC221">
        <f>SUMPRODUCT(DB_SOFList[[#This Row],[Act01]:[Act12]],$P$14:$AA$14)/valUnits2</f>
        <v>3.5999999999999093E-3</v>
      </c>
      <c r="AD221">
        <f>DB_SOFList[[#This Row],[Actual]]-DB_SOFList[[#This Row],[Plan]]</f>
        <v>-6.3182999999999767E-2</v>
      </c>
      <c r="AE221">
        <f>IF(DB_SOFList[[#This Row],[Plan]]&lt;&gt;0,DB_SOFList[[#This Row],[Actual]]/DB_SOFList[[#This Row],[Plan]],1.000011000011)</f>
        <v>5.3905934144916019E-2</v>
      </c>
      <c r="AF221" s="34">
        <f>SUM(DB_SOFList[[#This Row],[Plan01]:[Plan12]])/valUnits2</f>
        <v>6.6782999999999676E-2</v>
      </c>
      <c r="AG221" s="34">
        <f>SUMPRODUCT(DB_SOFList[[#This Row],[Act01]:[Act12]],$P$13:$AA$13)/valUnits2</f>
        <v>3.5999999999999093E-3</v>
      </c>
      <c r="AH221" s="34">
        <f>IF(DB_SOFList[[#This Row],[FYPlan]]&lt;&gt;0,DB_SOFList[[#This Row],[FYActuals]]/DB_SOFList[[#This Row],[FYPlan]],1.000011000011)</f>
        <v>5.3905934144916019E-2</v>
      </c>
    </row>
    <row r="222" spans="1:34" hidden="1" x14ac:dyDescent="0.2">
      <c r="A222">
        <f>SUBTOTAL(3,$B$16:B222)</f>
        <v>56</v>
      </c>
      <c r="B222" t="s">
        <v>343</v>
      </c>
      <c r="C222" t="s">
        <v>888</v>
      </c>
      <c r="D222">
        <v>7181.5839999999998</v>
      </c>
      <c r="E222">
        <v>-7864.9250000000002</v>
      </c>
      <c r="F222">
        <v>750.12400000000002</v>
      </c>
      <c r="P222">
        <v>7176.88</v>
      </c>
      <c r="Q222">
        <v>-7955.51</v>
      </c>
      <c r="R222">
        <v>782.23</v>
      </c>
      <c r="AB222">
        <f>SUMPRODUCT(DB_SOFList[[#This Row],[Plan01]:[Plan12]],$D$14:$O$14)/valUnits2</f>
        <v>6.6782999999999676E-2</v>
      </c>
      <c r="AC222">
        <f>SUMPRODUCT(DB_SOFList[[#This Row],[Act01]:[Act12]],$P$14:$AA$14)/valUnits2</f>
        <v>3.5999999999999093E-3</v>
      </c>
      <c r="AD222">
        <f>DB_SOFList[[#This Row],[Actual]]-DB_SOFList[[#This Row],[Plan]]</f>
        <v>-6.3182999999999767E-2</v>
      </c>
      <c r="AE222">
        <f>IF(DB_SOFList[[#This Row],[Plan]]&lt;&gt;0,DB_SOFList[[#This Row],[Actual]]/DB_SOFList[[#This Row],[Plan]],1.000011000011)</f>
        <v>5.3905934144916019E-2</v>
      </c>
      <c r="AF222" s="34">
        <f>SUM(DB_SOFList[[#This Row],[Plan01]:[Plan12]])/valUnits2</f>
        <v>6.6782999999999676E-2</v>
      </c>
      <c r="AG222" s="34">
        <f>SUMPRODUCT(DB_SOFList[[#This Row],[Act01]:[Act12]],$P$13:$AA$13)/valUnits2</f>
        <v>3.5999999999999093E-3</v>
      </c>
      <c r="AH222" s="34">
        <f>IF(DB_SOFList[[#This Row],[FYPlan]]&lt;&gt;0,DB_SOFList[[#This Row],[FYActuals]]/DB_SOFList[[#This Row],[FYPlan]],1.000011000011)</f>
        <v>5.3905934144916019E-2</v>
      </c>
    </row>
    <row r="223" spans="1:34" x14ac:dyDescent="0.2">
      <c r="A223">
        <f>SUBTOTAL(3,$B$16:B223)</f>
        <v>57</v>
      </c>
      <c r="B223" t="s">
        <v>1</v>
      </c>
      <c r="C223" t="s">
        <v>358</v>
      </c>
      <c r="D223">
        <v>1612.9280000000001</v>
      </c>
      <c r="E223">
        <v>2464.7570000000001</v>
      </c>
      <c r="F223">
        <v>2427.3879999999999</v>
      </c>
      <c r="G223">
        <v>38088.933000000005</v>
      </c>
      <c r="H223">
        <v>8545.7479999999978</v>
      </c>
      <c r="I223">
        <v>34004.396000000001</v>
      </c>
      <c r="J223">
        <v>36644.123</v>
      </c>
      <c r="K223">
        <v>38902.504000000001</v>
      </c>
      <c r="L223">
        <v>42545.915000000001</v>
      </c>
      <c r="M223">
        <v>42403.494999999995</v>
      </c>
      <c r="N223">
        <v>42605.067999999999</v>
      </c>
      <c r="P223">
        <v>1645.5099999999998</v>
      </c>
      <c r="Q223">
        <v>2491.69</v>
      </c>
      <c r="R223">
        <v>2454.5100000000002</v>
      </c>
      <c r="S223">
        <v>37925.56</v>
      </c>
      <c r="T223">
        <v>8681.8700000000008</v>
      </c>
      <c r="U223">
        <v>78905.819999999992</v>
      </c>
      <c r="V223">
        <v>0</v>
      </c>
      <c r="W223">
        <v>0</v>
      </c>
      <c r="X223">
        <v>0</v>
      </c>
      <c r="Y223">
        <v>0</v>
      </c>
      <c r="Z223">
        <v>0</v>
      </c>
      <c r="AB223">
        <f>SUMPRODUCT(DB_SOFList[[#This Row],[Plan01]:[Plan12]],$D$14:$O$14)/valUnits2</f>
        <v>87.14415000000001</v>
      </c>
      <c r="AC223">
        <f>SUMPRODUCT(DB_SOFList[[#This Row],[Act01]:[Act12]],$P$14:$AA$14)/valUnits2</f>
        <v>132.10496000000001</v>
      </c>
      <c r="AD223">
        <f>DB_SOFList[[#This Row],[Actual]]-DB_SOFList[[#This Row],[Plan]]</f>
        <v>44.960809999999995</v>
      </c>
      <c r="AE223">
        <f>IF(DB_SOFList[[#This Row],[Plan]]&lt;&gt;0,DB_SOFList[[#This Row],[Actual]]/DB_SOFList[[#This Row],[Plan]],1.000011000011)</f>
        <v>1.5159360668501556</v>
      </c>
      <c r="AF223" s="34">
        <f>SUM(DB_SOFList[[#This Row],[Plan01]:[Plan12]])/valUnits2</f>
        <v>290.24525499999999</v>
      </c>
      <c r="AG223" s="34">
        <f>SUMPRODUCT(DB_SOFList[[#This Row],[Act01]:[Act12]],$P$13:$AA$13)/valUnits2</f>
        <v>132.10496000000001</v>
      </c>
      <c r="AH223" s="34">
        <f>IF(DB_SOFList[[#This Row],[FYPlan]]&lt;&gt;0,DB_SOFList[[#This Row],[FYActuals]]/DB_SOFList[[#This Row],[FYPlan]],1.000011000011)</f>
        <v>0.45514942182258933</v>
      </c>
    </row>
    <row r="224" spans="1:34" hidden="1" x14ac:dyDescent="0.2">
      <c r="A224">
        <f>SUBTOTAL(3,$B$16:B224)</f>
        <v>57</v>
      </c>
      <c r="B224" t="s">
        <v>351</v>
      </c>
      <c r="C224" t="s">
        <v>358</v>
      </c>
      <c r="D224">
        <v>0</v>
      </c>
      <c r="E224">
        <v>0</v>
      </c>
      <c r="F224">
        <v>0</v>
      </c>
      <c r="G224">
        <v>943.03499999999997</v>
      </c>
      <c r="H224">
        <v>816.46500000000015</v>
      </c>
      <c r="I224">
        <v>5040.826</v>
      </c>
      <c r="J224">
        <v>5040.826</v>
      </c>
      <c r="K224">
        <v>5040.826</v>
      </c>
      <c r="L224">
        <v>5040.826</v>
      </c>
      <c r="M224">
        <v>5040.826</v>
      </c>
      <c r="N224">
        <v>5040.826</v>
      </c>
      <c r="P224">
        <v>0</v>
      </c>
      <c r="Q224">
        <v>0</v>
      </c>
      <c r="R224">
        <v>0</v>
      </c>
      <c r="S224">
        <v>954.34</v>
      </c>
      <c r="T224">
        <v>824.06999999999994</v>
      </c>
      <c r="U224">
        <v>677.33</v>
      </c>
      <c r="V224">
        <v>0</v>
      </c>
      <c r="W224">
        <v>0</v>
      </c>
      <c r="X224">
        <v>0</v>
      </c>
      <c r="Y224">
        <v>0</v>
      </c>
      <c r="Z224">
        <v>0</v>
      </c>
      <c r="AB224">
        <f>SUMPRODUCT(DB_SOFList[[#This Row],[Plan01]:[Plan12]],$D$14:$O$14)/valUnits2</f>
        <v>6.8003260000000001</v>
      </c>
      <c r="AC224">
        <f>SUMPRODUCT(DB_SOFList[[#This Row],[Act01]:[Act12]],$P$14:$AA$14)/valUnits2</f>
        <v>2.4557399999999996</v>
      </c>
      <c r="AD224">
        <f>DB_SOFList[[#This Row],[Actual]]-DB_SOFList[[#This Row],[Plan]]</f>
        <v>-4.3445860000000005</v>
      </c>
      <c r="AE224">
        <f>IF(DB_SOFList[[#This Row],[Plan]]&lt;&gt;0,DB_SOFList[[#This Row],[Actual]]/DB_SOFList[[#This Row],[Plan]],1.000011000011)</f>
        <v>0.36112092273223367</v>
      </c>
      <c r="AF224" s="34">
        <f>SUM(DB_SOFList[[#This Row],[Plan01]:[Plan12]])/valUnits2</f>
        <v>32.004456000000005</v>
      </c>
      <c r="AG224" s="34">
        <f>SUMPRODUCT(DB_SOFList[[#This Row],[Act01]:[Act12]],$P$13:$AA$13)/valUnits2</f>
        <v>2.4557399999999996</v>
      </c>
      <c r="AH224" s="34">
        <f>IF(DB_SOFList[[#This Row],[FYPlan]]&lt;&gt;0,DB_SOFList[[#This Row],[FYActuals]]/DB_SOFList[[#This Row],[FYPlan]],1.000011000011)</f>
        <v>7.6731190181767162E-2</v>
      </c>
    </row>
    <row r="225" spans="1:34" hidden="1" x14ac:dyDescent="0.2">
      <c r="A225">
        <f>SUBTOTAL(3,$B$16:B225)</f>
        <v>57</v>
      </c>
      <c r="B225" t="s">
        <v>346</v>
      </c>
      <c r="C225" t="s">
        <v>358</v>
      </c>
      <c r="D225">
        <v>1612.9280000000001</v>
      </c>
      <c r="E225">
        <v>2464.7570000000001</v>
      </c>
      <c r="F225">
        <v>2427.3879999999999</v>
      </c>
      <c r="G225">
        <v>37145.898000000001</v>
      </c>
      <c r="H225">
        <v>7729.2829999999976</v>
      </c>
      <c r="I225">
        <v>28963.57</v>
      </c>
      <c r="J225">
        <v>31603.297000000002</v>
      </c>
      <c r="K225">
        <v>33861.678</v>
      </c>
      <c r="L225">
        <v>37505.089</v>
      </c>
      <c r="M225">
        <v>37362.668999999994</v>
      </c>
      <c r="N225">
        <v>37564.241999999998</v>
      </c>
      <c r="P225">
        <v>1645.5099999999998</v>
      </c>
      <c r="Q225">
        <v>2491.69</v>
      </c>
      <c r="R225">
        <v>2454.5100000000002</v>
      </c>
      <c r="S225">
        <v>36971.22</v>
      </c>
      <c r="T225">
        <v>7857.8000000000011</v>
      </c>
      <c r="U225">
        <v>78227.62999999999</v>
      </c>
      <c r="V225">
        <v>0</v>
      </c>
      <c r="W225">
        <v>0</v>
      </c>
      <c r="X225">
        <v>0</v>
      </c>
      <c r="Y225">
        <v>0</v>
      </c>
      <c r="Z225">
        <v>0</v>
      </c>
      <c r="AB225">
        <f>SUMPRODUCT(DB_SOFList[[#This Row],[Plan01]:[Plan12]],$D$14:$O$14)/valUnits2</f>
        <v>80.343823999999998</v>
      </c>
      <c r="AC225">
        <f>SUMPRODUCT(DB_SOFList[[#This Row],[Act01]:[Act12]],$P$14:$AA$14)/valUnits2</f>
        <v>129.64836</v>
      </c>
      <c r="AD225">
        <f>DB_SOFList[[#This Row],[Actual]]-DB_SOFList[[#This Row],[Plan]]</f>
        <v>49.304535999999999</v>
      </c>
      <c r="AE225">
        <f>IF(DB_SOFList[[#This Row],[Plan]]&lt;&gt;0,DB_SOFList[[#This Row],[Actual]]/DB_SOFList[[#This Row],[Plan]],1.000011000011)</f>
        <v>1.6136692722019306</v>
      </c>
      <c r="AF225" s="34">
        <f>SUM(DB_SOFList[[#This Row],[Plan01]:[Plan12]])/valUnits2</f>
        <v>258.24079899999998</v>
      </c>
      <c r="AG225" s="34">
        <f>SUMPRODUCT(DB_SOFList[[#This Row],[Act01]:[Act12]],$P$13:$AA$13)/valUnits2</f>
        <v>129.64836</v>
      </c>
      <c r="AH225" s="34">
        <f>IF(DB_SOFList[[#This Row],[FYPlan]]&lt;&gt;0,DB_SOFList[[#This Row],[FYActuals]]/DB_SOFList[[#This Row],[FYPlan]],1.000011000011)</f>
        <v>0.5020444503813668</v>
      </c>
    </row>
    <row r="226" spans="1:34" hidden="1" x14ac:dyDescent="0.2">
      <c r="A226">
        <f>SUBTOTAL(3,$B$16:B226)</f>
        <v>57</v>
      </c>
      <c r="B226" t="s">
        <v>350</v>
      </c>
      <c r="C226" t="s">
        <v>358</v>
      </c>
      <c r="I226">
        <v>0</v>
      </c>
      <c r="U226">
        <v>0.86</v>
      </c>
      <c r="AB226">
        <f>SUMPRODUCT(DB_SOFList[[#This Row],[Plan01]:[Plan12]],$D$14:$O$14)/valUnits2</f>
        <v>0</v>
      </c>
      <c r="AC226">
        <f>SUMPRODUCT(DB_SOFList[[#This Row],[Act01]:[Act12]],$P$14:$AA$14)/valUnits2</f>
        <v>8.5999999999999998E-4</v>
      </c>
      <c r="AD226">
        <f>DB_SOFList[[#This Row],[Actual]]-DB_SOFList[[#This Row],[Plan]]</f>
        <v>8.5999999999999998E-4</v>
      </c>
      <c r="AE226">
        <f>IF(DB_SOFList[[#This Row],[Plan]]&lt;&gt;0,DB_SOFList[[#This Row],[Actual]]/DB_SOFList[[#This Row],[Plan]],1.000011000011)</f>
        <v>1.0000110000110001</v>
      </c>
      <c r="AF226" s="34">
        <f>SUM(DB_SOFList[[#This Row],[Plan01]:[Plan12]])/valUnits2</f>
        <v>0</v>
      </c>
      <c r="AG226" s="34">
        <f>SUMPRODUCT(DB_SOFList[[#This Row],[Act01]:[Act12]],$P$13:$AA$13)/valUnits2</f>
        <v>8.5999999999999998E-4</v>
      </c>
      <c r="AH226" s="34">
        <f>IF(DB_SOFList[[#This Row],[FYPlan]]&lt;&gt;0,DB_SOFList[[#This Row],[FYActuals]]/DB_SOFList[[#This Row],[FYPlan]],1.000011000011)</f>
        <v>1.0000110000110001</v>
      </c>
    </row>
    <row r="227" spans="1:34" x14ac:dyDescent="0.2">
      <c r="A227">
        <f>SUBTOTAL(3,$B$16:B227)</f>
        <v>58</v>
      </c>
      <c r="B227" t="s">
        <v>1</v>
      </c>
      <c r="C227" t="s">
        <v>889</v>
      </c>
      <c r="F227">
        <v>0</v>
      </c>
      <c r="R227">
        <v>0</v>
      </c>
      <c r="AB227">
        <f>SUMPRODUCT(DB_SOFList[[#This Row],[Plan01]:[Plan12]],$D$14:$O$14)/valUnits2</f>
        <v>0</v>
      </c>
      <c r="AC227">
        <f>SUMPRODUCT(DB_SOFList[[#This Row],[Act01]:[Act12]],$P$14:$AA$14)/valUnits2</f>
        <v>0</v>
      </c>
      <c r="AD227">
        <f>DB_SOFList[[#This Row],[Actual]]-DB_SOFList[[#This Row],[Plan]]</f>
        <v>0</v>
      </c>
      <c r="AE227">
        <f>IF(DB_SOFList[[#This Row],[Plan]]&lt;&gt;0,DB_SOFList[[#This Row],[Actual]]/DB_SOFList[[#This Row],[Plan]],1.000011000011)</f>
        <v>1.0000110000110001</v>
      </c>
      <c r="AF227" s="34">
        <f>SUM(DB_SOFList[[#This Row],[Plan01]:[Plan12]])/valUnits2</f>
        <v>0</v>
      </c>
      <c r="AG227" s="34">
        <f>SUMPRODUCT(DB_SOFList[[#This Row],[Act01]:[Act12]],$P$13:$AA$13)/valUnits2</f>
        <v>0</v>
      </c>
      <c r="AH227" s="34">
        <f>IF(DB_SOFList[[#This Row],[FYPlan]]&lt;&gt;0,DB_SOFList[[#This Row],[FYActuals]]/DB_SOFList[[#This Row],[FYPlan]],1.000011000011)</f>
        <v>1.0000110000110001</v>
      </c>
    </row>
    <row r="228" spans="1:34" hidden="1" x14ac:dyDescent="0.2">
      <c r="A228">
        <f>SUBTOTAL(3,$B$16:B228)</f>
        <v>58</v>
      </c>
      <c r="B228" t="s">
        <v>342</v>
      </c>
      <c r="C228" t="s">
        <v>889</v>
      </c>
      <c r="F228">
        <v>0</v>
      </c>
      <c r="R228">
        <v>0</v>
      </c>
      <c r="AB228">
        <f>SUMPRODUCT(DB_SOFList[[#This Row],[Plan01]:[Plan12]],$D$14:$O$14)/valUnits2</f>
        <v>0</v>
      </c>
      <c r="AC228">
        <f>SUMPRODUCT(DB_SOFList[[#This Row],[Act01]:[Act12]],$P$14:$AA$14)/valUnits2</f>
        <v>0</v>
      </c>
      <c r="AD228">
        <f>DB_SOFList[[#This Row],[Actual]]-DB_SOFList[[#This Row],[Plan]]</f>
        <v>0</v>
      </c>
      <c r="AE228">
        <f>IF(DB_SOFList[[#This Row],[Plan]]&lt;&gt;0,DB_SOFList[[#This Row],[Actual]]/DB_SOFList[[#This Row],[Plan]],1.000011000011)</f>
        <v>1.0000110000110001</v>
      </c>
      <c r="AF228" s="34">
        <f>SUM(DB_SOFList[[#This Row],[Plan01]:[Plan12]])/valUnits2</f>
        <v>0</v>
      </c>
      <c r="AG228" s="34">
        <f>SUMPRODUCT(DB_SOFList[[#This Row],[Act01]:[Act12]],$P$13:$AA$13)/valUnits2</f>
        <v>0</v>
      </c>
      <c r="AH228" s="34">
        <f>IF(DB_SOFList[[#This Row],[FYPlan]]&lt;&gt;0,DB_SOFList[[#This Row],[FYActuals]]/DB_SOFList[[#This Row],[FYPlan]],1.000011000011)</f>
        <v>1.0000110000110001</v>
      </c>
    </row>
    <row r="229" spans="1:34" x14ac:dyDescent="0.2">
      <c r="A229">
        <f>SUBTOTAL(3,$B$16:B229)</f>
        <v>59</v>
      </c>
      <c r="B229" t="s">
        <v>1</v>
      </c>
      <c r="C229" t="s">
        <v>890</v>
      </c>
      <c r="D229">
        <v>1652.0629999999987</v>
      </c>
      <c r="E229">
        <v>1579.1709999999987</v>
      </c>
      <c r="F229">
        <v>49885.458000000006</v>
      </c>
      <c r="G229">
        <v>171906.88399999996</v>
      </c>
      <c r="H229">
        <v>4857.7650000000021</v>
      </c>
      <c r="I229">
        <v>40373.932000000023</v>
      </c>
      <c r="J229">
        <v>38078.552000000011</v>
      </c>
      <c r="K229">
        <v>41553.68700000002</v>
      </c>
      <c r="L229">
        <v>40373.932000000008</v>
      </c>
      <c r="M229">
        <v>35794.062000000005</v>
      </c>
      <c r="N229">
        <v>77988.986999999965</v>
      </c>
      <c r="O229">
        <v>35794.062000000005</v>
      </c>
      <c r="P229">
        <v>1656.5900000000006</v>
      </c>
      <c r="Q229">
        <v>1615.7399999999998</v>
      </c>
      <c r="R229">
        <v>49802.929999999993</v>
      </c>
      <c r="S229">
        <v>169790.88999999998</v>
      </c>
      <c r="T229">
        <v>4917.0500000000047</v>
      </c>
      <c r="U229">
        <v>7224.7199999999957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f>SUMPRODUCT(DB_SOFList[[#This Row],[Plan01]:[Plan12]],$D$14:$O$14)/valUnits2</f>
        <v>270.25527299999999</v>
      </c>
      <c r="AC229">
        <f>SUMPRODUCT(DB_SOFList[[#This Row],[Act01]:[Act12]],$P$14:$AA$14)/valUnits2</f>
        <v>235.00791999999998</v>
      </c>
      <c r="AD229">
        <f>DB_SOFList[[#This Row],[Actual]]-DB_SOFList[[#This Row],[Plan]]</f>
        <v>-35.247353000000004</v>
      </c>
      <c r="AE229">
        <f>IF(DB_SOFList[[#This Row],[Plan]]&lt;&gt;0,DB_SOFList[[#This Row],[Actual]]/DB_SOFList[[#This Row],[Plan]],1.000011000011)</f>
        <v>0.86957755677166748</v>
      </c>
      <c r="AF229" s="34">
        <f>SUM(DB_SOFList[[#This Row],[Plan01]:[Plan12]])/valUnits2</f>
        <v>539.83855500000004</v>
      </c>
      <c r="AG229" s="34">
        <f>SUMPRODUCT(DB_SOFList[[#This Row],[Act01]:[Act12]],$P$13:$AA$13)/valUnits2</f>
        <v>235.00791999999998</v>
      </c>
      <c r="AH229" s="34">
        <f>IF(DB_SOFList[[#This Row],[FYPlan]]&lt;&gt;0,DB_SOFList[[#This Row],[FYActuals]]/DB_SOFList[[#This Row],[FYPlan]],1.000011000011)</f>
        <v>0.43533000343037737</v>
      </c>
    </row>
    <row r="230" spans="1:34" hidden="1" x14ac:dyDescent="0.2">
      <c r="A230">
        <f>SUBTOTAL(3,$B$16:B230)</f>
        <v>59</v>
      </c>
      <c r="B230" t="s">
        <v>342</v>
      </c>
      <c r="C230" t="s">
        <v>890</v>
      </c>
      <c r="D230">
        <v>1652.0629999999987</v>
      </c>
      <c r="E230">
        <v>1579.1709999999987</v>
      </c>
      <c r="F230">
        <v>49885.458000000006</v>
      </c>
      <c r="G230">
        <v>169143.11099999998</v>
      </c>
      <c r="H230">
        <v>3229.6700000000023</v>
      </c>
      <c r="I230">
        <v>39276.385000000017</v>
      </c>
      <c r="J230">
        <v>36981.005000000005</v>
      </c>
      <c r="K230">
        <v>40456.140000000014</v>
      </c>
      <c r="L230">
        <v>39276.385000000002</v>
      </c>
      <c r="M230">
        <v>34696.514999999999</v>
      </c>
      <c r="N230">
        <v>76891.439999999973</v>
      </c>
      <c r="O230">
        <v>34696.514999999999</v>
      </c>
      <c r="P230">
        <v>1656.5900000000006</v>
      </c>
      <c r="Q230">
        <v>1615.7399999999998</v>
      </c>
      <c r="R230">
        <v>49802.929999999993</v>
      </c>
      <c r="S230">
        <v>167006.68999999997</v>
      </c>
      <c r="T230">
        <v>3277.8300000000049</v>
      </c>
      <c r="U230">
        <v>3889.5999999999949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f>SUMPRODUCT(DB_SOFList[[#This Row],[Plan01]:[Plan12]],$D$14:$O$14)/valUnits2</f>
        <v>264.76585799999998</v>
      </c>
      <c r="AC230">
        <f>SUMPRODUCT(DB_SOFList[[#This Row],[Act01]:[Act12]],$P$14:$AA$14)/valUnits2</f>
        <v>227.24937999999997</v>
      </c>
      <c r="AD230">
        <f>DB_SOFList[[#This Row],[Actual]]-DB_SOFList[[#This Row],[Plan]]</f>
        <v>-37.516478000000006</v>
      </c>
      <c r="AE230">
        <f>IF(DB_SOFList[[#This Row],[Plan]]&lt;&gt;0,DB_SOFList[[#This Row],[Actual]]/DB_SOFList[[#This Row],[Plan]],1.000011000011)</f>
        <v>0.85830318801905336</v>
      </c>
      <c r="AF230" s="34">
        <f>SUM(DB_SOFList[[#This Row],[Plan01]:[Plan12]])/valUnits2</f>
        <v>527.76385800000003</v>
      </c>
      <c r="AG230" s="34">
        <f>SUMPRODUCT(DB_SOFList[[#This Row],[Act01]:[Act12]],$P$13:$AA$13)/valUnits2</f>
        <v>227.24937999999997</v>
      </c>
      <c r="AH230" s="34">
        <f>IF(DB_SOFList[[#This Row],[FYPlan]]&lt;&gt;0,DB_SOFList[[#This Row],[FYActuals]]/DB_SOFList[[#This Row],[FYPlan]],1.000011000011)</f>
        <v>0.43058912912524594</v>
      </c>
    </row>
    <row r="231" spans="1:34" hidden="1" x14ac:dyDescent="0.2">
      <c r="A231">
        <f>SUBTOTAL(3,$B$16:B231)</f>
        <v>59</v>
      </c>
      <c r="B231" t="s">
        <v>351</v>
      </c>
      <c r="C231" t="s">
        <v>890</v>
      </c>
      <c r="E231">
        <v>0</v>
      </c>
      <c r="F231">
        <v>0</v>
      </c>
      <c r="G231">
        <v>2763.7729999999997</v>
      </c>
      <c r="H231">
        <v>1628.095</v>
      </c>
      <c r="I231">
        <v>562.83600000000001</v>
      </c>
      <c r="J231">
        <v>562.83600000000001</v>
      </c>
      <c r="K231">
        <v>562.83600000000001</v>
      </c>
      <c r="L231">
        <v>562.83600000000001</v>
      </c>
      <c r="M231">
        <v>562.83600000000001</v>
      </c>
      <c r="N231">
        <v>562.83600000000001</v>
      </c>
      <c r="O231">
        <v>562.83600000000001</v>
      </c>
      <c r="Q231">
        <v>0</v>
      </c>
      <c r="R231">
        <v>0</v>
      </c>
      <c r="S231">
        <v>2784.2000000000007</v>
      </c>
      <c r="T231">
        <v>1639.22</v>
      </c>
      <c r="U231">
        <v>3333.85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f>SUMPRODUCT(DB_SOFList[[#This Row],[Plan01]:[Plan12]],$D$14:$O$14)/valUnits2</f>
        <v>4.9547039999999996</v>
      </c>
      <c r="AC231">
        <f>SUMPRODUCT(DB_SOFList[[#This Row],[Act01]:[Act12]],$P$14:$AA$14)/valUnits2</f>
        <v>7.7572700000000001</v>
      </c>
      <c r="AD231">
        <f>DB_SOFList[[#This Row],[Actual]]-DB_SOFList[[#This Row],[Plan]]</f>
        <v>2.8025660000000006</v>
      </c>
      <c r="AE231">
        <f>IF(DB_SOFList[[#This Row],[Plan]]&lt;&gt;0,DB_SOFList[[#This Row],[Actual]]/DB_SOFList[[#This Row],[Plan]],1.000011000011)</f>
        <v>1.5656374225382588</v>
      </c>
      <c r="AF231" s="34">
        <f>SUM(DB_SOFList[[#This Row],[Plan01]:[Plan12]])/valUnits2</f>
        <v>8.3317200000000007</v>
      </c>
      <c r="AG231" s="34">
        <f>SUMPRODUCT(DB_SOFList[[#This Row],[Act01]:[Act12]],$P$13:$AA$13)/valUnits2</f>
        <v>7.7572700000000001</v>
      </c>
      <c r="AH231" s="34">
        <f>IF(DB_SOFList[[#This Row],[FYPlan]]&lt;&gt;0,DB_SOFList[[#This Row],[FYActuals]]/DB_SOFList[[#This Row],[FYPlan]],1.000011000011)</f>
        <v>0.93105265179338714</v>
      </c>
    </row>
    <row r="232" spans="1:34" hidden="1" x14ac:dyDescent="0.2">
      <c r="A232">
        <f>SUBTOTAL(3,$B$16:B232)</f>
        <v>59</v>
      </c>
      <c r="B232" t="s">
        <v>350</v>
      </c>
      <c r="C232" t="s">
        <v>890</v>
      </c>
      <c r="E232">
        <v>0</v>
      </c>
      <c r="F232">
        <v>0</v>
      </c>
      <c r="G232">
        <v>0</v>
      </c>
      <c r="H232">
        <v>0</v>
      </c>
      <c r="I232">
        <v>534.71100000000001</v>
      </c>
      <c r="J232">
        <v>534.71100000000001</v>
      </c>
      <c r="K232">
        <v>534.71100000000001</v>
      </c>
      <c r="L232">
        <v>534.71100000000001</v>
      </c>
      <c r="M232">
        <v>534.71100000000001</v>
      </c>
      <c r="N232">
        <v>534.71100000000001</v>
      </c>
      <c r="O232">
        <v>534.71100000000001</v>
      </c>
      <c r="Q232">
        <v>0</v>
      </c>
      <c r="R232">
        <v>0</v>
      </c>
      <c r="S232">
        <v>0</v>
      </c>
      <c r="T232">
        <v>0</v>
      </c>
      <c r="U232">
        <v>1.27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f>SUMPRODUCT(DB_SOFList[[#This Row],[Plan01]:[Plan12]],$D$14:$O$14)/valUnits2</f>
        <v>0.53471100000000005</v>
      </c>
      <c r="AC232">
        <f>SUMPRODUCT(DB_SOFList[[#This Row],[Act01]:[Act12]],$P$14:$AA$14)/valUnits2</f>
        <v>1.2700000000000001E-3</v>
      </c>
      <c r="AD232">
        <f>DB_SOFList[[#This Row],[Actual]]-DB_SOFList[[#This Row],[Plan]]</f>
        <v>-0.53344100000000005</v>
      </c>
      <c r="AE232">
        <f>IF(DB_SOFList[[#This Row],[Plan]]&lt;&gt;0,DB_SOFList[[#This Row],[Actual]]/DB_SOFList[[#This Row],[Plan]],1.000011000011)</f>
        <v>2.3751147816297026E-3</v>
      </c>
      <c r="AF232" s="34">
        <f>SUM(DB_SOFList[[#This Row],[Plan01]:[Plan12]])/valUnits2</f>
        <v>3.7429770000000007</v>
      </c>
      <c r="AG232" s="34">
        <f>SUMPRODUCT(DB_SOFList[[#This Row],[Act01]:[Act12]],$P$13:$AA$13)/valUnits2</f>
        <v>1.2700000000000001E-3</v>
      </c>
      <c r="AH232" s="34">
        <f>IF(DB_SOFList[[#This Row],[FYPlan]]&lt;&gt;0,DB_SOFList[[#This Row],[FYActuals]]/DB_SOFList[[#This Row],[FYPlan]],1.000011000011)</f>
        <v>3.3930211166138607E-4</v>
      </c>
    </row>
    <row r="233" spans="1:34" x14ac:dyDescent="0.2">
      <c r="A233">
        <f>SUBTOTAL(3,$B$16:B233)</f>
        <v>60</v>
      </c>
      <c r="B233" t="s">
        <v>1</v>
      </c>
      <c r="C233" t="s">
        <v>891</v>
      </c>
      <c r="D233">
        <v>1201.345</v>
      </c>
      <c r="E233">
        <v>4012.3789999999999</v>
      </c>
      <c r="F233">
        <v>4404.1809999999996</v>
      </c>
      <c r="G233">
        <v>11769.310000000001</v>
      </c>
      <c r="H233">
        <v>15124.574000000001</v>
      </c>
      <c r="I233">
        <v>19936.089999999997</v>
      </c>
      <c r="J233">
        <v>18473.089999999997</v>
      </c>
      <c r="K233">
        <v>15301.241999999997</v>
      </c>
      <c r="L233">
        <v>15759.705</v>
      </c>
      <c r="M233">
        <v>15102.334999999997</v>
      </c>
      <c r="N233">
        <v>16145.778999999997</v>
      </c>
      <c r="O233">
        <v>16406.639999999996</v>
      </c>
      <c r="P233">
        <v>1182.8899999999999</v>
      </c>
      <c r="Q233">
        <v>4100.2800000000007</v>
      </c>
      <c r="R233">
        <v>4457.7599999999993</v>
      </c>
      <c r="S233">
        <v>11729.07</v>
      </c>
      <c r="T233">
        <v>15159.69</v>
      </c>
      <c r="U233">
        <v>15809.01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f>SUMPRODUCT(DB_SOFList[[#This Row],[Plan01]:[Plan12]],$D$14:$O$14)/valUnits2</f>
        <v>56.447879</v>
      </c>
      <c r="AC233">
        <f>SUMPRODUCT(DB_SOFList[[#This Row],[Act01]:[Act12]],$P$14:$AA$14)/valUnits2</f>
        <v>52.438700000000004</v>
      </c>
      <c r="AD233">
        <f>DB_SOFList[[#This Row],[Actual]]-DB_SOFList[[#This Row],[Plan]]</f>
        <v>-4.0091789999999961</v>
      </c>
      <c r="AE233">
        <f>IF(DB_SOFList[[#This Row],[Plan]]&lt;&gt;0,DB_SOFList[[#This Row],[Actual]]/DB_SOFList[[#This Row],[Plan]],1.000011000011)</f>
        <v>0.92897555991430614</v>
      </c>
      <c r="AF233" s="34">
        <f>SUM(DB_SOFList[[#This Row],[Plan01]:[Plan12]])/valUnits2</f>
        <v>153.63666999999998</v>
      </c>
      <c r="AG233" s="34">
        <f>SUMPRODUCT(DB_SOFList[[#This Row],[Act01]:[Act12]],$P$13:$AA$13)/valUnits2</f>
        <v>52.438700000000004</v>
      </c>
      <c r="AH233" s="34">
        <f>IF(DB_SOFList[[#This Row],[FYPlan]]&lt;&gt;0,DB_SOFList[[#This Row],[FYActuals]]/DB_SOFList[[#This Row],[FYPlan]],1.000011000011)</f>
        <v>0.34131630163554061</v>
      </c>
    </row>
    <row r="234" spans="1:34" hidden="1" x14ac:dyDescent="0.2">
      <c r="A234">
        <f>SUBTOTAL(3,$B$16:B234)</f>
        <v>60</v>
      </c>
      <c r="B234" t="s">
        <v>351</v>
      </c>
      <c r="C234" t="s">
        <v>891</v>
      </c>
      <c r="E234">
        <v>146.07000000000002</v>
      </c>
      <c r="G234">
        <v>6585.1679999999997</v>
      </c>
      <c r="H234">
        <v>9445.5240000000013</v>
      </c>
      <c r="I234">
        <v>2376.2260000000001</v>
      </c>
      <c r="J234">
        <v>2376.2260000000001</v>
      </c>
      <c r="K234">
        <v>2376.2260000000001</v>
      </c>
      <c r="L234">
        <v>2376.2260000000001</v>
      </c>
      <c r="M234">
        <v>2376.2260000000001</v>
      </c>
      <c r="N234">
        <v>2376.2260000000001</v>
      </c>
      <c r="O234">
        <v>2376.2260000000001</v>
      </c>
      <c r="Q234">
        <v>149.93</v>
      </c>
      <c r="S234">
        <v>6579.4900000000007</v>
      </c>
      <c r="T234">
        <v>9481.1200000000008</v>
      </c>
      <c r="U234">
        <v>7974.62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f>SUMPRODUCT(DB_SOFList[[#This Row],[Plan01]:[Plan12]],$D$14:$O$14)/valUnits2</f>
        <v>18.552988000000003</v>
      </c>
      <c r="AC234">
        <f>SUMPRODUCT(DB_SOFList[[#This Row],[Act01]:[Act12]],$P$14:$AA$14)/valUnits2</f>
        <v>24.18516</v>
      </c>
      <c r="AD234">
        <f>DB_SOFList[[#This Row],[Actual]]-DB_SOFList[[#This Row],[Plan]]</f>
        <v>5.6321719999999971</v>
      </c>
      <c r="AE234">
        <f>IF(DB_SOFList[[#This Row],[Plan]]&lt;&gt;0,DB_SOFList[[#This Row],[Actual]]/DB_SOFList[[#This Row],[Plan]],1.000011000011)</f>
        <v>1.3035722332165578</v>
      </c>
      <c r="AF234" s="34">
        <f>SUM(DB_SOFList[[#This Row],[Plan01]:[Plan12]])/valUnits2</f>
        <v>32.810344000000001</v>
      </c>
      <c r="AG234" s="34">
        <f>SUMPRODUCT(DB_SOFList[[#This Row],[Act01]:[Act12]],$P$13:$AA$13)/valUnits2</f>
        <v>24.18516</v>
      </c>
      <c r="AH234" s="34">
        <f>IF(DB_SOFList[[#This Row],[FYPlan]]&lt;&gt;0,DB_SOFList[[#This Row],[FYActuals]]/DB_SOFList[[#This Row],[FYPlan]],1.000011000011)</f>
        <v>0.73711997655373562</v>
      </c>
    </row>
    <row r="235" spans="1:34" hidden="1" x14ac:dyDescent="0.2">
      <c r="A235">
        <f>SUBTOTAL(3,$B$16:B235)</f>
        <v>60</v>
      </c>
      <c r="B235" t="s">
        <v>344</v>
      </c>
      <c r="C235" t="s">
        <v>891</v>
      </c>
      <c r="D235">
        <v>1201.345</v>
      </c>
      <c r="E235">
        <v>3866.3089999999997</v>
      </c>
      <c r="F235">
        <v>4404.1809999999996</v>
      </c>
      <c r="G235">
        <v>5184.1420000000007</v>
      </c>
      <c r="H235">
        <v>5679.0499999999993</v>
      </c>
      <c r="I235">
        <v>17559.863999999998</v>
      </c>
      <c r="J235">
        <v>16096.863999999998</v>
      </c>
      <c r="K235">
        <v>12925.015999999996</v>
      </c>
      <c r="L235">
        <v>13383.478999999999</v>
      </c>
      <c r="M235">
        <v>12726.108999999997</v>
      </c>
      <c r="N235">
        <v>13769.552999999996</v>
      </c>
      <c r="O235">
        <v>14030.413999999997</v>
      </c>
      <c r="P235">
        <v>1182.8899999999999</v>
      </c>
      <c r="Q235">
        <v>3950.3500000000004</v>
      </c>
      <c r="R235">
        <v>4457.7599999999993</v>
      </c>
      <c r="S235">
        <v>5149.58</v>
      </c>
      <c r="T235">
        <v>5678.57</v>
      </c>
      <c r="U235">
        <v>7472.9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f>SUMPRODUCT(DB_SOFList[[#This Row],[Plan01]:[Plan12]],$D$14:$O$14)/valUnits2</f>
        <v>37.894890999999994</v>
      </c>
      <c r="AC235">
        <f>SUMPRODUCT(DB_SOFList[[#This Row],[Act01]:[Act12]],$P$14:$AA$14)/valUnits2</f>
        <v>27.892050000000005</v>
      </c>
      <c r="AD235">
        <f>DB_SOFList[[#This Row],[Actual]]-DB_SOFList[[#This Row],[Plan]]</f>
        <v>-10.002840999999989</v>
      </c>
      <c r="AE235">
        <f>IF(DB_SOFList[[#This Row],[Plan]]&lt;&gt;0,DB_SOFList[[#This Row],[Actual]]/DB_SOFList[[#This Row],[Plan]],1.000011000011)</f>
        <v>0.73603721409305567</v>
      </c>
      <c r="AF235" s="34">
        <f>SUM(DB_SOFList[[#This Row],[Plan01]:[Plan12]])/valUnits2</f>
        <v>120.82632599999997</v>
      </c>
      <c r="AG235" s="34">
        <f>SUMPRODUCT(DB_SOFList[[#This Row],[Act01]:[Act12]],$P$13:$AA$13)/valUnits2</f>
        <v>27.892050000000005</v>
      </c>
      <c r="AH235" s="34">
        <f>IF(DB_SOFList[[#This Row],[FYPlan]]&lt;&gt;0,DB_SOFList[[#This Row],[FYActuals]]/DB_SOFList[[#This Row],[FYPlan]],1.000011000011)</f>
        <v>0.23084414567070435</v>
      </c>
    </row>
    <row r="236" spans="1:34" hidden="1" x14ac:dyDescent="0.2">
      <c r="A236">
        <f>SUBTOTAL(3,$B$16:B236)</f>
        <v>60</v>
      </c>
      <c r="B236" t="s">
        <v>350</v>
      </c>
      <c r="C236" t="s">
        <v>891</v>
      </c>
      <c r="I236">
        <v>0</v>
      </c>
      <c r="U236">
        <v>361.49</v>
      </c>
      <c r="AB236">
        <f>SUMPRODUCT(DB_SOFList[[#This Row],[Plan01]:[Plan12]],$D$14:$O$14)/valUnits2</f>
        <v>0</v>
      </c>
      <c r="AC236">
        <f>SUMPRODUCT(DB_SOFList[[#This Row],[Act01]:[Act12]],$P$14:$AA$14)/valUnits2</f>
        <v>0.36149000000000003</v>
      </c>
      <c r="AD236">
        <f>DB_SOFList[[#This Row],[Actual]]-DB_SOFList[[#This Row],[Plan]]</f>
        <v>0.36149000000000003</v>
      </c>
      <c r="AE236">
        <f>IF(DB_SOFList[[#This Row],[Plan]]&lt;&gt;0,DB_SOFList[[#This Row],[Actual]]/DB_SOFList[[#This Row],[Plan]],1.000011000011)</f>
        <v>1.0000110000110001</v>
      </c>
      <c r="AF236" s="34">
        <f>SUM(DB_SOFList[[#This Row],[Plan01]:[Plan12]])/valUnits2</f>
        <v>0</v>
      </c>
      <c r="AG236" s="34">
        <f>SUMPRODUCT(DB_SOFList[[#This Row],[Act01]:[Act12]],$P$13:$AA$13)/valUnits2</f>
        <v>0.36149000000000003</v>
      </c>
      <c r="AH236" s="34">
        <f>IF(DB_SOFList[[#This Row],[FYPlan]]&lt;&gt;0,DB_SOFList[[#This Row],[FYActuals]]/DB_SOFList[[#This Row],[FYPlan]],1.000011000011)</f>
        <v>1.0000110000110001</v>
      </c>
    </row>
    <row r="237" spans="1:34" x14ac:dyDescent="0.2">
      <c r="A237">
        <f>SUBTOTAL(3,$B$16:B237)</f>
        <v>61</v>
      </c>
      <c r="B237" t="s">
        <v>1</v>
      </c>
      <c r="C237" t="s">
        <v>368</v>
      </c>
      <c r="D237">
        <v>77114.490000000005</v>
      </c>
      <c r="E237">
        <v>9915.7400000000016</v>
      </c>
      <c r="F237">
        <v>56368.61</v>
      </c>
      <c r="G237">
        <v>123240.2</v>
      </c>
      <c r="H237">
        <v>521323.87799999997</v>
      </c>
      <c r="I237">
        <v>472017.728</v>
      </c>
      <c r="J237">
        <v>473285.728</v>
      </c>
      <c r="K237">
        <v>474317.728</v>
      </c>
      <c r="L237">
        <v>474317.728</v>
      </c>
      <c r="M237">
        <v>364174.90700000001</v>
      </c>
      <c r="N237">
        <v>420784.728</v>
      </c>
      <c r="P237">
        <v>77114.489999999991</v>
      </c>
      <c r="Q237">
        <v>9915.7400000000016</v>
      </c>
      <c r="R237">
        <v>56368.609999999986</v>
      </c>
      <c r="S237">
        <v>123240.2</v>
      </c>
      <c r="T237">
        <v>48326.490000000005</v>
      </c>
      <c r="U237">
        <v>72898.590000000011</v>
      </c>
      <c r="V237">
        <v>1993.2</v>
      </c>
      <c r="W237">
        <v>0</v>
      </c>
      <c r="X237">
        <v>0</v>
      </c>
      <c r="Y237">
        <v>0</v>
      </c>
      <c r="Z237">
        <v>0</v>
      </c>
      <c r="AB237">
        <f>SUMPRODUCT(DB_SOFList[[#This Row],[Plan01]:[Plan12]],$D$14:$O$14)/valUnits2</f>
        <v>1259.9806460000002</v>
      </c>
      <c r="AC237">
        <f>SUMPRODUCT(DB_SOFList[[#This Row],[Act01]:[Act12]],$P$14:$AA$14)/valUnits2</f>
        <v>387.86412000000001</v>
      </c>
      <c r="AD237">
        <f>DB_SOFList[[#This Row],[Actual]]-DB_SOFList[[#This Row],[Plan]]</f>
        <v>-872.11652600000025</v>
      </c>
      <c r="AE237">
        <f>IF(DB_SOFList[[#This Row],[Plan]]&lt;&gt;0,DB_SOFList[[#This Row],[Actual]]/DB_SOFList[[#This Row],[Plan]],1.000011000011)</f>
        <v>0.30783339508534002</v>
      </c>
      <c r="AF237" s="34">
        <f>SUM(DB_SOFList[[#This Row],[Plan01]:[Plan12]])/valUnits2</f>
        <v>3466.8614650000009</v>
      </c>
      <c r="AG237" s="34">
        <f>SUMPRODUCT(DB_SOFList[[#This Row],[Act01]:[Act12]],$P$13:$AA$13)/valUnits2</f>
        <v>387.86412000000001</v>
      </c>
      <c r="AH237" s="34">
        <f>IF(DB_SOFList[[#This Row],[FYPlan]]&lt;&gt;0,DB_SOFList[[#This Row],[FYActuals]]/DB_SOFList[[#This Row],[FYPlan]],1.000011000011)</f>
        <v>0.11187759416282297</v>
      </c>
    </row>
    <row r="238" spans="1:34" hidden="1" x14ac:dyDescent="0.2">
      <c r="A238">
        <f>SUBTOTAL(3,$B$16:B238)</f>
        <v>61</v>
      </c>
      <c r="B238" t="s">
        <v>351</v>
      </c>
      <c r="C238" t="s">
        <v>368</v>
      </c>
      <c r="D238">
        <v>158.51000000000002</v>
      </c>
      <c r="E238">
        <v>0</v>
      </c>
      <c r="F238">
        <v>0</v>
      </c>
      <c r="G238">
        <v>10338.17</v>
      </c>
      <c r="H238">
        <v>59017.430000000008</v>
      </c>
      <c r="I238">
        <v>36096.840000000004</v>
      </c>
      <c r="J238">
        <v>36096.840000000004</v>
      </c>
      <c r="K238">
        <v>36096.840000000004</v>
      </c>
      <c r="L238">
        <v>36096.840000000004</v>
      </c>
      <c r="M238">
        <v>36096.840000000004</v>
      </c>
      <c r="N238">
        <v>36096.840000000004</v>
      </c>
      <c r="P238">
        <v>158.51000000000002</v>
      </c>
      <c r="Q238">
        <v>0</v>
      </c>
      <c r="R238">
        <v>0</v>
      </c>
      <c r="S238">
        <v>10338.169999999998</v>
      </c>
      <c r="T238">
        <v>22940.930000000004</v>
      </c>
      <c r="U238">
        <v>15234.079999999996</v>
      </c>
      <c r="V238">
        <v>0</v>
      </c>
      <c r="W238">
        <v>0</v>
      </c>
      <c r="X238">
        <v>0</v>
      </c>
      <c r="Y238">
        <v>0</v>
      </c>
      <c r="Z238">
        <v>0</v>
      </c>
      <c r="AB238">
        <f>SUMPRODUCT(DB_SOFList[[#This Row],[Plan01]:[Plan12]],$D$14:$O$14)/valUnits2</f>
        <v>105.61095000000002</v>
      </c>
      <c r="AC238">
        <f>SUMPRODUCT(DB_SOFList[[#This Row],[Act01]:[Act12]],$P$14:$AA$14)/valUnits2</f>
        <v>48.671689999999998</v>
      </c>
      <c r="AD238">
        <f>DB_SOFList[[#This Row],[Actual]]-DB_SOFList[[#This Row],[Plan]]</f>
        <v>-56.939260000000019</v>
      </c>
      <c r="AE238">
        <f>IF(DB_SOFList[[#This Row],[Plan]]&lt;&gt;0,DB_SOFList[[#This Row],[Actual]]/DB_SOFList[[#This Row],[Plan]],1.000011000011)</f>
        <v>0.4608583674325436</v>
      </c>
      <c r="AF238" s="34">
        <f>SUM(DB_SOFList[[#This Row],[Plan01]:[Plan12]])/valUnits2</f>
        <v>286.09515000000005</v>
      </c>
      <c r="AG238" s="34">
        <f>SUMPRODUCT(DB_SOFList[[#This Row],[Act01]:[Act12]],$P$13:$AA$13)/valUnits2</f>
        <v>48.671689999999998</v>
      </c>
      <c r="AH238" s="34">
        <f>IF(DB_SOFList[[#This Row],[FYPlan]]&lt;&gt;0,DB_SOFList[[#This Row],[FYActuals]]/DB_SOFList[[#This Row],[FYPlan]],1.000011000011)</f>
        <v>0.17012413527457557</v>
      </c>
    </row>
    <row r="239" spans="1:34" hidden="1" x14ac:dyDescent="0.2">
      <c r="A239">
        <f>SUBTOTAL(3,$B$16:B239)</f>
        <v>61</v>
      </c>
      <c r="B239" t="s">
        <v>343</v>
      </c>
      <c r="C239" t="s">
        <v>368</v>
      </c>
      <c r="D239">
        <v>76955.98000000001</v>
      </c>
      <c r="E239">
        <v>9915.7400000000016</v>
      </c>
      <c r="F239">
        <v>56368.61</v>
      </c>
      <c r="G239">
        <v>112902.03</v>
      </c>
      <c r="H239">
        <v>462306.44799999997</v>
      </c>
      <c r="I239">
        <v>435920.88799999998</v>
      </c>
      <c r="J239">
        <v>437188.88799999998</v>
      </c>
      <c r="K239">
        <v>438220.88799999998</v>
      </c>
      <c r="L239">
        <v>438220.88799999998</v>
      </c>
      <c r="M239">
        <v>328078.06699999998</v>
      </c>
      <c r="N239">
        <v>384687.88799999998</v>
      </c>
      <c r="P239">
        <v>76955.98</v>
      </c>
      <c r="Q239">
        <v>9915.7400000000016</v>
      </c>
      <c r="R239">
        <v>56368.609999999986</v>
      </c>
      <c r="S239">
        <v>112902.03</v>
      </c>
      <c r="T239">
        <v>25385.560000000005</v>
      </c>
      <c r="U239">
        <v>57654.140000000014</v>
      </c>
      <c r="V239">
        <v>1993.2</v>
      </c>
      <c r="W239">
        <v>0</v>
      </c>
      <c r="X239">
        <v>0</v>
      </c>
      <c r="Y239">
        <v>0</v>
      </c>
      <c r="Z239">
        <v>0</v>
      </c>
      <c r="AB239">
        <f>SUMPRODUCT(DB_SOFList[[#This Row],[Plan01]:[Plan12]],$D$14:$O$14)/valUnits2</f>
        <v>1154.369696</v>
      </c>
      <c r="AC239">
        <f>SUMPRODUCT(DB_SOFList[[#This Row],[Act01]:[Act12]],$P$14:$AA$14)/valUnits2</f>
        <v>339.18205999999998</v>
      </c>
      <c r="AD239">
        <f>DB_SOFList[[#This Row],[Actual]]-DB_SOFList[[#This Row],[Plan]]</f>
        <v>-815.187636</v>
      </c>
      <c r="AE239">
        <f>IF(DB_SOFList[[#This Row],[Plan]]&lt;&gt;0,DB_SOFList[[#This Row],[Actual]]/DB_SOFList[[#This Row],[Plan]],1.000011000011)</f>
        <v>0.293824466438523</v>
      </c>
      <c r="AF239" s="34">
        <f>SUM(DB_SOFList[[#This Row],[Plan01]:[Plan12]])/valUnits2</f>
        <v>3180.7663149999994</v>
      </c>
      <c r="AG239" s="34">
        <f>SUMPRODUCT(DB_SOFList[[#This Row],[Act01]:[Act12]],$P$13:$AA$13)/valUnits2</f>
        <v>339.18205999999998</v>
      </c>
      <c r="AH239" s="34">
        <f>IF(DB_SOFList[[#This Row],[FYPlan]]&lt;&gt;0,DB_SOFList[[#This Row],[FYActuals]]/DB_SOFList[[#This Row],[FYPlan]],1.000011000011)</f>
        <v>0.10663532822278396</v>
      </c>
    </row>
    <row r="240" spans="1:34" hidden="1" x14ac:dyDescent="0.2">
      <c r="A240">
        <f>SUBTOTAL(3,$B$16:B240)</f>
        <v>61</v>
      </c>
      <c r="B240" t="s">
        <v>350</v>
      </c>
      <c r="C240" t="s">
        <v>368</v>
      </c>
      <c r="I240">
        <v>0</v>
      </c>
      <c r="U240">
        <v>10.37</v>
      </c>
      <c r="AB240">
        <f>SUMPRODUCT(DB_SOFList[[#This Row],[Plan01]:[Plan12]],$D$14:$O$14)/valUnits2</f>
        <v>0</v>
      </c>
      <c r="AC240">
        <f>SUMPRODUCT(DB_SOFList[[#This Row],[Act01]:[Act12]],$P$14:$AA$14)/valUnits2</f>
        <v>1.0369999999999999E-2</v>
      </c>
      <c r="AD240">
        <f>DB_SOFList[[#This Row],[Actual]]-DB_SOFList[[#This Row],[Plan]]</f>
        <v>1.0369999999999999E-2</v>
      </c>
      <c r="AE240">
        <f>IF(DB_SOFList[[#This Row],[Plan]]&lt;&gt;0,DB_SOFList[[#This Row],[Actual]]/DB_SOFList[[#This Row],[Plan]],1.000011000011)</f>
        <v>1.0000110000110001</v>
      </c>
      <c r="AF240" s="34">
        <f>SUM(DB_SOFList[[#This Row],[Plan01]:[Plan12]])/valUnits2</f>
        <v>0</v>
      </c>
      <c r="AG240" s="34">
        <f>SUMPRODUCT(DB_SOFList[[#This Row],[Act01]:[Act12]],$P$13:$AA$13)/valUnits2</f>
        <v>1.0369999999999999E-2</v>
      </c>
      <c r="AH240" s="34">
        <f>IF(DB_SOFList[[#This Row],[FYPlan]]&lt;&gt;0,DB_SOFList[[#This Row],[FYActuals]]/DB_SOFList[[#This Row],[FYPlan]],1.000011000011)</f>
        <v>1.0000110000110001</v>
      </c>
    </row>
    <row r="241" spans="1:34" x14ac:dyDescent="0.2">
      <c r="A241">
        <f>SUBTOTAL(3,$B$16:B241)</f>
        <v>62</v>
      </c>
      <c r="B241" t="s">
        <v>1</v>
      </c>
      <c r="C241" t="s">
        <v>892</v>
      </c>
      <c r="D241">
        <v>6142.367000000002</v>
      </c>
      <c r="E241">
        <v>6122.6849999999986</v>
      </c>
      <c r="F241">
        <v>20251.996999999999</v>
      </c>
      <c r="G241">
        <v>9549.9830000000002</v>
      </c>
      <c r="H241">
        <v>16732.617000000002</v>
      </c>
      <c r="I241">
        <v>8954.1540000000005</v>
      </c>
      <c r="J241">
        <v>10578.099</v>
      </c>
      <c r="K241">
        <v>9320.7929999999997</v>
      </c>
      <c r="L241">
        <v>13712.962000000001</v>
      </c>
      <c r="M241">
        <v>6935.2240000000002</v>
      </c>
      <c r="N241">
        <v>6991.8310000000001</v>
      </c>
      <c r="O241">
        <v>6935.2240000000002</v>
      </c>
      <c r="P241">
        <v>791.93000000000018</v>
      </c>
      <c r="Q241">
        <v>999.92000000000053</v>
      </c>
      <c r="R241">
        <v>10529.54</v>
      </c>
      <c r="S241">
        <v>2419.58</v>
      </c>
      <c r="T241">
        <v>3248.8300000000004</v>
      </c>
      <c r="U241">
        <v>29834.2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f>SUMPRODUCT(DB_SOFList[[#This Row],[Plan01]:[Plan12]],$D$14:$O$14)/valUnits2</f>
        <v>67.753803000000005</v>
      </c>
      <c r="AC241">
        <f>SUMPRODUCT(DB_SOFList[[#This Row],[Act01]:[Act12]],$P$14:$AA$14)/valUnits2</f>
        <v>47.823999999999998</v>
      </c>
      <c r="AD241">
        <f>DB_SOFList[[#This Row],[Actual]]-DB_SOFList[[#This Row],[Plan]]</f>
        <v>-19.929803000000007</v>
      </c>
      <c r="AE241">
        <f>IF(DB_SOFList[[#This Row],[Plan]]&lt;&gt;0,DB_SOFList[[#This Row],[Actual]]/DB_SOFList[[#This Row],[Plan]],1.000011000011)</f>
        <v>0.70584967754503747</v>
      </c>
      <c r="AF241" s="34">
        <f>SUM(DB_SOFList[[#This Row],[Plan01]:[Plan12]])/valUnits2</f>
        <v>122.22793600000001</v>
      </c>
      <c r="AG241" s="34">
        <f>SUMPRODUCT(DB_SOFList[[#This Row],[Act01]:[Act12]],$P$13:$AA$13)/valUnits2</f>
        <v>47.823999999999998</v>
      </c>
      <c r="AH241" s="34">
        <f>IF(DB_SOFList[[#This Row],[FYPlan]]&lt;&gt;0,DB_SOFList[[#This Row],[FYActuals]]/DB_SOFList[[#This Row],[FYPlan]],1.000011000011)</f>
        <v>0.39126898125809795</v>
      </c>
    </row>
    <row r="242" spans="1:34" hidden="1" x14ac:dyDescent="0.2">
      <c r="A242">
        <f>SUBTOTAL(3,$B$16:B242)</f>
        <v>62</v>
      </c>
      <c r="B242" t="s">
        <v>342</v>
      </c>
      <c r="C242" t="s">
        <v>892</v>
      </c>
      <c r="D242">
        <v>5376.0830000000014</v>
      </c>
      <c r="E242">
        <v>4652.4819999999991</v>
      </c>
      <c r="F242">
        <v>18096.314999999999</v>
      </c>
      <c r="G242">
        <v>6621.1709999999994</v>
      </c>
      <c r="H242">
        <v>13775.653</v>
      </c>
      <c r="I242">
        <v>8212.83</v>
      </c>
      <c r="J242">
        <v>9836.7749999999996</v>
      </c>
      <c r="K242">
        <v>8579.4689999999991</v>
      </c>
      <c r="L242">
        <v>12971.638000000001</v>
      </c>
      <c r="M242">
        <v>6193.9000000000005</v>
      </c>
      <c r="N242">
        <v>6250.5070000000005</v>
      </c>
      <c r="O242">
        <v>6193.9000000000005</v>
      </c>
      <c r="P242">
        <v>791.93000000000018</v>
      </c>
      <c r="Q242">
        <v>234.95000000000067</v>
      </c>
      <c r="R242">
        <v>9104.01</v>
      </c>
      <c r="S242">
        <v>235.13999999999973</v>
      </c>
      <c r="T242">
        <v>1051.0000000000005</v>
      </c>
      <c r="U242">
        <v>29124.48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f>SUMPRODUCT(DB_SOFList[[#This Row],[Plan01]:[Plan12]],$D$14:$O$14)/valUnits2</f>
        <v>56.734533999999996</v>
      </c>
      <c r="AC242">
        <f>SUMPRODUCT(DB_SOFList[[#This Row],[Act01]:[Act12]],$P$14:$AA$14)/valUnits2</f>
        <v>40.541510000000002</v>
      </c>
      <c r="AD242">
        <f>DB_SOFList[[#This Row],[Actual]]-DB_SOFList[[#This Row],[Plan]]</f>
        <v>-16.193023999999994</v>
      </c>
      <c r="AE242">
        <f>IF(DB_SOFList[[#This Row],[Plan]]&lt;&gt;0,DB_SOFList[[#This Row],[Actual]]/DB_SOFList[[#This Row],[Plan]],1.000011000011)</f>
        <v>0.71458258562589061</v>
      </c>
      <c r="AF242" s="34">
        <f>SUM(DB_SOFList[[#This Row],[Plan01]:[Plan12]])/valUnits2</f>
        <v>106.76072299999998</v>
      </c>
      <c r="AG242" s="34">
        <f>SUMPRODUCT(DB_SOFList[[#This Row],[Act01]:[Act12]],$P$13:$AA$13)/valUnits2</f>
        <v>40.541510000000002</v>
      </c>
      <c r="AH242" s="34">
        <f>IF(DB_SOFList[[#This Row],[FYPlan]]&lt;&gt;0,DB_SOFList[[#This Row],[FYActuals]]/DB_SOFList[[#This Row],[FYPlan]],1.000011000011)</f>
        <v>0.37974180823035458</v>
      </c>
    </row>
    <row r="243" spans="1:34" hidden="1" x14ac:dyDescent="0.2">
      <c r="A243">
        <f>SUBTOTAL(3,$B$16:B243)</f>
        <v>62</v>
      </c>
      <c r="B243" t="s">
        <v>351</v>
      </c>
      <c r="C243" t="s">
        <v>892</v>
      </c>
      <c r="D243">
        <v>766.28400000000011</v>
      </c>
      <c r="E243">
        <v>1470.2029999999997</v>
      </c>
      <c r="F243">
        <v>2155.6819999999998</v>
      </c>
      <c r="G243">
        <v>2928.8120000000008</v>
      </c>
      <c r="H243">
        <v>2956.9640000000004</v>
      </c>
      <c r="I243">
        <v>741.32400000000007</v>
      </c>
      <c r="J243">
        <v>741.32400000000007</v>
      </c>
      <c r="K243">
        <v>741.32400000000007</v>
      </c>
      <c r="L243">
        <v>741.32400000000007</v>
      </c>
      <c r="M243">
        <v>741.32400000000007</v>
      </c>
      <c r="N243">
        <v>741.32400000000007</v>
      </c>
      <c r="O243">
        <v>741.32400000000007</v>
      </c>
      <c r="P243">
        <v>0</v>
      </c>
      <c r="Q243">
        <v>764.9699999999998</v>
      </c>
      <c r="R243">
        <v>1425.53</v>
      </c>
      <c r="S243">
        <v>2184.44</v>
      </c>
      <c r="T243">
        <v>2197.83</v>
      </c>
      <c r="U243">
        <v>709.41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f>SUMPRODUCT(DB_SOFList[[#This Row],[Plan01]:[Plan12]],$D$14:$O$14)/valUnits2</f>
        <v>11.019269000000001</v>
      </c>
      <c r="AC243">
        <f>SUMPRODUCT(DB_SOFList[[#This Row],[Act01]:[Act12]],$P$14:$AA$14)/valUnits2</f>
        <v>7.2821800000000003</v>
      </c>
      <c r="AD243">
        <f>DB_SOFList[[#This Row],[Actual]]-DB_SOFList[[#This Row],[Plan]]</f>
        <v>-3.737089000000001</v>
      </c>
      <c r="AE243">
        <f>IF(DB_SOFList[[#This Row],[Plan]]&lt;&gt;0,DB_SOFList[[#This Row],[Actual]]/DB_SOFList[[#This Row],[Plan]],1.000011000011)</f>
        <v>0.66085871939418117</v>
      </c>
      <c r="AF243" s="34">
        <f>SUM(DB_SOFList[[#This Row],[Plan01]:[Plan12]])/valUnits2</f>
        <v>15.467213000000005</v>
      </c>
      <c r="AG243" s="34">
        <f>SUMPRODUCT(DB_SOFList[[#This Row],[Act01]:[Act12]],$P$13:$AA$13)/valUnits2</f>
        <v>7.2821800000000003</v>
      </c>
      <c r="AH243" s="34">
        <f>IF(DB_SOFList[[#This Row],[FYPlan]]&lt;&gt;0,DB_SOFList[[#This Row],[FYActuals]]/DB_SOFList[[#This Row],[FYPlan]],1.000011000011)</f>
        <v>0.47081397275643633</v>
      </c>
    </row>
    <row r="244" spans="1:34" hidden="1" x14ac:dyDescent="0.2">
      <c r="A244">
        <f>SUBTOTAL(3,$B$16:B244)</f>
        <v>62</v>
      </c>
      <c r="B244" t="s">
        <v>350</v>
      </c>
      <c r="C244" t="s">
        <v>892</v>
      </c>
      <c r="I244">
        <v>0</v>
      </c>
      <c r="U244">
        <v>0.31</v>
      </c>
      <c r="AB244">
        <f>SUMPRODUCT(DB_SOFList[[#This Row],[Plan01]:[Plan12]],$D$14:$O$14)/valUnits2</f>
        <v>0</v>
      </c>
      <c r="AC244">
        <f>SUMPRODUCT(DB_SOFList[[#This Row],[Act01]:[Act12]],$P$14:$AA$14)/valUnits2</f>
        <v>3.1E-4</v>
      </c>
      <c r="AD244">
        <f>DB_SOFList[[#This Row],[Actual]]-DB_SOFList[[#This Row],[Plan]]</f>
        <v>3.1E-4</v>
      </c>
      <c r="AE244">
        <f>IF(DB_SOFList[[#This Row],[Plan]]&lt;&gt;0,DB_SOFList[[#This Row],[Actual]]/DB_SOFList[[#This Row],[Plan]],1.000011000011)</f>
        <v>1.0000110000110001</v>
      </c>
      <c r="AF244" s="34">
        <f>SUM(DB_SOFList[[#This Row],[Plan01]:[Plan12]])/valUnits2</f>
        <v>0</v>
      </c>
      <c r="AG244" s="34">
        <f>SUMPRODUCT(DB_SOFList[[#This Row],[Act01]:[Act12]],$P$13:$AA$13)/valUnits2</f>
        <v>3.1E-4</v>
      </c>
      <c r="AH244" s="34">
        <f>IF(DB_SOFList[[#This Row],[FYPlan]]&lt;&gt;0,DB_SOFList[[#This Row],[FYActuals]]/DB_SOFList[[#This Row],[FYPlan]],1.000011000011)</f>
        <v>1.0000110000110001</v>
      </c>
    </row>
    <row r="245" spans="1:34" x14ac:dyDescent="0.2">
      <c r="A245">
        <f>SUBTOTAL(3,$B$16:B245)</f>
        <v>63</v>
      </c>
      <c r="B245" t="s">
        <v>1</v>
      </c>
      <c r="C245" t="s">
        <v>893</v>
      </c>
      <c r="D245">
        <v>437.839</v>
      </c>
      <c r="E245">
        <v>0</v>
      </c>
      <c r="F245">
        <v>3743.1790000000001</v>
      </c>
      <c r="P245">
        <v>436.6</v>
      </c>
      <c r="Q245">
        <v>0</v>
      </c>
      <c r="R245">
        <v>3867.18</v>
      </c>
      <c r="AB245">
        <f>SUMPRODUCT(DB_SOFList[[#This Row],[Plan01]:[Plan12]],$D$14:$O$14)/valUnits2</f>
        <v>4.1810179999999999</v>
      </c>
      <c r="AC245">
        <f>SUMPRODUCT(DB_SOFList[[#This Row],[Act01]:[Act12]],$P$14:$AA$14)/valUnits2</f>
        <v>4.3037799999999997</v>
      </c>
      <c r="AD245">
        <f>DB_SOFList[[#This Row],[Actual]]-DB_SOFList[[#This Row],[Plan]]</f>
        <v>0.12276199999999982</v>
      </c>
      <c r="AE245">
        <f>IF(DB_SOFList[[#This Row],[Plan]]&lt;&gt;0,DB_SOFList[[#This Row],[Actual]]/DB_SOFList[[#This Row],[Plan]],1.000011000011)</f>
        <v>1.0293617487415743</v>
      </c>
      <c r="AF245" s="34">
        <f>SUM(DB_SOFList[[#This Row],[Plan01]:[Plan12]])/valUnits2</f>
        <v>4.1810179999999999</v>
      </c>
      <c r="AG245" s="34">
        <f>SUMPRODUCT(DB_SOFList[[#This Row],[Act01]:[Act12]],$P$13:$AA$13)/valUnits2</f>
        <v>4.3037799999999997</v>
      </c>
      <c r="AH245" s="34">
        <f>IF(DB_SOFList[[#This Row],[FYPlan]]&lt;&gt;0,DB_SOFList[[#This Row],[FYActuals]]/DB_SOFList[[#This Row],[FYPlan]],1.000011000011)</f>
        <v>1.0293617487415743</v>
      </c>
    </row>
    <row r="246" spans="1:34" hidden="1" x14ac:dyDescent="0.2">
      <c r="A246">
        <f>SUBTOTAL(3,$B$16:B246)</f>
        <v>63</v>
      </c>
      <c r="B246" t="s">
        <v>351</v>
      </c>
      <c r="C246" t="s">
        <v>893</v>
      </c>
      <c r="F246">
        <v>2673.3850000000002</v>
      </c>
      <c r="R246">
        <v>2756.69</v>
      </c>
      <c r="AB246">
        <f>SUMPRODUCT(DB_SOFList[[#This Row],[Plan01]:[Plan12]],$D$14:$O$14)/valUnits2</f>
        <v>2.6733850000000001</v>
      </c>
      <c r="AC246">
        <f>SUMPRODUCT(DB_SOFList[[#This Row],[Act01]:[Act12]],$P$14:$AA$14)/valUnits2</f>
        <v>2.7566899999999999</v>
      </c>
      <c r="AD246">
        <f>DB_SOFList[[#This Row],[Actual]]-DB_SOFList[[#This Row],[Plan]]</f>
        <v>8.330499999999974E-2</v>
      </c>
      <c r="AE246">
        <f>IF(DB_SOFList[[#This Row],[Plan]]&lt;&gt;0,DB_SOFList[[#This Row],[Actual]]/DB_SOFList[[#This Row],[Plan]],1.000011000011)</f>
        <v>1.0311608690854477</v>
      </c>
      <c r="AF246" s="34">
        <f>SUM(DB_SOFList[[#This Row],[Plan01]:[Plan12]])/valUnits2</f>
        <v>2.6733850000000001</v>
      </c>
      <c r="AG246" s="34">
        <f>SUMPRODUCT(DB_SOFList[[#This Row],[Act01]:[Act12]],$P$13:$AA$13)/valUnits2</f>
        <v>2.7566899999999999</v>
      </c>
      <c r="AH246" s="34">
        <f>IF(DB_SOFList[[#This Row],[FYPlan]]&lt;&gt;0,DB_SOFList[[#This Row],[FYActuals]]/DB_SOFList[[#This Row],[FYPlan]],1.000011000011)</f>
        <v>1.0311608690854477</v>
      </c>
    </row>
    <row r="247" spans="1:34" hidden="1" x14ac:dyDescent="0.2">
      <c r="A247">
        <f>SUBTOTAL(3,$B$16:B247)</f>
        <v>63</v>
      </c>
      <c r="B247" t="s">
        <v>349</v>
      </c>
      <c r="C247" t="s">
        <v>893</v>
      </c>
      <c r="D247">
        <v>437.839</v>
      </c>
      <c r="E247">
        <v>0</v>
      </c>
      <c r="F247">
        <v>1069.7939999999999</v>
      </c>
      <c r="P247">
        <v>436.6</v>
      </c>
      <c r="Q247">
        <v>0</v>
      </c>
      <c r="R247">
        <v>1110.4899999999998</v>
      </c>
      <c r="AB247">
        <f>SUMPRODUCT(DB_SOFList[[#This Row],[Plan01]:[Plan12]],$D$14:$O$14)/valUnits2</f>
        <v>1.5076329999999998</v>
      </c>
      <c r="AC247">
        <f>SUMPRODUCT(DB_SOFList[[#This Row],[Act01]:[Act12]],$P$14:$AA$14)/valUnits2</f>
        <v>1.5470899999999996</v>
      </c>
      <c r="AD247">
        <f>DB_SOFList[[#This Row],[Actual]]-DB_SOFList[[#This Row],[Plan]]</f>
        <v>3.9456999999999853E-2</v>
      </c>
      <c r="AE247">
        <f>IF(DB_SOFList[[#This Row],[Plan]]&lt;&gt;0,DB_SOFList[[#This Row],[Actual]]/DB_SOFList[[#This Row],[Plan]],1.000011000011)</f>
        <v>1.0261714886845803</v>
      </c>
      <c r="AF247" s="34">
        <f>SUM(DB_SOFList[[#This Row],[Plan01]:[Plan12]])/valUnits2</f>
        <v>1.5076329999999998</v>
      </c>
      <c r="AG247" s="34">
        <f>SUMPRODUCT(DB_SOFList[[#This Row],[Act01]:[Act12]],$P$13:$AA$13)/valUnits2</f>
        <v>1.5470899999999996</v>
      </c>
      <c r="AH247" s="34">
        <f>IF(DB_SOFList[[#This Row],[FYPlan]]&lt;&gt;0,DB_SOFList[[#This Row],[FYActuals]]/DB_SOFList[[#This Row],[FYPlan]],1.000011000011)</f>
        <v>1.0261714886845803</v>
      </c>
    </row>
    <row r="248" spans="1:34" x14ac:dyDescent="0.2">
      <c r="A248">
        <f>SUBTOTAL(3,$B$16:B248)</f>
        <v>64</v>
      </c>
      <c r="B248" t="s">
        <v>1</v>
      </c>
      <c r="C248" t="s">
        <v>894</v>
      </c>
      <c r="D248">
        <v>4243.8900000000003</v>
      </c>
      <c r="E248">
        <v>-4204.5349999999999</v>
      </c>
      <c r="F248">
        <v>-512.64599999999996</v>
      </c>
      <c r="G248">
        <v>9433.9760000000006</v>
      </c>
      <c r="H248">
        <v>9630.2960000000021</v>
      </c>
      <c r="I248">
        <v>4154.3329999999996</v>
      </c>
      <c r="J248">
        <v>4154.3329999999996</v>
      </c>
      <c r="K248">
        <v>4154.3329999999996</v>
      </c>
      <c r="L248">
        <v>4154.3329999999996</v>
      </c>
      <c r="M248">
        <v>4154.3329999999996</v>
      </c>
      <c r="N248">
        <v>4154.3329999999996</v>
      </c>
      <c r="O248">
        <v>4154.3329999999996</v>
      </c>
      <c r="P248">
        <v>4256.37</v>
      </c>
      <c r="Q248">
        <v>-4117</v>
      </c>
      <c r="R248">
        <v>-509.15000000000026</v>
      </c>
      <c r="S248">
        <v>9444.2000000000007</v>
      </c>
      <c r="T248">
        <v>10030.529999999999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f>SUMPRODUCT(DB_SOFList[[#This Row],[Plan01]:[Plan12]],$D$14:$O$14)/valUnits2</f>
        <v>22.745314</v>
      </c>
      <c r="AC248">
        <f>SUMPRODUCT(DB_SOFList[[#This Row],[Act01]:[Act12]],$P$14:$AA$14)/valUnits2</f>
        <v>19.104949999999999</v>
      </c>
      <c r="AD248">
        <f>DB_SOFList[[#This Row],[Actual]]-DB_SOFList[[#This Row],[Plan]]</f>
        <v>-3.6403640000000017</v>
      </c>
      <c r="AE248">
        <f>IF(DB_SOFList[[#This Row],[Plan]]&lt;&gt;0,DB_SOFList[[#This Row],[Actual]]/DB_SOFList[[#This Row],[Plan]],1.000011000011)</f>
        <v>0.8399510334304463</v>
      </c>
      <c r="AF248" s="34">
        <f>SUM(DB_SOFList[[#This Row],[Plan01]:[Plan12]])/valUnits2</f>
        <v>47.671312</v>
      </c>
      <c r="AG248" s="34">
        <f>SUMPRODUCT(DB_SOFList[[#This Row],[Act01]:[Act12]],$P$13:$AA$13)/valUnits2</f>
        <v>19.104949999999999</v>
      </c>
      <c r="AH248" s="34">
        <f>IF(DB_SOFList[[#This Row],[FYPlan]]&lt;&gt;0,DB_SOFList[[#This Row],[FYActuals]]/DB_SOFList[[#This Row],[FYPlan]],1.000011000011)</f>
        <v>0.40076409057086576</v>
      </c>
    </row>
    <row r="249" spans="1:34" hidden="1" x14ac:dyDescent="0.2">
      <c r="A249">
        <f>SUBTOTAL(3,$B$16:B249)</f>
        <v>64</v>
      </c>
      <c r="B249" t="s">
        <v>351</v>
      </c>
      <c r="C249" t="s">
        <v>894</v>
      </c>
      <c r="F249">
        <v>-270.34500000000003</v>
      </c>
      <c r="H249">
        <v>40.877999999999993</v>
      </c>
      <c r="R249">
        <v>-263.09000000000003</v>
      </c>
      <c r="T249">
        <v>42.73</v>
      </c>
      <c r="AB249">
        <f>SUMPRODUCT(DB_SOFList[[#This Row],[Plan01]:[Plan12]],$D$14:$O$14)/valUnits2</f>
        <v>-0.22946700000000003</v>
      </c>
      <c r="AC249">
        <f>SUMPRODUCT(DB_SOFList[[#This Row],[Act01]:[Act12]],$P$14:$AA$14)/valUnits2</f>
        <v>-0.22036000000000006</v>
      </c>
      <c r="AD249">
        <f>DB_SOFList[[#This Row],[Actual]]-DB_SOFList[[#This Row],[Plan]]</f>
        <v>9.1069999999999762E-3</v>
      </c>
      <c r="AE249">
        <f>IF(DB_SOFList[[#This Row],[Plan]]&lt;&gt;0,DB_SOFList[[#This Row],[Actual]]/DB_SOFList[[#This Row],[Plan]],1.000011000011)</f>
        <v>0.96031237607150499</v>
      </c>
      <c r="AF249" s="34">
        <f>SUM(DB_SOFList[[#This Row],[Plan01]:[Plan12]])/valUnits2</f>
        <v>-0.22946700000000003</v>
      </c>
      <c r="AG249" s="34">
        <f>SUMPRODUCT(DB_SOFList[[#This Row],[Act01]:[Act12]],$P$13:$AA$13)/valUnits2</f>
        <v>-0.22036000000000006</v>
      </c>
      <c r="AH249" s="34">
        <f>IF(DB_SOFList[[#This Row],[FYPlan]]&lt;&gt;0,DB_SOFList[[#This Row],[FYActuals]]/DB_SOFList[[#This Row],[FYPlan]],1.000011000011)</f>
        <v>0.96031237607150499</v>
      </c>
    </row>
    <row r="250" spans="1:34" hidden="1" x14ac:dyDescent="0.2">
      <c r="A250">
        <f>SUBTOTAL(3,$B$16:B250)</f>
        <v>64</v>
      </c>
      <c r="B250" t="s">
        <v>346</v>
      </c>
      <c r="C250" t="s">
        <v>894</v>
      </c>
      <c r="D250">
        <v>4243.8900000000003</v>
      </c>
      <c r="E250">
        <v>-4204.5349999999999</v>
      </c>
      <c r="F250">
        <v>-242.30099999999999</v>
      </c>
      <c r="G250">
        <v>9433.9760000000006</v>
      </c>
      <c r="H250">
        <v>9589.4180000000015</v>
      </c>
      <c r="I250">
        <v>4154.3329999999996</v>
      </c>
      <c r="J250">
        <v>4154.3329999999996</v>
      </c>
      <c r="K250">
        <v>4154.3329999999996</v>
      </c>
      <c r="L250">
        <v>4154.3329999999996</v>
      </c>
      <c r="M250">
        <v>4154.3329999999996</v>
      </c>
      <c r="N250">
        <v>4154.3329999999996</v>
      </c>
      <c r="O250">
        <v>4154.3329999999996</v>
      </c>
      <c r="P250">
        <v>4256.37</v>
      </c>
      <c r="Q250">
        <v>-4117</v>
      </c>
      <c r="R250">
        <v>-246.06000000000023</v>
      </c>
      <c r="S250">
        <v>9444.2000000000007</v>
      </c>
      <c r="T250">
        <v>9987.7999999999993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f>SUMPRODUCT(DB_SOFList[[#This Row],[Plan01]:[Plan12]],$D$14:$O$14)/valUnits2</f>
        <v>22.974781000000004</v>
      </c>
      <c r="AC250">
        <f>SUMPRODUCT(DB_SOFList[[#This Row],[Act01]:[Act12]],$P$14:$AA$14)/valUnits2</f>
        <v>19.325309999999998</v>
      </c>
      <c r="AD250">
        <f>DB_SOFList[[#This Row],[Actual]]-DB_SOFList[[#This Row],[Plan]]</f>
        <v>-3.6494710000000055</v>
      </c>
      <c r="AE250">
        <f>IF(DB_SOFList[[#This Row],[Plan]]&lt;&gt;0,DB_SOFList[[#This Row],[Actual]]/DB_SOFList[[#This Row],[Plan]],1.000011000011)</f>
        <v>0.84115317573647364</v>
      </c>
      <c r="AF250" s="34">
        <f>SUM(DB_SOFList[[#This Row],[Plan01]:[Plan12]])/valUnits2</f>
        <v>47.900778999999993</v>
      </c>
      <c r="AG250" s="34">
        <f>SUMPRODUCT(DB_SOFList[[#This Row],[Act01]:[Act12]],$P$13:$AA$13)/valUnits2</f>
        <v>19.325309999999998</v>
      </c>
      <c r="AH250" s="34">
        <f>IF(DB_SOFList[[#This Row],[FYPlan]]&lt;&gt;0,DB_SOFList[[#This Row],[FYActuals]]/DB_SOFList[[#This Row],[FYPlan]],1.000011000011)</f>
        <v>0.40344458698677949</v>
      </c>
    </row>
    <row r="251" spans="1:34" x14ac:dyDescent="0.2">
      <c r="A251">
        <f>SUBTOTAL(3,$B$16:B251)</f>
        <v>65</v>
      </c>
      <c r="B251" t="s">
        <v>1</v>
      </c>
      <c r="C251" t="s">
        <v>895</v>
      </c>
      <c r="D251">
        <v>58258.629000000015</v>
      </c>
      <c r="E251">
        <v>1615.8480000000054</v>
      </c>
      <c r="F251">
        <v>71746.027000000016</v>
      </c>
      <c r="G251">
        <v>7011.6769999999779</v>
      </c>
      <c r="H251">
        <v>50370.348000000005</v>
      </c>
      <c r="I251">
        <v>41731.041000000019</v>
      </c>
      <c r="J251">
        <v>28687.99200000002</v>
      </c>
      <c r="K251">
        <v>31350.078000000016</v>
      </c>
      <c r="L251">
        <v>28687.992000000013</v>
      </c>
      <c r="M251">
        <v>28687.992000000013</v>
      </c>
      <c r="N251">
        <v>33480.008000000016</v>
      </c>
      <c r="O251">
        <v>28687.992000000013</v>
      </c>
      <c r="P251">
        <v>57405.319999999992</v>
      </c>
      <c r="Q251">
        <v>1650.0399999999963</v>
      </c>
      <c r="R251">
        <v>72395.479999999981</v>
      </c>
      <c r="S251">
        <v>7000.2299999999868</v>
      </c>
      <c r="T251">
        <v>50484.659999999989</v>
      </c>
      <c r="U251">
        <v>47180.89999999998</v>
      </c>
      <c r="V251">
        <v>57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f>SUMPRODUCT(DB_SOFList[[#This Row],[Plan01]:[Plan12]],$D$14:$O$14)/valUnits2</f>
        <v>230.73357000000004</v>
      </c>
      <c r="AC251">
        <f>SUMPRODUCT(DB_SOFList[[#This Row],[Act01]:[Act12]],$P$14:$AA$14)/valUnits2</f>
        <v>236.1166299999999</v>
      </c>
      <c r="AD251">
        <f>DB_SOFList[[#This Row],[Actual]]-DB_SOFList[[#This Row],[Plan]]</f>
        <v>5.3830599999998583</v>
      </c>
      <c r="AE251">
        <f>IF(DB_SOFList[[#This Row],[Plan]]&lt;&gt;0,DB_SOFList[[#This Row],[Actual]]/DB_SOFList[[#This Row],[Plan]],1.000011000011)</f>
        <v>1.0233301985489145</v>
      </c>
      <c r="AF251" s="34">
        <f>SUM(DB_SOFList[[#This Row],[Plan01]:[Plan12]])/valUnits2</f>
        <v>410.31562400000018</v>
      </c>
      <c r="AG251" s="34">
        <f>SUMPRODUCT(DB_SOFList[[#This Row],[Act01]:[Act12]],$P$13:$AA$13)/valUnits2</f>
        <v>236.1166299999999</v>
      </c>
      <c r="AH251" s="34">
        <f>IF(DB_SOFList[[#This Row],[FYPlan]]&lt;&gt;0,DB_SOFList[[#This Row],[FYActuals]]/DB_SOFList[[#This Row],[FYPlan]],1.000011000011)</f>
        <v>0.57545122873507681</v>
      </c>
    </row>
    <row r="252" spans="1:34" hidden="1" x14ac:dyDescent="0.2">
      <c r="A252">
        <f>SUBTOTAL(3,$B$16:B252)</f>
        <v>65</v>
      </c>
      <c r="B252" t="s">
        <v>351</v>
      </c>
      <c r="C252" t="s">
        <v>895</v>
      </c>
      <c r="D252">
        <v>849.88799999999992</v>
      </c>
      <c r="E252">
        <v>1208.2339999999999</v>
      </c>
      <c r="F252">
        <v>1330.3990000000001</v>
      </c>
      <c r="G252">
        <v>5267.4229999999989</v>
      </c>
      <c r="H252">
        <v>3358.9870000000005</v>
      </c>
      <c r="I252">
        <v>4295.5820000000003</v>
      </c>
      <c r="J252">
        <v>4295.5820000000003</v>
      </c>
      <c r="K252">
        <v>4295.5820000000003</v>
      </c>
      <c r="L252">
        <v>4295.5819999999994</v>
      </c>
      <c r="M252">
        <v>4295.5820000000003</v>
      </c>
      <c r="N252">
        <v>4295.5820000000003</v>
      </c>
      <c r="O252">
        <v>4295.5820000000003</v>
      </c>
      <c r="P252">
        <v>837.31999999999994</v>
      </c>
      <c r="Q252">
        <v>1233.57</v>
      </c>
      <c r="R252">
        <v>1342.44</v>
      </c>
      <c r="S252">
        <v>5265.25</v>
      </c>
      <c r="T252">
        <v>3366.95</v>
      </c>
      <c r="U252">
        <v>2284.4500000000003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f>SUMPRODUCT(DB_SOFList[[#This Row],[Plan01]:[Plan12]],$D$14:$O$14)/valUnits2</f>
        <v>16.310513</v>
      </c>
      <c r="AC252">
        <f>SUMPRODUCT(DB_SOFList[[#This Row],[Act01]:[Act12]],$P$14:$AA$14)/valUnits2</f>
        <v>14.329979999999999</v>
      </c>
      <c r="AD252">
        <f>DB_SOFList[[#This Row],[Actual]]-DB_SOFList[[#This Row],[Plan]]</f>
        <v>-1.9805330000000012</v>
      </c>
      <c r="AE252">
        <f>IF(DB_SOFList[[#This Row],[Plan]]&lt;&gt;0,DB_SOFList[[#This Row],[Actual]]/DB_SOFList[[#This Row],[Plan]],1.000011000011)</f>
        <v>0.87857322452089637</v>
      </c>
      <c r="AF252" s="34">
        <f>SUM(DB_SOFList[[#This Row],[Plan01]:[Plan12]])/valUnits2</f>
        <v>42.084005000000005</v>
      </c>
      <c r="AG252" s="34">
        <f>SUMPRODUCT(DB_SOFList[[#This Row],[Act01]:[Act12]],$P$13:$AA$13)/valUnits2</f>
        <v>14.329979999999999</v>
      </c>
      <c r="AH252" s="34">
        <f>IF(DB_SOFList[[#This Row],[FYPlan]]&lt;&gt;0,DB_SOFList[[#This Row],[FYActuals]]/DB_SOFList[[#This Row],[FYPlan]],1.000011000011)</f>
        <v>0.34050894158006106</v>
      </c>
    </row>
    <row r="253" spans="1:34" hidden="1" x14ac:dyDescent="0.2">
      <c r="A253">
        <f>SUBTOTAL(3,$B$16:B253)</f>
        <v>65</v>
      </c>
      <c r="B253" t="s">
        <v>345</v>
      </c>
      <c r="C253" t="s">
        <v>895</v>
      </c>
      <c r="D253">
        <v>57408.741000000016</v>
      </c>
      <c r="E253">
        <v>407.6140000000056</v>
      </c>
      <c r="F253">
        <v>70415.628000000012</v>
      </c>
      <c r="G253">
        <v>1744.2539999999788</v>
      </c>
      <c r="H253">
        <v>47011.361000000004</v>
      </c>
      <c r="I253">
        <v>37403.968000000015</v>
      </c>
      <c r="J253">
        <v>24360.919000000016</v>
      </c>
      <c r="K253">
        <v>27023.005000000016</v>
      </c>
      <c r="L253">
        <v>24360.919000000013</v>
      </c>
      <c r="M253">
        <v>24360.919000000013</v>
      </c>
      <c r="N253">
        <v>29152.935000000012</v>
      </c>
      <c r="O253">
        <v>24360.919000000009</v>
      </c>
      <c r="P253">
        <v>56567.999999999993</v>
      </c>
      <c r="Q253">
        <v>416.46999999999628</v>
      </c>
      <c r="R253">
        <v>71053.039999999979</v>
      </c>
      <c r="S253">
        <v>1734.9799999999868</v>
      </c>
      <c r="T253">
        <v>47117.709999999992</v>
      </c>
      <c r="U253">
        <v>44895.39999999998</v>
      </c>
      <c r="V253">
        <v>57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f>SUMPRODUCT(DB_SOFList[[#This Row],[Plan01]:[Plan12]],$D$14:$O$14)/valUnits2</f>
        <v>214.39156600000001</v>
      </c>
      <c r="AC253">
        <f>SUMPRODUCT(DB_SOFList[[#This Row],[Act01]:[Act12]],$P$14:$AA$14)/valUnits2</f>
        <v>221.78559999999993</v>
      </c>
      <c r="AD253">
        <f>DB_SOFList[[#This Row],[Actual]]-DB_SOFList[[#This Row],[Plan]]</f>
        <v>7.3940339999999196</v>
      </c>
      <c r="AE253">
        <f>IF(DB_SOFList[[#This Row],[Plan]]&lt;&gt;0,DB_SOFList[[#This Row],[Actual]]/DB_SOFList[[#This Row],[Plan]],1.000011000011)</f>
        <v>1.0344884555766523</v>
      </c>
      <c r="AF253" s="34">
        <f>SUM(DB_SOFList[[#This Row],[Plan01]:[Plan12]])/valUnits2</f>
        <v>368.01118200000002</v>
      </c>
      <c r="AG253" s="34">
        <f>SUMPRODUCT(DB_SOFList[[#This Row],[Act01]:[Act12]],$P$13:$AA$13)/valUnits2</f>
        <v>221.78559999999993</v>
      </c>
      <c r="AH253" s="34">
        <f>IF(DB_SOFList[[#This Row],[FYPlan]]&lt;&gt;0,DB_SOFList[[#This Row],[FYActuals]]/DB_SOFList[[#This Row],[FYPlan]],1.000011000011)</f>
        <v>0.602659948522977</v>
      </c>
    </row>
    <row r="254" spans="1:34" hidden="1" x14ac:dyDescent="0.2">
      <c r="A254">
        <f>SUBTOTAL(3,$B$16:B254)</f>
        <v>65</v>
      </c>
      <c r="B254" t="s">
        <v>350</v>
      </c>
      <c r="C254" t="s">
        <v>895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31.491</v>
      </c>
      <c r="J254">
        <v>31.491</v>
      </c>
      <c r="K254">
        <v>31.491</v>
      </c>
      <c r="L254">
        <v>31.491</v>
      </c>
      <c r="M254">
        <v>31.491</v>
      </c>
      <c r="N254">
        <v>31.491</v>
      </c>
      <c r="O254">
        <v>31.491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1.05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f>SUMPRODUCT(DB_SOFList[[#This Row],[Plan01]:[Plan12]],$D$14:$O$14)/valUnits2</f>
        <v>3.1490999999999998E-2</v>
      </c>
      <c r="AC254">
        <f>SUMPRODUCT(DB_SOFList[[#This Row],[Act01]:[Act12]],$P$14:$AA$14)/valUnits2</f>
        <v>1.0500000000000002E-3</v>
      </c>
      <c r="AD254">
        <f>DB_SOFList[[#This Row],[Actual]]-DB_SOFList[[#This Row],[Plan]]</f>
        <v>-3.0440999999999999E-2</v>
      </c>
      <c r="AE254">
        <f>IF(DB_SOFList[[#This Row],[Plan]]&lt;&gt;0,DB_SOFList[[#This Row],[Actual]]/DB_SOFList[[#This Row],[Plan]],1.000011000011)</f>
        <v>3.3342859864723261E-2</v>
      </c>
      <c r="AF254" s="34">
        <f>SUM(DB_SOFList[[#This Row],[Plan01]:[Plan12]])/valUnits2</f>
        <v>0.22043699999999997</v>
      </c>
      <c r="AG254" s="34">
        <f>SUMPRODUCT(DB_SOFList[[#This Row],[Act01]:[Act12]],$P$13:$AA$13)/valUnits2</f>
        <v>1.0500000000000002E-3</v>
      </c>
      <c r="AH254" s="34">
        <f>IF(DB_SOFList[[#This Row],[FYPlan]]&lt;&gt;0,DB_SOFList[[#This Row],[FYActuals]]/DB_SOFList[[#This Row],[FYPlan]],1.000011000011)</f>
        <v>4.7632656949604659E-3</v>
      </c>
    </row>
    <row r="255" spans="1:34" x14ac:dyDescent="0.2">
      <c r="A255">
        <f>SUBTOTAL(3,$B$16:B255)</f>
        <v>66</v>
      </c>
      <c r="B255" t="s">
        <v>1</v>
      </c>
      <c r="C255" t="s">
        <v>896</v>
      </c>
      <c r="D255">
        <v>35898.299999999996</v>
      </c>
      <c r="E255">
        <v>-24058.025999999994</v>
      </c>
      <c r="F255">
        <v>140058.17300000001</v>
      </c>
      <c r="G255">
        <v>83834.34599999999</v>
      </c>
      <c r="H255">
        <v>73189.566999999995</v>
      </c>
      <c r="I255">
        <v>47743.544999999991</v>
      </c>
      <c r="J255">
        <v>53991.189999999995</v>
      </c>
      <c r="K255">
        <v>53991.189999999988</v>
      </c>
      <c r="L255">
        <v>53991.189999999995</v>
      </c>
      <c r="M255">
        <v>50527.291999999994</v>
      </c>
      <c r="N255">
        <v>50527.291999999994</v>
      </c>
      <c r="O255">
        <v>50527.291999999994</v>
      </c>
      <c r="P255">
        <v>35898.170000000006</v>
      </c>
      <c r="Q255">
        <v>-23580.890000000003</v>
      </c>
      <c r="R255">
        <v>139049.30000000002</v>
      </c>
      <c r="S255">
        <v>84115.800000000017</v>
      </c>
      <c r="T255">
        <v>73430.389999999985</v>
      </c>
      <c r="U255">
        <v>9577.29000000001</v>
      </c>
      <c r="V255">
        <v>10049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f>SUMPRODUCT(DB_SOFList[[#This Row],[Plan01]:[Plan12]],$D$14:$O$14)/valUnits2</f>
        <v>356.66590499999995</v>
      </c>
      <c r="AC255">
        <f>SUMPRODUCT(DB_SOFList[[#This Row],[Act01]:[Act12]],$P$14:$AA$14)/valUnits2</f>
        <v>318.49006000000003</v>
      </c>
      <c r="AD255">
        <f>DB_SOFList[[#This Row],[Actual]]-DB_SOFList[[#This Row],[Plan]]</f>
        <v>-38.175844999999924</v>
      </c>
      <c r="AE255">
        <f>IF(DB_SOFList[[#This Row],[Plan]]&lt;&gt;0,DB_SOFList[[#This Row],[Actual]]/DB_SOFList[[#This Row],[Plan]],1.000011000011)</f>
        <v>0.89296469198534711</v>
      </c>
      <c r="AF255" s="34">
        <f>SUM(DB_SOFList[[#This Row],[Plan01]:[Plan12]])/valUnits2</f>
        <v>670.22135100000003</v>
      </c>
      <c r="AG255" s="34">
        <f>SUMPRODUCT(DB_SOFList[[#This Row],[Act01]:[Act12]],$P$13:$AA$13)/valUnits2</f>
        <v>318.49006000000003</v>
      </c>
      <c r="AH255" s="34">
        <f>IF(DB_SOFList[[#This Row],[FYPlan]]&lt;&gt;0,DB_SOFList[[#This Row],[FYActuals]]/DB_SOFList[[#This Row],[FYPlan]],1.000011000011)</f>
        <v>0.47520130405394978</v>
      </c>
    </row>
    <row r="256" spans="1:34" hidden="1" x14ac:dyDescent="0.2">
      <c r="A256">
        <f>SUBTOTAL(3,$B$16:B256)</f>
        <v>66</v>
      </c>
      <c r="B256" t="s">
        <v>342</v>
      </c>
      <c r="C256" t="s">
        <v>896</v>
      </c>
      <c r="D256">
        <v>35875.718999999997</v>
      </c>
      <c r="E256">
        <v>-29164.635999999995</v>
      </c>
      <c r="F256">
        <v>138911.916</v>
      </c>
      <c r="G256">
        <v>69921.355999999985</v>
      </c>
      <c r="H256">
        <v>62340.483999999997</v>
      </c>
      <c r="I256">
        <v>43275.436999999991</v>
      </c>
      <c r="J256">
        <v>49523.081999999995</v>
      </c>
      <c r="K256">
        <v>49523.081999999988</v>
      </c>
      <c r="L256">
        <v>49523.081999999995</v>
      </c>
      <c r="M256">
        <v>46059.183999999994</v>
      </c>
      <c r="N256">
        <v>46059.183999999994</v>
      </c>
      <c r="O256">
        <v>46059.183999999994</v>
      </c>
      <c r="P256">
        <v>35875.590000000004</v>
      </c>
      <c r="Q256">
        <v>-28671.710000000003</v>
      </c>
      <c r="R256">
        <v>137910.51</v>
      </c>
      <c r="S256">
        <v>70258.170000000013</v>
      </c>
      <c r="T256">
        <v>62596.359999999993</v>
      </c>
      <c r="U256">
        <v>3955.0900000000083</v>
      </c>
      <c r="V256">
        <v>757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f>SUMPRODUCT(DB_SOFList[[#This Row],[Plan01]:[Plan12]],$D$14:$O$14)/valUnits2</f>
        <v>321.16027599999995</v>
      </c>
      <c r="AC256">
        <f>SUMPRODUCT(DB_SOFList[[#This Row],[Act01]:[Act12]],$P$14:$AA$14)/valUnits2</f>
        <v>281.92401000000007</v>
      </c>
      <c r="AD256">
        <f>DB_SOFList[[#This Row],[Actual]]-DB_SOFList[[#This Row],[Plan]]</f>
        <v>-39.236265999999887</v>
      </c>
      <c r="AE256">
        <f>IF(DB_SOFList[[#This Row],[Plan]]&lt;&gt;0,DB_SOFList[[#This Row],[Actual]]/DB_SOFList[[#This Row],[Plan]],1.000011000011)</f>
        <v>0.87782964167087751</v>
      </c>
      <c r="AF256" s="34">
        <f>SUM(DB_SOFList[[#This Row],[Plan01]:[Plan12]])/valUnits2</f>
        <v>607.90707399999985</v>
      </c>
      <c r="AG256" s="34">
        <f>SUMPRODUCT(DB_SOFList[[#This Row],[Act01]:[Act12]],$P$13:$AA$13)/valUnits2</f>
        <v>281.92401000000007</v>
      </c>
      <c r="AH256" s="34">
        <f>IF(DB_SOFList[[#This Row],[FYPlan]]&lt;&gt;0,DB_SOFList[[#This Row],[FYActuals]]/DB_SOFList[[#This Row],[FYPlan]],1.000011000011)</f>
        <v>0.46376168670805784</v>
      </c>
    </row>
    <row r="257" spans="1:34" hidden="1" x14ac:dyDescent="0.2">
      <c r="A257">
        <f>SUBTOTAL(3,$B$16:B257)</f>
        <v>66</v>
      </c>
      <c r="B257" t="s">
        <v>351</v>
      </c>
      <c r="C257" t="s">
        <v>896</v>
      </c>
      <c r="D257">
        <v>22.581</v>
      </c>
      <c r="E257">
        <v>5095.3450000000003</v>
      </c>
      <c r="F257">
        <v>1146.2570000000001</v>
      </c>
      <c r="G257">
        <v>13912.989999999998</v>
      </c>
      <c r="H257">
        <v>10671.215</v>
      </c>
      <c r="I257">
        <v>3397.9030000000002</v>
      </c>
      <c r="J257">
        <v>3397.9030000000002</v>
      </c>
      <c r="K257">
        <v>3397.9030000000002</v>
      </c>
      <c r="L257">
        <v>3397.9030000000002</v>
      </c>
      <c r="M257">
        <v>3397.9030000000002</v>
      </c>
      <c r="N257">
        <v>3397.9030000000002</v>
      </c>
      <c r="O257">
        <v>3397.9030000000002</v>
      </c>
      <c r="P257">
        <v>22.58</v>
      </c>
      <c r="Q257">
        <v>5079.55</v>
      </c>
      <c r="R257">
        <v>1138.79</v>
      </c>
      <c r="S257">
        <v>13857.630000000001</v>
      </c>
      <c r="T257">
        <v>10655.3</v>
      </c>
      <c r="U257">
        <v>5584.85</v>
      </c>
      <c r="V257">
        <v>9292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f>SUMPRODUCT(DB_SOFList[[#This Row],[Plan01]:[Plan12]],$D$14:$O$14)/valUnits2</f>
        <v>34.246290999999999</v>
      </c>
      <c r="AC257">
        <f>SUMPRODUCT(DB_SOFList[[#This Row],[Act01]:[Act12]],$P$14:$AA$14)/valUnits2</f>
        <v>36.338700000000003</v>
      </c>
      <c r="AD257">
        <f>DB_SOFList[[#This Row],[Actual]]-DB_SOFList[[#This Row],[Plan]]</f>
        <v>2.0924090000000035</v>
      </c>
      <c r="AE257">
        <f>IF(DB_SOFList[[#This Row],[Plan]]&lt;&gt;0,DB_SOFList[[#This Row],[Actual]]/DB_SOFList[[#This Row],[Plan]],1.000011000011)</f>
        <v>1.0610988500915326</v>
      </c>
      <c r="AF257" s="34">
        <f>SUM(DB_SOFList[[#This Row],[Plan01]:[Plan12]])/valUnits2</f>
        <v>54.633708999999989</v>
      </c>
      <c r="AG257" s="34">
        <f>SUMPRODUCT(DB_SOFList[[#This Row],[Act01]:[Act12]],$P$13:$AA$13)/valUnits2</f>
        <v>36.338700000000003</v>
      </c>
      <c r="AH257" s="34">
        <f>IF(DB_SOFList[[#This Row],[FYPlan]]&lt;&gt;0,DB_SOFList[[#This Row],[FYActuals]]/DB_SOFList[[#This Row],[FYPlan]],1.000011000011)</f>
        <v>0.66513331540423171</v>
      </c>
    </row>
    <row r="258" spans="1:34" hidden="1" x14ac:dyDescent="0.2">
      <c r="A258">
        <f>SUBTOTAL(3,$B$16:B258)</f>
        <v>66</v>
      </c>
      <c r="B258" t="s">
        <v>350</v>
      </c>
      <c r="C258" t="s">
        <v>896</v>
      </c>
      <c r="D258">
        <v>0</v>
      </c>
      <c r="E258">
        <v>11.265000000000001</v>
      </c>
      <c r="F258">
        <v>0</v>
      </c>
      <c r="G258">
        <v>0</v>
      </c>
      <c r="H258">
        <v>177.86799999999999</v>
      </c>
      <c r="I258">
        <v>1070.2049999999999</v>
      </c>
      <c r="J258">
        <v>1070.2049999999999</v>
      </c>
      <c r="K258">
        <v>1070.2049999999999</v>
      </c>
      <c r="L258">
        <v>1070.2049999999999</v>
      </c>
      <c r="M258">
        <v>1070.2049999999999</v>
      </c>
      <c r="N258">
        <v>1070.2049999999999</v>
      </c>
      <c r="O258">
        <v>1070.2049999999999</v>
      </c>
      <c r="P258">
        <v>0</v>
      </c>
      <c r="Q258">
        <v>11.27</v>
      </c>
      <c r="R258">
        <v>0</v>
      </c>
      <c r="S258">
        <v>0</v>
      </c>
      <c r="T258">
        <v>178.73</v>
      </c>
      <c r="U258">
        <v>37.35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f>SUMPRODUCT(DB_SOFList[[#This Row],[Plan01]:[Plan12]],$D$14:$O$14)/valUnits2</f>
        <v>1.2593380000000001</v>
      </c>
      <c r="AC258">
        <f>SUMPRODUCT(DB_SOFList[[#This Row],[Act01]:[Act12]],$P$14:$AA$14)/valUnits2</f>
        <v>0.22735</v>
      </c>
      <c r="AD258">
        <f>DB_SOFList[[#This Row],[Actual]]-DB_SOFList[[#This Row],[Plan]]</f>
        <v>-1.0319880000000001</v>
      </c>
      <c r="AE258">
        <f>IF(DB_SOFList[[#This Row],[Plan]]&lt;&gt;0,DB_SOFList[[#This Row],[Actual]]/DB_SOFList[[#This Row],[Plan]],1.000011000011)</f>
        <v>0.18053135853916899</v>
      </c>
      <c r="AF258" s="34">
        <f>SUM(DB_SOFList[[#This Row],[Plan01]:[Plan12]])/valUnits2</f>
        <v>7.6805679999999992</v>
      </c>
      <c r="AG258" s="34">
        <f>SUMPRODUCT(DB_SOFList[[#This Row],[Act01]:[Act12]],$P$13:$AA$13)/valUnits2</f>
        <v>0.22735</v>
      </c>
      <c r="AH258" s="34">
        <f>IF(DB_SOFList[[#This Row],[FYPlan]]&lt;&gt;0,DB_SOFList[[#This Row],[FYActuals]]/DB_SOFList[[#This Row],[FYPlan]],1.000011000011)</f>
        <v>2.9600675366717673E-2</v>
      </c>
    </row>
    <row r="259" spans="1:34" x14ac:dyDescent="0.2">
      <c r="A259">
        <f>SUBTOTAL(3,$B$16:B259)</f>
        <v>67</v>
      </c>
      <c r="B259" t="s">
        <v>1</v>
      </c>
      <c r="C259" t="s">
        <v>897</v>
      </c>
      <c r="I259">
        <v>0</v>
      </c>
      <c r="U259">
        <v>2165.89</v>
      </c>
      <c r="AB259">
        <f>SUMPRODUCT(DB_SOFList[[#This Row],[Plan01]:[Plan12]],$D$14:$O$14)/valUnits2</f>
        <v>0</v>
      </c>
      <c r="AC259">
        <f>SUMPRODUCT(DB_SOFList[[#This Row],[Act01]:[Act12]],$P$14:$AA$14)/valUnits2</f>
        <v>2.1658900000000001</v>
      </c>
      <c r="AD259">
        <f>DB_SOFList[[#This Row],[Actual]]-DB_SOFList[[#This Row],[Plan]]</f>
        <v>2.1658900000000001</v>
      </c>
      <c r="AE259">
        <f>IF(DB_SOFList[[#This Row],[Plan]]&lt;&gt;0,DB_SOFList[[#This Row],[Actual]]/DB_SOFList[[#This Row],[Plan]],1.000011000011)</f>
        <v>1.0000110000110001</v>
      </c>
      <c r="AF259" s="34">
        <f>SUM(DB_SOFList[[#This Row],[Plan01]:[Plan12]])/valUnits2</f>
        <v>0</v>
      </c>
      <c r="AG259" s="34">
        <f>SUMPRODUCT(DB_SOFList[[#This Row],[Act01]:[Act12]],$P$13:$AA$13)/valUnits2</f>
        <v>2.1658900000000001</v>
      </c>
      <c r="AH259" s="34">
        <f>IF(DB_SOFList[[#This Row],[FYPlan]]&lt;&gt;0,DB_SOFList[[#This Row],[FYActuals]]/DB_SOFList[[#This Row],[FYPlan]],1.000011000011)</f>
        <v>1.0000110000110001</v>
      </c>
    </row>
    <row r="260" spans="1:34" hidden="1" x14ac:dyDescent="0.2">
      <c r="A260">
        <f>SUBTOTAL(3,$B$16:B260)</f>
        <v>67</v>
      </c>
      <c r="B260" t="s">
        <v>350</v>
      </c>
      <c r="C260" t="s">
        <v>897</v>
      </c>
      <c r="I260">
        <v>0</v>
      </c>
      <c r="U260">
        <v>2165.89</v>
      </c>
      <c r="AB260">
        <f>SUMPRODUCT(DB_SOFList[[#This Row],[Plan01]:[Plan12]],$D$14:$O$14)/valUnits2</f>
        <v>0</v>
      </c>
      <c r="AC260">
        <f>SUMPRODUCT(DB_SOFList[[#This Row],[Act01]:[Act12]],$P$14:$AA$14)/valUnits2</f>
        <v>2.1658900000000001</v>
      </c>
      <c r="AD260">
        <f>DB_SOFList[[#This Row],[Actual]]-DB_SOFList[[#This Row],[Plan]]</f>
        <v>2.1658900000000001</v>
      </c>
      <c r="AE260">
        <f>IF(DB_SOFList[[#This Row],[Plan]]&lt;&gt;0,DB_SOFList[[#This Row],[Actual]]/DB_SOFList[[#This Row],[Plan]],1.000011000011)</f>
        <v>1.0000110000110001</v>
      </c>
      <c r="AF260" s="34">
        <f>SUM(DB_SOFList[[#This Row],[Plan01]:[Plan12]])/valUnits2</f>
        <v>0</v>
      </c>
      <c r="AG260" s="34">
        <f>SUMPRODUCT(DB_SOFList[[#This Row],[Act01]:[Act12]],$P$13:$AA$13)/valUnits2</f>
        <v>2.1658900000000001</v>
      </c>
      <c r="AH260" s="34">
        <f>IF(DB_SOFList[[#This Row],[FYPlan]]&lt;&gt;0,DB_SOFList[[#This Row],[FYActuals]]/DB_SOFList[[#This Row],[FYPlan]],1.000011000011)</f>
        <v>1.0000110000110001</v>
      </c>
    </row>
    <row r="261" spans="1:34" x14ac:dyDescent="0.2">
      <c r="A261">
        <f>SUBTOTAL(3,$B$16:B261)</f>
        <v>68</v>
      </c>
      <c r="B261" t="s">
        <v>1</v>
      </c>
      <c r="C261" t="s">
        <v>898</v>
      </c>
      <c r="D261">
        <v>-197.101</v>
      </c>
      <c r="E261">
        <v>-108.33</v>
      </c>
      <c r="P261">
        <v>-204.70000000000002</v>
      </c>
      <c r="Q261">
        <v>-115.53</v>
      </c>
      <c r="AB261">
        <f>SUMPRODUCT(DB_SOFList[[#This Row],[Plan01]:[Plan12]],$D$14:$O$14)/valUnits2</f>
        <v>-0.30543100000000001</v>
      </c>
      <c r="AC261">
        <f>SUMPRODUCT(DB_SOFList[[#This Row],[Act01]:[Act12]],$P$14:$AA$14)/valUnits2</f>
        <v>-0.32023000000000001</v>
      </c>
      <c r="AD261">
        <f>DB_SOFList[[#This Row],[Actual]]-DB_SOFList[[#This Row],[Plan]]</f>
        <v>-1.4799000000000007E-2</v>
      </c>
      <c r="AE261">
        <f>IF(DB_SOFList[[#This Row],[Plan]]&lt;&gt;0,DB_SOFList[[#This Row],[Actual]]/DB_SOFList[[#This Row],[Plan]],1.000011000011)</f>
        <v>1.0484528420494319</v>
      </c>
      <c r="AF261" s="34">
        <f>SUM(DB_SOFList[[#This Row],[Plan01]:[Plan12]])/valUnits2</f>
        <v>-0.30543100000000001</v>
      </c>
      <c r="AG261" s="34">
        <f>SUMPRODUCT(DB_SOFList[[#This Row],[Act01]:[Act12]],$P$13:$AA$13)/valUnits2</f>
        <v>-0.32023000000000001</v>
      </c>
      <c r="AH261" s="34">
        <f>IF(DB_SOFList[[#This Row],[FYPlan]]&lt;&gt;0,DB_SOFList[[#This Row],[FYActuals]]/DB_SOFList[[#This Row],[FYPlan]],1.000011000011)</f>
        <v>1.0484528420494319</v>
      </c>
    </row>
    <row r="262" spans="1:34" hidden="1" x14ac:dyDescent="0.2">
      <c r="A262">
        <f>SUBTOTAL(3,$B$16:B262)</f>
        <v>68</v>
      </c>
      <c r="B262" t="s">
        <v>342</v>
      </c>
      <c r="C262" t="s">
        <v>898</v>
      </c>
      <c r="D262">
        <v>-197.101</v>
      </c>
      <c r="E262">
        <v>-108.33</v>
      </c>
      <c r="P262">
        <v>-204.70000000000002</v>
      </c>
      <c r="Q262">
        <v>-115.53</v>
      </c>
      <c r="AB262">
        <f>SUMPRODUCT(DB_SOFList[[#This Row],[Plan01]:[Plan12]],$D$14:$O$14)/valUnits2</f>
        <v>-0.30543100000000001</v>
      </c>
      <c r="AC262">
        <f>SUMPRODUCT(DB_SOFList[[#This Row],[Act01]:[Act12]],$P$14:$AA$14)/valUnits2</f>
        <v>-0.32023000000000001</v>
      </c>
      <c r="AD262">
        <f>DB_SOFList[[#This Row],[Actual]]-DB_SOFList[[#This Row],[Plan]]</f>
        <v>-1.4799000000000007E-2</v>
      </c>
      <c r="AE262">
        <f>IF(DB_SOFList[[#This Row],[Plan]]&lt;&gt;0,DB_SOFList[[#This Row],[Actual]]/DB_SOFList[[#This Row],[Plan]],1.000011000011)</f>
        <v>1.0484528420494319</v>
      </c>
      <c r="AF262" s="34">
        <f>SUM(DB_SOFList[[#This Row],[Plan01]:[Plan12]])/valUnits2</f>
        <v>-0.30543100000000001</v>
      </c>
      <c r="AG262" s="34">
        <f>SUMPRODUCT(DB_SOFList[[#This Row],[Act01]:[Act12]],$P$13:$AA$13)/valUnits2</f>
        <v>-0.32023000000000001</v>
      </c>
      <c r="AH262" s="34">
        <f>IF(DB_SOFList[[#This Row],[FYPlan]]&lt;&gt;0,DB_SOFList[[#This Row],[FYActuals]]/DB_SOFList[[#This Row],[FYPlan]],1.000011000011)</f>
        <v>1.0484528420494319</v>
      </c>
    </row>
    <row r="263" spans="1:34" x14ac:dyDescent="0.2">
      <c r="A263">
        <f>SUBTOTAL(3,$B$16:B263)</f>
        <v>69</v>
      </c>
      <c r="B263" t="s">
        <v>1</v>
      </c>
      <c r="C263" t="s">
        <v>899</v>
      </c>
      <c r="D263">
        <v>-12.531000000000001</v>
      </c>
      <c r="E263">
        <v>153.03300000000002</v>
      </c>
      <c r="F263">
        <v>1065.2560000000001</v>
      </c>
      <c r="G263">
        <v>252.79300000000001</v>
      </c>
      <c r="H263">
        <v>816.20299999999997</v>
      </c>
      <c r="P263">
        <v>-12.53</v>
      </c>
      <c r="Q263">
        <v>152.54999999999998</v>
      </c>
      <c r="R263">
        <v>1057.58</v>
      </c>
      <c r="S263">
        <v>254.21</v>
      </c>
      <c r="T263">
        <v>820.17</v>
      </c>
      <c r="AB263">
        <f>SUMPRODUCT(DB_SOFList[[#This Row],[Plan01]:[Plan12]],$D$14:$O$14)/valUnits2</f>
        <v>2.2747539999999997</v>
      </c>
      <c r="AC263">
        <f>SUMPRODUCT(DB_SOFList[[#This Row],[Act01]:[Act12]],$P$14:$AA$14)/valUnits2</f>
        <v>2.2719800000000001</v>
      </c>
      <c r="AD263">
        <f>DB_SOFList[[#This Row],[Actual]]-DB_SOFList[[#This Row],[Plan]]</f>
        <v>-2.7739999999996101E-3</v>
      </c>
      <c r="AE263">
        <f>IF(DB_SOFList[[#This Row],[Plan]]&lt;&gt;0,DB_SOFList[[#This Row],[Actual]]/DB_SOFList[[#This Row],[Plan]],1.000011000011)</f>
        <v>0.99878052747681745</v>
      </c>
      <c r="AF263" s="34">
        <f>SUM(DB_SOFList[[#This Row],[Plan01]:[Plan12]])/valUnits2</f>
        <v>2.2747539999999997</v>
      </c>
      <c r="AG263" s="34">
        <f>SUMPRODUCT(DB_SOFList[[#This Row],[Act01]:[Act12]],$P$13:$AA$13)/valUnits2</f>
        <v>2.2719800000000001</v>
      </c>
      <c r="AH263" s="34">
        <f>IF(DB_SOFList[[#This Row],[FYPlan]]&lt;&gt;0,DB_SOFList[[#This Row],[FYActuals]]/DB_SOFList[[#This Row],[FYPlan]],1.000011000011)</f>
        <v>0.99878052747681745</v>
      </c>
    </row>
    <row r="264" spans="1:34" hidden="1" x14ac:dyDescent="0.2">
      <c r="A264">
        <f>SUBTOTAL(3,$B$16:B264)</f>
        <v>69</v>
      </c>
      <c r="B264" t="s">
        <v>342</v>
      </c>
      <c r="C264" t="s">
        <v>899</v>
      </c>
      <c r="D264">
        <v>-12.531000000000001</v>
      </c>
      <c r="E264">
        <v>2.5430000000000001</v>
      </c>
      <c r="G264">
        <v>252.79300000000001</v>
      </c>
      <c r="H264">
        <v>816.20299999999997</v>
      </c>
      <c r="P264">
        <v>-12.53</v>
      </c>
      <c r="Q264">
        <v>2.54</v>
      </c>
      <c r="S264">
        <v>254.21</v>
      </c>
      <c r="T264">
        <v>820.17</v>
      </c>
      <c r="AB264">
        <f>SUMPRODUCT(DB_SOFList[[#This Row],[Plan01]:[Plan12]],$D$14:$O$14)/valUnits2</f>
        <v>1.0590079999999999</v>
      </c>
      <c r="AC264">
        <f>SUMPRODUCT(DB_SOFList[[#This Row],[Act01]:[Act12]],$P$14:$AA$14)/valUnits2</f>
        <v>1.0643899999999999</v>
      </c>
      <c r="AD264">
        <f>DB_SOFList[[#This Row],[Actual]]-DB_SOFList[[#This Row],[Plan]]</f>
        <v>5.3819999999999979E-3</v>
      </c>
      <c r="AE264">
        <f>IF(DB_SOFList[[#This Row],[Plan]]&lt;&gt;0,DB_SOFList[[#This Row],[Actual]]/DB_SOFList[[#This Row],[Plan]],1.000011000011)</f>
        <v>1.0050821145827038</v>
      </c>
      <c r="AF264" s="34">
        <f>SUM(DB_SOFList[[#This Row],[Plan01]:[Plan12]])/valUnits2</f>
        <v>1.0590079999999999</v>
      </c>
      <c r="AG264" s="34">
        <f>SUMPRODUCT(DB_SOFList[[#This Row],[Act01]:[Act12]],$P$13:$AA$13)/valUnits2</f>
        <v>1.0643899999999999</v>
      </c>
      <c r="AH264" s="34">
        <f>IF(DB_SOFList[[#This Row],[FYPlan]]&lt;&gt;0,DB_SOFList[[#This Row],[FYActuals]]/DB_SOFList[[#This Row],[FYPlan]],1.000011000011)</f>
        <v>1.0050821145827038</v>
      </c>
    </row>
    <row r="265" spans="1:34" hidden="1" x14ac:dyDescent="0.2">
      <c r="A265">
        <f>SUBTOTAL(3,$B$16:B265)</f>
        <v>69</v>
      </c>
      <c r="B265" t="s">
        <v>350</v>
      </c>
      <c r="C265" t="s">
        <v>899</v>
      </c>
      <c r="E265">
        <v>150.49</v>
      </c>
      <c r="F265">
        <v>1065.2560000000001</v>
      </c>
      <c r="Q265">
        <v>150.01</v>
      </c>
      <c r="R265">
        <v>1057.58</v>
      </c>
      <c r="AB265">
        <f>SUMPRODUCT(DB_SOFList[[#This Row],[Plan01]:[Plan12]],$D$14:$O$14)/valUnits2</f>
        <v>1.215746</v>
      </c>
      <c r="AC265">
        <f>SUMPRODUCT(DB_SOFList[[#This Row],[Act01]:[Act12]],$P$14:$AA$14)/valUnits2</f>
        <v>1.2075899999999999</v>
      </c>
      <c r="AD265">
        <f>DB_SOFList[[#This Row],[Actual]]-DB_SOFList[[#This Row],[Plan]]</f>
        <v>-8.1560000000000521E-3</v>
      </c>
      <c r="AE265">
        <f>IF(DB_SOFList[[#This Row],[Plan]]&lt;&gt;0,DB_SOFList[[#This Row],[Actual]]/DB_SOFList[[#This Row],[Plan]],1.000011000011)</f>
        <v>0.99329136184696465</v>
      </c>
      <c r="AF265" s="34">
        <f>SUM(DB_SOFList[[#This Row],[Plan01]:[Plan12]])/valUnits2</f>
        <v>1.215746</v>
      </c>
      <c r="AG265" s="34">
        <f>SUMPRODUCT(DB_SOFList[[#This Row],[Act01]:[Act12]],$P$13:$AA$13)/valUnits2</f>
        <v>1.2075899999999999</v>
      </c>
      <c r="AH265" s="34">
        <f>IF(DB_SOFList[[#This Row],[FYPlan]]&lt;&gt;0,DB_SOFList[[#This Row],[FYActuals]]/DB_SOFList[[#This Row],[FYPlan]],1.000011000011)</f>
        <v>0.99329136184696465</v>
      </c>
    </row>
    <row r="266" spans="1:34" x14ac:dyDescent="0.2">
      <c r="A266">
        <f>SUBTOTAL(3,$B$16:B266)</f>
        <v>70</v>
      </c>
      <c r="B266" t="s">
        <v>1</v>
      </c>
      <c r="C266" t="s">
        <v>900</v>
      </c>
      <c r="F266">
        <v>-9.4999999996630891E-2</v>
      </c>
      <c r="R266">
        <v>-9.000000000730779E-2</v>
      </c>
      <c r="AB266">
        <f>SUMPRODUCT(DB_SOFList[[#This Row],[Plan01]:[Plan12]],$D$14:$O$14)/valUnits2</f>
        <v>-9.4999999996630888E-5</v>
      </c>
      <c r="AC266">
        <f>SUMPRODUCT(DB_SOFList[[#This Row],[Act01]:[Act12]],$P$14:$AA$14)/valUnits2</f>
        <v>-9.0000000007307786E-5</v>
      </c>
      <c r="AD266">
        <f>DB_SOFList[[#This Row],[Actual]]-DB_SOFList[[#This Row],[Plan]]</f>
        <v>4.9999999893231018E-6</v>
      </c>
      <c r="AE266">
        <f>IF(DB_SOFList[[#This Row],[Plan]]&lt;&gt;0,DB_SOFList[[#This Row],[Actual]]/DB_SOFList[[#This Row],[Plan]],1.000011000011)</f>
        <v>0.94736842116315345</v>
      </c>
      <c r="AF266" s="34">
        <f>SUM(DB_SOFList[[#This Row],[Plan01]:[Plan12]])/valUnits2</f>
        <v>-9.4999999996630888E-5</v>
      </c>
      <c r="AG266" s="34">
        <f>SUMPRODUCT(DB_SOFList[[#This Row],[Act01]:[Act12]],$P$13:$AA$13)/valUnits2</f>
        <v>-9.0000000007307786E-5</v>
      </c>
      <c r="AH266" s="34">
        <f>IF(DB_SOFList[[#This Row],[FYPlan]]&lt;&gt;0,DB_SOFList[[#This Row],[FYActuals]]/DB_SOFList[[#This Row],[FYPlan]],1.000011000011)</f>
        <v>0.94736842116315345</v>
      </c>
    </row>
    <row r="267" spans="1:34" hidden="1" x14ac:dyDescent="0.2">
      <c r="A267">
        <f>SUBTOTAL(3,$B$16:B267)</f>
        <v>70</v>
      </c>
      <c r="B267" t="s">
        <v>346</v>
      </c>
      <c r="C267" t="s">
        <v>900</v>
      </c>
      <c r="F267">
        <v>-9.4999999996630891E-2</v>
      </c>
      <c r="R267">
        <v>-9.000000000730779E-2</v>
      </c>
      <c r="AB267">
        <f>SUMPRODUCT(DB_SOFList[[#This Row],[Plan01]:[Plan12]],$D$14:$O$14)/valUnits2</f>
        <v>-9.4999999996630888E-5</v>
      </c>
      <c r="AC267">
        <f>SUMPRODUCT(DB_SOFList[[#This Row],[Act01]:[Act12]],$P$14:$AA$14)/valUnits2</f>
        <v>-9.0000000007307786E-5</v>
      </c>
      <c r="AD267">
        <f>DB_SOFList[[#This Row],[Actual]]-DB_SOFList[[#This Row],[Plan]]</f>
        <v>4.9999999893231018E-6</v>
      </c>
      <c r="AE267">
        <f>IF(DB_SOFList[[#This Row],[Plan]]&lt;&gt;0,DB_SOFList[[#This Row],[Actual]]/DB_SOFList[[#This Row],[Plan]],1.000011000011)</f>
        <v>0.94736842116315345</v>
      </c>
      <c r="AF267" s="34">
        <f>SUM(DB_SOFList[[#This Row],[Plan01]:[Plan12]])/valUnits2</f>
        <v>-9.4999999996630888E-5</v>
      </c>
      <c r="AG267" s="34">
        <f>SUMPRODUCT(DB_SOFList[[#This Row],[Act01]:[Act12]],$P$13:$AA$13)/valUnits2</f>
        <v>-9.0000000007307786E-5</v>
      </c>
      <c r="AH267" s="34">
        <f>IF(DB_SOFList[[#This Row],[FYPlan]]&lt;&gt;0,DB_SOFList[[#This Row],[FYActuals]]/DB_SOFList[[#This Row],[FYPlan]],1.000011000011)</f>
        <v>0.94736842116315345</v>
      </c>
    </row>
    <row r="268" spans="1:34" x14ac:dyDescent="0.2">
      <c r="A268">
        <f>SUBTOTAL(3,$B$16:B268)</f>
        <v>71</v>
      </c>
      <c r="B268" t="s">
        <v>1</v>
      </c>
      <c r="C268" t="s">
        <v>901</v>
      </c>
      <c r="F268">
        <v>-48.728999999999999</v>
      </c>
      <c r="R268">
        <v>71.91</v>
      </c>
      <c r="AB268">
        <f>SUMPRODUCT(DB_SOFList[[#This Row],[Plan01]:[Plan12]],$D$14:$O$14)/valUnits2</f>
        <v>-4.8729000000000001E-2</v>
      </c>
      <c r="AC268">
        <f>SUMPRODUCT(DB_SOFList[[#This Row],[Act01]:[Act12]],$P$14:$AA$14)/valUnits2</f>
        <v>7.1910000000000002E-2</v>
      </c>
      <c r="AD268">
        <f>DB_SOFList[[#This Row],[Actual]]-DB_SOFList[[#This Row],[Plan]]</f>
        <v>0.120639</v>
      </c>
      <c r="AE268">
        <f>IF(DB_SOFList[[#This Row],[Plan]]&lt;&gt;0,DB_SOFList[[#This Row],[Actual]]/DB_SOFList[[#This Row],[Plan]],1.000011000011)</f>
        <v>-1.4757126146647788</v>
      </c>
      <c r="AF268" s="34">
        <f>SUM(DB_SOFList[[#This Row],[Plan01]:[Plan12]])/valUnits2</f>
        <v>-4.8729000000000001E-2</v>
      </c>
      <c r="AG268" s="34">
        <f>SUMPRODUCT(DB_SOFList[[#This Row],[Act01]:[Act12]],$P$13:$AA$13)/valUnits2</f>
        <v>7.1910000000000002E-2</v>
      </c>
      <c r="AH268" s="34">
        <f>IF(DB_SOFList[[#This Row],[FYPlan]]&lt;&gt;0,DB_SOFList[[#This Row],[FYActuals]]/DB_SOFList[[#This Row],[FYPlan]],1.000011000011)</f>
        <v>-1.4757126146647788</v>
      </c>
    </row>
    <row r="269" spans="1:34" hidden="1" x14ac:dyDescent="0.2">
      <c r="A269">
        <f>SUBTOTAL(3,$B$16:B269)</f>
        <v>71</v>
      </c>
      <c r="B269" t="s">
        <v>349</v>
      </c>
      <c r="C269" t="s">
        <v>901</v>
      </c>
      <c r="F269">
        <v>-48.728999999999999</v>
      </c>
      <c r="R269">
        <v>71.91</v>
      </c>
      <c r="AB269">
        <f>SUMPRODUCT(DB_SOFList[[#This Row],[Plan01]:[Plan12]],$D$14:$O$14)/valUnits2</f>
        <v>-4.8729000000000001E-2</v>
      </c>
      <c r="AC269">
        <f>SUMPRODUCT(DB_SOFList[[#This Row],[Act01]:[Act12]],$P$14:$AA$14)/valUnits2</f>
        <v>7.1910000000000002E-2</v>
      </c>
      <c r="AD269">
        <f>DB_SOFList[[#This Row],[Actual]]-DB_SOFList[[#This Row],[Plan]]</f>
        <v>0.120639</v>
      </c>
      <c r="AE269">
        <f>IF(DB_SOFList[[#This Row],[Plan]]&lt;&gt;0,DB_SOFList[[#This Row],[Actual]]/DB_SOFList[[#This Row],[Plan]],1.000011000011)</f>
        <v>-1.4757126146647788</v>
      </c>
      <c r="AF269" s="34">
        <f>SUM(DB_SOFList[[#This Row],[Plan01]:[Plan12]])/valUnits2</f>
        <v>-4.8729000000000001E-2</v>
      </c>
      <c r="AG269" s="34">
        <f>SUMPRODUCT(DB_SOFList[[#This Row],[Act01]:[Act12]],$P$13:$AA$13)/valUnits2</f>
        <v>7.1910000000000002E-2</v>
      </c>
      <c r="AH269" s="34">
        <f>IF(DB_SOFList[[#This Row],[FYPlan]]&lt;&gt;0,DB_SOFList[[#This Row],[FYActuals]]/DB_SOFList[[#This Row],[FYPlan]],1.000011000011)</f>
        <v>-1.4757126146647788</v>
      </c>
    </row>
    <row r="270" spans="1:34" x14ac:dyDescent="0.2">
      <c r="A270">
        <f>SUBTOTAL(3,$B$16:B270)</f>
        <v>72</v>
      </c>
      <c r="B270" t="s">
        <v>1</v>
      </c>
      <c r="C270" t="s">
        <v>902</v>
      </c>
      <c r="E270">
        <v>1657.84</v>
      </c>
      <c r="G270">
        <v>0</v>
      </c>
      <c r="I270">
        <v>409.24</v>
      </c>
      <c r="L270">
        <v>409.24</v>
      </c>
      <c r="O270">
        <v>409.24</v>
      </c>
      <c r="Q270">
        <v>1657.84</v>
      </c>
      <c r="S270">
        <v>0</v>
      </c>
      <c r="U270">
        <v>0</v>
      </c>
      <c r="X270">
        <v>0</v>
      </c>
      <c r="AA270">
        <v>0</v>
      </c>
      <c r="AB270">
        <f>SUMPRODUCT(DB_SOFList[[#This Row],[Plan01]:[Plan12]],$D$14:$O$14)/valUnits2</f>
        <v>2.0670799999999998</v>
      </c>
      <c r="AC270">
        <f>SUMPRODUCT(DB_SOFList[[#This Row],[Act01]:[Act12]],$P$14:$AA$14)/valUnits2</f>
        <v>1.65784</v>
      </c>
      <c r="AD270">
        <f>DB_SOFList[[#This Row],[Actual]]-DB_SOFList[[#This Row],[Plan]]</f>
        <v>-0.40923999999999983</v>
      </c>
      <c r="AE270">
        <f>IF(DB_SOFList[[#This Row],[Plan]]&lt;&gt;0,DB_SOFList[[#This Row],[Actual]]/DB_SOFList[[#This Row],[Plan]],1.000011000011)</f>
        <v>0.8020202411130678</v>
      </c>
      <c r="AF270" s="34">
        <f>SUM(DB_SOFList[[#This Row],[Plan01]:[Plan12]])/valUnits2</f>
        <v>2.8855599999999995</v>
      </c>
      <c r="AG270" s="34">
        <f>SUMPRODUCT(DB_SOFList[[#This Row],[Act01]:[Act12]],$P$13:$AA$13)/valUnits2</f>
        <v>1.65784</v>
      </c>
      <c r="AH270" s="34">
        <f>IF(DB_SOFList[[#This Row],[FYPlan]]&lt;&gt;0,DB_SOFList[[#This Row],[FYActuals]]/DB_SOFList[[#This Row],[FYPlan]],1.000011000011)</f>
        <v>0.57452972733195651</v>
      </c>
    </row>
    <row r="271" spans="1:34" hidden="1" x14ac:dyDescent="0.2">
      <c r="A271">
        <f>SUBTOTAL(3,$B$16:B271)</f>
        <v>72</v>
      </c>
      <c r="B271" t="s">
        <v>347</v>
      </c>
      <c r="C271" t="s">
        <v>902</v>
      </c>
      <c r="E271">
        <v>1657.84</v>
      </c>
      <c r="G271">
        <v>0</v>
      </c>
      <c r="I271">
        <v>409.24</v>
      </c>
      <c r="L271">
        <v>409.24</v>
      </c>
      <c r="O271">
        <v>409.24</v>
      </c>
      <c r="Q271">
        <v>1657.84</v>
      </c>
      <c r="S271">
        <v>0</v>
      </c>
      <c r="U271">
        <v>0</v>
      </c>
      <c r="X271">
        <v>0</v>
      </c>
      <c r="AA271">
        <v>0</v>
      </c>
      <c r="AB271">
        <f>SUMPRODUCT(DB_SOFList[[#This Row],[Plan01]:[Plan12]],$D$14:$O$14)/valUnits2</f>
        <v>2.0670799999999998</v>
      </c>
      <c r="AC271">
        <f>SUMPRODUCT(DB_SOFList[[#This Row],[Act01]:[Act12]],$P$14:$AA$14)/valUnits2</f>
        <v>1.65784</v>
      </c>
      <c r="AD271">
        <f>DB_SOFList[[#This Row],[Actual]]-DB_SOFList[[#This Row],[Plan]]</f>
        <v>-0.40923999999999983</v>
      </c>
      <c r="AE271">
        <f>IF(DB_SOFList[[#This Row],[Plan]]&lt;&gt;0,DB_SOFList[[#This Row],[Actual]]/DB_SOFList[[#This Row],[Plan]],1.000011000011)</f>
        <v>0.8020202411130678</v>
      </c>
      <c r="AF271" s="34">
        <f>SUM(DB_SOFList[[#This Row],[Plan01]:[Plan12]])/valUnits2</f>
        <v>2.8855599999999995</v>
      </c>
      <c r="AG271" s="34">
        <f>SUMPRODUCT(DB_SOFList[[#This Row],[Act01]:[Act12]],$P$13:$AA$13)/valUnits2</f>
        <v>1.65784</v>
      </c>
      <c r="AH271" s="34">
        <f>IF(DB_SOFList[[#This Row],[FYPlan]]&lt;&gt;0,DB_SOFList[[#This Row],[FYActuals]]/DB_SOFList[[#This Row],[FYPlan]],1.000011000011)</f>
        <v>0.57452972733195651</v>
      </c>
    </row>
    <row r="272" spans="1:34" x14ac:dyDescent="0.2">
      <c r="A272">
        <f>SUBTOTAL(3,$B$16:B272)</f>
        <v>73</v>
      </c>
      <c r="B272" t="s">
        <v>1</v>
      </c>
      <c r="C272" t="s">
        <v>903</v>
      </c>
      <c r="G272">
        <v>3594.3850000000002</v>
      </c>
      <c r="H272">
        <v>13683.057000000001</v>
      </c>
      <c r="I272">
        <v>2696.3609999999999</v>
      </c>
      <c r="J272">
        <v>2293.451</v>
      </c>
      <c r="K272">
        <v>3127.875</v>
      </c>
      <c r="L272">
        <v>2091.9970000000003</v>
      </c>
      <c r="M272">
        <v>9934.6470000000008</v>
      </c>
      <c r="N272">
        <v>9225.125</v>
      </c>
      <c r="O272">
        <v>9213.5220000000008</v>
      </c>
      <c r="S272">
        <v>3554.74</v>
      </c>
      <c r="T272">
        <v>13838.24</v>
      </c>
      <c r="U272">
        <v>1865.17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f>SUMPRODUCT(DB_SOFList[[#This Row],[Plan01]:[Plan12]],$D$14:$O$14)/valUnits2</f>
        <v>19.973803000000004</v>
      </c>
      <c r="AC272">
        <f>SUMPRODUCT(DB_SOFList[[#This Row],[Act01]:[Act12]],$P$14:$AA$14)/valUnits2</f>
        <v>19.258150000000001</v>
      </c>
      <c r="AD272">
        <f>DB_SOFList[[#This Row],[Actual]]-DB_SOFList[[#This Row],[Plan]]</f>
        <v>-0.7156530000000032</v>
      </c>
      <c r="AE272">
        <f>IF(DB_SOFList[[#This Row],[Plan]]&lt;&gt;0,DB_SOFList[[#This Row],[Actual]]/DB_SOFList[[#This Row],[Plan]],1.000011000011)</f>
        <v>0.96417041862283293</v>
      </c>
      <c r="AF272" s="34">
        <f>SUM(DB_SOFList[[#This Row],[Plan01]:[Plan12]])/valUnits2</f>
        <v>55.860419999999998</v>
      </c>
      <c r="AG272" s="34">
        <f>SUMPRODUCT(DB_SOFList[[#This Row],[Act01]:[Act12]],$P$13:$AA$13)/valUnits2</f>
        <v>19.258150000000001</v>
      </c>
      <c r="AH272" s="34">
        <f>IF(DB_SOFList[[#This Row],[FYPlan]]&lt;&gt;0,DB_SOFList[[#This Row],[FYActuals]]/DB_SOFList[[#This Row],[FYPlan]],1.000011000011)</f>
        <v>0.34475483714587185</v>
      </c>
    </row>
    <row r="273" spans="1:34" hidden="1" x14ac:dyDescent="0.2">
      <c r="A273">
        <f>SUBTOTAL(3,$B$16:B273)</f>
        <v>73</v>
      </c>
      <c r="B273" t="s">
        <v>342</v>
      </c>
      <c r="C273" t="s">
        <v>903</v>
      </c>
      <c r="G273">
        <v>3529.5940000000001</v>
      </c>
      <c r="H273">
        <v>13558.859</v>
      </c>
      <c r="I273">
        <v>1565.962</v>
      </c>
      <c r="J273">
        <v>1163.0519999999999</v>
      </c>
      <c r="K273">
        <v>1997.4759999999999</v>
      </c>
      <c r="L273">
        <v>961.59799999999996</v>
      </c>
      <c r="M273">
        <v>8804.2480000000014</v>
      </c>
      <c r="N273">
        <v>8094.7259999999997</v>
      </c>
      <c r="O273">
        <v>8083.1230000000014</v>
      </c>
      <c r="S273">
        <v>3490.79</v>
      </c>
      <c r="T273">
        <v>13713.25</v>
      </c>
      <c r="U273">
        <v>1776.06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f>SUMPRODUCT(DB_SOFList[[#This Row],[Plan01]:[Plan12]],$D$14:$O$14)/valUnits2</f>
        <v>18.654415</v>
      </c>
      <c r="AC273">
        <f>SUMPRODUCT(DB_SOFList[[#This Row],[Act01]:[Act12]],$P$14:$AA$14)/valUnits2</f>
        <v>18.980100000000004</v>
      </c>
      <c r="AD273">
        <f>DB_SOFList[[#This Row],[Actual]]-DB_SOFList[[#This Row],[Plan]]</f>
        <v>0.32568500000000355</v>
      </c>
      <c r="AE273">
        <f>IF(DB_SOFList[[#This Row],[Plan]]&lt;&gt;0,DB_SOFList[[#This Row],[Actual]]/DB_SOFList[[#This Row],[Plan]],1.000011000011)</f>
        <v>1.0174588696563256</v>
      </c>
      <c r="AF273" s="34">
        <f>SUM(DB_SOFList[[#This Row],[Plan01]:[Plan12]])/valUnits2</f>
        <v>47.758637999999998</v>
      </c>
      <c r="AG273" s="34">
        <f>SUMPRODUCT(DB_SOFList[[#This Row],[Act01]:[Act12]],$P$13:$AA$13)/valUnits2</f>
        <v>18.980100000000004</v>
      </c>
      <c r="AH273" s="34">
        <f>IF(DB_SOFList[[#This Row],[FYPlan]]&lt;&gt;0,DB_SOFList[[#This Row],[FYActuals]]/DB_SOFList[[#This Row],[FYPlan]],1.000011000011)</f>
        <v>0.39741711227192039</v>
      </c>
    </row>
    <row r="274" spans="1:34" hidden="1" x14ac:dyDescent="0.2">
      <c r="A274">
        <f>SUBTOTAL(3,$B$16:B274)</f>
        <v>73</v>
      </c>
      <c r="B274" t="s">
        <v>351</v>
      </c>
      <c r="C274" t="s">
        <v>903</v>
      </c>
      <c r="G274">
        <v>64.790999999999997</v>
      </c>
      <c r="H274">
        <v>124.19800000000001</v>
      </c>
      <c r="I274">
        <v>1130.3990000000001</v>
      </c>
      <c r="J274">
        <v>1130.3990000000001</v>
      </c>
      <c r="K274">
        <v>1130.3990000000001</v>
      </c>
      <c r="L274">
        <v>1130.3990000000001</v>
      </c>
      <c r="M274">
        <v>1130.3990000000001</v>
      </c>
      <c r="N274">
        <v>1130.3990000000001</v>
      </c>
      <c r="O274">
        <v>1130.3990000000001</v>
      </c>
      <c r="S274">
        <v>63.95</v>
      </c>
      <c r="T274">
        <v>124.99000000000001</v>
      </c>
      <c r="U274">
        <v>88.94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f>SUMPRODUCT(DB_SOFList[[#This Row],[Plan01]:[Plan12]],$D$14:$O$14)/valUnits2</f>
        <v>1.3193880000000002</v>
      </c>
      <c r="AC274">
        <f>SUMPRODUCT(DB_SOFList[[#This Row],[Act01]:[Act12]],$P$14:$AA$14)/valUnits2</f>
        <v>0.27788000000000002</v>
      </c>
      <c r="AD274">
        <f>DB_SOFList[[#This Row],[Actual]]-DB_SOFList[[#This Row],[Plan]]</f>
        <v>-1.0415080000000003</v>
      </c>
      <c r="AE274">
        <f>IF(DB_SOFList[[#This Row],[Plan]]&lt;&gt;0,DB_SOFList[[#This Row],[Actual]]/DB_SOFList[[#This Row],[Plan]],1.000011000011)</f>
        <v>0.21061279926753917</v>
      </c>
      <c r="AF274" s="34">
        <f>SUM(DB_SOFList[[#This Row],[Plan01]:[Plan12]])/valUnits2</f>
        <v>8.1017820000000018</v>
      </c>
      <c r="AG274" s="34">
        <f>SUMPRODUCT(DB_SOFList[[#This Row],[Act01]:[Act12]],$P$13:$AA$13)/valUnits2</f>
        <v>0.27788000000000002</v>
      </c>
      <c r="AH274" s="34">
        <f>IF(DB_SOFList[[#This Row],[FYPlan]]&lt;&gt;0,DB_SOFList[[#This Row],[FYActuals]]/DB_SOFList[[#This Row],[FYPlan]],1.000011000011)</f>
        <v>3.4298627141535032E-2</v>
      </c>
    </row>
    <row r="275" spans="1:34" hidden="1" x14ac:dyDescent="0.2">
      <c r="A275">
        <f>SUBTOTAL(3,$B$16:B275)</f>
        <v>73</v>
      </c>
      <c r="B275" t="s">
        <v>350</v>
      </c>
      <c r="C275" t="s">
        <v>903</v>
      </c>
      <c r="I275">
        <v>0</v>
      </c>
      <c r="U275">
        <v>0.17</v>
      </c>
      <c r="AB275">
        <f>SUMPRODUCT(DB_SOFList[[#This Row],[Plan01]:[Plan12]],$D$14:$O$14)/valUnits2</f>
        <v>0</v>
      </c>
      <c r="AC275">
        <f>SUMPRODUCT(DB_SOFList[[#This Row],[Act01]:[Act12]],$P$14:$AA$14)/valUnits2</f>
        <v>1.7000000000000001E-4</v>
      </c>
      <c r="AD275">
        <f>DB_SOFList[[#This Row],[Actual]]-DB_SOFList[[#This Row],[Plan]]</f>
        <v>1.7000000000000001E-4</v>
      </c>
      <c r="AE275">
        <f>IF(DB_SOFList[[#This Row],[Plan]]&lt;&gt;0,DB_SOFList[[#This Row],[Actual]]/DB_SOFList[[#This Row],[Plan]],1.000011000011)</f>
        <v>1.0000110000110001</v>
      </c>
      <c r="AF275" s="34">
        <f>SUM(DB_SOFList[[#This Row],[Plan01]:[Plan12]])/valUnits2</f>
        <v>0</v>
      </c>
      <c r="AG275" s="34">
        <f>SUMPRODUCT(DB_SOFList[[#This Row],[Act01]:[Act12]],$P$13:$AA$13)/valUnits2</f>
        <v>1.7000000000000001E-4</v>
      </c>
      <c r="AH275" s="34">
        <f>IF(DB_SOFList[[#This Row],[FYPlan]]&lt;&gt;0,DB_SOFList[[#This Row],[FYActuals]]/DB_SOFList[[#This Row],[FYPlan]],1.000011000011)</f>
        <v>1.0000110000110001</v>
      </c>
    </row>
    <row r="276" spans="1:34" x14ac:dyDescent="0.2">
      <c r="A276">
        <f>SUBTOTAL(3,$B$16:B276)</f>
        <v>74</v>
      </c>
      <c r="B276" t="s">
        <v>1</v>
      </c>
      <c r="C276" t="s">
        <v>365</v>
      </c>
      <c r="D276">
        <v>9656.07</v>
      </c>
      <c r="E276">
        <v>364.44599999999997</v>
      </c>
      <c r="F276">
        <v>532.87800000000004</v>
      </c>
      <c r="G276">
        <v>182.70299999999997</v>
      </c>
      <c r="H276">
        <v>16678.080000000002</v>
      </c>
      <c r="I276">
        <v>8387.1839999999993</v>
      </c>
      <c r="J276">
        <v>10620.018</v>
      </c>
      <c r="K276">
        <v>10620.018</v>
      </c>
      <c r="P276">
        <v>9651.16</v>
      </c>
      <c r="Q276">
        <v>365.52</v>
      </c>
      <c r="R276">
        <v>536.22</v>
      </c>
      <c r="S276">
        <v>185.39</v>
      </c>
      <c r="T276">
        <v>17138.29</v>
      </c>
      <c r="U276">
        <v>154.32</v>
      </c>
      <c r="V276">
        <v>0</v>
      </c>
      <c r="W276">
        <v>0</v>
      </c>
      <c r="AB276">
        <f>SUMPRODUCT(DB_SOFList[[#This Row],[Plan01]:[Plan12]],$D$14:$O$14)/valUnits2</f>
        <v>35.801361000000007</v>
      </c>
      <c r="AC276">
        <f>SUMPRODUCT(DB_SOFList[[#This Row],[Act01]:[Act12]],$P$14:$AA$14)/valUnits2</f>
        <v>28.030900000000003</v>
      </c>
      <c r="AD276">
        <f>DB_SOFList[[#This Row],[Actual]]-DB_SOFList[[#This Row],[Plan]]</f>
        <v>-7.7704610000000045</v>
      </c>
      <c r="AE276">
        <f>IF(DB_SOFList[[#This Row],[Plan]]&lt;&gt;0,DB_SOFList[[#This Row],[Actual]]/DB_SOFList[[#This Row],[Plan]],1.000011000011)</f>
        <v>0.7829562680591946</v>
      </c>
      <c r="AF276" s="34">
        <f>SUM(DB_SOFList[[#This Row],[Plan01]:[Plan12]])/valUnits2</f>
        <v>57.041396999999996</v>
      </c>
      <c r="AG276" s="34">
        <f>SUMPRODUCT(DB_SOFList[[#This Row],[Act01]:[Act12]],$P$13:$AA$13)/valUnits2</f>
        <v>28.030900000000003</v>
      </c>
      <c r="AH276" s="34">
        <f>IF(DB_SOFList[[#This Row],[FYPlan]]&lt;&gt;0,DB_SOFList[[#This Row],[FYActuals]]/DB_SOFList[[#This Row],[FYPlan]],1.000011000011)</f>
        <v>0.49141328007797574</v>
      </c>
    </row>
    <row r="277" spans="1:34" hidden="1" x14ac:dyDescent="0.2">
      <c r="A277">
        <f>SUBTOTAL(3,$B$16:B277)</f>
        <v>74</v>
      </c>
      <c r="B277" t="s">
        <v>351</v>
      </c>
      <c r="C277" t="s">
        <v>365</v>
      </c>
      <c r="E277">
        <v>316.14999999999998</v>
      </c>
      <c r="F277">
        <v>506.702</v>
      </c>
      <c r="G277">
        <v>182.70299999999997</v>
      </c>
      <c r="H277">
        <v>98.053000000000011</v>
      </c>
      <c r="I277">
        <v>330.36099999999999</v>
      </c>
      <c r="J277">
        <v>330.36099999999999</v>
      </c>
      <c r="K277">
        <v>330.36099999999999</v>
      </c>
      <c r="Q277">
        <v>317.56</v>
      </c>
      <c r="R277">
        <v>509.88</v>
      </c>
      <c r="S277">
        <v>185.39</v>
      </c>
      <c r="T277">
        <v>98.879999999999967</v>
      </c>
      <c r="U277">
        <v>70.36</v>
      </c>
      <c r="V277">
        <v>0</v>
      </c>
      <c r="W277">
        <v>0</v>
      </c>
      <c r="AB277">
        <f>SUMPRODUCT(DB_SOFList[[#This Row],[Plan01]:[Plan12]],$D$14:$O$14)/valUnits2</f>
        <v>1.433969</v>
      </c>
      <c r="AC277">
        <f>SUMPRODUCT(DB_SOFList[[#This Row],[Act01]:[Act12]],$P$14:$AA$14)/valUnits2</f>
        <v>1.18207</v>
      </c>
      <c r="AD277">
        <f>DB_SOFList[[#This Row],[Actual]]-DB_SOFList[[#This Row],[Plan]]</f>
        <v>-0.2518990000000001</v>
      </c>
      <c r="AE277">
        <f>IF(DB_SOFList[[#This Row],[Plan]]&lt;&gt;0,DB_SOFList[[#This Row],[Actual]]/DB_SOFList[[#This Row],[Plan]],1.000011000011)</f>
        <v>0.82433441727122403</v>
      </c>
      <c r="AF277" s="34">
        <f>SUM(DB_SOFList[[#This Row],[Plan01]:[Plan12]])/valUnits2</f>
        <v>2.0946909999999996</v>
      </c>
      <c r="AG277" s="34">
        <f>SUMPRODUCT(DB_SOFList[[#This Row],[Act01]:[Act12]],$P$13:$AA$13)/valUnits2</f>
        <v>1.18207</v>
      </c>
      <c r="AH277" s="34">
        <f>IF(DB_SOFList[[#This Row],[FYPlan]]&lt;&gt;0,DB_SOFList[[#This Row],[FYActuals]]/DB_SOFList[[#This Row],[FYPlan]],1.000011000011)</f>
        <v>0.56431712362348441</v>
      </c>
    </row>
    <row r="278" spans="1:34" hidden="1" x14ac:dyDescent="0.2">
      <c r="A278">
        <f>SUBTOTAL(3,$B$16:B278)</f>
        <v>74</v>
      </c>
      <c r="B278" t="s">
        <v>344</v>
      </c>
      <c r="C278" t="s">
        <v>365</v>
      </c>
      <c r="D278">
        <v>9656.07</v>
      </c>
      <c r="E278">
        <v>48.295999999999999</v>
      </c>
      <c r="F278">
        <v>26.175999999999998</v>
      </c>
      <c r="G278">
        <v>0</v>
      </c>
      <c r="H278">
        <v>16580.027000000002</v>
      </c>
      <c r="I278">
        <v>7952.7719999999999</v>
      </c>
      <c r="J278">
        <v>10185.606</v>
      </c>
      <c r="K278">
        <v>10185.606</v>
      </c>
      <c r="P278">
        <v>9651.16</v>
      </c>
      <c r="Q278">
        <v>47.96</v>
      </c>
      <c r="R278">
        <v>26.34</v>
      </c>
      <c r="S278">
        <v>0</v>
      </c>
      <c r="T278">
        <v>17039.41</v>
      </c>
      <c r="U278">
        <v>83.83</v>
      </c>
      <c r="V278">
        <v>0</v>
      </c>
      <c r="W278">
        <v>0</v>
      </c>
      <c r="AB278">
        <f>SUMPRODUCT(DB_SOFList[[#This Row],[Plan01]:[Plan12]],$D$14:$O$14)/valUnits2</f>
        <v>34.263340999999997</v>
      </c>
      <c r="AC278">
        <f>SUMPRODUCT(DB_SOFList[[#This Row],[Act01]:[Act12]],$P$14:$AA$14)/valUnits2</f>
        <v>26.848700000000001</v>
      </c>
      <c r="AD278">
        <f>DB_SOFList[[#This Row],[Actual]]-DB_SOFList[[#This Row],[Plan]]</f>
        <v>-7.414640999999996</v>
      </c>
      <c r="AE278">
        <f>IF(DB_SOFList[[#This Row],[Plan]]&lt;&gt;0,DB_SOFList[[#This Row],[Actual]]/DB_SOFList[[#This Row],[Plan]],1.000011000011)</f>
        <v>0.78359842374974475</v>
      </c>
      <c r="AF278" s="34">
        <f>SUM(DB_SOFList[[#This Row],[Plan01]:[Plan12]])/valUnits2</f>
        <v>54.634552999999997</v>
      </c>
      <c r="AG278" s="34">
        <f>SUMPRODUCT(DB_SOFList[[#This Row],[Act01]:[Act12]],$P$13:$AA$13)/valUnits2</f>
        <v>26.848700000000001</v>
      </c>
      <c r="AH278" s="34">
        <f>IF(DB_SOFList[[#This Row],[FYPlan]]&lt;&gt;0,DB_SOFList[[#This Row],[FYActuals]]/DB_SOFList[[#This Row],[FYPlan]],1.000011000011)</f>
        <v>0.49142344040043673</v>
      </c>
    </row>
    <row r="279" spans="1:34" hidden="1" x14ac:dyDescent="0.2">
      <c r="A279">
        <f>SUBTOTAL(3,$B$16:B279)</f>
        <v>74</v>
      </c>
      <c r="B279" t="s">
        <v>350</v>
      </c>
      <c r="C279" t="s">
        <v>365</v>
      </c>
      <c r="G279">
        <v>0</v>
      </c>
      <c r="H279">
        <v>0</v>
      </c>
      <c r="I279">
        <v>104.051</v>
      </c>
      <c r="J279">
        <v>104.051</v>
      </c>
      <c r="K279">
        <v>104.051</v>
      </c>
      <c r="S279">
        <v>0</v>
      </c>
      <c r="T279">
        <v>0</v>
      </c>
      <c r="U279">
        <v>0.13</v>
      </c>
      <c r="V279">
        <v>0</v>
      </c>
      <c r="W279">
        <v>0</v>
      </c>
      <c r="AB279">
        <f>SUMPRODUCT(DB_SOFList[[#This Row],[Plan01]:[Plan12]],$D$14:$O$14)/valUnits2</f>
        <v>0.104051</v>
      </c>
      <c r="AC279">
        <f>SUMPRODUCT(DB_SOFList[[#This Row],[Act01]:[Act12]],$P$14:$AA$14)/valUnits2</f>
        <v>1.3000000000000002E-4</v>
      </c>
      <c r="AD279">
        <f>DB_SOFList[[#This Row],[Actual]]-DB_SOFList[[#This Row],[Plan]]</f>
        <v>-0.103921</v>
      </c>
      <c r="AE279">
        <f>IF(DB_SOFList[[#This Row],[Plan]]&lt;&gt;0,DB_SOFList[[#This Row],[Actual]]/DB_SOFList[[#This Row],[Plan]],1.000011000011)</f>
        <v>1.2493873196797725E-3</v>
      </c>
      <c r="AF279" s="34">
        <f>SUM(DB_SOFList[[#This Row],[Plan01]:[Plan12]])/valUnits2</f>
        <v>0.31215300000000001</v>
      </c>
      <c r="AG279" s="34">
        <f>SUMPRODUCT(DB_SOFList[[#This Row],[Act01]:[Act12]],$P$13:$AA$13)/valUnits2</f>
        <v>1.3000000000000002E-4</v>
      </c>
      <c r="AH279" s="34">
        <f>IF(DB_SOFList[[#This Row],[FYPlan]]&lt;&gt;0,DB_SOFList[[#This Row],[FYActuals]]/DB_SOFList[[#This Row],[FYPlan]],1.000011000011)</f>
        <v>4.1646243989325749E-4</v>
      </c>
    </row>
    <row r="280" spans="1:34" x14ac:dyDescent="0.2">
      <c r="A280">
        <f>SUBTOTAL(3,$B$16:B280)</f>
        <v>75</v>
      </c>
      <c r="B280" t="s">
        <v>1</v>
      </c>
      <c r="C280" t="s">
        <v>904</v>
      </c>
      <c r="D280">
        <v>4068.4479999999994</v>
      </c>
      <c r="E280">
        <v>13621.041999999998</v>
      </c>
      <c r="F280">
        <v>22670.533000000003</v>
      </c>
      <c r="G280">
        <v>9766.0490000000009</v>
      </c>
      <c r="H280">
        <v>18460.315000000002</v>
      </c>
      <c r="I280">
        <v>8104.8959999999997</v>
      </c>
      <c r="J280">
        <v>6308.5530000000008</v>
      </c>
      <c r="K280">
        <v>6308.5530000000008</v>
      </c>
      <c r="L280">
        <v>6505.0420000000004</v>
      </c>
      <c r="M280">
        <v>5797.1660000000002</v>
      </c>
      <c r="N280">
        <v>4557.7719999999999</v>
      </c>
      <c r="O280">
        <v>4361.2829999999994</v>
      </c>
      <c r="P280">
        <v>4068.33</v>
      </c>
      <c r="Q280">
        <v>13607.21</v>
      </c>
      <c r="R280">
        <v>22519.529999999992</v>
      </c>
      <c r="S280">
        <v>9930.1199999999972</v>
      </c>
      <c r="T280">
        <v>18499.259999999998</v>
      </c>
      <c r="U280">
        <v>-2303.69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f>SUMPRODUCT(DB_SOFList[[#This Row],[Plan01]:[Plan12]],$D$14:$O$14)/valUnits2</f>
        <v>76.691282999999999</v>
      </c>
      <c r="AC280">
        <f>SUMPRODUCT(DB_SOFList[[#This Row],[Act01]:[Act12]],$P$14:$AA$14)/valUnits2</f>
        <v>66.320759999999979</v>
      </c>
      <c r="AD280">
        <f>DB_SOFList[[#This Row],[Actual]]-DB_SOFList[[#This Row],[Plan]]</f>
        <v>-10.37052300000002</v>
      </c>
      <c r="AE280">
        <f>IF(DB_SOFList[[#This Row],[Plan]]&lt;&gt;0,DB_SOFList[[#This Row],[Actual]]/DB_SOFList[[#This Row],[Plan]],1.000011000011)</f>
        <v>0.86477572685803128</v>
      </c>
      <c r="AF280" s="34">
        <f>SUM(DB_SOFList[[#This Row],[Plan01]:[Plan12]])/valUnits2</f>
        <v>110.52965199999998</v>
      </c>
      <c r="AG280" s="34">
        <f>SUMPRODUCT(DB_SOFList[[#This Row],[Act01]:[Act12]],$P$13:$AA$13)/valUnits2</f>
        <v>66.320759999999979</v>
      </c>
      <c r="AH280" s="34">
        <f>IF(DB_SOFList[[#This Row],[FYPlan]]&lt;&gt;0,DB_SOFList[[#This Row],[FYActuals]]/DB_SOFList[[#This Row],[FYPlan]],1.000011000011)</f>
        <v>0.60002685976067294</v>
      </c>
    </row>
    <row r="281" spans="1:34" hidden="1" x14ac:dyDescent="0.2">
      <c r="A281">
        <f>SUBTOTAL(3,$B$16:B281)</f>
        <v>75</v>
      </c>
      <c r="B281" t="s">
        <v>351</v>
      </c>
      <c r="C281" t="s">
        <v>904</v>
      </c>
      <c r="D281">
        <v>703.10799999999995</v>
      </c>
      <c r="E281">
        <v>409.16700000000003</v>
      </c>
      <c r="F281">
        <v>686.28300000000002</v>
      </c>
      <c r="G281">
        <v>1046.57</v>
      </c>
      <c r="H281">
        <v>718.34099999999978</v>
      </c>
      <c r="I281">
        <v>990.74499999999989</v>
      </c>
      <c r="J281">
        <v>990.74499999999989</v>
      </c>
      <c r="K281">
        <v>990.74499999999989</v>
      </c>
      <c r="L281">
        <v>990.74499999999989</v>
      </c>
      <c r="M281">
        <v>990.74499999999989</v>
      </c>
      <c r="N281">
        <v>990.74499999999989</v>
      </c>
      <c r="O281">
        <v>990.74499999999989</v>
      </c>
      <c r="P281">
        <v>703.05</v>
      </c>
      <c r="Q281">
        <v>408.16</v>
      </c>
      <c r="R281">
        <v>683.64</v>
      </c>
      <c r="S281">
        <v>1168.4100000000001</v>
      </c>
      <c r="T281">
        <v>721.37000000000012</v>
      </c>
      <c r="U281">
        <v>1080.33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s="34">
        <f>SUMPRODUCT(DB_SOFList[[#This Row],[Plan01]:[Plan12]],$D$14:$O$14)/valUnits2</f>
        <v>4.554214</v>
      </c>
      <c r="AC281" s="34">
        <f>SUMPRODUCT(DB_SOFList[[#This Row],[Act01]:[Act12]],$P$14:$AA$14)/valUnits2</f>
        <v>4.7649600000000003</v>
      </c>
      <c r="AD281" s="34">
        <f>DB_SOFList[[#This Row],[Actual]]-DB_SOFList[[#This Row],[Plan]]</f>
        <v>0.21074600000000032</v>
      </c>
      <c r="AE281" s="34">
        <f>IF(DB_SOFList[[#This Row],[Plan]]&lt;&gt;0,DB_SOFList[[#This Row],[Actual]]/DB_SOFList[[#This Row],[Plan]],1.000011000011)</f>
        <v>1.0462749444799915</v>
      </c>
      <c r="AF281" s="34">
        <f>SUM(DB_SOFList[[#This Row],[Plan01]:[Plan12]])/valUnits2</f>
        <v>10.498683999999997</v>
      </c>
      <c r="AG281" s="34">
        <f>SUMPRODUCT(DB_SOFList[[#This Row],[Act01]:[Act12]],$P$13:$AA$13)/valUnits2</f>
        <v>4.7649600000000003</v>
      </c>
      <c r="AH281" s="34">
        <f>IF(DB_SOFList[[#This Row],[FYPlan]]&lt;&gt;0,DB_SOFList[[#This Row],[FYActuals]]/DB_SOFList[[#This Row],[FYPlan]],1.000011000011)</f>
        <v>0.45386259839804699</v>
      </c>
    </row>
    <row r="282" spans="1:34" hidden="1" x14ac:dyDescent="0.2">
      <c r="A282">
        <f>SUBTOTAL(3,$B$16:B282)</f>
        <v>75</v>
      </c>
      <c r="B282" t="s">
        <v>348</v>
      </c>
      <c r="C282" t="s">
        <v>904</v>
      </c>
      <c r="D282">
        <v>3365.3399999999997</v>
      </c>
      <c r="E282">
        <v>13206.280999999999</v>
      </c>
      <c r="F282">
        <v>21975.558000000005</v>
      </c>
      <c r="G282">
        <v>8719.4790000000012</v>
      </c>
      <c r="H282">
        <v>17431.623000000003</v>
      </c>
      <c r="I282">
        <v>7114.1509999999998</v>
      </c>
      <c r="J282">
        <v>5317.8080000000009</v>
      </c>
      <c r="K282">
        <v>5317.8080000000009</v>
      </c>
      <c r="L282">
        <v>5514.2970000000005</v>
      </c>
      <c r="M282">
        <v>4806.4210000000003</v>
      </c>
      <c r="N282">
        <v>3567.027</v>
      </c>
      <c r="O282">
        <v>3370.538</v>
      </c>
      <c r="P282">
        <v>3365.28</v>
      </c>
      <c r="Q282">
        <v>13193.47</v>
      </c>
      <c r="R282">
        <v>21827.269999999993</v>
      </c>
      <c r="S282">
        <v>8761.7099999999973</v>
      </c>
      <c r="T282">
        <v>17471.509999999998</v>
      </c>
      <c r="U282">
        <v>-3405.7599999999998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f>SUMPRODUCT(DB_SOFList[[#This Row],[Plan01]:[Plan12]],$D$14:$O$14)/valUnits2</f>
        <v>71.812432000000001</v>
      </c>
      <c r="AC282">
        <f>SUMPRODUCT(DB_SOFList[[#This Row],[Act01]:[Act12]],$P$14:$AA$14)/valUnits2</f>
        <v>61.21347999999999</v>
      </c>
      <c r="AD282">
        <f>DB_SOFList[[#This Row],[Actual]]-DB_SOFList[[#This Row],[Plan]]</f>
        <v>-10.598952000000011</v>
      </c>
      <c r="AE282">
        <f>IF(DB_SOFList[[#This Row],[Plan]]&lt;&gt;0,DB_SOFList[[#This Row],[Actual]]/DB_SOFList[[#This Row],[Plan]],1.000011000011)</f>
        <v>0.85240783935572584</v>
      </c>
      <c r="AF282" s="34">
        <f>SUM(DB_SOFList[[#This Row],[Plan01]:[Plan12]])/valUnits2</f>
        <v>99.70633100000002</v>
      </c>
      <c r="AG282" s="34">
        <f>SUMPRODUCT(DB_SOFList[[#This Row],[Act01]:[Act12]],$P$13:$AA$13)/valUnits2</f>
        <v>61.21347999999999</v>
      </c>
      <c r="AH282" s="34">
        <f>IF(DB_SOFList[[#This Row],[FYPlan]]&lt;&gt;0,DB_SOFList[[#This Row],[FYActuals]]/DB_SOFList[[#This Row],[FYPlan]],1.000011000011)</f>
        <v>0.61393774483588182</v>
      </c>
    </row>
    <row r="283" spans="1:34" hidden="1" x14ac:dyDescent="0.2">
      <c r="A283">
        <f>SUBTOTAL(3,$B$16:B283)</f>
        <v>75</v>
      </c>
      <c r="B283" t="s">
        <v>350</v>
      </c>
      <c r="C283" t="s">
        <v>904</v>
      </c>
      <c r="E283">
        <v>5.5940000000000003</v>
      </c>
      <c r="F283">
        <v>8.6920000000000002</v>
      </c>
      <c r="H283">
        <v>310.351</v>
      </c>
      <c r="I283">
        <v>0</v>
      </c>
      <c r="Q283">
        <v>5.58</v>
      </c>
      <c r="R283">
        <v>8.620000000000001</v>
      </c>
      <c r="T283">
        <v>306.38</v>
      </c>
      <c r="U283">
        <v>21.740000000000002</v>
      </c>
      <c r="AB283">
        <f>SUMPRODUCT(DB_SOFList[[#This Row],[Plan01]:[Plan12]],$D$14:$O$14)/valUnits2</f>
        <v>0.32463700000000001</v>
      </c>
      <c r="AC283">
        <f>SUMPRODUCT(DB_SOFList[[#This Row],[Act01]:[Act12]],$P$14:$AA$14)/valUnits2</f>
        <v>0.34232000000000001</v>
      </c>
      <c r="AD283">
        <f>DB_SOFList[[#This Row],[Actual]]-DB_SOFList[[#This Row],[Plan]]</f>
        <v>1.7683000000000004E-2</v>
      </c>
      <c r="AE283">
        <f>IF(DB_SOFList[[#This Row],[Plan]]&lt;&gt;0,DB_SOFList[[#This Row],[Actual]]/DB_SOFList[[#This Row],[Plan]],1.000011000011)</f>
        <v>1.0544700696470211</v>
      </c>
      <c r="AF283" s="34">
        <f>SUM(DB_SOFList[[#This Row],[Plan01]:[Plan12]])/valUnits2</f>
        <v>0.32463700000000001</v>
      </c>
      <c r="AG283" s="34">
        <f>SUMPRODUCT(DB_SOFList[[#This Row],[Act01]:[Act12]],$P$13:$AA$13)/valUnits2</f>
        <v>0.34232000000000001</v>
      </c>
      <c r="AH283" s="34">
        <f>IF(DB_SOFList[[#This Row],[FYPlan]]&lt;&gt;0,DB_SOFList[[#This Row],[FYActuals]]/DB_SOFList[[#This Row],[FYPlan]],1.000011000011)</f>
        <v>1.0544700696470211</v>
      </c>
    </row>
    <row r="284" spans="1:34" x14ac:dyDescent="0.2">
      <c r="A284">
        <f>SUBTOTAL(3,$B$16:B284)</f>
        <v>76</v>
      </c>
      <c r="B284" t="s">
        <v>1</v>
      </c>
      <c r="C284" t="s">
        <v>905</v>
      </c>
      <c r="D284">
        <v>3704.0100000000007</v>
      </c>
      <c r="E284">
        <v>3006.0299999999997</v>
      </c>
      <c r="F284">
        <v>99.719999999999573</v>
      </c>
      <c r="G284">
        <v>1221.29</v>
      </c>
      <c r="H284">
        <v>-10087.529999999999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3704.0100000000007</v>
      </c>
      <c r="Q284">
        <v>2977.42</v>
      </c>
      <c r="R284">
        <v>99.719999999999459</v>
      </c>
      <c r="S284">
        <v>1221.29</v>
      </c>
      <c r="T284">
        <v>-10087.529999999999</v>
      </c>
      <c r="U284">
        <v>-19.079999999999998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f>SUMPRODUCT(DB_SOFList[[#This Row],[Plan01]:[Plan12]],$D$14:$O$14)/valUnits2</f>
        <v>-2.0564799999999988</v>
      </c>
      <c r="AC284">
        <f>SUMPRODUCT(DB_SOFList[[#This Row],[Act01]:[Act12]],$P$14:$AA$14)/valUnits2</f>
        <v>-2.104169999999999</v>
      </c>
      <c r="AD284">
        <f>DB_SOFList[[#This Row],[Actual]]-DB_SOFList[[#This Row],[Plan]]</f>
        <v>-4.7690000000000232E-2</v>
      </c>
      <c r="AE284">
        <f>IF(DB_SOFList[[#This Row],[Plan]]&lt;&gt;0,DB_SOFList[[#This Row],[Actual]]/DB_SOFList[[#This Row],[Plan]],1.000011000011)</f>
        <v>1.0231901112580721</v>
      </c>
      <c r="AF284" s="34">
        <f>SUM(DB_SOFList[[#This Row],[Plan01]:[Plan12]])/valUnits2</f>
        <v>-2.0564799999999988</v>
      </c>
      <c r="AG284" s="34">
        <f>SUMPRODUCT(DB_SOFList[[#This Row],[Act01]:[Act12]],$P$13:$AA$13)/valUnits2</f>
        <v>-2.104169999999999</v>
      </c>
      <c r="AH284" s="34">
        <f>IF(DB_SOFList[[#This Row],[FYPlan]]&lt;&gt;0,DB_SOFList[[#This Row],[FYActuals]]/DB_SOFList[[#This Row],[FYPlan]],1.000011000011)</f>
        <v>1.0231901112580721</v>
      </c>
    </row>
    <row r="285" spans="1:34" hidden="1" x14ac:dyDescent="0.2">
      <c r="A285">
        <f>SUBTOTAL(3,$B$16:B285)</f>
        <v>76</v>
      </c>
      <c r="B285" t="s">
        <v>342</v>
      </c>
      <c r="C285" t="s">
        <v>905</v>
      </c>
      <c r="D285">
        <v>5856.8200000000006</v>
      </c>
      <c r="E285">
        <v>607.26</v>
      </c>
      <c r="F285">
        <v>-564.65000000000043</v>
      </c>
      <c r="G285">
        <v>844.52</v>
      </c>
      <c r="H285">
        <v>-9410.2899999999991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5856.8200000000006</v>
      </c>
      <c r="Q285">
        <v>578.65</v>
      </c>
      <c r="R285">
        <v>-564.65000000000055</v>
      </c>
      <c r="S285">
        <v>844.52</v>
      </c>
      <c r="T285">
        <v>-9410.2899999999991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f>SUMPRODUCT(DB_SOFList[[#This Row],[Plan01]:[Plan12]],$D$14:$O$14)/valUnits2</f>
        <v>-2.6663399999999982</v>
      </c>
      <c r="AC285">
        <f>SUMPRODUCT(DB_SOFList[[#This Row],[Act01]:[Act12]],$P$14:$AA$14)/valUnits2</f>
        <v>-2.6949499999999991</v>
      </c>
      <c r="AD285">
        <f>DB_SOFList[[#This Row],[Actual]]-DB_SOFList[[#This Row],[Plan]]</f>
        <v>-2.8610000000000912E-2</v>
      </c>
      <c r="AE285">
        <f>IF(DB_SOFList[[#This Row],[Plan]]&lt;&gt;0,DB_SOFList[[#This Row],[Actual]]/DB_SOFList[[#This Row],[Plan]],1.000011000011)</f>
        <v>1.0107300644328934</v>
      </c>
      <c r="AF285" s="34">
        <f>SUM(DB_SOFList[[#This Row],[Plan01]:[Plan12]])/valUnits2</f>
        <v>-2.6663399999999982</v>
      </c>
      <c r="AG285" s="34">
        <f>SUMPRODUCT(DB_SOFList[[#This Row],[Act01]:[Act12]],$P$13:$AA$13)/valUnits2</f>
        <v>-2.6949499999999991</v>
      </c>
      <c r="AH285" s="34">
        <f>IF(DB_SOFList[[#This Row],[FYPlan]]&lt;&gt;0,DB_SOFList[[#This Row],[FYActuals]]/DB_SOFList[[#This Row],[FYPlan]],1.000011000011)</f>
        <v>1.0107300644328934</v>
      </c>
    </row>
    <row r="286" spans="1:34" hidden="1" x14ac:dyDescent="0.2">
      <c r="A286">
        <f>SUBTOTAL(3,$B$16:B286)</f>
        <v>76</v>
      </c>
      <c r="B286" t="s">
        <v>351</v>
      </c>
      <c r="C286" t="s">
        <v>905</v>
      </c>
      <c r="D286">
        <v>123.82</v>
      </c>
      <c r="E286">
        <v>1354.9</v>
      </c>
      <c r="F286">
        <v>0</v>
      </c>
      <c r="G286">
        <v>5.53</v>
      </c>
      <c r="H286">
        <v>-1484.25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123.82</v>
      </c>
      <c r="Q286">
        <v>1354.9</v>
      </c>
      <c r="R286">
        <v>0</v>
      </c>
      <c r="S286">
        <v>5.53</v>
      </c>
      <c r="T286">
        <v>-1484.25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f>SUMPRODUCT(DB_SOFList[[#This Row],[Plan01]:[Plan12]],$D$14:$O$14)/valUnits2</f>
        <v>0</v>
      </c>
      <c r="AC286">
        <f>SUMPRODUCT(DB_SOFList[[#This Row],[Act01]:[Act12]],$P$14:$AA$14)/valUnits2</f>
        <v>0</v>
      </c>
      <c r="AD286">
        <f>DB_SOFList[[#This Row],[Actual]]-DB_SOFList[[#This Row],[Plan]]</f>
        <v>0</v>
      </c>
      <c r="AE286">
        <f>IF(DB_SOFList[[#This Row],[Plan]]&lt;&gt;0,DB_SOFList[[#This Row],[Actual]]/DB_SOFList[[#This Row],[Plan]],1.000011000011)</f>
        <v>1.0000110000110001</v>
      </c>
      <c r="AF286" s="34">
        <f>SUM(DB_SOFList[[#This Row],[Plan01]:[Plan12]])/valUnits2</f>
        <v>0</v>
      </c>
      <c r="AG286" s="34">
        <f>SUMPRODUCT(DB_SOFList[[#This Row],[Act01]:[Act12]],$P$13:$AA$13)/valUnits2</f>
        <v>0</v>
      </c>
      <c r="AH286" s="34">
        <f>IF(DB_SOFList[[#This Row],[FYPlan]]&lt;&gt;0,DB_SOFList[[#This Row],[FYActuals]]/DB_SOFList[[#This Row],[FYPlan]],1.000011000011)</f>
        <v>1.0000110000110001</v>
      </c>
    </row>
    <row r="287" spans="1:34" hidden="1" x14ac:dyDescent="0.2">
      <c r="A287">
        <f>SUBTOTAL(3,$B$16:B287)</f>
        <v>76</v>
      </c>
      <c r="B287" t="s">
        <v>343</v>
      </c>
      <c r="C287" t="s">
        <v>905</v>
      </c>
      <c r="D287">
        <v>182.39</v>
      </c>
      <c r="E287">
        <v>428.47999999999996</v>
      </c>
      <c r="F287">
        <v>664.37</v>
      </c>
      <c r="G287">
        <v>371.24</v>
      </c>
      <c r="H287">
        <v>-1110.8599999999999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182.39</v>
      </c>
      <c r="Q287">
        <v>428.47999999999996</v>
      </c>
      <c r="R287">
        <v>664.37</v>
      </c>
      <c r="S287">
        <v>371.24</v>
      </c>
      <c r="T287">
        <v>-1110.8600000000001</v>
      </c>
      <c r="U287">
        <v>-19.079999999999998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s="34">
        <f>SUMPRODUCT(DB_SOFList[[#This Row],[Plan01]:[Plan12]],$D$14:$O$14)/valUnits2</f>
        <v>0.53561999999999987</v>
      </c>
      <c r="AC287" s="34">
        <f>SUMPRODUCT(DB_SOFList[[#This Row],[Act01]:[Act12]],$P$14:$AA$14)/valUnits2</f>
        <v>0.51653999999999967</v>
      </c>
      <c r="AD287" s="34">
        <f>DB_SOFList[[#This Row],[Actual]]-DB_SOFList[[#This Row],[Plan]]</f>
        <v>-1.9080000000000208E-2</v>
      </c>
      <c r="AE287" s="34">
        <f>IF(DB_SOFList[[#This Row],[Plan]]&lt;&gt;0,DB_SOFList[[#This Row],[Actual]]/DB_SOFList[[#This Row],[Plan]],1.000011000011)</f>
        <v>0.96437773048056419</v>
      </c>
      <c r="AF287" s="34">
        <f>SUM(DB_SOFList[[#This Row],[Plan01]:[Plan12]])/valUnits2</f>
        <v>0.53561999999999987</v>
      </c>
      <c r="AG287" s="34">
        <f>SUMPRODUCT(DB_SOFList[[#This Row],[Act01]:[Act12]],$P$13:$AA$13)/valUnits2</f>
        <v>0.51653999999999967</v>
      </c>
      <c r="AH287" s="34">
        <f>IF(DB_SOFList[[#This Row],[FYPlan]]&lt;&gt;0,DB_SOFList[[#This Row],[FYActuals]]/DB_SOFList[[#This Row],[FYPlan]],1.000011000011)</f>
        <v>0.96437773048056419</v>
      </c>
    </row>
    <row r="288" spans="1:34" hidden="1" x14ac:dyDescent="0.2">
      <c r="A288">
        <f>SUBTOTAL(3,$B$16:B288)</f>
        <v>76</v>
      </c>
      <c r="B288" t="s">
        <v>346</v>
      </c>
      <c r="C288" t="s">
        <v>905</v>
      </c>
      <c r="D288">
        <v>-2459.02</v>
      </c>
      <c r="E288">
        <v>615.39</v>
      </c>
      <c r="F288">
        <v>0</v>
      </c>
      <c r="G288">
        <v>0</v>
      </c>
      <c r="H288">
        <v>1917.8700000000003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-2459.02</v>
      </c>
      <c r="Q288">
        <v>615.39</v>
      </c>
      <c r="R288">
        <v>0</v>
      </c>
      <c r="S288">
        <v>0</v>
      </c>
      <c r="T288">
        <v>1917.8700000000003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f>SUMPRODUCT(DB_SOFList[[#This Row],[Plan01]:[Plan12]],$D$14:$O$14)/valUnits2</f>
        <v>7.4240000000000236E-2</v>
      </c>
      <c r="AC288">
        <f>SUMPRODUCT(DB_SOFList[[#This Row],[Act01]:[Act12]],$P$14:$AA$14)/valUnits2</f>
        <v>7.4240000000000236E-2</v>
      </c>
      <c r="AD288">
        <f>DB_SOFList[[#This Row],[Actual]]-DB_SOFList[[#This Row],[Plan]]</f>
        <v>0</v>
      </c>
      <c r="AE288">
        <f>IF(DB_SOFList[[#This Row],[Plan]]&lt;&gt;0,DB_SOFList[[#This Row],[Actual]]/DB_SOFList[[#This Row],[Plan]],1.000011000011)</f>
        <v>1</v>
      </c>
      <c r="AF288" s="34">
        <f>SUM(DB_SOFList[[#This Row],[Plan01]:[Plan12]])/valUnits2</f>
        <v>7.4240000000000236E-2</v>
      </c>
      <c r="AG288" s="34">
        <f>SUMPRODUCT(DB_SOFList[[#This Row],[Act01]:[Act12]],$P$13:$AA$13)/valUnits2</f>
        <v>7.4240000000000236E-2</v>
      </c>
      <c r="AH288" s="34">
        <f>IF(DB_SOFList[[#This Row],[FYPlan]]&lt;&gt;0,DB_SOFList[[#This Row],[FYActuals]]/DB_SOFList[[#This Row],[FYPlan]],1.000011000011)</f>
        <v>1</v>
      </c>
    </row>
    <row r="289" spans="1:34" hidden="1" x14ac:dyDescent="0.2">
      <c r="A289">
        <f>SUBTOTAL(3,$B$16:B289)</f>
        <v>76</v>
      </c>
      <c r="B289" t="s">
        <v>348</v>
      </c>
      <c r="C289" t="s">
        <v>905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f>SUMPRODUCT(DB_SOFList[[#This Row],[Plan01]:[Plan12]],$D$14:$O$14)/valUnits2</f>
        <v>0</v>
      </c>
      <c r="AC289">
        <f>SUMPRODUCT(DB_SOFList[[#This Row],[Act01]:[Act12]],$P$14:$AA$14)/valUnits2</f>
        <v>0</v>
      </c>
      <c r="AD289">
        <f>DB_SOFList[[#This Row],[Actual]]-DB_SOFList[[#This Row],[Plan]]</f>
        <v>0</v>
      </c>
      <c r="AE289">
        <f>IF(DB_SOFList[[#This Row],[Plan]]&lt;&gt;0,DB_SOFList[[#This Row],[Actual]]/DB_SOFList[[#This Row],[Plan]],1.000011000011)</f>
        <v>1.0000110000110001</v>
      </c>
      <c r="AF289" s="34">
        <f>SUM(DB_SOFList[[#This Row],[Plan01]:[Plan12]])/valUnits2</f>
        <v>0</v>
      </c>
      <c r="AG289" s="34">
        <f>SUMPRODUCT(DB_SOFList[[#This Row],[Act01]:[Act12]],$P$13:$AA$13)/valUnits2</f>
        <v>0</v>
      </c>
      <c r="AH289" s="34">
        <f>IF(DB_SOFList[[#This Row],[FYPlan]]&lt;&gt;0,DB_SOFList[[#This Row],[FYActuals]]/DB_SOFList[[#This Row],[FYPlan]],1.000011000011)</f>
        <v>1.0000110000110001</v>
      </c>
    </row>
    <row r="290" spans="1:34" x14ac:dyDescent="0.2">
      <c r="A290">
        <f>SUBTOTAL(3,$B$16:B290)</f>
        <v>77</v>
      </c>
      <c r="B290" t="s">
        <v>1</v>
      </c>
      <c r="C290" t="s">
        <v>906</v>
      </c>
      <c r="D290">
        <v>149.51</v>
      </c>
      <c r="E290">
        <v>-1449.3440000000001</v>
      </c>
      <c r="P290">
        <v>112.57000000000016</v>
      </c>
      <c r="Q290">
        <v>-1545.67</v>
      </c>
      <c r="AB290">
        <f>SUMPRODUCT(DB_SOFList[[#This Row],[Plan01]:[Plan12]],$D$14:$O$14)/valUnits2</f>
        <v>-1.2998340000000002</v>
      </c>
      <c r="AC290">
        <f>SUMPRODUCT(DB_SOFList[[#This Row],[Act01]:[Act12]],$P$14:$AA$14)/valUnits2</f>
        <v>-1.4330999999999998</v>
      </c>
      <c r="AD290">
        <f>DB_SOFList[[#This Row],[Actual]]-DB_SOFList[[#This Row],[Plan]]</f>
        <v>-0.13326599999999966</v>
      </c>
      <c r="AE290">
        <f>IF(DB_SOFList[[#This Row],[Plan]]&lt;&gt;0,DB_SOFList[[#This Row],[Actual]]/DB_SOFList[[#This Row],[Plan]],1.000011000011)</f>
        <v>1.1025253993971535</v>
      </c>
      <c r="AF290" s="34">
        <f>SUM(DB_SOFList[[#This Row],[Plan01]:[Plan12]])/valUnits2</f>
        <v>-1.2998340000000002</v>
      </c>
      <c r="AG290" s="34">
        <f>SUMPRODUCT(DB_SOFList[[#This Row],[Act01]:[Act12]],$P$13:$AA$13)/valUnits2</f>
        <v>-1.4330999999999998</v>
      </c>
      <c r="AH290" s="34">
        <f>IF(DB_SOFList[[#This Row],[FYPlan]]&lt;&gt;0,DB_SOFList[[#This Row],[FYActuals]]/DB_SOFList[[#This Row],[FYPlan]],1.000011000011)</f>
        <v>1.1025253993971535</v>
      </c>
    </row>
    <row r="291" spans="1:34" hidden="1" x14ac:dyDescent="0.2">
      <c r="A291">
        <f>SUBTOTAL(3,$B$16:B291)</f>
        <v>77</v>
      </c>
      <c r="B291" t="s">
        <v>344</v>
      </c>
      <c r="C291" t="s">
        <v>906</v>
      </c>
      <c r="D291">
        <v>149.51</v>
      </c>
      <c r="E291">
        <v>-1449.3440000000001</v>
      </c>
      <c r="P291">
        <v>112.57000000000016</v>
      </c>
      <c r="Q291">
        <v>-1545.67</v>
      </c>
      <c r="AB291">
        <f>SUMPRODUCT(DB_SOFList[[#This Row],[Plan01]:[Plan12]],$D$14:$O$14)/valUnits2</f>
        <v>-1.2998340000000002</v>
      </c>
      <c r="AC291">
        <f>SUMPRODUCT(DB_SOFList[[#This Row],[Act01]:[Act12]],$P$14:$AA$14)/valUnits2</f>
        <v>-1.4330999999999998</v>
      </c>
      <c r="AD291">
        <f>DB_SOFList[[#This Row],[Actual]]-DB_SOFList[[#This Row],[Plan]]</f>
        <v>-0.13326599999999966</v>
      </c>
      <c r="AE291">
        <f>IF(DB_SOFList[[#This Row],[Plan]]&lt;&gt;0,DB_SOFList[[#This Row],[Actual]]/DB_SOFList[[#This Row],[Plan]],1.000011000011)</f>
        <v>1.1025253993971535</v>
      </c>
      <c r="AF291" s="34">
        <f>SUM(DB_SOFList[[#This Row],[Plan01]:[Plan12]])/valUnits2</f>
        <v>-1.2998340000000002</v>
      </c>
      <c r="AG291" s="34">
        <f>SUMPRODUCT(DB_SOFList[[#This Row],[Act01]:[Act12]],$P$13:$AA$13)/valUnits2</f>
        <v>-1.4330999999999998</v>
      </c>
      <c r="AH291" s="34">
        <f>IF(DB_SOFList[[#This Row],[FYPlan]]&lt;&gt;0,DB_SOFList[[#This Row],[FYActuals]]/DB_SOFList[[#This Row],[FYPlan]],1.000011000011)</f>
        <v>1.1025253993971535</v>
      </c>
    </row>
    <row r="292" spans="1:34" x14ac:dyDescent="0.2">
      <c r="A292">
        <f>SUBTOTAL(3,$B$16:B292)</f>
        <v>78</v>
      </c>
      <c r="B292" t="s">
        <v>1</v>
      </c>
      <c r="C292" t="s">
        <v>907</v>
      </c>
      <c r="D292">
        <v>1912.7839999999999</v>
      </c>
      <c r="E292">
        <v>1267.8650000000009</v>
      </c>
      <c r="F292">
        <v>0</v>
      </c>
      <c r="G292">
        <v>-97.852000000000004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1889.92</v>
      </c>
      <c r="Q292">
        <v>1315.29</v>
      </c>
      <c r="R292">
        <v>0</v>
      </c>
      <c r="S292">
        <v>-100.25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f>SUMPRODUCT(DB_SOFList[[#This Row],[Plan01]:[Plan12]],$D$14:$O$14)/valUnits2</f>
        <v>3.0827970000000011</v>
      </c>
      <c r="AC292">
        <f>SUMPRODUCT(DB_SOFList[[#This Row],[Act01]:[Act12]],$P$14:$AA$14)/valUnits2</f>
        <v>3.1049600000000002</v>
      </c>
      <c r="AD292">
        <f>DB_SOFList[[#This Row],[Actual]]-DB_SOFList[[#This Row],[Plan]]</f>
        <v>2.2162999999999045E-2</v>
      </c>
      <c r="AE292">
        <f>IF(DB_SOFList[[#This Row],[Plan]]&lt;&gt;0,DB_SOFList[[#This Row],[Actual]]/DB_SOFList[[#This Row],[Plan]],1.000011000011)</f>
        <v>1.0071892505409856</v>
      </c>
      <c r="AF292" s="34">
        <f>SUM(DB_SOFList[[#This Row],[Plan01]:[Plan12]])/valUnits2</f>
        <v>3.0827970000000011</v>
      </c>
      <c r="AG292" s="34">
        <f>SUMPRODUCT(DB_SOFList[[#This Row],[Act01]:[Act12]],$P$13:$AA$13)/valUnits2</f>
        <v>3.1049600000000002</v>
      </c>
      <c r="AH292" s="34">
        <f>IF(DB_SOFList[[#This Row],[FYPlan]]&lt;&gt;0,DB_SOFList[[#This Row],[FYActuals]]/DB_SOFList[[#This Row],[FYPlan]],1.000011000011)</f>
        <v>1.0071892505409856</v>
      </c>
    </row>
    <row r="293" spans="1:34" hidden="1" x14ac:dyDescent="0.2">
      <c r="A293">
        <f>SUBTOTAL(3,$B$16:B293)</f>
        <v>78</v>
      </c>
      <c r="B293" t="s">
        <v>351</v>
      </c>
      <c r="C293" t="s">
        <v>907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f>SUMPRODUCT(DB_SOFList[[#This Row],[Plan01]:[Plan12]],$D$14:$O$14)/valUnits2</f>
        <v>0</v>
      </c>
      <c r="AC293">
        <f>SUMPRODUCT(DB_SOFList[[#This Row],[Act01]:[Act12]],$P$14:$AA$14)/valUnits2</f>
        <v>0</v>
      </c>
      <c r="AD293">
        <f>DB_SOFList[[#This Row],[Actual]]-DB_SOFList[[#This Row],[Plan]]</f>
        <v>0</v>
      </c>
      <c r="AE293">
        <f>IF(DB_SOFList[[#This Row],[Plan]]&lt;&gt;0,DB_SOFList[[#This Row],[Actual]]/DB_SOFList[[#This Row],[Plan]],1.000011000011)</f>
        <v>1.0000110000110001</v>
      </c>
      <c r="AF293" s="34">
        <f>SUM(DB_SOFList[[#This Row],[Plan01]:[Plan12]])/valUnits2</f>
        <v>0</v>
      </c>
      <c r="AG293" s="34">
        <f>SUMPRODUCT(DB_SOFList[[#This Row],[Act01]:[Act12]],$P$13:$AA$13)/valUnits2</f>
        <v>0</v>
      </c>
      <c r="AH293" s="34">
        <f>IF(DB_SOFList[[#This Row],[FYPlan]]&lt;&gt;0,DB_SOFList[[#This Row],[FYActuals]]/DB_SOFList[[#This Row],[FYPlan]],1.000011000011)</f>
        <v>1.0000110000110001</v>
      </c>
    </row>
    <row r="294" spans="1:34" hidden="1" x14ac:dyDescent="0.2">
      <c r="A294">
        <f>SUBTOTAL(3,$B$16:B294)</f>
        <v>78</v>
      </c>
      <c r="B294" t="s">
        <v>345</v>
      </c>
      <c r="C294" t="s">
        <v>907</v>
      </c>
      <c r="D294">
        <v>2101.1689999999999</v>
      </c>
      <c r="E294">
        <v>1132.094000000001</v>
      </c>
      <c r="F294">
        <v>0</v>
      </c>
      <c r="G294">
        <v>-97.852000000000004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2072.52</v>
      </c>
      <c r="Q294">
        <v>1098.71</v>
      </c>
      <c r="R294">
        <v>0</v>
      </c>
      <c r="S294">
        <v>-100.25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f>SUMPRODUCT(DB_SOFList[[#This Row],[Plan01]:[Plan12]],$D$14:$O$14)/valUnits2</f>
        <v>3.1354110000000008</v>
      </c>
      <c r="AC294">
        <f>SUMPRODUCT(DB_SOFList[[#This Row],[Act01]:[Act12]],$P$14:$AA$14)/valUnits2</f>
        <v>3.07098</v>
      </c>
      <c r="AD294">
        <f>DB_SOFList[[#This Row],[Actual]]-DB_SOFList[[#This Row],[Plan]]</f>
        <v>-6.4431000000000793E-2</v>
      </c>
      <c r="AE294">
        <f>IF(DB_SOFList[[#This Row],[Plan]]&lt;&gt;0,DB_SOFList[[#This Row],[Actual]]/DB_SOFList[[#This Row],[Plan]],1.000011000011)</f>
        <v>0.97945054093386774</v>
      </c>
      <c r="AF294" s="34">
        <f>SUM(DB_SOFList[[#This Row],[Plan01]:[Plan12]])/valUnits2</f>
        <v>3.1354110000000008</v>
      </c>
      <c r="AG294" s="34">
        <f>SUMPRODUCT(DB_SOFList[[#This Row],[Act01]:[Act12]],$P$13:$AA$13)/valUnits2</f>
        <v>3.07098</v>
      </c>
      <c r="AH294" s="34">
        <f>IF(DB_SOFList[[#This Row],[FYPlan]]&lt;&gt;0,DB_SOFList[[#This Row],[FYActuals]]/DB_SOFList[[#This Row],[FYPlan]],1.000011000011)</f>
        <v>0.97945054093386774</v>
      </c>
    </row>
    <row r="295" spans="1:34" hidden="1" x14ac:dyDescent="0.2">
      <c r="A295">
        <f>SUBTOTAL(3,$B$16:B295)</f>
        <v>78</v>
      </c>
      <c r="B295" t="s">
        <v>349</v>
      </c>
      <c r="C295" t="s">
        <v>907</v>
      </c>
      <c r="D295">
        <v>-188.38499999999999</v>
      </c>
      <c r="E295">
        <v>135.77099999999999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-182.6</v>
      </c>
      <c r="Q295">
        <v>216.58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f>SUMPRODUCT(DB_SOFList[[#This Row],[Plan01]:[Plan12]],$D$14:$O$14)/valUnits2</f>
        <v>-5.2614000000000001E-2</v>
      </c>
      <c r="AC295">
        <f>SUMPRODUCT(DB_SOFList[[#This Row],[Act01]:[Act12]],$P$14:$AA$14)/valUnits2</f>
        <v>3.3980000000000017E-2</v>
      </c>
      <c r="AD295">
        <f>DB_SOFList[[#This Row],[Actual]]-DB_SOFList[[#This Row],[Plan]]</f>
        <v>8.6594000000000018E-2</v>
      </c>
      <c r="AE295">
        <f>IF(DB_SOFList[[#This Row],[Plan]]&lt;&gt;0,DB_SOFList[[#This Row],[Actual]]/DB_SOFList[[#This Row],[Plan]],1.000011000011)</f>
        <v>-0.64583570912684873</v>
      </c>
      <c r="AF295" s="34">
        <f>SUM(DB_SOFList[[#This Row],[Plan01]:[Plan12]])/valUnits2</f>
        <v>-5.2614000000000001E-2</v>
      </c>
      <c r="AG295" s="34">
        <f>SUMPRODUCT(DB_SOFList[[#This Row],[Act01]:[Act12]],$P$13:$AA$13)/valUnits2</f>
        <v>3.3980000000000017E-2</v>
      </c>
      <c r="AH295" s="34">
        <f>IF(DB_SOFList[[#This Row],[FYPlan]]&lt;&gt;0,DB_SOFList[[#This Row],[FYActuals]]/DB_SOFList[[#This Row],[FYPlan]],1.000011000011)</f>
        <v>-0.64583570912684873</v>
      </c>
    </row>
    <row r="296" spans="1:34" x14ac:dyDescent="0.2">
      <c r="A296">
        <f>SUBTOTAL(3,$B$16:B296)</f>
        <v>79</v>
      </c>
      <c r="B296" t="s">
        <v>1</v>
      </c>
      <c r="C296" t="s">
        <v>908</v>
      </c>
      <c r="D296">
        <v>23436.929</v>
      </c>
      <c r="E296">
        <v>165.84599999999949</v>
      </c>
      <c r="F296">
        <v>507.72200000000004</v>
      </c>
      <c r="G296">
        <v>6639.49</v>
      </c>
      <c r="H296">
        <v>7111.6569999999992</v>
      </c>
      <c r="I296">
        <v>27895.143000000004</v>
      </c>
      <c r="J296">
        <v>32643.388999999996</v>
      </c>
      <c r="K296">
        <v>10846.309999999998</v>
      </c>
      <c r="L296">
        <v>10937.69</v>
      </c>
      <c r="M296">
        <v>10846.31</v>
      </c>
      <c r="N296">
        <v>10846.31</v>
      </c>
      <c r="O296">
        <v>69021.573999999993</v>
      </c>
      <c r="P296">
        <v>23911.99</v>
      </c>
      <c r="Q296">
        <v>171.54000000000011</v>
      </c>
      <c r="R296">
        <v>501.67000000000007</v>
      </c>
      <c r="S296">
        <v>6582.5699999999988</v>
      </c>
      <c r="T296">
        <v>7188.8499999999985</v>
      </c>
      <c r="U296">
        <v>38349.310000000012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f>SUMPRODUCT(DB_SOFList[[#This Row],[Plan01]:[Plan12]],$D$14:$O$14)/valUnits2</f>
        <v>65.756787000000017</v>
      </c>
      <c r="AC296">
        <f>SUMPRODUCT(DB_SOFList[[#This Row],[Act01]:[Act12]],$P$14:$AA$14)/valUnits2</f>
        <v>76.705930000000023</v>
      </c>
      <c r="AD296">
        <f>DB_SOFList[[#This Row],[Actual]]-DB_SOFList[[#This Row],[Plan]]</f>
        <v>10.949143000000007</v>
      </c>
      <c r="AE296">
        <f>IF(DB_SOFList[[#This Row],[Plan]]&lt;&gt;0,DB_SOFList[[#This Row],[Actual]]/DB_SOFList[[#This Row],[Plan]],1.000011000011)</f>
        <v>1.1665097018806592</v>
      </c>
      <c r="AF296" s="34">
        <f>SUM(DB_SOFList[[#This Row],[Plan01]:[Plan12]])/valUnits2</f>
        <v>210.89837</v>
      </c>
      <c r="AG296" s="34">
        <f>SUMPRODUCT(DB_SOFList[[#This Row],[Act01]:[Act12]],$P$13:$AA$13)/valUnits2</f>
        <v>76.705930000000023</v>
      </c>
      <c r="AH296" s="34">
        <f>IF(DB_SOFList[[#This Row],[FYPlan]]&lt;&gt;0,DB_SOFList[[#This Row],[FYActuals]]/DB_SOFList[[#This Row],[FYPlan]],1.000011000011)</f>
        <v>0.36371039757206292</v>
      </c>
    </row>
    <row r="297" spans="1:34" hidden="1" x14ac:dyDescent="0.2">
      <c r="A297">
        <f>SUBTOTAL(3,$B$16:B297)</f>
        <v>79</v>
      </c>
      <c r="B297" t="s">
        <v>351</v>
      </c>
      <c r="C297" t="s">
        <v>908</v>
      </c>
      <c r="D297">
        <v>0</v>
      </c>
      <c r="E297">
        <v>0</v>
      </c>
      <c r="F297">
        <v>0</v>
      </c>
      <c r="G297">
        <v>1119.3989999999999</v>
      </c>
      <c r="H297">
        <v>-935.77499999999986</v>
      </c>
      <c r="I297">
        <v>89.064999999999998</v>
      </c>
      <c r="J297">
        <v>89.064999999999998</v>
      </c>
      <c r="K297">
        <v>89.064999999999998</v>
      </c>
      <c r="L297">
        <v>89.064999999999998</v>
      </c>
      <c r="M297">
        <v>89.064999999999998</v>
      </c>
      <c r="N297">
        <v>89.064999999999998</v>
      </c>
      <c r="O297">
        <v>89.064999999999998</v>
      </c>
      <c r="P297">
        <v>0</v>
      </c>
      <c r="Q297">
        <v>0</v>
      </c>
      <c r="R297">
        <v>0</v>
      </c>
      <c r="S297">
        <v>1135.72</v>
      </c>
      <c r="T297">
        <v>-970.39</v>
      </c>
      <c r="U297">
        <v>47.169999999999995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f>SUMPRODUCT(DB_SOFList[[#This Row],[Plan01]:[Plan12]],$D$14:$O$14)/valUnits2</f>
        <v>0.27268900000000001</v>
      </c>
      <c r="AC297">
        <f>SUMPRODUCT(DB_SOFList[[#This Row],[Act01]:[Act12]],$P$14:$AA$14)/valUnits2</f>
        <v>0.21250000000000002</v>
      </c>
      <c r="AD297">
        <f>DB_SOFList[[#This Row],[Actual]]-DB_SOFList[[#This Row],[Plan]]</f>
        <v>-6.0188999999999993E-2</v>
      </c>
      <c r="AE297">
        <f>IF(DB_SOFList[[#This Row],[Plan]]&lt;&gt;0,DB_SOFList[[#This Row],[Actual]]/DB_SOFList[[#This Row],[Plan]],1.000011000011)</f>
        <v>0.77927602506885141</v>
      </c>
      <c r="AF297" s="34">
        <f>SUM(DB_SOFList[[#This Row],[Plan01]:[Plan12]])/valUnits2</f>
        <v>0.80707900000000021</v>
      </c>
      <c r="AG297" s="34">
        <f>SUMPRODUCT(DB_SOFList[[#This Row],[Act01]:[Act12]],$P$13:$AA$13)/valUnits2</f>
        <v>0.21250000000000002</v>
      </c>
      <c r="AH297" s="34">
        <f>IF(DB_SOFList[[#This Row],[FYPlan]]&lt;&gt;0,DB_SOFList[[#This Row],[FYActuals]]/DB_SOFList[[#This Row],[FYPlan]],1.000011000011)</f>
        <v>0.26329516689196469</v>
      </c>
    </row>
    <row r="298" spans="1:34" hidden="1" x14ac:dyDescent="0.2">
      <c r="A298">
        <f>SUBTOTAL(3,$B$16:B298)</f>
        <v>79</v>
      </c>
      <c r="B298" t="s">
        <v>348</v>
      </c>
      <c r="C298" t="s">
        <v>908</v>
      </c>
      <c r="D298">
        <v>23436.929</v>
      </c>
      <c r="E298">
        <v>165.84599999999949</v>
      </c>
      <c r="F298">
        <v>507.72200000000004</v>
      </c>
      <c r="G298">
        <v>5520.0909999999994</v>
      </c>
      <c r="H298">
        <v>8047.4319999999989</v>
      </c>
      <c r="I298">
        <v>27771.098000000005</v>
      </c>
      <c r="J298">
        <v>32519.343999999997</v>
      </c>
      <c r="K298">
        <v>10722.264999999998</v>
      </c>
      <c r="L298">
        <v>10813.645</v>
      </c>
      <c r="M298">
        <v>10722.264999999999</v>
      </c>
      <c r="N298">
        <v>10722.264999999999</v>
      </c>
      <c r="O298">
        <v>68897.528999999995</v>
      </c>
      <c r="P298">
        <v>23911.99</v>
      </c>
      <c r="Q298">
        <v>171.54000000000011</v>
      </c>
      <c r="R298">
        <v>501.67000000000007</v>
      </c>
      <c r="S298">
        <v>5446.8499999999985</v>
      </c>
      <c r="T298">
        <v>8159.2399999999989</v>
      </c>
      <c r="U298">
        <v>38301.560000000012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f>SUMPRODUCT(DB_SOFList[[#This Row],[Plan01]:[Plan12]],$D$14:$O$14)/valUnits2</f>
        <v>65.449117999999999</v>
      </c>
      <c r="AC298">
        <f>SUMPRODUCT(DB_SOFList[[#This Row],[Act01]:[Act12]],$P$14:$AA$14)/valUnits2</f>
        <v>76.492850000000004</v>
      </c>
      <c r="AD298">
        <f>DB_SOFList[[#This Row],[Actual]]-DB_SOFList[[#This Row],[Plan]]</f>
        <v>11.043732000000006</v>
      </c>
      <c r="AE298">
        <f>IF(DB_SOFList[[#This Row],[Plan]]&lt;&gt;0,DB_SOFList[[#This Row],[Actual]]/DB_SOFList[[#This Row],[Plan]],1.000011000011)</f>
        <v>1.1687376749675986</v>
      </c>
      <c r="AF298" s="34">
        <f>SUM(DB_SOFList[[#This Row],[Plan01]:[Plan12]])/valUnits2</f>
        <v>209.846431</v>
      </c>
      <c r="AG298" s="34">
        <f>SUMPRODUCT(DB_SOFList[[#This Row],[Act01]:[Act12]],$P$13:$AA$13)/valUnits2</f>
        <v>76.492850000000004</v>
      </c>
      <c r="AH298" s="34">
        <f>IF(DB_SOFList[[#This Row],[FYPlan]]&lt;&gt;0,DB_SOFList[[#This Row],[FYActuals]]/DB_SOFList[[#This Row],[FYPlan]],1.000011000011)</f>
        <v>0.36451823190645549</v>
      </c>
    </row>
    <row r="299" spans="1:34" hidden="1" x14ac:dyDescent="0.2">
      <c r="A299">
        <f>SUBTOTAL(3,$B$16:B299)</f>
        <v>79</v>
      </c>
      <c r="B299" t="s">
        <v>350</v>
      </c>
      <c r="C299" t="s">
        <v>908</v>
      </c>
      <c r="F299">
        <v>0</v>
      </c>
      <c r="G299">
        <v>0</v>
      </c>
      <c r="H299">
        <v>0</v>
      </c>
      <c r="I299">
        <v>34.979999999999997</v>
      </c>
      <c r="J299">
        <v>34.979999999999997</v>
      </c>
      <c r="K299">
        <v>34.979999999999997</v>
      </c>
      <c r="L299">
        <v>34.979999999999997</v>
      </c>
      <c r="M299">
        <v>34.979999999999997</v>
      </c>
      <c r="N299">
        <v>34.979999999999997</v>
      </c>
      <c r="O299">
        <v>34.979999999999997</v>
      </c>
      <c r="R299">
        <v>0</v>
      </c>
      <c r="S299">
        <v>0</v>
      </c>
      <c r="T299">
        <v>0</v>
      </c>
      <c r="U299">
        <v>0.57999999999999996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f>SUMPRODUCT(DB_SOFList[[#This Row],[Plan01]:[Plan12]],$D$14:$O$14)/valUnits2</f>
        <v>3.4979999999999997E-2</v>
      </c>
      <c r="AC299">
        <f>SUMPRODUCT(DB_SOFList[[#This Row],[Act01]:[Act12]],$P$14:$AA$14)/valUnits2</f>
        <v>5.8E-4</v>
      </c>
      <c r="AD299">
        <f>DB_SOFList[[#This Row],[Actual]]-DB_SOFList[[#This Row],[Plan]]</f>
        <v>-3.44E-2</v>
      </c>
      <c r="AE299">
        <f>IF(DB_SOFList[[#This Row],[Plan]]&lt;&gt;0,DB_SOFList[[#This Row],[Actual]]/DB_SOFList[[#This Row],[Plan]],1.000011000011)</f>
        <v>1.6580903373356205E-2</v>
      </c>
      <c r="AF299" s="34">
        <f>SUM(DB_SOFList[[#This Row],[Plan01]:[Plan12]])/valUnits2</f>
        <v>0.24485999999999997</v>
      </c>
      <c r="AG299" s="34">
        <f>SUMPRODUCT(DB_SOFList[[#This Row],[Act01]:[Act12]],$P$13:$AA$13)/valUnits2</f>
        <v>5.8E-4</v>
      </c>
      <c r="AH299" s="34">
        <f>IF(DB_SOFList[[#This Row],[FYPlan]]&lt;&gt;0,DB_SOFList[[#This Row],[FYActuals]]/DB_SOFList[[#This Row],[FYPlan]],1.000011000011)</f>
        <v>2.3687004819080296E-3</v>
      </c>
    </row>
    <row r="300" spans="1:34" x14ac:dyDescent="0.2">
      <c r="A300">
        <f>SUBTOTAL(3,$B$16:B300)</f>
        <v>80</v>
      </c>
      <c r="B300" t="s">
        <v>1</v>
      </c>
      <c r="C300" t="s">
        <v>352</v>
      </c>
      <c r="G300">
        <v>0</v>
      </c>
      <c r="H300">
        <v>0</v>
      </c>
      <c r="S300">
        <v>0</v>
      </c>
      <c r="T300">
        <v>0</v>
      </c>
      <c r="AB300">
        <f>SUMPRODUCT(DB_SOFList[[#This Row],[Plan01]:[Plan12]],$D$14:$O$14)/valUnits2</f>
        <v>0</v>
      </c>
      <c r="AC300">
        <f>SUMPRODUCT(DB_SOFList[[#This Row],[Act01]:[Act12]],$P$14:$AA$14)/valUnits2</f>
        <v>0</v>
      </c>
      <c r="AD300">
        <f>DB_SOFList[[#This Row],[Actual]]-DB_SOFList[[#This Row],[Plan]]</f>
        <v>0</v>
      </c>
      <c r="AE300">
        <f>IF(DB_SOFList[[#This Row],[Plan]]&lt;&gt;0,DB_SOFList[[#This Row],[Actual]]/DB_SOFList[[#This Row],[Plan]],1.000011000011)</f>
        <v>1.0000110000110001</v>
      </c>
      <c r="AF300" s="34">
        <f>SUM(DB_SOFList[[#This Row],[Plan01]:[Plan12]])/valUnits2</f>
        <v>0</v>
      </c>
      <c r="AG300" s="34">
        <f>SUMPRODUCT(DB_SOFList[[#This Row],[Act01]:[Act12]],$P$13:$AA$13)/valUnits2</f>
        <v>0</v>
      </c>
      <c r="AH300" s="34">
        <f>IF(DB_SOFList[[#This Row],[FYPlan]]&lt;&gt;0,DB_SOFList[[#This Row],[FYActuals]]/DB_SOFList[[#This Row],[FYPlan]],1.000011000011)</f>
        <v>1.0000110000110001</v>
      </c>
    </row>
    <row r="301" spans="1:34" hidden="1" x14ac:dyDescent="0.2">
      <c r="A301">
        <f>SUBTOTAL(3,$B$16:B301)</f>
        <v>80</v>
      </c>
      <c r="B301" t="s">
        <v>348</v>
      </c>
      <c r="C301" t="s">
        <v>352</v>
      </c>
      <c r="G301">
        <v>0</v>
      </c>
      <c r="H301">
        <v>0</v>
      </c>
      <c r="S301">
        <v>0</v>
      </c>
      <c r="T301">
        <v>0</v>
      </c>
      <c r="AB301">
        <f>SUMPRODUCT(DB_SOFList[[#This Row],[Plan01]:[Plan12]],$D$14:$O$14)/valUnits2</f>
        <v>0</v>
      </c>
      <c r="AC301">
        <f>SUMPRODUCT(DB_SOFList[[#This Row],[Act01]:[Act12]],$P$14:$AA$14)/valUnits2</f>
        <v>0</v>
      </c>
      <c r="AD301">
        <f>DB_SOFList[[#This Row],[Actual]]-DB_SOFList[[#This Row],[Plan]]</f>
        <v>0</v>
      </c>
      <c r="AE301">
        <f>IF(DB_SOFList[[#This Row],[Plan]]&lt;&gt;0,DB_SOFList[[#This Row],[Actual]]/DB_SOFList[[#This Row],[Plan]],1.000011000011)</f>
        <v>1.0000110000110001</v>
      </c>
      <c r="AF301" s="34">
        <f>SUM(DB_SOFList[[#This Row],[Plan01]:[Plan12]])/valUnits2</f>
        <v>0</v>
      </c>
      <c r="AG301" s="34">
        <f>SUMPRODUCT(DB_SOFList[[#This Row],[Act01]:[Act12]],$P$13:$AA$13)/valUnits2</f>
        <v>0</v>
      </c>
      <c r="AH301" s="34">
        <f>IF(DB_SOFList[[#This Row],[FYPlan]]&lt;&gt;0,DB_SOFList[[#This Row],[FYActuals]]/DB_SOFList[[#This Row],[FYPlan]],1.000011000011)</f>
        <v>1.0000110000110001</v>
      </c>
    </row>
    <row r="302" spans="1:34" x14ac:dyDescent="0.2">
      <c r="A302">
        <f>SUBTOTAL(3,$B$16:B302)</f>
        <v>81</v>
      </c>
      <c r="B302" t="s">
        <v>1</v>
      </c>
      <c r="C302" t="s">
        <v>909</v>
      </c>
      <c r="D302">
        <v>144097.82999999999</v>
      </c>
      <c r="E302">
        <v>292208.00000000006</v>
      </c>
      <c r="F302">
        <v>266078.23</v>
      </c>
      <c r="G302">
        <v>510623.68000000011</v>
      </c>
      <c r="H302">
        <v>381188.04000000004</v>
      </c>
      <c r="I302">
        <v>279039.33399999997</v>
      </c>
      <c r="J302">
        <v>284664.33400000003</v>
      </c>
      <c r="K302">
        <v>279039.33399999997</v>
      </c>
      <c r="L302">
        <v>328297.33399999997</v>
      </c>
      <c r="M302">
        <v>334664.33399999992</v>
      </c>
      <c r="N302">
        <v>346774.33399999997</v>
      </c>
      <c r="O302">
        <v>279039.33399999997</v>
      </c>
      <c r="P302">
        <v>144097.82999999999</v>
      </c>
      <c r="Q302">
        <v>292208.00000000017</v>
      </c>
      <c r="R302">
        <v>266140.12</v>
      </c>
      <c r="S302">
        <v>512183.0400000001</v>
      </c>
      <c r="T302">
        <v>381260.34</v>
      </c>
      <c r="U302">
        <v>302230.53999999998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f>SUMPRODUCT(DB_SOFList[[#This Row],[Plan01]:[Plan12]],$D$14:$O$14)/valUnits2</f>
        <v>1873.2351140000003</v>
      </c>
      <c r="AC302">
        <f>SUMPRODUCT(DB_SOFList[[#This Row],[Act01]:[Act12]],$P$14:$AA$14)/valUnits2</f>
        <v>1898.1198700000004</v>
      </c>
      <c r="AD302">
        <f>DB_SOFList[[#This Row],[Actual]]-DB_SOFList[[#This Row],[Plan]]</f>
        <v>24.884756000000152</v>
      </c>
      <c r="AE302">
        <f>IF(DB_SOFList[[#This Row],[Plan]]&lt;&gt;0,DB_SOFList[[#This Row],[Actual]]/DB_SOFList[[#This Row],[Plan]],1.000011000011)</f>
        <v>1.0132843740831137</v>
      </c>
      <c r="AF302" s="34">
        <f>SUM(DB_SOFList[[#This Row],[Plan01]:[Plan12]])/valUnits2</f>
        <v>3725.7141179999994</v>
      </c>
      <c r="AG302" s="34">
        <f>SUMPRODUCT(DB_SOFList[[#This Row],[Act01]:[Act12]],$P$13:$AA$13)/valUnits2</f>
        <v>1898.1198700000004</v>
      </c>
      <c r="AH302" s="34">
        <f>IF(DB_SOFList[[#This Row],[FYPlan]]&lt;&gt;0,DB_SOFList[[#This Row],[FYActuals]]/DB_SOFList[[#This Row],[FYPlan]],1.000011000011)</f>
        <v>0.50946471196746845</v>
      </c>
    </row>
    <row r="303" spans="1:34" hidden="1" x14ac:dyDescent="0.2">
      <c r="A303">
        <f>SUBTOTAL(3,$B$16:B303)</f>
        <v>81</v>
      </c>
      <c r="B303" t="s">
        <v>351</v>
      </c>
      <c r="C303" t="s">
        <v>909</v>
      </c>
      <c r="D303">
        <v>16415.780000000002</v>
      </c>
      <c r="E303">
        <v>26494.859999999993</v>
      </c>
      <c r="F303">
        <v>34334.979999999996</v>
      </c>
      <c r="G303">
        <v>68127.860000000059</v>
      </c>
      <c r="H303">
        <v>36005.910000000011</v>
      </c>
      <c r="I303">
        <v>26532.502</v>
      </c>
      <c r="J303">
        <v>26532.502</v>
      </c>
      <c r="K303">
        <v>26532.502</v>
      </c>
      <c r="L303">
        <v>26532.502000000004</v>
      </c>
      <c r="M303">
        <v>26532.502</v>
      </c>
      <c r="N303">
        <v>26532.502</v>
      </c>
      <c r="O303">
        <v>26532.502000000004</v>
      </c>
      <c r="P303">
        <v>16415.780000000002</v>
      </c>
      <c r="Q303">
        <v>26494.86</v>
      </c>
      <c r="R303">
        <v>34396.87000000001</v>
      </c>
      <c r="S303">
        <v>69687.22000000003</v>
      </c>
      <c r="T303">
        <v>36025.5</v>
      </c>
      <c r="U303">
        <v>38324.380000000012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f>SUMPRODUCT(DB_SOFList[[#This Row],[Plan01]:[Plan12]],$D$14:$O$14)/valUnits2</f>
        <v>207.91189200000005</v>
      </c>
      <c r="AC303">
        <f>SUMPRODUCT(DB_SOFList[[#This Row],[Act01]:[Act12]],$P$14:$AA$14)/valUnits2</f>
        <v>221.34461000000005</v>
      </c>
      <c r="AD303">
        <f>DB_SOFList[[#This Row],[Actual]]-DB_SOFList[[#This Row],[Plan]]</f>
        <v>13.432717999999994</v>
      </c>
      <c r="AE303">
        <f>IF(DB_SOFList[[#This Row],[Plan]]&lt;&gt;0,DB_SOFList[[#This Row],[Actual]]/DB_SOFList[[#This Row],[Plan]],1.000011000011)</f>
        <v>1.0646077425912703</v>
      </c>
      <c r="AF303" s="34">
        <f>SUM(DB_SOFList[[#This Row],[Plan01]:[Plan12]])/valUnits2</f>
        <v>367.10690399999999</v>
      </c>
      <c r="AG303" s="34">
        <f>SUMPRODUCT(DB_SOFList[[#This Row],[Act01]:[Act12]],$P$13:$AA$13)/valUnits2</f>
        <v>221.34461000000005</v>
      </c>
      <c r="AH303" s="34">
        <f>IF(DB_SOFList[[#This Row],[FYPlan]]&lt;&gt;0,DB_SOFList[[#This Row],[FYActuals]]/DB_SOFList[[#This Row],[FYPlan]],1.000011000011)</f>
        <v>0.60294319607783797</v>
      </c>
    </row>
    <row r="304" spans="1:34" hidden="1" x14ac:dyDescent="0.2">
      <c r="A304">
        <f>SUBTOTAL(3,$B$16:B304)</f>
        <v>81</v>
      </c>
      <c r="B304" t="s">
        <v>344</v>
      </c>
      <c r="C304" t="s">
        <v>909</v>
      </c>
      <c r="D304">
        <v>103097.75</v>
      </c>
      <c r="E304">
        <v>10615.770000000004</v>
      </c>
      <c r="F304">
        <v>14804.089999999998</v>
      </c>
      <c r="G304">
        <v>135064.91</v>
      </c>
      <c r="H304">
        <v>187311.39</v>
      </c>
      <c r="I304">
        <v>109053.83</v>
      </c>
      <c r="J304">
        <v>109053.83000000002</v>
      </c>
      <c r="K304">
        <v>109053.83</v>
      </c>
      <c r="L304">
        <v>158311.82999999999</v>
      </c>
      <c r="M304">
        <v>159053.82999999996</v>
      </c>
      <c r="N304">
        <v>176788.83</v>
      </c>
      <c r="O304">
        <v>109053.83</v>
      </c>
      <c r="P304">
        <v>103097.74999999999</v>
      </c>
      <c r="Q304">
        <v>10615.770000000059</v>
      </c>
      <c r="R304">
        <v>14804.090000000029</v>
      </c>
      <c r="S304">
        <v>135064.91000000006</v>
      </c>
      <c r="T304">
        <v>187311.39000000004</v>
      </c>
      <c r="U304">
        <v>8666.8599999999878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f>SUMPRODUCT(DB_SOFList[[#This Row],[Plan01]:[Plan12]],$D$14:$O$14)/valUnits2</f>
        <v>559.94773999999995</v>
      </c>
      <c r="AC304">
        <f>SUMPRODUCT(DB_SOFList[[#This Row],[Act01]:[Act12]],$P$14:$AA$14)/valUnits2</f>
        <v>459.56077000000016</v>
      </c>
      <c r="AD304">
        <f>DB_SOFList[[#This Row],[Actual]]-DB_SOFList[[#This Row],[Plan]]</f>
        <v>-100.38696999999979</v>
      </c>
      <c r="AE304">
        <f>IF(DB_SOFList[[#This Row],[Plan]]&lt;&gt;0,DB_SOFList[[#This Row],[Actual]]/DB_SOFList[[#This Row],[Plan]],1.000011000011)</f>
        <v>0.82072082298251658</v>
      </c>
      <c r="AF304" s="34">
        <f>SUM(DB_SOFList[[#This Row],[Plan01]:[Plan12]])/valUnits2</f>
        <v>1381.2637200000001</v>
      </c>
      <c r="AG304" s="34">
        <f>SUMPRODUCT(DB_SOFList[[#This Row],[Act01]:[Act12]],$P$13:$AA$13)/valUnits2</f>
        <v>459.56077000000016</v>
      </c>
      <c r="AH304" s="34">
        <f>IF(DB_SOFList[[#This Row],[FYPlan]]&lt;&gt;0,DB_SOFList[[#This Row],[FYActuals]]/DB_SOFList[[#This Row],[FYPlan]],1.000011000011)</f>
        <v>0.33271037481531773</v>
      </c>
    </row>
    <row r="305" spans="1:34" hidden="1" x14ac:dyDescent="0.2">
      <c r="A305">
        <f>SUBTOTAL(3,$B$16:B305)</f>
        <v>81</v>
      </c>
      <c r="B305" t="s">
        <v>348</v>
      </c>
      <c r="C305" t="s">
        <v>909</v>
      </c>
      <c r="D305">
        <v>7561.5900000000038</v>
      </c>
      <c r="E305">
        <v>-12364.119999999994</v>
      </c>
      <c r="F305">
        <v>196305.82000000004</v>
      </c>
      <c r="G305">
        <v>60318.259999999987</v>
      </c>
      <c r="H305">
        <v>10084.1</v>
      </c>
      <c r="I305">
        <v>80681</v>
      </c>
      <c r="J305">
        <v>80681</v>
      </c>
      <c r="K305">
        <v>80681</v>
      </c>
      <c r="L305">
        <v>80681</v>
      </c>
      <c r="M305">
        <v>80681</v>
      </c>
      <c r="N305">
        <v>80681</v>
      </c>
      <c r="O305">
        <v>80681</v>
      </c>
      <c r="P305">
        <v>7561.59</v>
      </c>
      <c r="Q305">
        <v>-12364.119999999999</v>
      </c>
      <c r="R305">
        <v>196305.82</v>
      </c>
      <c r="S305">
        <v>60318.259999999995</v>
      </c>
      <c r="T305">
        <v>10084.100000000004</v>
      </c>
      <c r="U305">
        <v>81911.770000000019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f>SUMPRODUCT(DB_SOFList[[#This Row],[Plan01]:[Plan12]],$D$14:$O$14)/valUnits2</f>
        <v>342.58665000000002</v>
      </c>
      <c r="AC305">
        <f>SUMPRODUCT(DB_SOFList[[#This Row],[Act01]:[Act12]],$P$14:$AA$14)/valUnits2</f>
        <v>343.81742000000003</v>
      </c>
      <c r="AD305">
        <f>DB_SOFList[[#This Row],[Actual]]-DB_SOFList[[#This Row],[Plan]]</f>
        <v>1.2307700000000068</v>
      </c>
      <c r="AE305">
        <f>IF(DB_SOFList[[#This Row],[Plan]]&lt;&gt;0,DB_SOFList[[#This Row],[Actual]]/DB_SOFList[[#This Row],[Plan]],1.000011000011)</f>
        <v>1.0035925801545391</v>
      </c>
      <c r="AF305" s="34">
        <f>SUM(DB_SOFList[[#This Row],[Plan01]:[Plan12]])/valUnits2</f>
        <v>826.67264999999998</v>
      </c>
      <c r="AG305" s="34">
        <f>SUMPRODUCT(DB_SOFList[[#This Row],[Act01]:[Act12]],$P$13:$AA$13)/valUnits2</f>
        <v>343.81742000000003</v>
      </c>
      <c r="AH305" s="34">
        <f>IF(DB_SOFList[[#This Row],[FYPlan]]&lt;&gt;0,DB_SOFList[[#This Row],[FYActuals]]/DB_SOFList[[#This Row],[FYPlan]],1.000011000011)</f>
        <v>0.41590515907354625</v>
      </c>
    </row>
    <row r="306" spans="1:34" hidden="1" x14ac:dyDescent="0.2">
      <c r="A306">
        <f>SUBTOTAL(3,$B$16:B306)</f>
        <v>81</v>
      </c>
      <c r="B306" t="s">
        <v>349</v>
      </c>
      <c r="C306" t="s">
        <v>909</v>
      </c>
      <c r="D306">
        <v>15917.770000000002</v>
      </c>
      <c r="E306">
        <v>265642.05000000005</v>
      </c>
      <c r="F306">
        <v>18729.619999999988</v>
      </c>
      <c r="G306">
        <v>246894.31</v>
      </c>
      <c r="H306">
        <v>145953.11000000002</v>
      </c>
      <c r="I306">
        <v>62522.002</v>
      </c>
      <c r="J306">
        <v>68147.002000000008</v>
      </c>
      <c r="K306">
        <v>62522.002</v>
      </c>
      <c r="L306">
        <v>62522.002</v>
      </c>
      <c r="M306">
        <v>68147.002000000008</v>
      </c>
      <c r="N306">
        <v>62522.002</v>
      </c>
      <c r="O306">
        <v>62522.002</v>
      </c>
      <c r="P306">
        <v>15917.770000000002</v>
      </c>
      <c r="Q306">
        <v>265642.0500000001</v>
      </c>
      <c r="R306">
        <v>18729.620000000003</v>
      </c>
      <c r="S306">
        <v>246894.31</v>
      </c>
      <c r="T306">
        <v>146005.81999999995</v>
      </c>
      <c r="U306">
        <v>173156.93999999994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f>SUMPRODUCT(DB_SOFList[[#This Row],[Plan01]:[Plan12]],$D$14:$O$14)/valUnits2</f>
        <v>755.658862</v>
      </c>
      <c r="AC306">
        <f>SUMPRODUCT(DB_SOFList[[#This Row],[Act01]:[Act12]],$P$14:$AA$14)/valUnits2</f>
        <v>866.34650999999997</v>
      </c>
      <c r="AD306">
        <f>DB_SOFList[[#This Row],[Actual]]-DB_SOFList[[#This Row],[Plan]]</f>
        <v>110.68764799999997</v>
      </c>
      <c r="AE306">
        <f>IF(DB_SOFList[[#This Row],[Plan]]&lt;&gt;0,DB_SOFList[[#This Row],[Actual]]/DB_SOFList[[#This Row],[Plan]],1.000011000011)</f>
        <v>1.1464783297942716</v>
      </c>
      <c r="AF306" s="34">
        <f>SUM(DB_SOFList[[#This Row],[Plan01]:[Plan12]])/valUnits2</f>
        <v>1142.040874</v>
      </c>
      <c r="AG306" s="34">
        <f>SUMPRODUCT(DB_SOFList[[#This Row],[Act01]:[Act12]],$P$13:$AA$13)/valUnits2</f>
        <v>866.34650999999997</v>
      </c>
      <c r="AH306" s="34">
        <f>IF(DB_SOFList[[#This Row],[FYPlan]]&lt;&gt;0,DB_SOFList[[#This Row],[FYActuals]]/DB_SOFList[[#This Row],[FYPlan]],1.000011000011)</f>
        <v>0.75859501154772147</v>
      </c>
    </row>
    <row r="307" spans="1:34" hidden="1" x14ac:dyDescent="0.2">
      <c r="A307">
        <f>SUBTOTAL(3,$B$16:B307)</f>
        <v>81</v>
      </c>
      <c r="B307" t="s">
        <v>350</v>
      </c>
      <c r="C307" t="s">
        <v>909</v>
      </c>
      <c r="D307">
        <v>1104.94</v>
      </c>
      <c r="E307">
        <v>1819.4399999999998</v>
      </c>
      <c r="F307">
        <v>1903.72</v>
      </c>
      <c r="G307">
        <v>218.34000000000003</v>
      </c>
      <c r="H307">
        <v>1833.5300000000002</v>
      </c>
      <c r="I307">
        <v>250</v>
      </c>
      <c r="J307">
        <v>250</v>
      </c>
      <c r="K307">
        <v>250</v>
      </c>
      <c r="L307">
        <v>250</v>
      </c>
      <c r="M307">
        <v>250</v>
      </c>
      <c r="N307">
        <v>250</v>
      </c>
      <c r="O307">
        <v>250</v>
      </c>
      <c r="P307">
        <v>1104.94</v>
      </c>
      <c r="Q307">
        <v>1819.4399999999998</v>
      </c>
      <c r="R307">
        <v>1903.7200000000003</v>
      </c>
      <c r="S307">
        <v>218.34000000000003</v>
      </c>
      <c r="T307">
        <v>1833.53</v>
      </c>
      <c r="U307">
        <v>170.59000000000003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f>SUMPRODUCT(DB_SOFList[[#This Row],[Plan01]:[Plan12]],$D$14:$O$14)/valUnits2</f>
        <v>7.129970000000001</v>
      </c>
      <c r="AC307">
        <f>SUMPRODUCT(DB_SOFList[[#This Row],[Act01]:[Act12]],$P$14:$AA$14)/valUnits2</f>
        <v>7.0505600000000008</v>
      </c>
      <c r="AD307">
        <f>DB_SOFList[[#This Row],[Actual]]-DB_SOFList[[#This Row],[Plan]]</f>
        <v>-7.9410000000000203E-2</v>
      </c>
      <c r="AE307">
        <f>IF(DB_SOFList[[#This Row],[Plan]]&lt;&gt;0,DB_SOFList[[#This Row],[Actual]]/DB_SOFList[[#This Row],[Plan]],1.000011000011)</f>
        <v>0.98886250573284318</v>
      </c>
      <c r="AF307" s="34">
        <f>SUM(DB_SOFList[[#This Row],[Plan01]:[Plan12]])/valUnits2</f>
        <v>8.6299700000000019</v>
      </c>
      <c r="AG307" s="34">
        <f>SUMPRODUCT(DB_SOFList[[#This Row],[Act01]:[Act12]],$P$13:$AA$13)/valUnits2</f>
        <v>7.0505600000000008</v>
      </c>
      <c r="AH307" s="34">
        <f>IF(DB_SOFList[[#This Row],[FYPlan]]&lt;&gt;0,DB_SOFList[[#This Row],[FYActuals]]/DB_SOFList[[#This Row],[FYPlan]],1.000011000011)</f>
        <v>0.81698545881387763</v>
      </c>
    </row>
    <row r="308" spans="1:34" x14ac:dyDescent="0.2">
      <c r="A308">
        <f>SUBTOTAL(3,$B$16:B308)</f>
        <v>82</v>
      </c>
      <c r="B308" t="s">
        <v>1</v>
      </c>
      <c r="C308" t="s">
        <v>910</v>
      </c>
      <c r="D308">
        <v>12264.900000000001</v>
      </c>
      <c r="E308">
        <v>3018.4499999999935</v>
      </c>
      <c r="F308">
        <v>5924.82</v>
      </c>
      <c r="H308">
        <v>-79532.280000000013</v>
      </c>
      <c r="P308">
        <v>12264.900000000005</v>
      </c>
      <c r="Q308">
        <v>3023.5900000000011</v>
      </c>
      <c r="R308">
        <v>5924.82</v>
      </c>
      <c r="T308">
        <v>-79532.28</v>
      </c>
      <c r="AB308">
        <f>SUMPRODUCT(DB_SOFList[[#This Row],[Plan01]:[Plan12]],$D$14:$O$14)/valUnits2</f>
        <v>-58.324110000000012</v>
      </c>
      <c r="AC308">
        <f>SUMPRODUCT(DB_SOFList[[#This Row],[Act01]:[Act12]],$P$14:$AA$14)/valUnits2</f>
        <v>-58.318969999999993</v>
      </c>
      <c r="AD308">
        <f>DB_SOFList[[#This Row],[Actual]]-DB_SOFList[[#This Row],[Plan]]</f>
        <v>5.1400000000185742E-3</v>
      </c>
      <c r="AE308">
        <f>IF(DB_SOFList[[#This Row],[Plan]]&lt;&gt;0,DB_SOFList[[#This Row],[Actual]]/DB_SOFList[[#This Row],[Plan]],1.000011000011)</f>
        <v>0.99991187177995489</v>
      </c>
      <c r="AF308" s="34">
        <f>SUM(DB_SOFList[[#This Row],[Plan01]:[Plan12]])/valUnits2</f>
        <v>-58.324110000000012</v>
      </c>
      <c r="AG308" s="34">
        <f>SUMPRODUCT(DB_SOFList[[#This Row],[Act01]:[Act12]],$P$13:$AA$13)/valUnits2</f>
        <v>-58.318969999999993</v>
      </c>
      <c r="AH308" s="34">
        <f>IF(DB_SOFList[[#This Row],[FYPlan]]&lt;&gt;0,DB_SOFList[[#This Row],[FYActuals]]/DB_SOFList[[#This Row],[FYPlan]],1.000011000011)</f>
        <v>0.99991187177995489</v>
      </c>
    </row>
    <row r="309" spans="1:34" hidden="1" x14ac:dyDescent="0.2">
      <c r="A309">
        <f>SUBTOTAL(3,$B$16:B309)</f>
        <v>82</v>
      </c>
      <c r="B309" t="s">
        <v>342</v>
      </c>
      <c r="C309" t="s">
        <v>910</v>
      </c>
      <c r="D309">
        <v>12264.900000000001</v>
      </c>
      <c r="E309">
        <v>2436.9799999999937</v>
      </c>
      <c r="F309">
        <v>5403.4299999999994</v>
      </c>
      <c r="H309">
        <v>-79532.280000000013</v>
      </c>
      <c r="P309">
        <v>12264.900000000005</v>
      </c>
      <c r="Q309">
        <v>2442.1200000000008</v>
      </c>
      <c r="R309">
        <v>5403.4299999999994</v>
      </c>
      <c r="T309">
        <v>-79532.28</v>
      </c>
      <c r="AB309">
        <f>SUMPRODUCT(DB_SOFList[[#This Row],[Plan01]:[Plan12]],$D$14:$O$14)/valUnits2</f>
        <v>-59.426970000000019</v>
      </c>
      <c r="AC309">
        <f>SUMPRODUCT(DB_SOFList[[#This Row],[Act01]:[Act12]],$P$14:$AA$14)/valUnits2</f>
        <v>-59.421829999999993</v>
      </c>
      <c r="AD309">
        <f>DB_SOFList[[#This Row],[Actual]]-DB_SOFList[[#This Row],[Plan]]</f>
        <v>5.1400000000256796E-3</v>
      </c>
      <c r="AE309">
        <f>IF(DB_SOFList[[#This Row],[Plan]]&lt;&gt;0,DB_SOFList[[#This Row],[Actual]]/DB_SOFList[[#This Row],[Plan]],1.000011000011)</f>
        <v>0.999913507284655</v>
      </c>
      <c r="AF309" s="34">
        <f>SUM(DB_SOFList[[#This Row],[Plan01]:[Plan12]])/valUnits2</f>
        <v>-59.426970000000019</v>
      </c>
      <c r="AG309" s="34">
        <f>SUMPRODUCT(DB_SOFList[[#This Row],[Act01]:[Act12]],$P$13:$AA$13)/valUnits2</f>
        <v>-59.421829999999993</v>
      </c>
      <c r="AH309" s="34">
        <f>IF(DB_SOFList[[#This Row],[FYPlan]]&lt;&gt;0,DB_SOFList[[#This Row],[FYActuals]]/DB_SOFList[[#This Row],[FYPlan]],1.000011000011)</f>
        <v>0.999913507284655</v>
      </c>
    </row>
    <row r="310" spans="1:34" hidden="1" x14ac:dyDescent="0.2">
      <c r="A310">
        <f>SUBTOTAL(3,$B$16:B310)</f>
        <v>82</v>
      </c>
      <c r="B310" t="s">
        <v>351</v>
      </c>
      <c r="C310" t="s">
        <v>910</v>
      </c>
      <c r="E310">
        <v>581.47</v>
      </c>
      <c r="F310">
        <v>521.39</v>
      </c>
      <c r="Q310">
        <v>581.47</v>
      </c>
      <c r="R310">
        <v>521.39</v>
      </c>
      <c r="AB310">
        <f>SUMPRODUCT(DB_SOFList[[#This Row],[Plan01]:[Plan12]],$D$14:$O$14)/valUnits2</f>
        <v>1.1028600000000002</v>
      </c>
      <c r="AC310">
        <f>SUMPRODUCT(DB_SOFList[[#This Row],[Act01]:[Act12]],$P$14:$AA$14)/valUnits2</f>
        <v>1.1028600000000002</v>
      </c>
      <c r="AD310">
        <f>DB_SOFList[[#This Row],[Actual]]-DB_SOFList[[#This Row],[Plan]]</f>
        <v>0</v>
      </c>
      <c r="AE310">
        <f>IF(DB_SOFList[[#This Row],[Plan]]&lt;&gt;0,DB_SOFList[[#This Row],[Actual]]/DB_SOFList[[#This Row],[Plan]],1.000011000011)</f>
        <v>1</v>
      </c>
      <c r="AF310" s="34">
        <f>SUM(DB_SOFList[[#This Row],[Plan01]:[Plan12]])/valUnits2</f>
        <v>1.1028600000000002</v>
      </c>
      <c r="AG310" s="34">
        <f>SUMPRODUCT(DB_SOFList[[#This Row],[Act01]:[Act12]],$P$13:$AA$13)/valUnits2</f>
        <v>1.1028600000000002</v>
      </c>
      <c r="AH310" s="34">
        <f>IF(DB_SOFList[[#This Row],[FYPlan]]&lt;&gt;0,DB_SOFList[[#This Row],[FYActuals]]/DB_SOFList[[#This Row],[FYPlan]],1.000011000011)</f>
        <v>1</v>
      </c>
    </row>
    <row r="311" spans="1:34" x14ac:dyDescent="0.2">
      <c r="A311">
        <f>SUBTOTAL(3,$B$16:B311)</f>
        <v>83</v>
      </c>
      <c r="B311" t="s">
        <v>1</v>
      </c>
      <c r="C311" t="s">
        <v>354</v>
      </c>
      <c r="D311">
        <v>1996.9120000000003</v>
      </c>
      <c r="E311">
        <v>3437.315000000001</v>
      </c>
      <c r="F311">
        <v>5048.5190000000002</v>
      </c>
      <c r="G311">
        <v>6758.92</v>
      </c>
      <c r="H311">
        <v>20269.927</v>
      </c>
      <c r="I311">
        <v>15147.556</v>
      </c>
      <c r="P311">
        <v>2037.2300000000002</v>
      </c>
      <c r="Q311">
        <v>3454.9299999999989</v>
      </c>
      <c r="R311">
        <v>5130.96</v>
      </c>
      <c r="S311">
        <v>6664.9500000000007</v>
      </c>
      <c r="T311">
        <v>20627.82</v>
      </c>
      <c r="U311">
        <v>10880.08</v>
      </c>
      <c r="AB311">
        <f>SUMPRODUCT(DB_SOFList[[#This Row],[Plan01]:[Plan12]],$D$14:$O$14)/valUnits2</f>
        <v>52.659149000000006</v>
      </c>
      <c r="AC311">
        <f>SUMPRODUCT(DB_SOFList[[#This Row],[Act01]:[Act12]],$P$14:$AA$14)/valUnits2</f>
        <v>48.795970000000004</v>
      </c>
      <c r="AD311">
        <f>DB_SOFList[[#This Row],[Actual]]-DB_SOFList[[#This Row],[Plan]]</f>
        <v>-3.8631790000000024</v>
      </c>
      <c r="AE311">
        <f>IF(DB_SOFList[[#This Row],[Plan]]&lt;&gt;0,DB_SOFList[[#This Row],[Actual]]/DB_SOFList[[#This Row],[Plan]],1.000011000011)</f>
        <v>0.92663802827501063</v>
      </c>
      <c r="AF311" s="34">
        <f>SUM(DB_SOFList[[#This Row],[Plan01]:[Plan12]])/valUnits2</f>
        <v>52.659149000000006</v>
      </c>
      <c r="AG311" s="34">
        <f>SUMPRODUCT(DB_SOFList[[#This Row],[Act01]:[Act12]],$P$13:$AA$13)/valUnits2</f>
        <v>48.795970000000004</v>
      </c>
      <c r="AH311" s="34">
        <f>IF(DB_SOFList[[#This Row],[FYPlan]]&lt;&gt;0,DB_SOFList[[#This Row],[FYActuals]]/DB_SOFList[[#This Row],[FYPlan]],1.000011000011)</f>
        <v>0.92663802827501063</v>
      </c>
    </row>
    <row r="312" spans="1:34" hidden="1" x14ac:dyDescent="0.2">
      <c r="A312">
        <f>SUBTOTAL(3,$B$16:B312)</f>
        <v>83</v>
      </c>
      <c r="B312" t="s">
        <v>351</v>
      </c>
      <c r="C312" t="s">
        <v>354</v>
      </c>
      <c r="D312">
        <v>0</v>
      </c>
      <c r="E312">
        <v>0</v>
      </c>
      <c r="F312">
        <v>0</v>
      </c>
      <c r="G312">
        <v>3241.7870000000003</v>
      </c>
      <c r="H312">
        <v>4473.4059999999999</v>
      </c>
      <c r="I312">
        <v>2399.002</v>
      </c>
      <c r="P312">
        <v>0</v>
      </c>
      <c r="Q312">
        <v>0</v>
      </c>
      <c r="R312">
        <v>0</v>
      </c>
      <c r="S312">
        <v>3202.12</v>
      </c>
      <c r="T312">
        <v>4588.7900000000009</v>
      </c>
      <c r="U312">
        <v>3111.4</v>
      </c>
      <c r="AB312">
        <f>SUMPRODUCT(DB_SOFList[[#This Row],[Plan01]:[Plan12]],$D$14:$O$14)/valUnits2</f>
        <v>10.114195</v>
      </c>
      <c r="AC312">
        <f>SUMPRODUCT(DB_SOFList[[#This Row],[Act01]:[Act12]],$P$14:$AA$14)/valUnits2</f>
        <v>10.902310000000002</v>
      </c>
      <c r="AD312">
        <f>DB_SOFList[[#This Row],[Actual]]-DB_SOFList[[#This Row],[Plan]]</f>
        <v>0.78811500000000123</v>
      </c>
      <c r="AE312">
        <f>IF(DB_SOFList[[#This Row],[Plan]]&lt;&gt;0,DB_SOFList[[#This Row],[Actual]]/DB_SOFList[[#This Row],[Plan]],1.000011000011)</f>
        <v>1.0779216734500374</v>
      </c>
      <c r="AF312" s="34">
        <f>SUM(DB_SOFList[[#This Row],[Plan01]:[Plan12]])/valUnits2</f>
        <v>10.114195</v>
      </c>
      <c r="AG312" s="34">
        <f>SUMPRODUCT(DB_SOFList[[#This Row],[Act01]:[Act12]],$P$13:$AA$13)/valUnits2</f>
        <v>10.902310000000002</v>
      </c>
      <c r="AH312" s="34">
        <f>IF(DB_SOFList[[#This Row],[FYPlan]]&lt;&gt;0,DB_SOFList[[#This Row],[FYActuals]]/DB_SOFList[[#This Row],[FYPlan]],1.000011000011)</f>
        <v>1.0779216734500374</v>
      </c>
    </row>
    <row r="313" spans="1:34" hidden="1" x14ac:dyDescent="0.2">
      <c r="A313">
        <f>SUBTOTAL(3,$B$16:B313)</f>
        <v>83</v>
      </c>
      <c r="B313" t="s">
        <v>346</v>
      </c>
      <c r="C313" t="s">
        <v>354</v>
      </c>
      <c r="D313">
        <v>1996.9120000000003</v>
      </c>
      <c r="E313">
        <v>3437.315000000001</v>
      </c>
      <c r="F313">
        <v>5048.5190000000002</v>
      </c>
      <c r="G313">
        <v>3517.1329999999998</v>
      </c>
      <c r="H313">
        <v>15796.520999999999</v>
      </c>
      <c r="I313">
        <v>12748.554</v>
      </c>
      <c r="P313">
        <v>2037.2300000000002</v>
      </c>
      <c r="Q313">
        <v>3454.9299999999989</v>
      </c>
      <c r="R313">
        <v>5130.96</v>
      </c>
      <c r="S313">
        <v>3462.8300000000004</v>
      </c>
      <c r="T313">
        <v>16039.03</v>
      </c>
      <c r="U313">
        <v>7768.51</v>
      </c>
      <c r="AB313">
        <f>SUMPRODUCT(DB_SOFList[[#This Row],[Plan01]:[Plan12]],$D$14:$O$14)/valUnits2</f>
        <v>42.544953999999997</v>
      </c>
      <c r="AC313">
        <f>SUMPRODUCT(DB_SOFList[[#This Row],[Act01]:[Act12]],$P$14:$AA$14)/valUnits2</f>
        <v>37.89349</v>
      </c>
      <c r="AD313">
        <f>DB_SOFList[[#This Row],[Actual]]-DB_SOFList[[#This Row],[Plan]]</f>
        <v>-4.6514639999999972</v>
      </c>
      <c r="AE313">
        <f>IF(DB_SOFList[[#This Row],[Plan]]&lt;&gt;0,DB_SOFList[[#This Row],[Actual]]/DB_SOFList[[#This Row],[Plan]],1.000011000011)</f>
        <v>0.89066943167925394</v>
      </c>
      <c r="AF313" s="34">
        <f>SUM(DB_SOFList[[#This Row],[Plan01]:[Plan12]])/valUnits2</f>
        <v>42.544953999999997</v>
      </c>
      <c r="AG313" s="34">
        <f>SUMPRODUCT(DB_SOFList[[#This Row],[Act01]:[Act12]],$P$13:$AA$13)/valUnits2</f>
        <v>37.89349</v>
      </c>
      <c r="AH313" s="34">
        <f>IF(DB_SOFList[[#This Row],[FYPlan]]&lt;&gt;0,DB_SOFList[[#This Row],[FYActuals]]/DB_SOFList[[#This Row],[FYPlan]],1.000011000011)</f>
        <v>0.89066943167925394</v>
      </c>
    </row>
    <row r="314" spans="1:34" hidden="1" x14ac:dyDescent="0.2">
      <c r="A314">
        <f>SUBTOTAL(3,$B$16:B314)</f>
        <v>83</v>
      </c>
      <c r="B314" t="s">
        <v>350</v>
      </c>
      <c r="C314" t="s">
        <v>354</v>
      </c>
      <c r="I314">
        <v>0</v>
      </c>
      <c r="U314">
        <v>0.17</v>
      </c>
      <c r="AB314">
        <f>SUMPRODUCT(DB_SOFList[[#This Row],[Plan01]:[Plan12]],$D$14:$O$14)/valUnits2</f>
        <v>0</v>
      </c>
      <c r="AC314">
        <f>SUMPRODUCT(DB_SOFList[[#This Row],[Act01]:[Act12]],$P$14:$AA$14)/valUnits2</f>
        <v>1.7000000000000001E-4</v>
      </c>
      <c r="AD314">
        <f>DB_SOFList[[#This Row],[Actual]]-DB_SOFList[[#This Row],[Plan]]</f>
        <v>1.7000000000000001E-4</v>
      </c>
      <c r="AE314">
        <f>IF(DB_SOFList[[#This Row],[Plan]]&lt;&gt;0,DB_SOFList[[#This Row],[Actual]]/DB_SOFList[[#This Row],[Plan]],1.000011000011)</f>
        <v>1.0000110000110001</v>
      </c>
      <c r="AF314" s="34">
        <f>SUM(DB_SOFList[[#This Row],[Plan01]:[Plan12]])/valUnits2</f>
        <v>0</v>
      </c>
      <c r="AG314" s="34">
        <f>SUMPRODUCT(DB_SOFList[[#This Row],[Act01]:[Act12]],$P$13:$AA$13)/valUnits2</f>
        <v>1.7000000000000001E-4</v>
      </c>
      <c r="AH314" s="34">
        <f>IF(DB_SOFList[[#This Row],[FYPlan]]&lt;&gt;0,DB_SOFList[[#This Row],[FYActuals]]/DB_SOFList[[#This Row],[FYPlan]],1.000011000011)</f>
        <v>1.0000110000110001</v>
      </c>
    </row>
    <row r="315" spans="1:34" x14ac:dyDescent="0.2">
      <c r="A315">
        <f>SUBTOTAL(3,$B$16:B315)</f>
        <v>84</v>
      </c>
      <c r="B315" t="s">
        <v>1</v>
      </c>
      <c r="C315" t="s">
        <v>911</v>
      </c>
      <c r="D315">
        <v>118193.06600000001</v>
      </c>
      <c r="E315">
        <v>411702.57400000008</v>
      </c>
      <c r="F315">
        <v>385031.25300000003</v>
      </c>
      <c r="G315">
        <v>481731.54799999989</v>
      </c>
      <c r="H315">
        <v>415563.20800000004</v>
      </c>
      <c r="I315">
        <v>293595.24800000002</v>
      </c>
      <c r="J315">
        <v>267002.89799999999</v>
      </c>
      <c r="K315">
        <v>281958.99800000002</v>
      </c>
      <c r="L315">
        <v>270579.59299999999</v>
      </c>
      <c r="M315">
        <v>273429.74800000002</v>
      </c>
      <c r="P315">
        <v>18663.329999999998</v>
      </c>
      <c r="Q315">
        <v>231811.71999999994</v>
      </c>
      <c r="R315">
        <v>197747.03999999998</v>
      </c>
      <c r="S315">
        <v>188136.3</v>
      </c>
      <c r="T315">
        <v>148800.26000000004</v>
      </c>
      <c r="U315">
        <v>89118.040000000008</v>
      </c>
      <c r="V315">
        <v>11046.51</v>
      </c>
      <c r="W315">
        <v>0</v>
      </c>
      <c r="X315">
        <v>0</v>
      </c>
      <c r="Y315">
        <v>0</v>
      </c>
      <c r="AB315">
        <f>SUMPRODUCT(DB_SOFList[[#This Row],[Plan01]:[Plan12]],$D$14:$O$14)/valUnits2</f>
        <v>2105.8168970000002</v>
      </c>
      <c r="AC315">
        <f>SUMPRODUCT(DB_SOFList[[#This Row],[Act01]:[Act12]],$P$14:$AA$14)/valUnits2</f>
        <v>874.27668999999992</v>
      </c>
      <c r="AD315">
        <f>DB_SOFList[[#This Row],[Actual]]-DB_SOFList[[#This Row],[Plan]]</f>
        <v>-1231.5402070000002</v>
      </c>
      <c r="AE315">
        <f>IF(DB_SOFList[[#This Row],[Plan]]&lt;&gt;0,DB_SOFList[[#This Row],[Actual]]/DB_SOFList[[#This Row],[Plan]],1.000011000011)</f>
        <v>0.41517222662878073</v>
      </c>
      <c r="AF315" s="34">
        <f>SUM(DB_SOFList[[#This Row],[Plan01]:[Plan12]])/valUnits2</f>
        <v>3198.7881340000004</v>
      </c>
      <c r="AG315" s="34">
        <f>SUMPRODUCT(DB_SOFList[[#This Row],[Act01]:[Act12]],$P$13:$AA$13)/valUnits2</f>
        <v>874.27668999999992</v>
      </c>
      <c r="AH315" s="34">
        <f>IF(DB_SOFList[[#This Row],[FYPlan]]&lt;&gt;0,DB_SOFList[[#This Row],[FYActuals]]/DB_SOFList[[#This Row],[FYPlan]],1.000011000011)</f>
        <v>0.27331497222566598</v>
      </c>
    </row>
    <row r="316" spans="1:34" hidden="1" x14ac:dyDescent="0.2">
      <c r="A316">
        <f>SUBTOTAL(3,$B$16:B316)</f>
        <v>84</v>
      </c>
      <c r="B316" t="s">
        <v>351</v>
      </c>
      <c r="C316" t="s">
        <v>911</v>
      </c>
      <c r="D316">
        <v>8696.4220000000005</v>
      </c>
      <c r="E316">
        <v>17016.682000000001</v>
      </c>
      <c r="F316">
        <v>15200.973999999998</v>
      </c>
      <c r="G316">
        <v>29791.513999999996</v>
      </c>
      <c r="H316">
        <v>15097.734000000002</v>
      </c>
      <c r="I316">
        <v>4454.7439999999997</v>
      </c>
      <c r="J316">
        <v>4454.7439999999997</v>
      </c>
      <c r="K316">
        <v>4454.7439999999997</v>
      </c>
      <c r="L316">
        <v>4518.6390000000001</v>
      </c>
      <c r="M316">
        <v>4454.7439999999997</v>
      </c>
      <c r="P316">
        <v>4459.34</v>
      </c>
      <c r="Q316">
        <v>9393.0799999999981</v>
      </c>
      <c r="R316">
        <v>10746.230000000001</v>
      </c>
      <c r="S316">
        <v>25336.770000000008</v>
      </c>
      <c r="T316">
        <v>10655.170000000004</v>
      </c>
      <c r="U316">
        <v>9336.220000000003</v>
      </c>
      <c r="V316">
        <v>0</v>
      </c>
      <c r="W316">
        <v>0</v>
      </c>
      <c r="X316">
        <v>0</v>
      </c>
      <c r="Y316">
        <v>0</v>
      </c>
      <c r="AB316">
        <f>SUMPRODUCT(DB_SOFList[[#This Row],[Plan01]:[Plan12]],$D$14:$O$14)/valUnits2</f>
        <v>90.258069999999989</v>
      </c>
      <c r="AC316">
        <f>SUMPRODUCT(DB_SOFList[[#This Row],[Act01]:[Act12]],$P$14:$AA$14)/valUnits2</f>
        <v>69.926810000000032</v>
      </c>
      <c r="AD316">
        <f>DB_SOFList[[#This Row],[Actual]]-DB_SOFList[[#This Row],[Plan]]</f>
        <v>-20.331259999999958</v>
      </c>
      <c r="AE316">
        <f>IF(DB_SOFList[[#This Row],[Plan]]&lt;&gt;0,DB_SOFList[[#This Row],[Actual]]/DB_SOFList[[#This Row],[Plan]],1.000011000011)</f>
        <v>0.77474302297844433</v>
      </c>
      <c r="AF316" s="34">
        <f>SUM(DB_SOFList[[#This Row],[Plan01]:[Plan12]])/valUnits2</f>
        <v>108.14094100000001</v>
      </c>
      <c r="AG316" s="34">
        <f>SUMPRODUCT(DB_SOFList[[#This Row],[Act01]:[Act12]],$P$13:$AA$13)/valUnits2</f>
        <v>69.926810000000032</v>
      </c>
      <c r="AH316" s="34">
        <f>IF(DB_SOFList[[#This Row],[FYPlan]]&lt;&gt;0,DB_SOFList[[#This Row],[FYActuals]]/DB_SOFList[[#This Row],[FYPlan]],1.000011000011)</f>
        <v>0.64662660925060778</v>
      </c>
    </row>
    <row r="317" spans="1:34" hidden="1" x14ac:dyDescent="0.2">
      <c r="A317">
        <f>SUBTOTAL(3,$B$16:B317)</f>
        <v>84</v>
      </c>
      <c r="B317" t="s">
        <v>343</v>
      </c>
      <c r="C317" t="s">
        <v>911</v>
      </c>
      <c r="D317">
        <v>109309.92</v>
      </c>
      <c r="E317">
        <v>392794.84900000005</v>
      </c>
      <c r="F317">
        <v>367754.52800000005</v>
      </c>
      <c r="G317">
        <v>449800.17299999995</v>
      </c>
      <c r="H317">
        <v>398372.77300000004</v>
      </c>
      <c r="I317">
        <v>288365.37300000002</v>
      </c>
      <c r="J317">
        <v>261773.02299999999</v>
      </c>
      <c r="K317">
        <v>276729.12300000002</v>
      </c>
      <c r="L317">
        <v>265285.82299999997</v>
      </c>
      <c r="M317">
        <v>268199.87300000002</v>
      </c>
      <c r="P317">
        <v>14203.989999999998</v>
      </c>
      <c r="Q317">
        <v>220825.25999999995</v>
      </c>
      <c r="R317">
        <v>185700.18999999997</v>
      </c>
      <c r="S317">
        <v>161434.79999999996</v>
      </c>
      <c r="T317">
        <v>136827.52000000002</v>
      </c>
      <c r="U317">
        <v>78427.420000000013</v>
      </c>
      <c r="V317">
        <v>11046.51</v>
      </c>
      <c r="W317">
        <v>0</v>
      </c>
      <c r="X317">
        <v>0</v>
      </c>
      <c r="Y317">
        <v>0</v>
      </c>
      <c r="AB317">
        <f>SUMPRODUCT(DB_SOFList[[#This Row],[Plan01]:[Plan12]],$D$14:$O$14)/valUnits2</f>
        <v>2006.397616</v>
      </c>
      <c r="AC317">
        <f>SUMPRODUCT(DB_SOFList[[#This Row],[Act01]:[Act12]],$P$14:$AA$14)/valUnits2</f>
        <v>797.41917999999998</v>
      </c>
      <c r="AD317">
        <f>DB_SOFList[[#This Row],[Actual]]-DB_SOFList[[#This Row],[Plan]]</f>
        <v>-1208.9784359999999</v>
      </c>
      <c r="AE317">
        <f>IF(DB_SOFList[[#This Row],[Plan]]&lt;&gt;0,DB_SOFList[[#This Row],[Actual]]/DB_SOFList[[#This Row],[Plan]],1.000011000011)</f>
        <v>0.39743826131021481</v>
      </c>
      <c r="AF317" s="34">
        <f>SUM(DB_SOFList[[#This Row],[Plan01]:[Plan12]])/valUnits2</f>
        <v>3078.3854580000002</v>
      </c>
      <c r="AG317" s="34">
        <f>SUMPRODUCT(DB_SOFList[[#This Row],[Act01]:[Act12]],$P$13:$AA$13)/valUnits2</f>
        <v>797.41917999999998</v>
      </c>
      <c r="AH317" s="34">
        <f>IF(DB_SOFList[[#This Row],[FYPlan]]&lt;&gt;0,DB_SOFList[[#This Row],[FYActuals]]/DB_SOFList[[#This Row],[FYPlan]],1.000011000011)</f>
        <v>0.25903811945566951</v>
      </c>
    </row>
    <row r="318" spans="1:34" hidden="1" x14ac:dyDescent="0.2">
      <c r="A318">
        <f>SUBTOTAL(3,$B$16:B318)</f>
        <v>84</v>
      </c>
      <c r="B318" t="s">
        <v>350</v>
      </c>
      <c r="C318" t="s">
        <v>911</v>
      </c>
      <c r="D318">
        <v>186.72399999999999</v>
      </c>
      <c r="E318">
        <v>1891.0430000000001</v>
      </c>
      <c r="F318">
        <v>2075.7509999999997</v>
      </c>
      <c r="G318">
        <v>2139.8609999999999</v>
      </c>
      <c r="H318">
        <v>2092.701</v>
      </c>
      <c r="I318">
        <v>775.13099999999997</v>
      </c>
      <c r="J318">
        <v>775.13099999999997</v>
      </c>
      <c r="K318">
        <v>775.13099999999997</v>
      </c>
      <c r="L318">
        <v>775.13099999999997</v>
      </c>
      <c r="M318">
        <v>775.13099999999997</v>
      </c>
      <c r="P318">
        <v>0</v>
      </c>
      <c r="Q318">
        <v>1593.38</v>
      </c>
      <c r="R318">
        <v>1300.6199999999999</v>
      </c>
      <c r="S318">
        <v>1364.73</v>
      </c>
      <c r="T318">
        <v>1317.57</v>
      </c>
      <c r="U318">
        <v>1354.4</v>
      </c>
      <c r="V318">
        <v>0</v>
      </c>
      <c r="W318">
        <v>0</v>
      </c>
      <c r="X318">
        <v>0</v>
      </c>
      <c r="Y318">
        <v>0</v>
      </c>
      <c r="AB318">
        <f>SUMPRODUCT(DB_SOFList[[#This Row],[Plan01]:[Plan12]],$D$14:$O$14)/valUnits2</f>
        <v>9.1612109999999998</v>
      </c>
      <c r="AC318">
        <f>SUMPRODUCT(DB_SOFList[[#This Row],[Act01]:[Act12]],$P$14:$AA$14)/valUnits2</f>
        <v>6.930699999999999</v>
      </c>
      <c r="AD318">
        <f>DB_SOFList[[#This Row],[Actual]]-DB_SOFList[[#This Row],[Plan]]</f>
        <v>-2.2305110000000008</v>
      </c>
      <c r="AE318">
        <f>IF(DB_SOFList[[#This Row],[Plan]]&lt;&gt;0,DB_SOFList[[#This Row],[Actual]]/DB_SOFList[[#This Row],[Plan]],1.000011000011)</f>
        <v>0.75652662077098753</v>
      </c>
      <c r="AF318" s="34">
        <f>SUM(DB_SOFList[[#This Row],[Plan01]:[Plan12]])/valUnits2</f>
        <v>12.261734999999996</v>
      </c>
      <c r="AG318" s="34">
        <f>SUMPRODUCT(DB_SOFList[[#This Row],[Act01]:[Act12]],$P$13:$AA$13)/valUnits2</f>
        <v>6.930699999999999</v>
      </c>
      <c r="AH318" s="34">
        <f>IF(DB_SOFList[[#This Row],[FYPlan]]&lt;&gt;0,DB_SOFList[[#This Row],[FYActuals]]/DB_SOFList[[#This Row],[FYPlan]],1.000011000011)</f>
        <v>0.56522996133907644</v>
      </c>
    </row>
    <row r="319" spans="1:34" x14ac:dyDescent="0.2">
      <c r="A319">
        <f>SUBTOTAL(3,$B$16:B319)</f>
        <v>85</v>
      </c>
      <c r="B319" t="s">
        <v>1</v>
      </c>
      <c r="C319" t="s">
        <v>912</v>
      </c>
      <c r="D319">
        <v>5619.34</v>
      </c>
      <c r="E319">
        <v>-5065.7400000000007</v>
      </c>
      <c r="G319">
        <v>-4740.87</v>
      </c>
      <c r="P319">
        <v>5619.3400000000011</v>
      </c>
      <c r="Q319">
        <v>-5065.7400000000007</v>
      </c>
      <c r="S319">
        <v>-4740.87</v>
      </c>
      <c r="AB319">
        <f>SUMPRODUCT(DB_SOFList[[#This Row],[Plan01]:[Plan12]],$D$14:$O$14)/valUnits2</f>
        <v>-4.1872700000000007</v>
      </c>
      <c r="AC319">
        <f>SUMPRODUCT(DB_SOFList[[#This Row],[Act01]:[Act12]],$P$14:$AA$14)/valUnits2</f>
        <v>-4.1872699999999998</v>
      </c>
      <c r="AD319">
        <f>DB_SOFList[[#This Row],[Actual]]-DB_SOFList[[#This Row],[Plan]]</f>
        <v>0</v>
      </c>
      <c r="AE319">
        <f>IF(DB_SOFList[[#This Row],[Plan]]&lt;&gt;0,DB_SOFList[[#This Row],[Actual]]/DB_SOFList[[#This Row],[Plan]],1.000011000011)</f>
        <v>0.99999999999999978</v>
      </c>
      <c r="AF319" s="34">
        <f>SUM(DB_SOFList[[#This Row],[Plan01]:[Plan12]])/valUnits2</f>
        <v>-4.1872700000000007</v>
      </c>
      <c r="AG319" s="34">
        <f>SUMPRODUCT(DB_SOFList[[#This Row],[Act01]:[Act12]],$P$13:$AA$13)/valUnits2</f>
        <v>-4.1872699999999998</v>
      </c>
      <c r="AH319" s="34">
        <f>IF(DB_SOFList[[#This Row],[FYPlan]]&lt;&gt;0,DB_SOFList[[#This Row],[FYActuals]]/DB_SOFList[[#This Row],[FYPlan]],1.000011000011)</f>
        <v>0.99999999999999978</v>
      </c>
    </row>
    <row r="320" spans="1:34" hidden="1" x14ac:dyDescent="0.2">
      <c r="A320">
        <f>SUBTOTAL(3,$B$16:B320)</f>
        <v>85</v>
      </c>
      <c r="B320" t="s">
        <v>342</v>
      </c>
      <c r="C320" t="s">
        <v>912</v>
      </c>
      <c r="D320">
        <v>5207.9000000000005</v>
      </c>
      <c r="E320">
        <v>-3143.130000000001</v>
      </c>
      <c r="G320">
        <v>-4329.43</v>
      </c>
      <c r="P320">
        <v>5207.9000000000015</v>
      </c>
      <c r="Q320">
        <v>-3143.130000000001</v>
      </c>
      <c r="S320">
        <v>-4329.43</v>
      </c>
      <c r="AB320">
        <f>SUMPRODUCT(DB_SOFList[[#This Row],[Plan01]:[Plan12]],$D$14:$O$14)/valUnits2</f>
        <v>-2.2646600000000006</v>
      </c>
      <c r="AC320">
        <f>SUMPRODUCT(DB_SOFList[[#This Row],[Act01]:[Act12]],$P$14:$AA$14)/valUnits2</f>
        <v>-2.2646599999999997</v>
      </c>
      <c r="AD320">
        <f>DB_SOFList[[#This Row],[Actual]]-DB_SOFList[[#This Row],[Plan]]</f>
        <v>0</v>
      </c>
      <c r="AE320">
        <f>IF(DB_SOFList[[#This Row],[Plan]]&lt;&gt;0,DB_SOFList[[#This Row],[Actual]]/DB_SOFList[[#This Row],[Plan]],1.000011000011)</f>
        <v>0.99999999999999956</v>
      </c>
      <c r="AF320" s="34">
        <f>SUM(DB_SOFList[[#This Row],[Plan01]:[Plan12]])/valUnits2</f>
        <v>-2.2646600000000006</v>
      </c>
      <c r="AG320" s="34">
        <f>SUMPRODUCT(DB_SOFList[[#This Row],[Act01]:[Act12]],$P$13:$AA$13)/valUnits2</f>
        <v>-2.2646599999999997</v>
      </c>
      <c r="AH320" s="34">
        <f>IF(DB_SOFList[[#This Row],[FYPlan]]&lt;&gt;0,DB_SOFList[[#This Row],[FYActuals]]/DB_SOFList[[#This Row],[FYPlan]],1.000011000011)</f>
        <v>0.99999999999999956</v>
      </c>
    </row>
    <row r="321" spans="1:34" hidden="1" x14ac:dyDescent="0.2">
      <c r="A321">
        <f>SUBTOTAL(3,$B$16:B321)</f>
        <v>85</v>
      </c>
      <c r="B321" t="s">
        <v>351</v>
      </c>
      <c r="C321" t="s">
        <v>912</v>
      </c>
      <c r="D321">
        <v>411.44</v>
      </c>
      <c r="E321">
        <v>-1922.61</v>
      </c>
      <c r="G321">
        <v>-411.44</v>
      </c>
      <c r="P321">
        <v>411.44</v>
      </c>
      <c r="Q321">
        <v>-1922.61</v>
      </c>
      <c r="S321">
        <v>-411.44</v>
      </c>
      <c r="AB321">
        <f>SUMPRODUCT(DB_SOFList[[#This Row],[Plan01]:[Plan12]],$D$14:$O$14)/valUnits2</f>
        <v>-1.9226099999999999</v>
      </c>
      <c r="AC321">
        <f>SUMPRODUCT(DB_SOFList[[#This Row],[Act01]:[Act12]],$P$14:$AA$14)/valUnits2</f>
        <v>-1.9226099999999999</v>
      </c>
      <c r="AD321">
        <f>DB_SOFList[[#This Row],[Actual]]-DB_SOFList[[#This Row],[Plan]]</f>
        <v>0</v>
      </c>
      <c r="AE321">
        <f>IF(DB_SOFList[[#This Row],[Plan]]&lt;&gt;0,DB_SOFList[[#This Row],[Actual]]/DB_SOFList[[#This Row],[Plan]],1.000011000011)</f>
        <v>1</v>
      </c>
      <c r="AF321" s="34">
        <f>SUM(DB_SOFList[[#This Row],[Plan01]:[Plan12]])/valUnits2</f>
        <v>-1.9226099999999999</v>
      </c>
      <c r="AG321" s="34">
        <f>SUMPRODUCT(DB_SOFList[[#This Row],[Act01]:[Act12]],$P$13:$AA$13)/valUnits2</f>
        <v>-1.9226099999999999</v>
      </c>
      <c r="AH321" s="34">
        <f>IF(DB_SOFList[[#This Row],[FYPlan]]&lt;&gt;0,DB_SOFList[[#This Row],[FYActuals]]/DB_SOFList[[#This Row],[FYPlan]],1.000011000011)</f>
        <v>1</v>
      </c>
    </row>
    <row r="322" spans="1:34" x14ac:dyDescent="0.2">
      <c r="A322">
        <f>SUBTOTAL(3,$B$16:B322)</f>
        <v>86</v>
      </c>
      <c r="B322" t="s">
        <v>1</v>
      </c>
      <c r="C322" t="s">
        <v>913</v>
      </c>
      <c r="D322">
        <v>4672.3689999999997</v>
      </c>
      <c r="E322">
        <v>-1181.952</v>
      </c>
      <c r="F322">
        <v>19514.457000000002</v>
      </c>
      <c r="G322">
        <v>5518.9989999999998</v>
      </c>
      <c r="H322">
        <v>27546.753999999997</v>
      </c>
      <c r="I322">
        <v>12905.422000000002</v>
      </c>
      <c r="J322">
        <v>5920.3759999999993</v>
      </c>
      <c r="K322">
        <v>6057.8379999999988</v>
      </c>
      <c r="L322">
        <v>7975.9329999999991</v>
      </c>
      <c r="M322">
        <v>6927.3739999999998</v>
      </c>
      <c r="N322">
        <v>5776.5169999999998</v>
      </c>
      <c r="O322">
        <v>5776.5169999999998</v>
      </c>
      <c r="P322">
        <v>4584.72</v>
      </c>
      <c r="Q322">
        <v>-1181.2900000000002</v>
      </c>
      <c r="R322">
        <v>19879.340000000004</v>
      </c>
      <c r="S322">
        <v>5480.3499999999985</v>
      </c>
      <c r="T322">
        <v>27611.710000000003</v>
      </c>
      <c r="U322">
        <v>1336.340000000002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f>SUMPRODUCT(DB_SOFList[[#This Row],[Plan01]:[Plan12]],$D$14:$O$14)/valUnits2</f>
        <v>68.976049000000003</v>
      </c>
      <c r="AC322">
        <f>SUMPRODUCT(DB_SOFList[[#This Row],[Act01]:[Act12]],$P$14:$AA$14)/valUnits2</f>
        <v>57.711170000000003</v>
      </c>
      <c r="AD322">
        <f>DB_SOFList[[#This Row],[Actual]]-DB_SOFList[[#This Row],[Plan]]</f>
        <v>-11.264879000000001</v>
      </c>
      <c r="AE322">
        <f>IF(DB_SOFList[[#This Row],[Plan]]&lt;&gt;0,DB_SOFList[[#This Row],[Actual]]/DB_SOFList[[#This Row],[Plan]],1.000011000011)</f>
        <v>0.83668419453831</v>
      </c>
      <c r="AF322" s="34">
        <f>SUM(DB_SOFList[[#This Row],[Plan01]:[Plan12]])/valUnits2</f>
        <v>107.41060399999999</v>
      </c>
      <c r="AG322" s="34">
        <f>SUMPRODUCT(DB_SOFList[[#This Row],[Act01]:[Act12]],$P$13:$AA$13)/valUnits2</f>
        <v>57.711170000000003</v>
      </c>
      <c r="AH322" s="34">
        <f>IF(DB_SOFList[[#This Row],[FYPlan]]&lt;&gt;0,DB_SOFList[[#This Row],[FYActuals]]/DB_SOFList[[#This Row],[FYPlan]],1.000011000011)</f>
        <v>0.53729490246605449</v>
      </c>
    </row>
    <row r="323" spans="1:34" hidden="1" x14ac:dyDescent="0.2">
      <c r="A323">
        <f>SUBTOTAL(3,$B$16:B323)</f>
        <v>86</v>
      </c>
      <c r="B323" t="s">
        <v>351</v>
      </c>
      <c r="C323" t="s">
        <v>913</v>
      </c>
      <c r="D323">
        <v>0</v>
      </c>
      <c r="E323">
        <v>0</v>
      </c>
      <c r="F323">
        <v>11.228999999999999</v>
      </c>
      <c r="G323">
        <v>3647.761</v>
      </c>
      <c r="H323">
        <v>8656.9969999999994</v>
      </c>
      <c r="I323">
        <v>703.35300000000007</v>
      </c>
      <c r="J323">
        <v>703.35300000000007</v>
      </c>
      <c r="K323">
        <v>703.35300000000007</v>
      </c>
      <c r="L323">
        <v>703.35300000000007</v>
      </c>
      <c r="M323">
        <v>703.35300000000007</v>
      </c>
      <c r="N323">
        <v>703.35300000000007</v>
      </c>
      <c r="O323">
        <v>703.35300000000007</v>
      </c>
      <c r="P323">
        <v>0</v>
      </c>
      <c r="Q323">
        <v>0</v>
      </c>
      <c r="R323">
        <v>11.45</v>
      </c>
      <c r="S323">
        <v>3634.3499999999995</v>
      </c>
      <c r="T323">
        <v>8688.02</v>
      </c>
      <c r="U323">
        <v>161.17000000000056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f>SUMPRODUCT(DB_SOFList[[#This Row],[Plan01]:[Plan12]],$D$14:$O$14)/valUnits2</f>
        <v>13.01934</v>
      </c>
      <c r="AC323">
        <f>SUMPRODUCT(DB_SOFList[[#This Row],[Act01]:[Act12]],$P$14:$AA$14)/valUnits2</f>
        <v>12.49499</v>
      </c>
      <c r="AD323">
        <f>DB_SOFList[[#This Row],[Actual]]-DB_SOFList[[#This Row],[Plan]]</f>
        <v>-0.52435000000000009</v>
      </c>
      <c r="AE323">
        <f>IF(DB_SOFList[[#This Row],[Plan]]&lt;&gt;0,DB_SOFList[[#This Row],[Actual]]/DB_SOFList[[#This Row],[Plan]],1.000011000011)</f>
        <v>0.95972530097531827</v>
      </c>
      <c r="AF323" s="34">
        <f>SUM(DB_SOFList[[#This Row],[Plan01]:[Plan12]])/valUnits2</f>
        <v>17.239457999999996</v>
      </c>
      <c r="AG323" s="34">
        <f>SUMPRODUCT(DB_SOFList[[#This Row],[Act01]:[Act12]],$P$13:$AA$13)/valUnits2</f>
        <v>12.49499</v>
      </c>
      <c r="AH323" s="34">
        <f>IF(DB_SOFList[[#This Row],[FYPlan]]&lt;&gt;0,DB_SOFList[[#This Row],[FYActuals]]/DB_SOFList[[#This Row],[FYPlan]],1.000011000011)</f>
        <v>0.72479018771935888</v>
      </c>
    </row>
    <row r="324" spans="1:34" hidden="1" x14ac:dyDescent="0.2">
      <c r="A324">
        <f>SUBTOTAL(3,$B$16:B324)</f>
        <v>86</v>
      </c>
      <c r="B324" t="s">
        <v>349</v>
      </c>
      <c r="C324" t="s">
        <v>913</v>
      </c>
      <c r="D324">
        <v>4672.3689999999997</v>
      </c>
      <c r="E324">
        <v>-1181.952</v>
      </c>
      <c r="F324">
        <v>19503.228000000003</v>
      </c>
      <c r="G324">
        <v>1871.2379999999994</v>
      </c>
      <c r="H324">
        <v>18889.756999999998</v>
      </c>
      <c r="I324">
        <v>12202.069000000001</v>
      </c>
      <c r="J324">
        <v>5217.0229999999992</v>
      </c>
      <c r="K324">
        <v>5354.4849999999988</v>
      </c>
      <c r="L324">
        <v>7272.579999999999</v>
      </c>
      <c r="M324">
        <v>6224.0209999999997</v>
      </c>
      <c r="N324">
        <v>5073.1639999999998</v>
      </c>
      <c r="O324">
        <v>5073.1639999999998</v>
      </c>
      <c r="P324">
        <v>4584.72</v>
      </c>
      <c r="Q324">
        <v>-1181.2900000000002</v>
      </c>
      <c r="R324">
        <v>19867.890000000003</v>
      </c>
      <c r="S324">
        <v>1845.9999999999989</v>
      </c>
      <c r="T324">
        <v>18923.690000000002</v>
      </c>
      <c r="U324">
        <v>1175.1700000000014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f>SUMPRODUCT(DB_SOFList[[#This Row],[Plan01]:[Plan12]],$D$14:$O$14)/valUnits2</f>
        <v>55.956709000000004</v>
      </c>
      <c r="AC324">
        <f>SUMPRODUCT(DB_SOFList[[#This Row],[Act01]:[Act12]],$P$14:$AA$14)/valUnits2</f>
        <v>45.216180000000008</v>
      </c>
      <c r="AD324">
        <f>DB_SOFList[[#This Row],[Actual]]-DB_SOFList[[#This Row],[Plan]]</f>
        <v>-10.740528999999995</v>
      </c>
      <c r="AE324">
        <f>IF(DB_SOFList[[#This Row],[Plan]]&lt;&gt;0,DB_SOFList[[#This Row],[Actual]]/DB_SOFList[[#This Row],[Plan]],1.000011000011)</f>
        <v>0.80805645664401038</v>
      </c>
      <c r="AF324" s="34">
        <f>SUM(DB_SOFList[[#This Row],[Plan01]:[Plan12]])/valUnits2</f>
        <v>90.171146000000007</v>
      </c>
      <c r="AG324" s="34">
        <f>SUMPRODUCT(DB_SOFList[[#This Row],[Act01]:[Act12]],$P$13:$AA$13)/valUnits2</f>
        <v>45.216180000000008</v>
      </c>
      <c r="AH324" s="34">
        <f>IF(DB_SOFList[[#This Row],[FYPlan]]&lt;&gt;0,DB_SOFList[[#This Row],[FYActuals]]/DB_SOFList[[#This Row],[FYPlan]],1.000011000011)</f>
        <v>0.50144843451363041</v>
      </c>
    </row>
    <row r="325" spans="1:34" x14ac:dyDescent="0.2">
      <c r="A325">
        <f>SUBTOTAL(3,$B$16:B325)</f>
        <v>87</v>
      </c>
      <c r="B325" t="s">
        <v>1</v>
      </c>
      <c r="C325" t="s">
        <v>914</v>
      </c>
      <c r="F325">
        <v>559.72</v>
      </c>
      <c r="R325">
        <v>559.72</v>
      </c>
      <c r="AB325">
        <f>SUMPRODUCT(DB_SOFList[[#This Row],[Plan01]:[Plan12]],$D$14:$O$14)/valUnits2</f>
        <v>0.55972</v>
      </c>
      <c r="AC325">
        <f>SUMPRODUCT(DB_SOFList[[#This Row],[Act01]:[Act12]],$P$14:$AA$14)/valUnits2</f>
        <v>0.55972</v>
      </c>
      <c r="AD325">
        <f>DB_SOFList[[#This Row],[Actual]]-DB_SOFList[[#This Row],[Plan]]</f>
        <v>0</v>
      </c>
      <c r="AE325">
        <f>IF(DB_SOFList[[#This Row],[Plan]]&lt;&gt;0,DB_SOFList[[#This Row],[Actual]]/DB_SOFList[[#This Row],[Plan]],1.000011000011)</f>
        <v>1</v>
      </c>
      <c r="AF325" s="34">
        <f>SUM(DB_SOFList[[#This Row],[Plan01]:[Plan12]])/valUnits2</f>
        <v>0.55972</v>
      </c>
      <c r="AG325" s="34">
        <f>SUMPRODUCT(DB_SOFList[[#This Row],[Act01]:[Act12]],$P$13:$AA$13)/valUnits2</f>
        <v>0.55972</v>
      </c>
      <c r="AH325" s="34">
        <f>IF(DB_SOFList[[#This Row],[FYPlan]]&lt;&gt;0,DB_SOFList[[#This Row],[FYActuals]]/DB_SOFList[[#This Row],[FYPlan]],1.000011000011)</f>
        <v>1</v>
      </c>
    </row>
    <row r="326" spans="1:34" hidden="1" x14ac:dyDescent="0.2">
      <c r="A326">
        <f>SUBTOTAL(3,$B$16:B326)</f>
        <v>87</v>
      </c>
      <c r="B326" t="s">
        <v>348</v>
      </c>
      <c r="C326" t="s">
        <v>914</v>
      </c>
      <c r="F326">
        <v>559.72</v>
      </c>
      <c r="R326">
        <v>559.72</v>
      </c>
      <c r="AB326">
        <f>SUMPRODUCT(DB_SOFList[[#This Row],[Plan01]:[Plan12]],$D$14:$O$14)/valUnits2</f>
        <v>0.55972</v>
      </c>
      <c r="AC326">
        <f>SUMPRODUCT(DB_SOFList[[#This Row],[Act01]:[Act12]],$P$14:$AA$14)/valUnits2</f>
        <v>0.55972</v>
      </c>
      <c r="AD326">
        <f>DB_SOFList[[#This Row],[Actual]]-DB_SOFList[[#This Row],[Plan]]</f>
        <v>0</v>
      </c>
      <c r="AE326">
        <f>IF(DB_SOFList[[#This Row],[Plan]]&lt;&gt;0,DB_SOFList[[#This Row],[Actual]]/DB_SOFList[[#This Row],[Plan]],1.000011000011)</f>
        <v>1</v>
      </c>
      <c r="AF326" s="34">
        <f>SUM(DB_SOFList[[#This Row],[Plan01]:[Plan12]])/valUnits2</f>
        <v>0.55972</v>
      </c>
      <c r="AG326" s="34">
        <f>SUMPRODUCT(DB_SOFList[[#This Row],[Act01]:[Act12]],$P$13:$AA$13)/valUnits2</f>
        <v>0.55972</v>
      </c>
      <c r="AH326" s="34">
        <f>IF(DB_SOFList[[#This Row],[FYPlan]]&lt;&gt;0,DB_SOFList[[#This Row],[FYActuals]]/DB_SOFList[[#This Row],[FYPlan]],1.000011000011)</f>
        <v>1</v>
      </c>
    </row>
    <row r="327" spans="1:34" x14ac:dyDescent="0.2">
      <c r="A327">
        <f>SUBTOTAL(3,$B$16:B327)</f>
        <v>88</v>
      </c>
      <c r="B327" t="s">
        <v>1</v>
      </c>
      <c r="C327" t="s">
        <v>915</v>
      </c>
      <c r="D327">
        <v>880.13199999999847</v>
      </c>
      <c r="E327">
        <v>1441.981999999997</v>
      </c>
      <c r="F327">
        <v>18976.839</v>
      </c>
      <c r="G327">
        <v>2612.8969999999999</v>
      </c>
      <c r="H327">
        <v>7049.7320000000018</v>
      </c>
      <c r="I327">
        <v>8621.3840000000018</v>
      </c>
      <c r="J327">
        <v>9366.5570000000007</v>
      </c>
      <c r="K327">
        <v>10773.963</v>
      </c>
      <c r="L327">
        <v>9489.8450000000012</v>
      </c>
      <c r="M327">
        <v>9305.0670000000009</v>
      </c>
      <c r="N327">
        <v>9142.3990000000031</v>
      </c>
      <c r="O327">
        <v>8681.2300000000014</v>
      </c>
      <c r="P327">
        <v>884.57000000000028</v>
      </c>
      <c r="Q327">
        <v>1476.3400000000026</v>
      </c>
      <c r="R327">
        <v>18796.16</v>
      </c>
      <c r="S327">
        <v>2549.13</v>
      </c>
      <c r="T327">
        <v>7195.7999999999993</v>
      </c>
      <c r="U327">
        <v>12128.260000000002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f>SUMPRODUCT(DB_SOFList[[#This Row],[Plan01]:[Plan12]],$D$14:$O$14)/valUnits2</f>
        <v>39.582965999999999</v>
      </c>
      <c r="AC327">
        <f>SUMPRODUCT(DB_SOFList[[#This Row],[Act01]:[Act12]],$P$14:$AA$14)/valUnits2</f>
        <v>43.030260000000013</v>
      </c>
      <c r="AD327">
        <f>DB_SOFList[[#This Row],[Actual]]-DB_SOFList[[#This Row],[Plan]]</f>
        <v>3.4472940000000136</v>
      </c>
      <c r="AE327">
        <f>IF(DB_SOFList[[#This Row],[Plan]]&lt;&gt;0,DB_SOFList[[#This Row],[Actual]]/DB_SOFList[[#This Row],[Plan]],1.000011000011)</f>
        <v>1.0870903408299422</v>
      </c>
      <c r="AF327" s="34">
        <f>SUM(DB_SOFList[[#This Row],[Plan01]:[Plan12]])/valUnits2</f>
        <v>96.342027000000002</v>
      </c>
      <c r="AG327" s="34">
        <f>SUMPRODUCT(DB_SOFList[[#This Row],[Act01]:[Act12]],$P$13:$AA$13)/valUnits2</f>
        <v>43.030260000000013</v>
      </c>
      <c r="AH327" s="34">
        <f>IF(DB_SOFList[[#This Row],[FYPlan]]&lt;&gt;0,DB_SOFList[[#This Row],[FYActuals]]/DB_SOFList[[#This Row],[FYPlan]],1.000011000011)</f>
        <v>0.44664059227236325</v>
      </c>
    </row>
    <row r="328" spans="1:34" hidden="1" x14ac:dyDescent="0.2">
      <c r="A328">
        <f>SUBTOTAL(3,$B$16:B328)</f>
        <v>88</v>
      </c>
      <c r="B328" t="s">
        <v>342</v>
      </c>
      <c r="C328" t="s">
        <v>915</v>
      </c>
      <c r="D328">
        <v>880.13199999999847</v>
      </c>
      <c r="E328">
        <v>1155.5809999999969</v>
      </c>
      <c r="F328">
        <v>18652.249</v>
      </c>
      <c r="G328">
        <v>1375.4860000000001</v>
      </c>
      <c r="H328">
        <v>925.69100000000037</v>
      </c>
      <c r="I328">
        <v>7672.5240000000022</v>
      </c>
      <c r="J328">
        <v>8417.6970000000001</v>
      </c>
      <c r="K328">
        <v>9825.1029999999992</v>
      </c>
      <c r="L328">
        <v>8540.9850000000006</v>
      </c>
      <c r="M328">
        <v>8356.2070000000003</v>
      </c>
      <c r="N328">
        <v>8193.5390000000025</v>
      </c>
      <c r="O328">
        <v>7732.3700000000017</v>
      </c>
      <c r="P328">
        <v>884.57000000000028</v>
      </c>
      <c r="Q328">
        <v>1182.8000000000027</v>
      </c>
      <c r="R328">
        <v>18476.12</v>
      </c>
      <c r="S328">
        <v>1346.3600000000001</v>
      </c>
      <c r="T328">
        <v>937.32999999999993</v>
      </c>
      <c r="U328">
        <v>8371.35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f>SUMPRODUCT(DB_SOFList[[#This Row],[Plan01]:[Plan12]],$D$14:$O$14)/valUnits2</f>
        <v>30.661662999999997</v>
      </c>
      <c r="AC328">
        <f>SUMPRODUCT(DB_SOFList[[#This Row],[Act01]:[Act12]],$P$14:$AA$14)/valUnits2</f>
        <v>31.198529999999998</v>
      </c>
      <c r="AD328">
        <f>DB_SOFList[[#This Row],[Actual]]-DB_SOFList[[#This Row],[Plan]]</f>
        <v>0.53686700000000087</v>
      </c>
      <c r="AE328">
        <f>IF(DB_SOFList[[#This Row],[Plan]]&lt;&gt;0,DB_SOFList[[#This Row],[Actual]]/DB_SOFList[[#This Row],[Plan]],1.000011000011)</f>
        <v>1.0175093894939751</v>
      </c>
      <c r="AF328" s="34">
        <f>SUM(DB_SOFList[[#This Row],[Plan01]:[Plan12]])/valUnits2</f>
        <v>81.727564000000001</v>
      </c>
      <c r="AG328" s="34">
        <f>SUMPRODUCT(DB_SOFList[[#This Row],[Act01]:[Act12]],$P$13:$AA$13)/valUnits2</f>
        <v>31.198529999999998</v>
      </c>
      <c r="AH328" s="34">
        <f>IF(DB_SOFList[[#This Row],[FYPlan]]&lt;&gt;0,DB_SOFList[[#This Row],[FYActuals]]/DB_SOFList[[#This Row],[FYPlan]],1.000011000011)</f>
        <v>0.38173816119124754</v>
      </c>
    </row>
    <row r="329" spans="1:34" hidden="1" x14ac:dyDescent="0.2">
      <c r="A329">
        <f>SUBTOTAL(3,$B$16:B329)</f>
        <v>88</v>
      </c>
      <c r="B329" t="s">
        <v>351</v>
      </c>
      <c r="C329" t="s">
        <v>915</v>
      </c>
      <c r="D329">
        <v>0</v>
      </c>
      <c r="E329">
        <v>286.40100000000001</v>
      </c>
      <c r="F329">
        <v>324.58999999999997</v>
      </c>
      <c r="G329">
        <v>1237.4110000000001</v>
      </c>
      <c r="H329">
        <v>6124.0410000000011</v>
      </c>
      <c r="I329">
        <v>373.60599999999999</v>
      </c>
      <c r="J329">
        <v>373.60599999999999</v>
      </c>
      <c r="K329">
        <v>373.60599999999999</v>
      </c>
      <c r="L329">
        <v>373.60599999999999</v>
      </c>
      <c r="M329">
        <v>373.60599999999999</v>
      </c>
      <c r="N329">
        <v>373.60599999999999</v>
      </c>
      <c r="O329">
        <v>373.60599999999999</v>
      </c>
      <c r="P329">
        <v>0</v>
      </c>
      <c r="Q329">
        <v>293.54000000000002</v>
      </c>
      <c r="R329">
        <v>320.03999999999996</v>
      </c>
      <c r="S329">
        <v>1202.77</v>
      </c>
      <c r="T329">
        <v>6258.4699999999993</v>
      </c>
      <c r="U329">
        <v>3756.6200000000003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f>SUMPRODUCT(DB_SOFList[[#This Row],[Plan01]:[Plan12]],$D$14:$O$14)/valUnits2</f>
        <v>8.3460490000000007</v>
      </c>
      <c r="AC329">
        <f>SUMPRODUCT(DB_SOFList[[#This Row],[Act01]:[Act12]],$P$14:$AA$14)/valUnits2</f>
        <v>11.831440000000001</v>
      </c>
      <c r="AD329">
        <f>DB_SOFList[[#This Row],[Actual]]-DB_SOFList[[#This Row],[Plan]]</f>
        <v>3.4853909999999999</v>
      </c>
      <c r="AE329">
        <f>IF(DB_SOFList[[#This Row],[Plan]]&lt;&gt;0,DB_SOFList[[#This Row],[Actual]]/DB_SOFList[[#This Row],[Plan]],1.000011000011)</f>
        <v>1.4176096977144514</v>
      </c>
      <c r="AF329" s="34">
        <f>SUM(DB_SOFList[[#This Row],[Plan01]:[Plan12]])/valUnits2</f>
        <v>10.587684999999999</v>
      </c>
      <c r="AG329" s="34">
        <f>SUMPRODUCT(DB_SOFList[[#This Row],[Act01]:[Act12]],$P$13:$AA$13)/valUnits2</f>
        <v>11.831440000000001</v>
      </c>
      <c r="AH329" s="34">
        <f>IF(DB_SOFList[[#This Row],[FYPlan]]&lt;&gt;0,DB_SOFList[[#This Row],[FYActuals]]/DB_SOFList[[#This Row],[FYPlan]],1.000011000011)</f>
        <v>1.1174718552733673</v>
      </c>
    </row>
    <row r="330" spans="1:34" hidden="1" x14ac:dyDescent="0.2">
      <c r="A330">
        <f>SUBTOTAL(3,$B$16:B330)</f>
        <v>88</v>
      </c>
      <c r="B330" t="s">
        <v>350</v>
      </c>
      <c r="C330" t="s">
        <v>915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575.25400000000002</v>
      </c>
      <c r="J330">
        <v>575.25400000000002</v>
      </c>
      <c r="K330">
        <v>575.25400000000002</v>
      </c>
      <c r="L330">
        <v>575.25400000000002</v>
      </c>
      <c r="M330">
        <v>575.25400000000002</v>
      </c>
      <c r="N330">
        <v>575.25400000000002</v>
      </c>
      <c r="O330">
        <v>575.25400000000002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0.28999999999999998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f>SUMPRODUCT(DB_SOFList[[#This Row],[Plan01]:[Plan12]],$D$14:$O$14)/valUnits2</f>
        <v>0.57525400000000004</v>
      </c>
      <c r="AC330">
        <f>SUMPRODUCT(DB_SOFList[[#This Row],[Act01]:[Act12]],$P$14:$AA$14)/valUnits2</f>
        <v>2.9E-4</v>
      </c>
      <c r="AD330">
        <f>DB_SOFList[[#This Row],[Actual]]-DB_SOFList[[#This Row],[Plan]]</f>
        <v>-0.57496400000000003</v>
      </c>
      <c r="AE330">
        <f>IF(DB_SOFList[[#This Row],[Plan]]&lt;&gt;0,DB_SOFList[[#This Row],[Actual]]/DB_SOFList[[#This Row],[Plan]],1.000011000011)</f>
        <v>5.0412513428850557E-4</v>
      </c>
      <c r="AF330" s="34">
        <f>SUM(DB_SOFList[[#This Row],[Plan01]:[Plan12]])/valUnits2</f>
        <v>4.0267780000000002</v>
      </c>
      <c r="AG330" s="34">
        <f>SUMPRODUCT(DB_SOFList[[#This Row],[Act01]:[Act12]],$P$13:$AA$13)/valUnits2</f>
        <v>2.9E-4</v>
      </c>
      <c r="AH330" s="34">
        <f>IF(DB_SOFList[[#This Row],[FYPlan]]&lt;&gt;0,DB_SOFList[[#This Row],[FYActuals]]/DB_SOFList[[#This Row],[FYPlan]],1.000011000011)</f>
        <v>7.2017876326929369E-5</v>
      </c>
    </row>
    <row r="331" spans="1:34" x14ac:dyDescent="0.2">
      <c r="A331">
        <f>SUBTOTAL(3,$B$16:B331)</f>
        <v>89</v>
      </c>
      <c r="B331" t="s">
        <v>1</v>
      </c>
      <c r="C331" t="s">
        <v>363</v>
      </c>
      <c r="I331">
        <v>0</v>
      </c>
      <c r="U331">
        <v>2877.3</v>
      </c>
      <c r="AB331">
        <f>SUMPRODUCT(DB_SOFList[[#This Row],[Plan01]:[Plan12]],$D$14:$O$14)/valUnits2</f>
        <v>0</v>
      </c>
      <c r="AC331">
        <f>SUMPRODUCT(DB_SOFList[[#This Row],[Act01]:[Act12]],$P$14:$AA$14)/valUnits2</f>
        <v>2.8773</v>
      </c>
      <c r="AD331">
        <f>DB_SOFList[[#This Row],[Actual]]-DB_SOFList[[#This Row],[Plan]]</f>
        <v>2.8773</v>
      </c>
      <c r="AE331">
        <f>IF(DB_SOFList[[#This Row],[Plan]]&lt;&gt;0,DB_SOFList[[#This Row],[Actual]]/DB_SOFList[[#This Row],[Plan]],1.000011000011)</f>
        <v>1.0000110000110001</v>
      </c>
      <c r="AF331" s="34">
        <f>SUM(DB_SOFList[[#This Row],[Plan01]:[Plan12]])/valUnits2</f>
        <v>0</v>
      </c>
      <c r="AG331" s="34">
        <f>SUMPRODUCT(DB_SOFList[[#This Row],[Act01]:[Act12]],$P$13:$AA$13)/valUnits2</f>
        <v>2.8773</v>
      </c>
      <c r="AH331" s="34">
        <f>IF(DB_SOFList[[#This Row],[FYPlan]]&lt;&gt;0,DB_SOFList[[#This Row],[FYActuals]]/DB_SOFList[[#This Row],[FYPlan]],1.000011000011)</f>
        <v>1.0000110000110001</v>
      </c>
    </row>
    <row r="332" spans="1:34" hidden="1" x14ac:dyDescent="0.2">
      <c r="A332">
        <f>SUBTOTAL(3,$B$16:B332)</f>
        <v>89</v>
      </c>
      <c r="B332" t="s">
        <v>342</v>
      </c>
      <c r="C332" t="s">
        <v>363</v>
      </c>
      <c r="I332">
        <v>0</v>
      </c>
      <c r="U332">
        <v>2877.3</v>
      </c>
      <c r="AB332">
        <f>SUMPRODUCT(DB_SOFList[[#This Row],[Plan01]:[Plan12]],$D$14:$O$14)/valUnits2</f>
        <v>0</v>
      </c>
      <c r="AC332">
        <f>SUMPRODUCT(DB_SOFList[[#This Row],[Act01]:[Act12]],$P$14:$AA$14)/valUnits2</f>
        <v>2.8773</v>
      </c>
      <c r="AD332">
        <f>DB_SOFList[[#This Row],[Actual]]-DB_SOFList[[#This Row],[Plan]]</f>
        <v>2.8773</v>
      </c>
      <c r="AE332">
        <f>IF(DB_SOFList[[#This Row],[Plan]]&lt;&gt;0,DB_SOFList[[#This Row],[Actual]]/DB_SOFList[[#This Row],[Plan]],1.000011000011)</f>
        <v>1.0000110000110001</v>
      </c>
      <c r="AF332" s="34">
        <f>SUM(DB_SOFList[[#This Row],[Plan01]:[Plan12]])/valUnits2</f>
        <v>0</v>
      </c>
      <c r="AG332" s="34">
        <f>SUMPRODUCT(DB_SOFList[[#This Row],[Act01]:[Act12]],$P$13:$AA$13)/valUnits2</f>
        <v>2.8773</v>
      </c>
      <c r="AH332" s="34">
        <f>IF(DB_SOFList[[#This Row],[FYPlan]]&lt;&gt;0,DB_SOFList[[#This Row],[FYActuals]]/DB_SOFList[[#This Row],[FYPlan]],1.000011000011)</f>
        <v>1.0000110000110001</v>
      </c>
    </row>
    <row r="333" spans="1:34" x14ac:dyDescent="0.2">
      <c r="A333">
        <f>SUBTOTAL(3,$B$16:B333)</f>
        <v>90</v>
      </c>
      <c r="B333" t="s">
        <v>1</v>
      </c>
      <c r="C333" t="s">
        <v>916</v>
      </c>
      <c r="F333">
        <v>0</v>
      </c>
      <c r="G333">
        <v>0</v>
      </c>
      <c r="H333">
        <v>0</v>
      </c>
      <c r="I333">
        <v>125</v>
      </c>
      <c r="J333">
        <v>41.667000000000002</v>
      </c>
      <c r="K333">
        <v>41.667000000000002</v>
      </c>
      <c r="L333">
        <v>41.667000000000002</v>
      </c>
      <c r="M333">
        <v>41.667000000000002</v>
      </c>
      <c r="N333">
        <v>41.667000000000002</v>
      </c>
      <c r="O333">
        <v>41.667000000000002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s="34">
        <f>SUMPRODUCT(DB_SOFList[[#This Row],[Plan01]:[Plan12]],$D$14:$O$14)/valUnits2</f>
        <v>0.125</v>
      </c>
      <c r="AC333" s="34">
        <f>SUMPRODUCT(DB_SOFList[[#This Row],[Act01]:[Act12]],$P$14:$AA$14)/valUnits2</f>
        <v>0</v>
      </c>
      <c r="AD333" s="34">
        <f>DB_SOFList[[#This Row],[Actual]]-DB_SOFList[[#This Row],[Plan]]</f>
        <v>-0.125</v>
      </c>
      <c r="AE333" s="34">
        <f>IF(DB_SOFList[[#This Row],[Plan]]&lt;&gt;0,DB_SOFList[[#This Row],[Actual]]/DB_SOFList[[#This Row],[Plan]],1.000011000011)</f>
        <v>0</v>
      </c>
      <c r="AF333" s="34">
        <f>SUM(DB_SOFList[[#This Row],[Plan01]:[Plan12]])/valUnits2</f>
        <v>0.37500200000000006</v>
      </c>
      <c r="AG333" s="34">
        <f>SUMPRODUCT(DB_SOFList[[#This Row],[Act01]:[Act12]],$P$13:$AA$13)/valUnits2</f>
        <v>0</v>
      </c>
      <c r="AH333" s="34">
        <f>IF(DB_SOFList[[#This Row],[FYPlan]]&lt;&gt;0,DB_SOFList[[#This Row],[FYActuals]]/DB_SOFList[[#This Row],[FYPlan]],1.000011000011)</f>
        <v>0</v>
      </c>
    </row>
    <row r="334" spans="1:34" hidden="1" x14ac:dyDescent="0.2">
      <c r="A334">
        <f>SUBTOTAL(3,$B$16:B334)</f>
        <v>90</v>
      </c>
      <c r="B334" t="s">
        <v>351</v>
      </c>
      <c r="C334" t="s">
        <v>916</v>
      </c>
      <c r="F334">
        <v>0</v>
      </c>
      <c r="G334">
        <v>0</v>
      </c>
      <c r="H334">
        <v>0</v>
      </c>
      <c r="I334">
        <v>125</v>
      </c>
      <c r="J334">
        <v>41.667000000000002</v>
      </c>
      <c r="K334">
        <v>41.667000000000002</v>
      </c>
      <c r="L334">
        <v>41.667000000000002</v>
      </c>
      <c r="M334">
        <v>41.667000000000002</v>
      </c>
      <c r="N334">
        <v>41.667000000000002</v>
      </c>
      <c r="O334">
        <v>41.667000000000002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f>SUMPRODUCT(DB_SOFList[[#This Row],[Plan01]:[Plan12]],$D$14:$O$14)/valUnits2</f>
        <v>0.125</v>
      </c>
      <c r="AC334">
        <f>SUMPRODUCT(DB_SOFList[[#This Row],[Act01]:[Act12]],$P$14:$AA$14)/valUnits2</f>
        <v>0</v>
      </c>
      <c r="AD334">
        <f>DB_SOFList[[#This Row],[Actual]]-DB_SOFList[[#This Row],[Plan]]</f>
        <v>-0.125</v>
      </c>
      <c r="AE334">
        <f>IF(DB_SOFList[[#This Row],[Plan]]&lt;&gt;0,DB_SOFList[[#This Row],[Actual]]/DB_SOFList[[#This Row],[Plan]],1.000011000011)</f>
        <v>0</v>
      </c>
      <c r="AF334" s="34">
        <f>SUM(DB_SOFList[[#This Row],[Plan01]:[Plan12]])/valUnits2</f>
        <v>0.37500200000000006</v>
      </c>
      <c r="AG334" s="34">
        <f>SUMPRODUCT(DB_SOFList[[#This Row],[Act01]:[Act12]],$P$13:$AA$13)/valUnits2</f>
        <v>0</v>
      </c>
      <c r="AH334" s="34">
        <f>IF(DB_SOFList[[#This Row],[FYPlan]]&lt;&gt;0,DB_SOFList[[#This Row],[FYActuals]]/DB_SOFList[[#This Row],[FYPlan]],1.000011000011)</f>
        <v>0</v>
      </c>
    </row>
    <row r="335" spans="1:34" x14ac:dyDescent="0.2">
      <c r="A335">
        <f>SUBTOTAL(3,$B$16:B335)</f>
        <v>91</v>
      </c>
      <c r="B335" t="s">
        <v>1</v>
      </c>
      <c r="C335" t="s">
        <v>917</v>
      </c>
      <c r="D335">
        <v>12775.856000000002</v>
      </c>
      <c r="E335">
        <v>41059.166000000005</v>
      </c>
      <c r="F335">
        <v>2449.77</v>
      </c>
      <c r="G335">
        <v>5211.3519999999999</v>
      </c>
      <c r="H335">
        <v>3092.8900000000003</v>
      </c>
      <c r="I335">
        <v>55231.491999999998</v>
      </c>
      <c r="J335">
        <v>37633.320999999996</v>
      </c>
      <c r="K335">
        <v>37633.320999999996</v>
      </c>
      <c r="L335">
        <v>37633.320999999996</v>
      </c>
      <c r="M335">
        <v>37633.320999999996</v>
      </c>
      <c r="N335">
        <v>37633.320999999996</v>
      </c>
      <c r="O335">
        <v>37633.320999999996</v>
      </c>
      <c r="P335">
        <v>12770.910000000002</v>
      </c>
      <c r="Q335">
        <v>40196.380000000005</v>
      </c>
      <c r="R335">
        <v>2433.71</v>
      </c>
      <c r="S335">
        <v>5209.8999999999996</v>
      </c>
      <c r="T335">
        <v>3107.66</v>
      </c>
      <c r="U335">
        <v>556046.84999999974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f>SUMPRODUCT(DB_SOFList[[#This Row],[Plan01]:[Plan12]],$D$14:$O$14)/valUnits2</f>
        <v>119.820526</v>
      </c>
      <c r="AC335">
        <f>SUMPRODUCT(DB_SOFList[[#This Row],[Act01]:[Act12]],$P$14:$AA$14)/valUnits2</f>
        <v>619.76540999999975</v>
      </c>
      <c r="AD335">
        <f>DB_SOFList[[#This Row],[Actual]]-DB_SOFList[[#This Row],[Plan]]</f>
        <v>499.94488399999977</v>
      </c>
      <c r="AE335">
        <f>IF(DB_SOFList[[#This Row],[Plan]]&lt;&gt;0,DB_SOFList[[#This Row],[Actual]]/DB_SOFList[[#This Row],[Plan]],1.000011000011)</f>
        <v>5.1724477490609555</v>
      </c>
      <c r="AF335" s="34">
        <f>SUM(DB_SOFList[[#This Row],[Plan01]:[Plan12]])/valUnits2</f>
        <v>345.620452</v>
      </c>
      <c r="AG335" s="34">
        <f>SUMPRODUCT(DB_SOFList[[#This Row],[Act01]:[Act12]],$P$13:$AA$13)/valUnits2</f>
        <v>619.76540999999975</v>
      </c>
      <c r="AH335" s="34">
        <f>IF(DB_SOFList[[#This Row],[FYPlan]]&lt;&gt;0,DB_SOFList[[#This Row],[FYActuals]]/DB_SOFList[[#This Row],[FYPlan]],1.000011000011)</f>
        <v>1.7931965727537436</v>
      </c>
    </row>
    <row r="336" spans="1:34" hidden="1" x14ac:dyDescent="0.2">
      <c r="A336">
        <f>SUBTOTAL(3,$B$16:B336)</f>
        <v>91</v>
      </c>
      <c r="B336" t="s">
        <v>351</v>
      </c>
      <c r="C336" t="s">
        <v>917</v>
      </c>
      <c r="D336">
        <v>1251.3420000000001</v>
      </c>
      <c r="E336">
        <v>83.357000000000028</v>
      </c>
      <c r="F336">
        <v>204.89800000000002</v>
      </c>
      <c r="G336">
        <v>2935.0920000000001</v>
      </c>
      <c r="H336">
        <v>1001.79</v>
      </c>
      <c r="I336">
        <v>424.983</v>
      </c>
      <c r="J336">
        <v>1633.941</v>
      </c>
      <c r="K336">
        <v>1633.941</v>
      </c>
      <c r="L336">
        <v>1633.941</v>
      </c>
      <c r="M336">
        <v>1633.941</v>
      </c>
      <c r="N336">
        <v>1633.941</v>
      </c>
      <c r="O336">
        <v>1633.941</v>
      </c>
      <c r="P336">
        <v>1251.3600000000001</v>
      </c>
      <c r="Q336">
        <v>83.220000000000013</v>
      </c>
      <c r="R336">
        <v>203.56</v>
      </c>
      <c r="S336">
        <v>2921.2299999999996</v>
      </c>
      <c r="T336">
        <v>1006.6099999999999</v>
      </c>
      <c r="U336">
        <v>1358.24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f>SUMPRODUCT(DB_SOFList[[#This Row],[Plan01]:[Plan12]],$D$14:$O$14)/valUnits2</f>
        <v>5.9014620000000004</v>
      </c>
      <c r="AC336">
        <f>SUMPRODUCT(DB_SOFList[[#This Row],[Act01]:[Act12]],$P$14:$AA$14)/valUnits2</f>
        <v>6.8242199999999995</v>
      </c>
      <c r="AD336">
        <f>DB_SOFList[[#This Row],[Actual]]-DB_SOFList[[#This Row],[Plan]]</f>
        <v>0.92275799999999908</v>
      </c>
      <c r="AE336">
        <f>IF(DB_SOFList[[#This Row],[Plan]]&lt;&gt;0,DB_SOFList[[#This Row],[Actual]]/DB_SOFList[[#This Row],[Plan]],1.000011000011)</f>
        <v>1.1563609153121717</v>
      </c>
      <c r="AF336" s="34">
        <f>SUM(DB_SOFList[[#This Row],[Plan01]:[Plan12]])/valUnits2</f>
        <v>15.705108000000005</v>
      </c>
      <c r="AG336" s="34">
        <f>SUMPRODUCT(DB_SOFList[[#This Row],[Act01]:[Act12]],$P$13:$AA$13)/valUnits2</f>
        <v>6.8242199999999995</v>
      </c>
      <c r="AH336" s="34">
        <f>IF(DB_SOFList[[#This Row],[FYPlan]]&lt;&gt;0,DB_SOFList[[#This Row],[FYActuals]]/DB_SOFList[[#This Row],[FYPlan]],1.000011000011)</f>
        <v>0.43452232229157528</v>
      </c>
    </row>
    <row r="337" spans="1:34" hidden="1" x14ac:dyDescent="0.2">
      <c r="A337">
        <f>SUBTOTAL(3,$B$16:B337)</f>
        <v>91</v>
      </c>
      <c r="B337" t="s">
        <v>344</v>
      </c>
      <c r="C337" t="s">
        <v>917</v>
      </c>
      <c r="D337">
        <v>10948.574000000001</v>
      </c>
      <c r="E337">
        <v>4768.2910000000002</v>
      </c>
      <c r="F337">
        <v>0</v>
      </c>
      <c r="G337">
        <v>1073.396</v>
      </c>
      <c r="H337">
        <v>1077.5340000000001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10943.62</v>
      </c>
      <c r="Q337">
        <v>4753.18</v>
      </c>
      <c r="R337">
        <v>0</v>
      </c>
      <c r="S337">
        <v>1079.42</v>
      </c>
      <c r="T337">
        <v>1082.6299999999999</v>
      </c>
      <c r="U337">
        <v>2036.4499999999998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f>SUMPRODUCT(DB_SOFList[[#This Row],[Plan01]:[Plan12]],$D$14:$O$14)/valUnits2</f>
        <v>17.867795000000001</v>
      </c>
      <c r="AC337">
        <f>SUMPRODUCT(DB_SOFList[[#This Row],[Act01]:[Act12]],$P$14:$AA$14)/valUnits2</f>
        <v>19.895300000000002</v>
      </c>
      <c r="AD337">
        <f>DB_SOFList[[#This Row],[Actual]]-DB_SOFList[[#This Row],[Plan]]</f>
        <v>2.0275050000000014</v>
      </c>
      <c r="AE337">
        <f>IF(DB_SOFList[[#This Row],[Plan]]&lt;&gt;0,DB_SOFList[[#This Row],[Actual]]/DB_SOFList[[#This Row],[Plan]],1.000011000011)</f>
        <v>1.11347259132982</v>
      </c>
      <c r="AF337" s="34">
        <f>SUM(DB_SOFList[[#This Row],[Plan01]:[Plan12]])/valUnits2</f>
        <v>17.867795000000001</v>
      </c>
      <c r="AG337" s="34">
        <f>SUMPRODUCT(DB_SOFList[[#This Row],[Act01]:[Act12]],$P$13:$AA$13)/valUnits2</f>
        <v>19.895300000000002</v>
      </c>
      <c r="AH337" s="34">
        <f>IF(DB_SOFList[[#This Row],[FYPlan]]&lt;&gt;0,DB_SOFList[[#This Row],[FYActuals]]/DB_SOFList[[#This Row],[FYPlan]],1.000011000011)</f>
        <v>1.11347259132982</v>
      </c>
    </row>
    <row r="338" spans="1:34" hidden="1" x14ac:dyDescent="0.2">
      <c r="A338">
        <f>SUBTOTAL(3,$B$16:B338)</f>
        <v>91</v>
      </c>
      <c r="B338" t="s">
        <v>348</v>
      </c>
      <c r="C338" t="s">
        <v>917</v>
      </c>
      <c r="D338">
        <v>12.03</v>
      </c>
      <c r="E338">
        <v>35635.363000000005</v>
      </c>
      <c r="F338">
        <v>1484.577</v>
      </c>
      <c r="G338">
        <v>562.78399999999999</v>
      </c>
      <c r="H338">
        <v>435.65499999999997</v>
      </c>
      <c r="I338">
        <v>10713.347999999998</v>
      </c>
      <c r="J338">
        <v>4214.2910000000002</v>
      </c>
      <c r="K338">
        <v>4214.2910000000002</v>
      </c>
      <c r="L338">
        <v>4214.2910000000002</v>
      </c>
      <c r="M338">
        <v>4214.2910000000002</v>
      </c>
      <c r="N338">
        <v>4214.2910000000002</v>
      </c>
      <c r="O338">
        <v>4214.2910000000002</v>
      </c>
      <c r="P338">
        <v>12.02</v>
      </c>
      <c r="Q338">
        <v>34787.82</v>
      </c>
      <c r="R338">
        <v>1474.94</v>
      </c>
      <c r="S338">
        <v>565.65</v>
      </c>
      <c r="T338">
        <v>437.77</v>
      </c>
      <c r="U338">
        <v>17375.8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f>SUMPRODUCT(DB_SOFList[[#This Row],[Plan01]:[Plan12]],$D$14:$O$14)/valUnits2</f>
        <v>48.843756999999997</v>
      </c>
      <c r="AC338">
        <f>SUMPRODUCT(DB_SOFList[[#This Row],[Act01]:[Act12]],$P$14:$AA$14)/valUnits2</f>
        <v>54.654000000000003</v>
      </c>
      <c r="AD338">
        <f>DB_SOFList[[#This Row],[Actual]]-DB_SOFList[[#This Row],[Plan]]</f>
        <v>5.8102430000000069</v>
      </c>
      <c r="AE338">
        <f>IF(DB_SOFList[[#This Row],[Plan]]&lt;&gt;0,DB_SOFList[[#This Row],[Actual]]/DB_SOFList[[#This Row],[Plan]],1.000011000011)</f>
        <v>1.1189556937645073</v>
      </c>
      <c r="AF338" s="34">
        <f>SUM(DB_SOFList[[#This Row],[Plan01]:[Plan12]])/valUnits2</f>
        <v>74.129502999999985</v>
      </c>
      <c r="AG338" s="34">
        <f>SUMPRODUCT(DB_SOFList[[#This Row],[Act01]:[Act12]],$P$13:$AA$13)/valUnits2</f>
        <v>54.654000000000003</v>
      </c>
      <c r="AH338" s="34">
        <f>IF(DB_SOFList[[#This Row],[FYPlan]]&lt;&gt;0,DB_SOFList[[#This Row],[FYActuals]]/DB_SOFList[[#This Row],[FYPlan]],1.000011000011)</f>
        <v>0.73727730239874956</v>
      </c>
    </row>
    <row r="339" spans="1:34" hidden="1" x14ac:dyDescent="0.2">
      <c r="A339">
        <f>SUBTOTAL(3,$B$16:B339)</f>
        <v>91</v>
      </c>
      <c r="B339" t="s">
        <v>349</v>
      </c>
      <c r="C339" t="s">
        <v>917</v>
      </c>
      <c r="D339">
        <v>563.91</v>
      </c>
      <c r="E339">
        <v>572.15499999999997</v>
      </c>
      <c r="F339">
        <v>760.29500000000007</v>
      </c>
      <c r="G339">
        <v>640.08000000000004</v>
      </c>
      <c r="H339">
        <v>577.91100000000006</v>
      </c>
      <c r="I339">
        <v>44093.161</v>
      </c>
      <c r="J339">
        <v>31785.089</v>
      </c>
      <c r="K339">
        <v>31785.089</v>
      </c>
      <c r="L339">
        <v>31785.089</v>
      </c>
      <c r="M339">
        <v>31785.089</v>
      </c>
      <c r="N339">
        <v>31785.089</v>
      </c>
      <c r="O339">
        <v>31785.089</v>
      </c>
      <c r="P339">
        <v>563.91</v>
      </c>
      <c r="Q339">
        <v>572.16</v>
      </c>
      <c r="R339">
        <v>755.20999999999992</v>
      </c>
      <c r="S339">
        <v>643.59999999999991</v>
      </c>
      <c r="T339">
        <v>580.65</v>
      </c>
      <c r="U339">
        <v>534812.2899999998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f>SUMPRODUCT(DB_SOFList[[#This Row],[Plan01]:[Plan12]],$D$14:$O$14)/valUnits2</f>
        <v>47.207512000000001</v>
      </c>
      <c r="AC339">
        <f>SUMPRODUCT(DB_SOFList[[#This Row],[Act01]:[Act12]],$P$14:$AA$14)/valUnits2</f>
        <v>537.92781999999988</v>
      </c>
      <c r="AD339">
        <f>DB_SOFList[[#This Row],[Actual]]-DB_SOFList[[#This Row],[Plan]]</f>
        <v>490.72030799999987</v>
      </c>
      <c r="AE339">
        <f>IF(DB_SOFList[[#This Row],[Plan]]&lt;&gt;0,DB_SOFList[[#This Row],[Actual]]/DB_SOFList[[#This Row],[Plan]],1.000011000011)</f>
        <v>11.394962310235707</v>
      </c>
      <c r="AF339" s="34">
        <f>SUM(DB_SOFList[[#This Row],[Plan01]:[Plan12]])/valUnits2</f>
        <v>237.91804600000003</v>
      </c>
      <c r="AG339" s="34">
        <f>SUMPRODUCT(DB_SOFList[[#This Row],[Act01]:[Act12]],$P$13:$AA$13)/valUnits2</f>
        <v>537.92781999999988</v>
      </c>
      <c r="AH339" s="34">
        <f>IF(DB_SOFList[[#This Row],[FYPlan]]&lt;&gt;0,DB_SOFList[[#This Row],[FYActuals]]/DB_SOFList[[#This Row],[FYPlan]],1.000011000011)</f>
        <v>2.2609794803039018</v>
      </c>
    </row>
    <row r="340" spans="1:34" hidden="1" x14ac:dyDescent="0.2">
      <c r="A340">
        <f>SUBTOTAL(3,$B$16:B340)</f>
        <v>91</v>
      </c>
      <c r="B340" t="s">
        <v>350</v>
      </c>
      <c r="C340" t="s">
        <v>917</v>
      </c>
      <c r="I340">
        <v>0</v>
      </c>
      <c r="U340">
        <v>464.07</v>
      </c>
      <c r="AB340">
        <f>SUMPRODUCT(DB_SOFList[[#This Row],[Plan01]:[Plan12]],$D$14:$O$14)/valUnits2</f>
        <v>0</v>
      </c>
      <c r="AC340">
        <f>SUMPRODUCT(DB_SOFList[[#This Row],[Act01]:[Act12]],$P$14:$AA$14)/valUnits2</f>
        <v>0.46406999999999998</v>
      </c>
      <c r="AD340">
        <f>DB_SOFList[[#This Row],[Actual]]-DB_SOFList[[#This Row],[Plan]]</f>
        <v>0.46406999999999998</v>
      </c>
      <c r="AE340">
        <f>IF(DB_SOFList[[#This Row],[Plan]]&lt;&gt;0,DB_SOFList[[#This Row],[Actual]]/DB_SOFList[[#This Row],[Plan]],1.000011000011)</f>
        <v>1.0000110000110001</v>
      </c>
      <c r="AF340" s="34">
        <f>SUM(DB_SOFList[[#This Row],[Plan01]:[Plan12]])/valUnits2</f>
        <v>0</v>
      </c>
      <c r="AG340" s="34">
        <f>SUMPRODUCT(DB_SOFList[[#This Row],[Act01]:[Act12]],$P$13:$AA$13)/valUnits2</f>
        <v>0.46406999999999998</v>
      </c>
      <c r="AH340" s="34">
        <f>IF(DB_SOFList[[#This Row],[FYPlan]]&lt;&gt;0,DB_SOFList[[#This Row],[FYActuals]]/DB_SOFList[[#This Row],[FYPlan]],1.000011000011)</f>
        <v>1.0000110000110001</v>
      </c>
    </row>
    <row r="341" spans="1:34" x14ac:dyDescent="0.2">
      <c r="A341">
        <f>SUBTOTAL(3,$B$16:B341)</f>
        <v>92</v>
      </c>
      <c r="B341" t="s">
        <v>1</v>
      </c>
      <c r="C341" t="s">
        <v>918</v>
      </c>
      <c r="D341">
        <v>70933.031000000003</v>
      </c>
      <c r="E341">
        <v>21.822999999999873</v>
      </c>
      <c r="F341">
        <v>41.058000000000902</v>
      </c>
      <c r="G341">
        <v>15341.901000000002</v>
      </c>
      <c r="H341">
        <v>2378.3329999999978</v>
      </c>
      <c r="I341">
        <v>18960.649999999998</v>
      </c>
      <c r="J341">
        <v>19849.392999999996</v>
      </c>
      <c r="K341">
        <v>18038.130000000005</v>
      </c>
      <c r="L341">
        <v>16771.237000000001</v>
      </c>
      <c r="M341">
        <v>22477.984000000015</v>
      </c>
      <c r="N341">
        <v>16351.629000000001</v>
      </c>
      <c r="O341">
        <v>15687.66</v>
      </c>
      <c r="P341">
        <v>68741.8</v>
      </c>
      <c r="Q341">
        <v>22.559999999991703</v>
      </c>
      <c r="R341">
        <v>41.739999999997963</v>
      </c>
      <c r="S341">
        <v>15268.670000000004</v>
      </c>
      <c r="T341">
        <v>2363.4900000000084</v>
      </c>
      <c r="U341">
        <v>16952.939999999995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f>SUMPRODUCT(DB_SOFList[[#This Row],[Plan01]:[Plan12]],$D$14:$O$14)/valUnits2</f>
        <v>107.676796</v>
      </c>
      <c r="AC341">
        <f>SUMPRODUCT(DB_SOFList[[#This Row],[Act01]:[Act12]],$P$14:$AA$14)/valUnits2</f>
        <v>103.39120000000001</v>
      </c>
      <c r="AD341">
        <f>DB_SOFList[[#This Row],[Actual]]-DB_SOFList[[#This Row],[Plan]]</f>
        <v>-4.285595999999984</v>
      </c>
      <c r="AE341">
        <f>IF(DB_SOFList[[#This Row],[Plan]]&lt;&gt;0,DB_SOFList[[#This Row],[Actual]]/DB_SOFList[[#This Row],[Plan]],1.000011000011)</f>
        <v>0.96019944724209672</v>
      </c>
      <c r="AF341" s="34">
        <f>SUM(DB_SOFList[[#This Row],[Plan01]:[Plan12]])/valUnits2</f>
        <v>216.85282900000004</v>
      </c>
      <c r="AG341" s="34">
        <f>SUMPRODUCT(DB_SOFList[[#This Row],[Act01]:[Act12]],$P$13:$AA$13)/valUnits2</f>
        <v>103.39120000000001</v>
      </c>
      <c r="AH341" s="34">
        <f>IF(DB_SOFList[[#This Row],[FYPlan]]&lt;&gt;0,DB_SOFList[[#This Row],[FYActuals]]/DB_SOFList[[#This Row],[FYPlan]],1.000011000011)</f>
        <v>0.47678049890693375</v>
      </c>
    </row>
    <row r="342" spans="1:34" hidden="1" x14ac:dyDescent="0.2">
      <c r="A342">
        <f>SUBTOTAL(3,$B$16:B342)</f>
        <v>92</v>
      </c>
      <c r="B342" t="s">
        <v>351</v>
      </c>
      <c r="C342" t="s">
        <v>918</v>
      </c>
      <c r="D342">
        <v>0</v>
      </c>
      <c r="G342">
        <v>963.07899999999995</v>
      </c>
      <c r="H342">
        <v>349.35700000000008</v>
      </c>
      <c r="I342">
        <v>1697.268</v>
      </c>
      <c r="J342">
        <v>1697.268</v>
      </c>
      <c r="K342">
        <v>1697.268</v>
      </c>
      <c r="L342">
        <v>1697.268</v>
      </c>
      <c r="M342">
        <v>1697.268</v>
      </c>
      <c r="N342">
        <v>1697.268</v>
      </c>
      <c r="O342">
        <v>1697.268</v>
      </c>
      <c r="P342">
        <v>0</v>
      </c>
      <c r="S342">
        <v>972.67</v>
      </c>
      <c r="T342">
        <v>349.78000000000003</v>
      </c>
      <c r="U342">
        <v>248.85999999999999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f>SUMPRODUCT(DB_SOFList[[#This Row],[Plan01]:[Plan12]],$D$14:$O$14)/valUnits2</f>
        <v>3.0097040000000002</v>
      </c>
      <c r="AC342">
        <f>SUMPRODUCT(DB_SOFList[[#This Row],[Act01]:[Act12]],$P$14:$AA$14)/valUnits2</f>
        <v>1.57131</v>
      </c>
      <c r="AD342">
        <f>DB_SOFList[[#This Row],[Actual]]-DB_SOFList[[#This Row],[Plan]]</f>
        <v>-1.4383940000000002</v>
      </c>
      <c r="AE342">
        <f>IF(DB_SOFList[[#This Row],[Plan]]&lt;&gt;0,DB_SOFList[[#This Row],[Actual]]/DB_SOFList[[#This Row],[Plan]],1.000011000011)</f>
        <v>0.52208124121176036</v>
      </c>
      <c r="AF342" s="34">
        <f>SUM(DB_SOFList[[#This Row],[Plan01]:[Plan12]])/valUnits2</f>
        <v>13.193312000000001</v>
      </c>
      <c r="AG342" s="34">
        <f>SUMPRODUCT(DB_SOFList[[#This Row],[Act01]:[Act12]],$P$13:$AA$13)/valUnits2</f>
        <v>1.57131</v>
      </c>
      <c r="AH342" s="34">
        <f>IF(DB_SOFList[[#This Row],[FYPlan]]&lt;&gt;0,DB_SOFList[[#This Row],[FYActuals]]/DB_SOFList[[#This Row],[FYPlan]],1.000011000011)</f>
        <v>0.11909897984675871</v>
      </c>
    </row>
    <row r="343" spans="1:34" hidden="1" x14ac:dyDescent="0.2">
      <c r="A343">
        <f>SUBTOTAL(3,$B$16:B343)</f>
        <v>92</v>
      </c>
      <c r="B343" t="s">
        <v>346</v>
      </c>
      <c r="C343" t="s">
        <v>918</v>
      </c>
      <c r="D343">
        <v>70933.031000000003</v>
      </c>
      <c r="E343">
        <v>21.822999999999873</v>
      </c>
      <c r="F343">
        <v>41.058000000000902</v>
      </c>
      <c r="G343">
        <v>14378.822000000002</v>
      </c>
      <c r="H343">
        <v>1913.9569999999981</v>
      </c>
      <c r="I343">
        <v>17263.381999999998</v>
      </c>
      <c r="J343">
        <v>18152.124999999996</v>
      </c>
      <c r="K343">
        <v>16340.862000000003</v>
      </c>
      <c r="L343">
        <v>15073.969000000003</v>
      </c>
      <c r="M343">
        <v>20780.716000000015</v>
      </c>
      <c r="N343">
        <v>14654.361000000001</v>
      </c>
      <c r="O343">
        <v>13990.392</v>
      </c>
      <c r="P343">
        <v>68741.8</v>
      </c>
      <c r="Q343">
        <v>22.559999999991703</v>
      </c>
      <c r="R343">
        <v>41.739999999997963</v>
      </c>
      <c r="S343">
        <v>14296.000000000004</v>
      </c>
      <c r="T343">
        <v>1899.6300000000083</v>
      </c>
      <c r="U343">
        <v>16703.549999999996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f>SUMPRODUCT(DB_SOFList[[#This Row],[Plan01]:[Plan12]],$D$14:$O$14)/valUnits2</f>
        <v>104.55207300000001</v>
      </c>
      <c r="AC343">
        <f>SUMPRODUCT(DB_SOFList[[#This Row],[Act01]:[Act12]],$P$14:$AA$14)/valUnits2</f>
        <v>101.70528</v>
      </c>
      <c r="AD343">
        <f>DB_SOFList[[#This Row],[Actual]]-DB_SOFList[[#This Row],[Plan]]</f>
        <v>-2.8467930000000052</v>
      </c>
      <c r="AE343">
        <f>IF(DB_SOFList[[#This Row],[Plan]]&lt;&gt;0,DB_SOFList[[#This Row],[Actual]]/DB_SOFList[[#This Row],[Plan]],1.000011000011)</f>
        <v>0.9727715298385331</v>
      </c>
      <c r="AF343" s="34">
        <f>SUM(DB_SOFList[[#This Row],[Plan01]:[Plan12]])/valUnits2</f>
        <v>203.54449800000003</v>
      </c>
      <c r="AG343" s="34">
        <f>SUMPRODUCT(DB_SOFList[[#This Row],[Act01]:[Act12]],$P$13:$AA$13)/valUnits2</f>
        <v>101.70528</v>
      </c>
      <c r="AH343" s="34">
        <f>IF(DB_SOFList[[#This Row],[FYPlan]]&lt;&gt;0,DB_SOFList[[#This Row],[FYActuals]]/DB_SOFList[[#This Row],[FYPlan]],1.000011000011)</f>
        <v>0.49967098594824205</v>
      </c>
    </row>
    <row r="344" spans="1:34" hidden="1" x14ac:dyDescent="0.2">
      <c r="A344">
        <f>SUBTOTAL(3,$B$16:B344)</f>
        <v>92</v>
      </c>
      <c r="B344" t="s">
        <v>350</v>
      </c>
      <c r="C344" t="s">
        <v>918</v>
      </c>
      <c r="D344">
        <v>0</v>
      </c>
      <c r="G344">
        <v>0</v>
      </c>
      <c r="H344">
        <v>115.01900000000001</v>
      </c>
      <c r="I344">
        <v>0</v>
      </c>
      <c r="J344">
        <v>0</v>
      </c>
      <c r="M344">
        <v>0</v>
      </c>
      <c r="P344">
        <v>0</v>
      </c>
      <c r="S344">
        <v>0</v>
      </c>
      <c r="T344">
        <v>114.08</v>
      </c>
      <c r="U344">
        <v>0.53</v>
      </c>
      <c r="V344">
        <v>0</v>
      </c>
      <c r="Y344">
        <v>0</v>
      </c>
      <c r="AB344">
        <f>SUMPRODUCT(DB_SOFList[[#This Row],[Plan01]:[Plan12]],$D$14:$O$14)/valUnits2</f>
        <v>0.11501900000000001</v>
      </c>
      <c r="AC344">
        <f>SUMPRODUCT(DB_SOFList[[#This Row],[Act01]:[Act12]],$P$14:$AA$14)/valUnits2</f>
        <v>0.11461</v>
      </c>
      <c r="AD344">
        <f>DB_SOFList[[#This Row],[Actual]]-DB_SOFList[[#This Row],[Plan]]</f>
        <v>-4.0900000000000658E-4</v>
      </c>
      <c r="AE344">
        <f>IF(DB_SOFList[[#This Row],[Plan]]&lt;&gt;0,DB_SOFList[[#This Row],[Actual]]/DB_SOFList[[#This Row],[Plan]],1.000011000011)</f>
        <v>0.99644406576304778</v>
      </c>
      <c r="AF344" s="34">
        <f>SUM(DB_SOFList[[#This Row],[Plan01]:[Plan12]])/valUnits2</f>
        <v>0.11501900000000001</v>
      </c>
      <c r="AG344" s="34">
        <f>SUMPRODUCT(DB_SOFList[[#This Row],[Act01]:[Act12]],$P$13:$AA$13)/valUnits2</f>
        <v>0.11461</v>
      </c>
      <c r="AH344" s="34">
        <f>IF(DB_SOFList[[#This Row],[FYPlan]]&lt;&gt;0,DB_SOFList[[#This Row],[FYActuals]]/DB_SOFList[[#This Row],[FYPlan]],1.000011000011)</f>
        <v>0.99644406576304778</v>
      </c>
    </row>
    <row r="345" spans="1:34" x14ac:dyDescent="0.2">
      <c r="A345">
        <f>SUBTOTAL(3,$B$16:B345)</f>
        <v>93</v>
      </c>
      <c r="B345" t="s">
        <v>1</v>
      </c>
      <c r="C345" t="s">
        <v>356</v>
      </c>
      <c r="D345">
        <v>21143.756000000001</v>
      </c>
      <c r="E345">
        <v>10746.895</v>
      </c>
      <c r="F345">
        <v>7770.45</v>
      </c>
      <c r="G345">
        <v>20236.323000000004</v>
      </c>
      <c r="H345">
        <v>8078.8259999999991</v>
      </c>
      <c r="I345">
        <v>27380.335000000003</v>
      </c>
      <c r="P345">
        <v>21345.439999999995</v>
      </c>
      <c r="Q345">
        <v>10921.630000000001</v>
      </c>
      <c r="R345">
        <v>7758.5899999999965</v>
      </c>
      <c r="S345">
        <v>20353.890000000003</v>
      </c>
      <c r="T345">
        <v>8337.2799999999952</v>
      </c>
      <c r="U345">
        <v>18845.060000000001</v>
      </c>
      <c r="AB345">
        <f>SUMPRODUCT(DB_SOFList[[#This Row],[Plan01]:[Plan12]],$D$14:$O$14)/valUnits2</f>
        <v>95.35658500000001</v>
      </c>
      <c r="AC345">
        <f>SUMPRODUCT(DB_SOFList[[#This Row],[Act01]:[Act12]],$P$14:$AA$14)/valUnits2</f>
        <v>87.561889999999991</v>
      </c>
      <c r="AD345">
        <f>DB_SOFList[[#This Row],[Actual]]-DB_SOFList[[#This Row],[Plan]]</f>
        <v>-7.7946950000000186</v>
      </c>
      <c r="AE345">
        <f>IF(DB_SOFList[[#This Row],[Plan]]&lt;&gt;0,DB_SOFList[[#This Row],[Actual]]/DB_SOFList[[#This Row],[Plan]],1.000011000011)</f>
        <v>0.91825740194030625</v>
      </c>
      <c r="AF345" s="34">
        <f>SUM(DB_SOFList[[#This Row],[Plan01]:[Plan12]])/valUnits2</f>
        <v>95.35658500000001</v>
      </c>
      <c r="AG345" s="34">
        <f>SUMPRODUCT(DB_SOFList[[#This Row],[Act01]:[Act12]],$P$13:$AA$13)/valUnits2</f>
        <v>87.561889999999991</v>
      </c>
      <c r="AH345" s="34">
        <f>IF(DB_SOFList[[#This Row],[FYPlan]]&lt;&gt;0,DB_SOFList[[#This Row],[FYActuals]]/DB_SOFList[[#This Row],[FYPlan]],1.000011000011)</f>
        <v>0.91825740194030625</v>
      </c>
    </row>
    <row r="346" spans="1:34" hidden="1" x14ac:dyDescent="0.2">
      <c r="A346">
        <f>SUBTOTAL(3,$B$16:B346)</f>
        <v>93</v>
      </c>
      <c r="B346" t="s">
        <v>351</v>
      </c>
      <c r="C346" t="s">
        <v>356</v>
      </c>
      <c r="D346">
        <v>0</v>
      </c>
      <c r="E346">
        <v>0</v>
      </c>
      <c r="F346">
        <v>0</v>
      </c>
      <c r="G346">
        <v>1332.9189999999999</v>
      </c>
      <c r="H346">
        <v>913.18700000000013</v>
      </c>
      <c r="I346">
        <v>3240.2379999999998</v>
      </c>
      <c r="P346">
        <v>0</v>
      </c>
      <c r="Q346">
        <v>0</v>
      </c>
      <c r="R346">
        <v>0</v>
      </c>
      <c r="S346">
        <v>1335.7200000000003</v>
      </c>
      <c r="T346">
        <v>948.31</v>
      </c>
      <c r="U346">
        <v>2957.0499999999997</v>
      </c>
      <c r="AB346">
        <f>SUMPRODUCT(DB_SOFList[[#This Row],[Plan01]:[Plan12]],$D$14:$O$14)/valUnits2</f>
        <v>5.486343999999999</v>
      </c>
      <c r="AC346">
        <f>SUMPRODUCT(DB_SOFList[[#This Row],[Act01]:[Act12]],$P$14:$AA$14)/valUnits2</f>
        <v>5.2410800000000002</v>
      </c>
      <c r="AD346">
        <f>DB_SOFList[[#This Row],[Actual]]-DB_SOFList[[#This Row],[Plan]]</f>
        <v>-0.24526399999999882</v>
      </c>
      <c r="AE346">
        <f>IF(DB_SOFList[[#This Row],[Plan]]&lt;&gt;0,DB_SOFList[[#This Row],[Actual]]/DB_SOFList[[#This Row],[Plan]],1.000011000011)</f>
        <v>0.95529554836517749</v>
      </c>
      <c r="AF346" s="34">
        <f>SUM(DB_SOFList[[#This Row],[Plan01]:[Plan12]])/valUnits2</f>
        <v>5.486343999999999</v>
      </c>
      <c r="AG346" s="34">
        <f>SUMPRODUCT(DB_SOFList[[#This Row],[Act01]:[Act12]],$P$13:$AA$13)/valUnits2</f>
        <v>5.2410800000000002</v>
      </c>
      <c r="AH346" s="34">
        <f>IF(DB_SOFList[[#This Row],[FYPlan]]&lt;&gt;0,DB_SOFList[[#This Row],[FYActuals]]/DB_SOFList[[#This Row],[FYPlan]],1.000011000011)</f>
        <v>0.95529554836517749</v>
      </c>
    </row>
    <row r="347" spans="1:34" hidden="1" x14ac:dyDescent="0.2">
      <c r="A347">
        <f>SUBTOTAL(3,$B$16:B347)</f>
        <v>93</v>
      </c>
      <c r="B347" t="s">
        <v>349</v>
      </c>
      <c r="C347" t="s">
        <v>356</v>
      </c>
      <c r="D347">
        <v>21143.756000000001</v>
      </c>
      <c r="E347">
        <v>10724.469000000001</v>
      </c>
      <c r="F347">
        <v>7770.45</v>
      </c>
      <c r="G347">
        <v>18903.404000000002</v>
      </c>
      <c r="H347">
        <v>7165.6389999999992</v>
      </c>
      <c r="I347">
        <v>24140.097000000002</v>
      </c>
      <c r="P347">
        <v>21345.439999999995</v>
      </c>
      <c r="Q347">
        <v>10899.11</v>
      </c>
      <c r="R347">
        <v>7758.5899999999965</v>
      </c>
      <c r="S347">
        <v>19018.170000000002</v>
      </c>
      <c r="T347">
        <v>7388.9699999999948</v>
      </c>
      <c r="U347">
        <v>15887.609999999999</v>
      </c>
      <c r="AB347">
        <f>SUMPRODUCT(DB_SOFList[[#This Row],[Plan01]:[Plan12]],$D$14:$O$14)/valUnits2</f>
        <v>89.847814999999997</v>
      </c>
      <c r="AC347">
        <f>SUMPRODUCT(DB_SOFList[[#This Row],[Act01]:[Act12]],$P$14:$AA$14)/valUnits2</f>
        <v>82.297889999999995</v>
      </c>
      <c r="AD347">
        <f>DB_SOFList[[#This Row],[Actual]]-DB_SOFList[[#This Row],[Plan]]</f>
        <v>-7.5499250000000018</v>
      </c>
      <c r="AE347">
        <f>IF(DB_SOFList[[#This Row],[Plan]]&lt;&gt;0,DB_SOFList[[#This Row],[Actual]]/DB_SOFList[[#This Row],[Plan]],1.000011000011)</f>
        <v>0.91596985413613008</v>
      </c>
      <c r="AF347" s="34">
        <f>SUM(DB_SOFList[[#This Row],[Plan01]:[Plan12]])/valUnits2</f>
        <v>89.847814999999997</v>
      </c>
      <c r="AG347" s="34">
        <f>SUMPRODUCT(DB_SOFList[[#This Row],[Act01]:[Act12]],$P$13:$AA$13)/valUnits2</f>
        <v>82.297889999999995</v>
      </c>
      <c r="AH347" s="34">
        <f>IF(DB_SOFList[[#This Row],[FYPlan]]&lt;&gt;0,DB_SOFList[[#This Row],[FYActuals]]/DB_SOFList[[#This Row],[FYPlan]],1.000011000011)</f>
        <v>0.91596985413613008</v>
      </c>
    </row>
    <row r="348" spans="1:34" hidden="1" x14ac:dyDescent="0.2">
      <c r="A348">
        <f>SUBTOTAL(3,$B$16:B348)</f>
        <v>93</v>
      </c>
      <c r="B348" t="s">
        <v>350</v>
      </c>
      <c r="C348" t="s">
        <v>356</v>
      </c>
      <c r="D348">
        <v>0</v>
      </c>
      <c r="E348">
        <v>22.425999999999998</v>
      </c>
      <c r="F348">
        <v>0</v>
      </c>
      <c r="G348">
        <v>0</v>
      </c>
      <c r="H348">
        <v>0</v>
      </c>
      <c r="I348">
        <v>0</v>
      </c>
      <c r="P348">
        <v>0</v>
      </c>
      <c r="Q348">
        <v>22.52</v>
      </c>
      <c r="R348">
        <v>0</v>
      </c>
      <c r="S348">
        <v>0</v>
      </c>
      <c r="T348">
        <v>0</v>
      </c>
      <c r="U348">
        <v>0.4</v>
      </c>
      <c r="AB348">
        <f>SUMPRODUCT(DB_SOFList[[#This Row],[Plan01]:[Plan12]],$D$14:$O$14)/valUnits2</f>
        <v>2.2425999999999998E-2</v>
      </c>
      <c r="AC348">
        <f>SUMPRODUCT(DB_SOFList[[#This Row],[Act01]:[Act12]],$P$14:$AA$14)/valUnits2</f>
        <v>2.2919999999999999E-2</v>
      </c>
      <c r="AD348">
        <f>DB_SOFList[[#This Row],[Actual]]-DB_SOFList[[#This Row],[Plan]]</f>
        <v>4.9400000000000138E-4</v>
      </c>
      <c r="AE348">
        <f>IF(DB_SOFList[[#This Row],[Plan]]&lt;&gt;0,DB_SOFList[[#This Row],[Actual]]/DB_SOFList[[#This Row],[Plan]],1.000011000011)</f>
        <v>1.0220280032105593</v>
      </c>
      <c r="AF348" s="34">
        <f>SUM(DB_SOFList[[#This Row],[Plan01]:[Plan12]])/valUnits2</f>
        <v>2.2425999999999998E-2</v>
      </c>
      <c r="AG348" s="34">
        <f>SUMPRODUCT(DB_SOFList[[#This Row],[Act01]:[Act12]],$P$13:$AA$13)/valUnits2</f>
        <v>2.2919999999999999E-2</v>
      </c>
      <c r="AH348" s="34">
        <f>IF(DB_SOFList[[#This Row],[FYPlan]]&lt;&gt;0,DB_SOFList[[#This Row],[FYActuals]]/DB_SOFList[[#This Row],[FYPlan]],1.000011000011)</f>
        <v>1.0220280032105593</v>
      </c>
    </row>
    <row r="349" spans="1:34" x14ac:dyDescent="0.2">
      <c r="A349">
        <f>SUBTOTAL(3,$B$16:B349)</f>
        <v>94</v>
      </c>
      <c r="B349" t="s">
        <v>1</v>
      </c>
      <c r="C349" t="s">
        <v>919</v>
      </c>
      <c r="D349">
        <v>26220.022000000004</v>
      </c>
      <c r="E349">
        <v>470766.58999999985</v>
      </c>
      <c r="F349">
        <v>27432.386000000017</v>
      </c>
      <c r="G349">
        <v>88762.585000000006</v>
      </c>
      <c r="H349">
        <v>797012.47699999972</v>
      </c>
      <c r="I349">
        <v>258766.87600000005</v>
      </c>
      <c r="J349">
        <v>743410.99999999965</v>
      </c>
      <c r="K349">
        <v>339132.96499999991</v>
      </c>
      <c r="L349">
        <v>578774.50699999998</v>
      </c>
      <c r="M349">
        <v>574955.3319999997</v>
      </c>
      <c r="N349">
        <v>510736.80099999998</v>
      </c>
      <c r="O349">
        <v>611717.42899999977</v>
      </c>
      <c r="P349">
        <v>25621.909999999993</v>
      </c>
      <c r="Q349">
        <v>484961.17</v>
      </c>
      <c r="R349">
        <v>27690.839999999989</v>
      </c>
      <c r="S349">
        <v>88575.399999999892</v>
      </c>
      <c r="T349">
        <v>794928.39000000013</v>
      </c>
      <c r="U349">
        <v>200243.06000000006</v>
      </c>
      <c r="V349">
        <v>1895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f>SUMPRODUCT(DB_SOFList[[#This Row],[Plan01]:[Plan12]],$D$14:$O$14)/valUnits2</f>
        <v>1668.9609359999997</v>
      </c>
      <c r="AC349">
        <f>SUMPRODUCT(DB_SOFList[[#This Row],[Act01]:[Act12]],$P$14:$AA$14)/valUnits2</f>
        <v>1622.0207700000001</v>
      </c>
      <c r="AD349">
        <f>DB_SOFList[[#This Row],[Actual]]-DB_SOFList[[#This Row],[Plan]]</f>
        <v>-46.940165999999635</v>
      </c>
      <c r="AE349">
        <f>IF(DB_SOFList[[#This Row],[Plan]]&lt;&gt;0,DB_SOFList[[#This Row],[Actual]]/DB_SOFList[[#This Row],[Plan]],1.000011000011)</f>
        <v>0.97187461672260511</v>
      </c>
      <c r="AF349" s="34">
        <f>SUM(DB_SOFList[[#This Row],[Plan01]:[Plan12]])/valUnits2</f>
        <v>5027.6889699999974</v>
      </c>
      <c r="AG349" s="34">
        <f>SUMPRODUCT(DB_SOFList[[#This Row],[Act01]:[Act12]],$P$13:$AA$13)/valUnits2</f>
        <v>1622.0207700000001</v>
      </c>
      <c r="AH349" s="34">
        <f>IF(DB_SOFList[[#This Row],[FYPlan]]&lt;&gt;0,DB_SOFList[[#This Row],[FYActuals]]/DB_SOFList[[#This Row],[FYPlan]],1.000011000011)</f>
        <v>0.32261756438763972</v>
      </c>
    </row>
    <row r="350" spans="1:34" hidden="1" x14ac:dyDescent="0.2">
      <c r="A350">
        <f>SUBTOTAL(3,$B$16:B350)</f>
        <v>94</v>
      </c>
      <c r="B350" t="s">
        <v>342</v>
      </c>
      <c r="C350" t="s">
        <v>919</v>
      </c>
      <c r="D350">
        <v>25622.029000000006</v>
      </c>
      <c r="E350">
        <v>463902.80299999984</v>
      </c>
      <c r="F350">
        <v>18816.313000000016</v>
      </c>
      <c r="G350">
        <v>50643.18</v>
      </c>
      <c r="H350">
        <v>783574.40199999977</v>
      </c>
      <c r="I350">
        <v>245125.13800000004</v>
      </c>
      <c r="J350">
        <v>727505.22499999963</v>
      </c>
      <c r="K350">
        <v>325491.2269999999</v>
      </c>
      <c r="L350">
        <v>565132.76899999997</v>
      </c>
      <c r="M350">
        <v>559049.55699999968</v>
      </c>
      <c r="N350">
        <v>497095.06299999997</v>
      </c>
      <c r="O350">
        <v>598075.69099999976</v>
      </c>
      <c r="P350">
        <v>25032.759999999991</v>
      </c>
      <c r="Q350">
        <v>477954.31</v>
      </c>
      <c r="R350">
        <v>18997.529999999988</v>
      </c>
      <c r="S350">
        <v>50225.869999999886</v>
      </c>
      <c r="T350">
        <v>781528.41000000015</v>
      </c>
      <c r="U350">
        <v>188853.50000000006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f>SUMPRODUCT(DB_SOFList[[#This Row],[Plan01]:[Plan12]],$D$14:$O$14)/valUnits2</f>
        <v>1587.6838649999995</v>
      </c>
      <c r="AC350">
        <f>SUMPRODUCT(DB_SOFList[[#This Row],[Act01]:[Act12]],$P$14:$AA$14)/valUnits2</f>
        <v>1542.5923799999998</v>
      </c>
      <c r="AD350">
        <f>DB_SOFList[[#This Row],[Actual]]-DB_SOFList[[#This Row],[Plan]]</f>
        <v>-45.091484999999693</v>
      </c>
      <c r="AE350">
        <f>IF(DB_SOFList[[#This Row],[Plan]]&lt;&gt;0,DB_SOFList[[#This Row],[Actual]]/DB_SOFList[[#This Row],[Plan]],1.000011000011)</f>
        <v>0.97159920435419955</v>
      </c>
      <c r="AF350" s="34">
        <f>SUM(DB_SOFList[[#This Row],[Plan01]:[Plan12]])/valUnits2</f>
        <v>4860.0333969999983</v>
      </c>
      <c r="AG350" s="34">
        <f>SUMPRODUCT(DB_SOFList[[#This Row],[Act01]:[Act12]],$P$13:$AA$13)/valUnits2</f>
        <v>1542.5923799999998</v>
      </c>
      <c r="AH350" s="34">
        <f>IF(DB_SOFList[[#This Row],[FYPlan]]&lt;&gt;0,DB_SOFList[[#This Row],[FYActuals]]/DB_SOFList[[#This Row],[FYPlan]],1.000011000011)</f>
        <v>0.31740365836831724</v>
      </c>
    </row>
    <row r="351" spans="1:34" hidden="1" x14ac:dyDescent="0.2">
      <c r="A351">
        <f>SUBTOTAL(3,$B$16:B351)</f>
        <v>94</v>
      </c>
      <c r="B351" t="s">
        <v>351</v>
      </c>
      <c r="C351" t="s">
        <v>919</v>
      </c>
      <c r="D351">
        <v>597.99300000000005</v>
      </c>
      <c r="E351">
        <v>6056.0060000000003</v>
      </c>
      <c r="F351">
        <v>7363.5710000000008</v>
      </c>
      <c r="G351">
        <v>37580.612999999998</v>
      </c>
      <c r="H351">
        <v>12706.236999999999</v>
      </c>
      <c r="I351">
        <v>11724.390000000001</v>
      </c>
      <c r="J351">
        <v>13988.427</v>
      </c>
      <c r="K351">
        <v>11724.390000000001</v>
      </c>
      <c r="L351">
        <v>11724.390000000001</v>
      </c>
      <c r="M351">
        <v>13988.427</v>
      </c>
      <c r="N351">
        <v>11724.390000000001</v>
      </c>
      <c r="O351">
        <v>11724.390000000001</v>
      </c>
      <c r="P351">
        <v>589.15</v>
      </c>
      <c r="Q351">
        <v>6182.14</v>
      </c>
      <c r="R351">
        <v>7429.47</v>
      </c>
      <c r="S351">
        <v>37813.810000000005</v>
      </c>
      <c r="T351">
        <v>12670.220000000001</v>
      </c>
      <c r="U351">
        <v>10763.650000000001</v>
      </c>
      <c r="V351">
        <v>1895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f>SUMPRODUCT(DB_SOFList[[#This Row],[Plan01]:[Plan12]],$D$14:$O$14)/valUnits2</f>
        <v>76.028809999999993</v>
      </c>
      <c r="AC351">
        <f>SUMPRODUCT(DB_SOFList[[#This Row],[Act01]:[Act12]],$P$14:$AA$14)/valUnits2</f>
        <v>75.448440000000005</v>
      </c>
      <c r="AD351">
        <f>DB_SOFList[[#This Row],[Actual]]-DB_SOFList[[#This Row],[Plan]]</f>
        <v>-0.58036999999998784</v>
      </c>
      <c r="AE351">
        <f>IF(DB_SOFList[[#This Row],[Plan]]&lt;&gt;0,DB_SOFList[[#This Row],[Actual]]/DB_SOFList[[#This Row],[Plan]],1.000011000011)</f>
        <v>0.99236644635106108</v>
      </c>
      <c r="AF351" s="34">
        <f>SUM(DB_SOFList[[#This Row],[Plan01]:[Plan12]])/valUnits2</f>
        <v>150.90322400000002</v>
      </c>
      <c r="AG351" s="34">
        <f>SUMPRODUCT(DB_SOFList[[#This Row],[Act01]:[Act12]],$P$13:$AA$13)/valUnits2</f>
        <v>75.448440000000005</v>
      </c>
      <c r="AH351" s="34">
        <f>IF(DB_SOFList[[#This Row],[FYPlan]]&lt;&gt;0,DB_SOFList[[#This Row],[FYActuals]]/DB_SOFList[[#This Row],[FYPlan]],1.000011000011)</f>
        <v>0.49997897990569101</v>
      </c>
    </row>
    <row r="352" spans="1:34" hidden="1" x14ac:dyDescent="0.2">
      <c r="A352">
        <f>SUBTOTAL(3,$B$16:B352)</f>
        <v>94</v>
      </c>
      <c r="B352" t="s">
        <v>350</v>
      </c>
      <c r="C352" t="s">
        <v>919</v>
      </c>
      <c r="D352">
        <v>0</v>
      </c>
      <c r="E352">
        <v>807.78099999999995</v>
      </c>
      <c r="F352">
        <v>1252.502</v>
      </c>
      <c r="G352">
        <v>538.79200000000003</v>
      </c>
      <c r="H352">
        <v>731.83799999999997</v>
      </c>
      <c r="I352">
        <v>1917.348</v>
      </c>
      <c r="J352">
        <v>1917.3479999999997</v>
      </c>
      <c r="K352">
        <v>1917.348</v>
      </c>
      <c r="L352">
        <v>1917.348</v>
      </c>
      <c r="M352">
        <v>1917.348</v>
      </c>
      <c r="N352">
        <v>1917.348</v>
      </c>
      <c r="O352">
        <v>1917.348</v>
      </c>
      <c r="P352">
        <v>0</v>
      </c>
      <c r="Q352">
        <v>824.72</v>
      </c>
      <c r="R352">
        <v>1263.8400000000001</v>
      </c>
      <c r="S352">
        <v>535.72</v>
      </c>
      <c r="T352">
        <v>729.76</v>
      </c>
      <c r="U352">
        <v>625.91000000000008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f>SUMPRODUCT(DB_SOFList[[#This Row],[Plan01]:[Plan12]],$D$14:$O$14)/valUnits2</f>
        <v>5.2482609999999994</v>
      </c>
      <c r="AC352">
        <f>SUMPRODUCT(DB_SOFList[[#This Row],[Act01]:[Act12]],$P$14:$AA$14)/valUnits2</f>
        <v>3.9799500000000005</v>
      </c>
      <c r="AD352">
        <f>DB_SOFList[[#This Row],[Actual]]-DB_SOFList[[#This Row],[Plan]]</f>
        <v>-1.2683109999999989</v>
      </c>
      <c r="AE352">
        <f>IF(DB_SOFList[[#This Row],[Plan]]&lt;&gt;0,DB_SOFList[[#This Row],[Actual]]/DB_SOFList[[#This Row],[Plan]],1.000011000011)</f>
        <v>0.75833690435746259</v>
      </c>
      <c r="AF352" s="34">
        <f>SUM(DB_SOFList[[#This Row],[Plan01]:[Plan12]])/valUnits2</f>
        <v>16.752348999999999</v>
      </c>
      <c r="AG352" s="34">
        <f>SUMPRODUCT(DB_SOFList[[#This Row],[Act01]:[Act12]],$P$13:$AA$13)/valUnits2</f>
        <v>3.9799500000000005</v>
      </c>
      <c r="AH352" s="34">
        <f>IF(DB_SOFList[[#This Row],[FYPlan]]&lt;&gt;0,DB_SOFList[[#This Row],[FYActuals]]/DB_SOFList[[#This Row],[FYPlan]],1.000011000011)</f>
        <v>0.23757563790009395</v>
      </c>
    </row>
    <row r="353" spans="1:34" x14ac:dyDescent="0.2">
      <c r="A353">
        <f>SUBTOTAL(3,$B$16:B353)</f>
        <v>95</v>
      </c>
      <c r="B353" t="s">
        <v>1</v>
      </c>
      <c r="C353" t="s">
        <v>920</v>
      </c>
      <c r="H353">
        <v>774.19</v>
      </c>
      <c r="I353">
        <v>0</v>
      </c>
      <c r="T353">
        <v>774.19</v>
      </c>
      <c r="U353">
        <v>3898.23</v>
      </c>
      <c r="AB353" s="34">
        <f>SUMPRODUCT(DB_SOFList[[#This Row],[Plan01]:[Plan12]],$D$14:$O$14)/valUnits2</f>
        <v>0.77419000000000004</v>
      </c>
      <c r="AC353" s="34">
        <f>SUMPRODUCT(DB_SOFList[[#This Row],[Act01]:[Act12]],$P$14:$AA$14)/valUnits2</f>
        <v>4.6724199999999998</v>
      </c>
      <c r="AD353" s="34">
        <f>DB_SOFList[[#This Row],[Actual]]-DB_SOFList[[#This Row],[Plan]]</f>
        <v>3.8982299999999999</v>
      </c>
      <c r="AE353" s="34">
        <f>IF(DB_SOFList[[#This Row],[Plan]]&lt;&gt;0,DB_SOFList[[#This Row],[Actual]]/DB_SOFList[[#This Row],[Plan]],1.000011000011)</f>
        <v>6.0352368281687951</v>
      </c>
      <c r="AF353" s="34">
        <f>SUM(DB_SOFList[[#This Row],[Plan01]:[Plan12]])/valUnits2</f>
        <v>0.77419000000000004</v>
      </c>
      <c r="AG353" s="34">
        <f>SUMPRODUCT(DB_SOFList[[#This Row],[Act01]:[Act12]],$P$13:$AA$13)/valUnits2</f>
        <v>4.6724199999999998</v>
      </c>
      <c r="AH353" s="34">
        <f>IF(DB_SOFList[[#This Row],[FYPlan]]&lt;&gt;0,DB_SOFList[[#This Row],[FYActuals]]/DB_SOFList[[#This Row],[FYPlan]],1.000011000011)</f>
        <v>6.0352368281687951</v>
      </c>
    </row>
    <row r="354" spans="1:34" hidden="1" x14ac:dyDescent="0.2">
      <c r="A354">
        <f>SUBTOTAL(3,$B$16:B354)</f>
        <v>95</v>
      </c>
      <c r="B354" t="s">
        <v>351</v>
      </c>
      <c r="C354" t="s">
        <v>920</v>
      </c>
      <c r="I354">
        <v>0</v>
      </c>
      <c r="U354">
        <v>3898.23</v>
      </c>
      <c r="AB354">
        <f>SUMPRODUCT(DB_SOFList[[#This Row],[Plan01]:[Plan12]],$D$14:$O$14)/valUnits2</f>
        <v>0</v>
      </c>
      <c r="AC354">
        <f>SUMPRODUCT(DB_SOFList[[#This Row],[Act01]:[Act12]],$P$14:$AA$14)/valUnits2</f>
        <v>3.8982299999999999</v>
      </c>
      <c r="AD354">
        <f>DB_SOFList[[#This Row],[Actual]]-DB_SOFList[[#This Row],[Plan]]</f>
        <v>3.8982299999999999</v>
      </c>
      <c r="AE354">
        <f>IF(DB_SOFList[[#This Row],[Plan]]&lt;&gt;0,DB_SOFList[[#This Row],[Actual]]/DB_SOFList[[#This Row],[Plan]],1.000011000011)</f>
        <v>1.0000110000110001</v>
      </c>
      <c r="AF354" s="34">
        <f>SUM(DB_SOFList[[#This Row],[Plan01]:[Plan12]])/valUnits2</f>
        <v>0</v>
      </c>
      <c r="AG354" s="34">
        <f>SUMPRODUCT(DB_SOFList[[#This Row],[Act01]:[Act12]],$P$13:$AA$13)/valUnits2</f>
        <v>3.8982299999999999</v>
      </c>
      <c r="AH354" s="34">
        <f>IF(DB_SOFList[[#This Row],[FYPlan]]&lt;&gt;0,DB_SOFList[[#This Row],[FYActuals]]/DB_SOFList[[#This Row],[FYPlan]],1.000011000011)</f>
        <v>1.0000110000110001</v>
      </c>
    </row>
    <row r="355" spans="1:34" hidden="1" x14ac:dyDescent="0.2">
      <c r="A355">
        <f>SUBTOTAL(3,$B$16:B355)</f>
        <v>95</v>
      </c>
      <c r="B355" t="s">
        <v>348</v>
      </c>
      <c r="C355" t="s">
        <v>920</v>
      </c>
      <c r="H355">
        <v>774.19</v>
      </c>
      <c r="T355">
        <v>774.19</v>
      </c>
      <c r="AB355">
        <f>SUMPRODUCT(DB_SOFList[[#This Row],[Plan01]:[Plan12]],$D$14:$O$14)/valUnits2</f>
        <v>0.77419000000000004</v>
      </c>
      <c r="AC355">
        <f>SUMPRODUCT(DB_SOFList[[#This Row],[Act01]:[Act12]],$P$14:$AA$14)/valUnits2</f>
        <v>0.77419000000000004</v>
      </c>
      <c r="AD355">
        <f>DB_SOFList[[#This Row],[Actual]]-DB_SOFList[[#This Row],[Plan]]</f>
        <v>0</v>
      </c>
      <c r="AE355">
        <f>IF(DB_SOFList[[#This Row],[Plan]]&lt;&gt;0,DB_SOFList[[#This Row],[Actual]]/DB_SOFList[[#This Row],[Plan]],1.000011000011)</f>
        <v>1</v>
      </c>
      <c r="AF355" s="34">
        <f>SUM(DB_SOFList[[#This Row],[Plan01]:[Plan12]])/valUnits2</f>
        <v>0.77419000000000004</v>
      </c>
      <c r="AG355" s="34">
        <f>SUMPRODUCT(DB_SOFList[[#This Row],[Act01]:[Act12]],$P$13:$AA$13)/valUnits2</f>
        <v>0.77419000000000004</v>
      </c>
      <c r="AH355" s="34">
        <f>IF(DB_SOFList[[#This Row],[FYPlan]]&lt;&gt;0,DB_SOFList[[#This Row],[FYActuals]]/DB_SOFList[[#This Row],[FYPlan]],1.000011000011)</f>
        <v>1</v>
      </c>
    </row>
    <row r="356" spans="1:34" x14ac:dyDescent="0.2">
      <c r="A356">
        <f>SUBTOTAL(3,$B$16:B356)</f>
        <v>96</v>
      </c>
      <c r="B356" t="s">
        <v>1</v>
      </c>
      <c r="C356" t="s">
        <v>921</v>
      </c>
      <c r="D356">
        <v>3803.2449999999999</v>
      </c>
      <c r="E356">
        <v>5403.1639999999989</v>
      </c>
      <c r="F356">
        <v>4783.4640000000009</v>
      </c>
      <c r="G356">
        <v>10824.709000000003</v>
      </c>
      <c r="H356">
        <v>5615.6509999999998</v>
      </c>
      <c r="P356">
        <v>3802.98</v>
      </c>
      <c r="Q356">
        <v>5393.5</v>
      </c>
      <c r="R356">
        <v>4752.3100000000004</v>
      </c>
      <c r="S356">
        <v>10708.46</v>
      </c>
      <c r="T356">
        <v>5632.0700000000006</v>
      </c>
      <c r="AB356">
        <f>SUMPRODUCT(DB_SOFList[[#This Row],[Plan01]:[Plan12]],$D$14:$O$14)/valUnits2</f>
        <v>30.430233000000001</v>
      </c>
      <c r="AC356">
        <f>SUMPRODUCT(DB_SOFList[[#This Row],[Act01]:[Act12]],$P$14:$AA$14)/valUnits2</f>
        <v>30.28932</v>
      </c>
      <c r="AD356">
        <f>DB_SOFList[[#This Row],[Actual]]-DB_SOFList[[#This Row],[Plan]]</f>
        <v>-0.14091300000000118</v>
      </c>
      <c r="AE356">
        <f>IF(DB_SOFList[[#This Row],[Plan]]&lt;&gt;0,DB_SOFList[[#This Row],[Actual]]/DB_SOFList[[#This Row],[Plan]],1.000011000011)</f>
        <v>0.99536930919983424</v>
      </c>
      <c r="AF356" s="34">
        <f>SUM(DB_SOFList[[#This Row],[Plan01]:[Plan12]])/valUnits2</f>
        <v>30.430233000000001</v>
      </c>
      <c r="AG356" s="34">
        <f>SUMPRODUCT(DB_SOFList[[#This Row],[Act01]:[Act12]],$P$13:$AA$13)/valUnits2</f>
        <v>30.28932</v>
      </c>
      <c r="AH356" s="34">
        <f>IF(DB_SOFList[[#This Row],[FYPlan]]&lt;&gt;0,DB_SOFList[[#This Row],[FYActuals]]/DB_SOFList[[#This Row],[FYPlan]],1.000011000011)</f>
        <v>0.99536930919983424</v>
      </c>
    </row>
    <row r="357" spans="1:34" hidden="1" x14ac:dyDescent="0.2">
      <c r="A357">
        <f>SUBTOTAL(3,$B$16:B357)</f>
        <v>96</v>
      </c>
      <c r="B357" t="s">
        <v>351</v>
      </c>
      <c r="C357" t="s">
        <v>921</v>
      </c>
      <c r="D357">
        <v>137.381</v>
      </c>
      <c r="E357">
        <v>845.428</v>
      </c>
      <c r="F357">
        <v>887.40000000000009</v>
      </c>
      <c r="G357">
        <v>251.39700000000002</v>
      </c>
      <c r="H357">
        <v>369.14600000000002</v>
      </c>
      <c r="P357">
        <v>137.34</v>
      </c>
      <c r="Q357">
        <v>843.26999999999987</v>
      </c>
      <c r="R357">
        <v>881.90000000000009</v>
      </c>
      <c r="S357">
        <v>273.99999999999994</v>
      </c>
      <c r="T357">
        <v>370.89</v>
      </c>
      <c r="AB357">
        <f>SUMPRODUCT(DB_SOFList[[#This Row],[Plan01]:[Plan12]],$D$14:$O$14)/valUnits2</f>
        <v>2.4907520000000005</v>
      </c>
      <c r="AC357">
        <f>SUMPRODUCT(DB_SOFList[[#This Row],[Act01]:[Act12]],$P$14:$AA$14)/valUnits2</f>
        <v>2.5073999999999996</v>
      </c>
      <c r="AD357">
        <f>DB_SOFList[[#This Row],[Actual]]-DB_SOFList[[#This Row],[Plan]]</f>
        <v>1.6647999999999108E-2</v>
      </c>
      <c r="AE357">
        <f>IF(DB_SOFList[[#This Row],[Plan]]&lt;&gt;0,DB_SOFList[[#This Row],[Actual]]/DB_SOFList[[#This Row],[Plan]],1.000011000011)</f>
        <v>1.0066839251760107</v>
      </c>
      <c r="AF357" s="34">
        <f>SUM(DB_SOFList[[#This Row],[Plan01]:[Plan12]])/valUnits2</f>
        <v>2.4907520000000005</v>
      </c>
      <c r="AG357" s="34">
        <f>SUMPRODUCT(DB_SOFList[[#This Row],[Act01]:[Act12]],$P$13:$AA$13)/valUnits2</f>
        <v>2.5073999999999996</v>
      </c>
      <c r="AH357" s="34">
        <f>IF(DB_SOFList[[#This Row],[FYPlan]]&lt;&gt;0,DB_SOFList[[#This Row],[FYActuals]]/DB_SOFList[[#This Row],[FYPlan]],1.000011000011)</f>
        <v>1.0066839251760107</v>
      </c>
    </row>
    <row r="358" spans="1:34" hidden="1" x14ac:dyDescent="0.2">
      <c r="A358">
        <f>SUBTOTAL(3,$B$16:B358)</f>
        <v>96</v>
      </c>
      <c r="B358" t="s">
        <v>348</v>
      </c>
      <c r="C358" t="s">
        <v>921</v>
      </c>
      <c r="D358">
        <v>3501.5160000000001</v>
      </c>
      <c r="E358">
        <v>4336.1219999999994</v>
      </c>
      <c r="F358">
        <v>3894.692</v>
      </c>
      <c r="G358">
        <v>10573.312000000002</v>
      </c>
      <c r="H358">
        <v>4979.51</v>
      </c>
      <c r="P358">
        <v>3501.2799999999997</v>
      </c>
      <c r="Q358">
        <v>4329.84</v>
      </c>
      <c r="R358">
        <v>3869.04</v>
      </c>
      <c r="S358">
        <v>10434.459999999999</v>
      </c>
      <c r="T358">
        <v>4997.68</v>
      </c>
      <c r="AB358">
        <f>SUMPRODUCT(DB_SOFList[[#This Row],[Plan01]:[Plan12]],$D$14:$O$14)/valUnits2</f>
        <v>27.285152000000004</v>
      </c>
      <c r="AC358">
        <f>SUMPRODUCT(DB_SOFList[[#This Row],[Act01]:[Act12]],$P$14:$AA$14)/valUnits2</f>
        <v>27.132300000000001</v>
      </c>
      <c r="AD358">
        <f>DB_SOFList[[#This Row],[Actual]]-DB_SOFList[[#This Row],[Plan]]</f>
        <v>-0.15285200000000287</v>
      </c>
      <c r="AE358">
        <f>IF(DB_SOFList[[#This Row],[Plan]]&lt;&gt;0,DB_SOFList[[#This Row],[Actual]]/DB_SOFList[[#This Row],[Plan]],1.000011000011)</f>
        <v>0.99439797879813885</v>
      </c>
      <c r="AF358" s="34">
        <f>SUM(DB_SOFList[[#This Row],[Plan01]:[Plan12]])/valUnits2</f>
        <v>27.285152000000004</v>
      </c>
      <c r="AG358" s="34">
        <f>SUMPRODUCT(DB_SOFList[[#This Row],[Act01]:[Act12]],$P$13:$AA$13)/valUnits2</f>
        <v>27.132300000000001</v>
      </c>
      <c r="AH358" s="34">
        <f>IF(DB_SOFList[[#This Row],[FYPlan]]&lt;&gt;0,DB_SOFList[[#This Row],[FYActuals]]/DB_SOFList[[#This Row],[FYPlan]],1.000011000011)</f>
        <v>0.99439797879813885</v>
      </c>
    </row>
    <row r="359" spans="1:34" hidden="1" x14ac:dyDescent="0.2">
      <c r="A359">
        <f>SUBTOTAL(3,$B$16:B359)</f>
        <v>96</v>
      </c>
      <c r="B359" t="s">
        <v>350</v>
      </c>
      <c r="C359" t="s">
        <v>921</v>
      </c>
      <c r="D359">
        <v>164.34799999999998</v>
      </c>
      <c r="E359">
        <v>221.614</v>
      </c>
      <c r="F359">
        <v>1.3719999999999999</v>
      </c>
      <c r="H359">
        <v>266.995</v>
      </c>
      <c r="P359">
        <v>164.36</v>
      </c>
      <c r="Q359">
        <v>220.39</v>
      </c>
      <c r="R359">
        <v>1.3699999999999999</v>
      </c>
      <c r="T359">
        <v>263.5</v>
      </c>
      <c r="AB359">
        <f>SUMPRODUCT(DB_SOFList[[#This Row],[Plan01]:[Plan12]],$D$14:$O$14)/valUnits2</f>
        <v>0.65432899999999994</v>
      </c>
      <c r="AC359">
        <f>SUMPRODUCT(DB_SOFList[[#This Row],[Act01]:[Act12]],$P$14:$AA$14)/valUnits2</f>
        <v>0.64961999999999998</v>
      </c>
      <c r="AD359">
        <f>DB_SOFList[[#This Row],[Actual]]-DB_SOFList[[#This Row],[Plan]]</f>
        <v>-4.7089999999999632E-3</v>
      </c>
      <c r="AE359">
        <f>IF(DB_SOFList[[#This Row],[Plan]]&lt;&gt;0,DB_SOFList[[#This Row],[Actual]]/DB_SOFList[[#This Row],[Plan]],1.000011000011)</f>
        <v>0.9928033145405446</v>
      </c>
      <c r="AF359" s="34">
        <f>SUM(DB_SOFList[[#This Row],[Plan01]:[Plan12]])/valUnits2</f>
        <v>0.65432899999999994</v>
      </c>
      <c r="AG359" s="34">
        <f>SUMPRODUCT(DB_SOFList[[#This Row],[Act01]:[Act12]],$P$13:$AA$13)/valUnits2</f>
        <v>0.64961999999999998</v>
      </c>
      <c r="AH359" s="34">
        <f>IF(DB_SOFList[[#This Row],[FYPlan]]&lt;&gt;0,DB_SOFList[[#This Row],[FYActuals]]/DB_SOFList[[#This Row],[FYPlan]],1.000011000011)</f>
        <v>0.9928033145405446</v>
      </c>
    </row>
    <row r="360" spans="1:34" x14ac:dyDescent="0.2">
      <c r="A360">
        <f>SUBTOTAL(3,$B$16:B360)</f>
        <v>97</v>
      </c>
      <c r="B360" t="s">
        <v>1</v>
      </c>
      <c r="C360" t="s">
        <v>922</v>
      </c>
      <c r="D360">
        <v>5479.2379999999994</v>
      </c>
      <c r="E360">
        <v>8564.607</v>
      </c>
      <c r="F360">
        <v>12786.399999999996</v>
      </c>
      <c r="G360">
        <v>8058.7039999999997</v>
      </c>
      <c r="H360">
        <v>8985.8509999999987</v>
      </c>
      <c r="I360">
        <v>10464.804</v>
      </c>
      <c r="J360">
        <v>10464.804</v>
      </c>
      <c r="K360">
        <v>10464.803999999998</v>
      </c>
      <c r="L360">
        <v>10464.804</v>
      </c>
      <c r="M360">
        <v>10464.803999999998</v>
      </c>
      <c r="N360">
        <v>10464.803999999998</v>
      </c>
      <c r="O360">
        <v>10464.803999999998</v>
      </c>
      <c r="P360">
        <v>5382.4000000000005</v>
      </c>
      <c r="Q360">
        <v>8776.34</v>
      </c>
      <c r="R360">
        <v>12937.470000000003</v>
      </c>
      <c r="S360">
        <v>8068.0599999999995</v>
      </c>
      <c r="T360">
        <v>8936.31</v>
      </c>
      <c r="U360">
        <v>14370.849999999999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f>SUMPRODUCT(DB_SOFList[[#This Row],[Plan01]:[Plan12]],$D$14:$O$14)/valUnits2</f>
        <v>54.339603999999994</v>
      </c>
      <c r="AC360">
        <f>SUMPRODUCT(DB_SOFList[[#This Row],[Act01]:[Act12]],$P$14:$AA$14)/valUnits2</f>
        <v>58.471429999999998</v>
      </c>
      <c r="AD360">
        <f>DB_SOFList[[#This Row],[Actual]]-DB_SOFList[[#This Row],[Plan]]</f>
        <v>4.1318260000000038</v>
      </c>
      <c r="AE360">
        <f>IF(DB_SOFList[[#This Row],[Plan]]&lt;&gt;0,DB_SOFList[[#This Row],[Actual]]/DB_SOFList[[#This Row],[Plan]],1.000011000011)</f>
        <v>1.0760371017793948</v>
      </c>
      <c r="AF360" s="34">
        <f>SUM(DB_SOFList[[#This Row],[Plan01]:[Plan12]])/valUnits2</f>
        <v>117.12842800000001</v>
      </c>
      <c r="AG360" s="34">
        <f>SUMPRODUCT(DB_SOFList[[#This Row],[Act01]:[Act12]],$P$13:$AA$13)/valUnits2</f>
        <v>58.471429999999998</v>
      </c>
      <c r="AH360" s="34">
        <f>IF(DB_SOFList[[#This Row],[FYPlan]]&lt;&gt;0,DB_SOFList[[#This Row],[FYActuals]]/DB_SOFList[[#This Row],[FYPlan]],1.000011000011)</f>
        <v>0.49920784388910255</v>
      </c>
    </row>
    <row r="361" spans="1:34" hidden="1" x14ac:dyDescent="0.2">
      <c r="A361">
        <f>SUBTOTAL(3,$B$16:B361)</f>
        <v>97</v>
      </c>
      <c r="B361" t="s">
        <v>351</v>
      </c>
      <c r="C361" t="s">
        <v>922</v>
      </c>
      <c r="D361">
        <v>541.04700000000003</v>
      </c>
      <c r="E361">
        <v>453.60499999999996</v>
      </c>
      <c r="F361">
        <v>682.67000000000007</v>
      </c>
      <c r="G361">
        <v>1133.1410000000001</v>
      </c>
      <c r="H361">
        <v>727.41800000000001</v>
      </c>
      <c r="I361">
        <v>1662.5540000000005</v>
      </c>
      <c r="J361">
        <v>1662.5540000000005</v>
      </c>
      <c r="K361">
        <v>1662.5540000000005</v>
      </c>
      <c r="L361">
        <v>1662.5540000000005</v>
      </c>
      <c r="M361">
        <v>1662.5540000000005</v>
      </c>
      <c r="N361">
        <v>1662.5540000000005</v>
      </c>
      <c r="O361">
        <v>1662.5540000000005</v>
      </c>
      <c r="P361">
        <v>532.13</v>
      </c>
      <c r="Q361">
        <v>463.94</v>
      </c>
      <c r="R361">
        <v>692.91000000000008</v>
      </c>
      <c r="S361">
        <v>1187.92</v>
      </c>
      <c r="T361">
        <v>723.88000000000011</v>
      </c>
      <c r="U361">
        <v>762.06000000000006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f>SUMPRODUCT(DB_SOFList[[#This Row],[Plan01]:[Plan12]],$D$14:$O$14)/valUnits2</f>
        <v>5.2004350000000015</v>
      </c>
      <c r="AC361">
        <f>SUMPRODUCT(DB_SOFList[[#This Row],[Act01]:[Act12]],$P$14:$AA$14)/valUnits2</f>
        <v>4.3628400000000003</v>
      </c>
      <c r="AD361">
        <f>DB_SOFList[[#This Row],[Actual]]-DB_SOFList[[#This Row],[Plan]]</f>
        <v>-0.8375950000000012</v>
      </c>
      <c r="AE361">
        <f>IF(DB_SOFList[[#This Row],[Plan]]&lt;&gt;0,DB_SOFList[[#This Row],[Actual]]/DB_SOFList[[#This Row],[Plan]],1.000011000011)</f>
        <v>0.83893751195813404</v>
      </c>
      <c r="AF361" s="34">
        <f>SUM(DB_SOFList[[#This Row],[Plan01]:[Plan12]])/valUnits2</f>
        <v>15.175759000000001</v>
      </c>
      <c r="AG361" s="34">
        <f>SUMPRODUCT(DB_SOFList[[#This Row],[Act01]:[Act12]],$P$13:$AA$13)/valUnits2</f>
        <v>4.3628400000000003</v>
      </c>
      <c r="AH361" s="34">
        <f>IF(DB_SOFList[[#This Row],[FYPlan]]&lt;&gt;0,DB_SOFList[[#This Row],[FYActuals]]/DB_SOFList[[#This Row],[FYPlan]],1.000011000011)</f>
        <v>0.28748743308324809</v>
      </c>
    </row>
    <row r="362" spans="1:34" hidden="1" x14ac:dyDescent="0.2">
      <c r="A362">
        <f>SUBTOTAL(3,$B$16:B362)</f>
        <v>97</v>
      </c>
      <c r="B362" t="s">
        <v>344</v>
      </c>
      <c r="C362" t="s">
        <v>922</v>
      </c>
      <c r="D362">
        <v>4938.1909999999998</v>
      </c>
      <c r="E362">
        <v>8108.5540000000001</v>
      </c>
      <c r="F362">
        <v>12100.385999999997</v>
      </c>
      <c r="G362">
        <v>6925.5629999999992</v>
      </c>
      <c r="H362">
        <v>8256.0329999999994</v>
      </c>
      <c r="I362">
        <v>8802.25</v>
      </c>
      <c r="J362">
        <v>8802.25</v>
      </c>
      <c r="K362">
        <v>8802.2499999999982</v>
      </c>
      <c r="L362">
        <v>8802.25</v>
      </c>
      <c r="M362">
        <v>8802.2499999999982</v>
      </c>
      <c r="N362">
        <v>8802.2499999999982</v>
      </c>
      <c r="O362">
        <v>8802.2499999999982</v>
      </c>
      <c r="P362">
        <v>4850.2700000000004</v>
      </c>
      <c r="Q362">
        <v>8309.869999999999</v>
      </c>
      <c r="R362">
        <v>12241.170000000004</v>
      </c>
      <c r="S362">
        <v>6880.1399999999994</v>
      </c>
      <c r="T362">
        <v>8210.0500000000011</v>
      </c>
      <c r="U362">
        <v>13599.839999999998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f>SUMPRODUCT(DB_SOFList[[#This Row],[Plan01]:[Plan12]],$D$14:$O$14)/valUnits2</f>
        <v>49.130976999999994</v>
      </c>
      <c r="AC362">
        <f>SUMPRODUCT(DB_SOFList[[#This Row],[Act01]:[Act12]],$P$14:$AA$14)/valUnits2</f>
        <v>54.091340000000002</v>
      </c>
      <c r="AD362">
        <f>DB_SOFList[[#This Row],[Actual]]-DB_SOFList[[#This Row],[Plan]]</f>
        <v>4.9603630000000081</v>
      </c>
      <c r="AE362">
        <f>IF(DB_SOFList[[#This Row],[Plan]]&lt;&gt;0,DB_SOFList[[#This Row],[Actual]]/DB_SOFList[[#This Row],[Plan]],1.000011000011)</f>
        <v>1.1009620264624498</v>
      </c>
      <c r="AF362" s="34">
        <f>SUM(DB_SOFList[[#This Row],[Plan01]:[Plan12]])/valUnits2</f>
        <v>101.94447699999998</v>
      </c>
      <c r="AG362" s="34">
        <f>SUMPRODUCT(DB_SOFList[[#This Row],[Act01]:[Act12]],$P$13:$AA$13)/valUnits2</f>
        <v>54.091340000000002</v>
      </c>
      <c r="AH362" s="34">
        <f>IF(DB_SOFList[[#This Row],[FYPlan]]&lt;&gt;0,DB_SOFList[[#This Row],[FYActuals]]/DB_SOFList[[#This Row],[FYPlan]],1.000011000011)</f>
        <v>0.53059608123743685</v>
      </c>
    </row>
    <row r="363" spans="1:34" hidden="1" x14ac:dyDescent="0.2">
      <c r="A363">
        <f>SUBTOTAL(3,$B$16:B363)</f>
        <v>97</v>
      </c>
      <c r="B363" t="s">
        <v>350</v>
      </c>
      <c r="C363" t="s">
        <v>922</v>
      </c>
      <c r="E363">
        <v>2.448</v>
      </c>
      <c r="F363">
        <v>3.3439999999999999</v>
      </c>
      <c r="H363">
        <v>2.4</v>
      </c>
      <c r="I363">
        <v>0</v>
      </c>
      <c r="Q363">
        <v>2.5299999999999998</v>
      </c>
      <c r="R363">
        <v>3.3900000000000006</v>
      </c>
      <c r="T363">
        <v>2.38</v>
      </c>
      <c r="U363">
        <v>8.9500000000000011</v>
      </c>
      <c r="AB363">
        <f>SUMPRODUCT(DB_SOFList[[#This Row],[Plan01]:[Plan12]],$D$14:$O$14)/valUnits2</f>
        <v>8.1919999999999996E-3</v>
      </c>
      <c r="AC363">
        <f>SUMPRODUCT(DB_SOFList[[#This Row],[Act01]:[Act12]],$P$14:$AA$14)/valUnits2</f>
        <v>1.7250000000000001E-2</v>
      </c>
      <c r="AD363">
        <f>DB_SOFList[[#This Row],[Actual]]-DB_SOFList[[#This Row],[Plan]]</f>
        <v>9.0580000000000018E-3</v>
      </c>
      <c r="AE363">
        <f>IF(DB_SOFList[[#This Row],[Plan]]&lt;&gt;0,DB_SOFList[[#This Row],[Actual]]/DB_SOFList[[#This Row],[Plan]],1.000011000011)</f>
        <v>2.1057128906250004</v>
      </c>
      <c r="AF363" s="34">
        <f>SUM(DB_SOFList[[#This Row],[Plan01]:[Plan12]])/valUnits2</f>
        <v>8.1919999999999996E-3</v>
      </c>
      <c r="AG363" s="34">
        <f>SUMPRODUCT(DB_SOFList[[#This Row],[Act01]:[Act12]],$P$13:$AA$13)/valUnits2</f>
        <v>1.7250000000000001E-2</v>
      </c>
      <c r="AH363" s="34">
        <f>IF(DB_SOFList[[#This Row],[FYPlan]]&lt;&gt;0,DB_SOFList[[#This Row],[FYActuals]]/DB_SOFList[[#This Row],[FYPlan]],1.000011000011)</f>
        <v>2.1057128906250004</v>
      </c>
    </row>
    <row r="364" spans="1:34" x14ac:dyDescent="0.2">
      <c r="A364">
        <f>SUBTOTAL(3,$B$16:B364)</f>
        <v>98</v>
      </c>
      <c r="B364" t="s">
        <v>1</v>
      </c>
      <c r="C364" t="s">
        <v>923</v>
      </c>
      <c r="G364">
        <v>0</v>
      </c>
      <c r="H364">
        <v>0</v>
      </c>
      <c r="I364">
        <v>5075.4619999999995</v>
      </c>
      <c r="J364">
        <v>5075.4619999999995</v>
      </c>
      <c r="K364">
        <v>5075.4619999999995</v>
      </c>
      <c r="L364">
        <v>5075.4619999999995</v>
      </c>
      <c r="M364">
        <v>5075.4619999999995</v>
      </c>
      <c r="N364">
        <v>5075.4619999999995</v>
      </c>
      <c r="O364">
        <v>5075.4619999999995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f>SUMPRODUCT(DB_SOFList[[#This Row],[Plan01]:[Plan12]],$D$14:$O$14)/valUnits2</f>
        <v>5.0754619999999999</v>
      </c>
      <c r="AC364">
        <f>SUMPRODUCT(DB_SOFList[[#This Row],[Act01]:[Act12]],$P$14:$AA$14)/valUnits2</f>
        <v>0</v>
      </c>
      <c r="AD364">
        <f>DB_SOFList[[#This Row],[Actual]]-DB_SOFList[[#This Row],[Plan]]</f>
        <v>-5.0754619999999999</v>
      </c>
      <c r="AE364">
        <f>IF(DB_SOFList[[#This Row],[Plan]]&lt;&gt;0,DB_SOFList[[#This Row],[Actual]]/DB_SOFList[[#This Row],[Plan]],1.000011000011)</f>
        <v>0</v>
      </c>
      <c r="AF364" s="34">
        <f>SUM(DB_SOFList[[#This Row],[Plan01]:[Plan12]])/valUnits2</f>
        <v>35.528233999999998</v>
      </c>
      <c r="AG364" s="34">
        <f>SUMPRODUCT(DB_SOFList[[#This Row],[Act01]:[Act12]],$P$13:$AA$13)/valUnits2</f>
        <v>0</v>
      </c>
      <c r="AH364" s="34">
        <f>IF(DB_SOFList[[#This Row],[FYPlan]]&lt;&gt;0,DB_SOFList[[#This Row],[FYActuals]]/DB_SOFList[[#This Row],[FYPlan]],1.000011000011)</f>
        <v>0</v>
      </c>
    </row>
    <row r="365" spans="1:34" hidden="1" x14ac:dyDescent="0.2">
      <c r="A365">
        <f>SUBTOTAL(3,$B$16:B365)</f>
        <v>98</v>
      </c>
      <c r="B365" t="s">
        <v>346</v>
      </c>
      <c r="C365" t="s">
        <v>923</v>
      </c>
      <c r="G365">
        <v>0</v>
      </c>
      <c r="H365">
        <v>0</v>
      </c>
      <c r="I365">
        <v>5075.4619999999995</v>
      </c>
      <c r="J365">
        <v>5075.4619999999995</v>
      </c>
      <c r="K365">
        <v>5075.4619999999995</v>
      </c>
      <c r="L365">
        <v>5075.4619999999995</v>
      </c>
      <c r="M365">
        <v>5075.4619999999995</v>
      </c>
      <c r="N365">
        <v>5075.4619999999995</v>
      </c>
      <c r="O365">
        <v>5075.4619999999995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f>SUMPRODUCT(DB_SOFList[[#This Row],[Plan01]:[Plan12]],$D$14:$O$14)/valUnits2</f>
        <v>5.0754619999999999</v>
      </c>
      <c r="AC365">
        <f>SUMPRODUCT(DB_SOFList[[#This Row],[Act01]:[Act12]],$P$14:$AA$14)/valUnits2</f>
        <v>0</v>
      </c>
      <c r="AD365">
        <f>DB_SOFList[[#This Row],[Actual]]-DB_SOFList[[#This Row],[Plan]]</f>
        <v>-5.0754619999999999</v>
      </c>
      <c r="AE365">
        <f>IF(DB_SOFList[[#This Row],[Plan]]&lt;&gt;0,DB_SOFList[[#This Row],[Actual]]/DB_SOFList[[#This Row],[Plan]],1.000011000011)</f>
        <v>0</v>
      </c>
      <c r="AF365" s="34">
        <f>SUM(DB_SOFList[[#This Row],[Plan01]:[Plan12]])/valUnits2</f>
        <v>35.528233999999998</v>
      </c>
      <c r="AG365" s="34">
        <f>SUMPRODUCT(DB_SOFList[[#This Row],[Act01]:[Act12]],$P$13:$AA$13)/valUnits2</f>
        <v>0</v>
      </c>
      <c r="AH365" s="34">
        <f>IF(DB_SOFList[[#This Row],[FYPlan]]&lt;&gt;0,DB_SOFList[[#This Row],[FYActuals]]/DB_SOFList[[#This Row],[FYPlan]],1.000011000011)</f>
        <v>0</v>
      </c>
    </row>
    <row r="366" spans="1:34" x14ac:dyDescent="0.2">
      <c r="A366">
        <f>SUBTOTAL(3,$B$16:B366)</f>
        <v>99</v>
      </c>
      <c r="B366" t="s">
        <v>1</v>
      </c>
      <c r="C366" t="s">
        <v>924</v>
      </c>
      <c r="D366">
        <v>1237.7170000000001</v>
      </c>
      <c r="E366">
        <v>35113.851999999999</v>
      </c>
      <c r="F366">
        <v>1396.4089999999999</v>
      </c>
      <c r="G366">
        <v>41180.709999999992</v>
      </c>
      <c r="H366">
        <v>3015.1060000000002</v>
      </c>
      <c r="I366">
        <v>19732.521000000001</v>
      </c>
      <c r="J366">
        <v>16552.727000000003</v>
      </c>
      <c r="K366">
        <v>14523.231</v>
      </c>
      <c r="L366">
        <v>17095.306</v>
      </c>
      <c r="M366">
        <v>13258.311000000002</v>
      </c>
      <c r="N366">
        <v>15607.016</v>
      </c>
      <c r="O366">
        <v>13016.628999999999</v>
      </c>
      <c r="P366">
        <v>1218.6500000000001</v>
      </c>
      <c r="Q366">
        <v>36087.75</v>
      </c>
      <c r="R366">
        <v>1409.0500000000006</v>
      </c>
      <c r="S366">
        <v>41049.630000000005</v>
      </c>
      <c r="T366">
        <v>2998.6800000000012</v>
      </c>
      <c r="U366">
        <v>2732.3900000000026</v>
      </c>
      <c r="V366">
        <v>37226.519999999997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f>SUMPRODUCT(DB_SOFList[[#This Row],[Plan01]:[Plan12]],$D$14:$O$14)/valUnits2</f>
        <v>101.676315</v>
      </c>
      <c r="AC366">
        <f>SUMPRODUCT(DB_SOFList[[#This Row],[Act01]:[Act12]],$P$14:$AA$14)/valUnits2</f>
        <v>85.496150000000029</v>
      </c>
      <c r="AD366">
        <f>DB_SOFList[[#This Row],[Actual]]-DB_SOFList[[#This Row],[Plan]]</f>
        <v>-16.180164999999974</v>
      </c>
      <c r="AE366">
        <f>IF(DB_SOFList[[#This Row],[Plan]]&lt;&gt;0,DB_SOFList[[#This Row],[Actual]]/DB_SOFList[[#This Row],[Plan]],1.000011000011)</f>
        <v>0.84086593814891919</v>
      </c>
      <c r="AF366" s="34">
        <f>SUM(DB_SOFList[[#This Row],[Plan01]:[Plan12]])/valUnits2</f>
        <v>191.729535</v>
      </c>
      <c r="AG366" s="34">
        <f>SUMPRODUCT(DB_SOFList[[#This Row],[Act01]:[Act12]],$P$13:$AA$13)/valUnits2</f>
        <v>85.496150000000029</v>
      </c>
      <c r="AH366" s="34">
        <f>IF(DB_SOFList[[#This Row],[FYPlan]]&lt;&gt;0,DB_SOFList[[#This Row],[FYActuals]]/DB_SOFList[[#This Row],[FYPlan]],1.000011000011)</f>
        <v>0.44592060372962378</v>
      </c>
    </row>
    <row r="367" spans="1:34" hidden="1" x14ac:dyDescent="0.2">
      <c r="A367">
        <f>SUBTOTAL(3,$B$16:B367)</f>
        <v>99</v>
      </c>
      <c r="B367" t="s">
        <v>351</v>
      </c>
      <c r="C367" t="s">
        <v>924</v>
      </c>
      <c r="D367">
        <v>0</v>
      </c>
      <c r="E367">
        <v>0</v>
      </c>
      <c r="F367">
        <v>0</v>
      </c>
      <c r="G367">
        <v>1277.789</v>
      </c>
      <c r="H367">
        <v>1084.578</v>
      </c>
      <c r="I367">
        <v>1540.9730000000002</v>
      </c>
      <c r="J367">
        <v>1540.9730000000002</v>
      </c>
      <c r="K367">
        <v>1540.9730000000002</v>
      </c>
      <c r="L367">
        <v>1540.9730000000002</v>
      </c>
      <c r="M367">
        <v>1540.9730000000002</v>
      </c>
      <c r="N367">
        <v>1540.9730000000002</v>
      </c>
      <c r="O367">
        <v>1540.9730000000002</v>
      </c>
      <c r="P367">
        <v>0</v>
      </c>
      <c r="Q367">
        <v>0</v>
      </c>
      <c r="R367">
        <v>0</v>
      </c>
      <c r="S367">
        <v>1286.55</v>
      </c>
      <c r="T367">
        <v>1081.3399999999999</v>
      </c>
      <c r="U367">
        <v>1338.8700000000001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f>SUMPRODUCT(DB_SOFList[[#This Row],[Plan01]:[Plan12]],$D$14:$O$14)/valUnits2</f>
        <v>3.90334</v>
      </c>
      <c r="AC367">
        <f>SUMPRODUCT(DB_SOFList[[#This Row],[Act01]:[Act12]],$P$14:$AA$14)/valUnits2</f>
        <v>3.7067600000000001</v>
      </c>
      <c r="AD367">
        <f>DB_SOFList[[#This Row],[Actual]]-DB_SOFList[[#This Row],[Plan]]</f>
        <v>-0.19657999999999998</v>
      </c>
      <c r="AE367">
        <f>IF(DB_SOFList[[#This Row],[Plan]]&lt;&gt;0,DB_SOFList[[#This Row],[Actual]]/DB_SOFList[[#This Row],[Plan]],1.000011000011)</f>
        <v>0.94963800232621298</v>
      </c>
      <c r="AF367" s="34">
        <f>SUM(DB_SOFList[[#This Row],[Plan01]:[Plan12]])/valUnits2</f>
        <v>13.149177999999999</v>
      </c>
      <c r="AG367" s="34">
        <f>SUMPRODUCT(DB_SOFList[[#This Row],[Act01]:[Act12]],$P$13:$AA$13)/valUnits2</f>
        <v>3.7067600000000001</v>
      </c>
      <c r="AH367" s="34">
        <f>IF(DB_SOFList[[#This Row],[FYPlan]]&lt;&gt;0,DB_SOFList[[#This Row],[FYActuals]]/DB_SOFList[[#This Row],[FYPlan]],1.000011000011)</f>
        <v>0.28190051119545267</v>
      </c>
    </row>
    <row r="368" spans="1:34" hidden="1" x14ac:dyDescent="0.2">
      <c r="A368">
        <f>SUBTOTAL(3,$B$16:B368)</f>
        <v>99</v>
      </c>
      <c r="B368" t="s">
        <v>348</v>
      </c>
      <c r="C368" t="s">
        <v>924</v>
      </c>
      <c r="D368">
        <v>1237.7170000000001</v>
      </c>
      <c r="E368">
        <v>35113.851999999999</v>
      </c>
      <c r="F368">
        <v>1396.4089999999999</v>
      </c>
      <c r="G368">
        <v>39902.920999999995</v>
      </c>
      <c r="H368">
        <v>1930.5280000000002</v>
      </c>
      <c r="I368">
        <v>18191.547999999999</v>
      </c>
      <c r="J368">
        <v>15011.754000000001</v>
      </c>
      <c r="K368">
        <v>12982.258</v>
      </c>
      <c r="L368">
        <v>15554.333000000001</v>
      </c>
      <c r="M368">
        <v>11717.338000000002</v>
      </c>
      <c r="N368">
        <v>14066.043</v>
      </c>
      <c r="O368">
        <v>11475.655999999999</v>
      </c>
      <c r="P368">
        <v>1218.6500000000001</v>
      </c>
      <c r="Q368">
        <v>36087.75</v>
      </c>
      <c r="R368">
        <v>1409.0500000000006</v>
      </c>
      <c r="S368">
        <v>39763.08</v>
      </c>
      <c r="T368">
        <v>1917.3400000000013</v>
      </c>
      <c r="U368">
        <v>1392.9900000000021</v>
      </c>
      <c r="V368">
        <v>37226.519999999997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f>SUMPRODUCT(DB_SOFList[[#This Row],[Plan01]:[Plan12]],$D$14:$O$14)/valUnits2</f>
        <v>97.772974999999988</v>
      </c>
      <c r="AC368">
        <f>SUMPRODUCT(DB_SOFList[[#This Row],[Act01]:[Act12]],$P$14:$AA$14)/valUnits2</f>
        <v>81.78886</v>
      </c>
      <c r="AD368">
        <f>DB_SOFList[[#This Row],[Actual]]-DB_SOFList[[#This Row],[Plan]]</f>
        <v>-15.984114999999989</v>
      </c>
      <c r="AE368">
        <f>IF(DB_SOFList[[#This Row],[Plan]]&lt;&gt;0,DB_SOFList[[#This Row],[Actual]]/DB_SOFList[[#This Row],[Plan]],1.000011000011)</f>
        <v>0.83651806646979909</v>
      </c>
      <c r="AF368" s="34">
        <f>SUM(DB_SOFList[[#This Row],[Plan01]:[Plan12]])/valUnits2</f>
        <v>178.58035699999999</v>
      </c>
      <c r="AG368" s="34">
        <f>SUMPRODUCT(DB_SOFList[[#This Row],[Act01]:[Act12]],$P$13:$AA$13)/valUnits2</f>
        <v>81.78886</v>
      </c>
      <c r="AH368" s="34">
        <f>IF(DB_SOFList[[#This Row],[FYPlan]]&lt;&gt;0,DB_SOFList[[#This Row],[FYActuals]]/DB_SOFList[[#This Row],[FYPlan]],1.000011000011)</f>
        <v>0.45799471663056424</v>
      </c>
    </row>
    <row r="369" spans="1:34" hidden="1" x14ac:dyDescent="0.2">
      <c r="A369">
        <f>SUBTOTAL(3,$B$16:B369)</f>
        <v>99</v>
      </c>
      <c r="B369" t="s">
        <v>350</v>
      </c>
      <c r="C369" t="s">
        <v>924</v>
      </c>
      <c r="I369">
        <v>0</v>
      </c>
      <c r="U369">
        <v>0.53</v>
      </c>
      <c r="AB369">
        <f>SUMPRODUCT(DB_SOFList[[#This Row],[Plan01]:[Plan12]],$D$14:$O$14)/valUnits2</f>
        <v>0</v>
      </c>
      <c r="AC369">
        <f>SUMPRODUCT(DB_SOFList[[#This Row],[Act01]:[Act12]],$P$14:$AA$14)/valUnits2</f>
        <v>5.2999999999999998E-4</v>
      </c>
      <c r="AD369">
        <f>DB_SOFList[[#This Row],[Actual]]-DB_SOFList[[#This Row],[Plan]]</f>
        <v>5.2999999999999998E-4</v>
      </c>
      <c r="AE369">
        <f>IF(DB_SOFList[[#This Row],[Plan]]&lt;&gt;0,DB_SOFList[[#This Row],[Actual]]/DB_SOFList[[#This Row],[Plan]],1.000011000011)</f>
        <v>1.0000110000110001</v>
      </c>
      <c r="AF369" s="34">
        <f>SUM(DB_SOFList[[#This Row],[Plan01]:[Plan12]])/valUnits2</f>
        <v>0</v>
      </c>
      <c r="AG369" s="34">
        <f>SUMPRODUCT(DB_SOFList[[#This Row],[Act01]:[Act12]],$P$13:$AA$13)/valUnits2</f>
        <v>5.2999999999999998E-4</v>
      </c>
      <c r="AH369" s="34">
        <f>IF(DB_SOFList[[#This Row],[FYPlan]]&lt;&gt;0,DB_SOFList[[#This Row],[FYActuals]]/DB_SOFList[[#This Row],[FYPlan]],1.000011000011)</f>
        <v>1.0000110000110001</v>
      </c>
    </row>
    <row r="370" spans="1:34" x14ac:dyDescent="0.2">
      <c r="A370">
        <f>SUBTOTAL(3,$B$16:B370)</f>
        <v>100</v>
      </c>
      <c r="B370" t="s">
        <v>1</v>
      </c>
      <c r="C370" t="s">
        <v>925</v>
      </c>
      <c r="D370">
        <v>6819.9470000000001</v>
      </c>
      <c r="E370">
        <v>-3413.87</v>
      </c>
      <c r="F370">
        <v>0</v>
      </c>
      <c r="G370">
        <v>-3348.2700000000004</v>
      </c>
      <c r="H370">
        <v>580.32799999999997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6736.45</v>
      </c>
      <c r="Q370">
        <v>-3322.34</v>
      </c>
      <c r="R370">
        <v>0</v>
      </c>
      <c r="S370">
        <v>-3411.53</v>
      </c>
      <c r="T370">
        <v>583.55000000000007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f>SUMPRODUCT(DB_SOFList[[#This Row],[Plan01]:[Plan12]],$D$14:$O$14)/valUnits2</f>
        <v>0.63813499999999979</v>
      </c>
      <c r="AC370">
        <f>SUMPRODUCT(DB_SOFList[[#This Row],[Act01]:[Act12]],$P$14:$AA$14)/valUnits2</f>
        <v>0.5861299999999996</v>
      </c>
      <c r="AD370">
        <f>DB_SOFList[[#This Row],[Actual]]-DB_SOFList[[#This Row],[Plan]]</f>
        <v>-5.200500000000019E-2</v>
      </c>
      <c r="AE370">
        <f>IF(DB_SOFList[[#This Row],[Plan]]&lt;&gt;0,DB_SOFList[[#This Row],[Actual]]/DB_SOFList[[#This Row],[Plan]],1.000011000011)</f>
        <v>0.91850470511725546</v>
      </c>
      <c r="AF370" s="34">
        <f>SUM(DB_SOFList[[#This Row],[Plan01]:[Plan12]])/valUnits2</f>
        <v>0.63813499999999979</v>
      </c>
      <c r="AG370" s="34">
        <f>SUMPRODUCT(DB_SOFList[[#This Row],[Act01]:[Act12]],$P$13:$AA$13)/valUnits2</f>
        <v>0.5861299999999996</v>
      </c>
      <c r="AH370" s="34">
        <f>IF(DB_SOFList[[#This Row],[FYPlan]]&lt;&gt;0,DB_SOFList[[#This Row],[FYActuals]]/DB_SOFList[[#This Row],[FYPlan]],1.000011000011)</f>
        <v>0.91850470511725546</v>
      </c>
    </row>
    <row r="371" spans="1:34" hidden="1" x14ac:dyDescent="0.2">
      <c r="A371">
        <f>SUBTOTAL(3,$B$16:B371)</f>
        <v>100</v>
      </c>
      <c r="B371" t="s">
        <v>351</v>
      </c>
      <c r="C371" t="s">
        <v>925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f>SUMPRODUCT(DB_SOFList[[#This Row],[Plan01]:[Plan12]],$D$14:$O$14)/valUnits2</f>
        <v>0</v>
      </c>
      <c r="AC371">
        <f>SUMPRODUCT(DB_SOFList[[#This Row],[Act01]:[Act12]],$P$14:$AA$14)/valUnits2</f>
        <v>0</v>
      </c>
      <c r="AD371">
        <f>DB_SOFList[[#This Row],[Actual]]-DB_SOFList[[#This Row],[Plan]]</f>
        <v>0</v>
      </c>
      <c r="AE371">
        <f>IF(DB_SOFList[[#This Row],[Plan]]&lt;&gt;0,DB_SOFList[[#This Row],[Actual]]/DB_SOFList[[#This Row],[Plan]],1.000011000011)</f>
        <v>1.0000110000110001</v>
      </c>
      <c r="AF371" s="34">
        <f>SUM(DB_SOFList[[#This Row],[Plan01]:[Plan12]])/valUnits2</f>
        <v>0</v>
      </c>
      <c r="AG371" s="34">
        <f>SUMPRODUCT(DB_SOFList[[#This Row],[Act01]:[Act12]],$P$13:$AA$13)/valUnits2</f>
        <v>0</v>
      </c>
      <c r="AH371" s="34">
        <f>IF(DB_SOFList[[#This Row],[FYPlan]]&lt;&gt;0,DB_SOFList[[#This Row],[FYActuals]]/DB_SOFList[[#This Row],[FYPlan]],1.000011000011)</f>
        <v>1.0000110000110001</v>
      </c>
    </row>
    <row r="372" spans="1:34" hidden="1" x14ac:dyDescent="0.2">
      <c r="A372">
        <f>SUBTOTAL(3,$B$16:B372)</f>
        <v>100</v>
      </c>
      <c r="B372" t="s">
        <v>346</v>
      </c>
      <c r="C372" t="s">
        <v>925</v>
      </c>
      <c r="D372">
        <v>6819.9470000000001</v>
      </c>
      <c r="E372">
        <v>-3413.87</v>
      </c>
      <c r="F372">
        <v>0</v>
      </c>
      <c r="G372">
        <v>-3348.2700000000004</v>
      </c>
      <c r="H372">
        <v>580.32799999999997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6736.45</v>
      </c>
      <c r="Q372">
        <v>-3322.34</v>
      </c>
      <c r="R372">
        <v>0</v>
      </c>
      <c r="S372">
        <v>-3411.53</v>
      </c>
      <c r="T372">
        <v>583.55000000000007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s="34">
        <f>SUMPRODUCT(DB_SOFList[[#This Row],[Plan01]:[Plan12]],$D$14:$O$14)/valUnits2</f>
        <v>0.63813499999999979</v>
      </c>
      <c r="AC372" s="34">
        <f>SUMPRODUCT(DB_SOFList[[#This Row],[Act01]:[Act12]],$P$14:$AA$14)/valUnits2</f>
        <v>0.5861299999999996</v>
      </c>
      <c r="AD372" s="34">
        <f>DB_SOFList[[#This Row],[Actual]]-DB_SOFList[[#This Row],[Plan]]</f>
        <v>-5.200500000000019E-2</v>
      </c>
      <c r="AE372" s="34">
        <f>IF(DB_SOFList[[#This Row],[Plan]]&lt;&gt;0,DB_SOFList[[#This Row],[Actual]]/DB_SOFList[[#This Row],[Plan]],1.000011000011)</f>
        <v>0.91850470511725546</v>
      </c>
      <c r="AF372" s="34">
        <f>SUM(DB_SOFList[[#This Row],[Plan01]:[Plan12]])/valUnits2</f>
        <v>0.63813499999999979</v>
      </c>
      <c r="AG372" s="34">
        <f>SUMPRODUCT(DB_SOFList[[#This Row],[Act01]:[Act12]],$P$13:$AA$13)/valUnits2</f>
        <v>0.5861299999999996</v>
      </c>
      <c r="AH372" s="34">
        <f>IF(DB_SOFList[[#This Row],[FYPlan]]&lt;&gt;0,DB_SOFList[[#This Row],[FYActuals]]/DB_SOFList[[#This Row],[FYPlan]],1.000011000011)</f>
        <v>0.91850470511725546</v>
      </c>
    </row>
    <row r="373" spans="1:34" x14ac:dyDescent="0.2">
      <c r="A373">
        <f>SUBTOTAL(3,$B$16:B373)</f>
        <v>101</v>
      </c>
      <c r="B373" t="s">
        <v>1</v>
      </c>
      <c r="C373" t="s">
        <v>926</v>
      </c>
      <c r="D373">
        <v>642.59699999999998</v>
      </c>
      <c r="P373">
        <v>654.08000000000004</v>
      </c>
      <c r="AB373">
        <f>SUMPRODUCT(DB_SOFList[[#This Row],[Plan01]:[Plan12]],$D$14:$O$14)/valUnits2</f>
        <v>0.64259699999999997</v>
      </c>
      <c r="AC373">
        <f>SUMPRODUCT(DB_SOFList[[#This Row],[Act01]:[Act12]],$P$14:$AA$14)/valUnits2</f>
        <v>0.65407999999999999</v>
      </c>
      <c r="AD373">
        <f>DB_SOFList[[#This Row],[Actual]]-DB_SOFList[[#This Row],[Plan]]</f>
        <v>1.1483000000000021E-2</v>
      </c>
      <c r="AE373">
        <f>IF(DB_SOFList[[#This Row],[Plan]]&lt;&gt;0,DB_SOFList[[#This Row],[Actual]]/DB_SOFList[[#This Row],[Plan]],1.000011000011)</f>
        <v>1.0178696757065471</v>
      </c>
      <c r="AF373" s="34">
        <f>SUM(DB_SOFList[[#This Row],[Plan01]:[Plan12]])/valUnits2</f>
        <v>0.64259699999999997</v>
      </c>
      <c r="AG373" s="34">
        <f>SUMPRODUCT(DB_SOFList[[#This Row],[Act01]:[Act12]],$P$13:$AA$13)/valUnits2</f>
        <v>0.65407999999999999</v>
      </c>
      <c r="AH373" s="34">
        <f>IF(DB_SOFList[[#This Row],[FYPlan]]&lt;&gt;0,DB_SOFList[[#This Row],[FYActuals]]/DB_SOFList[[#This Row],[FYPlan]],1.000011000011)</f>
        <v>1.0178696757065471</v>
      </c>
    </row>
    <row r="374" spans="1:34" hidden="1" x14ac:dyDescent="0.2">
      <c r="A374">
        <f>SUBTOTAL(3,$B$16:B374)</f>
        <v>101</v>
      </c>
      <c r="B374" t="s">
        <v>351</v>
      </c>
      <c r="C374" t="s">
        <v>926</v>
      </c>
      <c r="D374">
        <v>642.59699999999998</v>
      </c>
      <c r="P374">
        <v>654.08000000000004</v>
      </c>
      <c r="AB374">
        <f>SUMPRODUCT(DB_SOFList[[#This Row],[Plan01]:[Plan12]],$D$14:$O$14)/valUnits2</f>
        <v>0.64259699999999997</v>
      </c>
      <c r="AC374">
        <f>SUMPRODUCT(DB_SOFList[[#This Row],[Act01]:[Act12]],$P$14:$AA$14)/valUnits2</f>
        <v>0.65407999999999999</v>
      </c>
      <c r="AD374">
        <f>DB_SOFList[[#This Row],[Actual]]-DB_SOFList[[#This Row],[Plan]]</f>
        <v>1.1483000000000021E-2</v>
      </c>
      <c r="AE374">
        <f>IF(DB_SOFList[[#This Row],[Plan]]&lt;&gt;0,DB_SOFList[[#This Row],[Actual]]/DB_SOFList[[#This Row],[Plan]],1.000011000011)</f>
        <v>1.0178696757065471</v>
      </c>
      <c r="AF374" s="34">
        <f>SUM(DB_SOFList[[#This Row],[Plan01]:[Plan12]])/valUnits2</f>
        <v>0.64259699999999997</v>
      </c>
      <c r="AG374" s="34">
        <f>SUMPRODUCT(DB_SOFList[[#This Row],[Act01]:[Act12]],$P$13:$AA$13)/valUnits2</f>
        <v>0.65407999999999999</v>
      </c>
      <c r="AH374" s="34">
        <f>IF(DB_SOFList[[#This Row],[FYPlan]]&lt;&gt;0,DB_SOFList[[#This Row],[FYActuals]]/DB_SOFList[[#This Row],[FYPlan]],1.000011000011)</f>
        <v>1.0178696757065471</v>
      </c>
    </row>
    <row r="375" spans="1:34" x14ac:dyDescent="0.2">
      <c r="A375">
        <f>SUBTOTAL(3,$B$16:B375)</f>
        <v>102</v>
      </c>
      <c r="B375" t="s">
        <v>1</v>
      </c>
      <c r="C375" t="s">
        <v>927</v>
      </c>
      <c r="D375">
        <v>430025.87000000005</v>
      </c>
      <c r="E375">
        <v>113936.12000000001</v>
      </c>
      <c r="F375">
        <v>79094.22000000003</v>
      </c>
      <c r="G375">
        <v>136803.80000000002</v>
      </c>
      <c r="H375">
        <v>341729.66000000003</v>
      </c>
      <c r="I375">
        <v>312984.16700000002</v>
      </c>
      <c r="J375">
        <v>205219.834</v>
      </c>
      <c r="K375">
        <v>205219.834</v>
      </c>
      <c r="L375">
        <v>205219.834</v>
      </c>
      <c r="M375">
        <v>205219.834</v>
      </c>
      <c r="N375">
        <v>205219.834</v>
      </c>
      <c r="O375">
        <v>205219.834</v>
      </c>
      <c r="P375">
        <v>430025.87</v>
      </c>
      <c r="Q375">
        <v>113999.37</v>
      </c>
      <c r="R375">
        <v>79118.710000000006</v>
      </c>
      <c r="S375">
        <v>136803.79999999999</v>
      </c>
      <c r="T375">
        <v>341745.02000000008</v>
      </c>
      <c r="U375">
        <v>169655.46000000002</v>
      </c>
      <c r="V375">
        <v>5935</v>
      </c>
      <c r="W375">
        <v>0</v>
      </c>
      <c r="X375">
        <v>0</v>
      </c>
      <c r="Y375">
        <v>0</v>
      </c>
      <c r="Z375">
        <v>0</v>
      </c>
      <c r="AA375">
        <v>0</v>
      </c>
      <c r="AB375" s="34">
        <f>SUMPRODUCT(DB_SOFList[[#This Row],[Plan01]:[Plan12]],$D$14:$O$14)/valUnits2</f>
        <v>1414.5738370000004</v>
      </c>
      <c r="AC375" s="34">
        <f>SUMPRODUCT(DB_SOFList[[#This Row],[Act01]:[Act12]],$P$14:$AA$14)/valUnits2</f>
        <v>1271.3482300000001</v>
      </c>
      <c r="AD375" s="34">
        <f>DB_SOFList[[#This Row],[Actual]]-DB_SOFList[[#This Row],[Plan]]</f>
        <v>-143.22560700000031</v>
      </c>
      <c r="AE375" s="34">
        <f>IF(DB_SOFList[[#This Row],[Plan]]&lt;&gt;0,DB_SOFList[[#This Row],[Actual]]/DB_SOFList[[#This Row],[Plan]],1.000011000011)</f>
        <v>0.89874999575578873</v>
      </c>
      <c r="AF375" s="34">
        <f>SUM(DB_SOFList[[#This Row],[Plan01]:[Plan12]])/valUnits2</f>
        <v>2645.8928409999999</v>
      </c>
      <c r="AG375" s="34">
        <f>SUMPRODUCT(DB_SOFList[[#This Row],[Act01]:[Act12]],$P$13:$AA$13)/valUnits2</f>
        <v>1271.3482300000001</v>
      </c>
      <c r="AH375" s="34">
        <f>IF(DB_SOFList[[#This Row],[FYPlan]]&lt;&gt;0,DB_SOFList[[#This Row],[FYActuals]]/DB_SOFList[[#This Row],[FYPlan]],1.000011000011)</f>
        <v>0.4804987603048585</v>
      </c>
    </row>
    <row r="376" spans="1:34" hidden="1" x14ac:dyDescent="0.2">
      <c r="A376">
        <f>SUBTOTAL(3,$B$16:B376)</f>
        <v>102</v>
      </c>
      <c r="B376" t="s">
        <v>342</v>
      </c>
      <c r="C376" t="s">
        <v>927</v>
      </c>
      <c r="D376">
        <v>429368.73000000004</v>
      </c>
      <c r="E376">
        <v>100706.37000000001</v>
      </c>
      <c r="F376">
        <v>64286.140000000029</v>
      </c>
      <c r="G376">
        <v>89083.45</v>
      </c>
      <c r="H376">
        <v>315212.78000000003</v>
      </c>
      <c r="I376">
        <v>280600.58199999999</v>
      </c>
      <c r="J376">
        <v>172836.24900000001</v>
      </c>
      <c r="K376">
        <v>172836.24900000001</v>
      </c>
      <c r="L376">
        <v>172836.24900000001</v>
      </c>
      <c r="M376">
        <v>172836.24900000001</v>
      </c>
      <c r="N376">
        <v>172836.24900000001</v>
      </c>
      <c r="O376">
        <v>172836.24900000001</v>
      </c>
      <c r="P376">
        <v>429368.73</v>
      </c>
      <c r="Q376">
        <v>100769.61999999998</v>
      </c>
      <c r="R376">
        <v>64286.14</v>
      </c>
      <c r="S376">
        <v>89083.449999999983</v>
      </c>
      <c r="T376">
        <v>315212.78000000009</v>
      </c>
      <c r="U376">
        <v>152638.40000000002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f>SUMPRODUCT(DB_SOFList[[#This Row],[Plan01]:[Plan12]],$D$14:$O$14)/valUnits2</f>
        <v>1279.2580520000001</v>
      </c>
      <c r="AC376">
        <f>SUMPRODUCT(DB_SOFList[[#This Row],[Act01]:[Act12]],$P$14:$AA$14)/valUnits2</f>
        <v>1151.3591200000001</v>
      </c>
      <c r="AD376">
        <f>DB_SOFList[[#This Row],[Actual]]-DB_SOFList[[#This Row],[Plan]]</f>
        <v>-127.89893200000006</v>
      </c>
      <c r="AE376">
        <f>IF(DB_SOFList[[#This Row],[Plan]]&lt;&gt;0,DB_SOFList[[#This Row],[Actual]]/DB_SOFList[[#This Row],[Plan]],1.000011000011)</f>
        <v>0.90002100686406306</v>
      </c>
      <c r="AF376" s="34">
        <f>SUM(DB_SOFList[[#This Row],[Plan01]:[Plan12]])/valUnits2</f>
        <v>2316.2755460000003</v>
      </c>
      <c r="AG376" s="34">
        <f>SUMPRODUCT(DB_SOFList[[#This Row],[Act01]:[Act12]],$P$13:$AA$13)/valUnits2</f>
        <v>1151.3591200000001</v>
      </c>
      <c r="AH376" s="34">
        <f>IF(DB_SOFList[[#This Row],[FYPlan]]&lt;&gt;0,DB_SOFList[[#This Row],[FYActuals]]/DB_SOFList[[#This Row],[FYPlan]],1.000011000011)</f>
        <v>0.4970734686502622</v>
      </c>
    </row>
    <row r="377" spans="1:34" hidden="1" x14ac:dyDescent="0.2">
      <c r="A377">
        <f>SUBTOTAL(3,$B$16:B377)</f>
        <v>102</v>
      </c>
      <c r="B377" t="s">
        <v>351</v>
      </c>
      <c r="C377" t="s">
        <v>927</v>
      </c>
      <c r="D377">
        <v>657.14</v>
      </c>
      <c r="E377">
        <v>10744.79</v>
      </c>
      <c r="F377">
        <v>11014.239999999998</v>
      </c>
      <c r="G377">
        <v>45309.660000000011</v>
      </c>
      <c r="H377">
        <v>23233.07</v>
      </c>
      <c r="I377">
        <v>28909.584999999999</v>
      </c>
      <c r="J377">
        <v>28909.584999999999</v>
      </c>
      <c r="K377">
        <v>28909.584999999999</v>
      </c>
      <c r="L377">
        <v>28909.584999999999</v>
      </c>
      <c r="M377">
        <v>28909.584999999999</v>
      </c>
      <c r="N377">
        <v>28909.584999999999</v>
      </c>
      <c r="O377">
        <v>28909.584999999999</v>
      </c>
      <c r="P377">
        <v>657.14</v>
      </c>
      <c r="Q377">
        <v>10744.790000000003</v>
      </c>
      <c r="R377">
        <v>11014.239999999998</v>
      </c>
      <c r="S377">
        <v>45309.660000000011</v>
      </c>
      <c r="T377">
        <v>23248.43</v>
      </c>
      <c r="U377">
        <v>14247.729999999998</v>
      </c>
      <c r="V377">
        <v>5935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f>SUMPRODUCT(DB_SOFList[[#This Row],[Plan01]:[Plan12]],$D$14:$O$14)/valUnits2</f>
        <v>119.86848500000002</v>
      </c>
      <c r="AC377">
        <f>SUMPRODUCT(DB_SOFList[[#This Row],[Act01]:[Act12]],$P$14:$AA$14)/valUnits2</f>
        <v>105.22199000000001</v>
      </c>
      <c r="AD377">
        <f>DB_SOFList[[#This Row],[Actual]]-DB_SOFList[[#This Row],[Plan]]</f>
        <v>-14.646495000000016</v>
      </c>
      <c r="AE377">
        <f>IF(DB_SOFList[[#This Row],[Plan]]&lt;&gt;0,DB_SOFList[[#This Row],[Actual]]/DB_SOFList[[#This Row],[Plan]],1.000011000011)</f>
        <v>0.87781196200152178</v>
      </c>
      <c r="AF377" s="34">
        <f>SUM(DB_SOFList[[#This Row],[Plan01]:[Plan12]])/valUnits2</f>
        <v>293.32599499999998</v>
      </c>
      <c r="AG377" s="34">
        <f>SUMPRODUCT(DB_SOFList[[#This Row],[Act01]:[Act12]],$P$13:$AA$13)/valUnits2</f>
        <v>105.22199000000001</v>
      </c>
      <c r="AH377" s="34">
        <f>IF(DB_SOFList[[#This Row],[FYPlan]]&lt;&gt;0,DB_SOFList[[#This Row],[FYActuals]]/DB_SOFList[[#This Row],[FYPlan]],1.000011000011)</f>
        <v>0.35872030366759688</v>
      </c>
    </row>
    <row r="378" spans="1:34" hidden="1" x14ac:dyDescent="0.2">
      <c r="A378">
        <f>SUBTOTAL(3,$B$16:B378)</f>
        <v>102</v>
      </c>
      <c r="B378" t="s">
        <v>350</v>
      </c>
      <c r="C378" t="s">
        <v>927</v>
      </c>
      <c r="D378">
        <v>0</v>
      </c>
      <c r="E378">
        <v>2484.96</v>
      </c>
      <c r="F378">
        <v>3793.84</v>
      </c>
      <c r="G378">
        <v>2410.69</v>
      </c>
      <c r="H378">
        <v>3283.81</v>
      </c>
      <c r="I378">
        <v>3474</v>
      </c>
      <c r="J378">
        <v>3474</v>
      </c>
      <c r="K378">
        <v>3474</v>
      </c>
      <c r="L378">
        <v>3474</v>
      </c>
      <c r="M378">
        <v>3474</v>
      </c>
      <c r="N378">
        <v>3474</v>
      </c>
      <c r="O378">
        <v>3474</v>
      </c>
      <c r="P378">
        <v>0</v>
      </c>
      <c r="Q378">
        <v>2484.9600000000005</v>
      </c>
      <c r="R378">
        <v>3818.3299999999995</v>
      </c>
      <c r="S378">
        <v>2410.69</v>
      </c>
      <c r="T378">
        <v>3283.81</v>
      </c>
      <c r="U378">
        <v>2769.33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f>SUMPRODUCT(DB_SOFList[[#This Row],[Plan01]:[Plan12]],$D$14:$O$14)/valUnits2</f>
        <v>15.447299999999998</v>
      </c>
      <c r="AC378">
        <f>SUMPRODUCT(DB_SOFList[[#This Row],[Act01]:[Act12]],$P$14:$AA$14)/valUnits2</f>
        <v>14.767119999999998</v>
      </c>
      <c r="AD378">
        <f>DB_SOFList[[#This Row],[Actual]]-DB_SOFList[[#This Row],[Plan]]</f>
        <v>-0.68018000000000001</v>
      </c>
      <c r="AE378">
        <f>IF(DB_SOFList[[#This Row],[Plan]]&lt;&gt;0,DB_SOFList[[#This Row],[Actual]]/DB_SOFList[[#This Row],[Plan]],1.000011000011)</f>
        <v>0.95596770956736776</v>
      </c>
      <c r="AF378" s="34">
        <f>SUM(DB_SOFList[[#This Row],[Plan01]:[Plan12]])/valUnits2</f>
        <v>36.2913</v>
      </c>
      <c r="AG378" s="34">
        <f>SUMPRODUCT(DB_SOFList[[#This Row],[Act01]:[Act12]],$P$13:$AA$13)/valUnits2</f>
        <v>14.767119999999998</v>
      </c>
      <c r="AH378" s="34">
        <f>IF(DB_SOFList[[#This Row],[FYPlan]]&lt;&gt;0,DB_SOFList[[#This Row],[FYActuals]]/DB_SOFList[[#This Row],[FYPlan]],1.000011000011)</f>
        <v>0.40690523624119274</v>
      </c>
    </row>
    <row r="379" spans="1:34" x14ac:dyDescent="0.2">
      <c r="A379">
        <f>SUBTOTAL(3,$B$16:B379)</f>
        <v>103</v>
      </c>
      <c r="B379" t="s">
        <v>1</v>
      </c>
      <c r="C379" t="s">
        <v>359</v>
      </c>
      <c r="D379">
        <v>0</v>
      </c>
      <c r="E379">
        <v>0</v>
      </c>
      <c r="F379">
        <v>2453.7269999999999</v>
      </c>
      <c r="G379">
        <v>4297.9620000000004</v>
      </c>
      <c r="H379">
        <v>390.79299999999995</v>
      </c>
      <c r="I379">
        <v>5054.8599999999988</v>
      </c>
      <c r="J379">
        <v>0</v>
      </c>
      <c r="P379">
        <v>0</v>
      </c>
      <c r="Q379">
        <v>0</v>
      </c>
      <c r="R379">
        <v>2425.6799999999998</v>
      </c>
      <c r="S379">
        <v>4329.6899999999996</v>
      </c>
      <c r="T379">
        <v>398.70999999999992</v>
      </c>
      <c r="U379">
        <v>566.61999999999898</v>
      </c>
      <c r="V379">
        <v>238.23</v>
      </c>
      <c r="AB379">
        <f>SUMPRODUCT(DB_SOFList[[#This Row],[Plan01]:[Plan12]],$D$14:$O$14)/valUnits2</f>
        <v>12.197341999999999</v>
      </c>
      <c r="AC379">
        <f>SUMPRODUCT(DB_SOFList[[#This Row],[Act01]:[Act12]],$P$14:$AA$14)/valUnits2</f>
        <v>7.7206999999999981</v>
      </c>
      <c r="AD379">
        <f>DB_SOFList[[#This Row],[Actual]]-DB_SOFList[[#This Row],[Plan]]</f>
        <v>-4.4766420000000009</v>
      </c>
      <c r="AE379">
        <f>IF(DB_SOFList[[#This Row],[Plan]]&lt;&gt;0,DB_SOFList[[#This Row],[Actual]]/DB_SOFList[[#This Row],[Plan]],1.000011000011)</f>
        <v>0.6329821693939548</v>
      </c>
      <c r="AF379" s="34">
        <f>SUM(DB_SOFList[[#This Row],[Plan01]:[Plan12]])/valUnits2</f>
        <v>12.197341999999999</v>
      </c>
      <c r="AG379" s="34">
        <f>SUMPRODUCT(DB_SOFList[[#This Row],[Act01]:[Act12]],$P$13:$AA$13)/valUnits2</f>
        <v>7.7206999999999981</v>
      </c>
      <c r="AH379" s="34">
        <f>IF(DB_SOFList[[#This Row],[FYPlan]]&lt;&gt;0,DB_SOFList[[#This Row],[FYActuals]]/DB_SOFList[[#This Row],[FYPlan]],1.000011000011)</f>
        <v>0.6329821693939548</v>
      </c>
    </row>
    <row r="380" spans="1:34" hidden="1" x14ac:dyDescent="0.2">
      <c r="A380">
        <f>SUBTOTAL(3,$B$16:B380)</f>
        <v>103</v>
      </c>
      <c r="B380" t="s">
        <v>351</v>
      </c>
      <c r="C380" t="s">
        <v>359</v>
      </c>
      <c r="G380">
        <v>86.268999999999991</v>
      </c>
      <c r="H380">
        <v>42.413999999999994</v>
      </c>
      <c r="I380">
        <v>706.09199999999998</v>
      </c>
      <c r="S380">
        <v>87.36</v>
      </c>
      <c r="T380">
        <v>45.339999999999996</v>
      </c>
      <c r="U380">
        <v>32.270000000000003</v>
      </c>
      <c r="AB380">
        <f>SUMPRODUCT(DB_SOFList[[#This Row],[Plan01]:[Plan12]],$D$14:$O$14)/valUnits2</f>
        <v>0.83477499999999993</v>
      </c>
      <c r="AC380">
        <f>SUMPRODUCT(DB_SOFList[[#This Row],[Act01]:[Act12]],$P$14:$AA$14)/valUnits2</f>
        <v>0.16497000000000001</v>
      </c>
      <c r="AD380">
        <f>DB_SOFList[[#This Row],[Actual]]-DB_SOFList[[#This Row],[Plan]]</f>
        <v>-0.66980499999999998</v>
      </c>
      <c r="AE380">
        <f>IF(DB_SOFList[[#This Row],[Plan]]&lt;&gt;0,DB_SOFList[[#This Row],[Actual]]/DB_SOFList[[#This Row],[Plan]],1.000011000011)</f>
        <v>0.19762211374322425</v>
      </c>
      <c r="AF380" s="34">
        <f>SUM(DB_SOFList[[#This Row],[Plan01]:[Plan12]])/valUnits2</f>
        <v>0.83477499999999993</v>
      </c>
      <c r="AG380" s="34">
        <f>SUMPRODUCT(DB_SOFList[[#This Row],[Act01]:[Act12]],$P$13:$AA$13)/valUnits2</f>
        <v>0.16497000000000001</v>
      </c>
      <c r="AH380" s="34">
        <f>IF(DB_SOFList[[#This Row],[FYPlan]]&lt;&gt;0,DB_SOFList[[#This Row],[FYActuals]]/DB_SOFList[[#This Row],[FYPlan]],1.000011000011)</f>
        <v>0.19762211374322425</v>
      </c>
    </row>
    <row r="381" spans="1:34" hidden="1" x14ac:dyDescent="0.2">
      <c r="A381">
        <f>SUBTOTAL(3,$B$16:B381)</f>
        <v>103</v>
      </c>
      <c r="B381" t="s">
        <v>346</v>
      </c>
      <c r="C381" t="s">
        <v>359</v>
      </c>
      <c r="D381">
        <v>0</v>
      </c>
      <c r="E381">
        <v>0</v>
      </c>
      <c r="F381">
        <v>2453.7269999999999</v>
      </c>
      <c r="G381">
        <v>4211.6930000000002</v>
      </c>
      <c r="H381">
        <v>348.37899999999996</v>
      </c>
      <c r="I381">
        <v>4348.7679999999991</v>
      </c>
      <c r="J381">
        <v>0</v>
      </c>
      <c r="P381">
        <v>0</v>
      </c>
      <c r="Q381">
        <v>0</v>
      </c>
      <c r="R381">
        <v>2425.6799999999998</v>
      </c>
      <c r="S381">
        <v>4242.33</v>
      </c>
      <c r="T381">
        <v>353.36999999999995</v>
      </c>
      <c r="U381">
        <v>534.29999999999905</v>
      </c>
      <c r="V381">
        <v>238.23</v>
      </c>
      <c r="AB381">
        <f>SUMPRODUCT(DB_SOFList[[#This Row],[Plan01]:[Plan12]],$D$14:$O$14)/valUnits2</f>
        <v>11.362566999999999</v>
      </c>
      <c r="AC381">
        <f>SUMPRODUCT(DB_SOFList[[#This Row],[Act01]:[Act12]],$P$14:$AA$14)/valUnits2</f>
        <v>7.5556799999999997</v>
      </c>
      <c r="AD381">
        <f>DB_SOFList[[#This Row],[Actual]]-DB_SOFList[[#This Row],[Plan]]</f>
        <v>-3.8068869999999988</v>
      </c>
      <c r="AE381">
        <f>IF(DB_SOFList[[#This Row],[Plan]]&lt;&gt;0,DB_SOFList[[#This Row],[Actual]]/DB_SOFList[[#This Row],[Plan]],1.000011000011)</f>
        <v>0.66496241562315983</v>
      </c>
      <c r="AF381" s="34">
        <f>SUM(DB_SOFList[[#This Row],[Plan01]:[Plan12]])/valUnits2</f>
        <v>11.362566999999999</v>
      </c>
      <c r="AG381" s="34">
        <f>SUMPRODUCT(DB_SOFList[[#This Row],[Act01]:[Act12]],$P$13:$AA$13)/valUnits2</f>
        <v>7.5556799999999997</v>
      </c>
      <c r="AH381" s="34">
        <f>IF(DB_SOFList[[#This Row],[FYPlan]]&lt;&gt;0,DB_SOFList[[#This Row],[FYActuals]]/DB_SOFList[[#This Row],[FYPlan]],1.000011000011)</f>
        <v>0.66496241562315983</v>
      </c>
    </row>
    <row r="382" spans="1:34" hidden="1" x14ac:dyDescent="0.2">
      <c r="A382">
        <f>SUBTOTAL(3,$B$16:B382)</f>
        <v>103</v>
      </c>
      <c r="B382" t="s">
        <v>350</v>
      </c>
      <c r="C382" t="s">
        <v>359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0.05</v>
      </c>
      <c r="AB382">
        <f>SUMPRODUCT(DB_SOFList[[#This Row],[Plan01]:[Plan12]],$D$14:$O$14)/valUnits2</f>
        <v>0</v>
      </c>
      <c r="AC382">
        <f>SUMPRODUCT(DB_SOFList[[#This Row],[Act01]:[Act12]],$P$14:$AA$14)/valUnits2</f>
        <v>5.0000000000000002E-5</v>
      </c>
      <c r="AD382">
        <f>DB_SOFList[[#This Row],[Actual]]-DB_SOFList[[#This Row],[Plan]]</f>
        <v>5.0000000000000002E-5</v>
      </c>
      <c r="AE382">
        <f>IF(DB_SOFList[[#This Row],[Plan]]&lt;&gt;0,DB_SOFList[[#This Row],[Actual]]/DB_SOFList[[#This Row],[Plan]],1.000011000011)</f>
        <v>1.0000110000110001</v>
      </c>
      <c r="AF382" s="34">
        <f>SUM(DB_SOFList[[#This Row],[Plan01]:[Plan12]])/valUnits2</f>
        <v>0</v>
      </c>
      <c r="AG382" s="34">
        <f>SUMPRODUCT(DB_SOFList[[#This Row],[Act01]:[Act12]],$P$13:$AA$13)/valUnits2</f>
        <v>5.0000000000000002E-5</v>
      </c>
      <c r="AH382" s="34">
        <f>IF(DB_SOFList[[#This Row],[FYPlan]]&lt;&gt;0,DB_SOFList[[#This Row],[FYActuals]]/DB_SOFList[[#This Row],[FYPlan]],1.000011000011)</f>
        <v>1.0000110000110001</v>
      </c>
    </row>
    <row r="383" spans="1:34" x14ac:dyDescent="0.2">
      <c r="A383">
        <f>SUBTOTAL(3,$B$16:B383)</f>
        <v>104</v>
      </c>
      <c r="B383" t="s">
        <v>1</v>
      </c>
      <c r="C383" t="s">
        <v>360</v>
      </c>
      <c r="D383">
        <v>1081.4570000000001</v>
      </c>
      <c r="E383">
        <v>3682.498</v>
      </c>
      <c r="F383">
        <v>13794.330000000002</v>
      </c>
      <c r="G383">
        <v>19517.196</v>
      </c>
      <c r="H383">
        <v>2667.7050000000004</v>
      </c>
      <c r="I383">
        <v>18282.697999999997</v>
      </c>
      <c r="J383">
        <v>0</v>
      </c>
      <c r="P383">
        <v>1091.95</v>
      </c>
      <c r="Q383">
        <v>3753.04</v>
      </c>
      <c r="R383">
        <v>13656.68</v>
      </c>
      <c r="S383">
        <v>19667.740000000005</v>
      </c>
      <c r="T383">
        <v>2733.2599999999993</v>
      </c>
      <c r="U383">
        <v>4391.630000000001</v>
      </c>
      <c r="V383">
        <v>1085.23</v>
      </c>
      <c r="AB383">
        <f>SUMPRODUCT(DB_SOFList[[#This Row],[Plan01]:[Plan12]],$D$14:$O$14)/valUnits2</f>
        <v>59.025883999999998</v>
      </c>
      <c r="AC383">
        <f>SUMPRODUCT(DB_SOFList[[#This Row],[Act01]:[Act12]],$P$14:$AA$14)/valUnits2</f>
        <v>45.2943</v>
      </c>
      <c r="AD383">
        <f>DB_SOFList[[#This Row],[Actual]]-DB_SOFList[[#This Row],[Plan]]</f>
        <v>-13.731583999999998</v>
      </c>
      <c r="AE383">
        <f>IF(DB_SOFList[[#This Row],[Plan]]&lt;&gt;0,DB_SOFList[[#This Row],[Actual]]/DB_SOFList[[#This Row],[Plan]],1.000011000011)</f>
        <v>0.7673633485946606</v>
      </c>
      <c r="AF383" s="34">
        <f>SUM(DB_SOFList[[#This Row],[Plan01]:[Plan12]])/valUnits2</f>
        <v>59.025883999999998</v>
      </c>
      <c r="AG383" s="34">
        <f>SUMPRODUCT(DB_SOFList[[#This Row],[Act01]:[Act12]],$P$13:$AA$13)/valUnits2</f>
        <v>45.2943</v>
      </c>
      <c r="AH383" s="34">
        <f>IF(DB_SOFList[[#This Row],[FYPlan]]&lt;&gt;0,DB_SOFList[[#This Row],[FYActuals]]/DB_SOFList[[#This Row],[FYPlan]],1.000011000011)</f>
        <v>0.7673633485946606</v>
      </c>
    </row>
    <row r="384" spans="1:34" hidden="1" x14ac:dyDescent="0.2">
      <c r="A384">
        <f>SUBTOTAL(3,$B$16:B384)</f>
        <v>104</v>
      </c>
      <c r="B384" t="s">
        <v>351</v>
      </c>
      <c r="C384" t="s">
        <v>360</v>
      </c>
      <c r="F384">
        <v>0</v>
      </c>
      <c r="G384">
        <v>380.90299999999996</v>
      </c>
      <c r="H384">
        <v>172.05199999999999</v>
      </c>
      <c r="I384">
        <v>2480.0940000000001</v>
      </c>
      <c r="R384">
        <v>0</v>
      </c>
      <c r="S384">
        <v>385.74</v>
      </c>
      <c r="T384">
        <v>183.85000000000002</v>
      </c>
      <c r="U384">
        <v>1634.04</v>
      </c>
      <c r="AB384">
        <f>SUMPRODUCT(DB_SOFList[[#This Row],[Plan01]:[Plan12]],$D$14:$O$14)/valUnits2</f>
        <v>3.0330490000000001</v>
      </c>
      <c r="AC384">
        <f>SUMPRODUCT(DB_SOFList[[#This Row],[Act01]:[Act12]],$P$14:$AA$14)/valUnits2</f>
        <v>2.20363</v>
      </c>
      <c r="AD384">
        <f>DB_SOFList[[#This Row],[Actual]]-DB_SOFList[[#This Row],[Plan]]</f>
        <v>-0.82941900000000013</v>
      </c>
      <c r="AE384">
        <f>IF(DB_SOFList[[#This Row],[Plan]]&lt;&gt;0,DB_SOFList[[#This Row],[Actual]]/DB_SOFList[[#This Row],[Plan]],1.000011000011)</f>
        <v>0.72653953167258423</v>
      </c>
      <c r="AF384" s="34">
        <f>SUM(DB_SOFList[[#This Row],[Plan01]:[Plan12]])/valUnits2</f>
        <v>3.0330490000000001</v>
      </c>
      <c r="AG384" s="34">
        <f>SUMPRODUCT(DB_SOFList[[#This Row],[Act01]:[Act12]],$P$13:$AA$13)/valUnits2</f>
        <v>2.20363</v>
      </c>
      <c r="AH384" s="34">
        <f>IF(DB_SOFList[[#This Row],[FYPlan]]&lt;&gt;0,DB_SOFList[[#This Row],[FYActuals]]/DB_SOFList[[#This Row],[FYPlan]],1.000011000011)</f>
        <v>0.72653953167258423</v>
      </c>
    </row>
    <row r="385" spans="1:34" hidden="1" x14ac:dyDescent="0.2">
      <c r="A385">
        <f>SUBTOTAL(3,$B$16:B385)</f>
        <v>104</v>
      </c>
      <c r="B385" t="s">
        <v>346</v>
      </c>
      <c r="C385" t="s">
        <v>360</v>
      </c>
      <c r="D385">
        <v>1081.4570000000001</v>
      </c>
      <c r="E385">
        <v>3682.498</v>
      </c>
      <c r="F385">
        <v>13794.330000000002</v>
      </c>
      <c r="G385">
        <v>19136.293000000001</v>
      </c>
      <c r="H385">
        <v>2495.6530000000002</v>
      </c>
      <c r="I385">
        <v>15802.603999999998</v>
      </c>
      <c r="J385">
        <v>0</v>
      </c>
      <c r="P385">
        <v>1091.95</v>
      </c>
      <c r="Q385">
        <v>3753.04</v>
      </c>
      <c r="R385">
        <v>13656.68</v>
      </c>
      <c r="S385">
        <v>19282.000000000004</v>
      </c>
      <c r="T385">
        <v>2549.4099999999994</v>
      </c>
      <c r="U385">
        <v>2753.2700000000018</v>
      </c>
      <c r="V385">
        <v>1085.23</v>
      </c>
      <c r="AB385">
        <f>SUMPRODUCT(DB_SOFList[[#This Row],[Plan01]:[Plan12]],$D$14:$O$14)/valUnits2</f>
        <v>55.992835000000007</v>
      </c>
      <c r="AC385">
        <f>SUMPRODUCT(DB_SOFList[[#This Row],[Act01]:[Act12]],$P$14:$AA$14)/valUnits2</f>
        <v>43.086349999999996</v>
      </c>
      <c r="AD385">
        <f>DB_SOFList[[#This Row],[Actual]]-DB_SOFList[[#This Row],[Plan]]</f>
        <v>-12.906485000000011</v>
      </c>
      <c r="AE385">
        <f>IF(DB_SOFList[[#This Row],[Plan]]&lt;&gt;0,DB_SOFList[[#This Row],[Actual]]/DB_SOFList[[#This Row],[Plan]],1.000011000011)</f>
        <v>0.76949756160765914</v>
      </c>
      <c r="AF385" s="34">
        <f>SUM(DB_SOFList[[#This Row],[Plan01]:[Plan12]])/valUnits2</f>
        <v>55.992835000000007</v>
      </c>
      <c r="AG385" s="34">
        <f>SUMPRODUCT(DB_SOFList[[#This Row],[Act01]:[Act12]],$P$13:$AA$13)/valUnits2</f>
        <v>43.086349999999996</v>
      </c>
      <c r="AH385" s="34">
        <f>IF(DB_SOFList[[#This Row],[FYPlan]]&lt;&gt;0,DB_SOFList[[#This Row],[FYActuals]]/DB_SOFList[[#This Row],[FYPlan]],1.000011000011)</f>
        <v>0.76949756160765914</v>
      </c>
    </row>
    <row r="386" spans="1:34" hidden="1" x14ac:dyDescent="0.2">
      <c r="A386">
        <f>SUBTOTAL(3,$B$16:B386)</f>
        <v>104</v>
      </c>
      <c r="B386" t="s">
        <v>350</v>
      </c>
      <c r="C386" t="s">
        <v>360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4.32</v>
      </c>
      <c r="AB386">
        <f>SUMPRODUCT(DB_SOFList[[#This Row],[Plan01]:[Plan12]],$D$14:$O$14)/valUnits2</f>
        <v>0</v>
      </c>
      <c r="AC386">
        <f>SUMPRODUCT(DB_SOFList[[#This Row],[Act01]:[Act12]],$P$14:$AA$14)/valUnits2</f>
        <v>4.3200000000000001E-3</v>
      </c>
      <c r="AD386">
        <f>DB_SOFList[[#This Row],[Actual]]-DB_SOFList[[#This Row],[Plan]]</f>
        <v>4.3200000000000001E-3</v>
      </c>
      <c r="AE386">
        <f>IF(DB_SOFList[[#This Row],[Plan]]&lt;&gt;0,DB_SOFList[[#This Row],[Actual]]/DB_SOFList[[#This Row],[Plan]],1.000011000011)</f>
        <v>1.0000110000110001</v>
      </c>
      <c r="AF386" s="34">
        <f>SUM(DB_SOFList[[#This Row],[Plan01]:[Plan12]])/valUnits2</f>
        <v>0</v>
      </c>
      <c r="AG386" s="34">
        <f>SUMPRODUCT(DB_SOFList[[#This Row],[Act01]:[Act12]],$P$13:$AA$13)/valUnits2</f>
        <v>4.3200000000000001E-3</v>
      </c>
      <c r="AH386" s="34">
        <f>IF(DB_SOFList[[#This Row],[FYPlan]]&lt;&gt;0,DB_SOFList[[#This Row],[FYActuals]]/DB_SOFList[[#This Row],[FYPlan]],1.000011000011)</f>
        <v>1.0000110000110001</v>
      </c>
    </row>
    <row r="387" spans="1:34" x14ac:dyDescent="0.2">
      <c r="A387">
        <f>SUBTOTAL(3,$B$16:B387)</f>
        <v>105</v>
      </c>
      <c r="B387" t="s">
        <v>1</v>
      </c>
      <c r="C387" t="s">
        <v>928</v>
      </c>
      <c r="D387">
        <v>17997.882000000005</v>
      </c>
      <c r="E387">
        <v>9553.1479999999974</v>
      </c>
      <c r="F387">
        <v>8813.4879999999994</v>
      </c>
      <c r="G387">
        <v>28680.618999999995</v>
      </c>
      <c r="H387">
        <v>627.26900000000001</v>
      </c>
      <c r="I387">
        <v>0</v>
      </c>
      <c r="P387">
        <v>17588.079999999991</v>
      </c>
      <c r="Q387">
        <v>9758.25</v>
      </c>
      <c r="R387">
        <v>8905.75</v>
      </c>
      <c r="S387">
        <v>28454.629999999997</v>
      </c>
      <c r="T387">
        <v>631.99</v>
      </c>
      <c r="U387">
        <v>-38103.699999999997</v>
      </c>
      <c r="AB387">
        <f>SUMPRODUCT(DB_SOFList[[#This Row],[Plan01]:[Plan12]],$D$14:$O$14)/valUnits2</f>
        <v>65.672406000000009</v>
      </c>
      <c r="AC387">
        <f>SUMPRODUCT(DB_SOFList[[#This Row],[Act01]:[Act12]],$P$14:$AA$14)/valUnits2</f>
        <v>27.234999999999985</v>
      </c>
      <c r="AD387">
        <f>DB_SOFList[[#This Row],[Actual]]-DB_SOFList[[#This Row],[Plan]]</f>
        <v>-38.437406000000024</v>
      </c>
      <c r="AE387">
        <f>IF(DB_SOFList[[#This Row],[Plan]]&lt;&gt;0,DB_SOFList[[#This Row],[Actual]]/DB_SOFList[[#This Row],[Plan]],1.000011000011)</f>
        <v>0.41470994682302309</v>
      </c>
      <c r="AF387" s="34">
        <f>SUM(DB_SOFList[[#This Row],[Plan01]:[Plan12]])/valUnits2</f>
        <v>65.672406000000009</v>
      </c>
      <c r="AG387" s="34">
        <f>SUMPRODUCT(DB_SOFList[[#This Row],[Act01]:[Act12]],$P$13:$AA$13)/valUnits2</f>
        <v>27.234999999999985</v>
      </c>
      <c r="AH387" s="34">
        <f>IF(DB_SOFList[[#This Row],[FYPlan]]&lt;&gt;0,DB_SOFList[[#This Row],[FYActuals]]/DB_SOFList[[#This Row],[FYPlan]],1.000011000011)</f>
        <v>0.41470994682302309</v>
      </c>
    </row>
    <row r="388" spans="1:34" hidden="1" x14ac:dyDescent="0.2">
      <c r="A388">
        <f>SUBTOTAL(3,$B$16:B388)</f>
        <v>105</v>
      </c>
      <c r="B388" t="s">
        <v>351</v>
      </c>
      <c r="C388" t="s">
        <v>928</v>
      </c>
      <c r="D388">
        <v>8.7899999999999991</v>
      </c>
      <c r="E388">
        <v>1004.303</v>
      </c>
      <c r="F388">
        <v>928.56899999999996</v>
      </c>
      <c r="G388">
        <v>1172.3599999999999</v>
      </c>
      <c r="H388">
        <v>241.041</v>
      </c>
      <c r="I388">
        <v>0</v>
      </c>
      <c r="P388">
        <v>8.66</v>
      </c>
      <c r="Q388">
        <v>1024.8300000000002</v>
      </c>
      <c r="R388">
        <v>936.33999999999992</v>
      </c>
      <c r="S388">
        <v>1169.8700000000001</v>
      </c>
      <c r="T388">
        <v>246.42000000000002</v>
      </c>
      <c r="U388">
        <v>-3377.46</v>
      </c>
      <c r="AB388">
        <f>SUMPRODUCT(DB_SOFList[[#This Row],[Plan01]:[Plan12]],$D$14:$O$14)/valUnits2</f>
        <v>3.3550629999999999</v>
      </c>
      <c r="AC388">
        <f>SUMPRODUCT(DB_SOFList[[#This Row],[Act01]:[Act12]],$P$14:$AA$14)/valUnits2</f>
        <v>8.6600000000003098E-3</v>
      </c>
      <c r="AD388">
        <f>DB_SOFList[[#This Row],[Actual]]-DB_SOFList[[#This Row],[Plan]]</f>
        <v>-3.3464029999999996</v>
      </c>
      <c r="AE388">
        <f>IF(DB_SOFList[[#This Row],[Plan]]&lt;&gt;0,DB_SOFList[[#This Row],[Actual]]/DB_SOFList[[#This Row],[Plan]],1.000011000011)</f>
        <v>2.5811735875005356E-3</v>
      </c>
      <c r="AF388" s="34">
        <f>SUM(DB_SOFList[[#This Row],[Plan01]:[Plan12]])/valUnits2</f>
        <v>3.3550629999999999</v>
      </c>
      <c r="AG388" s="34">
        <f>SUMPRODUCT(DB_SOFList[[#This Row],[Act01]:[Act12]],$P$13:$AA$13)/valUnits2</f>
        <v>8.6600000000003098E-3</v>
      </c>
      <c r="AH388" s="34">
        <f>IF(DB_SOFList[[#This Row],[FYPlan]]&lt;&gt;0,DB_SOFList[[#This Row],[FYActuals]]/DB_SOFList[[#This Row],[FYPlan]],1.000011000011)</f>
        <v>2.5811735875005356E-3</v>
      </c>
    </row>
    <row r="389" spans="1:34" hidden="1" x14ac:dyDescent="0.2">
      <c r="A389">
        <f>SUBTOTAL(3,$B$16:B389)</f>
        <v>105</v>
      </c>
      <c r="B389" t="s">
        <v>346</v>
      </c>
      <c r="C389" t="s">
        <v>928</v>
      </c>
      <c r="D389">
        <v>17989.092000000004</v>
      </c>
      <c r="E389">
        <v>8548.8449999999975</v>
      </c>
      <c r="F389">
        <v>7884.9189999999999</v>
      </c>
      <c r="G389">
        <v>27508.258999999995</v>
      </c>
      <c r="H389">
        <v>386.22800000000001</v>
      </c>
      <c r="I389">
        <v>0</v>
      </c>
      <c r="P389">
        <v>17579.419999999991</v>
      </c>
      <c r="Q389">
        <v>8733.42</v>
      </c>
      <c r="R389">
        <v>7969.41</v>
      </c>
      <c r="S389">
        <v>27284.76</v>
      </c>
      <c r="T389">
        <v>385.57000000000005</v>
      </c>
      <c r="U389">
        <v>-34726.239999999998</v>
      </c>
      <c r="AB389">
        <f>SUMPRODUCT(DB_SOFList[[#This Row],[Plan01]:[Plan12]],$D$14:$O$14)/valUnits2</f>
        <v>62.317342999999994</v>
      </c>
      <c r="AC389">
        <f>SUMPRODUCT(DB_SOFList[[#This Row],[Act01]:[Act12]],$P$14:$AA$14)/valUnits2</f>
        <v>27.226339999999983</v>
      </c>
      <c r="AD389">
        <f>DB_SOFList[[#This Row],[Actual]]-DB_SOFList[[#This Row],[Plan]]</f>
        <v>-35.091003000000015</v>
      </c>
      <c r="AE389">
        <f>IF(DB_SOFList[[#This Row],[Plan]]&lt;&gt;0,DB_SOFList[[#This Row],[Actual]]/DB_SOFList[[#This Row],[Plan]],1.000011000011)</f>
        <v>0.43689828046744522</v>
      </c>
      <c r="AF389" s="34">
        <f>SUM(DB_SOFList[[#This Row],[Plan01]:[Plan12]])/valUnits2</f>
        <v>62.317342999999994</v>
      </c>
      <c r="AG389" s="34">
        <f>SUMPRODUCT(DB_SOFList[[#This Row],[Act01]:[Act12]],$P$13:$AA$13)/valUnits2</f>
        <v>27.226339999999983</v>
      </c>
      <c r="AH389" s="34">
        <f>IF(DB_SOFList[[#This Row],[FYPlan]]&lt;&gt;0,DB_SOFList[[#This Row],[FYActuals]]/DB_SOFList[[#This Row],[FYPlan]],1.000011000011)</f>
        <v>0.43689828046744522</v>
      </c>
    </row>
    <row r="390" spans="1:34" hidden="1" x14ac:dyDescent="0.2">
      <c r="A390">
        <f>SUBTOTAL(3,$B$16:B390)</f>
        <v>105</v>
      </c>
      <c r="B390" t="s">
        <v>350</v>
      </c>
      <c r="C390" t="s">
        <v>928</v>
      </c>
      <c r="D390">
        <v>0</v>
      </c>
      <c r="P390">
        <v>0</v>
      </c>
      <c r="AB390">
        <f>SUMPRODUCT(DB_SOFList[[#This Row],[Plan01]:[Plan12]],$D$14:$O$14)/valUnits2</f>
        <v>0</v>
      </c>
      <c r="AC390">
        <f>SUMPRODUCT(DB_SOFList[[#This Row],[Act01]:[Act12]],$P$14:$AA$14)/valUnits2</f>
        <v>0</v>
      </c>
      <c r="AD390">
        <f>DB_SOFList[[#This Row],[Actual]]-DB_SOFList[[#This Row],[Plan]]</f>
        <v>0</v>
      </c>
      <c r="AE390">
        <f>IF(DB_SOFList[[#This Row],[Plan]]&lt;&gt;0,DB_SOFList[[#This Row],[Actual]]/DB_SOFList[[#This Row],[Plan]],1.000011000011)</f>
        <v>1.0000110000110001</v>
      </c>
      <c r="AF390" s="34">
        <f>SUM(DB_SOFList[[#This Row],[Plan01]:[Plan12]])/valUnits2</f>
        <v>0</v>
      </c>
      <c r="AG390" s="34">
        <f>SUMPRODUCT(DB_SOFList[[#This Row],[Act01]:[Act12]],$P$13:$AA$13)/valUnits2</f>
        <v>0</v>
      </c>
      <c r="AH390" s="34">
        <f>IF(DB_SOFList[[#This Row],[FYPlan]]&lt;&gt;0,DB_SOFList[[#This Row],[FYActuals]]/DB_SOFList[[#This Row],[FYPlan]],1.000011000011)</f>
        <v>1.0000110000110001</v>
      </c>
    </row>
    <row r="391" spans="1:34" x14ac:dyDescent="0.2">
      <c r="A391">
        <f>SUBTOTAL(3,$B$16:B391)</f>
        <v>106</v>
      </c>
      <c r="B391" t="s">
        <v>1</v>
      </c>
      <c r="C391" t="s">
        <v>929</v>
      </c>
      <c r="D391">
        <v>100429.58600000002</v>
      </c>
      <c r="E391">
        <v>4862.5889999999927</v>
      </c>
      <c r="F391">
        <v>4520.7889999999998</v>
      </c>
      <c r="G391">
        <v>8208.2209999999977</v>
      </c>
      <c r="H391">
        <v>29778.160999999993</v>
      </c>
      <c r="I391">
        <v>0</v>
      </c>
      <c r="P391">
        <v>97391.64</v>
      </c>
      <c r="Q391">
        <v>4973.7900000000009</v>
      </c>
      <c r="R391">
        <v>4562.5299999999988</v>
      </c>
      <c r="S391">
        <v>8142.8599999999979</v>
      </c>
      <c r="T391">
        <v>29445.670000000006</v>
      </c>
      <c r="U391">
        <v>5213.4699999999993</v>
      </c>
      <c r="AB391">
        <f>SUMPRODUCT(DB_SOFList[[#This Row],[Plan01]:[Plan12]],$D$14:$O$14)/valUnits2</f>
        <v>147.79934600000001</v>
      </c>
      <c r="AC391">
        <f>SUMPRODUCT(DB_SOFList[[#This Row],[Act01]:[Act12]],$P$14:$AA$14)/valUnits2</f>
        <v>149.72996000000001</v>
      </c>
      <c r="AD391">
        <f>DB_SOFList[[#This Row],[Actual]]-DB_SOFList[[#This Row],[Plan]]</f>
        <v>1.9306139999999914</v>
      </c>
      <c r="AE391">
        <f>IF(DB_SOFList[[#This Row],[Plan]]&lt;&gt;0,DB_SOFList[[#This Row],[Actual]]/DB_SOFList[[#This Row],[Plan]],1.000011000011)</f>
        <v>1.0130623988011422</v>
      </c>
      <c r="AF391" s="34">
        <f>SUM(DB_SOFList[[#This Row],[Plan01]:[Plan12]])/valUnits2</f>
        <v>147.79934600000001</v>
      </c>
      <c r="AG391" s="34">
        <f>SUMPRODUCT(DB_SOFList[[#This Row],[Act01]:[Act12]],$P$13:$AA$13)/valUnits2</f>
        <v>149.72996000000001</v>
      </c>
      <c r="AH391" s="34">
        <f>IF(DB_SOFList[[#This Row],[FYPlan]]&lt;&gt;0,DB_SOFList[[#This Row],[FYActuals]]/DB_SOFList[[#This Row],[FYPlan]],1.000011000011)</f>
        <v>1.0130623988011422</v>
      </c>
    </row>
    <row r="392" spans="1:34" hidden="1" x14ac:dyDescent="0.2">
      <c r="A392">
        <f>SUBTOTAL(3,$B$16:B392)</f>
        <v>106</v>
      </c>
      <c r="B392" t="s">
        <v>351</v>
      </c>
      <c r="C392" t="s">
        <v>929</v>
      </c>
      <c r="D392">
        <v>0</v>
      </c>
      <c r="E392">
        <v>88.061000000000007</v>
      </c>
      <c r="F392">
        <v>0</v>
      </c>
      <c r="G392">
        <v>163.691</v>
      </c>
      <c r="H392">
        <v>422.94899999999996</v>
      </c>
      <c r="I392">
        <v>0</v>
      </c>
      <c r="P392">
        <v>0</v>
      </c>
      <c r="Q392">
        <v>87.97</v>
      </c>
      <c r="R392">
        <v>0</v>
      </c>
      <c r="S392">
        <v>163.13999999999999</v>
      </c>
      <c r="T392">
        <v>418.21999999999997</v>
      </c>
      <c r="U392">
        <v>-310.33</v>
      </c>
      <c r="AB392">
        <f>SUMPRODUCT(DB_SOFList[[#This Row],[Plan01]:[Plan12]],$D$14:$O$14)/valUnits2</f>
        <v>0.674701</v>
      </c>
      <c r="AC392">
        <f>SUMPRODUCT(DB_SOFList[[#This Row],[Act01]:[Act12]],$P$14:$AA$14)/valUnits2</f>
        <v>0.35899999999999993</v>
      </c>
      <c r="AD392">
        <f>DB_SOFList[[#This Row],[Actual]]-DB_SOFList[[#This Row],[Plan]]</f>
        <v>-0.31570100000000006</v>
      </c>
      <c r="AE392">
        <f>IF(DB_SOFList[[#This Row],[Plan]]&lt;&gt;0,DB_SOFList[[#This Row],[Actual]]/DB_SOFList[[#This Row],[Plan]],1.000011000011)</f>
        <v>0.53208754692819471</v>
      </c>
      <c r="AF392" s="34">
        <f>SUM(DB_SOFList[[#This Row],[Plan01]:[Plan12]])/valUnits2</f>
        <v>0.674701</v>
      </c>
      <c r="AG392" s="34">
        <f>SUMPRODUCT(DB_SOFList[[#This Row],[Act01]:[Act12]],$P$13:$AA$13)/valUnits2</f>
        <v>0.35899999999999993</v>
      </c>
      <c r="AH392" s="34">
        <f>IF(DB_SOFList[[#This Row],[FYPlan]]&lt;&gt;0,DB_SOFList[[#This Row],[FYActuals]]/DB_SOFList[[#This Row],[FYPlan]],1.000011000011)</f>
        <v>0.53208754692819471</v>
      </c>
    </row>
    <row r="393" spans="1:34" hidden="1" x14ac:dyDescent="0.2">
      <c r="A393">
        <f>SUBTOTAL(3,$B$16:B393)</f>
        <v>106</v>
      </c>
      <c r="B393" t="s">
        <v>349</v>
      </c>
      <c r="C393" t="s">
        <v>929</v>
      </c>
      <c r="D393">
        <v>100429.58600000002</v>
      </c>
      <c r="E393">
        <v>4660.8649999999934</v>
      </c>
      <c r="F393">
        <v>4463.3589999999995</v>
      </c>
      <c r="G393">
        <v>7926.9449999999988</v>
      </c>
      <c r="H393">
        <v>29293.170999999991</v>
      </c>
      <c r="I393">
        <v>0</v>
      </c>
      <c r="P393">
        <v>97391.64</v>
      </c>
      <c r="Q393">
        <v>4769.920000000001</v>
      </c>
      <c r="R393">
        <v>4504.579999999999</v>
      </c>
      <c r="S393">
        <v>7863.3499999999976</v>
      </c>
      <c r="T393">
        <v>28966.140000000003</v>
      </c>
      <c r="U393">
        <v>5481.8099999999995</v>
      </c>
      <c r="AB393">
        <f>SUMPRODUCT(DB_SOFList[[#This Row],[Plan01]:[Plan12]],$D$14:$O$14)/valUnits2</f>
        <v>146.77392600000002</v>
      </c>
      <c r="AC393">
        <f>SUMPRODUCT(DB_SOFList[[#This Row],[Act01]:[Act12]],$P$14:$AA$14)/valUnits2</f>
        <v>148.97744</v>
      </c>
      <c r="AD393">
        <f>DB_SOFList[[#This Row],[Actual]]-DB_SOFList[[#This Row],[Plan]]</f>
        <v>2.2035139999999842</v>
      </c>
      <c r="AE393">
        <f>IF(DB_SOFList[[#This Row],[Plan]]&lt;&gt;0,DB_SOFList[[#This Row],[Actual]]/DB_SOFList[[#This Row],[Plan]],1.000011000011)</f>
        <v>1.01501297989399</v>
      </c>
      <c r="AF393" s="34">
        <f>SUM(DB_SOFList[[#This Row],[Plan01]:[Plan12]])/valUnits2</f>
        <v>146.77392600000002</v>
      </c>
      <c r="AG393" s="34">
        <f>SUMPRODUCT(DB_SOFList[[#This Row],[Act01]:[Act12]],$P$13:$AA$13)/valUnits2</f>
        <v>148.97744</v>
      </c>
      <c r="AH393" s="34">
        <f>IF(DB_SOFList[[#This Row],[FYPlan]]&lt;&gt;0,DB_SOFList[[#This Row],[FYActuals]]/DB_SOFList[[#This Row],[FYPlan]],1.000011000011)</f>
        <v>1.01501297989399</v>
      </c>
    </row>
    <row r="394" spans="1:34" hidden="1" x14ac:dyDescent="0.2">
      <c r="A394">
        <f>SUBTOTAL(3,$B$16:B394)</f>
        <v>106</v>
      </c>
      <c r="B394" t="s">
        <v>350</v>
      </c>
      <c r="C394" t="s">
        <v>929</v>
      </c>
      <c r="E394">
        <v>113.663</v>
      </c>
      <c r="F394">
        <v>57.43</v>
      </c>
      <c r="G394">
        <v>117.58499999999999</v>
      </c>
      <c r="H394">
        <v>62.041000000000004</v>
      </c>
      <c r="I394">
        <v>0</v>
      </c>
      <c r="Q394">
        <v>115.9</v>
      </c>
      <c r="R394">
        <v>57.95</v>
      </c>
      <c r="S394">
        <v>116.36999999999999</v>
      </c>
      <c r="T394">
        <v>61.309999999999995</v>
      </c>
      <c r="U394">
        <v>41.99</v>
      </c>
      <c r="AB394" s="34">
        <f>SUMPRODUCT(DB_SOFList[[#This Row],[Plan01]:[Plan12]],$D$14:$O$14)/valUnits2</f>
        <v>0.350719</v>
      </c>
      <c r="AC394" s="34">
        <f>SUMPRODUCT(DB_SOFList[[#This Row],[Act01]:[Act12]],$P$14:$AA$14)/valUnits2</f>
        <v>0.39352000000000004</v>
      </c>
      <c r="AD394" s="34">
        <f>DB_SOFList[[#This Row],[Actual]]-DB_SOFList[[#This Row],[Plan]]</f>
        <v>4.2801000000000033E-2</v>
      </c>
      <c r="AE394" s="34">
        <f>IF(DB_SOFList[[#This Row],[Plan]]&lt;&gt;0,DB_SOFList[[#This Row],[Actual]]/DB_SOFList[[#This Row],[Plan]],1.000011000011)</f>
        <v>1.1220378707740386</v>
      </c>
      <c r="AF394" s="34">
        <f>SUM(DB_SOFList[[#This Row],[Plan01]:[Plan12]])/valUnits2</f>
        <v>0.350719</v>
      </c>
      <c r="AG394" s="34">
        <f>SUMPRODUCT(DB_SOFList[[#This Row],[Act01]:[Act12]],$P$13:$AA$13)/valUnits2</f>
        <v>0.39352000000000004</v>
      </c>
      <c r="AH394" s="34">
        <f>IF(DB_SOFList[[#This Row],[FYPlan]]&lt;&gt;0,DB_SOFList[[#This Row],[FYActuals]]/DB_SOFList[[#This Row],[FYPlan]],1.000011000011)</f>
        <v>1.1220378707740386</v>
      </c>
    </row>
    <row r="395" spans="1:34" x14ac:dyDescent="0.2">
      <c r="A395">
        <f>SUBTOTAL(3,$B$16:B395)</f>
        <v>107</v>
      </c>
      <c r="B395" t="s">
        <v>1</v>
      </c>
      <c r="C395" t="s">
        <v>930</v>
      </c>
      <c r="D395">
        <v>22374.61</v>
      </c>
      <c r="E395">
        <v>30636.439999999995</v>
      </c>
      <c r="F395">
        <v>42363.189999999995</v>
      </c>
      <c r="G395">
        <v>26869.77</v>
      </c>
      <c r="H395">
        <v>27678.960000000003</v>
      </c>
      <c r="I395">
        <v>65290.318999999996</v>
      </c>
      <c r="J395">
        <v>72290.319000000003</v>
      </c>
      <c r="K395">
        <v>42290.318999999996</v>
      </c>
      <c r="L395">
        <v>41410.318999999996</v>
      </c>
      <c r="M395">
        <v>34790.318999999996</v>
      </c>
      <c r="N395">
        <v>34790.318999999996</v>
      </c>
      <c r="O395">
        <v>27572.553</v>
      </c>
      <c r="P395">
        <v>22374.61</v>
      </c>
      <c r="Q395">
        <v>30636.440000000002</v>
      </c>
      <c r="R395">
        <v>42365.289999999994</v>
      </c>
      <c r="S395">
        <v>26981.530000000002</v>
      </c>
      <c r="T395">
        <v>27681.980000000007</v>
      </c>
      <c r="U395">
        <v>45077.07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f>SUMPRODUCT(DB_SOFList[[#This Row],[Plan01]:[Plan12]],$D$14:$O$14)/valUnits2</f>
        <v>215.213289</v>
      </c>
      <c r="AC395">
        <f>SUMPRODUCT(DB_SOFList[[#This Row],[Act01]:[Act12]],$P$14:$AA$14)/valUnits2</f>
        <v>195.11692000000002</v>
      </c>
      <c r="AD395">
        <f>DB_SOFList[[#This Row],[Actual]]-DB_SOFList[[#This Row],[Plan]]</f>
        <v>-20.096368999999981</v>
      </c>
      <c r="AE395">
        <f>IF(DB_SOFList[[#This Row],[Plan]]&lt;&gt;0,DB_SOFList[[#This Row],[Actual]]/DB_SOFList[[#This Row],[Plan]],1.000011000011)</f>
        <v>0.90662115200516269</v>
      </c>
      <c r="AF395" s="34">
        <f>SUM(DB_SOFList[[#This Row],[Plan01]:[Plan12]])/valUnits2</f>
        <v>468.35743700000012</v>
      </c>
      <c r="AG395" s="34">
        <f>SUMPRODUCT(DB_SOFList[[#This Row],[Act01]:[Act12]],$P$13:$AA$13)/valUnits2</f>
        <v>195.11692000000002</v>
      </c>
      <c r="AH395" s="34">
        <f>IF(DB_SOFList[[#This Row],[FYPlan]]&lt;&gt;0,DB_SOFList[[#This Row],[FYActuals]]/DB_SOFList[[#This Row],[FYPlan]],1.000011000011)</f>
        <v>0.4165983169815663</v>
      </c>
    </row>
    <row r="396" spans="1:34" hidden="1" x14ac:dyDescent="0.2">
      <c r="A396">
        <f>SUBTOTAL(3,$B$16:B396)</f>
        <v>107</v>
      </c>
      <c r="B396" t="s">
        <v>351</v>
      </c>
      <c r="C396" t="s">
        <v>930</v>
      </c>
      <c r="D396">
        <v>1544.9599999999998</v>
      </c>
      <c r="E396">
        <v>6685.73</v>
      </c>
      <c r="F396">
        <v>6584.7500000000009</v>
      </c>
      <c r="G396">
        <v>1910.9499999999996</v>
      </c>
      <c r="H396">
        <v>3102.4399999999996</v>
      </c>
      <c r="I396">
        <v>2559.1979999999999</v>
      </c>
      <c r="J396">
        <v>2559.1979999999999</v>
      </c>
      <c r="K396">
        <v>2559.1979999999999</v>
      </c>
      <c r="L396">
        <v>2559.1979999999999</v>
      </c>
      <c r="M396">
        <v>2559.1979999999999</v>
      </c>
      <c r="N396">
        <v>2559.1979999999999</v>
      </c>
      <c r="O396">
        <v>2559.1979999999999</v>
      </c>
      <c r="P396">
        <v>1544.96</v>
      </c>
      <c r="Q396">
        <v>6685.73</v>
      </c>
      <c r="R396">
        <v>6586.8499999999995</v>
      </c>
      <c r="S396">
        <v>2022.71</v>
      </c>
      <c r="T396">
        <v>3105.4599999999996</v>
      </c>
      <c r="U396">
        <v>3290.7800000000011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f>SUMPRODUCT(DB_SOFList[[#This Row],[Plan01]:[Plan12]],$D$14:$O$14)/valUnits2</f>
        <v>22.388027999999998</v>
      </c>
      <c r="AC396">
        <f>SUMPRODUCT(DB_SOFList[[#This Row],[Act01]:[Act12]],$P$14:$AA$14)/valUnits2</f>
        <v>23.236489999999996</v>
      </c>
      <c r="AD396">
        <f>DB_SOFList[[#This Row],[Actual]]-DB_SOFList[[#This Row],[Plan]]</f>
        <v>0.84846199999999783</v>
      </c>
      <c r="AE396">
        <f>IF(DB_SOFList[[#This Row],[Plan]]&lt;&gt;0,DB_SOFList[[#This Row],[Actual]]/DB_SOFList[[#This Row],[Plan]],1.000011000011)</f>
        <v>1.0378980229969339</v>
      </c>
      <c r="AF396" s="34">
        <f>SUM(DB_SOFList[[#This Row],[Plan01]:[Plan12]])/valUnits2</f>
        <v>37.74321599999999</v>
      </c>
      <c r="AG396" s="34">
        <f>SUMPRODUCT(DB_SOFList[[#This Row],[Act01]:[Act12]],$P$13:$AA$13)/valUnits2</f>
        <v>23.236489999999996</v>
      </c>
      <c r="AH396" s="34">
        <f>IF(DB_SOFList[[#This Row],[FYPlan]]&lt;&gt;0,DB_SOFList[[#This Row],[FYActuals]]/DB_SOFList[[#This Row],[FYPlan]],1.000011000011)</f>
        <v>0.61564679596990368</v>
      </c>
    </row>
    <row r="397" spans="1:34" hidden="1" x14ac:dyDescent="0.2">
      <c r="A397">
        <f>SUBTOTAL(3,$B$16:B397)</f>
        <v>107</v>
      </c>
      <c r="B397" t="s">
        <v>343</v>
      </c>
      <c r="C397" t="s">
        <v>930</v>
      </c>
      <c r="D397">
        <v>20829.650000000001</v>
      </c>
      <c r="E397">
        <v>23579.479999999996</v>
      </c>
      <c r="F397">
        <v>35265.119999999995</v>
      </c>
      <c r="G397">
        <v>24690.97</v>
      </c>
      <c r="H397">
        <v>23585.780000000002</v>
      </c>
      <c r="I397">
        <v>62731.120999999999</v>
      </c>
      <c r="J397">
        <v>69731.120999999999</v>
      </c>
      <c r="K397">
        <v>39731.120999999999</v>
      </c>
      <c r="L397">
        <v>38851.120999999999</v>
      </c>
      <c r="M397">
        <v>32231.120999999999</v>
      </c>
      <c r="N397">
        <v>32231.120999999999</v>
      </c>
      <c r="O397">
        <v>25013.355</v>
      </c>
      <c r="P397">
        <v>20829.650000000001</v>
      </c>
      <c r="Q397">
        <v>23579.480000000003</v>
      </c>
      <c r="R397">
        <v>35265.119999999995</v>
      </c>
      <c r="S397">
        <v>24690.970000000005</v>
      </c>
      <c r="T397">
        <v>23585.780000000006</v>
      </c>
      <c r="U397">
        <v>41456.53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f>SUMPRODUCT(DB_SOFList[[#This Row],[Plan01]:[Plan12]],$D$14:$O$14)/valUnits2</f>
        <v>190.682121</v>
      </c>
      <c r="AC397">
        <f>SUMPRODUCT(DB_SOFList[[#This Row],[Act01]:[Act12]],$P$14:$AA$14)/valUnits2</f>
        <v>169.40753000000001</v>
      </c>
      <c r="AD397">
        <f>DB_SOFList[[#This Row],[Actual]]-DB_SOFList[[#This Row],[Plan]]</f>
        <v>-21.274590999999987</v>
      </c>
      <c r="AE397">
        <f>IF(DB_SOFList[[#This Row],[Plan]]&lt;&gt;0,DB_SOFList[[#This Row],[Actual]]/DB_SOFList[[#This Row],[Plan]],1.000011000011)</f>
        <v>0.88842902056874018</v>
      </c>
      <c r="AF397" s="34">
        <f>SUM(DB_SOFList[[#This Row],[Plan01]:[Plan12]])/valUnits2</f>
        <v>428.47108099999991</v>
      </c>
      <c r="AG397" s="34">
        <f>SUMPRODUCT(DB_SOFList[[#This Row],[Act01]:[Act12]],$P$13:$AA$13)/valUnits2</f>
        <v>169.40753000000001</v>
      </c>
      <c r="AH397" s="34">
        <f>IF(DB_SOFList[[#This Row],[FYPlan]]&lt;&gt;0,DB_SOFList[[#This Row],[FYActuals]]/DB_SOFList[[#This Row],[FYPlan]],1.000011000011)</f>
        <v>0.39537681190670609</v>
      </c>
    </row>
    <row r="398" spans="1:34" hidden="1" x14ac:dyDescent="0.2">
      <c r="A398">
        <f>SUBTOTAL(3,$B$16:B398)</f>
        <v>107</v>
      </c>
      <c r="B398" t="s">
        <v>350</v>
      </c>
      <c r="C398" t="s">
        <v>930</v>
      </c>
      <c r="E398">
        <v>371.23</v>
      </c>
      <c r="F398">
        <v>513.32000000000005</v>
      </c>
      <c r="G398">
        <v>267.85000000000002</v>
      </c>
      <c r="H398">
        <v>990.74</v>
      </c>
      <c r="I398">
        <v>0</v>
      </c>
      <c r="Q398">
        <v>371.23</v>
      </c>
      <c r="R398">
        <v>513.32000000000005</v>
      </c>
      <c r="S398">
        <v>267.84999999999997</v>
      </c>
      <c r="T398">
        <v>990.74</v>
      </c>
      <c r="U398">
        <v>329.76000000000005</v>
      </c>
      <c r="AB398">
        <f>SUMPRODUCT(DB_SOFList[[#This Row],[Plan01]:[Plan12]],$D$14:$O$14)/valUnits2</f>
        <v>2.1431400000000003</v>
      </c>
      <c r="AC398">
        <f>SUMPRODUCT(DB_SOFList[[#This Row],[Act01]:[Act12]],$P$14:$AA$14)/valUnits2</f>
        <v>2.4729000000000005</v>
      </c>
      <c r="AD398">
        <f>DB_SOFList[[#This Row],[Actual]]-DB_SOFList[[#This Row],[Plan]]</f>
        <v>0.32976000000000028</v>
      </c>
      <c r="AE398">
        <f>IF(DB_SOFList[[#This Row],[Plan]]&lt;&gt;0,DB_SOFList[[#This Row],[Actual]]/DB_SOFList[[#This Row],[Plan]],1.000011000011)</f>
        <v>1.1538676894649906</v>
      </c>
      <c r="AF398" s="34">
        <f>SUM(DB_SOFList[[#This Row],[Plan01]:[Plan12]])/valUnits2</f>
        <v>2.1431400000000003</v>
      </c>
      <c r="AG398" s="34">
        <f>SUMPRODUCT(DB_SOFList[[#This Row],[Act01]:[Act12]],$P$13:$AA$13)/valUnits2</f>
        <v>2.4729000000000005</v>
      </c>
      <c r="AH398" s="34">
        <f>IF(DB_SOFList[[#This Row],[FYPlan]]&lt;&gt;0,DB_SOFList[[#This Row],[FYActuals]]/DB_SOFList[[#This Row],[FYPlan]],1.000011000011)</f>
        <v>1.1538676894649906</v>
      </c>
    </row>
    <row r="399" spans="1:34" x14ac:dyDescent="0.2">
      <c r="A399">
        <f>SUBTOTAL(3,$B$16:B399)</f>
        <v>108</v>
      </c>
      <c r="B399" t="s">
        <v>1</v>
      </c>
      <c r="C399" t="s">
        <v>931</v>
      </c>
      <c r="D399">
        <v>14371.314</v>
      </c>
      <c r="E399">
        <v>-13696.876</v>
      </c>
      <c r="F399">
        <v>-750.12400000000002</v>
      </c>
      <c r="P399">
        <v>14358.650000000001</v>
      </c>
      <c r="Q399">
        <v>-13854.63</v>
      </c>
      <c r="R399">
        <v>-782.23</v>
      </c>
      <c r="AB399">
        <f>SUMPRODUCT(DB_SOFList[[#This Row],[Plan01]:[Plan12]],$D$14:$O$14)/valUnits2</f>
        <v>-7.568599999999992E-2</v>
      </c>
      <c r="AC399">
        <f>SUMPRODUCT(DB_SOFList[[#This Row],[Act01]:[Act12]],$P$14:$AA$14)/valUnits2</f>
        <v>-0.27820999999999774</v>
      </c>
      <c r="AD399">
        <f>DB_SOFList[[#This Row],[Actual]]-DB_SOFList[[#This Row],[Plan]]</f>
        <v>-0.20252399999999782</v>
      </c>
      <c r="AE399">
        <f>IF(DB_SOFList[[#This Row],[Plan]]&lt;&gt;0,DB_SOFList[[#This Row],[Actual]]/DB_SOFList[[#This Row],[Plan]],1.000011000011)</f>
        <v>3.6758449382976774</v>
      </c>
      <c r="AF399" s="34">
        <f>SUM(DB_SOFList[[#This Row],[Plan01]:[Plan12]])/valUnits2</f>
        <v>-7.568599999999992E-2</v>
      </c>
      <c r="AG399" s="34">
        <f>SUMPRODUCT(DB_SOFList[[#This Row],[Act01]:[Act12]],$P$13:$AA$13)/valUnits2</f>
        <v>-0.27820999999999774</v>
      </c>
      <c r="AH399" s="34">
        <f>IF(DB_SOFList[[#This Row],[FYPlan]]&lt;&gt;0,DB_SOFList[[#This Row],[FYActuals]]/DB_SOFList[[#This Row],[FYPlan]],1.000011000011)</f>
        <v>3.6758449382976774</v>
      </c>
    </row>
    <row r="400" spans="1:34" hidden="1" x14ac:dyDescent="0.2">
      <c r="A400">
        <f>SUBTOTAL(3,$B$16:B400)</f>
        <v>108</v>
      </c>
      <c r="B400" t="s">
        <v>343</v>
      </c>
      <c r="C400" t="s">
        <v>931</v>
      </c>
      <c r="D400">
        <v>14371.314</v>
      </c>
      <c r="E400">
        <v>-13696.876</v>
      </c>
      <c r="F400">
        <v>-750.12400000000002</v>
      </c>
      <c r="P400">
        <v>14358.650000000001</v>
      </c>
      <c r="Q400">
        <v>-13854.63</v>
      </c>
      <c r="R400">
        <v>-782.23</v>
      </c>
      <c r="AB400">
        <f>SUMPRODUCT(DB_SOFList[[#This Row],[Plan01]:[Plan12]],$D$14:$O$14)/valUnits2</f>
        <v>-7.568599999999992E-2</v>
      </c>
      <c r="AC400">
        <f>SUMPRODUCT(DB_SOFList[[#This Row],[Act01]:[Act12]],$P$14:$AA$14)/valUnits2</f>
        <v>-0.27820999999999774</v>
      </c>
      <c r="AD400">
        <f>DB_SOFList[[#This Row],[Actual]]-DB_SOFList[[#This Row],[Plan]]</f>
        <v>-0.20252399999999782</v>
      </c>
      <c r="AE400">
        <f>IF(DB_SOFList[[#This Row],[Plan]]&lt;&gt;0,DB_SOFList[[#This Row],[Actual]]/DB_SOFList[[#This Row],[Plan]],1.000011000011)</f>
        <v>3.6758449382976774</v>
      </c>
      <c r="AF400" s="34">
        <f>SUM(DB_SOFList[[#This Row],[Plan01]:[Plan12]])/valUnits2</f>
        <v>-7.568599999999992E-2</v>
      </c>
      <c r="AG400" s="34">
        <f>SUMPRODUCT(DB_SOFList[[#This Row],[Act01]:[Act12]],$P$13:$AA$13)/valUnits2</f>
        <v>-0.27820999999999774</v>
      </c>
      <c r="AH400" s="34">
        <f>IF(DB_SOFList[[#This Row],[FYPlan]]&lt;&gt;0,DB_SOFList[[#This Row],[FYActuals]]/DB_SOFList[[#This Row],[FYPlan]],1.000011000011)</f>
        <v>3.6758449382976774</v>
      </c>
    </row>
    <row r="401" spans="1:34" x14ac:dyDescent="0.2">
      <c r="A401">
        <f>SUBTOTAL(3,$B$16:B401)</f>
        <v>109</v>
      </c>
      <c r="B401" t="s">
        <v>1</v>
      </c>
      <c r="C401" t="s">
        <v>932</v>
      </c>
      <c r="G401">
        <v>16639.052</v>
      </c>
      <c r="H401">
        <v>3919.6229999999996</v>
      </c>
      <c r="I401">
        <v>1013.4809999999999</v>
      </c>
      <c r="J401">
        <v>1013.4809999999999</v>
      </c>
      <c r="K401">
        <v>1013.4809999999999</v>
      </c>
      <c r="L401">
        <v>1013.4809999999999</v>
      </c>
      <c r="M401">
        <v>1013.4809999999999</v>
      </c>
      <c r="N401">
        <v>1013.4809999999999</v>
      </c>
      <c r="O401">
        <v>1013.4809999999999</v>
      </c>
      <c r="S401">
        <v>15675.639999999998</v>
      </c>
      <c r="T401">
        <v>3125.5699999999997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f>SUMPRODUCT(DB_SOFList[[#This Row],[Plan01]:[Plan12]],$D$14:$O$14)/valUnits2</f>
        <v>21.572156</v>
      </c>
      <c r="AC401">
        <f>SUMPRODUCT(DB_SOFList[[#This Row],[Act01]:[Act12]],$P$14:$AA$14)/valUnits2</f>
        <v>18.801209999999998</v>
      </c>
      <c r="AD401">
        <f>DB_SOFList[[#This Row],[Actual]]-DB_SOFList[[#This Row],[Plan]]</f>
        <v>-2.7709460000000021</v>
      </c>
      <c r="AE401">
        <f>IF(DB_SOFList[[#This Row],[Plan]]&lt;&gt;0,DB_SOFList[[#This Row],[Actual]]/DB_SOFList[[#This Row],[Plan]],1.000011000011)</f>
        <v>0.87154988124506416</v>
      </c>
      <c r="AF401" s="34">
        <f>SUM(DB_SOFList[[#This Row],[Plan01]:[Plan12]])/valUnits2</f>
        <v>27.653041999999999</v>
      </c>
      <c r="AG401" s="34">
        <f>SUMPRODUCT(DB_SOFList[[#This Row],[Act01]:[Act12]],$P$13:$AA$13)/valUnits2</f>
        <v>18.801209999999998</v>
      </c>
      <c r="AH401" s="34">
        <f>IF(DB_SOFList[[#This Row],[FYPlan]]&lt;&gt;0,DB_SOFList[[#This Row],[FYActuals]]/DB_SOFList[[#This Row],[FYPlan]],1.000011000011)</f>
        <v>0.67989662764769232</v>
      </c>
    </row>
    <row r="402" spans="1:34" hidden="1" x14ac:dyDescent="0.2">
      <c r="A402">
        <f>SUBTOTAL(3,$B$16:B402)</f>
        <v>109</v>
      </c>
      <c r="B402" t="s">
        <v>351</v>
      </c>
      <c r="C402" t="s">
        <v>932</v>
      </c>
      <c r="G402">
        <v>1696.7919999999997</v>
      </c>
      <c r="H402">
        <v>2197.6799999999998</v>
      </c>
      <c r="I402">
        <v>1013.4809999999999</v>
      </c>
      <c r="J402">
        <v>1013.4809999999999</v>
      </c>
      <c r="K402">
        <v>1013.4809999999999</v>
      </c>
      <c r="L402">
        <v>1013.4809999999999</v>
      </c>
      <c r="M402">
        <v>1013.4809999999999</v>
      </c>
      <c r="N402">
        <v>1013.4809999999999</v>
      </c>
      <c r="O402">
        <v>1013.4809999999999</v>
      </c>
      <c r="S402">
        <v>687.24</v>
      </c>
      <c r="T402">
        <v>1270.29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f>SUMPRODUCT(DB_SOFList[[#This Row],[Plan01]:[Plan12]],$D$14:$O$14)/valUnits2</f>
        <v>4.9079529999999991</v>
      </c>
      <c r="AC402">
        <f>SUMPRODUCT(DB_SOFList[[#This Row],[Act01]:[Act12]],$P$14:$AA$14)/valUnits2</f>
        <v>1.95753</v>
      </c>
      <c r="AD402">
        <f>DB_SOFList[[#This Row],[Actual]]-DB_SOFList[[#This Row],[Plan]]</f>
        <v>-2.9504229999999989</v>
      </c>
      <c r="AE402">
        <f>IF(DB_SOFList[[#This Row],[Plan]]&lt;&gt;0,DB_SOFList[[#This Row],[Actual]]/DB_SOFList[[#This Row],[Plan]],1.000011000011)</f>
        <v>0.39884856273073527</v>
      </c>
      <c r="AF402" s="34">
        <f>SUM(DB_SOFList[[#This Row],[Plan01]:[Plan12]])/valUnits2</f>
        <v>10.988838999999999</v>
      </c>
      <c r="AG402" s="34">
        <f>SUMPRODUCT(DB_SOFList[[#This Row],[Act01]:[Act12]],$P$13:$AA$13)/valUnits2</f>
        <v>1.95753</v>
      </c>
      <c r="AH402" s="34">
        <f>IF(DB_SOFList[[#This Row],[FYPlan]]&lt;&gt;0,DB_SOFList[[#This Row],[FYActuals]]/DB_SOFList[[#This Row],[FYPlan]],1.000011000011)</f>
        <v>0.17813801803812032</v>
      </c>
    </row>
    <row r="403" spans="1:34" hidden="1" x14ac:dyDescent="0.2">
      <c r="A403">
        <f>SUBTOTAL(3,$B$16:B403)</f>
        <v>109</v>
      </c>
      <c r="B403" t="s">
        <v>345</v>
      </c>
      <c r="C403" t="s">
        <v>932</v>
      </c>
      <c r="G403">
        <v>14942.26</v>
      </c>
      <c r="H403">
        <v>1721.943</v>
      </c>
      <c r="S403">
        <v>14988.399999999998</v>
      </c>
      <c r="T403">
        <v>1855.28</v>
      </c>
      <c r="AB403">
        <f>SUMPRODUCT(DB_SOFList[[#This Row],[Plan01]:[Plan12]],$D$14:$O$14)/valUnits2</f>
        <v>16.664203000000001</v>
      </c>
      <c r="AC403">
        <f>SUMPRODUCT(DB_SOFList[[#This Row],[Act01]:[Act12]],$P$14:$AA$14)/valUnits2</f>
        <v>16.843679999999996</v>
      </c>
      <c r="AD403">
        <f>DB_SOFList[[#This Row],[Actual]]-DB_SOFList[[#This Row],[Plan]]</f>
        <v>0.179476999999995</v>
      </c>
      <c r="AE403">
        <f>IF(DB_SOFList[[#This Row],[Plan]]&lt;&gt;0,DB_SOFList[[#This Row],[Actual]]/DB_SOFList[[#This Row],[Plan]],1.000011000011)</f>
        <v>1.0107702120527453</v>
      </c>
      <c r="AF403" s="34">
        <f>SUM(DB_SOFList[[#This Row],[Plan01]:[Plan12]])/valUnits2</f>
        <v>16.664203000000001</v>
      </c>
      <c r="AG403" s="34">
        <f>SUMPRODUCT(DB_SOFList[[#This Row],[Act01]:[Act12]],$P$13:$AA$13)/valUnits2</f>
        <v>16.843679999999996</v>
      </c>
      <c r="AH403" s="34">
        <f>IF(DB_SOFList[[#This Row],[FYPlan]]&lt;&gt;0,DB_SOFList[[#This Row],[FYActuals]]/DB_SOFList[[#This Row],[FYPlan]],1.000011000011)</f>
        <v>1.0107702120527453</v>
      </c>
    </row>
    <row r="404" spans="1:34" x14ac:dyDescent="0.2">
      <c r="A404">
        <f>SUBTOTAL(3,$B$16:B404)</f>
        <v>110</v>
      </c>
      <c r="B404" t="s">
        <v>1</v>
      </c>
      <c r="C404" t="s">
        <v>933</v>
      </c>
      <c r="D404">
        <v>60222.09</v>
      </c>
      <c r="E404">
        <v>35984.33</v>
      </c>
      <c r="F404">
        <v>85579.120000000039</v>
      </c>
      <c r="G404">
        <v>89707.97000000003</v>
      </c>
      <c r="H404">
        <v>82922.66</v>
      </c>
      <c r="I404">
        <v>116320.00200000001</v>
      </c>
      <c r="J404">
        <v>80893.002000000008</v>
      </c>
      <c r="K404">
        <v>80891.502000000008</v>
      </c>
      <c r="L404">
        <v>80891.502000000008</v>
      </c>
      <c r="M404">
        <v>80891.502000000008</v>
      </c>
      <c r="N404">
        <v>80891.502000000008</v>
      </c>
      <c r="O404">
        <v>80891.502000000008</v>
      </c>
      <c r="P404">
        <v>60222.090000000011</v>
      </c>
      <c r="Q404">
        <v>35984.330000000009</v>
      </c>
      <c r="R404">
        <v>85677.02</v>
      </c>
      <c r="S404">
        <v>89730.420000000056</v>
      </c>
      <c r="T404">
        <v>82922.660000000018</v>
      </c>
      <c r="U404">
        <v>93390.819999999992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f>SUMPRODUCT(DB_SOFList[[#This Row],[Plan01]:[Plan12]],$D$14:$O$14)/valUnits2</f>
        <v>470.73617200000001</v>
      </c>
      <c r="AC404">
        <f>SUMPRODUCT(DB_SOFList[[#This Row],[Act01]:[Act12]],$P$14:$AA$14)/valUnits2</f>
        <v>447.92734000000007</v>
      </c>
      <c r="AD404">
        <f>DB_SOFList[[#This Row],[Actual]]-DB_SOFList[[#This Row],[Plan]]</f>
        <v>-22.808831999999938</v>
      </c>
      <c r="AE404">
        <f>IF(DB_SOFList[[#This Row],[Plan]]&lt;&gt;0,DB_SOFList[[#This Row],[Actual]]/DB_SOFList[[#This Row],[Plan]],1.000011000011)</f>
        <v>0.95154646412003385</v>
      </c>
      <c r="AF404" s="34">
        <f>SUM(DB_SOFList[[#This Row],[Plan01]:[Plan12]])/valUnits2</f>
        <v>956.08668399999988</v>
      </c>
      <c r="AG404" s="34">
        <f>SUMPRODUCT(DB_SOFList[[#This Row],[Act01]:[Act12]],$P$13:$AA$13)/valUnits2</f>
        <v>447.92734000000007</v>
      </c>
      <c r="AH404" s="34">
        <f>IF(DB_SOFList[[#This Row],[FYPlan]]&lt;&gt;0,DB_SOFList[[#This Row],[FYActuals]]/DB_SOFList[[#This Row],[FYPlan]],1.000011000011)</f>
        <v>0.46850076200831192</v>
      </c>
    </row>
    <row r="405" spans="1:34" hidden="1" x14ac:dyDescent="0.2">
      <c r="A405">
        <f>SUBTOTAL(3,$B$16:B405)</f>
        <v>110</v>
      </c>
      <c r="B405" t="s">
        <v>351</v>
      </c>
      <c r="C405" t="s">
        <v>933</v>
      </c>
      <c r="D405">
        <v>291.33</v>
      </c>
      <c r="E405">
        <v>3317.81</v>
      </c>
      <c r="F405">
        <v>2329.71</v>
      </c>
      <c r="G405">
        <v>1082.8300000000002</v>
      </c>
      <c r="H405">
        <v>7.55</v>
      </c>
      <c r="I405">
        <v>10</v>
      </c>
      <c r="J405">
        <v>10</v>
      </c>
      <c r="K405">
        <v>10</v>
      </c>
      <c r="L405">
        <v>10</v>
      </c>
      <c r="M405">
        <v>10</v>
      </c>
      <c r="N405">
        <v>10</v>
      </c>
      <c r="O405">
        <v>10</v>
      </c>
      <c r="P405">
        <v>291.33</v>
      </c>
      <c r="Q405">
        <v>3317.8099999999995</v>
      </c>
      <c r="R405">
        <v>2427.6099999999997</v>
      </c>
      <c r="S405">
        <v>1082.83</v>
      </c>
      <c r="T405">
        <v>7.5500000000000007</v>
      </c>
      <c r="U405">
        <v>605.75999999999988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f>SUMPRODUCT(DB_SOFList[[#This Row],[Plan01]:[Plan12]],$D$14:$O$14)/valUnits2</f>
        <v>7.0392300000000008</v>
      </c>
      <c r="AC405">
        <f>SUMPRODUCT(DB_SOFList[[#This Row],[Act01]:[Act12]],$P$14:$AA$14)/valUnits2</f>
        <v>7.7328899999999994</v>
      </c>
      <c r="AD405">
        <f>DB_SOFList[[#This Row],[Actual]]-DB_SOFList[[#This Row],[Plan]]</f>
        <v>0.69365999999999861</v>
      </c>
      <c r="AE405">
        <f>IF(DB_SOFList[[#This Row],[Plan]]&lt;&gt;0,DB_SOFList[[#This Row],[Actual]]/DB_SOFList[[#This Row],[Plan]],1.000011000011)</f>
        <v>1.0985420280343161</v>
      </c>
      <c r="AF405" s="34">
        <f>SUM(DB_SOFList[[#This Row],[Plan01]:[Plan12]])/valUnits2</f>
        <v>7.0992300000000004</v>
      </c>
      <c r="AG405" s="34">
        <f>SUMPRODUCT(DB_SOFList[[#This Row],[Act01]:[Act12]],$P$13:$AA$13)/valUnits2</f>
        <v>7.7328899999999994</v>
      </c>
      <c r="AH405" s="34">
        <f>IF(DB_SOFList[[#This Row],[FYPlan]]&lt;&gt;0,DB_SOFList[[#This Row],[FYActuals]]/DB_SOFList[[#This Row],[FYPlan]],1.000011000011)</f>
        <v>1.0892575673699822</v>
      </c>
    </row>
    <row r="406" spans="1:34" hidden="1" x14ac:dyDescent="0.2">
      <c r="A406">
        <f>SUBTOTAL(3,$B$16:B406)</f>
        <v>110</v>
      </c>
      <c r="B406" t="s">
        <v>344</v>
      </c>
      <c r="C406" t="s">
        <v>933</v>
      </c>
      <c r="D406">
        <v>54161.509999999995</v>
      </c>
      <c r="E406">
        <v>14573.82</v>
      </c>
      <c r="F406">
        <v>71841.47000000003</v>
      </c>
      <c r="G406">
        <v>86226.550000000032</v>
      </c>
      <c r="H406">
        <v>59762.14</v>
      </c>
      <c r="I406">
        <v>89542.5</v>
      </c>
      <c r="J406">
        <v>54115.5</v>
      </c>
      <c r="K406">
        <v>54114</v>
      </c>
      <c r="L406">
        <v>54114</v>
      </c>
      <c r="M406">
        <v>54114</v>
      </c>
      <c r="N406">
        <v>54114</v>
      </c>
      <c r="O406">
        <v>54114</v>
      </c>
      <c r="P406">
        <v>54161.510000000009</v>
      </c>
      <c r="Q406">
        <v>14573.820000000011</v>
      </c>
      <c r="R406">
        <v>71841.47</v>
      </c>
      <c r="S406">
        <v>86249.000000000058</v>
      </c>
      <c r="T406">
        <v>59762.140000000007</v>
      </c>
      <c r="U406">
        <v>74012.03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f>SUMPRODUCT(DB_SOFList[[#This Row],[Plan01]:[Plan12]],$D$14:$O$14)/valUnits2</f>
        <v>376.10799000000003</v>
      </c>
      <c r="AC406">
        <f>SUMPRODUCT(DB_SOFList[[#This Row],[Act01]:[Act12]],$P$14:$AA$14)/valUnits2</f>
        <v>360.5999700000001</v>
      </c>
      <c r="AD406">
        <f>DB_SOFList[[#This Row],[Actual]]-DB_SOFList[[#This Row],[Plan]]</f>
        <v>-15.508019999999931</v>
      </c>
      <c r="AE406">
        <f>IF(DB_SOFList[[#This Row],[Plan]]&lt;&gt;0,DB_SOFList[[#This Row],[Actual]]/DB_SOFList[[#This Row],[Plan]],1.000011000011)</f>
        <v>0.958767108350982</v>
      </c>
      <c r="AF406" s="34">
        <f>SUM(DB_SOFList[[#This Row],[Plan01]:[Plan12]])/valUnits2</f>
        <v>700.79349000000002</v>
      </c>
      <c r="AG406" s="34">
        <f>SUMPRODUCT(DB_SOFList[[#This Row],[Act01]:[Act12]],$P$13:$AA$13)/valUnits2</f>
        <v>360.5999700000001</v>
      </c>
      <c r="AH406" s="34">
        <f>IF(DB_SOFList[[#This Row],[FYPlan]]&lt;&gt;0,DB_SOFList[[#This Row],[FYActuals]]/DB_SOFList[[#This Row],[FYPlan]],1.000011000011)</f>
        <v>0.51455953165318369</v>
      </c>
    </row>
    <row r="407" spans="1:34" hidden="1" x14ac:dyDescent="0.2">
      <c r="A407">
        <f>SUBTOTAL(3,$B$16:B407)</f>
        <v>110</v>
      </c>
      <c r="B407" t="s">
        <v>348</v>
      </c>
      <c r="C407" t="s">
        <v>933</v>
      </c>
      <c r="D407">
        <v>0</v>
      </c>
      <c r="E407">
        <v>11.280000000000001</v>
      </c>
      <c r="F407">
        <v>0</v>
      </c>
      <c r="G407">
        <v>1087.1799999999998</v>
      </c>
      <c r="H407">
        <v>1039.8500000000001</v>
      </c>
      <c r="I407">
        <v>15428.250999999998</v>
      </c>
      <c r="J407">
        <v>15428.250999999998</v>
      </c>
      <c r="K407">
        <v>15428.250999999998</v>
      </c>
      <c r="L407">
        <v>15428.250999999998</v>
      </c>
      <c r="M407">
        <v>15428.250999999998</v>
      </c>
      <c r="N407">
        <v>15428.250999999998</v>
      </c>
      <c r="O407">
        <v>15428.250999999998</v>
      </c>
      <c r="P407">
        <v>0</v>
      </c>
      <c r="Q407">
        <v>11.280000000000001</v>
      </c>
      <c r="R407">
        <v>0</v>
      </c>
      <c r="S407">
        <v>1087.18</v>
      </c>
      <c r="T407">
        <v>1039.8500000000001</v>
      </c>
      <c r="U407">
        <v>1159.47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f>SUMPRODUCT(DB_SOFList[[#This Row],[Plan01]:[Plan12]],$D$14:$O$14)/valUnits2</f>
        <v>17.566560999999997</v>
      </c>
      <c r="AC407">
        <f>SUMPRODUCT(DB_SOFList[[#This Row],[Act01]:[Act12]],$P$14:$AA$14)/valUnits2</f>
        <v>3.2977800000000008</v>
      </c>
      <c r="AD407">
        <f>DB_SOFList[[#This Row],[Actual]]-DB_SOFList[[#This Row],[Plan]]</f>
        <v>-14.268780999999995</v>
      </c>
      <c r="AE407">
        <f>IF(DB_SOFList[[#This Row],[Plan]]&lt;&gt;0,DB_SOFList[[#This Row],[Actual]]/DB_SOFList[[#This Row],[Plan]],1.000011000011)</f>
        <v>0.18773054099775144</v>
      </c>
      <c r="AF407" s="34">
        <f>SUM(DB_SOFList[[#This Row],[Plan01]:[Plan12]])/valUnits2</f>
        <v>110.136067</v>
      </c>
      <c r="AG407" s="34">
        <f>SUMPRODUCT(DB_SOFList[[#This Row],[Act01]:[Act12]],$P$13:$AA$13)/valUnits2</f>
        <v>3.2977800000000008</v>
      </c>
      <c r="AH407" s="34">
        <f>IF(DB_SOFList[[#This Row],[FYPlan]]&lt;&gt;0,DB_SOFList[[#This Row],[FYActuals]]/DB_SOFList[[#This Row],[FYPlan]],1.000011000011)</f>
        <v>2.994277977985178E-2</v>
      </c>
    </row>
    <row r="408" spans="1:34" hidden="1" x14ac:dyDescent="0.2">
      <c r="A408">
        <f>SUBTOTAL(3,$B$16:B408)</f>
        <v>110</v>
      </c>
      <c r="B408" t="s">
        <v>349</v>
      </c>
      <c r="C408" t="s">
        <v>933</v>
      </c>
      <c r="D408">
        <v>5769.2499999999982</v>
      </c>
      <c r="E408">
        <v>18081.419999999998</v>
      </c>
      <c r="F408">
        <v>11407.939999999999</v>
      </c>
      <c r="G408">
        <v>1311.41</v>
      </c>
      <c r="H408">
        <v>21406.23</v>
      </c>
      <c r="I408">
        <v>11339.251</v>
      </c>
      <c r="J408">
        <v>11339.251</v>
      </c>
      <c r="K408">
        <v>11339.251</v>
      </c>
      <c r="L408">
        <v>11339.251</v>
      </c>
      <c r="M408">
        <v>11339.251</v>
      </c>
      <c r="N408">
        <v>11339.251</v>
      </c>
      <c r="O408">
        <v>11339.251</v>
      </c>
      <c r="P408">
        <v>5769.25</v>
      </c>
      <c r="Q408">
        <v>18081.419999999998</v>
      </c>
      <c r="R408">
        <v>11407.940000000002</v>
      </c>
      <c r="S408">
        <v>1311.41</v>
      </c>
      <c r="T408">
        <v>21406.230000000003</v>
      </c>
      <c r="U408">
        <v>17613.559999999998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f>SUMPRODUCT(DB_SOFList[[#This Row],[Plan01]:[Plan12]],$D$14:$O$14)/valUnits2</f>
        <v>69.315500999999998</v>
      </c>
      <c r="AC408">
        <f>SUMPRODUCT(DB_SOFList[[#This Row],[Act01]:[Act12]],$P$14:$AA$14)/valUnits2</f>
        <v>75.58981</v>
      </c>
      <c r="AD408">
        <f>DB_SOFList[[#This Row],[Actual]]-DB_SOFList[[#This Row],[Plan]]</f>
        <v>6.2743090000000024</v>
      </c>
      <c r="AE408">
        <f>IF(DB_SOFList[[#This Row],[Plan]]&lt;&gt;0,DB_SOFList[[#This Row],[Actual]]/DB_SOFList[[#This Row],[Plan]],1.000011000011)</f>
        <v>1.0905181223461113</v>
      </c>
      <c r="AF408" s="34">
        <f>SUM(DB_SOFList[[#This Row],[Plan01]:[Plan12]])/valUnits2</f>
        <v>137.35100700000001</v>
      </c>
      <c r="AG408" s="34">
        <f>SUMPRODUCT(DB_SOFList[[#This Row],[Act01]:[Act12]],$P$13:$AA$13)/valUnits2</f>
        <v>75.58981</v>
      </c>
      <c r="AH408" s="34">
        <f>IF(DB_SOFList[[#This Row],[FYPlan]]&lt;&gt;0,DB_SOFList[[#This Row],[FYActuals]]/DB_SOFList[[#This Row],[FYPlan]],1.000011000011)</f>
        <v>0.55034041359449226</v>
      </c>
    </row>
    <row r="409" spans="1:34" hidden="1" x14ac:dyDescent="0.2">
      <c r="A409">
        <f>SUBTOTAL(3,$B$16:B409)</f>
        <v>110</v>
      </c>
      <c r="B409" t="s">
        <v>350</v>
      </c>
      <c r="C409" t="s">
        <v>933</v>
      </c>
      <c r="D409">
        <v>0</v>
      </c>
      <c r="E409">
        <v>0</v>
      </c>
      <c r="F409">
        <v>0</v>
      </c>
      <c r="G409">
        <v>0</v>
      </c>
      <c r="H409">
        <v>706.89</v>
      </c>
      <c r="I409">
        <v>0</v>
      </c>
      <c r="P409">
        <v>0</v>
      </c>
      <c r="Q409">
        <v>0</v>
      </c>
      <c r="R409">
        <v>0</v>
      </c>
      <c r="S409">
        <v>0</v>
      </c>
      <c r="T409">
        <v>706.89</v>
      </c>
      <c r="U409">
        <v>0</v>
      </c>
      <c r="AB409" s="34">
        <f>SUMPRODUCT(DB_SOFList[[#This Row],[Plan01]:[Plan12]],$D$14:$O$14)/valUnits2</f>
        <v>0.70689000000000002</v>
      </c>
      <c r="AC409" s="34">
        <f>SUMPRODUCT(DB_SOFList[[#This Row],[Act01]:[Act12]],$P$14:$AA$14)/valUnits2</f>
        <v>0.70689000000000002</v>
      </c>
      <c r="AD409" s="34">
        <f>DB_SOFList[[#This Row],[Actual]]-DB_SOFList[[#This Row],[Plan]]</f>
        <v>0</v>
      </c>
      <c r="AE409" s="34">
        <f>IF(DB_SOFList[[#This Row],[Plan]]&lt;&gt;0,DB_SOFList[[#This Row],[Actual]]/DB_SOFList[[#This Row],[Plan]],1.000011000011)</f>
        <v>1</v>
      </c>
      <c r="AF409" s="34">
        <f>SUM(DB_SOFList[[#This Row],[Plan01]:[Plan12]])/valUnits2</f>
        <v>0.70689000000000002</v>
      </c>
      <c r="AG409" s="34">
        <f>SUMPRODUCT(DB_SOFList[[#This Row],[Act01]:[Act12]],$P$13:$AA$13)/valUnits2</f>
        <v>0.70689000000000002</v>
      </c>
      <c r="AH409" s="34">
        <f>IF(DB_SOFList[[#This Row],[FYPlan]]&lt;&gt;0,DB_SOFList[[#This Row],[FYActuals]]/DB_SOFList[[#This Row],[FYPlan]],1.000011000011)</f>
        <v>1</v>
      </c>
    </row>
    <row r="410" spans="1:34" x14ac:dyDescent="0.2">
      <c r="A410">
        <f>SUBTOTAL(3,$B$16:B410)</f>
        <v>111</v>
      </c>
      <c r="B410" t="s">
        <v>1</v>
      </c>
      <c r="C410" t="s">
        <v>934</v>
      </c>
      <c r="D410">
        <v>0</v>
      </c>
      <c r="E410">
        <v>0</v>
      </c>
      <c r="F410">
        <v>0</v>
      </c>
      <c r="G410">
        <v>1605695.61</v>
      </c>
      <c r="H410">
        <v>0</v>
      </c>
      <c r="I410">
        <v>1491983.7069999999</v>
      </c>
      <c r="J410">
        <v>0</v>
      </c>
      <c r="K410">
        <v>0</v>
      </c>
      <c r="L410">
        <v>1491983.7069999999</v>
      </c>
      <c r="M410">
        <v>0</v>
      </c>
      <c r="N410">
        <v>0</v>
      </c>
      <c r="O410">
        <v>1478955.7069999999</v>
      </c>
      <c r="P410">
        <v>0</v>
      </c>
      <c r="Q410">
        <v>0</v>
      </c>
      <c r="R410">
        <v>0</v>
      </c>
      <c r="S410">
        <v>1605695.61</v>
      </c>
      <c r="T410">
        <v>0</v>
      </c>
      <c r="U410">
        <v>572741.81999999995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s="34">
        <f>SUMPRODUCT(DB_SOFList[[#This Row],[Plan01]:[Plan12]],$D$14:$O$14)/valUnits2</f>
        <v>3097.6793169999996</v>
      </c>
      <c r="AC410" s="34">
        <f>SUMPRODUCT(DB_SOFList[[#This Row],[Act01]:[Act12]],$P$14:$AA$14)/valUnits2</f>
        <v>2178.4374299999999</v>
      </c>
      <c r="AD410" s="34">
        <f>DB_SOFList[[#This Row],[Actual]]-DB_SOFList[[#This Row],[Plan]]</f>
        <v>-919.24188699999968</v>
      </c>
      <c r="AE410" s="34">
        <f>IF(DB_SOFList[[#This Row],[Plan]]&lt;&gt;0,DB_SOFList[[#This Row],[Actual]]/DB_SOFList[[#This Row],[Plan]],1.000011000011)</f>
        <v>0.70324820843938907</v>
      </c>
      <c r="AF410" s="34">
        <f>SUM(DB_SOFList[[#This Row],[Plan01]:[Plan12]])/valUnits2</f>
        <v>6068.6187310000005</v>
      </c>
      <c r="AG410" s="34">
        <f>SUMPRODUCT(DB_SOFList[[#This Row],[Act01]:[Act12]],$P$13:$AA$13)/valUnits2</f>
        <v>2178.4374299999999</v>
      </c>
      <c r="AH410" s="34">
        <f>IF(DB_SOFList[[#This Row],[FYPlan]]&lt;&gt;0,DB_SOFList[[#This Row],[FYActuals]]/DB_SOFList[[#This Row],[FYPlan]],1.000011000011)</f>
        <v>0.35896758827045838</v>
      </c>
    </row>
    <row r="411" spans="1:34" hidden="1" x14ac:dyDescent="0.2">
      <c r="A411">
        <f>SUBTOTAL(3,$B$16:B411)</f>
        <v>111</v>
      </c>
      <c r="B411" t="s">
        <v>344</v>
      </c>
      <c r="C411" t="s">
        <v>934</v>
      </c>
      <c r="D411">
        <v>0</v>
      </c>
      <c r="E411">
        <v>0</v>
      </c>
      <c r="F411">
        <v>0</v>
      </c>
      <c r="G411">
        <v>1605695.61</v>
      </c>
      <c r="H411">
        <v>0</v>
      </c>
      <c r="I411">
        <v>1491983.7069999999</v>
      </c>
      <c r="J411">
        <v>0</v>
      </c>
      <c r="K411">
        <v>0</v>
      </c>
      <c r="L411">
        <v>1491983.7069999999</v>
      </c>
      <c r="M411">
        <v>0</v>
      </c>
      <c r="N411">
        <v>0</v>
      </c>
      <c r="O411">
        <v>1478955.7069999999</v>
      </c>
      <c r="P411">
        <v>0</v>
      </c>
      <c r="Q411">
        <v>0</v>
      </c>
      <c r="R411">
        <v>0</v>
      </c>
      <c r="S411">
        <v>1605695.61</v>
      </c>
      <c r="T411">
        <v>0</v>
      </c>
      <c r="U411">
        <v>572741.81999999995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f>SUMPRODUCT(DB_SOFList[[#This Row],[Plan01]:[Plan12]],$D$14:$O$14)/valUnits2</f>
        <v>3097.6793169999996</v>
      </c>
      <c r="AC411">
        <f>SUMPRODUCT(DB_SOFList[[#This Row],[Act01]:[Act12]],$P$14:$AA$14)/valUnits2</f>
        <v>2178.4374299999999</v>
      </c>
      <c r="AD411">
        <f>DB_SOFList[[#This Row],[Actual]]-DB_SOFList[[#This Row],[Plan]]</f>
        <v>-919.24188699999968</v>
      </c>
      <c r="AE411">
        <f>IF(DB_SOFList[[#This Row],[Plan]]&lt;&gt;0,DB_SOFList[[#This Row],[Actual]]/DB_SOFList[[#This Row],[Plan]],1.000011000011)</f>
        <v>0.70324820843938907</v>
      </c>
      <c r="AF411" s="34">
        <f>SUM(DB_SOFList[[#This Row],[Plan01]:[Plan12]])/valUnits2</f>
        <v>6068.6187310000005</v>
      </c>
      <c r="AG411" s="34">
        <f>SUMPRODUCT(DB_SOFList[[#This Row],[Act01]:[Act12]],$P$13:$AA$13)/valUnits2</f>
        <v>2178.4374299999999</v>
      </c>
      <c r="AH411" s="34">
        <f>IF(DB_SOFList[[#This Row],[FYPlan]]&lt;&gt;0,DB_SOFList[[#This Row],[FYActuals]]/DB_SOFList[[#This Row],[FYPlan]],1.000011000011)</f>
        <v>0.35896758827045838</v>
      </c>
    </row>
    <row r="412" spans="1:34" x14ac:dyDescent="0.2">
      <c r="A412">
        <f>SUBTOTAL(3,$B$16:B412)</f>
        <v>112</v>
      </c>
      <c r="B412" t="s">
        <v>1</v>
      </c>
      <c r="C412" t="s">
        <v>935</v>
      </c>
      <c r="D412">
        <v>207818.73099999985</v>
      </c>
      <c r="E412">
        <v>474166.32099999994</v>
      </c>
      <c r="F412">
        <v>265884.18300000008</v>
      </c>
      <c r="G412">
        <v>401760.49099999986</v>
      </c>
      <c r="H412">
        <v>216971.44200000021</v>
      </c>
      <c r="I412">
        <v>277370.97800000018</v>
      </c>
      <c r="J412">
        <v>277370.97800000018</v>
      </c>
      <c r="K412">
        <v>224493.5089999999</v>
      </c>
      <c r="L412">
        <v>224493.50899999999</v>
      </c>
      <c r="M412">
        <v>224493.50900000002</v>
      </c>
      <c r="N412">
        <v>224493.50900000002</v>
      </c>
      <c r="O412">
        <v>237646.59700000001</v>
      </c>
      <c r="P412">
        <v>210848.3</v>
      </c>
      <c r="Q412">
        <v>491263.2900000001</v>
      </c>
      <c r="R412">
        <v>265327.85999999993</v>
      </c>
      <c r="S412">
        <v>396752.99000000022</v>
      </c>
      <c r="T412">
        <v>216749.48000000013</v>
      </c>
      <c r="U412">
        <v>421679.16999999981</v>
      </c>
      <c r="V412">
        <v>3717</v>
      </c>
      <c r="W412">
        <v>0</v>
      </c>
      <c r="X412">
        <v>0</v>
      </c>
      <c r="Y412">
        <v>0</v>
      </c>
      <c r="Z412">
        <v>0</v>
      </c>
      <c r="AA412">
        <v>0</v>
      </c>
      <c r="AB412" s="34">
        <f>SUMPRODUCT(DB_SOFList[[#This Row],[Plan01]:[Plan12]],$D$14:$O$14)/valUnits2</f>
        <v>1843.9721460000003</v>
      </c>
      <c r="AC412" s="34">
        <f>SUMPRODUCT(DB_SOFList[[#This Row],[Act01]:[Act12]],$P$14:$AA$14)/valUnits2</f>
        <v>2002.6210900000003</v>
      </c>
      <c r="AD412" s="34">
        <f>DB_SOFList[[#This Row],[Actual]]-DB_SOFList[[#This Row],[Plan]]</f>
        <v>158.64894400000003</v>
      </c>
      <c r="AE412" s="34">
        <f>IF(DB_SOFList[[#This Row],[Plan]]&lt;&gt;0,DB_SOFList[[#This Row],[Actual]]/DB_SOFList[[#This Row],[Plan]],1.000011000011)</f>
        <v>1.0860365186882817</v>
      </c>
      <c r="AF412" s="34">
        <f>SUM(DB_SOFList[[#This Row],[Plan01]:[Plan12]])/valUnits2</f>
        <v>3256.9637570000009</v>
      </c>
      <c r="AG412" s="34">
        <f>SUMPRODUCT(DB_SOFList[[#This Row],[Act01]:[Act12]],$P$13:$AA$13)/valUnits2</f>
        <v>2002.6210900000003</v>
      </c>
      <c r="AH412" s="34">
        <f>IF(DB_SOFList[[#This Row],[FYPlan]]&lt;&gt;0,DB_SOFList[[#This Row],[FYActuals]]/DB_SOFList[[#This Row],[FYPlan]],1.000011000011)</f>
        <v>0.61487361831886655</v>
      </c>
    </row>
    <row r="413" spans="1:34" hidden="1" x14ac:dyDescent="0.2">
      <c r="A413">
        <f>SUBTOTAL(3,$B$16:B413)</f>
        <v>112</v>
      </c>
      <c r="B413" t="s">
        <v>351</v>
      </c>
      <c r="C413" t="s">
        <v>935</v>
      </c>
      <c r="D413">
        <v>1695.809</v>
      </c>
      <c r="E413">
        <v>6957.4940000000006</v>
      </c>
      <c r="F413">
        <v>6971.6539999999986</v>
      </c>
      <c r="G413">
        <v>22230.314999999999</v>
      </c>
      <c r="H413">
        <v>11853.857000000004</v>
      </c>
      <c r="I413">
        <v>8214.0689999999995</v>
      </c>
      <c r="J413">
        <v>8214.0689999999995</v>
      </c>
      <c r="K413">
        <v>8214.0689999999995</v>
      </c>
      <c r="L413">
        <v>8214.0689999999995</v>
      </c>
      <c r="M413">
        <v>8214.0689999999995</v>
      </c>
      <c r="N413">
        <v>8214.0689999999995</v>
      </c>
      <c r="O413">
        <v>8455.137999999999</v>
      </c>
      <c r="P413">
        <v>1704.6799999999998</v>
      </c>
      <c r="Q413">
        <v>7134.3100000000013</v>
      </c>
      <c r="R413">
        <v>6932.9099999999989</v>
      </c>
      <c r="S413">
        <v>22195.500000000004</v>
      </c>
      <c r="T413">
        <v>11914.34</v>
      </c>
      <c r="U413">
        <v>9924.16</v>
      </c>
      <c r="V413">
        <v>3717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f>SUMPRODUCT(DB_SOFList[[#This Row],[Plan01]:[Plan12]],$D$14:$O$14)/valUnits2</f>
        <v>57.923198000000006</v>
      </c>
      <c r="AC413">
        <f>SUMPRODUCT(DB_SOFList[[#This Row],[Act01]:[Act12]],$P$14:$AA$14)/valUnits2</f>
        <v>59.805900000000008</v>
      </c>
      <c r="AD413">
        <f>DB_SOFList[[#This Row],[Actual]]-DB_SOFList[[#This Row],[Plan]]</f>
        <v>1.8827020000000019</v>
      </c>
      <c r="AE413">
        <f>IF(DB_SOFList[[#This Row],[Plan]]&lt;&gt;0,DB_SOFList[[#This Row],[Actual]]/DB_SOFList[[#This Row],[Plan]],1.000011000011)</f>
        <v>1.0325034194417235</v>
      </c>
      <c r="AF413" s="34">
        <f>SUM(DB_SOFList[[#This Row],[Plan01]:[Plan12]])/valUnits2</f>
        <v>107.44868100000001</v>
      </c>
      <c r="AG413" s="34">
        <f>SUMPRODUCT(DB_SOFList[[#This Row],[Act01]:[Act12]],$P$13:$AA$13)/valUnits2</f>
        <v>59.805900000000008</v>
      </c>
      <c r="AH413" s="34">
        <f>IF(DB_SOFList[[#This Row],[FYPlan]]&lt;&gt;0,DB_SOFList[[#This Row],[FYActuals]]/DB_SOFList[[#This Row],[FYPlan]],1.000011000011)</f>
        <v>0.55659966640260572</v>
      </c>
    </row>
    <row r="414" spans="1:34" hidden="1" x14ac:dyDescent="0.2">
      <c r="A414">
        <f>SUBTOTAL(3,$B$16:B414)</f>
        <v>112</v>
      </c>
      <c r="B414" t="s">
        <v>348</v>
      </c>
      <c r="C414" t="s">
        <v>935</v>
      </c>
      <c r="D414">
        <v>206122.92199999985</v>
      </c>
      <c r="E414">
        <v>466811.75699999993</v>
      </c>
      <c r="F414">
        <v>258729.29500000007</v>
      </c>
      <c r="G414">
        <v>379156.32899999985</v>
      </c>
      <c r="H414">
        <v>204923.70900000021</v>
      </c>
      <c r="I414">
        <v>268840.46800000017</v>
      </c>
      <c r="J414">
        <v>268840.46800000017</v>
      </c>
      <c r="K414">
        <v>215962.99899999992</v>
      </c>
      <c r="L414">
        <v>215962.99900000001</v>
      </c>
      <c r="M414">
        <v>215962.99900000004</v>
      </c>
      <c r="N414">
        <v>215962.99900000004</v>
      </c>
      <c r="O414">
        <v>228875.01800000001</v>
      </c>
      <c r="P414">
        <v>209143.62</v>
      </c>
      <c r="Q414">
        <v>483719.53000000009</v>
      </c>
      <c r="R414">
        <v>258212.7399999999</v>
      </c>
      <c r="S414">
        <v>374190.04000000021</v>
      </c>
      <c r="T414">
        <v>204641.57000000012</v>
      </c>
      <c r="U414">
        <v>411393.24999999983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f>SUMPRODUCT(DB_SOFList[[#This Row],[Plan01]:[Plan12]],$D$14:$O$14)/valUnits2</f>
        <v>1784.58448</v>
      </c>
      <c r="AC414">
        <f>SUMPRODUCT(DB_SOFList[[#This Row],[Act01]:[Act12]],$P$14:$AA$14)/valUnits2</f>
        <v>1941.3007500000001</v>
      </c>
      <c r="AD414">
        <f>DB_SOFList[[#This Row],[Actual]]-DB_SOFList[[#This Row],[Plan]]</f>
        <v>156.71627000000012</v>
      </c>
      <c r="AE414">
        <f>IF(DB_SOFList[[#This Row],[Plan]]&lt;&gt;0,DB_SOFList[[#This Row],[Actual]]/DB_SOFList[[#This Row],[Plan]],1.000011000011)</f>
        <v>1.0878166720356104</v>
      </c>
      <c r="AF414" s="34">
        <f>SUM(DB_SOFList[[#This Row],[Plan01]:[Plan12]])/valUnits2</f>
        <v>3146.1519619999999</v>
      </c>
      <c r="AG414" s="34">
        <f>SUMPRODUCT(DB_SOFList[[#This Row],[Act01]:[Act12]],$P$13:$AA$13)/valUnits2</f>
        <v>1941.3007500000001</v>
      </c>
      <c r="AH414" s="34">
        <f>IF(DB_SOFList[[#This Row],[FYPlan]]&lt;&gt;0,DB_SOFList[[#This Row],[FYActuals]]/DB_SOFList[[#This Row],[FYPlan]],1.000011000011)</f>
        <v>0.61703972772056459</v>
      </c>
    </row>
    <row r="415" spans="1:34" hidden="1" x14ac:dyDescent="0.2">
      <c r="A415">
        <f>SUBTOTAL(3,$B$16:B415)</f>
        <v>112</v>
      </c>
      <c r="B415" t="s">
        <v>350</v>
      </c>
      <c r="C415" t="s">
        <v>935</v>
      </c>
      <c r="D415">
        <v>0</v>
      </c>
      <c r="E415">
        <v>397.07</v>
      </c>
      <c r="F415">
        <v>183.23400000000001</v>
      </c>
      <c r="G415">
        <v>373.84699999999998</v>
      </c>
      <c r="H415">
        <v>193.87599999999998</v>
      </c>
      <c r="I415">
        <v>316.44100000000003</v>
      </c>
      <c r="J415">
        <v>316.44100000000003</v>
      </c>
      <c r="K415">
        <v>316.44100000000003</v>
      </c>
      <c r="L415">
        <v>316.44100000000003</v>
      </c>
      <c r="M415">
        <v>316.44100000000003</v>
      </c>
      <c r="N415">
        <v>316.44100000000003</v>
      </c>
      <c r="O415">
        <v>316.44100000000003</v>
      </c>
      <c r="P415">
        <v>0</v>
      </c>
      <c r="Q415">
        <v>409.45000000000005</v>
      </c>
      <c r="R415">
        <v>182.21</v>
      </c>
      <c r="S415">
        <v>367.45</v>
      </c>
      <c r="T415">
        <v>193.57</v>
      </c>
      <c r="U415">
        <v>361.76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f>SUMPRODUCT(DB_SOFList[[#This Row],[Plan01]:[Plan12]],$D$14:$O$14)/valUnits2</f>
        <v>1.4644680000000001</v>
      </c>
      <c r="AC415">
        <f>SUMPRODUCT(DB_SOFList[[#This Row],[Act01]:[Act12]],$P$14:$AA$14)/valUnits2</f>
        <v>1.51444</v>
      </c>
      <c r="AD415">
        <f>DB_SOFList[[#This Row],[Actual]]-DB_SOFList[[#This Row],[Plan]]</f>
        <v>4.9971999999999905E-2</v>
      </c>
      <c r="AE415">
        <f>IF(DB_SOFList[[#This Row],[Plan]]&lt;&gt;0,DB_SOFList[[#This Row],[Actual]]/DB_SOFList[[#This Row],[Plan]],1.000011000011)</f>
        <v>1.0341229716183624</v>
      </c>
      <c r="AF415" s="34">
        <f>SUM(DB_SOFList[[#This Row],[Plan01]:[Plan12]])/valUnits2</f>
        <v>3.3631139999999995</v>
      </c>
      <c r="AG415" s="34">
        <f>SUMPRODUCT(DB_SOFList[[#This Row],[Act01]:[Act12]],$P$13:$AA$13)/valUnits2</f>
        <v>1.51444</v>
      </c>
      <c r="AH415" s="34">
        <f>IF(DB_SOFList[[#This Row],[FYPlan]]&lt;&gt;0,DB_SOFList[[#This Row],[FYActuals]]/DB_SOFList[[#This Row],[FYPlan]],1.000011000011)</f>
        <v>0.45030885066637655</v>
      </c>
    </row>
    <row r="416" spans="1:34" x14ac:dyDescent="0.2">
      <c r="A416">
        <f>SUBTOTAL(3,$B$16:B416)</f>
        <v>113</v>
      </c>
      <c r="B416" t="s">
        <v>1</v>
      </c>
      <c r="C416" t="s">
        <v>936</v>
      </c>
      <c r="F416">
        <v>664</v>
      </c>
      <c r="R416">
        <v>638.44000000000005</v>
      </c>
      <c r="AB416" s="34">
        <f>SUMPRODUCT(DB_SOFList[[#This Row],[Plan01]:[Plan12]],$D$14:$O$14)/valUnits2</f>
        <v>0.66400000000000003</v>
      </c>
      <c r="AC416" s="34">
        <f>SUMPRODUCT(DB_SOFList[[#This Row],[Act01]:[Act12]],$P$14:$AA$14)/valUnits2</f>
        <v>0.63844000000000001</v>
      </c>
      <c r="AD416" s="34">
        <f>DB_SOFList[[#This Row],[Actual]]-DB_SOFList[[#This Row],[Plan]]</f>
        <v>-2.5560000000000027E-2</v>
      </c>
      <c r="AE416" s="34">
        <f>IF(DB_SOFList[[#This Row],[Plan]]&lt;&gt;0,DB_SOFList[[#This Row],[Actual]]/DB_SOFList[[#This Row],[Plan]],1.000011000011)</f>
        <v>0.96150602409638553</v>
      </c>
      <c r="AF416" s="34">
        <f>SUM(DB_SOFList[[#This Row],[Plan01]:[Plan12]])/valUnits2</f>
        <v>0.66400000000000003</v>
      </c>
      <c r="AG416" s="34">
        <f>SUMPRODUCT(DB_SOFList[[#This Row],[Act01]:[Act12]],$P$13:$AA$13)/valUnits2</f>
        <v>0.63844000000000001</v>
      </c>
      <c r="AH416" s="34">
        <f>IF(DB_SOFList[[#This Row],[FYPlan]]&lt;&gt;0,DB_SOFList[[#This Row],[FYActuals]]/DB_SOFList[[#This Row],[FYPlan]],1.000011000011)</f>
        <v>0.96150602409638553</v>
      </c>
    </row>
    <row r="417" spans="1:34" hidden="1" x14ac:dyDescent="0.2">
      <c r="A417">
        <f>SUBTOTAL(3,$B$16:B417)</f>
        <v>113</v>
      </c>
      <c r="B417" t="s">
        <v>349</v>
      </c>
      <c r="C417" t="s">
        <v>936</v>
      </c>
      <c r="F417">
        <v>664</v>
      </c>
      <c r="R417">
        <v>638.44000000000005</v>
      </c>
      <c r="AB417" s="34">
        <f>SUMPRODUCT(DB_SOFList[[#This Row],[Plan01]:[Plan12]],$D$14:$O$14)/valUnits2</f>
        <v>0.66400000000000003</v>
      </c>
      <c r="AC417" s="34">
        <f>SUMPRODUCT(DB_SOFList[[#This Row],[Act01]:[Act12]],$P$14:$AA$14)/valUnits2</f>
        <v>0.63844000000000001</v>
      </c>
      <c r="AD417" s="34">
        <f>DB_SOFList[[#This Row],[Actual]]-DB_SOFList[[#This Row],[Plan]]</f>
        <v>-2.5560000000000027E-2</v>
      </c>
      <c r="AE417" s="34">
        <f>IF(DB_SOFList[[#This Row],[Plan]]&lt;&gt;0,DB_SOFList[[#This Row],[Actual]]/DB_SOFList[[#This Row],[Plan]],1.000011000011)</f>
        <v>0.96150602409638553</v>
      </c>
      <c r="AF417" s="34">
        <f>SUM(DB_SOFList[[#This Row],[Plan01]:[Plan12]])/valUnits2</f>
        <v>0.66400000000000003</v>
      </c>
      <c r="AG417" s="34">
        <f>SUMPRODUCT(DB_SOFList[[#This Row],[Act01]:[Act12]],$P$13:$AA$13)/valUnits2</f>
        <v>0.63844000000000001</v>
      </c>
      <c r="AH417" s="34">
        <f>IF(DB_SOFList[[#This Row],[FYPlan]]&lt;&gt;0,DB_SOFList[[#This Row],[FYActuals]]/DB_SOFList[[#This Row],[FYPlan]],1.000011000011)</f>
        <v>0.96150602409638553</v>
      </c>
    </row>
    <row r="418" spans="1:34" x14ac:dyDescent="0.2">
      <c r="A418">
        <f>SUBTOTAL(3,$B$16:B418)</f>
        <v>114</v>
      </c>
      <c r="B418" t="s">
        <v>1</v>
      </c>
      <c r="C418" t="s">
        <v>937</v>
      </c>
      <c r="F418">
        <v>0</v>
      </c>
      <c r="G418">
        <v>43564.919999999991</v>
      </c>
      <c r="H418">
        <v>11151.72</v>
      </c>
      <c r="I418">
        <v>43935.756999999998</v>
      </c>
      <c r="R418">
        <v>0</v>
      </c>
      <c r="S418">
        <v>43564.920000000006</v>
      </c>
      <c r="T418">
        <v>11151.720000000001</v>
      </c>
      <c r="U418">
        <v>12097.190000000002</v>
      </c>
      <c r="AB418">
        <f>SUMPRODUCT(DB_SOFList[[#This Row],[Plan01]:[Plan12]],$D$14:$O$14)/valUnits2</f>
        <v>98.652396999999993</v>
      </c>
      <c r="AC418">
        <f>SUMPRODUCT(DB_SOFList[[#This Row],[Act01]:[Act12]],$P$14:$AA$14)/valUnits2</f>
        <v>66.81383000000001</v>
      </c>
      <c r="AD418">
        <f>DB_SOFList[[#This Row],[Actual]]-DB_SOFList[[#This Row],[Plan]]</f>
        <v>-31.838566999999983</v>
      </c>
      <c r="AE418">
        <f>IF(DB_SOFList[[#This Row],[Plan]]&lt;&gt;0,DB_SOFList[[#This Row],[Actual]]/DB_SOFList[[#This Row],[Plan]],1.000011000011)</f>
        <v>0.67726514541760208</v>
      </c>
      <c r="AF418" s="34">
        <f>SUM(DB_SOFList[[#This Row],[Plan01]:[Plan12]])/valUnits2</f>
        <v>98.652396999999993</v>
      </c>
      <c r="AG418" s="34">
        <f>SUMPRODUCT(DB_SOFList[[#This Row],[Act01]:[Act12]],$P$13:$AA$13)/valUnits2</f>
        <v>66.81383000000001</v>
      </c>
      <c r="AH418" s="34">
        <f>IF(DB_SOFList[[#This Row],[FYPlan]]&lt;&gt;0,DB_SOFList[[#This Row],[FYActuals]]/DB_SOFList[[#This Row],[FYPlan]],1.000011000011)</f>
        <v>0.67726514541760208</v>
      </c>
    </row>
    <row r="419" spans="1:34" hidden="1" x14ac:dyDescent="0.2">
      <c r="A419">
        <f>SUBTOTAL(3,$B$16:B419)</f>
        <v>114</v>
      </c>
      <c r="B419" t="s">
        <v>351</v>
      </c>
      <c r="C419" t="s">
        <v>937</v>
      </c>
      <c r="F419">
        <v>0</v>
      </c>
      <c r="G419">
        <v>3932.77</v>
      </c>
      <c r="H419">
        <v>2772.9</v>
      </c>
      <c r="I419">
        <v>7145.7629999999999</v>
      </c>
      <c r="R419">
        <v>0</v>
      </c>
      <c r="S419">
        <v>3932.7699999999995</v>
      </c>
      <c r="T419">
        <v>2772.9</v>
      </c>
      <c r="U419">
        <v>2865.04</v>
      </c>
      <c r="AB419" s="34">
        <f>SUMPRODUCT(DB_SOFList[[#This Row],[Plan01]:[Plan12]],$D$14:$O$14)/valUnits2</f>
        <v>13.851433</v>
      </c>
      <c r="AC419" s="34">
        <f>SUMPRODUCT(DB_SOFList[[#This Row],[Act01]:[Act12]],$P$14:$AA$14)/valUnits2</f>
        <v>9.5707099999999983</v>
      </c>
      <c r="AD419" s="34">
        <f>DB_SOFList[[#This Row],[Actual]]-DB_SOFList[[#This Row],[Plan]]</f>
        <v>-4.2807230000000018</v>
      </c>
      <c r="AE419" s="34">
        <f>IF(DB_SOFList[[#This Row],[Plan]]&lt;&gt;0,DB_SOFList[[#This Row],[Actual]]/DB_SOFList[[#This Row],[Plan]],1.000011000011)</f>
        <v>0.69095450268575087</v>
      </c>
      <c r="AF419" s="34">
        <f>SUM(DB_SOFList[[#This Row],[Plan01]:[Plan12]])/valUnits2</f>
        <v>13.851433</v>
      </c>
      <c r="AG419" s="34">
        <f>SUMPRODUCT(DB_SOFList[[#This Row],[Act01]:[Act12]],$P$13:$AA$13)/valUnits2</f>
        <v>9.5707099999999983</v>
      </c>
      <c r="AH419" s="34">
        <f>IF(DB_SOFList[[#This Row],[FYPlan]]&lt;&gt;0,DB_SOFList[[#This Row],[FYActuals]]/DB_SOFList[[#This Row],[FYPlan]],1.000011000011)</f>
        <v>0.69095450268575087</v>
      </c>
    </row>
    <row r="420" spans="1:34" hidden="1" x14ac:dyDescent="0.2">
      <c r="A420">
        <f>SUBTOTAL(3,$B$16:B420)</f>
        <v>114</v>
      </c>
      <c r="B420" t="s">
        <v>343</v>
      </c>
      <c r="C420" t="s">
        <v>937</v>
      </c>
      <c r="G420">
        <v>39632.149999999994</v>
      </c>
      <c r="H420">
        <v>8378.82</v>
      </c>
      <c r="I420">
        <v>36789.993999999999</v>
      </c>
      <c r="S420">
        <v>39632.150000000009</v>
      </c>
      <c r="T420">
        <v>8378.8200000000015</v>
      </c>
      <c r="U420">
        <v>9232.1500000000015</v>
      </c>
      <c r="AB420" s="34">
        <f>SUMPRODUCT(DB_SOFList[[#This Row],[Plan01]:[Plan12]],$D$14:$O$14)/valUnits2</f>
        <v>84.800963999999993</v>
      </c>
      <c r="AC420" s="34">
        <f>SUMPRODUCT(DB_SOFList[[#This Row],[Act01]:[Act12]],$P$14:$AA$14)/valUnits2</f>
        <v>57.243120000000012</v>
      </c>
      <c r="AD420" s="34">
        <f>DB_SOFList[[#This Row],[Actual]]-DB_SOFList[[#This Row],[Plan]]</f>
        <v>-27.557843999999982</v>
      </c>
      <c r="AE420" s="34">
        <f>IF(DB_SOFList[[#This Row],[Plan]]&lt;&gt;0,DB_SOFList[[#This Row],[Actual]]/DB_SOFList[[#This Row],[Plan]],1.000011000011)</f>
        <v>0.67502911877275373</v>
      </c>
      <c r="AF420" s="34">
        <f>SUM(DB_SOFList[[#This Row],[Plan01]:[Plan12]])/valUnits2</f>
        <v>84.800963999999993</v>
      </c>
      <c r="AG420" s="34">
        <f>SUMPRODUCT(DB_SOFList[[#This Row],[Act01]:[Act12]],$P$13:$AA$13)/valUnits2</f>
        <v>57.243120000000012</v>
      </c>
      <c r="AH420" s="34">
        <f>IF(DB_SOFList[[#This Row],[FYPlan]]&lt;&gt;0,DB_SOFList[[#This Row],[FYActuals]]/DB_SOFList[[#This Row],[FYPlan]],1.000011000011)</f>
        <v>0.67502911877275373</v>
      </c>
    </row>
    <row r="421" spans="1:34" x14ac:dyDescent="0.2">
      <c r="A421">
        <f>SUBTOTAL(3,$B$16:B421)</f>
        <v>114</v>
      </c>
    </row>
    <row r="422" spans="1:34" x14ac:dyDescent="0.2">
      <c r="A422">
        <f>SUBTOTAL(3,$B$16:B422)</f>
        <v>114</v>
      </c>
    </row>
    <row r="423" spans="1:34" x14ac:dyDescent="0.2">
      <c r="A423">
        <f>SUBTOTAL(3,$B$16:B423)</f>
        <v>114</v>
      </c>
    </row>
    <row r="424" spans="1:34" x14ac:dyDescent="0.2">
      <c r="A424">
        <f>SUBTOTAL(3,$B$16:B424)</f>
        <v>114</v>
      </c>
    </row>
    <row r="425" spans="1:34" x14ac:dyDescent="0.2">
      <c r="A425">
        <f>SUBTOTAL(3,$B$16:B425)</f>
        <v>114</v>
      </c>
    </row>
    <row r="426" spans="1:34" x14ac:dyDescent="0.2">
      <c r="A426">
        <f>SUBTOTAL(3,$B$16:B426)</f>
        <v>114</v>
      </c>
    </row>
    <row r="427" spans="1:34" x14ac:dyDescent="0.2">
      <c r="A427">
        <f>SUBTOTAL(3,$B$16:B427)</f>
        <v>114</v>
      </c>
    </row>
    <row r="428" spans="1:34" x14ac:dyDescent="0.2">
      <c r="A428">
        <f>SUBTOTAL(3,$B$16:B428)</f>
        <v>114</v>
      </c>
    </row>
    <row r="429" spans="1:34" x14ac:dyDescent="0.2">
      <c r="A429">
        <f>SUBTOTAL(3,$B$16:B429)</f>
        <v>114</v>
      </c>
    </row>
    <row r="430" spans="1:34" x14ac:dyDescent="0.2">
      <c r="A430">
        <f>SUBTOTAL(3,$B$16:B430)</f>
        <v>114</v>
      </c>
    </row>
    <row r="431" spans="1:34" x14ac:dyDescent="0.2">
      <c r="A431">
        <f>SUBTOTAL(3,$B$16:B431)</f>
        <v>114</v>
      </c>
    </row>
    <row r="432" spans="1:34" x14ac:dyDescent="0.2">
      <c r="A432">
        <f>SUBTOTAL(3,$B$16:B432)</f>
        <v>114</v>
      </c>
    </row>
    <row r="433" spans="1:1" x14ac:dyDescent="0.2">
      <c r="A433">
        <f>SUBTOTAL(3,$B$16:B433)</f>
        <v>114</v>
      </c>
    </row>
    <row r="434" spans="1:1" x14ac:dyDescent="0.2">
      <c r="A434">
        <f>SUBTOTAL(3,$B$16:B434)</f>
        <v>114</v>
      </c>
    </row>
    <row r="435" spans="1:1" x14ac:dyDescent="0.2">
      <c r="A435">
        <f>SUBTOTAL(3,$B$16:B435)</f>
        <v>114</v>
      </c>
    </row>
    <row r="436" spans="1:1" x14ac:dyDescent="0.2">
      <c r="A436">
        <f>SUBTOTAL(3,$B$16:B436)</f>
        <v>114</v>
      </c>
    </row>
    <row r="437" spans="1:1" x14ac:dyDescent="0.2">
      <c r="A437">
        <f>SUBTOTAL(3,$B$16:B437)</f>
        <v>114</v>
      </c>
    </row>
    <row r="438" spans="1:1" x14ac:dyDescent="0.2">
      <c r="A438">
        <f>SUBTOTAL(3,$B$16:B438)</f>
        <v>114</v>
      </c>
    </row>
    <row r="439" spans="1:1" x14ac:dyDescent="0.2">
      <c r="A439">
        <f>SUBTOTAL(3,$B$16:B439)</f>
        <v>114</v>
      </c>
    </row>
    <row r="440" spans="1:1" x14ac:dyDescent="0.2">
      <c r="A440">
        <f>SUBTOTAL(3,$B$16:B440)</f>
        <v>114</v>
      </c>
    </row>
    <row r="441" spans="1:1" x14ac:dyDescent="0.2">
      <c r="A441">
        <f>SUBTOTAL(3,$B$16:B441)</f>
        <v>114</v>
      </c>
    </row>
    <row r="442" spans="1:1" x14ac:dyDescent="0.2">
      <c r="A442">
        <f>SUBTOTAL(3,$B$16:B442)</f>
        <v>114</v>
      </c>
    </row>
    <row r="443" spans="1:1" x14ac:dyDescent="0.2">
      <c r="A443">
        <f>SUBTOTAL(3,$B$16:B443)</f>
        <v>114</v>
      </c>
    </row>
    <row r="444" spans="1:1" x14ac:dyDescent="0.2">
      <c r="A444">
        <f>SUBTOTAL(3,$B$16:B444)</f>
        <v>114</v>
      </c>
    </row>
    <row r="445" spans="1:1" x14ac:dyDescent="0.2">
      <c r="A445">
        <f>SUBTOTAL(3,$B$16:B445)</f>
        <v>114</v>
      </c>
    </row>
    <row r="446" spans="1:1" x14ac:dyDescent="0.2">
      <c r="A446">
        <f>SUBTOTAL(3,$B$16:B446)</f>
        <v>114</v>
      </c>
    </row>
    <row r="447" spans="1:1" x14ac:dyDescent="0.2">
      <c r="A447">
        <f>SUBTOTAL(3,$B$16:B447)</f>
        <v>114</v>
      </c>
    </row>
    <row r="448" spans="1:1" x14ac:dyDescent="0.2">
      <c r="A448">
        <f>SUBTOTAL(3,$B$16:B448)</f>
        <v>114</v>
      </c>
    </row>
    <row r="449" spans="1:1" x14ac:dyDescent="0.2">
      <c r="A449">
        <f>SUBTOTAL(3,$B$16:B449)</f>
        <v>114</v>
      </c>
    </row>
    <row r="450" spans="1:1" x14ac:dyDescent="0.2">
      <c r="A450">
        <f>SUBTOTAL(3,$B$16:B450)</f>
        <v>114</v>
      </c>
    </row>
    <row r="451" spans="1:1" x14ac:dyDescent="0.2">
      <c r="A451">
        <f>SUBTOTAL(3,$B$16:B451)</f>
        <v>114</v>
      </c>
    </row>
    <row r="452" spans="1:1" x14ac:dyDescent="0.2">
      <c r="A452">
        <f>SUBTOTAL(3,$B$16:B452)</f>
        <v>114</v>
      </c>
    </row>
    <row r="453" spans="1:1" x14ac:dyDescent="0.2">
      <c r="A453">
        <f>SUBTOTAL(3,$B$16:B453)</f>
        <v>114</v>
      </c>
    </row>
    <row r="454" spans="1:1" x14ac:dyDescent="0.2">
      <c r="A454">
        <f>SUBTOTAL(3,$B$16:B454)</f>
        <v>114</v>
      </c>
    </row>
    <row r="455" spans="1:1" x14ac:dyDescent="0.2">
      <c r="A455">
        <f>SUBTOTAL(3,$B$16:B455)</f>
        <v>114</v>
      </c>
    </row>
    <row r="456" spans="1:1" x14ac:dyDescent="0.2">
      <c r="A456">
        <f>SUBTOTAL(3,$B$16:B456)</f>
        <v>114</v>
      </c>
    </row>
    <row r="457" spans="1:1" x14ac:dyDescent="0.2">
      <c r="A457">
        <f>SUBTOTAL(3,$B$16:B457)</f>
        <v>114</v>
      </c>
    </row>
    <row r="458" spans="1:1" x14ac:dyDescent="0.2">
      <c r="A458">
        <f>SUBTOTAL(3,$B$16:B458)</f>
        <v>114</v>
      </c>
    </row>
    <row r="459" spans="1:1" x14ac:dyDescent="0.2">
      <c r="A459">
        <f>SUBTOTAL(3,$B$16:B459)</f>
        <v>114</v>
      </c>
    </row>
    <row r="460" spans="1:1" x14ac:dyDescent="0.2">
      <c r="A460">
        <f>SUBTOTAL(3,$B$16:B460)</f>
        <v>114</v>
      </c>
    </row>
    <row r="461" spans="1:1" x14ac:dyDescent="0.2">
      <c r="A461">
        <f>SUBTOTAL(3,$B$16:B461)</f>
        <v>114</v>
      </c>
    </row>
    <row r="462" spans="1:1" x14ac:dyDescent="0.2">
      <c r="A462">
        <f>SUBTOTAL(3,$B$16:B462)</f>
        <v>114</v>
      </c>
    </row>
    <row r="463" spans="1:1" x14ac:dyDescent="0.2">
      <c r="A463">
        <f>SUBTOTAL(3,$B$16:B463)</f>
        <v>114</v>
      </c>
    </row>
    <row r="464" spans="1:1" x14ac:dyDescent="0.2">
      <c r="A464">
        <f>SUBTOTAL(3,$B$16:B464)</f>
        <v>114</v>
      </c>
    </row>
    <row r="465" spans="1:1" x14ac:dyDescent="0.2">
      <c r="A465">
        <f>SUBTOTAL(3,$B$16:B465)</f>
        <v>114</v>
      </c>
    </row>
    <row r="466" spans="1:1" x14ac:dyDescent="0.2">
      <c r="A466">
        <f>SUBTOTAL(3,$B$16:B466)</f>
        <v>114</v>
      </c>
    </row>
    <row r="467" spans="1:1" x14ac:dyDescent="0.2">
      <c r="A467">
        <f>SUBTOTAL(3,$B$16:B467)</f>
        <v>114</v>
      </c>
    </row>
    <row r="468" spans="1:1" x14ac:dyDescent="0.2">
      <c r="A468">
        <f>SUBTOTAL(3,$B$16:B468)</f>
        <v>114</v>
      </c>
    </row>
    <row r="469" spans="1:1" x14ac:dyDescent="0.2">
      <c r="A469">
        <f>SUBTOTAL(3,$B$16:B469)</f>
        <v>114</v>
      </c>
    </row>
    <row r="470" spans="1:1" x14ac:dyDescent="0.2">
      <c r="A470">
        <f>SUBTOTAL(3,$B$16:B470)</f>
        <v>114</v>
      </c>
    </row>
    <row r="471" spans="1:1" x14ac:dyDescent="0.2">
      <c r="A471">
        <f>SUBTOTAL(3,$B$16:B471)</f>
        <v>114</v>
      </c>
    </row>
    <row r="472" spans="1:1" x14ac:dyDescent="0.2">
      <c r="A472">
        <f>SUBTOTAL(3,$B$16:B472)</f>
        <v>114</v>
      </c>
    </row>
    <row r="473" spans="1:1" x14ac:dyDescent="0.2">
      <c r="A473">
        <f>SUBTOTAL(3,$B$16:B473)</f>
        <v>114</v>
      </c>
    </row>
    <row r="474" spans="1:1" x14ac:dyDescent="0.2">
      <c r="A474">
        <f>SUBTOTAL(3,$B$16:B474)</f>
        <v>114</v>
      </c>
    </row>
    <row r="475" spans="1:1" x14ac:dyDescent="0.2">
      <c r="A475">
        <f>SUBTOTAL(3,$B$16:B475)</f>
        <v>114</v>
      </c>
    </row>
    <row r="476" spans="1:1" x14ac:dyDescent="0.2">
      <c r="A476">
        <f>SUBTOTAL(3,$B$16:B476)</f>
        <v>114</v>
      </c>
    </row>
    <row r="477" spans="1:1" x14ac:dyDescent="0.2">
      <c r="A477">
        <f>SUBTOTAL(3,$B$16:B477)</f>
        <v>114</v>
      </c>
    </row>
    <row r="478" spans="1:1" x14ac:dyDescent="0.2">
      <c r="A478">
        <f>SUBTOTAL(3,$B$16:B478)</f>
        <v>114</v>
      </c>
    </row>
    <row r="479" spans="1:1" x14ac:dyDescent="0.2">
      <c r="A479">
        <f>SUBTOTAL(3,$B$16:B479)</f>
        <v>114</v>
      </c>
    </row>
    <row r="480" spans="1:1" x14ac:dyDescent="0.2">
      <c r="A480">
        <f>SUBTOTAL(3,$B$16:B480)</f>
        <v>114</v>
      </c>
    </row>
    <row r="481" spans="1:1" x14ac:dyDescent="0.2">
      <c r="A481">
        <f>SUBTOTAL(3,$B$16:B481)</f>
        <v>114</v>
      </c>
    </row>
    <row r="482" spans="1:1" x14ac:dyDescent="0.2">
      <c r="A482">
        <f>SUBTOTAL(3,$B$16:B482)</f>
        <v>114</v>
      </c>
    </row>
    <row r="483" spans="1:1" x14ac:dyDescent="0.2">
      <c r="A483">
        <f>SUBTOTAL(3,$B$16:B483)</f>
        <v>114</v>
      </c>
    </row>
    <row r="484" spans="1:1" x14ac:dyDescent="0.2">
      <c r="A484">
        <f>SUBTOTAL(3,$B$16:B484)</f>
        <v>114</v>
      </c>
    </row>
    <row r="485" spans="1:1" x14ac:dyDescent="0.2">
      <c r="A485">
        <f>SUBTOTAL(3,$B$16:B485)</f>
        <v>114</v>
      </c>
    </row>
    <row r="486" spans="1:1" x14ac:dyDescent="0.2">
      <c r="A486">
        <f>SUBTOTAL(3,$B$16:B486)</f>
        <v>114</v>
      </c>
    </row>
    <row r="487" spans="1:1" x14ac:dyDescent="0.2">
      <c r="A487">
        <f>SUBTOTAL(3,$B$16:B487)</f>
        <v>114</v>
      </c>
    </row>
    <row r="488" spans="1:1" x14ac:dyDescent="0.2">
      <c r="A488">
        <f>SUBTOTAL(3,$B$16:B488)</f>
        <v>114</v>
      </c>
    </row>
    <row r="489" spans="1:1" x14ac:dyDescent="0.2">
      <c r="A489">
        <f>SUBTOTAL(3,$B$16:B489)</f>
        <v>114</v>
      </c>
    </row>
    <row r="490" spans="1:1" x14ac:dyDescent="0.2">
      <c r="A490">
        <f>SUBTOTAL(3,$B$16:B490)</f>
        <v>114</v>
      </c>
    </row>
    <row r="491" spans="1:1" x14ac:dyDescent="0.2">
      <c r="A491">
        <f>SUBTOTAL(3,$B$16:B491)</f>
        <v>114</v>
      </c>
    </row>
    <row r="492" spans="1:1" x14ac:dyDescent="0.2">
      <c r="A492">
        <f>SUBTOTAL(3,$B$16:B492)</f>
        <v>114</v>
      </c>
    </row>
    <row r="493" spans="1:1" x14ac:dyDescent="0.2">
      <c r="A493">
        <f>SUBTOTAL(3,$B$16:B493)</f>
        <v>114</v>
      </c>
    </row>
    <row r="494" spans="1:1" x14ac:dyDescent="0.2">
      <c r="A494">
        <f>SUBTOTAL(3,$B$16:B494)</f>
        <v>114</v>
      </c>
    </row>
    <row r="495" spans="1:1" x14ac:dyDescent="0.2">
      <c r="A495">
        <f>SUBTOTAL(3,$B$16:B495)</f>
        <v>114</v>
      </c>
    </row>
    <row r="496" spans="1:1" x14ac:dyDescent="0.2">
      <c r="A496">
        <f>SUBTOTAL(3,$B$16:B496)</f>
        <v>114</v>
      </c>
    </row>
    <row r="497" spans="1:1" x14ac:dyDescent="0.2">
      <c r="A497">
        <f>SUBTOTAL(3,$B$16:B497)</f>
        <v>114</v>
      </c>
    </row>
    <row r="498" spans="1:1" x14ac:dyDescent="0.2">
      <c r="A498">
        <f>SUBTOTAL(3,$B$16:B498)</f>
        <v>114</v>
      </c>
    </row>
    <row r="499" spans="1:1" x14ac:dyDescent="0.2">
      <c r="A499">
        <f>SUBTOTAL(3,$B$16:B499)</f>
        <v>114</v>
      </c>
    </row>
    <row r="500" spans="1:1" x14ac:dyDescent="0.2">
      <c r="A500">
        <f>SUBTOTAL(3,$B$16:B500)</f>
        <v>114</v>
      </c>
    </row>
    <row r="501" spans="1:1" x14ac:dyDescent="0.2">
      <c r="A501">
        <f>SUBTOTAL(3,$B$16:B501)</f>
        <v>114</v>
      </c>
    </row>
    <row r="502" spans="1:1" x14ac:dyDescent="0.2">
      <c r="A502">
        <f>SUBTOTAL(3,$B$16:B502)</f>
        <v>114</v>
      </c>
    </row>
    <row r="503" spans="1:1" x14ac:dyDescent="0.2">
      <c r="A503">
        <f>SUBTOTAL(3,$B$16:B503)</f>
        <v>114</v>
      </c>
    </row>
    <row r="504" spans="1:1" x14ac:dyDescent="0.2">
      <c r="A504">
        <f>SUBTOTAL(3,$B$16:B504)</f>
        <v>114</v>
      </c>
    </row>
    <row r="505" spans="1:1" x14ac:dyDescent="0.2">
      <c r="A505">
        <f>SUBTOTAL(3,$B$16:B505)</f>
        <v>114</v>
      </c>
    </row>
    <row r="506" spans="1:1" x14ac:dyDescent="0.2">
      <c r="A506">
        <f>SUBTOTAL(3,$B$16:B506)</f>
        <v>114</v>
      </c>
    </row>
    <row r="507" spans="1:1" x14ac:dyDescent="0.2">
      <c r="A507">
        <f>SUBTOTAL(3,$B$16:B507)</f>
        <v>114</v>
      </c>
    </row>
    <row r="508" spans="1:1" x14ac:dyDescent="0.2">
      <c r="A508">
        <f>SUBTOTAL(3,$B$16:B508)</f>
        <v>114</v>
      </c>
    </row>
    <row r="509" spans="1:1" x14ac:dyDescent="0.2">
      <c r="A509">
        <f>SUBTOTAL(3,$B$16:B509)</f>
        <v>114</v>
      </c>
    </row>
    <row r="510" spans="1:1" x14ac:dyDescent="0.2">
      <c r="A510">
        <f>SUBTOTAL(3,$B$16:B510)</f>
        <v>114</v>
      </c>
    </row>
    <row r="511" spans="1:1" x14ac:dyDescent="0.2">
      <c r="A511">
        <f>SUBTOTAL(3,$B$16:B511)</f>
        <v>114</v>
      </c>
    </row>
    <row r="512" spans="1:1" x14ac:dyDescent="0.2">
      <c r="A512">
        <f>SUBTOTAL(3,$B$16:B512)</f>
        <v>114</v>
      </c>
    </row>
    <row r="513" spans="1:1" x14ac:dyDescent="0.2">
      <c r="A513">
        <f>SUBTOTAL(3,$B$16:B513)</f>
        <v>114</v>
      </c>
    </row>
    <row r="514" spans="1:1" x14ac:dyDescent="0.2">
      <c r="A514">
        <f>SUBTOTAL(3,$B$16:B514)</f>
        <v>114</v>
      </c>
    </row>
    <row r="515" spans="1:1" x14ac:dyDescent="0.2">
      <c r="A515">
        <f>SUBTOTAL(3,$B$16:B515)</f>
        <v>114</v>
      </c>
    </row>
    <row r="516" spans="1:1" x14ac:dyDescent="0.2">
      <c r="A516">
        <f>SUBTOTAL(3,$B$16:B516)</f>
        <v>114</v>
      </c>
    </row>
    <row r="517" spans="1:1" x14ac:dyDescent="0.2">
      <c r="A517">
        <f>SUBTOTAL(3,$B$16:B517)</f>
        <v>114</v>
      </c>
    </row>
    <row r="518" spans="1:1" x14ac:dyDescent="0.2">
      <c r="A518">
        <f>SUBTOTAL(3,$B$16:B518)</f>
        <v>114</v>
      </c>
    </row>
    <row r="519" spans="1:1" x14ac:dyDescent="0.2">
      <c r="A519">
        <f>SUBTOTAL(3,$B$16:B519)</f>
        <v>114</v>
      </c>
    </row>
    <row r="520" spans="1:1" x14ac:dyDescent="0.2">
      <c r="A520">
        <f>SUBTOTAL(3,$B$16:B520)</f>
        <v>114</v>
      </c>
    </row>
    <row r="521" spans="1:1" x14ac:dyDescent="0.2">
      <c r="A521">
        <f>SUBTOTAL(3,$B$16:B521)</f>
        <v>114</v>
      </c>
    </row>
    <row r="522" spans="1:1" x14ac:dyDescent="0.2">
      <c r="A522">
        <f>SUBTOTAL(3,$B$16:B522)</f>
        <v>114</v>
      </c>
    </row>
    <row r="523" spans="1:1" x14ac:dyDescent="0.2">
      <c r="A523">
        <f>SUBTOTAL(3,$B$16:B523)</f>
        <v>114</v>
      </c>
    </row>
    <row r="524" spans="1:1" x14ac:dyDescent="0.2">
      <c r="A524">
        <f>SUBTOTAL(3,$B$16:B524)</f>
        <v>114</v>
      </c>
    </row>
    <row r="525" spans="1:1" x14ac:dyDescent="0.2">
      <c r="A525">
        <f>SUBTOTAL(3,$B$16:B525)</f>
        <v>114</v>
      </c>
    </row>
    <row r="526" spans="1:1" x14ac:dyDescent="0.2">
      <c r="A526">
        <f>SUBTOTAL(3,$B$16:B526)</f>
        <v>114</v>
      </c>
    </row>
    <row r="527" spans="1:1" x14ac:dyDescent="0.2">
      <c r="A527">
        <f>SUBTOTAL(3,$B$16:B527)</f>
        <v>114</v>
      </c>
    </row>
    <row r="528" spans="1:1" x14ac:dyDescent="0.2">
      <c r="A528">
        <f>SUBTOTAL(3,$B$16:B528)</f>
        <v>114</v>
      </c>
    </row>
    <row r="529" spans="1:1" x14ac:dyDescent="0.2">
      <c r="A529">
        <f>SUBTOTAL(3,$B$16:B529)</f>
        <v>114</v>
      </c>
    </row>
    <row r="530" spans="1:1" x14ac:dyDescent="0.2">
      <c r="A530">
        <f>SUBTOTAL(3,$B$16:B530)</f>
        <v>114</v>
      </c>
    </row>
    <row r="531" spans="1:1" x14ac:dyDescent="0.2">
      <c r="A531">
        <f>SUBTOTAL(3,$B$16:B531)</f>
        <v>114</v>
      </c>
    </row>
    <row r="532" spans="1:1" x14ac:dyDescent="0.2">
      <c r="A532">
        <f>SUBTOTAL(3,$B$16:B532)</f>
        <v>114</v>
      </c>
    </row>
    <row r="533" spans="1:1" x14ac:dyDescent="0.2">
      <c r="A533">
        <f>SUBTOTAL(3,$B$16:B533)</f>
        <v>114</v>
      </c>
    </row>
    <row r="534" spans="1:1" x14ac:dyDescent="0.2">
      <c r="A534">
        <f>SUBTOTAL(3,$B$16:B534)</f>
        <v>114</v>
      </c>
    </row>
    <row r="535" spans="1:1" x14ac:dyDescent="0.2">
      <c r="A535">
        <f>SUBTOTAL(3,$B$16:B535)</f>
        <v>114</v>
      </c>
    </row>
    <row r="536" spans="1:1" x14ac:dyDescent="0.2">
      <c r="A536">
        <f>SUBTOTAL(3,$B$16:B536)</f>
        <v>114</v>
      </c>
    </row>
    <row r="537" spans="1:1" x14ac:dyDescent="0.2">
      <c r="A537">
        <f>SUBTOTAL(3,$B$16:B537)</f>
        <v>114</v>
      </c>
    </row>
    <row r="538" spans="1:1" x14ac:dyDescent="0.2">
      <c r="A538">
        <f>SUBTOTAL(3,$B$16:B538)</f>
        <v>114</v>
      </c>
    </row>
    <row r="539" spans="1:1" x14ac:dyDescent="0.2">
      <c r="A539">
        <f>SUBTOTAL(3,$B$16:B539)</f>
        <v>114</v>
      </c>
    </row>
    <row r="540" spans="1:1" x14ac:dyDescent="0.2">
      <c r="A540">
        <f>SUBTOTAL(3,$B$16:B540)</f>
        <v>114</v>
      </c>
    </row>
    <row r="541" spans="1:1" x14ac:dyDescent="0.2">
      <c r="A541">
        <f>SUBTOTAL(3,$B$16:B541)</f>
        <v>114</v>
      </c>
    </row>
    <row r="542" spans="1:1" x14ac:dyDescent="0.2">
      <c r="A542">
        <f>SUBTOTAL(3,$B$16:B542)</f>
        <v>114</v>
      </c>
    </row>
    <row r="543" spans="1:1" x14ac:dyDescent="0.2">
      <c r="A543">
        <f>SUBTOTAL(3,$B$16:B543)</f>
        <v>114</v>
      </c>
    </row>
    <row r="544" spans="1:1" x14ac:dyDescent="0.2">
      <c r="A544">
        <f>SUBTOTAL(3,$B$16:B544)</f>
        <v>114</v>
      </c>
    </row>
    <row r="545" spans="1:1" x14ac:dyDescent="0.2">
      <c r="A545">
        <f>SUBTOTAL(3,$B$16:B545)</f>
        <v>114</v>
      </c>
    </row>
    <row r="546" spans="1:1" x14ac:dyDescent="0.2">
      <c r="A546">
        <f>SUBTOTAL(3,$B$16:B546)</f>
        <v>114</v>
      </c>
    </row>
    <row r="547" spans="1:1" x14ac:dyDescent="0.2">
      <c r="A547">
        <f>SUBTOTAL(3,$B$16:B547)</f>
        <v>114</v>
      </c>
    </row>
    <row r="548" spans="1:1" x14ac:dyDescent="0.2">
      <c r="A548">
        <f>SUBTOTAL(3,$B$16:B548)</f>
        <v>114</v>
      </c>
    </row>
    <row r="549" spans="1:1" x14ac:dyDescent="0.2">
      <c r="A549">
        <f>SUBTOTAL(3,$B$16:B549)</f>
        <v>114</v>
      </c>
    </row>
    <row r="550" spans="1:1" x14ac:dyDescent="0.2">
      <c r="A550">
        <f>SUBTOTAL(3,$B$16:B550)</f>
        <v>114</v>
      </c>
    </row>
    <row r="551" spans="1:1" x14ac:dyDescent="0.2">
      <c r="A551">
        <f>SUBTOTAL(3,$B$16:B551)</f>
        <v>114</v>
      </c>
    </row>
    <row r="552" spans="1:1" x14ac:dyDescent="0.2">
      <c r="A552">
        <f>SUBTOTAL(3,$B$16:B552)</f>
        <v>114</v>
      </c>
    </row>
    <row r="553" spans="1:1" x14ac:dyDescent="0.2">
      <c r="A553">
        <f>SUBTOTAL(3,$B$16:B553)</f>
        <v>114</v>
      </c>
    </row>
    <row r="554" spans="1:1" x14ac:dyDescent="0.2">
      <c r="A554">
        <f>SUBTOTAL(3,$B$16:B554)</f>
        <v>114</v>
      </c>
    </row>
    <row r="555" spans="1:1" x14ac:dyDescent="0.2">
      <c r="A555">
        <f>SUBTOTAL(3,$B$16:B555)</f>
        <v>114</v>
      </c>
    </row>
    <row r="556" spans="1:1" x14ac:dyDescent="0.2">
      <c r="A556">
        <f>SUBTOTAL(3,$B$16:B556)</f>
        <v>114</v>
      </c>
    </row>
    <row r="557" spans="1:1" x14ac:dyDescent="0.2">
      <c r="A557">
        <f>SUBTOTAL(3,$B$16:B557)</f>
        <v>114</v>
      </c>
    </row>
    <row r="558" spans="1:1" x14ac:dyDescent="0.2">
      <c r="A558">
        <f>SUBTOTAL(3,$B$16:B558)</f>
        <v>114</v>
      </c>
    </row>
    <row r="559" spans="1:1" x14ac:dyDescent="0.2">
      <c r="A559">
        <f>SUBTOTAL(3,$B$16:B559)</f>
        <v>114</v>
      </c>
    </row>
    <row r="560" spans="1:1" x14ac:dyDescent="0.2">
      <c r="A560">
        <f>SUBTOTAL(3,$B$16:B560)</f>
        <v>114</v>
      </c>
    </row>
    <row r="561" spans="1:1" x14ac:dyDescent="0.2">
      <c r="A561">
        <f>SUBTOTAL(3,$B$16:B561)</f>
        <v>114</v>
      </c>
    </row>
    <row r="562" spans="1:1" x14ac:dyDescent="0.2">
      <c r="A562">
        <f>SUBTOTAL(3,$B$16:B562)</f>
        <v>114</v>
      </c>
    </row>
    <row r="563" spans="1:1" x14ac:dyDescent="0.2">
      <c r="A563">
        <f>SUBTOTAL(3,$B$16:B563)</f>
        <v>114</v>
      </c>
    </row>
    <row r="564" spans="1:1" x14ac:dyDescent="0.2">
      <c r="A564">
        <f>SUBTOTAL(3,$B$16:B564)</f>
        <v>114</v>
      </c>
    </row>
    <row r="565" spans="1:1" x14ac:dyDescent="0.2">
      <c r="A565">
        <f>SUBTOTAL(3,$B$16:B565)</f>
        <v>114</v>
      </c>
    </row>
    <row r="566" spans="1:1" x14ac:dyDescent="0.2">
      <c r="A566">
        <f>SUBTOTAL(3,$B$16:B566)</f>
        <v>114</v>
      </c>
    </row>
    <row r="567" spans="1:1" x14ac:dyDescent="0.2">
      <c r="A567">
        <f>SUBTOTAL(3,$B$16:B567)</f>
        <v>114</v>
      </c>
    </row>
    <row r="568" spans="1:1" x14ac:dyDescent="0.2">
      <c r="A568">
        <f>SUBTOTAL(3,$B$16:B568)</f>
        <v>114</v>
      </c>
    </row>
    <row r="569" spans="1:1" x14ac:dyDescent="0.2">
      <c r="A569">
        <f>SUBTOTAL(3,$B$16:B569)</f>
        <v>114</v>
      </c>
    </row>
    <row r="570" spans="1:1" x14ac:dyDescent="0.2">
      <c r="A570">
        <f>SUBTOTAL(3,$B$16:B570)</f>
        <v>114</v>
      </c>
    </row>
    <row r="571" spans="1:1" x14ac:dyDescent="0.2">
      <c r="A571">
        <f>SUBTOTAL(3,$B$16:B571)</f>
        <v>114</v>
      </c>
    </row>
    <row r="572" spans="1:1" x14ac:dyDescent="0.2">
      <c r="A572">
        <f>SUBTOTAL(3,$B$16:B572)</f>
        <v>114</v>
      </c>
    </row>
    <row r="573" spans="1:1" x14ac:dyDescent="0.2">
      <c r="A573">
        <f>SUBTOTAL(3,$B$16:B573)</f>
        <v>114</v>
      </c>
    </row>
    <row r="574" spans="1:1" x14ac:dyDescent="0.2">
      <c r="A574">
        <f>SUBTOTAL(3,$B$16:B574)</f>
        <v>114</v>
      </c>
    </row>
    <row r="575" spans="1:1" x14ac:dyDescent="0.2">
      <c r="A575">
        <f>SUBTOTAL(3,$B$16:B575)</f>
        <v>114</v>
      </c>
    </row>
    <row r="576" spans="1:1" x14ac:dyDescent="0.2">
      <c r="A576">
        <f>SUBTOTAL(3,$B$16:B576)</f>
        <v>114</v>
      </c>
    </row>
    <row r="577" spans="1:1" x14ac:dyDescent="0.2">
      <c r="A577">
        <f>SUBTOTAL(3,$B$16:B577)</f>
        <v>114</v>
      </c>
    </row>
    <row r="578" spans="1:1" x14ac:dyDescent="0.2">
      <c r="A578">
        <f>SUBTOTAL(3,$B$16:B578)</f>
        <v>114</v>
      </c>
    </row>
    <row r="579" spans="1:1" x14ac:dyDescent="0.2">
      <c r="A579">
        <f>SUBTOTAL(3,$B$16:B579)</f>
        <v>114</v>
      </c>
    </row>
    <row r="580" spans="1:1" x14ac:dyDescent="0.2">
      <c r="A580">
        <f>SUBTOTAL(3,$B$16:B580)</f>
        <v>114</v>
      </c>
    </row>
    <row r="581" spans="1:1" x14ac:dyDescent="0.2">
      <c r="A581">
        <f>SUBTOTAL(3,$B$16:B581)</f>
        <v>114</v>
      </c>
    </row>
    <row r="582" spans="1:1" x14ac:dyDescent="0.2">
      <c r="A582">
        <f>SUBTOTAL(3,$B$16:B582)</f>
        <v>114</v>
      </c>
    </row>
    <row r="583" spans="1:1" x14ac:dyDescent="0.2">
      <c r="A583">
        <f>SUBTOTAL(3,$B$16:B583)</f>
        <v>114</v>
      </c>
    </row>
    <row r="584" spans="1:1" x14ac:dyDescent="0.2">
      <c r="A584">
        <f>SUBTOTAL(3,$B$16:B584)</f>
        <v>114</v>
      </c>
    </row>
    <row r="585" spans="1:1" x14ac:dyDescent="0.2">
      <c r="A585">
        <f>SUBTOTAL(3,$B$16:B585)</f>
        <v>114</v>
      </c>
    </row>
    <row r="586" spans="1:1" x14ac:dyDescent="0.2">
      <c r="A586">
        <f>SUBTOTAL(3,$B$16:B586)</f>
        <v>114</v>
      </c>
    </row>
    <row r="587" spans="1:1" x14ac:dyDescent="0.2">
      <c r="A587">
        <f>SUBTOTAL(3,$B$16:B587)</f>
        <v>114</v>
      </c>
    </row>
    <row r="588" spans="1:1" x14ac:dyDescent="0.2">
      <c r="A588">
        <f>SUBTOTAL(3,$B$16:B588)</f>
        <v>114</v>
      </c>
    </row>
    <row r="589" spans="1:1" x14ac:dyDescent="0.2">
      <c r="A589">
        <f>SUBTOTAL(3,$B$16:B589)</f>
        <v>114</v>
      </c>
    </row>
    <row r="590" spans="1:1" x14ac:dyDescent="0.2">
      <c r="A590">
        <f>SUBTOTAL(3,$B$16:B590)</f>
        <v>114</v>
      </c>
    </row>
    <row r="591" spans="1:1" x14ac:dyDescent="0.2">
      <c r="A591">
        <f>SUBTOTAL(3,$B$16:B591)</f>
        <v>114</v>
      </c>
    </row>
    <row r="592" spans="1:1" x14ac:dyDescent="0.2">
      <c r="A592">
        <f>SUBTOTAL(3,$B$16:B592)</f>
        <v>114</v>
      </c>
    </row>
    <row r="593" spans="1:1" x14ac:dyDescent="0.2">
      <c r="A593">
        <f>SUBTOTAL(3,$B$16:B593)</f>
        <v>114</v>
      </c>
    </row>
    <row r="594" spans="1:1" x14ac:dyDescent="0.2">
      <c r="A594">
        <f>SUBTOTAL(3,$B$16:B594)</f>
        <v>114</v>
      </c>
    </row>
    <row r="595" spans="1:1" x14ac:dyDescent="0.2">
      <c r="A595">
        <f>SUBTOTAL(3,$B$16:B595)</f>
        <v>114</v>
      </c>
    </row>
    <row r="596" spans="1:1" x14ac:dyDescent="0.2">
      <c r="A596">
        <f>SUBTOTAL(3,$B$16:B596)</f>
        <v>114</v>
      </c>
    </row>
    <row r="597" spans="1:1" x14ac:dyDescent="0.2">
      <c r="A597">
        <f>SUBTOTAL(3,$B$16:B597)</f>
        <v>114</v>
      </c>
    </row>
    <row r="598" spans="1:1" x14ac:dyDescent="0.2">
      <c r="A598">
        <f>SUBTOTAL(3,$B$16:B598)</f>
        <v>114</v>
      </c>
    </row>
    <row r="599" spans="1:1" x14ac:dyDescent="0.2">
      <c r="A599">
        <f>SUBTOTAL(3,$B$16:B599)</f>
        <v>114</v>
      </c>
    </row>
    <row r="600" spans="1:1" x14ac:dyDescent="0.2">
      <c r="A600">
        <f>SUBTOTAL(3,$B$16:B600)</f>
        <v>114</v>
      </c>
    </row>
    <row r="601" spans="1:1" x14ac:dyDescent="0.2">
      <c r="A601">
        <f>SUBTOTAL(3,$B$16:B601)</f>
        <v>114</v>
      </c>
    </row>
    <row r="602" spans="1:1" x14ac:dyDescent="0.2">
      <c r="A602">
        <f>SUBTOTAL(3,$B$16:B602)</f>
        <v>114</v>
      </c>
    </row>
    <row r="603" spans="1:1" x14ac:dyDescent="0.2">
      <c r="A603">
        <f>SUBTOTAL(3,$B$16:B603)</f>
        <v>114</v>
      </c>
    </row>
    <row r="604" spans="1:1" x14ac:dyDescent="0.2">
      <c r="A604">
        <f>SUBTOTAL(3,$B$16:B604)</f>
        <v>114</v>
      </c>
    </row>
    <row r="605" spans="1:1" x14ac:dyDescent="0.2">
      <c r="A605">
        <f>SUBTOTAL(3,$B$16:B605)</f>
        <v>114</v>
      </c>
    </row>
    <row r="606" spans="1:1" x14ac:dyDescent="0.2">
      <c r="A606">
        <f>SUBTOTAL(3,$B$16:B606)</f>
        <v>114</v>
      </c>
    </row>
    <row r="607" spans="1:1" x14ac:dyDescent="0.2">
      <c r="A607">
        <f>SUBTOTAL(3,$B$16:B607)</f>
        <v>114</v>
      </c>
    </row>
    <row r="608" spans="1:1" x14ac:dyDescent="0.2">
      <c r="A608">
        <f>SUBTOTAL(3,$B$16:B608)</f>
        <v>114</v>
      </c>
    </row>
    <row r="609" spans="1:1" x14ac:dyDescent="0.2">
      <c r="A609">
        <f>SUBTOTAL(3,$B$16:B609)</f>
        <v>114</v>
      </c>
    </row>
    <row r="610" spans="1:1" x14ac:dyDescent="0.2">
      <c r="A610">
        <f>SUBTOTAL(3,$B$16:B610)</f>
        <v>114</v>
      </c>
    </row>
    <row r="611" spans="1:1" x14ac:dyDescent="0.2">
      <c r="A611">
        <f>SUBTOTAL(3,$B$16:B611)</f>
        <v>114</v>
      </c>
    </row>
    <row r="612" spans="1:1" x14ac:dyDescent="0.2">
      <c r="A612">
        <f>SUBTOTAL(3,$B$16:B612)</f>
        <v>114</v>
      </c>
    </row>
    <row r="613" spans="1:1" x14ac:dyDescent="0.2">
      <c r="A613">
        <f>SUBTOTAL(3,$B$16:B613)</f>
        <v>114</v>
      </c>
    </row>
    <row r="614" spans="1:1" x14ac:dyDescent="0.2">
      <c r="A614">
        <f>SUBTOTAL(3,$B$16:B614)</f>
        <v>114</v>
      </c>
    </row>
    <row r="615" spans="1:1" x14ac:dyDescent="0.2">
      <c r="A615">
        <f>SUBTOTAL(3,$B$16:B615)</f>
        <v>114</v>
      </c>
    </row>
    <row r="616" spans="1:1" x14ac:dyDescent="0.2">
      <c r="A616">
        <f>SUBTOTAL(3,$B$16:B616)</f>
        <v>114</v>
      </c>
    </row>
    <row r="617" spans="1:1" x14ac:dyDescent="0.2">
      <c r="A617">
        <f>SUBTOTAL(3,$B$16:B617)</f>
        <v>114</v>
      </c>
    </row>
    <row r="618" spans="1:1" x14ac:dyDescent="0.2">
      <c r="A618">
        <f>SUBTOTAL(3,$B$16:B618)</f>
        <v>114</v>
      </c>
    </row>
    <row r="619" spans="1:1" x14ac:dyDescent="0.2">
      <c r="A619">
        <f>SUBTOTAL(3,$B$16:B619)</f>
        <v>114</v>
      </c>
    </row>
    <row r="620" spans="1:1" x14ac:dyDescent="0.2">
      <c r="A620">
        <f>SUBTOTAL(3,$B$16:B620)</f>
        <v>114</v>
      </c>
    </row>
    <row r="621" spans="1:1" x14ac:dyDescent="0.2">
      <c r="A621">
        <f>SUBTOTAL(3,$B$16:B621)</f>
        <v>114</v>
      </c>
    </row>
    <row r="622" spans="1:1" x14ac:dyDescent="0.2">
      <c r="A622">
        <f>SUBTOTAL(3,$B$16:B622)</f>
        <v>114</v>
      </c>
    </row>
    <row r="623" spans="1:1" x14ac:dyDescent="0.2">
      <c r="A623">
        <f>SUBTOTAL(3,$B$16:B623)</f>
        <v>114</v>
      </c>
    </row>
    <row r="624" spans="1:1" x14ac:dyDescent="0.2">
      <c r="A624">
        <f>SUBTOTAL(3,$B$16:B624)</f>
        <v>114</v>
      </c>
    </row>
    <row r="625" spans="1:1" x14ac:dyDescent="0.2">
      <c r="A625">
        <f>SUBTOTAL(3,$B$16:B625)</f>
        <v>114</v>
      </c>
    </row>
    <row r="626" spans="1:1" x14ac:dyDescent="0.2">
      <c r="A626">
        <f>SUBTOTAL(3,$B$16:B626)</f>
        <v>114</v>
      </c>
    </row>
    <row r="627" spans="1:1" x14ac:dyDescent="0.2">
      <c r="A627">
        <f>SUBTOTAL(3,$B$16:B627)</f>
        <v>114</v>
      </c>
    </row>
    <row r="628" spans="1:1" x14ac:dyDescent="0.2">
      <c r="A628">
        <f>SUBTOTAL(3,$B$16:B628)</f>
        <v>114</v>
      </c>
    </row>
    <row r="629" spans="1:1" x14ac:dyDescent="0.2">
      <c r="A629">
        <f>SUBTOTAL(3,$B$16:B629)</f>
        <v>114</v>
      </c>
    </row>
    <row r="630" spans="1:1" x14ac:dyDescent="0.2">
      <c r="A630">
        <f>SUBTOTAL(3,$B$16:B630)</f>
        <v>114</v>
      </c>
    </row>
    <row r="631" spans="1:1" x14ac:dyDescent="0.2">
      <c r="A631">
        <f>SUBTOTAL(3,$B$16:B631)</f>
        <v>114</v>
      </c>
    </row>
    <row r="632" spans="1:1" x14ac:dyDescent="0.2">
      <c r="A632">
        <f>SUBTOTAL(3,$B$16:B632)</f>
        <v>114</v>
      </c>
    </row>
    <row r="633" spans="1:1" x14ac:dyDescent="0.2">
      <c r="A633">
        <f>SUBTOTAL(3,$B$16:B633)</f>
        <v>114</v>
      </c>
    </row>
    <row r="634" spans="1:1" x14ac:dyDescent="0.2">
      <c r="A634">
        <f>SUBTOTAL(3,$B$16:B634)</f>
        <v>114</v>
      </c>
    </row>
    <row r="635" spans="1:1" x14ac:dyDescent="0.2">
      <c r="A635">
        <f>SUBTOTAL(3,$B$16:B635)</f>
        <v>114</v>
      </c>
    </row>
    <row r="636" spans="1:1" x14ac:dyDescent="0.2">
      <c r="A636">
        <f>SUBTOTAL(3,$B$16:B636)</f>
        <v>114</v>
      </c>
    </row>
    <row r="637" spans="1:1" x14ac:dyDescent="0.2">
      <c r="A637">
        <f>SUBTOTAL(3,$B$16:B637)</f>
        <v>114</v>
      </c>
    </row>
    <row r="638" spans="1:1" x14ac:dyDescent="0.2">
      <c r="A638">
        <f>SUBTOTAL(3,$B$16:B638)</f>
        <v>114</v>
      </c>
    </row>
    <row r="639" spans="1:1" x14ac:dyDescent="0.2">
      <c r="A639">
        <f>SUBTOTAL(3,$B$16:B639)</f>
        <v>114</v>
      </c>
    </row>
    <row r="640" spans="1:1" x14ac:dyDescent="0.2">
      <c r="A640">
        <f>SUBTOTAL(3,$B$16:B640)</f>
        <v>114</v>
      </c>
    </row>
    <row r="641" spans="1:1" x14ac:dyDescent="0.2">
      <c r="A641">
        <f>SUBTOTAL(3,$B$16:B641)</f>
        <v>114</v>
      </c>
    </row>
    <row r="642" spans="1:1" x14ac:dyDescent="0.2">
      <c r="A642">
        <f>SUBTOTAL(3,$B$16:B642)</f>
        <v>114</v>
      </c>
    </row>
    <row r="643" spans="1:1" x14ac:dyDescent="0.2">
      <c r="A643">
        <f>SUBTOTAL(3,$B$16:B643)</f>
        <v>114</v>
      </c>
    </row>
    <row r="644" spans="1:1" x14ac:dyDescent="0.2">
      <c r="A644">
        <f>SUBTOTAL(3,$B$16:B644)</f>
        <v>114</v>
      </c>
    </row>
    <row r="645" spans="1:1" x14ac:dyDescent="0.2">
      <c r="A645">
        <f>SUBTOTAL(3,$B$16:B645)</f>
        <v>114</v>
      </c>
    </row>
    <row r="646" spans="1:1" x14ac:dyDescent="0.2">
      <c r="A646">
        <f>SUBTOTAL(3,$B$16:B646)</f>
        <v>114</v>
      </c>
    </row>
    <row r="647" spans="1:1" x14ac:dyDescent="0.2">
      <c r="A647">
        <f>SUBTOTAL(3,$B$16:B647)</f>
        <v>114</v>
      </c>
    </row>
    <row r="648" spans="1:1" x14ac:dyDescent="0.2">
      <c r="A648">
        <f>SUBTOTAL(3,$B$16:B648)</f>
        <v>114</v>
      </c>
    </row>
    <row r="649" spans="1:1" x14ac:dyDescent="0.2">
      <c r="A649">
        <f>SUBTOTAL(3,$B$16:B649)</f>
        <v>114</v>
      </c>
    </row>
    <row r="650" spans="1:1" x14ac:dyDescent="0.2">
      <c r="A650">
        <f>SUBTOTAL(3,$B$16:B650)</f>
        <v>114</v>
      </c>
    </row>
    <row r="651" spans="1:1" x14ac:dyDescent="0.2">
      <c r="A651">
        <f>SUBTOTAL(3,$B$16:B651)</f>
        <v>114</v>
      </c>
    </row>
    <row r="652" spans="1:1" x14ac:dyDescent="0.2">
      <c r="A652">
        <f>SUBTOTAL(3,$B$16:B652)</f>
        <v>114</v>
      </c>
    </row>
    <row r="653" spans="1:1" x14ac:dyDescent="0.2">
      <c r="A653">
        <f>SUBTOTAL(3,$B$16:B653)</f>
        <v>114</v>
      </c>
    </row>
    <row r="654" spans="1:1" x14ac:dyDescent="0.2">
      <c r="A654">
        <f>SUBTOTAL(3,$B$16:B654)</f>
        <v>114</v>
      </c>
    </row>
    <row r="655" spans="1:1" x14ac:dyDescent="0.2">
      <c r="A655">
        <f>SUBTOTAL(3,$B$16:B655)</f>
        <v>114</v>
      </c>
    </row>
    <row r="656" spans="1:1" x14ac:dyDescent="0.2">
      <c r="A656">
        <f>SUBTOTAL(3,$B$16:B656)</f>
        <v>114</v>
      </c>
    </row>
    <row r="657" spans="1:1" x14ac:dyDescent="0.2">
      <c r="A657">
        <f>SUBTOTAL(3,$B$16:B657)</f>
        <v>114</v>
      </c>
    </row>
    <row r="658" spans="1:1" x14ac:dyDescent="0.2">
      <c r="A658">
        <f>SUBTOTAL(3,$B$16:B658)</f>
        <v>114</v>
      </c>
    </row>
    <row r="659" spans="1:1" x14ac:dyDescent="0.2">
      <c r="A659">
        <f>SUBTOTAL(3,$B$16:B659)</f>
        <v>114</v>
      </c>
    </row>
    <row r="660" spans="1:1" x14ac:dyDescent="0.2">
      <c r="A660">
        <f>SUBTOTAL(3,$B$16:B660)</f>
        <v>114</v>
      </c>
    </row>
    <row r="661" spans="1:1" x14ac:dyDescent="0.2">
      <c r="A661">
        <f>SUBTOTAL(3,$B$16:B661)</f>
        <v>114</v>
      </c>
    </row>
    <row r="662" spans="1:1" x14ac:dyDescent="0.2">
      <c r="A662">
        <f>SUBTOTAL(3,$B$16:B662)</f>
        <v>114</v>
      </c>
    </row>
    <row r="663" spans="1:1" x14ac:dyDescent="0.2">
      <c r="A663">
        <f>SUBTOTAL(3,$B$16:B663)</f>
        <v>114</v>
      </c>
    </row>
    <row r="664" spans="1:1" x14ac:dyDescent="0.2">
      <c r="A664">
        <f>SUBTOTAL(3,$B$16:B664)</f>
        <v>114</v>
      </c>
    </row>
    <row r="665" spans="1:1" x14ac:dyDescent="0.2">
      <c r="A665">
        <f>SUBTOTAL(3,$B$16:B665)</f>
        <v>114</v>
      </c>
    </row>
    <row r="666" spans="1:1" x14ac:dyDescent="0.2">
      <c r="A666">
        <f>SUBTOTAL(3,$B$16:B666)</f>
        <v>114</v>
      </c>
    </row>
    <row r="667" spans="1:1" x14ac:dyDescent="0.2">
      <c r="A667">
        <f>SUBTOTAL(3,$B$16:B667)</f>
        <v>114</v>
      </c>
    </row>
    <row r="668" spans="1:1" x14ac:dyDescent="0.2">
      <c r="A668">
        <f>SUBTOTAL(3,$B$16:B668)</f>
        <v>114</v>
      </c>
    </row>
    <row r="669" spans="1:1" x14ac:dyDescent="0.2">
      <c r="A669">
        <f>SUBTOTAL(3,$B$16:B669)</f>
        <v>114</v>
      </c>
    </row>
    <row r="670" spans="1:1" x14ac:dyDescent="0.2">
      <c r="A670">
        <f>SUBTOTAL(3,$B$16:B670)</f>
        <v>114</v>
      </c>
    </row>
    <row r="671" spans="1:1" x14ac:dyDescent="0.2">
      <c r="A671">
        <f>SUBTOTAL(3,$B$16:B671)</f>
        <v>114</v>
      </c>
    </row>
    <row r="672" spans="1:1" x14ac:dyDescent="0.2">
      <c r="A672">
        <f>SUBTOTAL(3,$B$16:B672)</f>
        <v>114</v>
      </c>
    </row>
    <row r="673" spans="1:1" x14ac:dyDescent="0.2">
      <c r="A673">
        <f>SUBTOTAL(3,$B$16:B673)</f>
        <v>114</v>
      </c>
    </row>
    <row r="674" spans="1:1" x14ac:dyDescent="0.2">
      <c r="A674">
        <f>SUBTOTAL(3,$B$16:B674)</f>
        <v>114</v>
      </c>
    </row>
    <row r="675" spans="1:1" x14ac:dyDescent="0.2">
      <c r="A675">
        <f>SUBTOTAL(3,$B$16:B675)</f>
        <v>114</v>
      </c>
    </row>
    <row r="676" spans="1:1" x14ac:dyDescent="0.2">
      <c r="A676">
        <f>SUBTOTAL(3,$B$16:B676)</f>
        <v>114</v>
      </c>
    </row>
    <row r="677" spans="1:1" x14ac:dyDescent="0.2">
      <c r="A677">
        <f>SUBTOTAL(3,$B$16:B677)</f>
        <v>114</v>
      </c>
    </row>
    <row r="678" spans="1:1" x14ac:dyDescent="0.2">
      <c r="A678">
        <f>SUBTOTAL(3,$B$16:B678)</f>
        <v>114</v>
      </c>
    </row>
    <row r="679" spans="1:1" x14ac:dyDescent="0.2">
      <c r="A679">
        <f>SUBTOTAL(3,$B$16:B679)</f>
        <v>114</v>
      </c>
    </row>
    <row r="680" spans="1:1" x14ac:dyDescent="0.2">
      <c r="A680">
        <f>SUBTOTAL(3,$B$16:B680)</f>
        <v>114</v>
      </c>
    </row>
    <row r="681" spans="1:1" x14ac:dyDescent="0.2">
      <c r="A681">
        <f>SUBTOTAL(3,$B$16:B681)</f>
        <v>114</v>
      </c>
    </row>
    <row r="682" spans="1:1" x14ac:dyDescent="0.2">
      <c r="A682">
        <f>SUBTOTAL(3,$B$16:B682)</f>
        <v>114</v>
      </c>
    </row>
    <row r="683" spans="1:1" x14ac:dyDescent="0.2">
      <c r="A683">
        <f>SUBTOTAL(3,$B$16:B683)</f>
        <v>114</v>
      </c>
    </row>
    <row r="684" spans="1:1" x14ac:dyDescent="0.2">
      <c r="A684">
        <f>SUBTOTAL(3,$B$16:B684)</f>
        <v>114</v>
      </c>
    </row>
    <row r="685" spans="1:1" x14ac:dyDescent="0.2">
      <c r="A685">
        <f>SUBTOTAL(3,$B$16:B685)</f>
        <v>114</v>
      </c>
    </row>
    <row r="686" spans="1:1" x14ac:dyDescent="0.2">
      <c r="A686">
        <f>SUBTOTAL(3,$B$16:B686)</f>
        <v>114</v>
      </c>
    </row>
    <row r="687" spans="1:1" x14ac:dyDescent="0.2">
      <c r="A687">
        <f>SUBTOTAL(3,$B$16:B687)</f>
        <v>114</v>
      </c>
    </row>
    <row r="688" spans="1:1" x14ac:dyDescent="0.2">
      <c r="A688">
        <f>SUBTOTAL(3,$B$16:B688)</f>
        <v>114</v>
      </c>
    </row>
    <row r="689" spans="1:1" x14ac:dyDescent="0.2">
      <c r="A689">
        <f>SUBTOTAL(3,$B$16:B689)</f>
        <v>114</v>
      </c>
    </row>
    <row r="690" spans="1:1" x14ac:dyDescent="0.2">
      <c r="A690">
        <f>SUBTOTAL(3,$B$16:B690)</f>
        <v>114</v>
      </c>
    </row>
    <row r="691" spans="1:1" x14ac:dyDescent="0.2">
      <c r="A691">
        <f>SUBTOTAL(3,$B$16:B691)</f>
        <v>114</v>
      </c>
    </row>
    <row r="692" spans="1:1" x14ac:dyDescent="0.2">
      <c r="A692">
        <f>SUBTOTAL(3,$B$16:B692)</f>
        <v>114</v>
      </c>
    </row>
    <row r="693" spans="1:1" x14ac:dyDescent="0.2">
      <c r="A693">
        <f>SUBTOTAL(3,$B$16:B693)</f>
        <v>114</v>
      </c>
    </row>
    <row r="694" spans="1:1" x14ac:dyDescent="0.2">
      <c r="A694">
        <f>SUBTOTAL(3,$B$16:B694)</f>
        <v>114</v>
      </c>
    </row>
    <row r="695" spans="1:1" x14ac:dyDescent="0.2">
      <c r="A695">
        <f>SUBTOTAL(3,$B$16:B695)</f>
        <v>114</v>
      </c>
    </row>
    <row r="696" spans="1:1" x14ac:dyDescent="0.2">
      <c r="A696">
        <f>SUBTOTAL(3,$B$16:B696)</f>
        <v>114</v>
      </c>
    </row>
    <row r="697" spans="1:1" x14ac:dyDescent="0.2">
      <c r="A697">
        <f>SUBTOTAL(3,$B$16:B697)</f>
        <v>114</v>
      </c>
    </row>
    <row r="698" spans="1:1" x14ac:dyDescent="0.2">
      <c r="A698">
        <f>SUBTOTAL(3,$B$16:B698)</f>
        <v>114</v>
      </c>
    </row>
    <row r="699" spans="1:1" x14ac:dyDescent="0.2">
      <c r="A699">
        <f>SUBTOTAL(3,$B$16:B699)</f>
        <v>114</v>
      </c>
    </row>
    <row r="700" spans="1:1" x14ac:dyDescent="0.2">
      <c r="A700">
        <f>SUBTOTAL(3,$B$16:B700)</f>
        <v>114</v>
      </c>
    </row>
    <row r="701" spans="1:1" x14ac:dyDescent="0.2">
      <c r="A701">
        <f>SUBTOTAL(3,$B$16:B701)</f>
        <v>114</v>
      </c>
    </row>
    <row r="702" spans="1:1" x14ac:dyDescent="0.2">
      <c r="A702">
        <f>SUBTOTAL(3,$B$16:B702)</f>
        <v>114</v>
      </c>
    </row>
    <row r="703" spans="1:1" x14ac:dyDescent="0.2">
      <c r="A703">
        <f>SUBTOTAL(3,$B$16:B703)</f>
        <v>114</v>
      </c>
    </row>
    <row r="704" spans="1:1" x14ac:dyDescent="0.2">
      <c r="A704">
        <f>SUBTOTAL(3,$B$16:B704)</f>
        <v>114</v>
      </c>
    </row>
    <row r="705" spans="1:1" x14ac:dyDescent="0.2">
      <c r="A705">
        <f>SUBTOTAL(3,$B$16:B705)</f>
        <v>114</v>
      </c>
    </row>
    <row r="706" spans="1:1" x14ac:dyDescent="0.2">
      <c r="A706">
        <f>SUBTOTAL(3,$B$16:B706)</f>
        <v>114</v>
      </c>
    </row>
    <row r="707" spans="1:1" x14ac:dyDescent="0.2">
      <c r="A707">
        <f>SUBTOTAL(3,$B$16:B707)</f>
        <v>114</v>
      </c>
    </row>
    <row r="708" spans="1:1" x14ac:dyDescent="0.2">
      <c r="A708">
        <f>SUBTOTAL(3,$B$16:B708)</f>
        <v>114</v>
      </c>
    </row>
    <row r="709" spans="1:1" x14ac:dyDescent="0.2">
      <c r="A709">
        <f>SUBTOTAL(3,$B$16:B709)</f>
        <v>114</v>
      </c>
    </row>
    <row r="710" spans="1:1" x14ac:dyDescent="0.2">
      <c r="A710">
        <f>SUBTOTAL(3,$B$16:B710)</f>
        <v>114</v>
      </c>
    </row>
    <row r="711" spans="1:1" x14ac:dyDescent="0.2">
      <c r="A711">
        <f>SUBTOTAL(3,$B$16:B711)</f>
        <v>114</v>
      </c>
    </row>
    <row r="712" spans="1:1" x14ac:dyDescent="0.2">
      <c r="A712">
        <f>SUBTOTAL(3,$B$16:B712)</f>
        <v>114</v>
      </c>
    </row>
    <row r="713" spans="1:1" x14ac:dyDescent="0.2">
      <c r="A713">
        <f>SUBTOTAL(3,$B$16:B713)</f>
        <v>114</v>
      </c>
    </row>
    <row r="714" spans="1:1" x14ac:dyDescent="0.2">
      <c r="A714">
        <f>SUBTOTAL(3,$B$16:B714)</f>
        <v>114</v>
      </c>
    </row>
    <row r="715" spans="1:1" x14ac:dyDescent="0.2">
      <c r="A715">
        <f>SUBTOTAL(3,$B$16:B715)</f>
        <v>114</v>
      </c>
    </row>
    <row r="716" spans="1:1" x14ac:dyDescent="0.2">
      <c r="A716">
        <f>SUBTOTAL(3,$B$16:B716)</f>
        <v>114</v>
      </c>
    </row>
    <row r="717" spans="1:1" x14ac:dyDescent="0.2">
      <c r="A717">
        <f>SUBTOTAL(3,$B$16:B717)</f>
        <v>114</v>
      </c>
    </row>
    <row r="718" spans="1:1" x14ac:dyDescent="0.2">
      <c r="A718">
        <f>SUBTOTAL(3,$B$16:B718)</f>
        <v>114</v>
      </c>
    </row>
    <row r="719" spans="1:1" x14ac:dyDescent="0.2">
      <c r="A719">
        <f>SUBTOTAL(3,$B$16:B719)</f>
        <v>114</v>
      </c>
    </row>
    <row r="720" spans="1:1" x14ac:dyDescent="0.2">
      <c r="A720">
        <f>SUBTOTAL(3,$B$16:B720)</f>
        <v>114</v>
      </c>
    </row>
    <row r="721" spans="1:1" x14ac:dyDescent="0.2">
      <c r="A721">
        <f>SUBTOTAL(3,$B$16:B721)</f>
        <v>114</v>
      </c>
    </row>
    <row r="722" spans="1:1" x14ac:dyDescent="0.2">
      <c r="A722">
        <f>SUBTOTAL(3,$B$16:B722)</f>
        <v>114</v>
      </c>
    </row>
    <row r="723" spans="1:1" x14ac:dyDescent="0.2">
      <c r="A723">
        <f>SUBTOTAL(3,$B$16:B723)</f>
        <v>114</v>
      </c>
    </row>
    <row r="724" spans="1:1" x14ac:dyDescent="0.2">
      <c r="A724">
        <f>SUBTOTAL(3,$B$16:B724)</f>
        <v>114</v>
      </c>
    </row>
    <row r="725" spans="1:1" x14ac:dyDescent="0.2">
      <c r="A725">
        <f>SUBTOTAL(3,$B$16:B725)</f>
        <v>114</v>
      </c>
    </row>
    <row r="726" spans="1:1" x14ac:dyDescent="0.2">
      <c r="A726">
        <f>SUBTOTAL(3,$B$16:B726)</f>
        <v>114</v>
      </c>
    </row>
    <row r="727" spans="1:1" x14ac:dyDescent="0.2">
      <c r="A727">
        <f>SUBTOTAL(3,$B$16:B727)</f>
        <v>114</v>
      </c>
    </row>
    <row r="728" spans="1:1" x14ac:dyDescent="0.2">
      <c r="A728">
        <f>SUBTOTAL(3,$B$16:B728)</f>
        <v>114</v>
      </c>
    </row>
    <row r="729" spans="1:1" x14ac:dyDescent="0.2">
      <c r="A729">
        <f>SUBTOTAL(3,$B$16:B729)</f>
        <v>114</v>
      </c>
    </row>
    <row r="730" spans="1:1" x14ac:dyDescent="0.2">
      <c r="A730">
        <f>SUBTOTAL(3,$B$16:B730)</f>
        <v>114</v>
      </c>
    </row>
    <row r="731" spans="1:1" x14ac:dyDescent="0.2">
      <c r="A731">
        <f>SUBTOTAL(3,$B$16:B731)</f>
        <v>114</v>
      </c>
    </row>
    <row r="732" spans="1:1" x14ac:dyDescent="0.2">
      <c r="A732">
        <f>SUBTOTAL(3,$B$16:B732)</f>
        <v>114</v>
      </c>
    </row>
    <row r="733" spans="1:1" x14ac:dyDescent="0.2">
      <c r="A733">
        <f>SUBTOTAL(3,$B$16:B733)</f>
        <v>114</v>
      </c>
    </row>
    <row r="734" spans="1:1" x14ac:dyDescent="0.2">
      <c r="A734">
        <f>SUBTOTAL(3,$B$16:B734)</f>
        <v>114</v>
      </c>
    </row>
    <row r="735" spans="1:1" x14ac:dyDescent="0.2">
      <c r="A735">
        <f>SUBTOTAL(3,$B$16:B735)</f>
        <v>114</v>
      </c>
    </row>
    <row r="736" spans="1:1" x14ac:dyDescent="0.2">
      <c r="A736">
        <f>SUBTOTAL(3,$B$16:B736)</f>
        <v>114</v>
      </c>
    </row>
    <row r="737" spans="1:1" x14ac:dyDescent="0.2">
      <c r="A737">
        <f>SUBTOTAL(3,$B$16:B737)</f>
        <v>114</v>
      </c>
    </row>
    <row r="738" spans="1:1" x14ac:dyDescent="0.2">
      <c r="A738">
        <f>SUBTOTAL(3,$B$16:B738)</f>
        <v>114</v>
      </c>
    </row>
    <row r="739" spans="1:1" x14ac:dyDescent="0.2">
      <c r="A739">
        <f>SUBTOTAL(3,$B$16:B739)</f>
        <v>114</v>
      </c>
    </row>
    <row r="740" spans="1:1" x14ac:dyDescent="0.2">
      <c r="A740">
        <f>SUBTOTAL(3,$B$16:B740)</f>
        <v>114</v>
      </c>
    </row>
    <row r="741" spans="1:1" x14ac:dyDescent="0.2">
      <c r="A741">
        <f>SUBTOTAL(3,$B$16:B741)</f>
        <v>114</v>
      </c>
    </row>
    <row r="742" spans="1:1" x14ac:dyDescent="0.2">
      <c r="A742">
        <f>SUBTOTAL(3,$B$16:B742)</f>
        <v>114</v>
      </c>
    </row>
    <row r="743" spans="1:1" x14ac:dyDescent="0.2">
      <c r="A743">
        <f>SUBTOTAL(3,$B$16:B743)</f>
        <v>114</v>
      </c>
    </row>
    <row r="744" spans="1:1" x14ac:dyDescent="0.2">
      <c r="A744">
        <f>SUBTOTAL(3,$B$16:B744)</f>
        <v>114</v>
      </c>
    </row>
    <row r="745" spans="1:1" x14ac:dyDescent="0.2">
      <c r="A745">
        <f>SUBTOTAL(3,$B$16:B745)</f>
        <v>114</v>
      </c>
    </row>
    <row r="746" spans="1:1" x14ac:dyDescent="0.2">
      <c r="A746">
        <f>SUBTOTAL(3,$B$16:B746)</f>
        <v>114</v>
      </c>
    </row>
    <row r="747" spans="1:1" x14ac:dyDescent="0.2">
      <c r="A747">
        <f>SUBTOTAL(3,$B$16:B747)</f>
        <v>114</v>
      </c>
    </row>
    <row r="748" spans="1:1" x14ac:dyDescent="0.2">
      <c r="A748">
        <f>SUBTOTAL(3,$B$16:B748)</f>
        <v>114</v>
      </c>
    </row>
    <row r="749" spans="1:1" x14ac:dyDescent="0.2">
      <c r="A749">
        <f>SUBTOTAL(3,$B$16:B749)</f>
        <v>114</v>
      </c>
    </row>
    <row r="750" spans="1:1" x14ac:dyDescent="0.2">
      <c r="A750">
        <f>SUBTOTAL(3,$B$16:B750)</f>
        <v>114</v>
      </c>
    </row>
    <row r="751" spans="1:1" x14ac:dyDescent="0.2">
      <c r="A751">
        <f>SUBTOTAL(3,$B$16:B751)</f>
        <v>114</v>
      </c>
    </row>
    <row r="752" spans="1:1" x14ac:dyDescent="0.2">
      <c r="A752">
        <f>SUBTOTAL(3,$B$16:B752)</f>
        <v>114</v>
      </c>
    </row>
    <row r="753" spans="1:1" x14ac:dyDescent="0.2">
      <c r="A753">
        <f>SUBTOTAL(3,$B$16:B753)</f>
        <v>114</v>
      </c>
    </row>
    <row r="754" spans="1:1" x14ac:dyDescent="0.2">
      <c r="A754">
        <f>SUBTOTAL(3,$B$16:B754)</f>
        <v>114</v>
      </c>
    </row>
    <row r="755" spans="1:1" x14ac:dyDescent="0.2">
      <c r="A755">
        <f>SUBTOTAL(3,$B$16:B755)</f>
        <v>114</v>
      </c>
    </row>
    <row r="756" spans="1:1" x14ac:dyDescent="0.2">
      <c r="A756">
        <f>SUBTOTAL(3,$B$16:B756)</f>
        <v>114</v>
      </c>
    </row>
    <row r="757" spans="1:1" x14ac:dyDescent="0.2">
      <c r="A757">
        <f>SUBTOTAL(3,$B$16:B757)</f>
        <v>114</v>
      </c>
    </row>
    <row r="758" spans="1:1" x14ac:dyDescent="0.2">
      <c r="A758">
        <f>SUBTOTAL(3,$B$16:B758)</f>
        <v>114</v>
      </c>
    </row>
    <row r="759" spans="1:1" x14ac:dyDescent="0.2">
      <c r="A759">
        <f>SUBTOTAL(3,$B$16:B759)</f>
        <v>114</v>
      </c>
    </row>
    <row r="760" spans="1:1" x14ac:dyDescent="0.2">
      <c r="A760">
        <f>SUBTOTAL(3,$B$16:B760)</f>
        <v>114</v>
      </c>
    </row>
    <row r="761" spans="1:1" x14ac:dyDescent="0.2">
      <c r="A761">
        <f>SUBTOTAL(3,$B$16:B761)</f>
        <v>114</v>
      </c>
    </row>
    <row r="762" spans="1:1" x14ac:dyDescent="0.2">
      <c r="A762">
        <f>SUBTOTAL(3,$B$16:B762)</f>
        <v>114</v>
      </c>
    </row>
    <row r="763" spans="1:1" x14ac:dyDescent="0.2">
      <c r="A763">
        <f>SUBTOTAL(3,$B$16:B763)</f>
        <v>114</v>
      </c>
    </row>
    <row r="764" spans="1:1" x14ac:dyDescent="0.2">
      <c r="A764">
        <f>SUBTOTAL(3,$B$16:B764)</f>
        <v>114</v>
      </c>
    </row>
    <row r="765" spans="1:1" x14ac:dyDescent="0.2">
      <c r="A765">
        <f>SUBTOTAL(3,$B$16:B765)</f>
        <v>114</v>
      </c>
    </row>
    <row r="766" spans="1:1" x14ac:dyDescent="0.2">
      <c r="A766">
        <f>SUBTOTAL(3,$B$16:B766)</f>
        <v>114</v>
      </c>
    </row>
    <row r="767" spans="1:1" x14ac:dyDescent="0.2">
      <c r="A767">
        <f>SUBTOTAL(3,$B$16:B767)</f>
        <v>114</v>
      </c>
    </row>
    <row r="768" spans="1:1" x14ac:dyDescent="0.2">
      <c r="A768">
        <f>SUBTOTAL(3,$B$16:B768)</f>
        <v>114</v>
      </c>
    </row>
    <row r="769" spans="1:1" x14ac:dyDescent="0.2">
      <c r="A769">
        <f>SUBTOTAL(3,$B$16:B769)</f>
        <v>114</v>
      </c>
    </row>
    <row r="770" spans="1:1" x14ac:dyDescent="0.2">
      <c r="A770">
        <f>SUBTOTAL(3,$B$16:B770)</f>
        <v>114</v>
      </c>
    </row>
    <row r="771" spans="1:1" x14ac:dyDescent="0.2">
      <c r="A771">
        <f>SUBTOTAL(3,$B$16:B771)</f>
        <v>114</v>
      </c>
    </row>
    <row r="772" spans="1:1" x14ac:dyDescent="0.2">
      <c r="A772">
        <f>SUBTOTAL(3,$B$16:B772)</f>
        <v>114</v>
      </c>
    </row>
    <row r="773" spans="1:1" x14ac:dyDescent="0.2">
      <c r="A773">
        <f>SUBTOTAL(3,$B$16:B773)</f>
        <v>114</v>
      </c>
    </row>
    <row r="774" spans="1:1" x14ac:dyDescent="0.2">
      <c r="A774">
        <f>SUBTOTAL(3,$B$16:B774)</f>
        <v>114</v>
      </c>
    </row>
    <row r="775" spans="1:1" x14ac:dyDescent="0.2">
      <c r="A775">
        <f>SUBTOTAL(3,$B$16:B775)</f>
        <v>114</v>
      </c>
    </row>
    <row r="776" spans="1:1" x14ac:dyDescent="0.2">
      <c r="A776">
        <f>SUBTOTAL(3,$B$16:B776)</f>
        <v>114</v>
      </c>
    </row>
    <row r="777" spans="1:1" x14ac:dyDescent="0.2">
      <c r="A777">
        <f>SUBTOTAL(3,$B$16:B777)</f>
        <v>114</v>
      </c>
    </row>
    <row r="778" spans="1:1" x14ac:dyDescent="0.2">
      <c r="A778">
        <f>SUBTOTAL(3,$B$16:B778)</f>
        <v>114</v>
      </c>
    </row>
    <row r="779" spans="1:1" x14ac:dyDescent="0.2">
      <c r="A779">
        <f>SUBTOTAL(3,$B$16:B779)</f>
        <v>114</v>
      </c>
    </row>
    <row r="780" spans="1:1" x14ac:dyDescent="0.2">
      <c r="A780">
        <f>SUBTOTAL(3,$B$16:B780)</f>
        <v>114</v>
      </c>
    </row>
    <row r="781" spans="1:1" x14ac:dyDescent="0.2">
      <c r="A781">
        <f>SUBTOTAL(3,$B$16:B781)</f>
        <v>114</v>
      </c>
    </row>
    <row r="782" spans="1:1" x14ac:dyDescent="0.2">
      <c r="A782">
        <f>SUBTOTAL(3,$B$16:B782)</f>
        <v>114</v>
      </c>
    </row>
    <row r="783" spans="1:1" x14ac:dyDescent="0.2">
      <c r="A783">
        <f>SUBTOTAL(3,$B$16:B783)</f>
        <v>114</v>
      </c>
    </row>
    <row r="784" spans="1:1" x14ac:dyDescent="0.2">
      <c r="A784">
        <f>SUBTOTAL(3,$B$16:B784)</f>
        <v>114</v>
      </c>
    </row>
    <row r="785" spans="1:1" x14ac:dyDescent="0.2">
      <c r="A785">
        <f>SUBTOTAL(3,$B$16:B785)</f>
        <v>114</v>
      </c>
    </row>
    <row r="786" spans="1:1" x14ac:dyDescent="0.2">
      <c r="A786">
        <f>SUBTOTAL(3,$B$16:B786)</f>
        <v>114</v>
      </c>
    </row>
    <row r="787" spans="1:1" x14ac:dyDescent="0.2">
      <c r="A787">
        <f>SUBTOTAL(3,$B$16:B787)</f>
        <v>114</v>
      </c>
    </row>
    <row r="788" spans="1:1" x14ac:dyDescent="0.2">
      <c r="A788">
        <f>SUBTOTAL(3,$B$16:B788)</f>
        <v>114</v>
      </c>
    </row>
    <row r="789" spans="1:1" x14ac:dyDescent="0.2">
      <c r="A789">
        <f>SUBTOTAL(3,$B$16:B789)</f>
        <v>114</v>
      </c>
    </row>
    <row r="790" spans="1:1" x14ac:dyDescent="0.2">
      <c r="A790">
        <f>SUBTOTAL(3,$B$16:B790)</f>
        <v>114</v>
      </c>
    </row>
    <row r="791" spans="1:1" x14ac:dyDescent="0.2">
      <c r="A791">
        <f>SUBTOTAL(3,$B$16:B791)</f>
        <v>114</v>
      </c>
    </row>
    <row r="792" spans="1:1" x14ac:dyDescent="0.2">
      <c r="A792">
        <f>SUBTOTAL(3,$B$16:B792)</f>
        <v>114</v>
      </c>
    </row>
    <row r="793" spans="1:1" x14ac:dyDescent="0.2">
      <c r="A793">
        <f>SUBTOTAL(3,$B$16:B793)</f>
        <v>114</v>
      </c>
    </row>
    <row r="794" spans="1:1" x14ac:dyDescent="0.2">
      <c r="A794">
        <f>SUBTOTAL(3,$B$16:B794)</f>
        <v>114</v>
      </c>
    </row>
    <row r="795" spans="1:1" x14ac:dyDescent="0.2">
      <c r="A795">
        <f>SUBTOTAL(3,$B$16:B795)</f>
        <v>114</v>
      </c>
    </row>
    <row r="796" spans="1:1" x14ac:dyDescent="0.2">
      <c r="A796">
        <f>SUBTOTAL(3,$B$16:B796)</f>
        <v>114</v>
      </c>
    </row>
    <row r="797" spans="1:1" x14ac:dyDescent="0.2">
      <c r="A797">
        <f>SUBTOTAL(3,$B$16:B797)</f>
        <v>114</v>
      </c>
    </row>
    <row r="798" spans="1:1" x14ac:dyDescent="0.2">
      <c r="A798">
        <f>SUBTOTAL(3,$B$16:B798)</f>
        <v>114</v>
      </c>
    </row>
    <row r="799" spans="1:1" x14ac:dyDescent="0.2">
      <c r="A799">
        <f>SUBTOTAL(3,$B$16:B799)</f>
        <v>114</v>
      </c>
    </row>
    <row r="800" spans="1:1" x14ac:dyDescent="0.2">
      <c r="A800">
        <f>SUBTOTAL(3,$B$16:B800)</f>
        <v>114</v>
      </c>
    </row>
    <row r="801" spans="1:1" x14ac:dyDescent="0.2">
      <c r="A801">
        <f>SUBTOTAL(3,$B$16:B814)</f>
        <v>114</v>
      </c>
    </row>
    <row r="802" spans="1:1" x14ac:dyDescent="0.2">
      <c r="A802">
        <f>SUBTOTAL(3,$B$16:B815)</f>
        <v>114</v>
      </c>
    </row>
    <row r="803" spans="1:1" x14ac:dyDescent="0.2">
      <c r="A803">
        <f>SUBTOTAL(3,$B$16:B816)</f>
        <v>114</v>
      </c>
    </row>
    <row r="804" spans="1:1" x14ac:dyDescent="0.2">
      <c r="A804">
        <f>SUBTOTAL(3,$B$16:B817)</f>
        <v>114</v>
      </c>
    </row>
    <row r="805" spans="1:1" x14ac:dyDescent="0.2">
      <c r="A805">
        <f>SUBTOTAL(3,$B$16:B818)</f>
        <v>114</v>
      </c>
    </row>
    <row r="806" spans="1:1" x14ac:dyDescent="0.2">
      <c r="A806">
        <f>SUBTOTAL(3,$B$16:B819)</f>
        <v>114</v>
      </c>
    </row>
    <row r="807" spans="1:1" x14ac:dyDescent="0.2">
      <c r="A807">
        <f>SUBTOTAL(3,$B$16:B820)</f>
        <v>114</v>
      </c>
    </row>
    <row r="808" spans="1:1" x14ac:dyDescent="0.2">
      <c r="A808">
        <f>SUBTOTAL(3,$B$16:B821)</f>
        <v>114</v>
      </c>
    </row>
    <row r="809" spans="1:1" x14ac:dyDescent="0.2">
      <c r="A809">
        <f>SUBTOTAL(3,$B$16:B822)</f>
        <v>114</v>
      </c>
    </row>
    <row r="810" spans="1:1" x14ac:dyDescent="0.2">
      <c r="A810">
        <f>SUBTOTAL(3,$B$16:B823)</f>
        <v>114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3:AH723"/>
  <sheetViews>
    <sheetView workbookViewId="0">
      <selection activeCell="AB3" sqref="Q3:AB3"/>
    </sheetView>
  </sheetViews>
  <sheetFormatPr defaultRowHeight="12.75" x14ac:dyDescent="0.2"/>
  <cols>
    <col min="2" max="2" width="12.28515625" customWidth="1"/>
    <col min="3" max="4" width="18.42578125" customWidth="1"/>
    <col min="5" max="5" width="11" bestFit="1" customWidth="1"/>
    <col min="6" max="6" width="11" customWidth="1"/>
    <col min="7" max="7" width="12.42578125" customWidth="1"/>
    <col min="8" max="9" width="11" bestFit="1" customWidth="1"/>
    <col min="10" max="10" width="12" bestFit="1" customWidth="1"/>
    <col min="11" max="12" width="11" bestFit="1" customWidth="1"/>
    <col min="13" max="13" width="12" bestFit="1" customWidth="1"/>
    <col min="14" max="15" width="11" bestFit="1" customWidth="1"/>
    <col min="16" max="16" width="12" bestFit="1" customWidth="1"/>
    <col min="17" max="17" width="10" customWidth="1"/>
    <col min="18" max="18" width="10" bestFit="1" customWidth="1"/>
    <col min="19" max="19" width="10" customWidth="1"/>
    <col min="20" max="20" width="11" bestFit="1" customWidth="1"/>
    <col min="21" max="21" width="10" customWidth="1"/>
    <col min="22" max="22" width="12.42578125" bestFit="1" customWidth="1"/>
    <col min="23" max="23" width="9" bestFit="1" customWidth="1"/>
    <col min="24" max="28" width="8.140625" bestFit="1" customWidth="1"/>
    <col min="29" max="29" width="12" customWidth="1"/>
    <col min="30" max="31" width="12.42578125" customWidth="1"/>
    <col min="32" max="32" width="7.5703125" style="32" customWidth="1"/>
    <col min="33" max="34" width="12.42578125" customWidth="1"/>
  </cols>
  <sheetData>
    <row r="3" spans="2:34" x14ac:dyDescent="0.2">
      <c r="Q3">
        <f>Selections!$G$9</f>
        <v>1</v>
      </c>
      <c r="R3">
        <f>Selections!$G$10</f>
        <v>1</v>
      </c>
      <c r="S3">
        <f>Selections!$G$11</f>
        <v>1</v>
      </c>
      <c r="T3">
        <f>Selections!$G$12</f>
        <v>1</v>
      </c>
      <c r="U3">
        <f>Selections!$G$13</f>
        <v>1</v>
      </c>
      <c r="V3">
        <f>Selections!$G$14</f>
        <v>1</v>
      </c>
      <c r="W3">
        <f>Selections!$G$15</f>
        <v>0</v>
      </c>
      <c r="X3">
        <f>Selections!$G$16</f>
        <v>0</v>
      </c>
      <c r="Y3">
        <f>Selections!$G$17</f>
        <v>0</v>
      </c>
      <c r="Z3">
        <f>Selections!$G$18</f>
        <v>0</v>
      </c>
      <c r="AA3">
        <f>Selections!$G$19</f>
        <v>0</v>
      </c>
      <c r="AB3">
        <f>Selections!$G$20</f>
        <v>0</v>
      </c>
    </row>
    <row r="4" spans="2:34" x14ac:dyDescent="0.2">
      <c r="E4">
        <f>Selections!$F$9</f>
        <v>1</v>
      </c>
      <c r="F4">
        <f>Selections!$F$10</f>
        <v>1</v>
      </c>
      <c r="G4">
        <f>Selections!$F$11</f>
        <v>1</v>
      </c>
      <c r="H4">
        <f>Selections!$F$12</f>
        <v>1</v>
      </c>
      <c r="I4">
        <f>Selections!$F$13</f>
        <v>1</v>
      </c>
      <c r="J4">
        <f>Selections!$F$14</f>
        <v>1</v>
      </c>
      <c r="K4">
        <f>Selections!$F$15</f>
        <v>0</v>
      </c>
      <c r="L4">
        <f>Selections!$F$16</f>
        <v>0</v>
      </c>
      <c r="M4">
        <f>Selections!$F$17</f>
        <v>0</v>
      </c>
      <c r="N4">
        <f>Selections!$F$18</f>
        <v>0</v>
      </c>
      <c r="O4">
        <f>Selections!$F$19</f>
        <v>0</v>
      </c>
      <c r="P4">
        <f>Selections!$F$20</f>
        <v>0</v>
      </c>
      <c r="Q4">
        <f>Selections!$F$9</f>
        <v>1</v>
      </c>
      <c r="R4">
        <f>Selections!$F$10</f>
        <v>1</v>
      </c>
      <c r="S4">
        <f>Selections!$F$11</f>
        <v>1</v>
      </c>
      <c r="T4">
        <f>Selections!$F$12</f>
        <v>1</v>
      </c>
      <c r="U4">
        <f>Selections!$F$13</f>
        <v>1</v>
      </c>
      <c r="V4">
        <f>Selections!$F$14</f>
        <v>1</v>
      </c>
      <c r="W4">
        <f>Selections!$F$15</f>
        <v>0</v>
      </c>
      <c r="X4">
        <f>Selections!$F$16</f>
        <v>0</v>
      </c>
      <c r="Y4">
        <f>Selections!$F$17</f>
        <v>0</v>
      </c>
      <c r="Z4">
        <f>Selections!$F$18</f>
        <v>0</v>
      </c>
      <c r="AA4">
        <f>Selections!$F$19</f>
        <v>0</v>
      </c>
      <c r="AB4">
        <f>Selections!$F$20</f>
        <v>0</v>
      </c>
    </row>
    <row r="5" spans="2:34" x14ac:dyDescent="0.2">
      <c r="B5" t="s">
        <v>43</v>
      </c>
      <c r="C5" t="s">
        <v>44</v>
      </c>
      <c r="D5" t="s">
        <v>145</v>
      </c>
      <c r="E5" t="s">
        <v>45</v>
      </c>
      <c r="F5" t="s">
        <v>46</v>
      </c>
      <c r="G5" t="s">
        <v>47</v>
      </c>
      <c r="H5" t="s">
        <v>48</v>
      </c>
      <c r="I5" t="s">
        <v>49</v>
      </c>
      <c r="J5" t="s">
        <v>50</v>
      </c>
      <c r="K5" t="s">
        <v>51</v>
      </c>
      <c r="L5" t="s">
        <v>52</v>
      </c>
      <c r="M5" t="s">
        <v>53</v>
      </c>
      <c r="N5" t="s">
        <v>54</v>
      </c>
      <c r="O5" t="s">
        <v>55</v>
      </c>
      <c r="P5" t="s">
        <v>56</v>
      </c>
      <c r="Q5" t="s">
        <v>57</v>
      </c>
      <c r="R5" t="s">
        <v>58</v>
      </c>
      <c r="S5" t="s">
        <v>59</v>
      </c>
      <c r="T5" t="s">
        <v>60</v>
      </c>
      <c r="U5" t="s">
        <v>61</v>
      </c>
      <c r="V5" t="s">
        <v>62</v>
      </c>
      <c r="W5" t="s">
        <v>63</v>
      </c>
      <c r="X5" t="s">
        <v>64</v>
      </c>
      <c r="Y5" t="s">
        <v>65</v>
      </c>
      <c r="Z5" t="s">
        <v>66</v>
      </c>
      <c r="AA5" t="s">
        <v>67</v>
      </c>
      <c r="AB5" t="s">
        <v>68</v>
      </c>
      <c r="AC5" t="s">
        <v>35</v>
      </c>
      <c r="AD5" t="s">
        <v>34</v>
      </c>
      <c r="AE5" t="s">
        <v>31</v>
      </c>
      <c r="AF5" s="32" t="s">
        <v>30</v>
      </c>
      <c r="AG5" t="s">
        <v>274</v>
      </c>
      <c r="AH5" t="s">
        <v>275</v>
      </c>
    </row>
    <row r="6" spans="2:34" x14ac:dyDescent="0.2">
      <c r="B6" t="s">
        <v>480</v>
      </c>
      <c r="C6" t="s">
        <v>841</v>
      </c>
      <c r="D6" t="s">
        <v>986</v>
      </c>
      <c r="E6">
        <v>242.49</v>
      </c>
      <c r="F6">
        <v>3022.9</v>
      </c>
      <c r="G6">
        <v>2635.7200000000003</v>
      </c>
      <c r="H6">
        <v>1532.25</v>
      </c>
      <c r="I6">
        <v>1635.31</v>
      </c>
      <c r="Q6">
        <v>242.49</v>
      </c>
      <c r="R6">
        <v>3022.8999999999996</v>
      </c>
      <c r="S6">
        <v>2635.7200000000003</v>
      </c>
      <c r="T6">
        <v>1532.2499999999998</v>
      </c>
      <c r="U6">
        <v>1635.31</v>
      </c>
      <c r="AC6">
        <f>SUMPRODUCT(DB_SOFProject[[#This Row],[Plan01]:[Plan12]],$E$4:$P$4)/valUnits2</f>
        <v>9.0686700000000009</v>
      </c>
      <c r="AD6">
        <f>SUMPRODUCT(DB_SOFProject[[#This Row],[Act01]:[Act12]],$Q$4:$AB$4)/valUnits2</f>
        <v>9.0686700000000009</v>
      </c>
      <c r="AE6">
        <f>DB_SOFProject[[#This Row],[Actual]]-DB_SOFProject[[#This Row],[Plan]]</f>
        <v>0</v>
      </c>
      <c r="AF6" s="32">
        <f>IF(DB_SOFProject[[#This Row],[Plan]]&lt;&gt;0,DB_SOFProject[[#This Row],[Actual]]/DB_SOFProject[[#This Row],[Plan]],1.000011000011)</f>
        <v>1</v>
      </c>
      <c r="AG6" s="34">
        <f>SUM(DB_SOFProject[[#This Row],[Plan01]:[Plan12]])/valUnits2</f>
        <v>9.0686700000000009</v>
      </c>
      <c r="AH6" s="34">
        <f>SUMPRODUCT(DB_SOFProject[[#This Row],[Act01]:[Act12]],$Q$3:$AB$3)/valUnits2</f>
        <v>9.0686700000000009</v>
      </c>
    </row>
    <row r="7" spans="2:34" x14ac:dyDescent="0.2">
      <c r="B7" t="s">
        <v>480</v>
      </c>
      <c r="C7" t="s">
        <v>845</v>
      </c>
      <c r="D7" t="s">
        <v>969</v>
      </c>
      <c r="I7">
        <v>151.71</v>
      </c>
      <c r="J7">
        <v>0</v>
      </c>
      <c r="U7">
        <v>152.69</v>
      </c>
      <c r="V7">
        <v>203.47</v>
      </c>
      <c r="AC7">
        <f>SUMPRODUCT(DB_SOFProject[[#This Row],[Plan01]:[Plan12]],$E$4:$P$4)/valUnits2</f>
        <v>0.15171000000000001</v>
      </c>
      <c r="AD7">
        <f>SUMPRODUCT(DB_SOFProject[[#This Row],[Act01]:[Act12]],$Q$4:$AB$4)/valUnits2</f>
        <v>0.35615999999999998</v>
      </c>
      <c r="AE7">
        <f>DB_SOFProject[[#This Row],[Actual]]-DB_SOFProject[[#This Row],[Plan]]</f>
        <v>0.20444999999999997</v>
      </c>
      <c r="AF7" s="32">
        <f>IF(DB_SOFProject[[#This Row],[Plan]]&lt;&gt;0,DB_SOFProject[[#This Row],[Actual]]/DB_SOFProject[[#This Row],[Plan]],1.000011000011)</f>
        <v>2.3476369388965788</v>
      </c>
      <c r="AG7" s="34">
        <f>SUM(DB_SOFProject[[#This Row],[Plan01]:[Plan12]])/valUnits2</f>
        <v>0.15171000000000001</v>
      </c>
      <c r="AH7" s="34">
        <f>SUMPRODUCT(DB_SOFProject[[#This Row],[Act01]:[Act12]],$Q$3:$AB$3)/valUnits2</f>
        <v>0.35615999999999998</v>
      </c>
    </row>
    <row r="8" spans="2:34" x14ac:dyDescent="0.2">
      <c r="B8" t="s">
        <v>480</v>
      </c>
      <c r="C8" t="s">
        <v>847</v>
      </c>
      <c r="D8" t="s">
        <v>982</v>
      </c>
      <c r="I8">
        <v>9318.1869999999999</v>
      </c>
      <c r="J8">
        <v>0</v>
      </c>
      <c r="U8">
        <v>9526.64</v>
      </c>
      <c r="V8">
        <v>261.21999999999986</v>
      </c>
      <c r="AC8">
        <f>SUMPRODUCT(DB_SOFProject[[#This Row],[Plan01]:[Plan12]],$E$4:$P$4)/valUnits2</f>
        <v>9.318187</v>
      </c>
      <c r="AD8">
        <f>SUMPRODUCT(DB_SOFProject[[#This Row],[Act01]:[Act12]],$Q$4:$AB$4)/valUnits2</f>
        <v>9.7878599999999985</v>
      </c>
      <c r="AE8">
        <f>DB_SOFProject[[#This Row],[Actual]]-DB_SOFProject[[#This Row],[Plan]]</f>
        <v>0.46967299999999845</v>
      </c>
      <c r="AF8" s="32">
        <f>IF(DB_SOFProject[[#This Row],[Plan]]&lt;&gt;0,DB_SOFProject[[#This Row],[Actual]]/DB_SOFProject[[#This Row],[Plan]],1.000011000011)</f>
        <v>1.050403903677829</v>
      </c>
      <c r="AG8" s="34">
        <f>SUM(DB_SOFProject[[#This Row],[Plan01]:[Plan12]])/valUnits2</f>
        <v>9.318187</v>
      </c>
      <c r="AH8" s="34">
        <f>SUMPRODUCT(DB_SOFProject[[#This Row],[Act01]:[Act12]],$Q$3:$AB$3)/valUnits2</f>
        <v>9.7878599999999985</v>
      </c>
    </row>
    <row r="9" spans="2:34" x14ac:dyDescent="0.2">
      <c r="B9" t="s">
        <v>480</v>
      </c>
      <c r="C9" t="s">
        <v>849</v>
      </c>
      <c r="D9" t="s">
        <v>982</v>
      </c>
      <c r="J9">
        <v>0</v>
      </c>
      <c r="V9">
        <v>2522.2399999999998</v>
      </c>
      <c r="AC9">
        <f>SUMPRODUCT(DB_SOFProject[[#This Row],[Plan01]:[Plan12]],$E$4:$P$4)/valUnits2</f>
        <v>0</v>
      </c>
      <c r="AD9">
        <f>SUMPRODUCT(DB_SOFProject[[#This Row],[Act01]:[Act12]],$Q$4:$AB$4)/valUnits2</f>
        <v>2.5222399999999996</v>
      </c>
      <c r="AE9">
        <f>DB_SOFProject[[#This Row],[Actual]]-DB_SOFProject[[#This Row],[Plan]]</f>
        <v>2.5222399999999996</v>
      </c>
      <c r="AF9" s="32">
        <f>IF(DB_SOFProject[[#This Row],[Plan]]&lt;&gt;0,DB_SOFProject[[#This Row],[Actual]]/DB_SOFProject[[#This Row],[Plan]],1.000011000011)</f>
        <v>1.0000110000110001</v>
      </c>
      <c r="AG9" s="34">
        <f>SUM(DB_SOFProject[[#This Row],[Plan01]:[Plan12]])/valUnits2</f>
        <v>0</v>
      </c>
      <c r="AH9" s="34">
        <f>SUMPRODUCT(DB_SOFProject[[#This Row],[Act01]:[Act12]],$Q$3:$AB$3)/valUnits2</f>
        <v>2.5222399999999996</v>
      </c>
    </row>
    <row r="10" spans="2:34" x14ac:dyDescent="0.2">
      <c r="B10" t="s">
        <v>480</v>
      </c>
      <c r="C10" t="s">
        <v>852</v>
      </c>
      <c r="D10" t="s">
        <v>969</v>
      </c>
      <c r="E10">
        <v>-1037.548</v>
      </c>
      <c r="Q10">
        <v>-1061.6500000000001</v>
      </c>
      <c r="AC10">
        <f>SUMPRODUCT(DB_SOFProject[[#This Row],[Plan01]:[Plan12]],$E$4:$P$4)/valUnits2</f>
        <v>-1.0375479999999999</v>
      </c>
      <c r="AD10">
        <f>SUMPRODUCT(DB_SOFProject[[#This Row],[Act01]:[Act12]],$Q$4:$AB$4)/valUnits2</f>
        <v>-1.06165</v>
      </c>
      <c r="AE10">
        <f>DB_SOFProject[[#This Row],[Actual]]-DB_SOFProject[[#This Row],[Plan]]</f>
        <v>-2.4102000000000068E-2</v>
      </c>
      <c r="AF10" s="32">
        <f>IF(DB_SOFProject[[#This Row],[Plan]]&lt;&gt;0,DB_SOFProject[[#This Row],[Actual]]/DB_SOFProject[[#This Row],[Plan]],1.000011000011)</f>
        <v>1.0232297686468481</v>
      </c>
      <c r="AG10" s="34">
        <f>SUM(DB_SOFProject[[#This Row],[Plan01]:[Plan12]])/valUnits2</f>
        <v>-1.0375479999999999</v>
      </c>
      <c r="AH10" s="34">
        <f>SUMPRODUCT(DB_SOFProject[[#This Row],[Act01]:[Act12]],$Q$3:$AB$3)/valUnits2</f>
        <v>-1.06165</v>
      </c>
    </row>
    <row r="11" spans="2:34" x14ac:dyDescent="0.2">
      <c r="B11" t="s">
        <v>480</v>
      </c>
      <c r="C11" t="s">
        <v>855</v>
      </c>
      <c r="D11" t="s">
        <v>958</v>
      </c>
      <c r="E11">
        <v>24151.307000000001</v>
      </c>
      <c r="F11">
        <v>29482.164000000001</v>
      </c>
      <c r="G11">
        <v>-67816.968999999983</v>
      </c>
      <c r="H11">
        <v>1124.8230000000008</v>
      </c>
      <c r="I11">
        <v>6690.7449999999926</v>
      </c>
      <c r="J11">
        <v>8756.8700000000008</v>
      </c>
      <c r="K11">
        <v>8756.8700000000008</v>
      </c>
      <c r="L11">
        <v>8756.8700000000008</v>
      </c>
      <c r="M11">
        <v>8756.8700000000008</v>
      </c>
      <c r="N11">
        <v>8756.8700000000008</v>
      </c>
      <c r="O11">
        <v>8756.8700000000008</v>
      </c>
      <c r="P11">
        <v>8756.8700000000008</v>
      </c>
      <c r="Q11">
        <v>23736.449999999997</v>
      </c>
      <c r="R11">
        <v>30443.38</v>
      </c>
      <c r="S11">
        <v>-69249.810000000012</v>
      </c>
      <c r="T11">
        <v>1118.4099999999999</v>
      </c>
      <c r="U11">
        <v>6631.4299999999976</v>
      </c>
      <c r="V11">
        <v>2303.699999999998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f>SUMPRODUCT(DB_SOFProject[[#This Row],[Plan01]:[Plan12]],$E$4:$P$4)/valUnits2</f>
        <v>2.3889400000000158</v>
      </c>
      <c r="AD11">
        <f>SUMPRODUCT(DB_SOFProject[[#This Row],[Act01]:[Act12]],$Q$4:$AB$4)/valUnits2</f>
        <v>-5.0164400000000153</v>
      </c>
      <c r="AE11">
        <f>DB_SOFProject[[#This Row],[Actual]]-DB_SOFProject[[#This Row],[Plan]]</f>
        <v>-7.4053800000000312</v>
      </c>
      <c r="AF11" s="32">
        <f>IF(DB_SOFProject[[#This Row],[Plan]]&lt;&gt;0,DB_SOFProject[[#This Row],[Actual]]/DB_SOFProject[[#This Row],[Plan]],1.000011000011)</f>
        <v>-2.0998601890378086</v>
      </c>
      <c r="AG11" s="34">
        <f>SUM(DB_SOFProject[[#This Row],[Plan01]:[Plan12]])/valUnits2</f>
        <v>54.930160000000022</v>
      </c>
      <c r="AH11" s="34">
        <f>SUMPRODUCT(DB_SOFProject[[#This Row],[Act01]:[Act12]],$Q$3:$AB$3)/valUnits2</f>
        <v>-5.0164400000000153</v>
      </c>
    </row>
    <row r="12" spans="2:34" x14ac:dyDescent="0.2">
      <c r="B12" t="s">
        <v>480</v>
      </c>
      <c r="C12" t="s">
        <v>855</v>
      </c>
      <c r="D12" t="s">
        <v>988</v>
      </c>
      <c r="E12">
        <v>104.922</v>
      </c>
      <c r="F12">
        <v>4279.8060000000014</v>
      </c>
      <c r="G12">
        <v>80491.197</v>
      </c>
      <c r="H12">
        <v>13574.23</v>
      </c>
      <c r="I12">
        <v>25778.35999999999</v>
      </c>
      <c r="J12">
        <v>14875.83</v>
      </c>
      <c r="K12">
        <v>14875.83</v>
      </c>
      <c r="L12">
        <v>14875.83</v>
      </c>
      <c r="M12">
        <v>14875.830000000002</v>
      </c>
      <c r="N12">
        <v>14875.83</v>
      </c>
      <c r="O12">
        <v>14875.83</v>
      </c>
      <c r="P12">
        <v>14875.83</v>
      </c>
      <c r="Q12">
        <v>103.37</v>
      </c>
      <c r="R12">
        <v>4351.2</v>
      </c>
      <c r="S12">
        <v>82050.569999999992</v>
      </c>
      <c r="T12">
        <v>13520.34</v>
      </c>
      <c r="U12">
        <v>25473.479999999985</v>
      </c>
      <c r="V12">
        <v>15027.32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f>SUMPRODUCT(DB_SOFProject[[#This Row],[Plan01]:[Plan12]],$E$4:$P$4)/valUnits2</f>
        <v>139.10434499999997</v>
      </c>
      <c r="AD12">
        <f>SUMPRODUCT(DB_SOFProject[[#This Row],[Act01]:[Act12]],$Q$4:$AB$4)/valUnits2</f>
        <v>140.52627999999996</v>
      </c>
      <c r="AE12">
        <f>DB_SOFProject[[#This Row],[Actual]]-DB_SOFProject[[#This Row],[Plan]]</f>
        <v>1.4219349999999906</v>
      </c>
      <c r="AF12" s="32">
        <f>IF(DB_SOFProject[[#This Row],[Plan]]&lt;&gt;0,DB_SOFProject[[#This Row],[Actual]]/DB_SOFProject[[#This Row],[Plan]],1.000011000011)</f>
        <v>1.0102220746591344</v>
      </c>
      <c r="AG12" s="34">
        <f>SUM(DB_SOFProject[[#This Row],[Plan01]:[Plan12]])/valUnits2</f>
        <v>228.35932499999993</v>
      </c>
      <c r="AH12" s="34">
        <f>SUMPRODUCT(DB_SOFProject[[#This Row],[Act01]:[Act12]],$Q$3:$AB$3)/valUnits2</f>
        <v>140.52627999999996</v>
      </c>
    </row>
    <row r="13" spans="2:34" x14ac:dyDescent="0.2">
      <c r="B13" t="s">
        <v>480</v>
      </c>
      <c r="C13" t="s">
        <v>855</v>
      </c>
      <c r="D13" t="s">
        <v>997</v>
      </c>
      <c r="H13">
        <v>89.18</v>
      </c>
      <c r="I13">
        <v>167.53900000000002</v>
      </c>
      <c r="J13">
        <v>0</v>
      </c>
      <c r="T13">
        <v>88.88</v>
      </c>
      <c r="U13">
        <v>167.62</v>
      </c>
      <c r="V13">
        <v>514.83999999999651</v>
      </c>
      <c r="AC13">
        <f>SUMPRODUCT(DB_SOFProject[[#This Row],[Plan01]:[Plan12]],$E$4:$P$4)/valUnits2</f>
        <v>0.25671900000000003</v>
      </c>
      <c r="AD13">
        <f>SUMPRODUCT(DB_SOFProject[[#This Row],[Act01]:[Act12]],$Q$4:$AB$4)/valUnits2</f>
        <v>0.77133999999999647</v>
      </c>
      <c r="AE13">
        <f>DB_SOFProject[[#This Row],[Actual]]-DB_SOFProject[[#This Row],[Plan]]</f>
        <v>0.51462099999999644</v>
      </c>
      <c r="AF13" s="32">
        <f>IF(DB_SOFProject[[#This Row],[Plan]]&lt;&gt;0,DB_SOFProject[[#This Row],[Actual]]/DB_SOFProject[[#This Row],[Plan]],1.000011000011)</f>
        <v>3.0046081513249754</v>
      </c>
      <c r="AG13" s="34">
        <f>SUM(DB_SOFProject[[#This Row],[Plan01]:[Plan12]])/valUnits2</f>
        <v>0.25671900000000003</v>
      </c>
      <c r="AH13" s="34">
        <f>SUMPRODUCT(DB_SOFProject[[#This Row],[Act01]:[Act12]],$Q$3:$AB$3)/valUnits2</f>
        <v>0.77133999999999647</v>
      </c>
    </row>
    <row r="14" spans="2:34" x14ac:dyDescent="0.2">
      <c r="B14" t="s">
        <v>480</v>
      </c>
      <c r="C14" t="s">
        <v>367</v>
      </c>
      <c r="D14" t="s">
        <v>988</v>
      </c>
      <c r="E14">
        <v>877.58799999999997</v>
      </c>
      <c r="F14">
        <v>1553.616</v>
      </c>
      <c r="G14">
        <v>1956.9379999999999</v>
      </c>
      <c r="H14">
        <v>15593.886999999999</v>
      </c>
      <c r="I14">
        <v>29253.228999999999</v>
      </c>
      <c r="J14">
        <v>7383.8369999999995</v>
      </c>
      <c r="K14">
        <v>7347.5640000000003</v>
      </c>
      <c r="L14">
        <v>7226.7739999999994</v>
      </c>
      <c r="M14">
        <v>7338.9439999999995</v>
      </c>
      <c r="Q14">
        <v>864.61</v>
      </c>
      <c r="R14">
        <v>1572.42</v>
      </c>
      <c r="S14">
        <v>1981.02</v>
      </c>
      <c r="T14">
        <v>15330.48</v>
      </c>
      <c r="U14">
        <v>29324.699999999997</v>
      </c>
      <c r="V14">
        <v>2158.2500000000009</v>
      </c>
      <c r="W14">
        <v>0</v>
      </c>
      <c r="X14">
        <v>0</v>
      </c>
      <c r="Y14">
        <v>0</v>
      </c>
      <c r="AC14">
        <f>SUMPRODUCT(DB_SOFProject[[#This Row],[Plan01]:[Plan12]],$E$4:$P$4)/valUnits2</f>
        <v>56.619095000000002</v>
      </c>
      <c r="AD14">
        <f>SUMPRODUCT(DB_SOFProject[[#This Row],[Act01]:[Act12]],$Q$4:$AB$4)/valUnits2</f>
        <v>51.231479999999998</v>
      </c>
      <c r="AE14">
        <f>DB_SOFProject[[#This Row],[Actual]]-DB_SOFProject[[#This Row],[Plan]]</f>
        <v>-5.3876150000000038</v>
      </c>
      <c r="AF14" s="32">
        <f>IF(DB_SOFProject[[#This Row],[Plan]]&lt;&gt;0,DB_SOFProject[[#This Row],[Actual]]/DB_SOFProject[[#This Row],[Plan]],1.000011000011)</f>
        <v>0.9048445581830652</v>
      </c>
      <c r="AG14" s="34">
        <f>SUM(DB_SOFProject[[#This Row],[Plan01]:[Plan12]])/valUnits2</f>
        <v>78.532377000000011</v>
      </c>
      <c r="AH14" s="34">
        <f>SUMPRODUCT(DB_SOFProject[[#This Row],[Act01]:[Act12]],$Q$3:$AB$3)/valUnits2</f>
        <v>51.231479999999998</v>
      </c>
    </row>
    <row r="15" spans="2:34" x14ac:dyDescent="0.2">
      <c r="B15" t="s">
        <v>480</v>
      </c>
      <c r="C15" t="s">
        <v>367</v>
      </c>
      <c r="D15" t="s">
        <v>997</v>
      </c>
      <c r="E15">
        <v>1032.154</v>
      </c>
      <c r="F15">
        <v>61021.371999999996</v>
      </c>
      <c r="G15">
        <v>23637.035</v>
      </c>
      <c r="H15">
        <v>18132.755000000005</v>
      </c>
      <c r="I15">
        <v>44354.953000000001</v>
      </c>
      <c r="J15">
        <v>746.44900000000007</v>
      </c>
      <c r="K15">
        <v>153.256</v>
      </c>
      <c r="N15">
        <v>0</v>
      </c>
      <c r="Q15">
        <v>1013.3700000000001</v>
      </c>
      <c r="R15">
        <v>62560.039999999994</v>
      </c>
      <c r="S15">
        <v>23985.890000000003</v>
      </c>
      <c r="T15">
        <v>18118.7</v>
      </c>
      <c r="U15">
        <v>43875.02</v>
      </c>
      <c r="V15">
        <v>3688.51</v>
      </c>
      <c r="W15">
        <v>0</v>
      </c>
      <c r="Z15">
        <v>0</v>
      </c>
      <c r="AC15">
        <f>SUMPRODUCT(DB_SOFProject[[#This Row],[Plan01]:[Plan12]],$E$4:$P$4)/valUnits2</f>
        <v>148.92471799999998</v>
      </c>
      <c r="AD15">
        <f>SUMPRODUCT(DB_SOFProject[[#This Row],[Act01]:[Act12]],$Q$4:$AB$4)/valUnits2</f>
        <v>153.24153000000001</v>
      </c>
      <c r="AE15">
        <f>DB_SOFProject[[#This Row],[Actual]]-DB_SOFProject[[#This Row],[Plan]]</f>
        <v>4.3168120000000272</v>
      </c>
      <c r="AF15" s="32">
        <f>IF(DB_SOFProject[[#This Row],[Plan]]&lt;&gt;0,DB_SOFProject[[#This Row],[Actual]]/DB_SOFProject[[#This Row],[Plan]],1.000011000011)</f>
        <v>1.0289865380171479</v>
      </c>
      <c r="AG15" s="34">
        <f>SUM(DB_SOFProject[[#This Row],[Plan01]:[Plan12]])/valUnits2</f>
        <v>149.07797399999998</v>
      </c>
      <c r="AH15" s="34">
        <f>SUMPRODUCT(DB_SOFProject[[#This Row],[Act01]:[Act12]],$Q$3:$AB$3)/valUnits2</f>
        <v>153.24153000000001</v>
      </c>
    </row>
    <row r="16" spans="2:34" x14ac:dyDescent="0.2">
      <c r="B16" t="s">
        <v>480</v>
      </c>
      <c r="C16" t="s">
        <v>858</v>
      </c>
      <c r="D16" t="s">
        <v>969</v>
      </c>
      <c r="E16">
        <v>15646.46</v>
      </c>
      <c r="F16">
        <v>20950.91</v>
      </c>
      <c r="G16">
        <v>35375.540000000008</v>
      </c>
      <c r="H16">
        <v>62429.179999999993</v>
      </c>
      <c r="I16">
        <v>34982.339999999997</v>
      </c>
      <c r="J16">
        <v>42611.584000000003</v>
      </c>
      <c r="K16">
        <v>59278.25</v>
      </c>
      <c r="L16">
        <v>78334.497000000003</v>
      </c>
      <c r="M16">
        <v>40611.584000000003</v>
      </c>
      <c r="N16">
        <v>83558.915999999997</v>
      </c>
      <c r="O16">
        <v>40611.584000000003</v>
      </c>
      <c r="P16">
        <v>40611.584000000003</v>
      </c>
      <c r="Q16">
        <v>15646.46</v>
      </c>
      <c r="R16">
        <v>20979.520000000008</v>
      </c>
      <c r="S16">
        <v>35375.539999999994</v>
      </c>
      <c r="T16">
        <v>62569.090000000011</v>
      </c>
      <c r="U16">
        <v>35107.179999999993</v>
      </c>
      <c r="V16">
        <v>73810.91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f>SUMPRODUCT(DB_SOFProject[[#This Row],[Plan01]:[Plan12]],$E$4:$P$4)/valUnits2</f>
        <v>211.996014</v>
      </c>
      <c r="AD16">
        <f>SUMPRODUCT(DB_SOFProject[[#This Row],[Act01]:[Act12]],$Q$4:$AB$4)/valUnits2</f>
        <v>243.48870000000002</v>
      </c>
      <c r="AE16">
        <f>DB_SOFProject[[#This Row],[Actual]]-DB_SOFProject[[#This Row],[Plan]]</f>
        <v>31.49268600000002</v>
      </c>
      <c r="AF16" s="32">
        <f>IF(DB_SOFProject[[#This Row],[Plan]]&lt;&gt;0,DB_SOFProject[[#This Row],[Actual]]/DB_SOFProject[[#This Row],[Plan]],1.000011000011)</f>
        <v>1.1485531987408029</v>
      </c>
      <c r="AG16" s="34">
        <f>SUM(DB_SOFProject[[#This Row],[Plan01]:[Plan12]])/valUnits2</f>
        <v>555.00242900000001</v>
      </c>
      <c r="AH16" s="34">
        <f>SUMPRODUCT(DB_SOFProject[[#This Row],[Act01]:[Act12]],$Q$3:$AB$3)/valUnits2</f>
        <v>243.48870000000002</v>
      </c>
    </row>
    <row r="17" spans="2:34" x14ac:dyDescent="0.2">
      <c r="B17" t="s">
        <v>480</v>
      </c>
      <c r="C17" t="s">
        <v>858</v>
      </c>
      <c r="D17" t="s">
        <v>972</v>
      </c>
      <c r="E17">
        <v>0</v>
      </c>
      <c r="F17">
        <v>0</v>
      </c>
      <c r="G17">
        <v>0</v>
      </c>
      <c r="H17">
        <v>0</v>
      </c>
      <c r="I17">
        <v>114.91</v>
      </c>
      <c r="J17">
        <v>350</v>
      </c>
      <c r="K17">
        <v>350</v>
      </c>
      <c r="L17">
        <v>350</v>
      </c>
      <c r="M17">
        <v>350</v>
      </c>
      <c r="N17">
        <v>350</v>
      </c>
      <c r="O17">
        <v>350</v>
      </c>
      <c r="P17">
        <v>350</v>
      </c>
      <c r="Q17">
        <v>0</v>
      </c>
      <c r="R17">
        <v>0</v>
      </c>
      <c r="S17">
        <v>0</v>
      </c>
      <c r="T17">
        <v>0</v>
      </c>
      <c r="U17">
        <v>114.91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f>SUMPRODUCT(DB_SOFProject[[#This Row],[Plan01]:[Plan12]],$E$4:$P$4)/valUnits2</f>
        <v>0.46490999999999999</v>
      </c>
      <c r="AD17">
        <f>SUMPRODUCT(DB_SOFProject[[#This Row],[Act01]:[Act12]],$Q$4:$AB$4)/valUnits2</f>
        <v>0.11491</v>
      </c>
      <c r="AE17">
        <f>DB_SOFProject[[#This Row],[Actual]]-DB_SOFProject[[#This Row],[Plan]]</f>
        <v>-0.35</v>
      </c>
      <c r="AF17" s="32">
        <f>IF(DB_SOFProject[[#This Row],[Plan]]&lt;&gt;0,DB_SOFProject[[#This Row],[Actual]]/DB_SOFProject[[#This Row],[Plan]],1.000011000011)</f>
        <v>0.24716611817340992</v>
      </c>
      <c r="AG17" s="34">
        <f>SUM(DB_SOFProject[[#This Row],[Plan01]:[Plan12]])/valUnits2</f>
        <v>2.5649099999999998</v>
      </c>
      <c r="AH17" s="34">
        <f>SUMPRODUCT(DB_SOFProject[[#This Row],[Act01]:[Act12]],$Q$3:$AB$3)/valUnits2</f>
        <v>0.11491</v>
      </c>
    </row>
    <row r="18" spans="2:34" x14ac:dyDescent="0.2">
      <c r="B18" t="s">
        <v>480</v>
      </c>
      <c r="C18" t="s">
        <v>858</v>
      </c>
      <c r="D18" t="s">
        <v>982</v>
      </c>
      <c r="E18">
        <v>9289.7800000000007</v>
      </c>
      <c r="F18">
        <v>12542.31</v>
      </c>
      <c r="G18">
        <v>20923.069999999992</v>
      </c>
      <c r="H18">
        <v>18624.580000000002</v>
      </c>
      <c r="I18">
        <v>26249.159999999993</v>
      </c>
      <c r="J18">
        <v>49941.251000000004</v>
      </c>
      <c r="K18">
        <v>81607.917000000001</v>
      </c>
      <c r="L18">
        <v>52426.001000000004</v>
      </c>
      <c r="M18">
        <v>76327.081000000006</v>
      </c>
      <c r="N18">
        <v>59660.417000000001</v>
      </c>
      <c r="O18">
        <v>40993.751000000004</v>
      </c>
      <c r="P18">
        <v>40993.751000000004</v>
      </c>
      <c r="Q18">
        <v>9289.7800000000007</v>
      </c>
      <c r="R18">
        <v>12542.310000000001</v>
      </c>
      <c r="S18">
        <v>20923.070000000003</v>
      </c>
      <c r="T18">
        <v>18678.289999999997</v>
      </c>
      <c r="U18">
        <v>26309.48</v>
      </c>
      <c r="V18">
        <v>67009.650000000009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f>SUMPRODUCT(DB_SOFProject[[#This Row],[Plan01]:[Plan12]],$E$4:$P$4)/valUnits2</f>
        <v>137.57015099999998</v>
      </c>
      <c r="AD18">
        <f>SUMPRODUCT(DB_SOFProject[[#This Row],[Act01]:[Act12]],$Q$4:$AB$4)/valUnits2</f>
        <v>154.75258000000002</v>
      </c>
      <c r="AE18">
        <f>DB_SOFProject[[#This Row],[Actual]]-DB_SOFProject[[#This Row],[Plan]]</f>
        <v>17.182429000000042</v>
      </c>
      <c r="AF18" s="32">
        <f>IF(DB_SOFProject[[#This Row],[Plan]]&lt;&gt;0,DB_SOFProject[[#This Row],[Actual]]/DB_SOFProject[[#This Row],[Plan]],1.000011000011)</f>
        <v>1.1248993976898378</v>
      </c>
      <c r="AG18" s="34">
        <f>SUM(DB_SOFProject[[#This Row],[Plan01]:[Plan12]])/valUnits2</f>
        <v>489.57906899999995</v>
      </c>
      <c r="AH18" s="34">
        <f>SUMPRODUCT(DB_SOFProject[[#This Row],[Act01]:[Act12]],$Q$3:$AB$3)/valUnits2</f>
        <v>154.75258000000002</v>
      </c>
    </row>
    <row r="19" spans="2:34" x14ac:dyDescent="0.2">
      <c r="B19" t="s">
        <v>480</v>
      </c>
      <c r="C19" t="s">
        <v>858</v>
      </c>
      <c r="D19" t="s">
        <v>986</v>
      </c>
      <c r="E19">
        <v>8409.8900000000012</v>
      </c>
      <c r="F19">
        <v>10451.390000000001</v>
      </c>
      <c r="G19">
        <v>14874.89</v>
      </c>
      <c r="H19">
        <v>21709.65</v>
      </c>
      <c r="I19">
        <v>16403.119999999995</v>
      </c>
      <c r="J19">
        <v>45556.940999999999</v>
      </c>
      <c r="K19">
        <v>70823.607000000004</v>
      </c>
      <c r="L19">
        <v>49038.190999999992</v>
      </c>
      <c r="M19">
        <v>47156.940999999999</v>
      </c>
      <c r="N19">
        <v>83535.987999999998</v>
      </c>
      <c r="O19">
        <v>43556.941000000006</v>
      </c>
      <c r="P19">
        <v>87092.270999999993</v>
      </c>
      <c r="Q19">
        <v>8409.89</v>
      </c>
      <c r="R19">
        <v>10451.390000000001</v>
      </c>
      <c r="S19">
        <v>14874.890000000007</v>
      </c>
      <c r="T19">
        <v>21763.360000000004</v>
      </c>
      <c r="U19">
        <v>16463.439999999995</v>
      </c>
      <c r="V19">
        <v>62406.18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f>SUMPRODUCT(DB_SOFProject[[#This Row],[Plan01]:[Plan12]],$E$4:$P$4)/valUnits2</f>
        <v>117.40588099999999</v>
      </c>
      <c r="AD19">
        <f>SUMPRODUCT(DB_SOFProject[[#This Row],[Act01]:[Act12]],$Q$4:$AB$4)/valUnits2</f>
        <v>134.36914999999999</v>
      </c>
      <c r="AE19">
        <f>DB_SOFProject[[#This Row],[Actual]]-DB_SOFProject[[#This Row],[Plan]]</f>
        <v>16.963268999999997</v>
      </c>
      <c r="AF19" s="32">
        <f>IF(DB_SOFProject[[#This Row],[Plan]]&lt;&gt;0,DB_SOFProject[[#This Row],[Actual]]/DB_SOFProject[[#This Row],[Plan]],1.000011000011)</f>
        <v>1.1444839803212243</v>
      </c>
      <c r="AG19" s="34">
        <f>SUM(DB_SOFProject[[#This Row],[Plan01]:[Plan12]])/valUnits2</f>
        <v>498.60982000000001</v>
      </c>
      <c r="AH19" s="34">
        <f>SUMPRODUCT(DB_SOFProject[[#This Row],[Act01]:[Act12]],$Q$3:$AB$3)/valUnits2</f>
        <v>134.36914999999999</v>
      </c>
    </row>
    <row r="20" spans="2:34" x14ac:dyDescent="0.2">
      <c r="B20" t="s">
        <v>480</v>
      </c>
      <c r="C20" t="s">
        <v>858</v>
      </c>
      <c r="D20" t="s">
        <v>992</v>
      </c>
      <c r="E20">
        <v>2044.96</v>
      </c>
      <c r="F20">
        <v>1989.9499999999998</v>
      </c>
      <c r="G20">
        <v>2607.0700000000002</v>
      </c>
      <c r="H20">
        <v>8851.84</v>
      </c>
      <c r="I20">
        <v>4572.28</v>
      </c>
      <c r="J20">
        <v>2675.0010000000002</v>
      </c>
      <c r="K20">
        <v>2675.0010000000002</v>
      </c>
      <c r="L20">
        <v>3250.0010000000002</v>
      </c>
      <c r="M20">
        <v>2675.0010000000002</v>
      </c>
      <c r="N20">
        <v>2675.0010000000002</v>
      </c>
      <c r="O20">
        <v>2675.0010000000002</v>
      </c>
      <c r="P20">
        <v>2675.0010000000002</v>
      </c>
      <c r="Q20">
        <v>2044.96</v>
      </c>
      <c r="R20">
        <v>1989.9500000000003</v>
      </c>
      <c r="S20">
        <v>2800.6800000000003</v>
      </c>
      <c r="T20">
        <v>8973.9300000000021</v>
      </c>
      <c r="U20">
        <v>5699.6800000000012</v>
      </c>
      <c r="V20">
        <v>12525.359999999997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f>SUMPRODUCT(DB_SOFProject[[#This Row],[Plan01]:[Plan12]],$E$4:$P$4)/valUnits2</f>
        <v>22.741101</v>
      </c>
      <c r="AD20">
        <f>SUMPRODUCT(DB_SOFProject[[#This Row],[Act01]:[Act12]],$Q$4:$AB$4)/valUnits2</f>
        <v>34.034559999999999</v>
      </c>
      <c r="AE20">
        <f>DB_SOFProject[[#This Row],[Actual]]-DB_SOFProject[[#This Row],[Plan]]</f>
        <v>11.293458999999999</v>
      </c>
      <c r="AF20" s="32">
        <f>IF(DB_SOFProject[[#This Row],[Plan]]&lt;&gt;0,DB_SOFProject[[#This Row],[Actual]]/DB_SOFProject[[#This Row],[Plan]],1.000011000011)</f>
        <v>1.4966100366028892</v>
      </c>
      <c r="AG20" s="34">
        <f>SUM(DB_SOFProject[[#This Row],[Plan01]:[Plan12]])/valUnits2</f>
        <v>39.366107000000007</v>
      </c>
      <c r="AH20" s="34">
        <f>SUMPRODUCT(DB_SOFProject[[#This Row],[Act01]:[Act12]],$Q$3:$AB$3)/valUnits2</f>
        <v>34.034559999999999</v>
      </c>
    </row>
    <row r="21" spans="2:34" x14ac:dyDescent="0.2">
      <c r="B21" t="s">
        <v>480</v>
      </c>
      <c r="C21" t="s">
        <v>861</v>
      </c>
      <c r="D21" t="s">
        <v>969</v>
      </c>
      <c r="G21">
        <v>7.2759576141834259E-12</v>
      </c>
      <c r="S21">
        <v>0</v>
      </c>
      <c r="AC21">
        <f>SUMPRODUCT(DB_SOFProject[[#This Row],[Plan01]:[Plan12]],$E$4:$P$4)/valUnits2</f>
        <v>7.2759576141834261E-15</v>
      </c>
      <c r="AD21">
        <f>SUMPRODUCT(DB_SOFProject[[#This Row],[Act01]:[Act12]],$Q$4:$AB$4)/valUnits2</f>
        <v>0</v>
      </c>
      <c r="AE21">
        <f>DB_SOFProject[[#This Row],[Actual]]-DB_SOFProject[[#This Row],[Plan]]</f>
        <v>-7.2759576141834261E-15</v>
      </c>
      <c r="AF21" s="32">
        <f>IF(DB_SOFProject[[#This Row],[Plan]]&lt;&gt;0,DB_SOFProject[[#This Row],[Actual]]/DB_SOFProject[[#This Row],[Plan]],1.000011000011)</f>
        <v>0</v>
      </c>
      <c r="AG21" s="34">
        <f>SUM(DB_SOFProject[[#This Row],[Plan01]:[Plan12]])/valUnits2</f>
        <v>7.2759576141834261E-15</v>
      </c>
      <c r="AH21" s="34">
        <f>SUMPRODUCT(DB_SOFProject[[#This Row],[Act01]:[Act12]],$Q$3:$AB$3)/valUnits2</f>
        <v>0</v>
      </c>
    </row>
    <row r="22" spans="2:34" x14ac:dyDescent="0.2">
      <c r="B22" t="s">
        <v>480</v>
      </c>
      <c r="C22" t="s">
        <v>874</v>
      </c>
      <c r="D22" t="s">
        <v>969</v>
      </c>
      <c r="E22">
        <v>1049.4290000000001</v>
      </c>
      <c r="F22">
        <v>1109.69</v>
      </c>
      <c r="G22">
        <v>1751.5749999999998</v>
      </c>
      <c r="H22">
        <v>1110.22</v>
      </c>
      <c r="I22">
        <v>1200.3710000000001</v>
      </c>
      <c r="J22">
        <v>0</v>
      </c>
      <c r="Q22">
        <v>1033.9100000000001</v>
      </c>
      <c r="R22">
        <v>1132.96</v>
      </c>
      <c r="S22">
        <v>1767.43</v>
      </c>
      <c r="T22">
        <v>1103.8899999999999</v>
      </c>
      <c r="U22">
        <v>1185.8200000000002</v>
      </c>
      <c r="V22">
        <v>1264.53</v>
      </c>
      <c r="AC22">
        <f>SUMPRODUCT(DB_SOFProject[[#This Row],[Plan01]:[Plan12]],$E$4:$P$4)/valUnits2</f>
        <v>6.221285</v>
      </c>
      <c r="AD22">
        <f>SUMPRODUCT(DB_SOFProject[[#This Row],[Act01]:[Act12]],$Q$4:$AB$4)/valUnits2</f>
        <v>7.4885399999999995</v>
      </c>
      <c r="AE22">
        <f>DB_SOFProject[[#This Row],[Actual]]-DB_SOFProject[[#This Row],[Plan]]</f>
        <v>1.2672549999999996</v>
      </c>
      <c r="AF22" s="32">
        <f>IF(DB_SOFProject[[#This Row],[Plan]]&lt;&gt;0,DB_SOFProject[[#This Row],[Actual]]/DB_SOFProject[[#This Row],[Plan]],1.000011000011)</f>
        <v>1.203696663952865</v>
      </c>
      <c r="AG22" s="34">
        <f>SUM(DB_SOFProject[[#This Row],[Plan01]:[Plan12]])/valUnits2</f>
        <v>6.221285</v>
      </c>
      <c r="AH22" s="34">
        <f>SUMPRODUCT(DB_SOFProject[[#This Row],[Act01]:[Act12]],$Q$3:$AB$3)/valUnits2</f>
        <v>7.4885399999999995</v>
      </c>
    </row>
    <row r="23" spans="2:34" x14ac:dyDescent="0.2">
      <c r="B23" t="s">
        <v>480</v>
      </c>
      <c r="C23" t="s">
        <v>874</v>
      </c>
      <c r="D23" t="s">
        <v>988</v>
      </c>
      <c r="E23">
        <v>3582.0419999999976</v>
      </c>
      <c r="F23">
        <v>176842.56200000001</v>
      </c>
      <c r="G23">
        <v>3032.2860000000046</v>
      </c>
      <c r="H23">
        <v>177271.78199999992</v>
      </c>
      <c r="I23">
        <v>5485.8969999999963</v>
      </c>
      <c r="J23">
        <v>66269.688999999998</v>
      </c>
      <c r="K23">
        <v>93458.718999999968</v>
      </c>
      <c r="L23">
        <v>67004.866000000009</v>
      </c>
      <c r="M23">
        <v>66659.427999999985</v>
      </c>
      <c r="N23">
        <v>73664.043999999994</v>
      </c>
      <c r="O23">
        <v>61834.857000000004</v>
      </c>
      <c r="P23">
        <v>68002.844999999987</v>
      </c>
      <c r="Q23">
        <v>3516.58</v>
      </c>
      <c r="R23">
        <v>182379.26000000004</v>
      </c>
      <c r="S23">
        <v>3065.1599999999871</v>
      </c>
      <c r="T23">
        <v>176671.47999999995</v>
      </c>
      <c r="U23">
        <v>5466.8999999999987</v>
      </c>
      <c r="V23">
        <v>3328.1400000000108</v>
      </c>
      <c r="W23">
        <v>53578.559999999998</v>
      </c>
      <c r="X23">
        <v>0</v>
      </c>
      <c r="Y23">
        <v>0</v>
      </c>
      <c r="Z23">
        <v>0</v>
      </c>
      <c r="AA23">
        <v>0</v>
      </c>
      <c r="AB23">
        <v>0</v>
      </c>
      <c r="AC23">
        <f>SUMPRODUCT(DB_SOFProject[[#This Row],[Plan01]:[Plan12]],$E$4:$P$4)/valUnits2</f>
        <v>432.4842579999999</v>
      </c>
      <c r="AD23">
        <f>SUMPRODUCT(DB_SOFProject[[#This Row],[Act01]:[Act12]],$Q$4:$AB$4)/valUnits2</f>
        <v>374.42752000000002</v>
      </c>
      <c r="AE23">
        <f>DB_SOFProject[[#This Row],[Actual]]-DB_SOFProject[[#This Row],[Plan]]</f>
        <v>-58.056737999999882</v>
      </c>
      <c r="AF23" s="32">
        <f>IF(DB_SOFProject[[#This Row],[Plan]]&lt;&gt;0,DB_SOFProject[[#This Row],[Actual]]/DB_SOFProject[[#This Row],[Plan]],1.000011000011)</f>
        <v>0.86575988160013007</v>
      </c>
      <c r="AG23" s="34">
        <f>SUM(DB_SOFProject[[#This Row],[Plan01]:[Plan12]])/valUnits2</f>
        <v>863.10901699999977</v>
      </c>
      <c r="AH23" s="34">
        <f>SUMPRODUCT(DB_SOFProject[[#This Row],[Act01]:[Act12]],$Q$3:$AB$3)/valUnits2</f>
        <v>374.42752000000002</v>
      </c>
    </row>
    <row r="24" spans="2:34" x14ac:dyDescent="0.2">
      <c r="B24" t="s">
        <v>480</v>
      </c>
      <c r="C24" t="s">
        <v>877</v>
      </c>
      <c r="D24" t="s">
        <v>958</v>
      </c>
      <c r="E24">
        <v>59863.381000000059</v>
      </c>
      <c r="F24">
        <v>105317.46400000002</v>
      </c>
      <c r="G24">
        <v>59194.476000000002</v>
      </c>
      <c r="H24">
        <v>87446.015999999989</v>
      </c>
      <c r="I24">
        <v>8677.780999999999</v>
      </c>
      <c r="J24">
        <v>95664.887000000032</v>
      </c>
      <c r="K24">
        <v>71351.97600000001</v>
      </c>
      <c r="L24">
        <v>70401.946000000011</v>
      </c>
      <c r="M24">
        <v>63596.390000000021</v>
      </c>
      <c r="N24">
        <v>59808.366000000024</v>
      </c>
      <c r="O24">
        <v>63138.29500000002</v>
      </c>
      <c r="P24">
        <v>59808.366000000009</v>
      </c>
      <c r="Q24">
        <v>58585.65000000006</v>
      </c>
      <c r="R24">
        <v>108648.65000000001</v>
      </c>
      <c r="S24">
        <v>59734.47</v>
      </c>
      <c r="T24">
        <v>87427.329999999987</v>
      </c>
      <c r="U24">
        <v>8582.0999999999967</v>
      </c>
      <c r="V24">
        <v>13236.519999999984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f>SUMPRODUCT(DB_SOFProject[[#This Row],[Plan01]:[Plan12]],$E$4:$P$4)/valUnits2</f>
        <v>416.16400500000015</v>
      </c>
      <c r="AD24">
        <f>SUMPRODUCT(DB_SOFProject[[#This Row],[Act01]:[Act12]],$Q$4:$AB$4)/valUnits2</f>
        <v>336.21472000000006</v>
      </c>
      <c r="AE24">
        <f>DB_SOFProject[[#This Row],[Actual]]-DB_SOFProject[[#This Row],[Plan]]</f>
        <v>-79.949285000000089</v>
      </c>
      <c r="AF24" s="32">
        <f>IF(DB_SOFProject[[#This Row],[Plan]]&lt;&gt;0,DB_SOFProject[[#This Row],[Actual]]/DB_SOFProject[[#This Row],[Plan]],1.000011000011)</f>
        <v>0.80788995674914255</v>
      </c>
      <c r="AG24" s="34">
        <f>SUM(DB_SOFProject[[#This Row],[Plan01]:[Plan12]])/valUnits2</f>
        <v>804.26934400000027</v>
      </c>
      <c r="AH24" s="34">
        <f>SUMPRODUCT(DB_SOFProject[[#This Row],[Act01]:[Act12]],$Q$3:$AB$3)/valUnits2</f>
        <v>336.21472000000006</v>
      </c>
    </row>
    <row r="25" spans="2:34" x14ac:dyDescent="0.2">
      <c r="B25" t="s">
        <v>480</v>
      </c>
      <c r="C25" t="s">
        <v>877</v>
      </c>
      <c r="D25" t="s">
        <v>988</v>
      </c>
      <c r="E25">
        <v>536.52300000000002</v>
      </c>
      <c r="F25">
        <v>533.99300000000005</v>
      </c>
      <c r="G25">
        <v>777.80500000000006</v>
      </c>
      <c r="I25">
        <v>0</v>
      </c>
      <c r="Q25">
        <v>528.59</v>
      </c>
      <c r="R25">
        <v>545.19000000000005</v>
      </c>
      <c r="S25">
        <v>784.76</v>
      </c>
      <c r="U25">
        <v>0</v>
      </c>
      <c r="AC25">
        <f>SUMPRODUCT(DB_SOFProject[[#This Row],[Plan01]:[Plan12]],$E$4:$P$4)/valUnits2</f>
        <v>1.8483210000000001</v>
      </c>
      <c r="AD25">
        <f>SUMPRODUCT(DB_SOFProject[[#This Row],[Act01]:[Act12]],$Q$4:$AB$4)/valUnits2</f>
        <v>1.8585400000000001</v>
      </c>
      <c r="AE25">
        <f>DB_SOFProject[[#This Row],[Actual]]-DB_SOFProject[[#This Row],[Plan]]</f>
        <v>1.0218999999999978E-2</v>
      </c>
      <c r="AF25" s="32">
        <f>IF(DB_SOFProject[[#This Row],[Plan]]&lt;&gt;0,DB_SOFProject[[#This Row],[Actual]]/DB_SOFProject[[#This Row],[Plan]],1.000011000011)</f>
        <v>1.0055288015447532</v>
      </c>
      <c r="AG25" s="34">
        <f>SUM(DB_SOFProject[[#This Row],[Plan01]:[Plan12]])/valUnits2</f>
        <v>1.8483210000000001</v>
      </c>
      <c r="AH25" s="34">
        <f>SUMPRODUCT(DB_SOFProject[[#This Row],[Act01]:[Act12]],$Q$3:$AB$3)/valUnits2</f>
        <v>1.8585400000000001</v>
      </c>
    </row>
    <row r="26" spans="2:34" x14ac:dyDescent="0.2">
      <c r="B26" t="s">
        <v>480</v>
      </c>
      <c r="C26" t="s">
        <v>878</v>
      </c>
      <c r="D26" t="s">
        <v>982</v>
      </c>
      <c r="E26">
        <v>4607.6589999999997</v>
      </c>
      <c r="F26">
        <v>9286.8229999999985</v>
      </c>
      <c r="G26">
        <v>11150.308000000001</v>
      </c>
      <c r="H26">
        <v>11737.118999999999</v>
      </c>
      <c r="I26">
        <v>11737.118999999999</v>
      </c>
      <c r="J26">
        <v>11737.118999999999</v>
      </c>
      <c r="K26">
        <v>11737.118999999999</v>
      </c>
      <c r="L26">
        <v>11737.118999999999</v>
      </c>
      <c r="M26">
        <v>11737.118999999999</v>
      </c>
      <c r="N26">
        <v>11737.118999999999</v>
      </c>
      <c r="O26">
        <v>11737.118999999999</v>
      </c>
      <c r="P26">
        <v>11737.118999999999</v>
      </c>
      <c r="Q26">
        <v>4690.1800000000021</v>
      </c>
      <c r="R26">
        <v>9261.76</v>
      </c>
      <c r="S26">
        <v>-695.09999999999991</v>
      </c>
      <c r="T26">
        <v>0</v>
      </c>
      <c r="U26">
        <v>0</v>
      </c>
      <c r="V26">
        <v>4060.4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f>SUMPRODUCT(DB_SOFProject[[#This Row],[Plan01]:[Plan12]],$E$4:$P$4)/valUnits2</f>
        <v>60.256146999999999</v>
      </c>
      <c r="AD26">
        <f>SUMPRODUCT(DB_SOFProject[[#This Row],[Act01]:[Act12]],$Q$4:$AB$4)/valUnits2</f>
        <v>17.317240000000002</v>
      </c>
      <c r="AE26">
        <f>DB_SOFProject[[#This Row],[Actual]]-DB_SOFProject[[#This Row],[Plan]]</f>
        <v>-42.938907</v>
      </c>
      <c r="AF26" s="32">
        <f>IF(DB_SOFProject[[#This Row],[Plan]]&lt;&gt;0,DB_SOFProject[[#This Row],[Actual]]/DB_SOFProject[[#This Row],[Plan]],1.000011000011)</f>
        <v>0.28739374922196737</v>
      </c>
      <c r="AG26" s="34">
        <f>SUM(DB_SOFProject[[#This Row],[Plan01]:[Plan12]])/valUnits2</f>
        <v>130.67886100000004</v>
      </c>
      <c r="AH26" s="34">
        <f>SUMPRODUCT(DB_SOFProject[[#This Row],[Act01]:[Act12]],$Q$3:$AB$3)/valUnits2</f>
        <v>17.317240000000002</v>
      </c>
    </row>
    <row r="27" spans="2:34" x14ac:dyDescent="0.2">
      <c r="B27" t="s">
        <v>480</v>
      </c>
      <c r="C27" t="s">
        <v>880</v>
      </c>
      <c r="D27" t="s">
        <v>965</v>
      </c>
      <c r="G27">
        <v>-672.90200000000004</v>
      </c>
      <c r="S27">
        <v>-663.63</v>
      </c>
      <c r="AC27">
        <f>SUMPRODUCT(DB_SOFProject[[#This Row],[Plan01]:[Plan12]],$E$4:$P$4)/valUnits2</f>
        <v>-0.672902</v>
      </c>
      <c r="AD27">
        <f>SUMPRODUCT(DB_SOFProject[[#This Row],[Act01]:[Act12]],$Q$4:$AB$4)/valUnits2</f>
        <v>-0.66362999999999994</v>
      </c>
      <c r="AE27">
        <f>DB_SOFProject[[#This Row],[Actual]]-DB_SOFProject[[#This Row],[Plan]]</f>
        <v>9.272000000000058E-3</v>
      </c>
      <c r="AF27" s="32">
        <f>IF(DB_SOFProject[[#This Row],[Plan]]&lt;&gt;0,DB_SOFProject[[#This Row],[Actual]]/DB_SOFProject[[#This Row],[Plan]],1.000011000011)</f>
        <v>0.98622087614541187</v>
      </c>
      <c r="AG27" s="34">
        <f>SUM(DB_SOFProject[[#This Row],[Plan01]:[Plan12]])/valUnits2</f>
        <v>-0.672902</v>
      </c>
      <c r="AH27" s="34">
        <f>SUMPRODUCT(DB_SOFProject[[#This Row],[Act01]:[Act12]],$Q$3:$AB$3)/valUnits2</f>
        <v>-0.66362999999999994</v>
      </c>
    </row>
    <row r="28" spans="2:34" x14ac:dyDescent="0.2">
      <c r="B28" t="s">
        <v>480</v>
      </c>
      <c r="C28" t="s">
        <v>880</v>
      </c>
      <c r="D28" t="s">
        <v>982</v>
      </c>
      <c r="G28">
        <v>2413.0659999999998</v>
      </c>
      <c r="S28">
        <v>2383.13</v>
      </c>
      <c r="AC28">
        <f>SUMPRODUCT(DB_SOFProject[[#This Row],[Plan01]:[Plan12]],$E$4:$P$4)/valUnits2</f>
        <v>2.4130659999999997</v>
      </c>
      <c r="AD28">
        <f>SUMPRODUCT(DB_SOFProject[[#This Row],[Act01]:[Act12]],$Q$4:$AB$4)/valUnits2</f>
        <v>2.38313</v>
      </c>
      <c r="AE28">
        <f>DB_SOFProject[[#This Row],[Actual]]-DB_SOFProject[[#This Row],[Plan]]</f>
        <v>-2.9935999999999741E-2</v>
      </c>
      <c r="AF28" s="32">
        <f>IF(DB_SOFProject[[#This Row],[Plan]]&lt;&gt;0,DB_SOFProject[[#This Row],[Actual]]/DB_SOFProject[[#This Row],[Plan]],1.000011000011)</f>
        <v>0.98759420587750202</v>
      </c>
      <c r="AG28" s="34">
        <f>SUM(DB_SOFProject[[#This Row],[Plan01]:[Plan12]])/valUnits2</f>
        <v>2.4130659999999997</v>
      </c>
      <c r="AH28" s="34">
        <f>SUMPRODUCT(DB_SOFProject[[#This Row],[Act01]:[Act12]],$Q$3:$AB$3)/valUnits2</f>
        <v>2.38313</v>
      </c>
    </row>
    <row r="29" spans="2:34" x14ac:dyDescent="0.2">
      <c r="B29" t="s">
        <v>480</v>
      </c>
      <c r="C29" t="s">
        <v>881</v>
      </c>
      <c r="D29" t="s">
        <v>969</v>
      </c>
      <c r="G29">
        <v>0</v>
      </c>
      <c r="H29">
        <v>118744.27000000003</v>
      </c>
      <c r="I29">
        <v>10991.75</v>
      </c>
      <c r="J29">
        <v>84318.406999999992</v>
      </c>
      <c r="K29">
        <v>19495.204999999998</v>
      </c>
      <c r="L29">
        <v>11264.85</v>
      </c>
      <c r="M29">
        <v>84318.406999999992</v>
      </c>
      <c r="N29">
        <v>10131.85</v>
      </c>
      <c r="O29">
        <v>10131.85</v>
      </c>
      <c r="P29">
        <v>183564.59000000003</v>
      </c>
      <c r="S29">
        <v>0</v>
      </c>
      <c r="T29">
        <v>118744.31000000001</v>
      </c>
      <c r="U29">
        <v>10991.750000000002</v>
      </c>
      <c r="V29">
        <v>53768.47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f>SUMPRODUCT(DB_SOFProject[[#This Row],[Plan01]:[Plan12]],$E$4:$P$4)/valUnits2</f>
        <v>214.05442700000003</v>
      </c>
      <c r="AD29">
        <f>SUMPRODUCT(DB_SOFProject[[#This Row],[Act01]:[Act12]],$Q$4:$AB$4)/valUnits2</f>
        <v>183.50453000000002</v>
      </c>
      <c r="AE29">
        <f>DB_SOFProject[[#This Row],[Actual]]-DB_SOFProject[[#This Row],[Plan]]</f>
        <v>-30.549897000000016</v>
      </c>
      <c r="AF29" s="32">
        <f>IF(DB_SOFProject[[#This Row],[Plan]]&lt;&gt;0,DB_SOFProject[[#This Row],[Actual]]/DB_SOFProject[[#This Row],[Plan]],1.000011000011)</f>
        <v>0.85727977025207702</v>
      </c>
      <c r="AG29" s="34">
        <f>SUM(DB_SOFProject[[#This Row],[Plan01]:[Plan12]])/valUnits2</f>
        <v>532.96117900000002</v>
      </c>
      <c r="AH29" s="34">
        <f>SUMPRODUCT(DB_SOFProject[[#This Row],[Act01]:[Act12]],$Q$3:$AB$3)/valUnits2</f>
        <v>183.50453000000002</v>
      </c>
    </row>
    <row r="30" spans="2:34" x14ac:dyDescent="0.2">
      <c r="B30" t="s">
        <v>480</v>
      </c>
      <c r="C30" t="s">
        <v>882</v>
      </c>
      <c r="D30" t="s">
        <v>988</v>
      </c>
      <c r="E30">
        <v>15815.819000000009</v>
      </c>
      <c r="F30">
        <v>8397.732</v>
      </c>
      <c r="G30">
        <v>4060.2589999999991</v>
      </c>
      <c r="H30">
        <v>15888.638000000003</v>
      </c>
      <c r="I30">
        <v>109945.58400000005</v>
      </c>
      <c r="J30">
        <v>24296.654999999999</v>
      </c>
      <c r="K30">
        <v>33011.420999999988</v>
      </c>
      <c r="L30">
        <v>25532.191000000003</v>
      </c>
      <c r="M30">
        <v>25022.501</v>
      </c>
      <c r="N30">
        <v>30657.285999999996</v>
      </c>
      <c r="O30">
        <v>33301.520999999986</v>
      </c>
      <c r="P30">
        <v>20042.27900000001</v>
      </c>
      <c r="Q30">
        <v>15956.909999999989</v>
      </c>
      <c r="R30">
        <v>8602.7200000000084</v>
      </c>
      <c r="S30">
        <v>4097.1999999999925</v>
      </c>
      <c r="T30">
        <v>15737.75</v>
      </c>
      <c r="U30">
        <v>109732.69000000003</v>
      </c>
      <c r="V30">
        <v>15682.210000000025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f>SUMPRODUCT(DB_SOFProject[[#This Row],[Plan01]:[Plan12]],$E$4:$P$4)/valUnits2</f>
        <v>178.40468700000005</v>
      </c>
      <c r="AD30">
        <f>SUMPRODUCT(DB_SOFProject[[#This Row],[Act01]:[Act12]],$Q$4:$AB$4)/valUnits2</f>
        <v>169.80948000000004</v>
      </c>
      <c r="AE30">
        <f>DB_SOFProject[[#This Row],[Actual]]-DB_SOFProject[[#This Row],[Plan]]</f>
        <v>-8.5952070000000163</v>
      </c>
      <c r="AF30" s="32">
        <f>IF(DB_SOFProject[[#This Row],[Plan]]&lt;&gt;0,DB_SOFProject[[#This Row],[Actual]]/DB_SOFProject[[#This Row],[Plan]],1.000011000011)</f>
        <v>0.95182185432157385</v>
      </c>
      <c r="AG30" s="34">
        <f>SUM(DB_SOFProject[[#This Row],[Plan01]:[Plan12]])/valUnits2</f>
        <v>345.97188600000004</v>
      </c>
      <c r="AH30" s="34">
        <f>SUMPRODUCT(DB_SOFProject[[#This Row],[Act01]:[Act12]],$Q$3:$AB$3)/valUnits2</f>
        <v>169.80948000000004</v>
      </c>
    </row>
    <row r="31" spans="2:34" x14ac:dyDescent="0.2">
      <c r="B31" t="s">
        <v>480</v>
      </c>
      <c r="C31" t="s">
        <v>884</v>
      </c>
      <c r="D31" t="s">
        <v>969</v>
      </c>
      <c r="E31">
        <v>9927.57</v>
      </c>
      <c r="F31">
        <v>10151.709999999999</v>
      </c>
      <c r="G31">
        <v>10000</v>
      </c>
      <c r="H31">
        <v>10000</v>
      </c>
      <c r="I31">
        <v>9848.2900000000009</v>
      </c>
      <c r="J31">
        <v>10000</v>
      </c>
      <c r="K31">
        <v>10000</v>
      </c>
      <c r="L31">
        <v>10000</v>
      </c>
      <c r="M31">
        <v>10000</v>
      </c>
      <c r="N31">
        <v>10000</v>
      </c>
      <c r="O31">
        <v>10000</v>
      </c>
      <c r="P31">
        <v>10000</v>
      </c>
      <c r="Q31">
        <v>-72.430000000000007</v>
      </c>
      <c r="R31">
        <v>151.70999999999998</v>
      </c>
      <c r="S31">
        <v>0.98</v>
      </c>
      <c r="T31">
        <v>0</v>
      </c>
      <c r="U31">
        <v>-152.69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f>SUMPRODUCT(DB_SOFProject[[#This Row],[Plan01]:[Plan12]],$E$4:$P$4)/valUnits2</f>
        <v>59.927570000000003</v>
      </c>
      <c r="AD31">
        <f>SUMPRODUCT(DB_SOFProject[[#This Row],[Act01]:[Act12]],$Q$4:$AB$4)/valUnits2</f>
        <v>-7.2430000000000022E-2</v>
      </c>
      <c r="AE31">
        <f>DB_SOFProject[[#This Row],[Actual]]-DB_SOFProject[[#This Row],[Plan]]</f>
        <v>-60</v>
      </c>
      <c r="AF31" s="32">
        <f>IF(DB_SOFProject[[#This Row],[Plan]]&lt;&gt;0,DB_SOFProject[[#This Row],[Actual]]/DB_SOFProject[[#This Row],[Plan]],1.000011000011)</f>
        <v>-1.2086256792991942E-3</v>
      </c>
      <c r="AG31" s="34">
        <f>SUM(DB_SOFProject[[#This Row],[Plan01]:[Plan12]])/valUnits2</f>
        <v>119.92757</v>
      </c>
      <c r="AH31" s="34">
        <f>SUMPRODUCT(DB_SOFProject[[#This Row],[Act01]:[Act12]],$Q$3:$AB$3)/valUnits2</f>
        <v>-7.2430000000000022E-2</v>
      </c>
    </row>
    <row r="32" spans="2:34" x14ac:dyDescent="0.2">
      <c r="B32" t="s">
        <v>480</v>
      </c>
      <c r="C32" t="s">
        <v>884</v>
      </c>
      <c r="D32" t="s">
        <v>982</v>
      </c>
      <c r="E32">
        <v>3583.3330000000001</v>
      </c>
      <c r="F32">
        <v>3583.3330000000001</v>
      </c>
      <c r="G32">
        <v>3583.3330000000001</v>
      </c>
      <c r="H32">
        <v>3583.3330000000001</v>
      </c>
      <c r="I32">
        <v>3583.3330000000001</v>
      </c>
      <c r="J32">
        <v>3583.3330000000001</v>
      </c>
      <c r="K32">
        <v>3583.3330000000001</v>
      </c>
      <c r="L32">
        <v>3583.3330000000001</v>
      </c>
      <c r="M32">
        <v>3583.3330000000001</v>
      </c>
      <c r="N32">
        <v>3583.3330000000001</v>
      </c>
      <c r="O32">
        <v>3583.3330000000001</v>
      </c>
      <c r="P32">
        <v>3583.3330000000001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f>SUMPRODUCT(DB_SOFProject[[#This Row],[Plan01]:[Plan12]],$E$4:$P$4)/valUnits2</f>
        <v>21.499997999999998</v>
      </c>
      <c r="AD32">
        <f>SUMPRODUCT(DB_SOFProject[[#This Row],[Act01]:[Act12]],$Q$4:$AB$4)/valUnits2</f>
        <v>0</v>
      </c>
      <c r="AE32">
        <f>DB_SOFProject[[#This Row],[Actual]]-DB_SOFProject[[#This Row],[Plan]]</f>
        <v>-21.499997999999998</v>
      </c>
      <c r="AF32" s="32">
        <f>IF(DB_SOFProject[[#This Row],[Plan]]&lt;&gt;0,DB_SOFProject[[#This Row],[Actual]]/DB_SOFProject[[#This Row],[Plan]],1.000011000011)</f>
        <v>0</v>
      </c>
      <c r="AG32" s="34">
        <f>SUM(DB_SOFProject[[#This Row],[Plan01]:[Plan12]])/valUnits2</f>
        <v>42.999995999999989</v>
      </c>
      <c r="AH32" s="34">
        <f>SUMPRODUCT(DB_SOFProject[[#This Row],[Act01]:[Act12]],$Q$3:$AB$3)/valUnits2</f>
        <v>0</v>
      </c>
    </row>
    <row r="33" spans="2:34" x14ac:dyDescent="0.2">
      <c r="B33" t="s">
        <v>480</v>
      </c>
      <c r="C33" t="s">
        <v>884</v>
      </c>
      <c r="D33" t="s">
        <v>997</v>
      </c>
      <c r="E33">
        <v>1416.6669999999999</v>
      </c>
      <c r="F33">
        <v>1416.6669999999999</v>
      </c>
      <c r="G33">
        <v>1416.6669999999999</v>
      </c>
      <c r="H33">
        <v>1416.6669999999999</v>
      </c>
      <c r="I33">
        <v>1416.6669999999999</v>
      </c>
      <c r="J33">
        <v>1416.6669999999999</v>
      </c>
      <c r="K33">
        <v>1416.6669999999999</v>
      </c>
      <c r="L33">
        <v>1416.6669999999999</v>
      </c>
      <c r="M33">
        <v>1416.6669999999999</v>
      </c>
      <c r="N33">
        <v>1416.6669999999999</v>
      </c>
      <c r="O33">
        <v>1416.6669999999999</v>
      </c>
      <c r="P33">
        <v>1416.6669999999999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f>SUMPRODUCT(DB_SOFProject[[#This Row],[Plan01]:[Plan12]],$E$4:$P$4)/valUnits2</f>
        <v>8.5000019999999985</v>
      </c>
      <c r="AD33">
        <f>SUMPRODUCT(DB_SOFProject[[#This Row],[Act01]:[Act12]],$Q$4:$AB$4)/valUnits2</f>
        <v>0</v>
      </c>
      <c r="AE33">
        <f>DB_SOFProject[[#This Row],[Actual]]-DB_SOFProject[[#This Row],[Plan]]</f>
        <v>-8.5000019999999985</v>
      </c>
      <c r="AF33" s="32">
        <f>IF(DB_SOFProject[[#This Row],[Plan]]&lt;&gt;0,DB_SOFProject[[#This Row],[Actual]]/DB_SOFProject[[#This Row],[Plan]],1.000011000011)</f>
        <v>0</v>
      </c>
      <c r="AG33" s="34">
        <f>SUM(DB_SOFProject[[#This Row],[Plan01]:[Plan12]])/valUnits2</f>
        <v>17.000003999999997</v>
      </c>
      <c r="AH33" s="34">
        <f>SUMPRODUCT(DB_SOFProject[[#This Row],[Act01]:[Act12]],$Q$3:$AB$3)/valUnits2</f>
        <v>0</v>
      </c>
    </row>
    <row r="34" spans="2:34" x14ac:dyDescent="0.2">
      <c r="B34" t="s">
        <v>480</v>
      </c>
      <c r="C34" t="s">
        <v>886</v>
      </c>
      <c r="D34" t="s">
        <v>988</v>
      </c>
      <c r="E34">
        <v>6272.8189999999995</v>
      </c>
      <c r="F34">
        <v>-3296.5239999999999</v>
      </c>
      <c r="Q34">
        <v>6208.16</v>
      </c>
      <c r="R34">
        <v>-3324.29</v>
      </c>
      <c r="AC34">
        <f>SUMPRODUCT(DB_SOFProject[[#This Row],[Plan01]:[Plan12]],$E$4:$P$4)/valUnits2</f>
        <v>2.9762949999999995</v>
      </c>
      <c r="AD34">
        <f>SUMPRODUCT(DB_SOFProject[[#This Row],[Act01]:[Act12]],$Q$4:$AB$4)/valUnits2</f>
        <v>2.8838699999999999</v>
      </c>
      <c r="AE34">
        <f>DB_SOFProject[[#This Row],[Actual]]-DB_SOFProject[[#This Row],[Plan]]</f>
        <v>-9.2424999999999535E-2</v>
      </c>
      <c r="AF34" s="32">
        <f>IF(DB_SOFProject[[#This Row],[Plan]]&lt;&gt;0,DB_SOFProject[[#This Row],[Actual]]/DB_SOFProject[[#This Row],[Plan]],1.000011000011)</f>
        <v>0.96894629060627402</v>
      </c>
      <c r="AG34" s="34">
        <f>SUM(DB_SOFProject[[#This Row],[Plan01]:[Plan12]])/valUnits2</f>
        <v>2.9762949999999995</v>
      </c>
      <c r="AH34" s="34">
        <f>SUMPRODUCT(DB_SOFProject[[#This Row],[Act01]:[Act12]],$Q$3:$AB$3)/valUnits2</f>
        <v>2.8838699999999999</v>
      </c>
    </row>
    <row r="35" spans="2:34" x14ac:dyDescent="0.2">
      <c r="B35" t="s">
        <v>480</v>
      </c>
      <c r="C35" t="s">
        <v>889</v>
      </c>
      <c r="D35" t="s">
        <v>997</v>
      </c>
      <c r="G35">
        <v>0</v>
      </c>
      <c r="S35">
        <v>0</v>
      </c>
      <c r="AC35">
        <f>SUMPRODUCT(DB_SOFProject[[#This Row],[Plan01]:[Plan12]],$E$4:$P$4)/valUnits2</f>
        <v>0</v>
      </c>
      <c r="AD35">
        <f>SUMPRODUCT(DB_SOFProject[[#This Row],[Act01]:[Act12]],$Q$4:$AB$4)/valUnits2</f>
        <v>0</v>
      </c>
      <c r="AE35">
        <f>DB_SOFProject[[#This Row],[Actual]]-DB_SOFProject[[#This Row],[Plan]]</f>
        <v>0</v>
      </c>
      <c r="AF35" s="32">
        <f>IF(DB_SOFProject[[#This Row],[Plan]]&lt;&gt;0,DB_SOFProject[[#This Row],[Actual]]/DB_SOFProject[[#This Row],[Plan]],1.000011000011)</f>
        <v>1.0000110000110001</v>
      </c>
      <c r="AG35" s="34">
        <f>SUM(DB_SOFProject[[#This Row],[Plan01]:[Plan12]])/valUnits2</f>
        <v>0</v>
      </c>
      <c r="AH35" s="34">
        <f>SUMPRODUCT(DB_SOFProject[[#This Row],[Act01]:[Act12]],$Q$3:$AB$3)/valUnits2</f>
        <v>0</v>
      </c>
    </row>
    <row r="36" spans="2:34" x14ac:dyDescent="0.2">
      <c r="B36" t="s">
        <v>480</v>
      </c>
      <c r="C36" t="s">
        <v>890</v>
      </c>
      <c r="D36" t="s">
        <v>988</v>
      </c>
      <c r="E36">
        <v>1652.0629999999987</v>
      </c>
      <c r="F36">
        <v>1579.1709999999987</v>
      </c>
      <c r="G36">
        <v>49885.458000000006</v>
      </c>
      <c r="H36">
        <v>169143.11099999998</v>
      </c>
      <c r="I36">
        <v>3229.6700000000023</v>
      </c>
      <c r="J36">
        <v>39276.385000000017</v>
      </c>
      <c r="K36">
        <v>36981.005000000005</v>
      </c>
      <c r="L36">
        <v>40456.140000000014</v>
      </c>
      <c r="M36">
        <v>39276.385000000002</v>
      </c>
      <c r="N36">
        <v>34696.514999999999</v>
      </c>
      <c r="O36">
        <v>76891.439999999973</v>
      </c>
      <c r="P36">
        <v>34696.514999999999</v>
      </c>
      <c r="Q36">
        <v>1656.5900000000006</v>
      </c>
      <c r="R36">
        <v>1615.7399999999998</v>
      </c>
      <c r="S36">
        <v>49802.929999999993</v>
      </c>
      <c r="T36">
        <v>167006.68999999997</v>
      </c>
      <c r="U36">
        <v>3277.8300000000049</v>
      </c>
      <c r="V36">
        <v>3889.5999999999949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f>SUMPRODUCT(DB_SOFProject[[#This Row],[Plan01]:[Plan12]],$E$4:$P$4)/valUnits2</f>
        <v>264.76585799999998</v>
      </c>
      <c r="AD36">
        <f>SUMPRODUCT(DB_SOFProject[[#This Row],[Act01]:[Act12]],$Q$4:$AB$4)/valUnits2</f>
        <v>227.24937999999997</v>
      </c>
      <c r="AE36">
        <f>DB_SOFProject[[#This Row],[Actual]]-DB_SOFProject[[#This Row],[Plan]]</f>
        <v>-37.516478000000006</v>
      </c>
      <c r="AF36" s="32">
        <f>IF(DB_SOFProject[[#This Row],[Plan]]&lt;&gt;0,DB_SOFProject[[#This Row],[Actual]]/DB_SOFProject[[#This Row],[Plan]],1.000011000011)</f>
        <v>0.85830318801905336</v>
      </c>
      <c r="AG36" s="34">
        <f>SUM(DB_SOFProject[[#This Row],[Plan01]:[Plan12]])/valUnits2</f>
        <v>527.76385800000003</v>
      </c>
      <c r="AH36" s="34">
        <f>SUMPRODUCT(DB_SOFProject[[#This Row],[Act01]:[Act12]],$Q$3:$AB$3)/valUnits2</f>
        <v>227.24937999999997</v>
      </c>
    </row>
    <row r="37" spans="2:34" x14ac:dyDescent="0.2">
      <c r="B37" t="s">
        <v>480</v>
      </c>
      <c r="C37" t="s">
        <v>892</v>
      </c>
      <c r="D37" t="s">
        <v>988</v>
      </c>
      <c r="E37">
        <v>5376.0830000000014</v>
      </c>
      <c r="F37">
        <v>4652.4819999999991</v>
      </c>
      <c r="G37">
        <v>18096.314999999999</v>
      </c>
      <c r="H37">
        <v>6621.1709999999994</v>
      </c>
      <c r="I37">
        <v>13775.653</v>
      </c>
      <c r="J37">
        <v>8212.83</v>
      </c>
      <c r="K37">
        <v>9836.7749999999996</v>
      </c>
      <c r="L37">
        <v>8579.4689999999991</v>
      </c>
      <c r="M37">
        <v>12971.638000000001</v>
      </c>
      <c r="N37">
        <v>6193.9000000000005</v>
      </c>
      <c r="O37">
        <v>6250.5070000000005</v>
      </c>
      <c r="P37">
        <v>6193.9000000000005</v>
      </c>
      <c r="Q37">
        <v>791.93000000000018</v>
      </c>
      <c r="R37">
        <v>234.95000000000067</v>
      </c>
      <c r="S37">
        <v>9104.01</v>
      </c>
      <c r="T37">
        <v>235.13999999999973</v>
      </c>
      <c r="U37">
        <v>1051.0000000000005</v>
      </c>
      <c r="V37">
        <v>29124.48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f>SUMPRODUCT(DB_SOFProject[[#This Row],[Plan01]:[Plan12]],$E$4:$P$4)/valUnits2</f>
        <v>56.734533999999996</v>
      </c>
      <c r="AD37">
        <f>SUMPRODUCT(DB_SOFProject[[#This Row],[Act01]:[Act12]],$Q$4:$AB$4)/valUnits2</f>
        <v>40.541510000000002</v>
      </c>
      <c r="AE37">
        <f>DB_SOFProject[[#This Row],[Actual]]-DB_SOFProject[[#This Row],[Plan]]</f>
        <v>-16.193023999999994</v>
      </c>
      <c r="AF37" s="32">
        <f>IF(DB_SOFProject[[#This Row],[Plan]]&lt;&gt;0,DB_SOFProject[[#This Row],[Actual]]/DB_SOFProject[[#This Row],[Plan]],1.000011000011)</f>
        <v>0.71458258562589061</v>
      </c>
      <c r="AG37" s="34">
        <f>SUM(DB_SOFProject[[#This Row],[Plan01]:[Plan12]])/valUnits2</f>
        <v>106.76072299999998</v>
      </c>
      <c r="AH37" s="34">
        <f>SUMPRODUCT(DB_SOFProject[[#This Row],[Act01]:[Act12]],$Q$3:$AB$3)/valUnits2</f>
        <v>40.541510000000002</v>
      </c>
    </row>
    <row r="38" spans="2:34" x14ac:dyDescent="0.2">
      <c r="B38" t="s">
        <v>480</v>
      </c>
      <c r="C38" t="s">
        <v>896</v>
      </c>
      <c r="D38" t="s">
        <v>988</v>
      </c>
      <c r="E38">
        <v>35875.718999999997</v>
      </c>
      <c r="F38">
        <v>-29164.635999999995</v>
      </c>
      <c r="G38">
        <v>138911.916</v>
      </c>
      <c r="H38">
        <v>69921.355999999985</v>
      </c>
      <c r="I38">
        <v>62340.483999999997</v>
      </c>
      <c r="J38">
        <v>43275.436999999991</v>
      </c>
      <c r="K38">
        <v>49523.081999999995</v>
      </c>
      <c r="L38">
        <v>49523.081999999988</v>
      </c>
      <c r="M38">
        <v>49523.081999999995</v>
      </c>
      <c r="N38">
        <v>46059.183999999994</v>
      </c>
      <c r="O38">
        <v>46059.183999999994</v>
      </c>
      <c r="P38">
        <v>46059.183999999994</v>
      </c>
      <c r="Q38">
        <v>35875.590000000004</v>
      </c>
      <c r="R38">
        <v>-28671.710000000003</v>
      </c>
      <c r="S38">
        <v>137910.51</v>
      </c>
      <c r="T38">
        <v>70258.170000000013</v>
      </c>
      <c r="U38">
        <v>62596.359999999993</v>
      </c>
      <c r="V38">
        <v>3955.0900000000083</v>
      </c>
      <c r="W38">
        <v>757</v>
      </c>
      <c r="X38">
        <v>0</v>
      </c>
      <c r="Y38">
        <v>0</v>
      </c>
      <c r="Z38">
        <v>0</v>
      </c>
      <c r="AA38">
        <v>0</v>
      </c>
      <c r="AB38">
        <v>0</v>
      </c>
      <c r="AC38">
        <f>SUMPRODUCT(DB_SOFProject[[#This Row],[Plan01]:[Plan12]],$E$4:$P$4)/valUnits2</f>
        <v>321.16027599999995</v>
      </c>
      <c r="AD38">
        <f>SUMPRODUCT(DB_SOFProject[[#This Row],[Act01]:[Act12]],$Q$4:$AB$4)/valUnits2</f>
        <v>281.92401000000007</v>
      </c>
      <c r="AE38">
        <f>DB_SOFProject[[#This Row],[Actual]]-DB_SOFProject[[#This Row],[Plan]]</f>
        <v>-39.236265999999887</v>
      </c>
      <c r="AF38" s="32">
        <f>IF(DB_SOFProject[[#This Row],[Plan]]&lt;&gt;0,DB_SOFProject[[#This Row],[Actual]]/DB_SOFProject[[#This Row],[Plan]],1.000011000011)</f>
        <v>0.87782964167087751</v>
      </c>
      <c r="AG38" s="34">
        <f>SUM(DB_SOFProject[[#This Row],[Plan01]:[Plan12]])/valUnits2</f>
        <v>607.90707399999985</v>
      </c>
      <c r="AH38" s="34">
        <f>SUMPRODUCT(DB_SOFProject[[#This Row],[Act01]:[Act12]],$Q$3:$AB$3)/valUnits2</f>
        <v>281.92401000000007</v>
      </c>
    </row>
    <row r="39" spans="2:34" x14ac:dyDescent="0.2">
      <c r="B39" t="s">
        <v>480</v>
      </c>
      <c r="C39" t="s">
        <v>898</v>
      </c>
      <c r="D39" t="s">
        <v>969</v>
      </c>
      <c r="E39">
        <v>-197.101</v>
      </c>
      <c r="F39">
        <v>-108.33</v>
      </c>
      <c r="Q39">
        <v>-204.70000000000002</v>
      </c>
      <c r="R39">
        <v>-115.53</v>
      </c>
      <c r="AC39">
        <f>SUMPRODUCT(DB_SOFProject[[#This Row],[Plan01]:[Plan12]],$E$4:$P$4)/valUnits2</f>
        <v>-0.30543100000000001</v>
      </c>
      <c r="AD39">
        <f>SUMPRODUCT(DB_SOFProject[[#This Row],[Act01]:[Act12]],$Q$4:$AB$4)/valUnits2</f>
        <v>-0.32023000000000001</v>
      </c>
      <c r="AE39">
        <f>DB_SOFProject[[#This Row],[Actual]]-DB_SOFProject[[#This Row],[Plan]]</f>
        <v>-1.4799000000000007E-2</v>
      </c>
      <c r="AF39" s="32">
        <f>IF(DB_SOFProject[[#This Row],[Plan]]&lt;&gt;0,DB_SOFProject[[#This Row],[Actual]]/DB_SOFProject[[#This Row],[Plan]],1.000011000011)</f>
        <v>1.0484528420494319</v>
      </c>
      <c r="AG39" s="34">
        <f>SUM(DB_SOFProject[[#This Row],[Plan01]:[Plan12]])/valUnits2</f>
        <v>-0.30543100000000001</v>
      </c>
      <c r="AH39" s="34">
        <f>SUMPRODUCT(DB_SOFProject[[#This Row],[Act01]:[Act12]],$Q$3:$AB$3)/valUnits2</f>
        <v>-0.32023000000000001</v>
      </c>
    </row>
    <row r="40" spans="2:34" x14ac:dyDescent="0.2">
      <c r="B40" t="s">
        <v>480</v>
      </c>
      <c r="C40" t="s">
        <v>899</v>
      </c>
      <c r="D40" t="s">
        <v>988</v>
      </c>
      <c r="E40">
        <v>-12.531000000000001</v>
      </c>
      <c r="F40">
        <v>2.5430000000000001</v>
      </c>
      <c r="H40">
        <v>252.79300000000001</v>
      </c>
      <c r="I40">
        <v>816.20299999999997</v>
      </c>
      <c r="Q40">
        <v>-12.53</v>
      </c>
      <c r="R40">
        <v>2.54</v>
      </c>
      <c r="T40">
        <v>254.21</v>
      </c>
      <c r="U40">
        <v>820.17</v>
      </c>
      <c r="AC40">
        <f>SUMPRODUCT(DB_SOFProject[[#This Row],[Plan01]:[Plan12]],$E$4:$P$4)/valUnits2</f>
        <v>1.0590079999999999</v>
      </c>
      <c r="AD40">
        <f>SUMPRODUCT(DB_SOFProject[[#This Row],[Act01]:[Act12]],$Q$4:$AB$4)/valUnits2</f>
        <v>1.0643899999999999</v>
      </c>
      <c r="AE40">
        <f>DB_SOFProject[[#This Row],[Actual]]-DB_SOFProject[[#This Row],[Plan]]</f>
        <v>5.3819999999999979E-3</v>
      </c>
      <c r="AF40" s="32">
        <f>IF(DB_SOFProject[[#This Row],[Plan]]&lt;&gt;0,DB_SOFProject[[#This Row],[Actual]]/DB_SOFProject[[#This Row],[Plan]],1.000011000011)</f>
        <v>1.0050821145827038</v>
      </c>
      <c r="AG40" s="34">
        <f>SUM(DB_SOFProject[[#This Row],[Plan01]:[Plan12]])/valUnits2</f>
        <v>1.0590079999999999</v>
      </c>
      <c r="AH40" s="34">
        <f>SUMPRODUCT(DB_SOFProject[[#This Row],[Act01]:[Act12]],$Q$3:$AB$3)/valUnits2</f>
        <v>1.0643899999999999</v>
      </c>
    </row>
    <row r="41" spans="2:34" x14ac:dyDescent="0.2">
      <c r="B41" t="s">
        <v>480</v>
      </c>
      <c r="C41" t="s">
        <v>903</v>
      </c>
      <c r="D41" t="s">
        <v>969</v>
      </c>
      <c r="H41">
        <v>3529.5940000000001</v>
      </c>
      <c r="I41">
        <v>13558.859</v>
      </c>
      <c r="J41">
        <v>1565.962</v>
      </c>
      <c r="K41">
        <v>1163.0519999999999</v>
      </c>
      <c r="L41">
        <v>1997.4759999999999</v>
      </c>
      <c r="M41">
        <v>961.59799999999996</v>
      </c>
      <c r="N41">
        <v>8804.2480000000014</v>
      </c>
      <c r="O41">
        <v>8094.7259999999997</v>
      </c>
      <c r="P41">
        <v>8083.1230000000014</v>
      </c>
      <c r="T41">
        <v>3490.79</v>
      </c>
      <c r="U41">
        <v>13713.25</v>
      </c>
      <c r="V41">
        <v>1776.06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f>SUMPRODUCT(DB_SOFProject[[#This Row],[Plan01]:[Plan12]],$E$4:$P$4)/valUnits2</f>
        <v>18.654415</v>
      </c>
      <c r="AD41">
        <f>SUMPRODUCT(DB_SOFProject[[#This Row],[Act01]:[Act12]],$Q$4:$AB$4)/valUnits2</f>
        <v>18.980100000000004</v>
      </c>
      <c r="AE41">
        <f>DB_SOFProject[[#This Row],[Actual]]-DB_SOFProject[[#This Row],[Plan]]</f>
        <v>0.32568500000000355</v>
      </c>
      <c r="AF41" s="32">
        <f>IF(DB_SOFProject[[#This Row],[Plan]]&lt;&gt;0,DB_SOFProject[[#This Row],[Actual]]/DB_SOFProject[[#This Row],[Plan]],1.000011000011)</f>
        <v>1.0174588696563256</v>
      </c>
      <c r="AG41" s="34">
        <f>SUM(DB_SOFProject[[#This Row],[Plan01]:[Plan12]])/valUnits2</f>
        <v>47.758637999999998</v>
      </c>
      <c r="AH41" s="34">
        <f>SUMPRODUCT(DB_SOFProject[[#This Row],[Act01]:[Act12]],$Q$3:$AB$3)/valUnits2</f>
        <v>18.980100000000004</v>
      </c>
    </row>
    <row r="42" spans="2:34" x14ac:dyDescent="0.2">
      <c r="B42" t="s">
        <v>480</v>
      </c>
      <c r="C42" t="s">
        <v>905</v>
      </c>
      <c r="D42" t="s">
        <v>969</v>
      </c>
      <c r="E42">
        <v>3600.1500000000005</v>
      </c>
      <c r="F42">
        <v>9.6999999999999993</v>
      </c>
      <c r="G42">
        <v>-3497.0600000000004</v>
      </c>
      <c r="H42">
        <v>281.51</v>
      </c>
      <c r="I42">
        <v>-4178.2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3600.1500000000005</v>
      </c>
      <c r="R42">
        <v>-18.91</v>
      </c>
      <c r="S42">
        <v>-3497.0600000000004</v>
      </c>
      <c r="T42">
        <v>281.51</v>
      </c>
      <c r="U42">
        <v>-4178.2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f>SUMPRODUCT(DB_SOFProject[[#This Row],[Plan01]:[Plan12]],$E$4:$P$4)/valUnits2</f>
        <v>-3.7838999999999996</v>
      </c>
      <c r="AD42">
        <f>SUMPRODUCT(DB_SOFProject[[#This Row],[Act01]:[Act12]],$Q$4:$AB$4)/valUnits2</f>
        <v>-3.8125099999999992</v>
      </c>
      <c r="AE42">
        <f>DB_SOFProject[[#This Row],[Actual]]-DB_SOFProject[[#This Row],[Plan]]</f>
        <v>-2.860999999999958E-2</v>
      </c>
      <c r="AF42" s="32">
        <f>IF(DB_SOFProject[[#This Row],[Plan]]&lt;&gt;0,DB_SOFProject[[#This Row],[Actual]]/DB_SOFProject[[#This Row],[Plan]],1.000011000011)</f>
        <v>1.0075609820555511</v>
      </c>
      <c r="AG42" s="34">
        <f>SUM(DB_SOFProject[[#This Row],[Plan01]:[Plan12]])/valUnits2</f>
        <v>-3.7838999999999996</v>
      </c>
      <c r="AH42" s="34">
        <f>SUMPRODUCT(DB_SOFProject[[#This Row],[Act01]:[Act12]],$Q$3:$AB$3)/valUnits2</f>
        <v>-3.8125099999999992</v>
      </c>
    </row>
    <row r="43" spans="2:34" x14ac:dyDescent="0.2">
      <c r="B43" t="s">
        <v>480</v>
      </c>
      <c r="C43" t="s">
        <v>905</v>
      </c>
      <c r="D43" t="s">
        <v>982</v>
      </c>
      <c r="E43">
        <v>878.56000000000006</v>
      </c>
      <c r="F43">
        <v>379.1</v>
      </c>
      <c r="G43">
        <v>664.37</v>
      </c>
      <c r="H43">
        <v>281.5</v>
      </c>
      <c r="I43">
        <v>-1741.91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878.56</v>
      </c>
      <c r="R43">
        <v>379.1</v>
      </c>
      <c r="S43">
        <v>664.37</v>
      </c>
      <c r="T43">
        <v>281.5</v>
      </c>
      <c r="U43">
        <v>-1741.9099999999999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f>SUMPRODUCT(DB_SOFProject[[#This Row],[Plan01]:[Plan12]],$E$4:$P$4)/valUnits2</f>
        <v>0.46162000000000014</v>
      </c>
      <c r="AD43">
        <f>SUMPRODUCT(DB_SOFProject[[#This Row],[Act01]:[Act12]],$Q$4:$AB$4)/valUnits2</f>
        <v>0.46161999999999986</v>
      </c>
      <c r="AE43">
        <f>DB_SOFProject[[#This Row],[Actual]]-DB_SOFProject[[#This Row],[Plan]]</f>
        <v>0</v>
      </c>
      <c r="AF43" s="32">
        <f>IF(DB_SOFProject[[#This Row],[Plan]]&lt;&gt;0,DB_SOFProject[[#This Row],[Actual]]/DB_SOFProject[[#This Row],[Plan]],1.000011000011)</f>
        <v>0.99999999999999944</v>
      </c>
      <c r="AG43" s="34">
        <f>SUM(DB_SOFProject[[#This Row],[Plan01]:[Plan12]])/valUnits2</f>
        <v>0.46162000000000014</v>
      </c>
      <c r="AH43" s="34">
        <f>SUMPRODUCT(DB_SOFProject[[#This Row],[Act01]:[Act12]],$Q$3:$AB$3)/valUnits2</f>
        <v>0.46161999999999986</v>
      </c>
    </row>
    <row r="44" spans="2:34" x14ac:dyDescent="0.2">
      <c r="B44" t="s">
        <v>480</v>
      </c>
      <c r="C44" t="s">
        <v>905</v>
      </c>
      <c r="D44" t="s">
        <v>986</v>
      </c>
      <c r="E44">
        <v>1378.1100000000001</v>
      </c>
      <c r="F44">
        <v>0</v>
      </c>
      <c r="G44">
        <v>2268.04</v>
      </c>
      <c r="H44">
        <v>281.51</v>
      </c>
      <c r="I44">
        <v>-3271.72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1378.1100000000001</v>
      </c>
      <c r="R44">
        <v>0</v>
      </c>
      <c r="S44">
        <v>2268.04</v>
      </c>
      <c r="T44">
        <v>281.51</v>
      </c>
      <c r="U44">
        <v>-3271.72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f>SUMPRODUCT(DB_SOFProject[[#This Row],[Plan01]:[Plan12]],$E$4:$P$4)/valUnits2</f>
        <v>0.65594000000000008</v>
      </c>
      <c r="AD44">
        <f>SUMPRODUCT(DB_SOFProject[[#This Row],[Act01]:[Act12]],$Q$4:$AB$4)/valUnits2</f>
        <v>0.65594000000000008</v>
      </c>
      <c r="AE44">
        <f>DB_SOFProject[[#This Row],[Actual]]-DB_SOFProject[[#This Row],[Plan]]</f>
        <v>0</v>
      </c>
      <c r="AF44" s="32">
        <f>IF(DB_SOFProject[[#This Row],[Plan]]&lt;&gt;0,DB_SOFProject[[#This Row],[Actual]]/DB_SOFProject[[#This Row],[Plan]],1.000011000011)</f>
        <v>1</v>
      </c>
      <c r="AG44" s="34">
        <f>SUM(DB_SOFProject[[#This Row],[Plan01]:[Plan12]])/valUnits2</f>
        <v>0.65594000000000008</v>
      </c>
      <c r="AH44" s="34">
        <f>SUMPRODUCT(DB_SOFProject[[#This Row],[Act01]:[Act12]],$Q$3:$AB$3)/valUnits2</f>
        <v>0.65594000000000008</v>
      </c>
    </row>
    <row r="45" spans="2:34" x14ac:dyDescent="0.2">
      <c r="B45" t="s">
        <v>480</v>
      </c>
      <c r="C45" t="s">
        <v>905</v>
      </c>
      <c r="D45" t="s">
        <v>992</v>
      </c>
      <c r="E45">
        <v>0</v>
      </c>
      <c r="F45">
        <v>218.46</v>
      </c>
      <c r="G45">
        <v>0</v>
      </c>
      <c r="H45">
        <v>0</v>
      </c>
      <c r="I45">
        <v>-218.46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218.46</v>
      </c>
      <c r="S45">
        <v>0</v>
      </c>
      <c r="T45">
        <v>0</v>
      </c>
      <c r="U45">
        <v>-218.46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f>SUMPRODUCT(DB_SOFProject[[#This Row],[Plan01]:[Plan12]],$E$4:$P$4)/valUnits2</f>
        <v>0</v>
      </c>
      <c r="AD45">
        <f>SUMPRODUCT(DB_SOFProject[[#This Row],[Act01]:[Act12]],$Q$4:$AB$4)/valUnits2</f>
        <v>0</v>
      </c>
      <c r="AE45">
        <f>DB_SOFProject[[#This Row],[Actual]]-DB_SOFProject[[#This Row],[Plan]]</f>
        <v>0</v>
      </c>
      <c r="AF45" s="32">
        <f>IF(DB_SOFProject[[#This Row],[Plan]]&lt;&gt;0,DB_SOFProject[[#This Row],[Actual]]/DB_SOFProject[[#This Row],[Plan]],1.000011000011)</f>
        <v>1.0000110000110001</v>
      </c>
      <c r="AG45" s="34">
        <f>SUM(DB_SOFProject[[#This Row],[Plan01]:[Plan12]])/valUnits2</f>
        <v>0</v>
      </c>
      <c r="AH45" s="34">
        <f>SUMPRODUCT(DB_SOFProject[[#This Row],[Act01]:[Act12]],$Q$3:$AB$3)/valUnits2</f>
        <v>0</v>
      </c>
    </row>
    <row r="46" spans="2:34" x14ac:dyDescent="0.2">
      <c r="B46" t="s">
        <v>480</v>
      </c>
      <c r="C46" t="s">
        <v>910</v>
      </c>
      <c r="D46" t="s">
        <v>997</v>
      </c>
      <c r="E46">
        <v>12264.900000000001</v>
      </c>
      <c r="F46">
        <v>2436.9799999999937</v>
      </c>
      <c r="G46">
        <v>5403.4299999999994</v>
      </c>
      <c r="I46">
        <v>-79532.280000000013</v>
      </c>
      <c r="Q46">
        <v>12264.900000000005</v>
      </c>
      <c r="R46">
        <v>2442.1200000000008</v>
      </c>
      <c r="S46">
        <v>5403.4299999999994</v>
      </c>
      <c r="U46">
        <v>-79532.28</v>
      </c>
      <c r="AC46">
        <f>SUMPRODUCT(DB_SOFProject[[#This Row],[Plan01]:[Plan12]],$E$4:$P$4)/valUnits2</f>
        <v>-59.426970000000019</v>
      </c>
      <c r="AD46">
        <f>SUMPRODUCT(DB_SOFProject[[#This Row],[Act01]:[Act12]],$Q$4:$AB$4)/valUnits2</f>
        <v>-59.421829999999993</v>
      </c>
      <c r="AE46">
        <f>DB_SOFProject[[#This Row],[Actual]]-DB_SOFProject[[#This Row],[Plan]]</f>
        <v>5.1400000000256796E-3</v>
      </c>
      <c r="AF46" s="32">
        <f>IF(DB_SOFProject[[#This Row],[Plan]]&lt;&gt;0,DB_SOFProject[[#This Row],[Actual]]/DB_SOFProject[[#This Row],[Plan]],1.000011000011)</f>
        <v>0.999913507284655</v>
      </c>
      <c r="AG46" s="34">
        <f>SUM(DB_SOFProject[[#This Row],[Plan01]:[Plan12]])/valUnits2</f>
        <v>-59.426970000000019</v>
      </c>
      <c r="AH46" s="34">
        <f>SUMPRODUCT(DB_SOFProject[[#This Row],[Act01]:[Act12]],$Q$3:$AB$3)/valUnits2</f>
        <v>-59.421829999999993</v>
      </c>
    </row>
    <row r="47" spans="2:34" x14ac:dyDescent="0.2">
      <c r="B47" t="s">
        <v>480</v>
      </c>
      <c r="C47" t="s">
        <v>912</v>
      </c>
      <c r="D47" t="s">
        <v>969</v>
      </c>
      <c r="E47">
        <v>5207.9000000000005</v>
      </c>
      <c r="F47">
        <v>-3143.130000000001</v>
      </c>
      <c r="H47">
        <v>-4329.43</v>
      </c>
      <c r="Q47">
        <v>5207.9000000000015</v>
      </c>
      <c r="R47">
        <v>-3143.130000000001</v>
      </c>
      <c r="T47">
        <v>-4329.43</v>
      </c>
      <c r="AC47">
        <f>SUMPRODUCT(DB_SOFProject[[#This Row],[Plan01]:[Plan12]],$E$4:$P$4)/valUnits2</f>
        <v>-2.2646600000000006</v>
      </c>
      <c r="AD47">
        <f>SUMPRODUCT(DB_SOFProject[[#This Row],[Act01]:[Act12]],$Q$4:$AB$4)/valUnits2</f>
        <v>-2.2646599999999997</v>
      </c>
      <c r="AE47">
        <f>DB_SOFProject[[#This Row],[Actual]]-DB_SOFProject[[#This Row],[Plan]]</f>
        <v>0</v>
      </c>
      <c r="AF47" s="32">
        <f>IF(DB_SOFProject[[#This Row],[Plan]]&lt;&gt;0,DB_SOFProject[[#This Row],[Actual]]/DB_SOFProject[[#This Row],[Plan]],1.000011000011)</f>
        <v>0.99999999999999956</v>
      </c>
      <c r="AG47" s="34">
        <f>SUM(DB_SOFProject[[#This Row],[Plan01]:[Plan12]])/valUnits2</f>
        <v>-2.2646600000000006</v>
      </c>
      <c r="AH47" s="34">
        <f>SUMPRODUCT(DB_SOFProject[[#This Row],[Act01]:[Act12]],$Q$3:$AB$3)/valUnits2</f>
        <v>-2.2646599999999997</v>
      </c>
    </row>
    <row r="48" spans="2:34" x14ac:dyDescent="0.2">
      <c r="B48" t="s">
        <v>480</v>
      </c>
      <c r="C48" t="s">
        <v>915</v>
      </c>
      <c r="D48" t="s">
        <v>969</v>
      </c>
      <c r="E48">
        <v>44.030999999999999</v>
      </c>
      <c r="F48">
        <v>282.55900000000003</v>
      </c>
      <c r="G48">
        <v>150.916</v>
      </c>
      <c r="H48">
        <v>548.61</v>
      </c>
      <c r="I48">
        <v>178.56200000000001</v>
      </c>
      <c r="J48">
        <v>0</v>
      </c>
      <c r="K48">
        <v>0</v>
      </c>
      <c r="N48">
        <v>0</v>
      </c>
      <c r="Q48">
        <v>44.09</v>
      </c>
      <c r="R48">
        <v>288.7</v>
      </c>
      <c r="S48">
        <v>148.79999999999998</v>
      </c>
      <c r="T48">
        <v>533.91000000000008</v>
      </c>
      <c r="U48">
        <v>181.87</v>
      </c>
      <c r="V48">
        <v>235.57</v>
      </c>
      <c r="W48">
        <v>0</v>
      </c>
      <c r="Z48">
        <v>0</v>
      </c>
      <c r="AC48">
        <f>SUMPRODUCT(DB_SOFProject[[#This Row],[Plan01]:[Plan12]],$E$4:$P$4)/valUnits2</f>
        <v>1.2046779999999999</v>
      </c>
      <c r="AD48">
        <f>SUMPRODUCT(DB_SOFProject[[#This Row],[Act01]:[Act12]],$Q$4:$AB$4)/valUnits2</f>
        <v>1.4329399999999999</v>
      </c>
      <c r="AE48">
        <f>DB_SOFProject[[#This Row],[Actual]]-DB_SOFProject[[#This Row],[Plan]]</f>
        <v>0.22826199999999996</v>
      </c>
      <c r="AF48" s="32">
        <f>IF(DB_SOFProject[[#This Row],[Plan]]&lt;&gt;0,DB_SOFProject[[#This Row],[Actual]]/DB_SOFProject[[#This Row],[Plan]],1.000011000011)</f>
        <v>1.1894796783870876</v>
      </c>
      <c r="AG48" s="34">
        <f>SUM(DB_SOFProject[[#This Row],[Plan01]:[Plan12]])/valUnits2</f>
        <v>1.2046779999999999</v>
      </c>
      <c r="AH48" s="34">
        <f>SUMPRODUCT(DB_SOFProject[[#This Row],[Act01]:[Act12]],$Q$3:$AB$3)/valUnits2</f>
        <v>1.4329399999999999</v>
      </c>
    </row>
    <row r="49" spans="2:34" x14ac:dyDescent="0.2">
      <c r="B49" t="s">
        <v>480</v>
      </c>
      <c r="C49" t="s">
        <v>915</v>
      </c>
      <c r="D49" t="s">
        <v>982</v>
      </c>
      <c r="E49">
        <v>836.10099999999977</v>
      </c>
      <c r="F49">
        <v>873.02199999999766</v>
      </c>
      <c r="G49">
        <v>18501.333000000002</v>
      </c>
      <c r="H49">
        <v>826.87599999999952</v>
      </c>
      <c r="I49">
        <v>747.12900000000047</v>
      </c>
      <c r="J49">
        <v>7672.5240000000022</v>
      </c>
      <c r="K49">
        <v>8417.6970000000001</v>
      </c>
      <c r="L49">
        <v>9825.1029999999992</v>
      </c>
      <c r="M49">
        <v>8540.9850000000006</v>
      </c>
      <c r="N49">
        <v>8356.2070000000003</v>
      </c>
      <c r="O49">
        <v>8193.5390000000025</v>
      </c>
      <c r="P49">
        <v>7732.3700000000017</v>
      </c>
      <c r="Q49">
        <v>840.48000000000104</v>
      </c>
      <c r="R49">
        <v>894.0999999999998</v>
      </c>
      <c r="S49">
        <v>18327.32</v>
      </c>
      <c r="T49">
        <v>812.45000000000027</v>
      </c>
      <c r="U49">
        <v>755.45999999999913</v>
      </c>
      <c r="V49">
        <v>8135.7800000000007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f>SUMPRODUCT(DB_SOFProject[[#This Row],[Plan01]:[Plan12]],$E$4:$P$4)/valUnits2</f>
        <v>29.456985</v>
      </c>
      <c r="AD49">
        <f>SUMPRODUCT(DB_SOFProject[[#This Row],[Act01]:[Act12]],$Q$4:$AB$4)/valUnits2</f>
        <v>29.765590000000003</v>
      </c>
      <c r="AE49">
        <f>DB_SOFProject[[#This Row],[Actual]]-DB_SOFProject[[#This Row],[Plan]]</f>
        <v>0.30860500000000357</v>
      </c>
      <c r="AF49" s="32">
        <f>IF(DB_SOFProject[[#This Row],[Plan]]&lt;&gt;0,DB_SOFProject[[#This Row],[Actual]]/DB_SOFProject[[#This Row],[Plan]],1.000011000011)</f>
        <v>1.010476462543604</v>
      </c>
      <c r="AG49" s="34">
        <f>SUM(DB_SOFProject[[#This Row],[Plan01]:[Plan12]])/valUnits2</f>
        <v>80.522886</v>
      </c>
      <c r="AH49" s="34">
        <f>SUMPRODUCT(DB_SOFProject[[#This Row],[Act01]:[Act12]],$Q$3:$AB$3)/valUnits2</f>
        <v>29.765590000000003</v>
      </c>
    </row>
    <row r="50" spans="2:34" x14ac:dyDescent="0.2">
      <c r="B50" t="s">
        <v>480</v>
      </c>
      <c r="C50" t="s">
        <v>363</v>
      </c>
      <c r="D50" t="s">
        <v>969</v>
      </c>
      <c r="J50">
        <v>0</v>
      </c>
      <c r="V50">
        <v>2877.3</v>
      </c>
      <c r="AC50">
        <f>SUMPRODUCT(DB_SOFProject[[#This Row],[Plan01]:[Plan12]],$E$4:$P$4)/valUnits2</f>
        <v>0</v>
      </c>
      <c r="AD50">
        <f>SUMPRODUCT(DB_SOFProject[[#This Row],[Act01]:[Act12]],$Q$4:$AB$4)/valUnits2</f>
        <v>2.8773</v>
      </c>
      <c r="AE50">
        <f>DB_SOFProject[[#This Row],[Actual]]-DB_SOFProject[[#This Row],[Plan]]</f>
        <v>2.8773</v>
      </c>
      <c r="AF50" s="32">
        <f>IF(DB_SOFProject[[#This Row],[Plan]]&lt;&gt;0,DB_SOFProject[[#This Row],[Actual]]/DB_SOFProject[[#This Row],[Plan]],1.000011000011)</f>
        <v>1.0000110000110001</v>
      </c>
      <c r="AG50" s="34">
        <f>SUM(DB_SOFProject[[#This Row],[Plan01]:[Plan12]])/valUnits2</f>
        <v>0</v>
      </c>
      <c r="AH50" s="34">
        <f>SUMPRODUCT(DB_SOFProject[[#This Row],[Act01]:[Act12]],$Q$3:$AB$3)/valUnits2</f>
        <v>2.8773</v>
      </c>
    </row>
    <row r="51" spans="2:34" x14ac:dyDescent="0.2">
      <c r="B51" t="s">
        <v>480</v>
      </c>
      <c r="C51" t="s">
        <v>919</v>
      </c>
      <c r="D51" t="s">
        <v>969</v>
      </c>
      <c r="E51">
        <v>25622.029000000006</v>
      </c>
      <c r="F51">
        <v>463902.80299999984</v>
      </c>
      <c r="G51">
        <v>18816.313000000016</v>
      </c>
      <c r="H51">
        <v>50643.18</v>
      </c>
      <c r="I51">
        <v>783574.40199999977</v>
      </c>
      <c r="J51">
        <v>245125.13800000004</v>
      </c>
      <c r="K51">
        <v>727505.22499999963</v>
      </c>
      <c r="L51">
        <v>325491.2269999999</v>
      </c>
      <c r="M51">
        <v>565132.76899999997</v>
      </c>
      <c r="N51">
        <v>559049.55699999968</v>
      </c>
      <c r="O51">
        <v>497095.06299999997</v>
      </c>
      <c r="P51">
        <v>598075.69099999976</v>
      </c>
      <c r="Q51">
        <v>25032.759999999991</v>
      </c>
      <c r="R51">
        <v>477954.31</v>
      </c>
      <c r="S51">
        <v>18997.529999999988</v>
      </c>
      <c r="T51">
        <v>50225.869999999886</v>
      </c>
      <c r="U51">
        <v>781528.41000000015</v>
      </c>
      <c r="V51">
        <v>188853.50000000006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f>SUMPRODUCT(DB_SOFProject[[#This Row],[Plan01]:[Plan12]],$E$4:$P$4)/valUnits2</f>
        <v>1587.6838649999995</v>
      </c>
      <c r="AD51">
        <f>SUMPRODUCT(DB_SOFProject[[#This Row],[Act01]:[Act12]],$Q$4:$AB$4)/valUnits2</f>
        <v>1542.5923799999998</v>
      </c>
      <c r="AE51">
        <f>DB_SOFProject[[#This Row],[Actual]]-DB_SOFProject[[#This Row],[Plan]]</f>
        <v>-45.091484999999693</v>
      </c>
      <c r="AF51" s="32">
        <f>IF(DB_SOFProject[[#This Row],[Plan]]&lt;&gt;0,DB_SOFProject[[#This Row],[Actual]]/DB_SOFProject[[#This Row],[Plan]],1.000011000011)</f>
        <v>0.97159920435419955</v>
      </c>
      <c r="AG51" s="34">
        <f>SUM(DB_SOFProject[[#This Row],[Plan01]:[Plan12]])/valUnits2</f>
        <v>4860.0333969999983</v>
      </c>
      <c r="AH51" s="34">
        <f>SUMPRODUCT(DB_SOFProject[[#This Row],[Act01]:[Act12]],$Q$3:$AB$3)/valUnits2</f>
        <v>1542.5923799999998</v>
      </c>
    </row>
    <row r="52" spans="2:34" x14ac:dyDescent="0.2">
      <c r="B52" t="s">
        <v>480</v>
      </c>
      <c r="C52" t="s">
        <v>927</v>
      </c>
      <c r="D52" t="s">
        <v>969</v>
      </c>
      <c r="E52">
        <v>5903.84</v>
      </c>
      <c r="F52">
        <v>21496.27</v>
      </c>
      <c r="G52">
        <v>10777.39</v>
      </c>
      <c r="H52">
        <v>2726.5700000000024</v>
      </c>
      <c r="I52">
        <v>11762.680000000002</v>
      </c>
      <c r="J52">
        <v>28148.582999999999</v>
      </c>
      <c r="K52">
        <v>28148.582999999999</v>
      </c>
      <c r="L52">
        <v>28148.582999999999</v>
      </c>
      <c r="M52">
        <v>28148.582999999999</v>
      </c>
      <c r="N52">
        <v>28148.582999999999</v>
      </c>
      <c r="O52">
        <v>28148.582999999999</v>
      </c>
      <c r="P52">
        <v>28148.582999999999</v>
      </c>
      <c r="Q52">
        <v>5903.8399999999983</v>
      </c>
      <c r="R52">
        <v>21496.27</v>
      </c>
      <c r="S52">
        <v>10777.390000000001</v>
      </c>
      <c r="T52">
        <v>2726.5700000000006</v>
      </c>
      <c r="U52">
        <v>11762.680000000004</v>
      </c>
      <c r="V52">
        <v>13361.76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f>SUMPRODUCT(DB_SOFProject[[#This Row],[Plan01]:[Plan12]],$E$4:$P$4)/valUnits2</f>
        <v>80.815332999999995</v>
      </c>
      <c r="AD52">
        <f>SUMPRODUCT(DB_SOFProject[[#This Row],[Act01]:[Act12]],$Q$4:$AB$4)/valUnits2</f>
        <v>66.028509999999997</v>
      </c>
      <c r="AE52">
        <f>DB_SOFProject[[#This Row],[Actual]]-DB_SOFProject[[#This Row],[Plan]]</f>
        <v>-14.786822999999998</v>
      </c>
      <c r="AF52" s="32">
        <f>IF(DB_SOFProject[[#This Row],[Plan]]&lt;&gt;0,DB_SOFProject[[#This Row],[Actual]]/DB_SOFProject[[#This Row],[Plan]],1.000011000011)</f>
        <v>0.81702948622385807</v>
      </c>
      <c r="AG52" s="34">
        <f>SUM(DB_SOFProject[[#This Row],[Plan01]:[Plan12]])/valUnits2</f>
        <v>249.70683099999994</v>
      </c>
      <c r="AH52" s="34">
        <f>SUMPRODUCT(DB_SOFProject[[#This Row],[Act01]:[Act12]],$Q$3:$AB$3)/valUnits2</f>
        <v>66.028509999999997</v>
      </c>
    </row>
    <row r="53" spans="2:34" x14ac:dyDescent="0.2">
      <c r="B53" t="s">
        <v>480</v>
      </c>
      <c r="C53" t="s">
        <v>927</v>
      </c>
      <c r="D53" t="s">
        <v>982</v>
      </c>
      <c r="E53">
        <v>421561.88000000006</v>
      </c>
      <c r="F53">
        <v>77134.140000000014</v>
      </c>
      <c r="G53">
        <v>51545.089999999989</v>
      </c>
      <c r="H53">
        <v>84373.520000000019</v>
      </c>
      <c r="I53">
        <v>301200.40999999997</v>
      </c>
      <c r="J53">
        <v>252451.99899999998</v>
      </c>
      <c r="K53">
        <v>144687.666</v>
      </c>
      <c r="L53">
        <v>144687.666</v>
      </c>
      <c r="M53">
        <v>144687.666</v>
      </c>
      <c r="N53">
        <v>144687.666</v>
      </c>
      <c r="O53">
        <v>144687.666</v>
      </c>
      <c r="P53">
        <v>144687.666</v>
      </c>
      <c r="Q53">
        <v>421561.88</v>
      </c>
      <c r="R53">
        <v>77197.389999999985</v>
      </c>
      <c r="S53">
        <v>51545.089999999989</v>
      </c>
      <c r="T53">
        <v>84373.51999999999</v>
      </c>
      <c r="U53">
        <v>301200.41000000015</v>
      </c>
      <c r="V53">
        <v>136075.99999999997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f>SUMPRODUCT(DB_SOFProject[[#This Row],[Plan01]:[Plan12]],$E$4:$P$4)/valUnits2</f>
        <v>1188.2670390000001</v>
      </c>
      <c r="AD53">
        <f>SUMPRODUCT(DB_SOFProject[[#This Row],[Act01]:[Act12]],$Q$4:$AB$4)/valUnits2</f>
        <v>1071.9542900000001</v>
      </c>
      <c r="AE53">
        <f>DB_SOFProject[[#This Row],[Actual]]-DB_SOFProject[[#This Row],[Plan]]</f>
        <v>-116.31274899999994</v>
      </c>
      <c r="AF53" s="32">
        <f>IF(DB_SOFProject[[#This Row],[Plan]]&lt;&gt;0,DB_SOFProject[[#This Row],[Actual]]/DB_SOFProject[[#This Row],[Plan]],1.000011000011)</f>
        <v>0.90211564809717837</v>
      </c>
      <c r="AG53" s="34">
        <f>SUM(DB_SOFProject[[#This Row],[Plan01]:[Plan12]])/valUnits2</f>
        <v>2056.3930350000001</v>
      </c>
      <c r="AH53" s="34">
        <f>SUMPRODUCT(DB_SOFProject[[#This Row],[Act01]:[Act12]],$Q$3:$AB$3)/valUnits2</f>
        <v>1071.9542900000001</v>
      </c>
    </row>
    <row r="54" spans="2:34" x14ac:dyDescent="0.2">
      <c r="B54" t="s">
        <v>480</v>
      </c>
      <c r="C54" t="s">
        <v>927</v>
      </c>
      <c r="D54" t="s">
        <v>986</v>
      </c>
      <c r="E54">
        <v>1903.01</v>
      </c>
      <c r="F54">
        <v>2075.96</v>
      </c>
      <c r="G54">
        <v>1963.66</v>
      </c>
      <c r="H54">
        <v>1983.36</v>
      </c>
      <c r="I54">
        <v>2249.69</v>
      </c>
      <c r="J54">
        <v>0</v>
      </c>
      <c r="Q54">
        <v>1903.01</v>
      </c>
      <c r="R54">
        <v>2075.96</v>
      </c>
      <c r="S54">
        <v>1963.66</v>
      </c>
      <c r="T54">
        <v>1983.36</v>
      </c>
      <c r="U54">
        <v>2249.69</v>
      </c>
      <c r="V54">
        <v>3200.6400000000003</v>
      </c>
      <c r="AC54">
        <f>SUMPRODUCT(DB_SOFProject[[#This Row],[Plan01]:[Plan12]],$E$4:$P$4)/valUnits2</f>
        <v>10.17568</v>
      </c>
      <c r="AD54">
        <f>SUMPRODUCT(DB_SOFProject[[#This Row],[Act01]:[Act12]],$Q$4:$AB$4)/valUnits2</f>
        <v>13.37632</v>
      </c>
      <c r="AE54">
        <f>DB_SOFProject[[#This Row],[Actual]]-DB_SOFProject[[#This Row],[Plan]]</f>
        <v>3.2006399999999999</v>
      </c>
      <c r="AF54" s="32">
        <f>IF(DB_SOFProject[[#This Row],[Plan]]&lt;&gt;0,DB_SOFProject[[#This Row],[Actual]]/DB_SOFProject[[#This Row],[Plan]],1.000011000011)</f>
        <v>1.3145381930249378</v>
      </c>
      <c r="AG54" s="34">
        <f>SUM(DB_SOFProject[[#This Row],[Plan01]:[Plan12]])/valUnits2</f>
        <v>10.17568</v>
      </c>
      <c r="AH54" s="34">
        <f>SUMPRODUCT(DB_SOFProject[[#This Row],[Act01]:[Act12]],$Q$3:$AB$3)/valUnits2</f>
        <v>13.37632</v>
      </c>
    </row>
    <row r="55" spans="2:34" x14ac:dyDescent="0.2">
      <c r="B55" t="s">
        <v>489</v>
      </c>
      <c r="C55" t="s">
        <v>841</v>
      </c>
      <c r="D55" t="s">
        <v>975</v>
      </c>
      <c r="E55">
        <v>0</v>
      </c>
      <c r="F55">
        <v>0</v>
      </c>
      <c r="G55">
        <v>0</v>
      </c>
      <c r="J55">
        <v>0</v>
      </c>
      <c r="Q55">
        <v>0</v>
      </c>
      <c r="R55">
        <v>0</v>
      </c>
      <c r="S55">
        <v>0</v>
      </c>
      <c r="V55">
        <v>610.80999999999995</v>
      </c>
      <c r="AC55">
        <f>SUMPRODUCT(DB_SOFProject[[#This Row],[Plan01]:[Plan12]],$E$4:$P$4)/valUnits2</f>
        <v>0</v>
      </c>
      <c r="AD55">
        <f>SUMPRODUCT(DB_SOFProject[[#This Row],[Act01]:[Act12]],$Q$4:$AB$4)/valUnits2</f>
        <v>0.61080999999999996</v>
      </c>
      <c r="AE55">
        <f>DB_SOFProject[[#This Row],[Actual]]-DB_SOFProject[[#This Row],[Plan]]</f>
        <v>0.61080999999999996</v>
      </c>
      <c r="AF55" s="32">
        <f>IF(DB_SOFProject[[#This Row],[Plan]]&lt;&gt;0,DB_SOFProject[[#This Row],[Actual]]/DB_SOFProject[[#This Row],[Plan]],1.000011000011)</f>
        <v>1.0000110000110001</v>
      </c>
      <c r="AG55" s="34">
        <f>SUM(DB_SOFProject[[#This Row],[Plan01]:[Plan12]])/valUnits2</f>
        <v>0</v>
      </c>
      <c r="AH55" s="34">
        <f>SUMPRODUCT(DB_SOFProject[[#This Row],[Act01]:[Act12]],$Q$3:$AB$3)/valUnits2</f>
        <v>0.61080999999999996</v>
      </c>
    </row>
    <row r="56" spans="2:34" x14ac:dyDescent="0.2">
      <c r="B56" t="s">
        <v>489</v>
      </c>
      <c r="C56" t="s">
        <v>842</v>
      </c>
      <c r="D56" t="s">
        <v>947</v>
      </c>
      <c r="J56">
        <v>0</v>
      </c>
      <c r="V56">
        <v>265.95999999999998</v>
      </c>
      <c r="AC56">
        <f>SUMPRODUCT(DB_SOFProject[[#This Row],[Plan01]:[Plan12]],$E$4:$P$4)/valUnits2</f>
        <v>0</v>
      </c>
      <c r="AD56">
        <f>SUMPRODUCT(DB_SOFProject[[#This Row],[Act01]:[Act12]],$Q$4:$AB$4)/valUnits2</f>
        <v>0.26595999999999997</v>
      </c>
      <c r="AE56">
        <f>DB_SOFProject[[#This Row],[Actual]]-DB_SOFProject[[#This Row],[Plan]]</f>
        <v>0.26595999999999997</v>
      </c>
      <c r="AF56" s="32">
        <f>IF(DB_SOFProject[[#This Row],[Plan]]&lt;&gt;0,DB_SOFProject[[#This Row],[Actual]]/DB_SOFProject[[#This Row],[Plan]],1.000011000011)</f>
        <v>1.0000110000110001</v>
      </c>
      <c r="AG56" s="34">
        <f>SUM(DB_SOFProject[[#This Row],[Plan01]:[Plan12]])/valUnits2</f>
        <v>0</v>
      </c>
      <c r="AH56" s="34">
        <f>SUMPRODUCT(DB_SOFProject[[#This Row],[Act01]:[Act12]],$Q$3:$AB$3)/valUnits2</f>
        <v>0.26595999999999997</v>
      </c>
    </row>
    <row r="57" spans="2:34" x14ac:dyDescent="0.2">
      <c r="B57" t="s">
        <v>489</v>
      </c>
      <c r="C57" t="s">
        <v>842</v>
      </c>
      <c r="D57" t="s">
        <v>959</v>
      </c>
      <c r="H57">
        <v>1853.046</v>
      </c>
      <c r="I57">
        <v>1473.1009999999999</v>
      </c>
      <c r="J57">
        <v>0</v>
      </c>
      <c r="T57">
        <v>1847.81</v>
      </c>
      <c r="U57">
        <v>1455.91</v>
      </c>
      <c r="V57">
        <v>705.13</v>
      </c>
      <c r="AC57">
        <f>SUMPRODUCT(DB_SOFProject[[#This Row],[Plan01]:[Plan12]],$E$4:$P$4)/valUnits2</f>
        <v>3.3261469999999997</v>
      </c>
      <c r="AD57">
        <f>SUMPRODUCT(DB_SOFProject[[#This Row],[Act01]:[Act12]],$Q$4:$AB$4)/valUnits2</f>
        <v>4.0088500000000007</v>
      </c>
      <c r="AE57">
        <f>DB_SOFProject[[#This Row],[Actual]]-DB_SOFProject[[#This Row],[Plan]]</f>
        <v>0.68270300000000095</v>
      </c>
      <c r="AF57" s="32">
        <f>IF(DB_SOFProject[[#This Row],[Plan]]&lt;&gt;0,DB_SOFProject[[#This Row],[Actual]]/DB_SOFProject[[#This Row],[Plan]],1.000011000011)</f>
        <v>1.2052534058176025</v>
      </c>
      <c r="AG57" s="34">
        <f>SUM(DB_SOFProject[[#This Row],[Plan01]:[Plan12]])/valUnits2</f>
        <v>3.3261469999999997</v>
      </c>
      <c r="AH57" s="34">
        <f>SUMPRODUCT(DB_SOFProject[[#This Row],[Act01]:[Act12]],$Q$3:$AB$3)/valUnits2</f>
        <v>4.0088500000000007</v>
      </c>
    </row>
    <row r="58" spans="2:34" x14ac:dyDescent="0.2">
      <c r="B58" t="s">
        <v>489</v>
      </c>
      <c r="C58" t="s">
        <v>842</v>
      </c>
      <c r="D58" t="s">
        <v>975</v>
      </c>
      <c r="E58">
        <v>0</v>
      </c>
      <c r="F58">
        <v>0</v>
      </c>
      <c r="G58">
        <v>0</v>
      </c>
      <c r="H58">
        <v>3977.2450000000003</v>
      </c>
      <c r="I58">
        <v>3472.5899999999997</v>
      </c>
      <c r="J58">
        <v>3933.8810000000003</v>
      </c>
      <c r="K58">
        <v>3933.8810000000003</v>
      </c>
      <c r="L58">
        <v>3933.8810000000003</v>
      </c>
      <c r="M58">
        <v>3933.8810000000003</v>
      </c>
      <c r="N58">
        <v>3933.8810000000003</v>
      </c>
      <c r="O58">
        <v>3933.8810000000003</v>
      </c>
      <c r="P58">
        <v>3933.8810000000003</v>
      </c>
      <c r="Q58">
        <v>0</v>
      </c>
      <c r="R58">
        <v>0</v>
      </c>
      <c r="S58">
        <v>0</v>
      </c>
      <c r="T58">
        <v>4026.4999999999995</v>
      </c>
      <c r="U58">
        <v>3486.0000000000009</v>
      </c>
      <c r="V58">
        <v>1529.52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f>SUMPRODUCT(DB_SOFProject[[#This Row],[Plan01]:[Plan12]],$E$4:$P$4)/valUnits2</f>
        <v>11.383716</v>
      </c>
      <c r="AD58">
        <f>SUMPRODUCT(DB_SOFProject[[#This Row],[Act01]:[Act12]],$Q$4:$AB$4)/valUnits2</f>
        <v>9.0420200000000008</v>
      </c>
      <c r="AE58">
        <f>DB_SOFProject[[#This Row],[Actual]]-DB_SOFProject[[#This Row],[Plan]]</f>
        <v>-2.3416959999999989</v>
      </c>
      <c r="AF58" s="32">
        <f>IF(DB_SOFProject[[#This Row],[Plan]]&lt;&gt;0,DB_SOFProject[[#This Row],[Actual]]/DB_SOFProject[[#This Row],[Plan]],1.000011000011)</f>
        <v>0.79429423573110935</v>
      </c>
      <c r="AG58" s="34">
        <f>SUM(DB_SOFProject[[#This Row],[Plan01]:[Plan12]])/valUnits2</f>
        <v>34.987002000000011</v>
      </c>
      <c r="AH58" s="34">
        <f>SUMPRODUCT(DB_SOFProject[[#This Row],[Act01]:[Act12]],$Q$3:$AB$3)/valUnits2</f>
        <v>9.0420200000000008</v>
      </c>
    </row>
    <row r="59" spans="2:34" x14ac:dyDescent="0.2">
      <c r="B59" t="s">
        <v>489</v>
      </c>
      <c r="C59" t="s">
        <v>842</v>
      </c>
      <c r="D59" t="s">
        <v>984</v>
      </c>
      <c r="I59">
        <v>8238.5650000000005</v>
      </c>
      <c r="J59">
        <v>0</v>
      </c>
      <c r="U59">
        <v>8252.380000000001</v>
      </c>
      <c r="V59">
        <v>2465.2399999999998</v>
      </c>
      <c r="AC59">
        <f>SUMPRODUCT(DB_SOFProject[[#This Row],[Plan01]:[Plan12]],$E$4:$P$4)/valUnits2</f>
        <v>8.2385650000000012</v>
      </c>
      <c r="AD59">
        <f>SUMPRODUCT(DB_SOFProject[[#This Row],[Act01]:[Act12]],$Q$4:$AB$4)/valUnits2</f>
        <v>10.71762</v>
      </c>
      <c r="AE59">
        <f>DB_SOFProject[[#This Row],[Actual]]-DB_SOFProject[[#This Row],[Plan]]</f>
        <v>2.4790549999999989</v>
      </c>
      <c r="AF59" s="32">
        <f>IF(DB_SOFProject[[#This Row],[Plan]]&lt;&gt;0,DB_SOFProject[[#This Row],[Actual]]/DB_SOFProject[[#This Row],[Plan]],1.000011000011)</f>
        <v>1.3009085926978787</v>
      </c>
      <c r="AG59" s="34">
        <f>SUM(DB_SOFProject[[#This Row],[Plan01]:[Plan12]])/valUnits2</f>
        <v>8.2385650000000012</v>
      </c>
      <c r="AH59" s="34">
        <f>SUMPRODUCT(DB_SOFProject[[#This Row],[Act01]:[Act12]],$Q$3:$AB$3)/valUnits2</f>
        <v>10.71762</v>
      </c>
    </row>
    <row r="60" spans="2:34" x14ac:dyDescent="0.2">
      <c r="B60" t="s">
        <v>489</v>
      </c>
      <c r="C60" t="s">
        <v>842</v>
      </c>
      <c r="D60" t="s">
        <v>998</v>
      </c>
      <c r="H60">
        <v>738.07400000000007</v>
      </c>
      <c r="I60">
        <v>577.58100000000002</v>
      </c>
      <c r="J60">
        <v>0</v>
      </c>
      <c r="K60">
        <v>0</v>
      </c>
      <c r="T60">
        <v>734.22</v>
      </c>
      <c r="U60">
        <v>570.83000000000004</v>
      </c>
      <c r="V60">
        <v>654.99</v>
      </c>
      <c r="W60">
        <v>3097</v>
      </c>
      <c r="AC60">
        <f>SUMPRODUCT(DB_SOFProject[[#This Row],[Plan01]:[Plan12]],$E$4:$P$4)/valUnits2</f>
        <v>1.3156550000000002</v>
      </c>
      <c r="AD60">
        <f>SUMPRODUCT(DB_SOFProject[[#This Row],[Act01]:[Act12]],$Q$4:$AB$4)/valUnits2</f>
        <v>1.9600400000000002</v>
      </c>
      <c r="AE60">
        <f>DB_SOFProject[[#This Row],[Actual]]-DB_SOFProject[[#This Row],[Plan]]</f>
        <v>0.64438499999999999</v>
      </c>
      <c r="AF60" s="32">
        <f>IF(DB_SOFProject[[#This Row],[Plan]]&lt;&gt;0,DB_SOFProject[[#This Row],[Actual]]/DB_SOFProject[[#This Row],[Plan]],1.000011000011)</f>
        <v>1.4897826557874214</v>
      </c>
      <c r="AG60" s="34">
        <f>SUM(DB_SOFProject[[#This Row],[Plan01]:[Plan12]])/valUnits2</f>
        <v>1.3156550000000002</v>
      </c>
      <c r="AH60" s="34">
        <f>SUMPRODUCT(DB_SOFProject[[#This Row],[Act01]:[Act12]],$Q$3:$AB$3)/valUnits2</f>
        <v>1.9600400000000002</v>
      </c>
    </row>
    <row r="61" spans="2:34" x14ac:dyDescent="0.2">
      <c r="B61" t="s">
        <v>489</v>
      </c>
      <c r="C61" t="s">
        <v>842</v>
      </c>
      <c r="D61" t="s">
        <v>999</v>
      </c>
      <c r="E61">
        <v>0</v>
      </c>
      <c r="F61">
        <v>0</v>
      </c>
      <c r="G61">
        <v>0</v>
      </c>
      <c r="H61">
        <v>0</v>
      </c>
      <c r="I61">
        <v>1287.8109999999999</v>
      </c>
      <c r="J61">
        <v>374.988</v>
      </c>
      <c r="K61">
        <v>374.988</v>
      </c>
      <c r="L61">
        <v>374.988</v>
      </c>
      <c r="M61">
        <v>374.988</v>
      </c>
      <c r="N61">
        <v>374.988</v>
      </c>
      <c r="O61">
        <v>374.988</v>
      </c>
      <c r="P61">
        <v>374.988</v>
      </c>
      <c r="Q61">
        <v>0</v>
      </c>
      <c r="R61">
        <v>0</v>
      </c>
      <c r="S61">
        <v>0</v>
      </c>
      <c r="T61">
        <v>0</v>
      </c>
      <c r="U61">
        <v>1272.2</v>
      </c>
      <c r="V61">
        <v>2168.92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f>SUMPRODUCT(DB_SOFProject[[#This Row],[Plan01]:[Plan12]],$E$4:$P$4)/valUnits2</f>
        <v>1.6627989999999999</v>
      </c>
      <c r="AD61">
        <f>SUMPRODUCT(DB_SOFProject[[#This Row],[Act01]:[Act12]],$Q$4:$AB$4)/valUnits2</f>
        <v>3.4411199999999997</v>
      </c>
      <c r="AE61">
        <f>DB_SOFProject[[#This Row],[Actual]]-DB_SOFProject[[#This Row],[Plan]]</f>
        <v>1.7783209999999998</v>
      </c>
      <c r="AF61" s="32">
        <f>IF(DB_SOFProject[[#This Row],[Plan]]&lt;&gt;0,DB_SOFProject[[#This Row],[Actual]]/DB_SOFProject[[#This Row],[Plan]],1.000011000011)</f>
        <v>2.0694744223444927</v>
      </c>
      <c r="AG61" s="34">
        <f>SUM(DB_SOFProject[[#This Row],[Plan01]:[Plan12]])/valUnits2</f>
        <v>3.9127269999999994</v>
      </c>
      <c r="AH61" s="34">
        <f>SUMPRODUCT(DB_SOFProject[[#This Row],[Act01]:[Act12]],$Q$3:$AB$3)/valUnits2</f>
        <v>3.4411199999999997</v>
      </c>
    </row>
    <row r="62" spans="2:34" x14ac:dyDescent="0.2">
      <c r="B62" t="s">
        <v>489</v>
      </c>
      <c r="C62" t="s">
        <v>843</v>
      </c>
      <c r="D62" t="s">
        <v>946</v>
      </c>
      <c r="H62">
        <v>0</v>
      </c>
      <c r="I62">
        <v>0</v>
      </c>
      <c r="J62">
        <v>879.74599999999998</v>
      </c>
      <c r="K62">
        <v>879.74599999999998</v>
      </c>
      <c r="L62">
        <v>879.74599999999998</v>
      </c>
      <c r="M62">
        <v>879.74599999999998</v>
      </c>
      <c r="N62">
        <v>879.74599999999998</v>
      </c>
      <c r="O62">
        <v>879.74599999999998</v>
      </c>
      <c r="P62">
        <v>879.74599999999998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f>SUMPRODUCT(DB_SOFProject[[#This Row],[Plan01]:[Plan12]],$E$4:$P$4)/valUnits2</f>
        <v>0.87974600000000003</v>
      </c>
      <c r="AD62">
        <f>SUMPRODUCT(DB_SOFProject[[#This Row],[Act01]:[Act12]],$Q$4:$AB$4)/valUnits2</f>
        <v>0</v>
      </c>
      <c r="AE62">
        <f>DB_SOFProject[[#This Row],[Actual]]-DB_SOFProject[[#This Row],[Plan]]</f>
        <v>-0.87974600000000003</v>
      </c>
      <c r="AF62" s="32">
        <f>IF(DB_SOFProject[[#This Row],[Plan]]&lt;&gt;0,DB_SOFProject[[#This Row],[Actual]]/DB_SOFProject[[#This Row],[Plan]],1.000011000011)</f>
        <v>0</v>
      </c>
      <c r="AG62" s="34">
        <f>SUM(DB_SOFProject[[#This Row],[Plan01]:[Plan12]])/valUnits2</f>
        <v>6.1582219999999994</v>
      </c>
      <c r="AH62" s="34">
        <f>SUMPRODUCT(DB_SOFProject[[#This Row],[Act01]:[Act12]],$Q$3:$AB$3)/valUnits2</f>
        <v>0</v>
      </c>
    </row>
    <row r="63" spans="2:34" x14ac:dyDescent="0.2">
      <c r="B63" t="s">
        <v>489</v>
      </c>
      <c r="C63" t="s">
        <v>843</v>
      </c>
      <c r="D63" t="s">
        <v>947</v>
      </c>
      <c r="I63">
        <v>584.17899999999997</v>
      </c>
      <c r="J63">
        <v>0</v>
      </c>
      <c r="U63">
        <v>577.24</v>
      </c>
      <c r="V63">
        <v>447.12</v>
      </c>
      <c r="AC63">
        <f>SUMPRODUCT(DB_SOFProject[[#This Row],[Plan01]:[Plan12]],$E$4:$P$4)/valUnits2</f>
        <v>0.584179</v>
      </c>
      <c r="AD63">
        <f>SUMPRODUCT(DB_SOFProject[[#This Row],[Act01]:[Act12]],$Q$4:$AB$4)/valUnits2</f>
        <v>1.0243600000000002</v>
      </c>
      <c r="AE63">
        <f>DB_SOFProject[[#This Row],[Actual]]-DB_SOFProject[[#This Row],[Plan]]</f>
        <v>0.44018100000000016</v>
      </c>
      <c r="AF63" s="32">
        <f>IF(DB_SOFProject[[#This Row],[Plan]]&lt;&gt;0,DB_SOFProject[[#This Row],[Actual]]/DB_SOFProject[[#This Row],[Plan]],1.000011000011)</f>
        <v>1.7535036350159801</v>
      </c>
      <c r="AG63" s="34">
        <f>SUM(DB_SOFProject[[#This Row],[Plan01]:[Plan12]])/valUnits2</f>
        <v>0.584179</v>
      </c>
      <c r="AH63" s="34">
        <f>SUMPRODUCT(DB_SOFProject[[#This Row],[Act01]:[Act12]],$Q$3:$AB$3)/valUnits2</f>
        <v>1.0243600000000002</v>
      </c>
    </row>
    <row r="64" spans="2:34" x14ac:dyDescent="0.2">
      <c r="B64" t="s">
        <v>489</v>
      </c>
      <c r="C64" t="s">
        <v>843</v>
      </c>
      <c r="D64" t="s">
        <v>959</v>
      </c>
      <c r="H64">
        <v>0</v>
      </c>
      <c r="I64">
        <v>0</v>
      </c>
      <c r="J64">
        <v>1759.4940000000001</v>
      </c>
      <c r="K64">
        <v>1759.4940000000001</v>
      </c>
      <c r="L64">
        <v>1759.4940000000001</v>
      </c>
      <c r="M64">
        <v>1759.4940000000001</v>
      </c>
      <c r="N64">
        <v>1759.4940000000001</v>
      </c>
      <c r="O64">
        <v>1759.4940000000001</v>
      </c>
      <c r="P64">
        <v>1759.4940000000001</v>
      </c>
      <c r="T64">
        <v>0</v>
      </c>
      <c r="U64">
        <v>0</v>
      </c>
      <c r="V64">
        <v>637.87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f>SUMPRODUCT(DB_SOFProject[[#This Row],[Plan01]:[Plan12]],$E$4:$P$4)/valUnits2</f>
        <v>1.7594940000000001</v>
      </c>
      <c r="AD64">
        <f>SUMPRODUCT(DB_SOFProject[[#This Row],[Act01]:[Act12]],$Q$4:$AB$4)/valUnits2</f>
        <v>0.63787000000000005</v>
      </c>
      <c r="AE64">
        <f>DB_SOFProject[[#This Row],[Actual]]-DB_SOFProject[[#This Row],[Plan]]</f>
        <v>-1.1216240000000002</v>
      </c>
      <c r="AF64" s="32">
        <f>IF(DB_SOFProject[[#This Row],[Plan]]&lt;&gt;0,DB_SOFProject[[#This Row],[Actual]]/DB_SOFProject[[#This Row],[Plan]],1.000011000011)</f>
        <v>0.36253036384324128</v>
      </c>
      <c r="AG64" s="34">
        <f>SUM(DB_SOFProject[[#This Row],[Plan01]:[Plan12]])/valUnits2</f>
        <v>12.316458000000003</v>
      </c>
      <c r="AH64" s="34">
        <f>SUMPRODUCT(DB_SOFProject[[#This Row],[Act01]:[Act12]],$Q$3:$AB$3)/valUnits2</f>
        <v>0.63787000000000005</v>
      </c>
    </row>
    <row r="65" spans="2:34" x14ac:dyDescent="0.2">
      <c r="B65" t="s">
        <v>489</v>
      </c>
      <c r="C65" t="s">
        <v>843</v>
      </c>
      <c r="D65" t="s">
        <v>975</v>
      </c>
      <c r="H65">
        <v>5758.6000000000013</v>
      </c>
      <c r="I65">
        <v>3681.4029999999998</v>
      </c>
      <c r="J65">
        <v>1187.6579999999999</v>
      </c>
      <c r="K65">
        <v>1187.6579999999999</v>
      </c>
      <c r="L65">
        <v>1187.6579999999999</v>
      </c>
      <c r="M65">
        <v>1187.6579999999999</v>
      </c>
      <c r="N65">
        <v>1187.6579999999999</v>
      </c>
      <c r="O65">
        <v>1187.6579999999999</v>
      </c>
      <c r="P65">
        <v>1187.6579999999999</v>
      </c>
      <c r="T65">
        <v>5772.58</v>
      </c>
      <c r="U65">
        <v>3674.6400000000003</v>
      </c>
      <c r="V65">
        <v>3447.58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f>SUMPRODUCT(DB_SOFProject[[#This Row],[Plan01]:[Plan12]],$E$4:$P$4)/valUnits2</f>
        <v>10.627661</v>
      </c>
      <c r="AD65">
        <f>SUMPRODUCT(DB_SOFProject[[#This Row],[Act01]:[Act12]],$Q$4:$AB$4)/valUnits2</f>
        <v>12.894800000000002</v>
      </c>
      <c r="AE65">
        <f>DB_SOFProject[[#This Row],[Actual]]-DB_SOFProject[[#This Row],[Plan]]</f>
        <v>2.267139000000002</v>
      </c>
      <c r="AF65" s="32">
        <f>IF(DB_SOFProject[[#This Row],[Plan]]&lt;&gt;0,DB_SOFProject[[#This Row],[Actual]]/DB_SOFProject[[#This Row],[Plan]],1.000011000011)</f>
        <v>1.2133243617763121</v>
      </c>
      <c r="AG65" s="34">
        <f>SUM(DB_SOFProject[[#This Row],[Plan01]:[Plan12]])/valUnits2</f>
        <v>17.753608999999997</v>
      </c>
      <c r="AH65" s="34">
        <f>SUMPRODUCT(DB_SOFProject[[#This Row],[Act01]:[Act12]],$Q$3:$AB$3)/valUnits2</f>
        <v>12.894800000000002</v>
      </c>
    </row>
    <row r="66" spans="2:34" x14ac:dyDescent="0.2">
      <c r="B66" t="s">
        <v>489</v>
      </c>
      <c r="C66" t="s">
        <v>843</v>
      </c>
      <c r="D66" t="s">
        <v>980</v>
      </c>
      <c r="H66">
        <v>0</v>
      </c>
      <c r="I66">
        <v>0</v>
      </c>
      <c r="J66">
        <v>879.74599999999998</v>
      </c>
      <c r="K66">
        <v>879.74599999999998</v>
      </c>
      <c r="L66">
        <v>879.74599999999998</v>
      </c>
      <c r="M66">
        <v>879.74599999999998</v>
      </c>
      <c r="N66">
        <v>879.74599999999998</v>
      </c>
      <c r="O66">
        <v>879.74599999999998</v>
      </c>
      <c r="P66">
        <v>879.74599999999998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f>SUMPRODUCT(DB_SOFProject[[#This Row],[Plan01]:[Plan12]],$E$4:$P$4)/valUnits2</f>
        <v>0.87974600000000003</v>
      </c>
      <c r="AD66">
        <f>SUMPRODUCT(DB_SOFProject[[#This Row],[Act01]:[Act12]],$Q$4:$AB$4)/valUnits2</f>
        <v>0</v>
      </c>
      <c r="AE66">
        <f>DB_SOFProject[[#This Row],[Actual]]-DB_SOFProject[[#This Row],[Plan]]</f>
        <v>-0.87974600000000003</v>
      </c>
      <c r="AF66" s="32">
        <f>IF(DB_SOFProject[[#This Row],[Plan]]&lt;&gt;0,DB_SOFProject[[#This Row],[Actual]]/DB_SOFProject[[#This Row],[Plan]],1.000011000011)</f>
        <v>0</v>
      </c>
      <c r="AG66" s="34">
        <f>SUM(DB_SOFProject[[#This Row],[Plan01]:[Plan12]])/valUnits2</f>
        <v>6.1582219999999994</v>
      </c>
      <c r="AH66" s="34">
        <f>SUMPRODUCT(DB_SOFProject[[#This Row],[Act01]:[Act12]],$Q$3:$AB$3)/valUnits2</f>
        <v>0</v>
      </c>
    </row>
    <row r="67" spans="2:34" x14ac:dyDescent="0.2">
      <c r="B67" t="s">
        <v>489</v>
      </c>
      <c r="C67" t="s">
        <v>843</v>
      </c>
      <c r="D67" t="s">
        <v>999</v>
      </c>
      <c r="H67">
        <v>4022.5070000000001</v>
      </c>
      <c r="I67">
        <v>6886.0330000000004</v>
      </c>
      <c r="J67">
        <v>879.74599999999998</v>
      </c>
      <c r="K67">
        <v>879.74599999999998</v>
      </c>
      <c r="L67">
        <v>879.74599999999998</v>
      </c>
      <c r="M67">
        <v>879.74599999999998</v>
      </c>
      <c r="N67">
        <v>879.74599999999998</v>
      </c>
      <c r="O67">
        <v>879.74599999999998</v>
      </c>
      <c r="P67">
        <v>879.74599999999998</v>
      </c>
      <c r="T67">
        <v>4026.44</v>
      </c>
      <c r="U67">
        <v>6953.75</v>
      </c>
      <c r="V67">
        <v>2400.9299999999998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f>SUMPRODUCT(DB_SOFProject[[#This Row],[Plan01]:[Plan12]],$E$4:$P$4)/valUnits2</f>
        <v>11.788285999999999</v>
      </c>
      <c r="AD67">
        <f>SUMPRODUCT(DB_SOFProject[[#This Row],[Act01]:[Act12]],$Q$4:$AB$4)/valUnits2</f>
        <v>13.381120000000001</v>
      </c>
      <c r="AE67">
        <f>DB_SOFProject[[#This Row],[Actual]]-DB_SOFProject[[#This Row],[Plan]]</f>
        <v>1.5928340000000016</v>
      </c>
      <c r="AF67" s="32">
        <f>IF(DB_SOFProject[[#This Row],[Plan]]&lt;&gt;0,DB_SOFProject[[#This Row],[Actual]]/DB_SOFProject[[#This Row],[Plan]],1.000011000011)</f>
        <v>1.1351200674975142</v>
      </c>
      <c r="AG67" s="34">
        <f>SUM(DB_SOFProject[[#This Row],[Plan01]:[Plan12]])/valUnits2</f>
        <v>17.066761999999994</v>
      </c>
      <c r="AH67" s="34">
        <f>SUMPRODUCT(DB_SOFProject[[#This Row],[Act01]:[Act12]],$Q$3:$AB$3)/valUnits2</f>
        <v>13.381120000000001</v>
      </c>
    </row>
    <row r="68" spans="2:34" x14ac:dyDescent="0.2">
      <c r="B68" t="s">
        <v>489</v>
      </c>
      <c r="C68" t="s">
        <v>845</v>
      </c>
      <c r="D68" t="s">
        <v>984</v>
      </c>
      <c r="J68">
        <v>0</v>
      </c>
      <c r="V68">
        <v>247.09</v>
      </c>
      <c r="AC68">
        <f>SUMPRODUCT(DB_SOFProject[[#This Row],[Plan01]:[Plan12]],$E$4:$P$4)/valUnits2</f>
        <v>0</v>
      </c>
      <c r="AD68">
        <f>SUMPRODUCT(DB_SOFProject[[#This Row],[Act01]:[Act12]],$Q$4:$AB$4)/valUnits2</f>
        <v>0.24709</v>
      </c>
      <c r="AE68">
        <f>DB_SOFProject[[#This Row],[Actual]]-DB_SOFProject[[#This Row],[Plan]]</f>
        <v>0.24709</v>
      </c>
      <c r="AF68" s="32">
        <f>IF(DB_SOFProject[[#This Row],[Plan]]&lt;&gt;0,DB_SOFProject[[#This Row],[Actual]]/DB_SOFProject[[#This Row],[Plan]],1.000011000011)</f>
        <v>1.0000110000110001</v>
      </c>
      <c r="AG68" s="34">
        <f>SUM(DB_SOFProject[[#This Row],[Plan01]:[Plan12]])/valUnits2</f>
        <v>0</v>
      </c>
      <c r="AH68" s="34">
        <f>SUMPRODUCT(DB_SOFProject[[#This Row],[Act01]:[Act12]],$Q$3:$AB$3)/valUnits2</f>
        <v>0.24709</v>
      </c>
    </row>
    <row r="69" spans="2:34" x14ac:dyDescent="0.2">
      <c r="B69" t="s">
        <v>489</v>
      </c>
      <c r="C69" t="s">
        <v>357</v>
      </c>
      <c r="D69" t="s">
        <v>959</v>
      </c>
      <c r="H69">
        <v>0</v>
      </c>
      <c r="I69">
        <v>0</v>
      </c>
      <c r="J69">
        <v>78.599999999999994</v>
      </c>
      <c r="T69">
        <v>0</v>
      </c>
      <c r="U69">
        <v>0</v>
      </c>
      <c r="V69">
        <v>0</v>
      </c>
      <c r="AC69">
        <f>SUMPRODUCT(DB_SOFProject[[#This Row],[Plan01]:[Plan12]],$E$4:$P$4)/valUnits2</f>
        <v>7.8599999999999989E-2</v>
      </c>
      <c r="AD69">
        <f>SUMPRODUCT(DB_SOFProject[[#This Row],[Act01]:[Act12]],$Q$4:$AB$4)/valUnits2</f>
        <v>0</v>
      </c>
      <c r="AE69">
        <f>DB_SOFProject[[#This Row],[Actual]]-DB_SOFProject[[#This Row],[Plan]]</f>
        <v>-7.8599999999999989E-2</v>
      </c>
      <c r="AF69" s="32">
        <f>IF(DB_SOFProject[[#This Row],[Plan]]&lt;&gt;0,DB_SOFProject[[#This Row],[Actual]]/DB_SOFProject[[#This Row],[Plan]],1.000011000011)</f>
        <v>0</v>
      </c>
      <c r="AG69" s="34">
        <f>SUM(DB_SOFProject[[#This Row],[Plan01]:[Plan12]])/valUnits2</f>
        <v>7.8599999999999989E-2</v>
      </c>
      <c r="AH69" s="34">
        <f>SUMPRODUCT(DB_SOFProject[[#This Row],[Act01]:[Act12]],$Q$3:$AB$3)/valUnits2</f>
        <v>0</v>
      </c>
    </row>
    <row r="70" spans="2:34" x14ac:dyDescent="0.2">
      <c r="B70" t="s">
        <v>489</v>
      </c>
      <c r="C70" t="s">
        <v>357</v>
      </c>
      <c r="D70" t="s">
        <v>975</v>
      </c>
      <c r="F70">
        <v>42.879999999999995</v>
      </c>
      <c r="G70">
        <v>45.81</v>
      </c>
      <c r="H70">
        <v>140.63</v>
      </c>
      <c r="I70">
        <v>179.32999999999998</v>
      </c>
      <c r="J70">
        <v>304.37200000000001</v>
      </c>
      <c r="R70">
        <v>42.879999999999995</v>
      </c>
      <c r="S70">
        <v>45.81</v>
      </c>
      <c r="T70">
        <v>140.63</v>
      </c>
      <c r="U70">
        <v>179.75</v>
      </c>
      <c r="V70">
        <v>152.38000000000002</v>
      </c>
      <c r="AC70">
        <f>SUMPRODUCT(DB_SOFProject[[#This Row],[Plan01]:[Plan12]],$E$4:$P$4)/valUnits2</f>
        <v>0.71302199999999993</v>
      </c>
      <c r="AD70">
        <f>SUMPRODUCT(DB_SOFProject[[#This Row],[Act01]:[Act12]],$Q$4:$AB$4)/valUnits2</f>
        <v>0.56145</v>
      </c>
      <c r="AE70">
        <f>DB_SOFProject[[#This Row],[Actual]]-DB_SOFProject[[#This Row],[Plan]]</f>
        <v>-0.15157199999999993</v>
      </c>
      <c r="AF70" s="32">
        <f>IF(DB_SOFProject[[#This Row],[Plan]]&lt;&gt;0,DB_SOFProject[[#This Row],[Actual]]/DB_SOFProject[[#This Row],[Plan]],1.000011000011)</f>
        <v>0.78742310896437984</v>
      </c>
      <c r="AG70" s="34">
        <f>SUM(DB_SOFProject[[#This Row],[Plan01]:[Plan12]])/valUnits2</f>
        <v>0.71302199999999993</v>
      </c>
      <c r="AH70" s="34">
        <f>SUMPRODUCT(DB_SOFProject[[#This Row],[Act01]:[Act12]],$Q$3:$AB$3)/valUnits2</f>
        <v>0.56145</v>
      </c>
    </row>
    <row r="71" spans="2:34" x14ac:dyDescent="0.2">
      <c r="B71" t="s">
        <v>489</v>
      </c>
      <c r="C71" t="s">
        <v>357</v>
      </c>
      <c r="D71" t="s">
        <v>999</v>
      </c>
      <c r="H71">
        <v>0</v>
      </c>
      <c r="I71">
        <v>0</v>
      </c>
      <c r="J71">
        <v>78.599999999999994</v>
      </c>
      <c r="T71">
        <v>0</v>
      </c>
      <c r="U71">
        <v>0</v>
      </c>
      <c r="V71">
        <v>0</v>
      </c>
      <c r="AC71">
        <f>SUMPRODUCT(DB_SOFProject[[#This Row],[Plan01]:[Plan12]],$E$4:$P$4)/valUnits2</f>
        <v>7.8599999999999989E-2</v>
      </c>
      <c r="AD71">
        <f>SUMPRODUCT(DB_SOFProject[[#This Row],[Act01]:[Act12]],$Q$4:$AB$4)/valUnits2</f>
        <v>0</v>
      </c>
      <c r="AE71">
        <f>DB_SOFProject[[#This Row],[Actual]]-DB_SOFProject[[#This Row],[Plan]]</f>
        <v>-7.8599999999999989E-2</v>
      </c>
      <c r="AF71" s="32">
        <f>IF(DB_SOFProject[[#This Row],[Plan]]&lt;&gt;0,DB_SOFProject[[#This Row],[Actual]]/DB_SOFProject[[#This Row],[Plan]],1.000011000011)</f>
        <v>0</v>
      </c>
      <c r="AG71" s="34">
        <f>SUM(DB_SOFProject[[#This Row],[Plan01]:[Plan12]])/valUnits2</f>
        <v>7.8599999999999989E-2</v>
      </c>
      <c r="AH71" s="34">
        <f>SUMPRODUCT(DB_SOFProject[[#This Row],[Act01]:[Act12]],$Q$3:$AB$3)/valUnits2</f>
        <v>0</v>
      </c>
    </row>
    <row r="72" spans="2:34" x14ac:dyDescent="0.2">
      <c r="B72" t="s">
        <v>489</v>
      </c>
      <c r="C72" t="s">
        <v>846</v>
      </c>
      <c r="D72" t="s">
        <v>975</v>
      </c>
      <c r="E72">
        <v>0</v>
      </c>
      <c r="F72">
        <v>0</v>
      </c>
      <c r="G72">
        <v>0</v>
      </c>
      <c r="H72">
        <v>206.8</v>
      </c>
      <c r="I72">
        <v>70.69</v>
      </c>
      <c r="J72">
        <v>73.546999999999997</v>
      </c>
      <c r="K72">
        <v>73.546999999999997</v>
      </c>
      <c r="L72">
        <v>73.546999999999997</v>
      </c>
      <c r="M72">
        <v>73.546999999999997</v>
      </c>
      <c r="N72">
        <v>73.546999999999997</v>
      </c>
      <c r="O72">
        <v>73.546999999999997</v>
      </c>
      <c r="P72">
        <v>73.546999999999997</v>
      </c>
      <c r="Q72">
        <v>0</v>
      </c>
      <c r="R72">
        <v>0</v>
      </c>
      <c r="S72">
        <v>0</v>
      </c>
      <c r="T72">
        <v>206.79999999999998</v>
      </c>
      <c r="U72">
        <v>71</v>
      </c>
      <c r="V72">
        <v>76.41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f>SUMPRODUCT(DB_SOFProject[[#This Row],[Plan01]:[Plan12]],$E$4:$P$4)/valUnits2</f>
        <v>0.35103700000000004</v>
      </c>
      <c r="AD72">
        <f>SUMPRODUCT(DB_SOFProject[[#This Row],[Act01]:[Act12]],$Q$4:$AB$4)/valUnits2</f>
        <v>0.35420999999999991</v>
      </c>
      <c r="AE72">
        <f>DB_SOFProject[[#This Row],[Actual]]-DB_SOFProject[[#This Row],[Plan]]</f>
        <v>3.1729999999998704E-3</v>
      </c>
      <c r="AF72" s="32">
        <f>IF(DB_SOFProject[[#This Row],[Plan]]&lt;&gt;0,DB_SOFProject[[#This Row],[Actual]]/DB_SOFProject[[#This Row],[Plan]],1.000011000011)</f>
        <v>1.0090389332178655</v>
      </c>
      <c r="AG72" s="34">
        <f>SUM(DB_SOFProject[[#This Row],[Plan01]:[Plan12]])/valUnits2</f>
        <v>0.79231900000000022</v>
      </c>
      <c r="AH72" s="34">
        <f>SUMPRODUCT(DB_SOFProject[[#This Row],[Act01]:[Act12]],$Q$3:$AB$3)/valUnits2</f>
        <v>0.35420999999999991</v>
      </c>
    </row>
    <row r="73" spans="2:34" x14ac:dyDescent="0.2">
      <c r="B73" t="s">
        <v>489</v>
      </c>
      <c r="C73" t="s">
        <v>846</v>
      </c>
      <c r="D73" t="s">
        <v>976</v>
      </c>
      <c r="E73">
        <v>0</v>
      </c>
      <c r="F73">
        <v>0</v>
      </c>
      <c r="G73">
        <v>0</v>
      </c>
      <c r="H73">
        <v>0</v>
      </c>
      <c r="I73">
        <v>0</v>
      </c>
      <c r="J73">
        <v>36.899000000000001</v>
      </c>
      <c r="K73">
        <v>36.899000000000001</v>
      </c>
      <c r="L73">
        <v>36.899000000000001</v>
      </c>
      <c r="M73">
        <v>36.899000000000001</v>
      </c>
      <c r="N73">
        <v>36.899000000000001</v>
      </c>
      <c r="O73">
        <v>36.899000000000001</v>
      </c>
      <c r="P73">
        <v>36.899000000000001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f>SUMPRODUCT(DB_SOFProject[[#This Row],[Plan01]:[Plan12]],$E$4:$P$4)/valUnits2</f>
        <v>3.6899000000000001E-2</v>
      </c>
      <c r="AD73">
        <f>SUMPRODUCT(DB_SOFProject[[#This Row],[Act01]:[Act12]],$Q$4:$AB$4)/valUnits2</f>
        <v>0</v>
      </c>
      <c r="AE73">
        <f>DB_SOFProject[[#This Row],[Actual]]-DB_SOFProject[[#This Row],[Plan]]</f>
        <v>-3.6899000000000001E-2</v>
      </c>
      <c r="AF73" s="32">
        <f>IF(DB_SOFProject[[#This Row],[Plan]]&lt;&gt;0,DB_SOFProject[[#This Row],[Actual]]/DB_SOFProject[[#This Row],[Plan]],1.000011000011)</f>
        <v>0</v>
      </c>
      <c r="AG73" s="34">
        <f>SUM(DB_SOFProject[[#This Row],[Plan01]:[Plan12]])/valUnits2</f>
        <v>0.25829299999999999</v>
      </c>
      <c r="AH73" s="34">
        <f>SUMPRODUCT(DB_SOFProject[[#This Row],[Act01]:[Act12]],$Q$3:$AB$3)/valUnits2</f>
        <v>0</v>
      </c>
    </row>
    <row r="74" spans="2:34" x14ac:dyDescent="0.2">
      <c r="B74" t="s">
        <v>489</v>
      </c>
      <c r="C74" t="s">
        <v>846</v>
      </c>
      <c r="D74" t="s">
        <v>980</v>
      </c>
      <c r="E74">
        <v>0</v>
      </c>
      <c r="F74">
        <v>0</v>
      </c>
      <c r="G74">
        <v>0</v>
      </c>
      <c r="H74">
        <v>0</v>
      </c>
      <c r="I74">
        <v>0</v>
      </c>
      <c r="J74">
        <v>61.297000000000004</v>
      </c>
      <c r="K74">
        <v>61.297000000000004</v>
      </c>
      <c r="L74">
        <v>61.297000000000004</v>
      </c>
      <c r="M74">
        <v>61.297000000000004</v>
      </c>
      <c r="N74">
        <v>61.297000000000004</v>
      </c>
      <c r="O74">
        <v>61.297000000000004</v>
      </c>
      <c r="P74">
        <v>61.297000000000004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f>SUMPRODUCT(DB_SOFProject[[#This Row],[Plan01]:[Plan12]],$E$4:$P$4)/valUnits2</f>
        <v>6.1297000000000004E-2</v>
      </c>
      <c r="AD74">
        <f>SUMPRODUCT(DB_SOFProject[[#This Row],[Act01]:[Act12]],$Q$4:$AB$4)/valUnits2</f>
        <v>0</v>
      </c>
      <c r="AE74">
        <f>DB_SOFProject[[#This Row],[Actual]]-DB_SOFProject[[#This Row],[Plan]]</f>
        <v>-6.1297000000000004E-2</v>
      </c>
      <c r="AF74" s="32">
        <f>IF(DB_SOFProject[[#This Row],[Plan]]&lt;&gt;0,DB_SOFProject[[#This Row],[Actual]]/DB_SOFProject[[#This Row],[Plan]],1.000011000011)</f>
        <v>0</v>
      </c>
      <c r="AG74" s="34">
        <f>SUM(DB_SOFProject[[#This Row],[Plan01]:[Plan12]])/valUnits2</f>
        <v>0.42907900000000004</v>
      </c>
      <c r="AH74" s="34">
        <f>SUMPRODUCT(DB_SOFProject[[#This Row],[Act01]:[Act12]],$Q$3:$AB$3)/valUnits2</f>
        <v>0</v>
      </c>
    </row>
    <row r="75" spans="2:34" x14ac:dyDescent="0.2">
      <c r="B75" t="s">
        <v>489</v>
      </c>
      <c r="C75" t="s">
        <v>846</v>
      </c>
      <c r="D75" t="s">
        <v>999</v>
      </c>
      <c r="E75">
        <v>0</v>
      </c>
      <c r="F75">
        <v>0</v>
      </c>
      <c r="G75">
        <v>0</v>
      </c>
      <c r="H75">
        <v>0</v>
      </c>
      <c r="I75">
        <v>0</v>
      </c>
      <c r="J75">
        <v>186.34700000000001</v>
      </c>
      <c r="K75">
        <v>186.34700000000001</v>
      </c>
      <c r="L75">
        <v>186.34700000000001</v>
      </c>
      <c r="M75">
        <v>186.34700000000001</v>
      </c>
      <c r="N75">
        <v>186.34700000000001</v>
      </c>
      <c r="O75">
        <v>186.34700000000001</v>
      </c>
      <c r="P75">
        <v>186.34700000000001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f>SUMPRODUCT(DB_SOFProject[[#This Row],[Plan01]:[Plan12]],$E$4:$P$4)/valUnits2</f>
        <v>0.18634700000000001</v>
      </c>
      <c r="AD75">
        <f>SUMPRODUCT(DB_SOFProject[[#This Row],[Act01]:[Act12]],$Q$4:$AB$4)/valUnits2</f>
        <v>0</v>
      </c>
      <c r="AE75">
        <f>DB_SOFProject[[#This Row],[Actual]]-DB_SOFProject[[#This Row],[Plan]]</f>
        <v>-0.18634700000000001</v>
      </c>
      <c r="AF75" s="32">
        <f>IF(DB_SOFProject[[#This Row],[Plan]]&lt;&gt;0,DB_SOFProject[[#This Row],[Actual]]/DB_SOFProject[[#This Row],[Plan]],1.000011000011)</f>
        <v>0</v>
      </c>
      <c r="AG75" s="34">
        <f>SUM(DB_SOFProject[[#This Row],[Plan01]:[Plan12]])/valUnits2</f>
        <v>1.3044290000000001</v>
      </c>
      <c r="AH75" s="34">
        <f>SUMPRODUCT(DB_SOFProject[[#This Row],[Act01]:[Act12]],$Q$3:$AB$3)/valUnits2</f>
        <v>0</v>
      </c>
    </row>
    <row r="76" spans="2:34" x14ac:dyDescent="0.2">
      <c r="B76" t="s">
        <v>489</v>
      </c>
      <c r="C76" t="s">
        <v>847</v>
      </c>
      <c r="D76" t="s">
        <v>975</v>
      </c>
      <c r="I76">
        <v>997.62900000000002</v>
      </c>
      <c r="J76">
        <v>0</v>
      </c>
      <c r="U76">
        <v>1020.8899999999999</v>
      </c>
      <c r="V76">
        <v>105.59000000000002</v>
      </c>
      <c r="AC76">
        <f>SUMPRODUCT(DB_SOFProject[[#This Row],[Plan01]:[Plan12]],$E$4:$P$4)/valUnits2</f>
        <v>0.99762899999999999</v>
      </c>
      <c r="AD76">
        <f>SUMPRODUCT(DB_SOFProject[[#This Row],[Act01]:[Act12]],$Q$4:$AB$4)/valUnits2</f>
        <v>1.1264799999999997</v>
      </c>
      <c r="AE76">
        <f>DB_SOFProject[[#This Row],[Actual]]-DB_SOFProject[[#This Row],[Plan]]</f>
        <v>0.12885099999999972</v>
      </c>
      <c r="AF76" s="32">
        <f>IF(DB_SOFProject[[#This Row],[Plan]]&lt;&gt;0,DB_SOFProject[[#This Row],[Actual]]/DB_SOFProject[[#This Row],[Plan]],1.000011000011)</f>
        <v>1.1291572317965894</v>
      </c>
      <c r="AG76" s="34">
        <f>SUM(DB_SOFProject[[#This Row],[Plan01]:[Plan12]])/valUnits2</f>
        <v>0.99762899999999999</v>
      </c>
      <c r="AH76" s="34">
        <f>SUMPRODUCT(DB_SOFProject[[#This Row],[Act01]:[Act12]],$Q$3:$AB$3)/valUnits2</f>
        <v>1.1264799999999997</v>
      </c>
    </row>
    <row r="77" spans="2:34" x14ac:dyDescent="0.2">
      <c r="B77" t="s">
        <v>489</v>
      </c>
      <c r="C77" t="s">
        <v>847</v>
      </c>
      <c r="D77" t="s">
        <v>999</v>
      </c>
      <c r="I77">
        <v>2107.2779999999998</v>
      </c>
      <c r="J77">
        <v>0</v>
      </c>
      <c r="U77">
        <v>2167.4</v>
      </c>
      <c r="V77">
        <v>-1056.29</v>
      </c>
      <c r="AC77">
        <f>SUMPRODUCT(DB_SOFProject[[#This Row],[Plan01]:[Plan12]],$E$4:$P$4)/valUnits2</f>
        <v>2.107278</v>
      </c>
      <c r="AD77">
        <f>SUMPRODUCT(DB_SOFProject[[#This Row],[Act01]:[Act12]],$Q$4:$AB$4)/valUnits2</f>
        <v>1.11111</v>
      </c>
      <c r="AE77">
        <f>DB_SOFProject[[#This Row],[Actual]]-DB_SOFProject[[#This Row],[Plan]]</f>
        <v>-0.99616799999999994</v>
      </c>
      <c r="AF77" s="32">
        <f>IF(DB_SOFProject[[#This Row],[Plan]]&lt;&gt;0,DB_SOFProject[[#This Row],[Actual]]/DB_SOFProject[[#This Row],[Plan]],1.000011000011)</f>
        <v>0.52727262373545403</v>
      </c>
      <c r="AG77" s="34">
        <f>SUM(DB_SOFProject[[#This Row],[Plan01]:[Plan12]])/valUnits2</f>
        <v>2.107278</v>
      </c>
      <c r="AH77" s="34">
        <f>SUMPRODUCT(DB_SOFProject[[#This Row],[Act01]:[Act12]],$Q$3:$AB$3)/valUnits2</f>
        <v>1.11111</v>
      </c>
    </row>
    <row r="78" spans="2:34" x14ac:dyDescent="0.2">
      <c r="B78" t="s">
        <v>489</v>
      </c>
      <c r="C78" t="s">
        <v>848</v>
      </c>
      <c r="D78" t="s">
        <v>959</v>
      </c>
      <c r="H78">
        <v>582.07600000000002</v>
      </c>
      <c r="I78">
        <v>0</v>
      </c>
      <c r="T78">
        <v>576.66999999999996</v>
      </c>
      <c r="U78">
        <v>0</v>
      </c>
      <c r="AC78">
        <f>SUMPRODUCT(DB_SOFProject[[#This Row],[Plan01]:[Plan12]],$E$4:$P$4)/valUnits2</f>
        <v>0.58207600000000004</v>
      </c>
      <c r="AD78">
        <f>SUMPRODUCT(DB_SOFProject[[#This Row],[Act01]:[Act12]],$Q$4:$AB$4)/valUnits2</f>
        <v>0.5766699999999999</v>
      </c>
      <c r="AE78">
        <f>DB_SOFProject[[#This Row],[Actual]]-DB_SOFProject[[#This Row],[Plan]]</f>
        <v>-5.4060000000001329E-3</v>
      </c>
      <c r="AF78" s="32">
        <f>IF(DB_SOFProject[[#This Row],[Plan]]&lt;&gt;0,DB_SOFProject[[#This Row],[Actual]]/DB_SOFProject[[#This Row],[Plan]],1.000011000011)</f>
        <v>0.99071255299995165</v>
      </c>
      <c r="AG78" s="34">
        <f>SUM(DB_SOFProject[[#This Row],[Plan01]:[Plan12]])/valUnits2</f>
        <v>0.58207600000000004</v>
      </c>
      <c r="AH78" s="34">
        <f>SUMPRODUCT(DB_SOFProject[[#This Row],[Act01]:[Act12]],$Q$3:$AB$3)/valUnits2</f>
        <v>0.5766699999999999</v>
      </c>
    </row>
    <row r="79" spans="2:34" x14ac:dyDescent="0.2">
      <c r="B79" t="s">
        <v>489</v>
      </c>
      <c r="C79" t="s">
        <v>849</v>
      </c>
      <c r="D79" t="s">
        <v>946</v>
      </c>
      <c r="H79">
        <v>0</v>
      </c>
      <c r="I79">
        <v>0</v>
      </c>
      <c r="T79">
        <v>0</v>
      </c>
      <c r="U79">
        <v>0</v>
      </c>
      <c r="AC79">
        <f>SUMPRODUCT(DB_SOFProject[[#This Row],[Plan01]:[Plan12]],$E$4:$P$4)/valUnits2</f>
        <v>0</v>
      </c>
      <c r="AD79">
        <f>SUMPRODUCT(DB_SOFProject[[#This Row],[Act01]:[Act12]],$Q$4:$AB$4)/valUnits2</f>
        <v>0</v>
      </c>
      <c r="AE79">
        <f>DB_SOFProject[[#This Row],[Actual]]-DB_SOFProject[[#This Row],[Plan]]</f>
        <v>0</v>
      </c>
      <c r="AF79" s="32">
        <f>IF(DB_SOFProject[[#This Row],[Plan]]&lt;&gt;0,DB_SOFProject[[#This Row],[Actual]]/DB_SOFProject[[#This Row],[Plan]],1.000011000011)</f>
        <v>1.0000110000110001</v>
      </c>
      <c r="AG79" s="34">
        <f>SUM(DB_SOFProject[[#This Row],[Plan01]:[Plan12]])/valUnits2</f>
        <v>0</v>
      </c>
      <c r="AH79" s="34">
        <f>SUMPRODUCT(DB_SOFProject[[#This Row],[Act01]:[Act12]],$Q$3:$AB$3)/valUnits2</f>
        <v>0</v>
      </c>
    </row>
    <row r="80" spans="2:34" x14ac:dyDescent="0.2">
      <c r="B80" t="s">
        <v>489</v>
      </c>
      <c r="C80" t="s">
        <v>849</v>
      </c>
      <c r="D80" t="s">
        <v>959</v>
      </c>
      <c r="H80">
        <v>0</v>
      </c>
      <c r="I80">
        <v>0</v>
      </c>
      <c r="T80">
        <v>0</v>
      </c>
      <c r="U80">
        <v>0</v>
      </c>
      <c r="AC80">
        <f>SUMPRODUCT(DB_SOFProject[[#This Row],[Plan01]:[Plan12]],$E$4:$P$4)/valUnits2</f>
        <v>0</v>
      </c>
      <c r="AD80">
        <f>SUMPRODUCT(DB_SOFProject[[#This Row],[Act01]:[Act12]],$Q$4:$AB$4)/valUnits2</f>
        <v>0</v>
      </c>
      <c r="AE80">
        <f>DB_SOFProject[[#This Row],[Actual]]-DB_SOFProject[[#This Row],[Plan]]</f>
        <v>0</v>
      </c>
      <c r="AF80" s="32">
        <f>IF(DB_SOFProject[[#This Row],[Plan]]&lt;&gt;0,DB_SOFProject[[#This Row],[Actual]]/DB_SOFProject[[#This Row],[Plan]],1.000011000011)</f>
        <v>1.0000110000110001</v>
      </c>
      <c r="AG80" s="34">
        <f>SUM(DB_SOFProject[[#This Row],[Plan01]:[Plan12]])/valUnits2</f>
        <v>0</v>
      </c>
      <c r="AH80" s="34">
        <f>SUMPRODUCT(DB_SOFProject[[#This Row],[Act01]:[Act12]],$Q$3:$AB$3)/valUnits2</f>
        <v>0</v>
      </c>
    </row>
    <row r="81" spans="2:34" x14ac:dyDescent="0.2">
      <c r="B81" t="s">
        <v>489</v>
      </c>
      <c r="C81" t="s">
        <v>849</v>
      </c>
      <c r="D81" t="s">
        <v>975</v>
      </c>
      <c r="H81">
        <v>10.608000000000001</v>
      </c>
      <c r="I81">
        <v>19.908000000000001</v>
      </c>
      <c r="J81">
        <v>0</v>
      </c>
      <c r="T81">
        <v>10.27</v>
      </c>
      <c r="U81">
        <v>20.059999999999999</v>
      </c>
      <c r="V81">
        <v>2191.9499999999998</v>
      </c>
      <c r="AC81">
        <f>SUMPRODUCT(DB_SOFProject[[#This Row],[Plan01]:[Plan12]],$E$4:$P$4)/valUnits2</f>
        <v>3.0516000000000001E-2</v>
      </c>
      <c r="AD81">
        <f>SUMPRODUCT(DB_SOFProject[[#This Row],[Act01]:[Act12]],$Q$4:$AB$4)/valUnits2</f>
        <v>2.2222799999999996</v>
      </c>
      <c r="AE81">
        <f>DB_SOFProject[[#This Row],[Actual]]-DB_SOFProject[[#This Row],[Plan]]</f>
        <v>2.1917639999999996</v>
      </c>
      <c r="AF81" s="32">
        <f>IF(DB_SOFProject[[#This Row],[Plan]]&lt;&gt;0,DB_SOFProject[[#This Row],[Actual]]/DB_SOFProject[[#This Row],[Plan]],1.000011000011)</f>
        <v>72.823436885568213</v>
      </c>
      <c r="AG81" s="34">
        <f>SUM(DB_SOFProject[[#This Row],[Plan01]:[Plan12]])/valUnits2</f>
        <v>3.0516000000000001E-2</v>
      </c>
      <c r="AH81" s="34">
        <f>SUMPRODUCT(DB_SOFProject[[#This Row],[Act01]:[Act12]],$Q$3:$AB$3)/valUnits2</f>
        <v>2.2222799999999996</v>
      </c>
    </row>
    <row r="82" spans="2:34" x14ac:dyDescent="0.2">
      <c r="B82" t="s">
        <v>489</v>
      </c>
      <c r="C82" t="s">
        <v>849</v>
      </c>
      <c r="D82" t="s">
        <v>980</v>
      </c>
      <c r="H82">
        <v>0</v>
      </c>
      <c r="I82">
        <v>0</v>
      </c>
      <c r="T82">
        <v>0</v>
      </c>
      <c r="U82">
        <v>0</v>
      </c>
      <c r="AC82">
        <f>SUMPRODUCT(DB_SOFProject[[#This Row],[Plan01]:[Plan12]],$E$4:$P$4)/valUnits2</f>
        <v>0</v>
      </c>
      <c r="AD82">
        <f>SUMPRODUCT(DB_SOFProject[[#This Row],[Act01]:[Act12]],$Q$4:$AB$4)/valUnits2</f>
        <v>0</v>
      </c>
      <c r="AE82">
        <f>DB_SOFProject[[#This Row],[Actual]]-DB_SOFProject[[#This Row],[Plan]]</f>
        <v>0</v>
      </c>
      <c r="AF82" s="32">
        <f>IF(DB_SOFProject[[#This Row],[Plan]]&lt;&gt;0,DB_SOFProject[[#This Row],[Actual]]/DB_SOFProject[[#This Row],[Plan]],1.000011000011)</f>
        <v>1.0000110000110001</v>
      </c>
      <c r="AG82" s="34">
        <f>SUM(DB_SOFProject[[#This Row],[Plan01]:[Plan12]])/valUnits2</f>
        <v>0</v>
      </c>
      <c r="AH82" s="34">
        <f>SUMPRODUCT(DB_SOFProject[[#This Row],[Act01]:[Act12]],$Q$3:$AB$3)/valUnits2</f>
        <v>0</v>
      </c>
    </row>
    <row r="83" spans="2:34" x14ac:dyDescent="0.2">
      <c r="B83" t="s">
        <v>489</v>
      </c>
      <c r="C83" t="s">
        <v>849</v>
      </c>
      <c r="D83" t="s">
        <v>999</v>
      </c>
      <c r="H83">
        <v>0</v>
      </c>
      <c r="I83">
        <v>0</v>
      </c>
      <c r="T83">
        <v>0</v>
      </c>
      <c r="U83">
        <v>0</v>
      </c>
      <c r="AC83">
        <f>SUMPRODUCT(DB_SOFProject[[#This Row],[Plan01]:[Plan12]],$E$4:$P$4)/valUnits2</f>
        <v>0</v>
      </c>
      <c r="AD83">
        <f>SUMPRODUCT(DB_SOFProject[[#This Row],[Act01]:[Act12]],$Q$4:$AB$4)/valUnits2</f>
        <v>0</v>
      </c>
      <c r="AE83">
        <f>DB_SOFProject[[#This Row],[Actual]]-DB_SOFProject[[#This Row],[Plan]]</f>
        <v>0</v>
      </c>
      <c r="AF83" s="32">
        <f>IF(DB_SOFProject[[#This Row],[Plan]]&lt;&gt;0,DB_SOFProject[[#This Row],[Actual]]/DB_SOFProject[[#This Row],[Plan]],1.000011000011)</f>
        <v>1.0000110000110001</v>
      </c>
      <c r="AG83" s="34">
        <f>SUM(DB_SOFProject[[#This Row],[Plan01]:[Plan12]])/valUnits2</f>
        <v>0</v>
      </c>
      <c r="AH83" s="34">
        <f>SUMPRODUCT(DB_SOFProject[[#This Row],[Act01]:[Act12]],$Q$3:$AB$3)/valUnits2</f>
        <v>0</v>
      </c>
    </row>
    <row r="84" spans="2:34" x14ac:dyDescent="0.2">
      <c r="B84" t="s">
        <v>489</v>
      </c>
      <c r="C84" t="s">
        <v>366</v>
      </c>
      <c r="D84" t="s">
        <v>975</v>
      </c>
      <c r="E84">
        <v>0</v>
      </c>
      <c r="F84">
        <v>0</v>
      </c>
      <c r="G84">
        <v>0</v>
      </c>
      <c r="H84">
        <v>524.08600000000001</v>
      </c>
      <c r="I84">
        <v>162.79200000000003</v>
      </c>
      <c r="J84">
        <v>0</v>
      </c>
      <c r="K84">
        <v>0</v>
      </c>
      <c r="L84">
        <v>0</v>
      </c>
      <c r="Q84">
        <v>0</v>
      </c>
      <c r="R84">
        <v>0</v>
      </c>
      <c r="S84">
        <v>0</v>
      </c>
      <c r="T84">
        <v>532.14</v>
      </c>
      <c r="U84">
        <v>164.35</v>
      </c>
      <c r="V84">
        <v>176.83</v>
      </c>
      <c r="W84">
        <v>0</v>
      </c>
      <c r="X84">
        <v>0</v>
      </c>
      <c r="AC84">
        <f>SUMPRODUCT(DB_SOFProject[[#This Row],[Plan01]:[Plan12]],$E$4:$P$4)/valUnits2</f>
        <v>0.68687799999999999</v>
      </c>
      <c r="AD84">
        <f>SUMPRODUCT(DB_SOFProject[[#This Row],[Act01]:[Act12]],$Q$4:$AB$4)/valUnits2</f>
        <v>0.8733200000000001</v>
      </c>
      <c r="AE84">
        <f>DB_SOFProject[[#This Row],[Actual]]-DB_SOFProject[[#This Row],[Plan]]</f>
        <v>0.18644200000000011</v>
      </c>
      <c r="AF84" s="32">
        <f>IF(DB_SOFProject[[#This Row],[Plan]]&lt;&gt;0,DB_SOFProject[[#This Row],[Actual]]/DB_SOFProject[[#This Row],[Plan]],1.000011000011)</f>
        <v>1.271433937322203</v>
      </c>
      <c r="AG84" s="34">
        <f>SUM(DB_SOFProject[[#This Row],[Plan01]:[Plan12]])/valUnits2</f>
        <v>0.68687799999999999</v>
      </c>
      <c r="AH84" s="34">
        <f>SUMPRODUCT(DB_SOFProject[[#This Row],[Act01]:[Act12]],$Q$3:$AB$3)/valUnits2</f>
        <v>0.8733200000000001</v>
      </c>
    </row>
    <row r="85" spans="2:34" x14ac:dyDescent="0.2">
      <c r="B85" t="s">
        <v>489</v>
      </c>
      <c r="C85" t="s">
        <v>353</v>
      </c>
      <c r="D85" t="s">
        <v>959</v>
      </c>
      <c r="G85">
        <v>0</v>
      </c>
      <c r="H85">
        <v>0</v>
      </c>
      <c r="J85">
        <v>0</v>
      </c>
      <c r="S85">
        <v>0</v>
      </c>
      <c r="T85">
        <v>0</v>
      </c>
      <c r="V85">
        <v>664.75</v>
      </c>
      <c r="AC85">
        <f>SUMPRODUCT(DB_SOFProject[[#This Row],[Plan01]:[Plan12]],$E$4:$P$4)/valUnits2</f>
        <v>0</v>
      </c>
      <c r="AD85">
        <f>SUMPRODUCT(DB_SOFProject[[#This Row],[Act01]:[Act12]],$Q$4:$AB$4)/valUnits2</f>
        <v>0.66474999999999995</v>
      </c>
      <c r="AE85">
        <f>DB_SOFProject[[#This Row],[Actual]]-DB_SOFProject[[#This Row],[Plan]]</f>
        <v>0.66474999999999995</v>
      </c>
      <c r="AF85" s="32">
        <f>IF(DB_SOFProject[[#This Row],[Plan]]&lt;&gt;0,DB_SOFProject[[#This Row],[Actual]]/DB_SOFProject[[#This Row],[Plan]],1.000011000011)</f>
        <v>1.0000110000110001</v>
      </c>
      <c r="AG85" s="34">
        <f>SUM(DB_SOFProject[[#This Row],[Plan01]:[Plan12]])/valUnits2</f>
        <v>0</v>
      </c>
      <c r="AH85" s="34">
        <f>SUMPRODUCT(DB_SOFProject[[#This Row],[Act01]:[Act12]],$Q$3:$AB$3)/valUnits2</f>
        <v>0.66474999999999995</v>
      </c>
    </row>
    <row r="86" spans="2:34" x14ac:dyDescent="0.2">
      <c r="B86" t="s">
        <v>489</v>
      </c>
      <c r="C86" t="s">
        <v>353</v>
      </c>
      <c r="D86" t="s">
        <v>975</v>
      </c>
      <c r="G86">
        <v>0</v>
      </c>
      <c r="H86">
        <v>441.84699999999998</v>
      </c>
      <c r="I86">
        <v>861.21</v>
      </c>
      <c r="J86">
        <v>0</v>
      </c>
      <c r="S86">
        <v>0</v>
      </c>
      <c r="T86">
        <v>440.36</v>
      </c>
      <c r="U86">
        <v>860.59</v>
      </c>
      <c r="V86">
        <v>612.54</v>
      </c>
      <c r="AC86">
        <f>SUMPRODUCT(DB_SOFProject[[#This Row],[Plan01]:[Plan12]],$E$4:$P$4)/valUnits2</f>
        <v>1.3030569999999999</v>
      </c>
      <c r="AD86">
        <f>SUMPRODUCT(DB_SOFProject[[#This Row],[Act01]:[Act12]],$Q$4:$AB$4)/valUnits2</f>
        <v>1.9134899999999999</v>
      </c>
      <c r="AE86">
        <f>DB_SOFProject[[#This Row],[Actual]]-DB_SOFProject[[#This Row],[Plan]]</f>
        <v>0.610433</v>
      </c>
      <c r="AF86" s="32">
        <f>IF(DB_SOFProject[[#This Row],[Plan]]&lt;&gt;0,DB_SOFProject[[#This Row],[Actual]]/DB_SOFProject[[#This Row],[Plan]],1.000011000011)</f>
        <v>1.4684622391806346</v>
      </c>
      <c r="AG86" s="34">
        <f>SUM(DB_SOFProject[[#This Row],[Plan01]:[Plan12]])/valUnits2</f>
        <v>1.3030569999999999</v>
      </c>
      <c r="AH86" s="34">
        <f>SUMPRODUCT(DB_SOFProject[[#This Row],[Act01]:[Act12]],$Q$3:$AB$3)/valUnits2</f>
        <v>1.9134899999999999</v>
      </c>
    </row>
    <row r="87" spans="2:34" x14ac:dyDescent="0.2">
      <c r="B87" t="s">
        <v>489</v>
      </c>
      <c r="C87" t="s">
        <v>353</v>
      </c>
      <c r="D87" t="s">
        <v>999</v>
      </c>
      <c r="G87">
        <v>0</v>
      </c>
      <c r="H87">
        <v>0</v>
      </c>
      <c r="S87">
        <v>0</v>
      </c>
      <c r="T87">
        <v>0</v>
      </c>
      <c r="AC87">
        <f>SUMPRODUCT(DB_SOFProject[[#This Row],[Plan01]:[Plan12]],$E$4:$P$4)/valUnits2</f>
        <v>0</v>
      </c>
      <c r="AD87">
        <f>SUMPRODUCT(DB_SOFProject[[#This Row],[Act01]:[Act12]],$Q$4:$AB$4)/valUnits2</f>
        <v>0</v>
      </c>
      <c r="AE87">
        <f>DB_SOFProject[[#This Row],[Actual]]-DB_SOFProject[[#This Row],[Plan]]</f>
        <v>0</v>
      </c>
      <c r="AF87" s="32">
        <f>IF(DB_SOFProject[[#This Row],[Plan]]&lt;&gt;0,DB_SOFProject[[#This Row],[Actual]]/DB_SOFProject[[#This Row],[Plan]],1.000011000011)</f>
        <v>1.0000110000110001</v>
      </c>
      <c r="AG87" s="34">
        <f>SUM(DB_SOFProject[[#This Row],[Plan01]:[Plan12]])/valUnits2</f>
        <v>0</v>
      </c>
      <c r="AH87" s="34">
        <f>SUMPRODUCT(DB_SOFProject[[#This Row],[Act01]:[Act12]],$Q$3:$AB$3)/valUnits2</f>
        <v>0</v>
      </c>
    </row>
    <row r="88" spans="2:34" x14ac:dyDescent="0.2">
      <c r="B88" t="s">
        <v>489</v>
      </c>
      <c r="C88" t="s">
        <v>850</v>
      </c>
      <c r="D88" t="s">
        <v>946</v>
      </c>
      <c r="E88">
        <v>0</v>
      </c>
      <c r="F88">
        <v>0</v>
      </c>
      <c r="G88">
        <v>0</v>
      </c>
      <c r="H88">
        <v>0</v>
      </c>
      <c r="I88">
        <v>0</v>
      </c>
      <c r="J88">
        <v>170.35399999999998</v>
      </c>
      <c r="K88">
        <v>170.35399999999998</v>
      </c>
      <c r="L88">
        <v>170.35399999999998</v>
      </c>
      <c r="M88">
        <v>170.35399999999998</v>
      </c>
      <c r="N88">
        <v>170.35399999999998</v>
      </c>
      <c r="O88">
        <v>170.35399999999998</v>
      </c>
      <c r="P88">
        <v>170.35399999999998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f>SUMPRODUCT(DB_SOFProject[[#This Row],[Plan01]:[Plan12]],$E$4:$P$4)/valUnits2</f>
        <v>0.17035399999999998</v>
      </c>
      <c r="AD88">
        <f>SUMPRODUCT(DB_SOFProject[[#This Row],[Act01]:[Act12]],$Q$4:$AB$4)/valUnits2</f>
        <v>0</v>
      </c>
      <c r="AE88">
        <f>DB_SOFProject[[#This Row],[Actual]]-DB_SOFProject[[#This Row],[Plan]]</f>
        <v>-0.17035399999999998</v>
      </c>
      <c r="AF88" s="32">
        <f>IF(DB_SOFProject[[#This Row],[Plan]]&lt;&gt;0,DB_SOFProject[[#This Row],[Actual]]/DB_SOFProject[[#This Row],[Plan]],1.000011000011)</f>
        <v>0</v>
      </c>
      <c r="AG88" s="34">
        <f>SUM(DB_SOFProject[[#This Row],[Plan01]:[Plan12]])/valUnits2</f>
        <v>1.1924780000000001</v>
      </c>
      <c r="AH88" s="34">
        <f>SUMPRODUCT(DB_SOFProject[[#This Row],[Act01]:[Act12]],$Q$3:$AB$3)/valUnits2</f>
        <v>0</v>
      </c>
    </row>
    <row r="89" spans="2:34" x14ac:dyDescent="0.2">
      <c r="B89" t="s">
        <v>489</v>
      </c>
      <c r="C89" t="s">
        <v>850</v>
      </c>
      <c r="D89" t="s">
        <v>959</v>
      </c>
      <c r="E89">
        <v>21.917000000000002</v>
      </c>
      <c r="F89">
        <v>385.27699999999999</v>
      </c>
      <c r="G89">
        <v>0</v>
      </c>
      <c r="H89">
        <v>620.99900000000002</v>
      </c>
      <c r="I89">
        <v>527.577</v>
      </c>
      <c r="J89">
        <v>340.70600000000002</v>
      </c>
      <c r="K89">
        <v>340.70600000000002</v>
      </c>
      <c r="L89">
        <v>340.70600000000002</v>
      </c>
      <c r="M89">
        <v>340.70600000000002</v>
      </c>
      <c r="N89">
        <v>340.70600000000002</v>
      </c>
      <c r="O89">
        <v>340.70600000000002</v>
      </c>
      <c r="P89">
        <v>340.70600000000002</v>
      </c>
      <c r="Q89">
        <v>21.92</v>
      </c>
      <c r="R89">
        <v>385.27</v>
      </c>
      <c r="S89">
        <v>0</v>
      </c>
      <c r="T89">
        <v>619.24</v>
      </c>
      <c r="U89">
        <v>527.32999999999993</v>
      </c>
      <c r="V89">
        <v>443.10999999999996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f>SUMPRODUCT(DB_SOFProject[[#This Row],[Plan01]:[Plan12]],$E$4:$P$4)/valUnits2</f>
        <v>1.8964760000000001</v>
      </c>
      <c r="AD89">
        <f>SUMPRODUCT(DB_SOFProject[[#This Row],[Act01]:[Act12]],$Q$4:$AB$4)/valUnits2</f>
        <v>1.9968699999999999</v>
      </c>
      <c r="AE89">
        <f>DB_SOFProject[[#This Row],[Actual]]-DB_SOFProject[[#This Row],[Plan]]</f>
        <v>0.10039399999999987</v>
      </c>
      <c r="AF89" s="32">
        <f>IF(DB_SOFProject[[#This Row],[Plan]]&lt;&gt;0,DB_SOFProject[[#This Row],[Actual]]/DB_SOFProject[[#This Row],[Plan]],1.000011000011)</f>
        <v>1.0529371318171177</v>
      </c>
      <c r="AG89" s="34">
        <f>SUM(DB_SOFProject[[#This Row],[Plan01]:[Plan12]])/valUnits2</f>
        <v>3.9407120000000009</v>
      </c>
      <c r="AH89" s="34">
        <f>SUMPRODUCT(DB_SOFProject[[#This Row],[Act01]:[Act12]],$Q$3:$AB$3)/valUnits2</f>
        <v>1.9968699999999999</v>
      </c>
    </row>
    <row r="90" spans="2:34" x14ac:dyDescent="0.2">
      <c r="B90" t="s">
        <v>489</v>
      </c>
      <c r="C90" t="s">
        <v>850</v>
      </c>
      <c r="D90" t="s">
        <v>975</v>
      </c>
      <c r="E90">
        <v>0</v>
      </c>
      <c r="F90">
        <v>1013.033</v>
      </c>
      <c r="G90">
        <v>0</v>
      </c>
      <c r="H90">
        <v>2739.66</v>
      </c>
      <c r="I90">
        <v>1256.5450000000003</v>
      </c>
      <c r="J90">
        <v>383.29500000000002</v>
      </c>
      <c r="K90">
        <v>383.29500000000002</v>
      </c>
      <c r="L90">
        <v>383.29500000000002</v>
      </c>
      <c r="M90">
        <v>383.29500000000002</v>
      </c>
      <c r="N90">
        <v>383.29500000000002</v>
      </c>
      <c r="O90">
        <v>383.29500000000002</v>
      </c>
      <c r="P90">
        <v>383.29500000000002</v>
      </c>
      <c r="Q90">
        <v>0</v>
      </c>
      <c r="R90">
        <v>1013.0600000000001</v>
      </c>
      <c r="S90">
        <v>0</v>
      </c>
      <c r="T90">
        <v>2731.6900000000005</v>
      </c>
      <c r="U90">
        <v>1258.19</v>
      </c>
      <c r="V90">
        <v>-187.01999999999992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f>SUMPRODUCT(DB_SOFProject[[#This Row],[Plan01]:[Plan12]],$E$4:$P$4)/valUnits2</f>
        <v>5.3925330000000002</v>
      </c>
      <c r="AD90">
        <f>SUMPRODUCT(DB_SOFProject[[#This Row],[Act01]:[Act12]],$Q$4:$AB$4)/valUnits2</f>
        <v>4.8159200000000011</v>
      </c>
      <c r="AE90">
        <f>DB_SOFProject[[#This Row],[Actual]]-DB_SOFProject[[#This Row],[Plan]]</f>
        <v>-0.57661299999999915</v>
      </c>
      <c r="AF90" s="32">
        <f>IF(DB_SOFProject[[#This Row],[Plan]]&lt;&gt;0,DB_SOFProject[[#This Row],[Actual]]/DB_SOFProject[[#This Row],[Plan]],1.000011000011)</f>
        <v>0.89307195709326226</v>
      </c>
      <c r="AG90" s="34">
        <f>SUM(DB_SOFProject[[#This Row],[Plan01]:[Plan12]])/valUnits2</f>
        <v>7.6923030000000008</v>
      </c>
      <c r="AH90" s="34">
        <f>SUMPRODUCT(DB_SOFProject[[#This Row],[Act01]:[Act12]],$Q$3:$AB$3)/valUnits2</f>
        <v>4.8159200000000011</v>
      </c>
    </row>
    <row r="91" spans="2:34" x14ac:dyDescent="0.2">
      <c r="B91" t="s">
        <v>489</v>
      </c>
      <c r="C91" t="s">
        <v>850</v>
      </c>
      <c r="D91" t="s">
        <v>980</v>
      </c>
      <c r="E91">
        <v>0</v>
      </c>
      <c r="F91">
        <v>0</v>
      </c>
      <c r="G91">
        <v>0</v>
      </c>
      <c r="H91">
        <v>0</v>
      </c>
      <c r="I91">
        <v>0</v>
      </c>
      <c r="J91">
        <v>170.35399999999998</v>
      </c>
      <c r="K91">
        <v>170.35399999999998</v>
      </c>
      <c r="L91">
        <v>170.35399999999998</v>
      </c>
      <c r="M91">
        <v>170.35399999999998</v>
      </c>
      <c r="N91">
        <v>170.35399999999998</v>
      </c>
      <c r="O91">
        <v>170.35399999999998</v>
      </c>
      <c r="P91">
        <v>170.35399999999998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f>SUMPRODUCT(DB_SOFProject[[#This Row],[Plan01]:[Plan12]],$E$4:$P$4)/valUnits2</f>
        <v>0.17035399999999998</v>
      </c>
      <c r="AD91">
        <f>SUMPRODUCT(DB_SOFProject[[#This Row],[Act01]:[Act12]],$Q$4:$AB$4)/valUnits2</f>
        <v>0</v>
      </c>
      <c r="AE91">
        <f>DB_SOFProject[[#This Row],[Actual]]-DB_SOFProject[[#This Row],[Plan]]</f>
        <v>-0.17035399999999998</v>
      </c>
      <c r="AF91" s="32">
        <f>IF(DB_SOFProject[[#This Row],[Plan]]&lt;&gt;0,DB_SOFProject[[#This Row],[Actual]]/DB_SOFProject[[#This Row],[Plan]],1.000011000011)</f>
        <v>0</v>
      </c>
      <c r="AG91" s="34">
        <f>SUM(DB_SOFProject[[#This Row],[Plan01]:[Plan12]])/valUnits2</f>
        <v>1.1924780000000001</v>
      </c>
      <c r="AH91" s="34">
        <f>SUMPRODUCT(DB_SOFProject[[#This Row],[Act01]:[Act12]],$Q$3:$AB$3)/valUnits2</f>
        <v>0</v>
      </c>
    </row>
    <row r="92" spans="2:34" x14ac:dyDescent="0.2">
      <c r="B92" t="s">
        <v>489</v>
      </c>
      <c r="C92" t="s">
        <v>850</v>
      </c>
      <c r="D92" t="s">
        <v>984</v>
      </c>
      <c r="F92">
        <v>295.779</v>
      </c>
      <c r="H92">
        <v>135.27500000000001</v>
      </c>
      <c r="I92">
        <v>454.19100000000003</v>
      </c>
      <c r="J92">
        <v>0</v>
      </c>
      <c r="R92">
        <v>295.77999999999997</v>
      </c>
      <c r="T92">
        <v>136.03</v>
      </c>
      <c r="U92">
        <v>450.25000000000006</v>
      </c>
      <c r="V92">
        <v>155.82999999999998</v>
      </c>
      <c r="AC92">
        <f>SUMPRODUCT(DB_SOFProject[[#This Row],[Plan01]:[Plan12]],$E$4:$P$4)/valUnits2</f>
        <v>0.88524500000000006</v>
      </c>
      <c r="AD92">
        <f>SUMPRODUCT(DB_SOFProject[[#This Row],[Act01]:[Act12]],$Q$4:$AB$4)/valUnits2</f>
        <v>1.03789</v>
      </c>
      <c r="AE92">
        <f>DB_SOFProject[[#This Row],[Actual]]-DB_SOFProject[[#This Row],[Plan]]</f>
        <v>0.15264499999999992</v>
      </c>
      <c r="AF92" s="32">
        <f>IF(DB_SOFProject[[#This Row],[Plan]]&lt;&gt;0,DB_SOFProject[[#This Row],[Actual]]/DB_SOFProject[[#This Row],[Plan]],1.000011000011)</f>
        <v>1.1724324904404995</v>
      </c>
      <c r="AG92" s="34">
        <f>SUM(DB_SOFProject[[#This Row],[Plan01]:[Plan12]])/valUnits2</f>
        <v>0.88524500000000006</v>
      </c>
      <c r="AH92" s="34">
        <f>SUMPRODUCT(DB_SOFProject[[#This Row],[Act01]:[Act12]],$Q$3:$AB$3)/valUnits2</f>
        <v>1.03789</v>
      </c>
    </row>
    <row r="93" spans="2:34" x14ac:dyDescent="0.2">
      <c r="B93" t="s">
        <v>489</v>
      </c>
      <c r="C93" t="s">
        <v>850</v>
      </c>
      <c r="D93" t="s">
        <v>999</v>
      </c>
      <c r="E93">
        <v>0</v>
      </c>
      <c r="F93">
        <v>987.45100000000002</v>
      </c>
      <c r="G93">
        <v>0</v>
      </c>
      <c r="H93">
        <v>1128.7819999999999</v>
      </c>
      <c r="I93">
        <v>898.23699999999963</v>
      </c>
      <c r="J93">
        <v>170.35399999999998</v>
      </c>
      <c r="K93">
        <v>170.35399999999998</v>
      </c>
      <c r="L93">
        <v>170.35399999999998</v>
      </c>
      <c r="M93">
        <v>170.35399999999998</v>
      </c>
      <c r="N93">
        <v>170.35399999999998</v>
      </c>
      <c r="O93">
        <v>170.35399999999998</v>
      </c>
      <c r="P93">
        <v>170.35399999999998</v>
      </c>
      <c r="Q93">
        <v>0</v>
      </c>
      <c r="R93">
        <v>987.43000000000006</v>
      </c>
      <c r="S93">
        <v>0</v>
      </c>
      <c r="T93">
        <v>1129</v>
      </c>
      <c r="U93">
        <v>893.70999999999992</v>
      </c>
      <c r="V93">
        <v>526.05999999999995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f>SUMPRODUCT(DB_SOFProject[[#This Row],[Plan01]:[Plan12]],$E$4:$P$4)/valUnits2</f>
        <v>3.1848239999999994</v>
      </c>
      <c r="AD93">
        <f>SUMPRODUCT(DB_SOFProject[[#This Row],[Act01]:[Act12]],$Q$4:$AB$4)/valUnits2</f>
        <v>3.5362000000000005</v>
      </c>
      <c r="AE93">
        <f>DB_SOFProject[[#This Row],[Actual]]-DB_SOFProject[[#This Row],[Plan]]</f>
        <v>0.35137600000000102</v>
      </c>
      <c r="AF93" s="32">
        <f>IF(DB_SOFProject[[#This Row],[Plan]]&lt;&gt;0,DB_SOFProject[[#This Row],[Actual]]/DB_SOFProject[[#This Row],[Plan]],1.000011000011)</f>
        <v>1.1103282316385461</v>
      </c>
      <c r="AG93" s="34">
        <f>SUM(DB_SOFProject[[#This Row],[Plan01]:[Plan12]])/valUnits2</f>
        <v>4.2069479999999988</v>
      </c>
      <c r="AH93" s="34">
        <f>SUMPRODUCT(DB_SOFProject[[#This Row],[Act01]:[Act12]],$Q$3:$AB$3)/valUnits2</f>
        <v>3.5362000000000005</v>
      </c>
    </row>
    <row r="94" spans="2:34" x14ac:dyDescent="0.2">
      <c r="B94" t="s">
        <v>489</v>
      </c>
      <c r="C94" t="s">
        <v>852</v>
      </c>
      <c r="D94" t="s">
        <v>975</v>
      </c>
      <c r="E94">
        <v>851.36099999999999</v>
      </c>
      <c r="Q94">
        <v>868.58</v>
      </c>
      <c r="AC94">
        <f>SUMPRODUCT(DB_SOFProject[[#This Row],[Plan01]:[Plan12]],$E$4:$P$4)/valUnits2</f>
        <v>0.85136100000000003</v>
      </c>
      <c r="AD94">
        <f>SUMPRODUCT(DB_SOFProject[[#This Row],[Act01]:[Act12]],$Q$4:$AB$4)/valUnits2</f>
        <v>0.86858000000000002</v>
      </c>
      <c r="AE94">
        <f>DB_SOFProject[[#This Row],[Actual]]-DB_SOFProject[[#This Row],[Plan]]</f>
        <v>1.7218999999999984E-2</v>
      </c>
      <c r="AF94" s="32">
        <f>IF(DB_SOFProject[[#This Row],[Plan]]&lt;&gt;0,DB_SOFProject[[#This Row],[Actual]]/DB_SOFProject[[#This Row],[Plan]],1.000011000011)</f>
        <v>1.0202252628438464</v>
      </c>
      <c r="AG94" s="34">
        <f>SUM(DB_SOFProject[[#This Row],[Plan01]:[Plan12]])/valUnits2</f>
        <v>0.85136100000000003</v>
      </c>
      <c r="AH94" s="34">
        <f>SUMPRODUCT(DB_SOFProject[[#This Row],[Act01]:[Act12]],$Q$3:$AB$3)/valUnits2</f>
        <v>0.86858000000000002</v>
      </c>
    </row>
    <row r="95" spans="2:34" x14ac:dyDescent="0.2">
      <c r="B95" t="s">
        <v>489</v>
      </c>
      <c r="C95" t="s">
        <v>853</v>
      </c>
      <c r="D95" t="s">
        <v>946</v>
      </c>
      <c r="H95">
        <v>0</v>
      </c>
      <c r="I95">
        <v>0</v>
      </c>
      <c r="J95">
        <v>16.921999999999997</v>
      </c>
      <c r="K95">
        <v>16.921999999999997</v>
      </c>
      <c r="L95">
        <v>16.921999999999997</v>
      </c>
      <c r="M95">
        <v>16.921999999999997</v>
      </c>
      <c r="N95">
        <v>16.921999999999997</v>
      </c>
      <c r="O95">
        <v>16.921999999999997</v>
      </c>
      <c r="P95">
        <v>16.921999999999997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f>SUMPRODUCT(DB_SOFProject[[#This Row],[Plan01]:[Plan12]],$E$4:$P$4)/valUnits2</f>
        <v>1.6921999999999996E-2</v>
      </c>
      <c r="AD95">
        <f>SUMPRODUCT(DB_SOFProject[[#This Row],[Act01]:[Act12]],$Q$4:$AB$4)/valUnits2</f>
        <v>0</v>
      </c>
      <c r="AE95">
        <f>DB_SOFProject[[#This Row],[Actual]]-DB_SOFProject[[#This Row],[Plan]]</f>
        <v>-1.6921999999999996E-2</v>
      </c>
      <c r="AF95" s="32">
        <f>IF(DB_SOFProject[[#This Row],[Plan]]&lt;&gt;0,DB_SOFProject[[#This Row],[Actual]]/DB_SOFProject[[#This Row],[Plan]],1.000011000011)</f>
        <v>0</v>
      </c>
      <c r="AG95" s="34">
        <f>SUM(DB_SOFProject[[#This Row],[Plan01]:[Plan12]])/valUnits2</f>
        <v>0.11845399999999998</v>
      </c>
      <c r="AH95" s="34">
        <f>SUMPRODUCT(DB_SOFProject[[#This Row],[Act01]:[Act12]],$Q$3:$AB$3)/valUnits2</f>
        <v>0</v>
      </c>
    </row>
    <row r="96" spans="2:34" x14ac:dyDescent="0.2">
      <c r="B96" t="s">
        <v>489</v>
      </c>
      <c r="C96" t="s">
        <v>853</v>
      </c>
      <c r="D96" t="s">
        <v>947</v>
      </c>
      <c r="J96">
        <v>0</v>
      </c>
      <c r="V96">
        <v>9.48</v>
      </c>
      <c r="AC96">
        <f>SUMPRODUCT(DB_SOFProject[[#This Row],[Plan01]:[Plan12]],$E$4:$P$4)/valUnits2</f>
        <v>0</v>
      </c>
      <c r="AD96">
        <f>SUMPRODUCT(DB_SOFProject[[#This Row],[Act01]:[Act12]],$Q$4:$AB$4)/valUnits2</f>
        <v>9.4800000000000006E-3</v>
      </c>
      <c r="AE96">
        <f>DB_SOFProject[[#This Row],[Actual]]-DB_SOFProject[[#This Row],[Plan]]</f>
        <v>9.4800000000000006E-3</v>
      </c>
      <c r="AF96" s="32">
        <f>IF(DB_SOFProject[[#This Row],[Plan]]&lt;&gt;0,DB_SOFProject[[#This Row],[Actual]]/DB_SOFProject[[#This Row],[Plan]],1.000011000011)</f>
        <v>1.0000110000110001</v>
      </c>
      <c r="AG96" s="34">
        <f>SUM(DB_SOFProject[[#This Row],[Plan01]:[Plan12]])/valUnits2</f>
        <v>0</v>
      </c>
      <c r="AH96" s="34">
        <f>SUMPRODUCT(DB_SOFProject[[#This Row],[Act01]:[Act12]],$Q$3:$AB$3)/valUnits2</f>
        <v>9.4800000000000006E-3</v>
      </c>
    </row>
    <row r="97" spans="2:34" x14ac:dyDescent="0.2">
      <c r="B97" t="s">
        <v>489</v>
      </c>
      <c r="C97" t="s">
        <v>853</v>
      </c>
      <c r="D97" t="s">
        <v>959</v>
      </c>
      <c r="H97">
        <v>0</v>
      </c>
      <c r="I97">
        <v>0</v>
      </c>
      <c r="J97">
        <v>33.844999999999999</v>
      </c>
      <c r="K97">
        <v>33.844999999999999</v>
      </c>
      <c r="L97">
        <v>33.844999999999999</v>
      </c>
      <c r="M97">
        <v>33.844999999999999</v>
      </c>
      <c r="N97">
        <v>33.844999999999999</v>
      </c>
      <c r="O97">
        <v>33.844999999999999</v>
      </c>
      <c r="P97">
        <v>33.844999999999999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f>SUMPRODUCT(DB_SOFProject[[#This Row],[Plan01]:[Plan12]],$E$4:$P$4)/valUnits2</f>
        <v>3.3845E-2</v>
      </c>
      <c r="AD97">
        <f>SUMPRODUCT(DB_SOFProject[[#This Row],[Act01]:[Act12]],$Q$4:$AB$4)/valUnits2</f>
        <v>0</v>
      </c>
      <c r="AE97">
        <f>DB_SOFProject[[#This Row],[Actual]]-DB_SOFProject[[#This Row],[Plan]]</f>
        <v>-3.3845E-2</v>
      </c>
      <c r="AF97" s="32">
        <f>IF(DB_SOFProject[[#This Row],[Plan]]&lt;&gt;0,DB_SOFProject[[#This Row],[Actual]]/DB_SOFProject[[#This Row],[Plan]],1.000011000011)</f>
        <v>0</v>
      </c>
      <c r="AG97" s="34">
        <f>SUM(DB_SOFProject[[#This Row],[Plan01]:[Plan12]])/valUnits2</f>
        <v>0.23691499999999999</v>
      </c>
      <c r="AH97" s="34">
        <f>SUMPRODUCT(DB_SOFProject[[#This Row],[Act01]:[Act12]],$Q$3:$AB$3)/valUnits2</f>
        <v>0</v>
      </c>
    </row>
    <row r="98" spans="2:34" x14ac:dyDescent="0.2">
      <c r="B98" t="s">
        <v>489</v>
      </c>
      <c r="C98" t="s">
        <v>853</v>
      </c>
      <c r="D98" t="s">
        <v>975</v>
      </c>
      <c r="H98">
        <v>12.959</v>
      </c>
      <c r="I98">
        <v>24.883999999999997</v>
      </c>
      <c r="J98">
        <v>56.69</v>
      </c>
      <c r="K98">
        <v>56.69</v>
      </c>
      <c r="L98">
        <v>56.69</v>
      </c>
      <c r="M98">
        <v>56.69</v>
      </c>
      <c r="N98">
        <v>56.69</v>
      </c>
      <c r="O98">
        <v>56.69</v>
      </c>
      <c r="P98">
        <v>56.69</v>
      </c>
      <c r="T98">
        <v>12.79</v>
      </c>
      <c r="U98">
        <v>25.04</v>
      </c>
      <c r="V98">
        <v>17.77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f>SUMPRODUCT(DB_SOFProject[[#This Row],[Plan01]:[Plan12]],$E$4:$P$4)/valUnits2</f>
        <v>9.4532999999999992E-2</v>
      </c>
      <c r="AD98">
        <f>SUMPRODUCT(DB_SOFProject[[#This Row],[Act01]:[Act12]],$Q$4:$AB$4)/valUnits2</f>
        <v>5.5599999999999997E-2</v>
      </c>
      <c r="AE98">
        <f>DB_SOFProject[[#This Row],[Actual]]-DB_SOFProject[[#This Row],[Plan]]</f>
        <v>-3.8932999999999995E-2</v>
      </c>
      <c r="AF98" s="32">
        <f>IF(DB_SOFProject[[#This Row],[Plan]]&lt;&gt;0,DB_SOFProject[[#This Row],[Actual]]/DB_SOFProject[[#This Row],[Plan]],1.000011000011)</f>
        <v>0.58815440110860762</v>
      </c>
      <c r="AG98" s="34">
        <f>SUM(DB_SOFProject[[#This Row],[Plan01]:[Plan12]])/valUnits2</f>
        <v>0.43467299999999992</v>
      </c>
      <c r="AH98" s="34">
        <f>SUMPRODUCT(DB_SOFProject[[#This Row],[Act01]:[Act12]],$Q$3:$AB$3)/valUnits2</f>
        <v>5.5599999999999997E-2</v>
      </c>
    </row>
    <row r="99" spans="2:34" x14ac:dyDescent="0.2">
      <c r="B99" t="s">
        <v>489</v>
      </c>
      <c r="C99" t="s">
        <v>853</v>
      </c>
      <c r="D99" t="s">
        <v>980</v>
      </c>
      <c r="H99">
        <v>0</v>
      </c>
      <c r="I99">
        <v>0</v>
      </c>
      <c r="J99">
        <v>16.921999999999997</v>
      </c>
      <c r="K99">
        <v>16.921999999999997</v>
      </c>
      <c r="L99">
        <v>16.921999999999997</v>
      </c>
      <c r="M99">
        <v>16.921999999999997</v>
      </c>
      <c r="N99">
        <v>16.921999999999997</v>
      </c>
      <c r="O99">
        <v>16.921999999999997</v>
      </c>
      <c r="P99">
        <v>16.921999999999997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f>SUMPRODUCT(DB_SOFProject[[#This Row],[Plan01]:[Plan12]],$E$4:$P$4)/valUnits2</f>
        <v>1.6921999999999996E-2</v>
      </c>
      <c r="AD99">
        <f>SUMPRODUCT(DB_SOFProject[[#This Row],[Act01]:[Act12]],$Q$4:$AB$4)/valUnits2</f>
        <v>0</v>
      </c>
      <c r="AE99">
        <f>DB_SOFProject[[#This Row],[Actual]]-DB_SOFProject[[#This Row],[Plan]]</f>
        <v>-1.6921999999999996E-2</v>
      </c>
      <c r="AF99" s="32">
        <f>IF(DB_SOFProject[[#This Row],[Plan]]&lt;&gt;0,DB_SOFProject[[#This Row],[Actual]]/DB_SOFProject[[#This Row],[Plan]],1.000011000011)</f>
        <v>0</v>
      </c>
      <c r="AG99" s="34">
        <f>SUM(DB_SOFProject[[#This Row],[Plan01]:[Plan12]])/valUnits2</f>
        <v>0.11845399999999998</v>
      </c>
      <c r="AH99" s="34">
        <f>SUMPRODUCT(DB_SOFProject[[#This Row],[Act01]:[Act12]],$Q$3:$AB$3)/valUnits2</f>
        <v>0</v>
      </c>
    </row>
    <row r="100" spans="2:34" x14ac:dyDescent="0.2">
      <c r="B100" t="s">
        <v>489</v>
      </c>
      <c r="C100" t="s">
        <v>853</v>
      </c>
      <c r="D100" t="s">
        <v>998</v>
      </c>
      <c r="J100">
        <v>0</v>
      </c>
      <c r="V100">
        <v>114.3</v>
      </c>
      <c r="AC100">
        <f>SUMPRODUCT(DB_SOFProject[[#This Row],[Plan01]:[Plan12]],$E$4:$P$4)/valUnits2</f>
        <v>0</v>
      </c>
      <c r="AD100">
        <f>SUMPRODUCT(DB_SOFProject[[#This Row],[Act01]:[Act12]],$Q$4:$AB$4)/valUnits2</f>
        <v>0.1143</v>
      </c>
      <c r="AE100">
        <f>DB_SOFProject[[#This Row],[Actual]]-DB_SOFProject[[#This Row],[Plan]]</f>
        <v>0.1143</v>
      </c>
      <c r="AF100" s="32">
        <f>IF(DB_SOFProject[[#This Row],[Plan]]&lt;&gt;0,DB_SOFProject[[#This Row],[Actual]]/DB_SOFProject[[#This Row],[Plan]],1.000011000011)</f>
        <v>1.0000110000110001</v>
      </c>
      <c r="AG100" s="34">
        <f>SUM(DB_SOFProject[[#This Row],[Plan01]:[Plan12]])/valUnits2</f>
        <v>0</v>
      </c>
      <c r="AH100" s="34">
        <f>SUMPRODUCT(DB_SOFProject[[#This Row],[Act01]:[Act12]],$Q$3:$AB$3)/valUnits2</f>
        <v>0.1143</v>
      </c>
    </row>
    <row r="101" spans="2:34" x14ac:dyDescent="0.2">
      <c r="B101" t="s">
        <v>489</v>
      </c>
      <c r="C101" t="s">
        <v>853</v>
      </c>
      <c r="D101" t="s">
        <v>999</v>
      </c>
      <c r="H101">
        <v>0</v>
      </c>
      <c r="I101">
        <v>0</v>
      </c>
      <c r="J101">
        <v>16.921999999999997</v>
      </c>
      <c r="K101">
        <v>16.921999999999997</v>
      </c>
      <c r="L101">
        <v>16.921999999999997</v>
      </c>
      <c r="M101">
        <v>16.921999999999997</v>
      </c>
      <c r="N101">
        <v>16.921999999999997</v>
      </c>
      <c r="O101">
        <v>16.921999999999997</v>
      </c>
      <c r="P101">
        <v>16.921999999999997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f>SUMPRODUCT(DB_SOFProject[[#This Row],[Plan01]:[Plan12]],$E$4:$P$4)/valUnits2</f>
        <v>1.6921999999999996E-2</v>
      </c>
      <c r="AD101">
        <f>SUMPRODUCT(DB_SOFProject[[#This Row],[Act01]:[Act12]],$Q$4:$AB$4)/valUnits2</f>
        <v>0</v>
      </c>
      <c r="AE101">
        <f>DB_SOFProject[[#This Row],[Actual]]-DB_SOFProject[[#This Row],[Plan]]</f>
        <v>-1.6921999999999996E-2</v>
      </c>
      <c r="AF101" s="32">
        <f>IF(DB_SOFProject[[#This Row],[Plan]]&lt;&gt;0,DB_SOFProject[[#This Row],[Actual]]/DB_SOFProject[[#This Row],[Plan]],1.000011000011)</f>
        <v>0</v>
      </c>
      <c r="AG101" s="34">
        <f>SUM(DB_SOFProject[[#This Row],[Plan01]:[Plan12]])/valUnits2</f>
        <v>0.11845399999999998</v>
      </c>
      <c r="AH101" s="34">
        <f>SUMPRODUCT(DB_SOFProject[[#This Row],[Act01]:[Act12]],$Q$3:$AB$3)/valUnits2</f>
        <v>0</v>
      </c>
    </row>
    <row r="102" spans="2:34" x14ac:dyDescent="0.2">
      <c r="B102" t="s">
        <v>489</v>
      </c>
      <c r="C102" t="s">
        <v>854</v>
      </c>
      <c r="D102" t="s">
        <v>946</v>
      </c>
      <c r="G102">
        <v>0</v>
      </c>
      <c r="H102">
        <v>0</v>
      </c>
      <c r="I102">
        <v>0</v>
      </c>
      <c r="J102">
        <v>289.17700000000002</v>
      </c>
      <c r="K102">
        <v>289.17700000000002</v>
      </c>
      <c r="L102">
        <v>289.17700000000002</v>
      </c>
      <c r="M102">
        <v>289.17700000000002</v>
      </c>
      <c r="N102">
        <v>289.17700000000002</v>
      </c>
      <c r="O102">
        <v>289.17700000000002</v>
      </c>
      <c r="P102">
        <v>289.17700000000002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f>SUMPRODUCT(DB_SOFProject[[#This Row],[Plan01]:[Plan12]],$E$4:$P$4)/valUnits2</f>
        <v>0.28917700000000002</v>
      </c>
      <c r="AD102">
        <f>SUMPRODUCT(DB_SOFProject[[#This Row],[Act01]:[Act12]],$Q$4:$AB$4)/valUnits2</f>
        <v>0</v>
      </c>
      <c r="AE102">
        <f>DB_SOFProject[[#This Row],[Actual]]-DB_SOFProject[[#This Row],[Plan]]</f>
        <v>-0.28917700000000002</v>
      </c>
      <c r="AF102" s="32">
        <f>IF(DB_SOFProject[[#This Row],[Plan]]&lt;&gt;0,DB_SOFProject[[#This Row],[Actual]]/DB_SOFProject[[#This Row],[Plan]],1.000011000011)</f>
        <v>0</v>
      </c>
      <c r="AG102" s="34">
        <f>SUM(DB_SOFProject[[#This Row],[Plan01]:[Plan12]])/valUnits2</f>
        <v>2.0242390000000006</v>
      </c>
      <c r="AH102" s="34">
        <f>SUMPRODUCT(DB_SOFProject[[#This Row],[Act01]:[Act12]],$Q$3:$AB$3)/valUnits2</f>
        <v>0</v>
      </c>
    </row>
    <row r="103" spans="2:34" x14ac:dyDescent="0.2">
      <c r="B103" t="s">
        <v>489</v>
      </c>
      <c r="C103" t="s">
        <v>854</v>
      </c>
      <c r="D103" t="s">
        <v>959</v>
      </c>
      <c r="G103">
        <v>0</v>
      </c>
      <c r="H103">
        <v>0</v>
      </c>
      <c r="I103">
        <v>148.065</v>
      </c>
      <c r="J103">
        <v>578.35500000000002</v>
      </c>
      <c r="K103">
        <v>578.35500000000002</v>
      </c>
      <c r="L103">
        <v>578.35500000000002</v>
      </c>
      <c r="M103">
        <v>578.35500000000002</v>
      </c>
      <c r="N103">
        <v>578.35500000000002</v>
      </c>
      <c r="O103">
        <v>578.35500000000002</v>
      </c>
      <c r="P103">
        <v>578.35500000000002</v>
      </c>
      <c r="S103">
        <v>0</v>
      </c>
      <c r="T103">
        <v>0</v>
      </c>
      <c r="U103">
        <v>150.05000000000001</v>
      </c>
      <c r="V103">
        <v>132.47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f>SUMPRODUCT(DB_SOFProject[[#This Row],[Plan01]:[Plan12]],$E$4:$P$4)/valUnits2</f>
        <v>0.72642000000000007</v>
      </c>
      <c r="AD103">
        <f>SUMPRODUCT(DB_SOFProject[[#This Row],[Act01]:[Act12]],$Q$4:$AB$4)/valUnits2</f>
        <v>0.28251999999999999</v>
      </c>
      <c r="AE103">
        <f>DB_SOFProject[[#This Row],[Actual]]-DB_SOFProject[[#This Row],[Plan]]</f>
        <v>-0.44390000000000007</v>
      </c>
      <c r="AF103" s="32">
        <f>IF(DB_SOFProject[[#This Row],[Plan]]&lt;&gt;0,DB_SOFProject[[#This Row],[Actual]]/DB_SOFProject[[#This Row],[Plan]],1.000011000011)</f>
        <v>0.38892100988408906</v>
      </c>
      <c r="AG103" s="34">
        <f>SUM(DB_SOFProject[[#This Row],[Plan01]:[Plan12]])/valUnits2</f>
        <v>4.1965500000000002</v>
      </c>
      <c r="AH103" s="34">
        <f>SUMPRODUCT(DB_SOFProject[[#This Row],[Act01]:[Act12]],$Q$3:$AB$3)/valUnits2</f>
        <v>0.28251999999999999</v>
      </c>
    </row>
    <row r="104" spans="2:34" x14ac:dyDescent="0.2">
      <c r="B104" t="s">
        <v>489</v>
      </c>
      <c r="C104" t="s">
        <v>854</v>
      </c>
      <c r="D104" t="s">
        <v>975</v>
      </c>
      <c r="F104">
        <v>0</v>
      </c>
      <c r="G104">
        <v>0</v>
      </c>
      <c r="H104">
        <v>1698.0520000000001</v>
      </c>
      <c r="I104">
        <v>737.55</v>
      </c>
      <c r="J104">
        <v>1025.771</v>
      </c>
      <c r="K104">
        <v>1025.771</v>
      </c>
      <c r="L104">
        <v>1025.771</v>
      </c>
      <c r="M104">
        <v>1025.771</v>
      </c>
      <c r="N104">
        <v>1025.771</v>
      </c>
      <c r="O104">
        <v>1025.771</v>
      </c>
      <c r="P104">
        <v>1025.771</v>
      </c>
      <c r="R104">
        <v>0</v>
      </c>
      <c r="S104">
        <v>0</v>
      </c>
      <c r="T104">
        <v>1704.15</v>
      </c>
      <c r="U104">
        <v>766.7299999999999</v>
      </c>
      <c r="V104">
        <v>693.51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f>SUMPRODUCT(DB_SOFProject[[#This Row],[Plan01]:[Plan12]],$E$4:$P$4)/valUnits2</f>
        <v>3.4613729999999996</v>
      </c>
      <c r="AD104">
        <f>SUMPRODUCT(DB_SOFProject[[#This Row],[Act01]:[Act12]],$Q$4:$AB$4)/valUnits2</f>
        <v>3.1643900000000005</v>
      </c>
      <c r="AE104">
        <f>DB_SOFProject[[#This Row],[Actual]]-DB_SOFProject[[#This Row],[Plan]]</f>
        <v>-0.29698299999999911</v>
      </c>
      <c r="AF104" s="32">
        <f>IF(DB_SOFProject[[#This Row],[Plan]]&lt;&gt;0,DB_SOFProject[[#This Row],[Actual]]/DB_SOFProject[[#This Row],[Plan]],1.000011000011)</f>
        <v>0.914200809909825</v>
      </c>
      <c r="AG104" s="34">
        <f>SUM(DB_SOFProject[[#This Row],[Plan01]:[Plan12]])/valUnits2</f>
        <v>9.6159990000000004</v>
      </c>
      <c r="AH104" s="34">
        <f>SUMPRODUCT(DB_SOFProject[[#This Row],[Act01]:[Act12]],$Q$3:$AB$3)/valUnits2</f>
        <v>3.1643900000000005</v>
      </c>
    </row>
    <row r="105" spans="2:34" x14ac:dyDescent="0.2">
      <c r="B105" t="s">
        <v>489</v>
      </c>
      <c r="C105" t="s">
        <v>854</v>
      </c>
      <c r="D105" t="s">
        <v>980</v>
      </c>
      <c r="G105">
        <v>0</v>
      </c>
      <c r="H105">
        <v>967.04499999999996</v>
      </c>
      <c r="I105">
        <v>-903.99099999999999</v>
      </c>
      <c r="J105">
        <v>289.17700000000002</v>
      </c>
      <c r="K105">
        <v>289.17700000000002</v>
      </c>
      <c r="L105">
        <v>289.17700000000002</v>
      </c>
      <c r="M105">
        <v>289.17700000000002</v>
      </c>
      <c r="N105">
        <v>289.17700000000002</v>
      </c>
      <c r="O105">
        <v>289.17700000000002</v>
      </c>
      <c r="P105">
        <v>289.17700000000002</v>
      </c>
      <c r="S105">
        <v>0</v>
      </c>
      <c r="T105">
        <v>978.69</v>
      </c>
      <c r="U105">
        <v>-978.69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f>SUMPRODUCT(DB_SOFProject[[#This Row],[Plan01]:[Plan12]],$E$4:$P$4)/valUnits2</f>
        <v>0.35223100000000002</v>
      </c>
      <c r="AD105">
        <f>SUMPRODUCT(DB_SOFProject[[#This Row],[Act01]:[Act12]],$Q$4:$AB$4)/valUnits2</f>
        <v>0</v>
      </c>
      <c r="AE105">
        <f>DB_SOFProject[[#This Row],[Actual]]-DB_SOFProject[[#This Row],[Plan]]</f>
        <v>-0.35223100000000002</v>
      </c>
      <c r="AF105" s="32">
        <f>IF(DB_SOFProject[[#This Row],[Plan]]&lt;&gt;0,DB_SOFProject[[#This Row],[Actual]]/DB_SOFProject[[#This Row],[Plan]],1.000011000011)</f>
        <v>0</v>
      </c>
      <c r="AG105" s="34">
        <f>SUM(DB_SOFProject[[#This Row],[Plan01]:[Plan12]])/valUnits2</f>
        <v>2.0872930000000007</v>
      </c>
      <c r="AH105" s="34">
        <f>SUMPRODUCT(DB_SOFProject[[#This Row],[Act01]:[Act12]],$Q$3:$AB$3)/valUnits2</f>
        <v>0</v>
      </c>
    </row>
    <row r="106" spans="2:34" x14ac:dyDescent="0.2">
      <c r="B106" t="s">
        <v>489</v>
      </c>
      <c r="C106" t="s">
        <v>854</v>
      </c>
      <c r="D106" t="s">
        <v>999</v>
      </c>
      <c r="G106">
        <v>0</v>
      </c>
      <c r="H106">
        <v>0</v>
      </c>
      <c r="I106">
        <v>656.30200000000002</v>
      </c>
      <c r="J106">
        <v>289.17700000000002</v>
      </c>
      <c r="K106">
        <v>289.17700000000002</v>
      </c>
      <c r="L106">
        <v>289.17700000000002</v>
      </c>
      <c r="M106">
        <v>289.17700000000002</v>
      </c>
      <c r="N106">
        <v>289.17700000000002</v>
      </c>
      <c r="O106">
        <v>289.17700000000002</v>
      </c>
      <c r="P106">
        <v>289.17700000000002</v>
      </c>
      <c r="S106">
        <v>0</v>
      </c>
      <c r="T106">
        <v>0</v>
      </c>
      <c r="U106">
        <v>665.1</v>
      </c>
      <c r="V106">
        <v>696.32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f>SUMPRODUCT(DB_SOFProject[[#This Row],[Plan01]:[Plan12]],$E$4:$P$4)/valUnits2</f>
        <v>0.94547900000000007</v>
      </c>
      <c r="AD106">
        <f>SUMPRODUCT(DB_SOFProject[[#This Row],[Act01]:[Act12]],$Q$4:$AB$4)/valUnits2</f>
        <v>1.3614200000000001</v>
      </c>
      <c r="AE106">
        <f>DB_SOFProject[[#This Row],[Actual]]-DB_SOFProject[[#This Row],[Plan]]</f>
        <v>0.41594100000000001</v>
      </c>
      <c r="AF106" s="32">
        <f>IF(DB_SOFProject[[#This Row],[Plan]]&lt;&gt;0,DB_SOFProject[[#This Row],[Actual]]/DB_SOFProject[[#This Row],[Plan]],1.000011000011)</f>
        <v>1.4399262172930334</v>
      </c>
      <c r="AG106" s="34">
        <f>SUM(DB_SOFProject[[#This Row],[Plan01]:[Plan12]])/valUnits2</f>
        <v>2.6805410000000007</v>
      </c>
      <c r="AH106" s="34">
        <f>SUMPRODUCT(DB_SOFProject[[#This Row],[Act01]:[Act12]],$Q$3:$AB$3)/valUnits2</f>
        <v>1.3614200000000001</v>
      </c>
    </row>
    <row r="107" spans="2:34" x14ac:dyDescent="0.2">
      <c r="B107" t="s">
        <v>489</v>
      </c>
      <c r="C107" t="s">
        <v>855</v>
      </c>
      <c r="D107" t="s">
        <v>946</v>
      </c>
      <c r="H107">
        <v>0</v>
      </c>
      <c r="I107">
        <v>0</v>
      </c>
      <c r="J107">
        <v>553.59699999999998</v>
      </c>
      <c r="K107">
        <v>553.59699999999998</v>
      </c>
      <c r="L107">
        <v>553.59699999999998</v>
      </c>
      <c r="M107">
        <v>553.59699999999998</v>
      </c>
      <c r="N107">
        <v>553.59699999999998</v>
      </c>
      <c r="O107">
        <v>553.59699999999998</v>
      </c>
      <c r="P107">
        <v>553.59699999999998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f>SUMPRODUCT(DB_SOFProject[[#This Row],[Plan01]:[Plan12]],$E$4:$P$4)/valUnits2</f>
        <v>0.55359700000000001</v>
      </c>
      <c r="AD107">
        <f>SUMPRODUCT(DB_SOFProject[[#This Row],[Act01]:[Act12]],$Q$4:$AB$4)/valUnits2</f>
        <v>0</v>
      </c>
      <c r="AE107">
        <f>DB_SOFProject[[#This Row],[Actual]]-DB_SOFProject[[#This Row],[Plan]]</f>
        <v>-0.55359700000000001</v>
      </c>
      <c r="AF107" s="32">
        <f>IF(DB_SOFProject[[#This Row],[Plan]]&lt;&gt;0,DB_SOFProject[[#This Row],[Actual]]/DB_SOFProject[[#This Row],[Plan]],1.000011000011)</f>
        <v>0</v>
      </c>
      <c r="AG107" s="34">
        <f>SUM(DB_SOFProject[[#This Row],[Plan01]:[Plan12]])/valUnits2</f>
        <v>3.8751789999999993</v>
      </c>
      <c r="AH107" s="34">
        <f>SUMPRODUCT(DB_SOFProject[[#This Row],[Act01]:[Act12]],$Q$3:$AB$3)/valUnits2</f>
        <v>0</v>
      </c>
    </row>
    <row r="108" spans="2:34" x14ac:dyDescent="0.2">
      <c r="B108" t="s">
        <v>489</v>
      </c>
      <c r="C108" t="s">
        <v>855</v>
      </c>
      <c r="D108" t="s">
        <v>959</v>
      </c>
      <c r="F108">
        <v>291.52699999999999</v>
      </c>
      <c r="G108">
        <v>333.00700000000001</v>
      </c>
      <c r="H108">
        <v>437.536</v>
      </c>
      <c r="I108">
        <v>441.69400000000002</v>
      </c>
      <c r="J108">
        <v>1107.1959999999999</v>
      </c>
      <c r="K108">
        <v>1107.1959999999999</v>
      </c>
      <c r="L108">
        <v>1107.1959999999999</v>
      </c>
      <c r="M108">
        <v>1107.1959999999999</v>
      </c>
      <c r="N108">
        <v>1107.1959999999999</v>
      </c>
      <c r="O108">
        <v>1107.1959999999999</v>
      </c>
      <c r="P108">
        <v>1107.1959999999999</v>
      </c>
      <c r="R108">
        <v>297.64</v>
      </c>
      <c r="S108">
        <v>336.02000000000004</v>
      </c>
      <c r="T108">
        <v>435.04</v>
      </c>
      <c r="U108">
        <v>436.34000000000003</v>
      </c>
      <c r="V108">
        <v>498.28000000000003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f>SUMPRODUCT(DB_SOFProject[[#This Row],[Plan01]:[Plan12]],$E$4:$P$4)/valUnits2</f>
        <v>2.6109599999999999</v>
      </c>
      <c r="AD108">
        <f>SUMPRODUCT(DB_SOFProject[[#This Row],[Act01]:[Act12]],$Q$4:$AB$4)/valUnits2</f>
        <v>2.00332</v>
      </c>
      <c r="AE108">
        <f>DB_SOFProject[[#This Row],[Actual]]-DB_SOFProject[[#This Row],[Plan]]</f>
        <v>-0.60763999999999996</v>
      </c>
      <c r="AF108" s="32">
        <f>IF(DB_SOFProject[[#This Row],[Plan]]&lt;&gt;0,DB_SOFProject[[#This Row],[Actual]]/DB_SOFProject[[#This Row],[Plan]],1.000011000011)</f>
        <v>0.76727334007414894</v>
      </c>
      <c r="AG108" s="34">
        <f>SUM(DB_SOFProject[[#This Row],[Plan01]:[Plan12]])/valUnits2</f>
        <v>9.254135999999999</v>
      </c>
      <c r="AH108" s="34">
        <f>SUMPRODUCT(DB_SOFProject[[#This Row],[Act01]:[Act12]],$Q$3:$AB$3)/valUnits2</f>
        <v>2.00332</v>
      </c>
    </row>
    <row r="109" spans="2:34" x14ac:dyDescent="0.2">
      <c r="B109" t="s">
        <v>489</v>
      </c>
      <c r="C109" t="s">
        <v>855</v>
      </c>
      <c r="D109" t="s">
        <v>975</v>
      </c>
      <c r="E109">
        <v>8.7799999999999994</v>
      </c>
      <c r="F109">
        <v>457.41800000000001</v>
      </c>
      <c r="G109">
        <v>498.77499999999998</v>
      </c>
      <c r="H109">
        <v>4621.6659999999993</v>
      </c>
      <c r="I109">
        <v>3777.29</v>
      </c>
      <c r="J109">
        <v>1379.4970000000001</v>
      </c>
      <c r="K109">
        <v>1379.4970000000001</v>
      </c>
      <c r="L109">
        <v>1379.4970000000001</v>
      </c>
      <c r="M109">
        <v>1379.4970000000001</v>
      </c>
      <c r="N109">
        <v>1379.4970000000001</v>
      </c>
      <c r="O109">
        <v>1379.4970000000001</v>
      </c>
      <c r="P109">
        <v>1379.4970000000001</v>
      </c>
      <c r="Q109">
        <v>8.65</v>
      </c>
      <c r="R109">
        <v>467.01</v>
      </c>
      <c r="S109">
        <v>503.29</v>
      </c>
      <c r="T109">
        <v>4667.84</v>
      </c>
      <c r="U109">
        <v>3783.91</v>
      </c>
      <c r="V109">
        <v>1973.3399999999997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f>SUMPRODUCT(DB_SOFProject[[#This Row],[Plan01]:[Plan12]],$E$4:$P$4)/valUnits2</f>
        <v>10.743425999999999</v>
      </c>
      <c r="AD109">
        <f>SUMPRODUCT(DB_SOFProject[[#This Row],[Act01]:[Act12]],$Q$4:$AB$4)/valUnits2</f>
        <v>11.40404</v>
      </c>
      <c r="AE109">
        <f>DB_SOFProject[[#This Row],[Actual]]-DB_SOFProject[[#This Row],[Plan]]</f>
        <v>0.6606140000000007</v>
      </c>
      <c r="AF109" s="32">
        <f>IF(DB_SOFProject[[#This Row],[Plan]]&lt;&gt;0,DB_SOFProject[[#This Row],[Actual]]/DB_SOFProject[[#This Row],[Plan]],1.000011000011)</f>
        <v>1.0614900684381314</v>
      </c>
      <c r="AG109" s="34">
        <f>SUM(DB_SOFProject[[#This Row],[Plan01]:[Plan12]])/valUnits2</f>
        <v>19.020407999999996</v>
      </c>
      <c r="AH109" s="34">
        <f>SUMPRODUCT(DB_SOFProject[[#This Row],[Act01]:[Act12]],$Q$3:$AB$3)/valUnits2</f>
        <v>11.40404</v>
      </c>
    </row>
    <row r="110" spans="2:34" x14ac:dyDescent="0.2">
      <c r="B110" t="s">
        <v>489</v>
      </c>
      <c r="C110" t="s">
        <v>855</v>
      </c>
      <c r="D110" t="s">
        <v>980</v>
      </c>
      <c r="H110">
        <v>0</v>
      </c>
      <c r="I110">
        <v>0</v>
      </c>
      <c r="J110">
        <v>553.59699999999998</v>
      </c>
      <c r="K110">
        <v>553.59699999999998</v>
      </c>
      <c r="L110">
        <v>553.59699999999998</v>
      </c>
      <c r="M110">
        <v>553.59699999999998</v>
      </c>
      <c r="N110">
        <v>553.59699999999998</v>
      </c>
      <c r="O110">
        <v>553.59699999999998</v>
      </c>
      <c r="P110">
        <v>553.59699999999998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f>SUMPRODUCT(DB_SOFProject[[#This Row],[Plan01]:[Plan12]],$E$4:$P$4)/valUnits2</f>
        <v>0.55359700000000001</v>
      </c>
      <c r="AD110">
        <f>SUMPRODUCT(DB_SOFProject[[#This Row],[Act01]:[Act12]],$Q$4:$AB$4)/valUnits2</f>
        <v>0</v>
      </c>
      <c r="AE110">
        <f>DB_SOFProject[[#This Row],[Actual]]-DB_SOFProject[[#This Row],[Plan]]</f>
        <v>-0.55359700000000001</v>
      </c>
      <c r="AF110" s="32">
        <f>IF(DB_SOFProject[[#This Row],[Plan]]&lt;&gt;0,DB_SOFProject[[#This Row],[Actual]]/DB_SOFProject[[#This Row],[Plan]],1.000011000011)</f>
        <v>0</v>
      </c>
      <c r="AG110" s="34">
        <f>SUM(DB_SOFProject[[#This Row],[Plan01]:[Plan12]])/valUnits2</f>
        <v>3.8751789999999993</v>
      </c>
      <c r="AH110" s="34">
        <f>SUMPRODUCT(DB_SOFProject[[#This Row],[Act01]:[Act12]],$Q$3:$AB$3)/valUnits2</f>
        <v>0</v>
      </c>
    </row>
    <row r="111" spans="2:34" x14ac:dyDescent="0.2">
      <c r="B111" t="s">
        <v>489</v>
      </c>
      <c r="C111" t="s">
        <v>855</v>
      </c>
      <c r="D111" t="s">
        <v>998</v>
      </c>
      <c r="F111">
        <v>0</v>
      </c>
      <c r="G111">
        <v>0</v>
      </c>
      <c r="H111">
        <v>0</v>
      </c>
      <c r="I111">
        <v>0</v>
      </c>
      <c r="J111">
        <v>83.475999999999999</v>
      </c>
      <c r="K111">
        <v>83.475999999999999</v>
      </c>
      <c r="L111">
        <v>83.475999999999999</v>
      </c>
      <c r="M111">
        <v>83.475999999999999</v>
      </c>
      <c r="N111">
        <v>83.475999999999999</v>
      </c>
      <c r="O111">
        <v>83.475999999999999</v>
      </c>
      <c r="P111">
        <v>83.475999999999999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f>SUMPRODUCT(DB_SOFProject[[#This Row],[Plan01]:[Plan12]],$E$4:$P$4)/valUnits2</f>
        <v>8.3475999999999995E-2</v>
      </c>
      <c r="AD111">
        <f>SUMPRODUCT(DB_SOFProject[[#This Row],[Act01]:[Act12]],$Q$4:$AB$4)/valUnits2</f>
        <v>0</v>
      </c>
      <c r="AE111">
        <f>DB_SOFProject[[#This Row],[Actual]]-DB_SOFProject[[#This Row],[Plan]]</f>
        <v>-8.3475999999999995E-2</v>
      </c>
      <c r="AF111" s="32">
        <f>IF(DB_SOFProject[[#This Row],[Plan]]&lt;&gt;0,DB_SOFProject[[#This Row],[Actual]]/DB_SOFProject[[#This Row],[Plan]],1.000011000011)</f>
        <v>0</v>
      </c>
      <c r="AG111" s="34">
        <f>SUM(DB_SOFProject[[#This Row],[Plan01]:[Plan12]])/valUnits2</f>
        <v>0.58433199999999996</v>
      </c>
      <c r="AH111" s="34">
        <f>SUMPRODUCT(DB_SOFProject[[#This Row],[Act01]:[Act12]],$Q$3:$AB$3)/valUnits2</f>
        <v>0</v>
      </c>
    </row>
    <row r="112" spans="2:34" x14ac:dyDescent="0.2">
      <c r="B112" t="s">
        <v>489</v>
      </c>
      <c r="C112" t="s">
        <v>855</v>
      </c>
      <c r="D112" t="s">
        <v>999</v>
      </c>
      <c r="H112">
        <v>2183.9290000000001</v>
      </c>
      <c r="I112">
        <v>617.16099999999994</v>
      </c>
      <c r="J112">
        <v>553.59699999999998</v>
      </c>
      <c r="K112">
        <v>553.59699999999998</v>
      </c>
      <c r="L112">
        <v>553.59699999999998</v>
      </c>
      <c r="M112">
        <v>553.59699999999998</v>
      </c>
      <c r="N112">
        <v>553.59699999999998</v>
      </c>
      <c r="O112">
        <v>553.59699999999998</v>
      </c>
      <c r="P112">
        <v>553.59699999999998</v>
      </c>
      <c r="T112">
        <v>2193.1000000000004</v>
      </c>
      <c r="U112">
        <v>609.68000000000006</v>
      </c>
      <c r="V112">
        <v>609.28999999999974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f>SUMPRODUCT(DB_SOFProject[[#This Row],[Plan01]:[Plan12]],$E$4:$P$4)/valUnits2</f>
        <v>3.3546869999999998</v>
      </c>
      <c r="AD112">
        <f>SUMPRODUCT(DB_SOFProject[[#This Row],[Act01]:[Act12]],$Q$4:$AB$4)/valUnits2</f>
        <v>3.4120700000000008</v>
      </c>
      <c r="AE112">
        <f>DB_SOFProject[[#This Row],[Actual]]-DB_SOFProject[[#This Row],[Plan]]</f>
        <v>5.7383000000001072E-2</v>
      </c>
      <c r="AF112" s="32">
        <f>IF(DB_SOFProject[[#This Row],[Plan]]&lt;&gt;0,DB_SOFProject[[#This Row],[Actual]]/DB_SOFProject[[#This Row],[Plan]],1.000011000011)</f>
        <v>1.0171053215993031</v>
      </c>
      <c r="AG112" s="34">
        <f>SUM(DB_SOFProject[[#This Row],[Plan01]:[Plan12]])/valUnits2</f>
        <v>6.6762689999999987</v>
      </c>
      <c r="AH112" s="34">
        <f>SUMPRODUCT(DB_SOFProject[[#This Row],[Act01]:[Act12]],$Q$3:$AB$3)/valUnits2</f>
        <v>3.4120700000000008</v>
      </c>
    </row>
    <row r="113" spans="2:34" x14ac:dyDescent="0.2">
      <c r="B113" t="s">
        <v>489</v>
      </c>
      <c r="C113" t="s">
        <v>367</v>
      </c>
      <c r="D113" t="s">
        <v>975</v>
      </c>
      <c r="E113">
        <v>0</v>
      </c>
      <c r="H113">
        <v>782.64699999999993</v>
      </c>
      <c r="I113">
        <v>1051.2530000000002</v>
      </c>
      <c r="J113">
        <v>0</v>
      </c>
      <c r="K113">
        <v>0</v>
      </c>
      <c r="N113">
        <v>0</v>
      </c>
      <c r="Q113">
        <v>0</v>
      </c>
      <c r="T113">
        <v>781.95</v>
      </c>
      <c r="U113">
        <v>1050.52</v>
      </c>
      <c r="V113">
        <v>781.87999999999988</v>
      </c>
      <c r="W113">
        <v>0</v>
      </c>
      <c r="Z113">
        <v>0</v>
      </c>
      <c r="AC113">
        <f>SUMPRODUCT(DB_SOFProject[[#This Row],[Plan01]:[Plan12]],$E$4:$P$4)/valUnits2</f>
        <v>1.8339000000000001</v>
      </c>
      <c r="AD113">
        <f>SUMPRODUCT(DB_SOFProject[[#This Row],[Act01]:[Act12]],$Q$4:$AB$4)/valUnits2</f>
        <v>2.61435</v>
      </c>
      <c r="AE113">
        <f>DB_SOFProject[[#This Row],[Actual]]-DB_SOFProject[[#This Row],[Plan]]</f>
        <v>0.78044999999999987</v>
      </c>
      <c r="AF113" s="32">
        <f>IF(DB_SOFProject[[#This Row],[Plan]]&lt;&gt;0,DB_SOFProject[[#This Row],[Actual]]/DB_SOFProject[[#This Row],[Plan]],1.000011000011)</f>
        <v>1.4255684606576149</v>
      </c>
      <c r="AG113" s="34">
        <f>SUM(DB_SOFProject[[#This Row],[Plan01]:[Plan12]])/valUnits2</f>
        <v>1.8339000000000001</v>
      </c>
      <c r="AH113" s="34">
        <f>SUMPRODUCT(DB_SOFProject[[#This Row],[Act01]:[Act12]],$Q$3:$AB$3)/valUnits2</f>
        <v>2.61435</v>
      </c>
    </row>
    <row r="114" spans="2:34" x14ac:dyDescent="0.2">
      <c r="B114" t="s">
        <v>489</v>
      </c>
      <c r="C114" t="s">
        <v>856</v>
      </c>
      <c r="D114" t="s">
        <v>946</v>
      </c>
      <c r="E114">
        <v>1377.2750000000001</v>
      </c>
      <c r="F114">
        <v>1851.3899999999999</v>
      </c>
      <c r="G114">
        <v>2870.5949999999998</v>
      </c>
      <c r="H114">
        <v>5919.5640000000003</v>
      </c>
      <c r="I114">
        <v>4420.7609999999995</v>
      </c>
      <c r="J114">
        <v>1377.2750000000001</v>
      </c>
      <c r="K114">
        <v>1377.2750000000001</v>
      </c>
      <c r="L114">
        <v>1377.2750000000001</v>
      </c>
      <c r="M114">
        <v>1377.2750000000001</v>
      </c>
      <c r="N114">
        <v>1377.2750000000001</v>
      </c>
      <c r="O114">
        <v>1377.2750000000001</v>
      </c>
      <c r="P114">
        <v>1377.2750000000001</v>
      </c>
      <c r="Q114">
        <v>118.41999999999999</v>
      </c>
      <c r="R114">
        <v>454.82000000000005</v>
      </c>
      <c r="S114">
        <v>1435.48</v>
      </c>
      <c r="T114">
        <v>4394.5599999999995</v>
      </c>
      <c r="U114">
        <v>2962.9900000000002</v>
      </c>
      <c r="V114">
        <v>1789.44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f>SUMPRODUCT(DB_SOFProject[[#This Row],[Plan01]:[Plan12]],$E$4:$P$4)/valUnits2</f>
        <v>17.816860000000002</v>
      </c>
      <c r="AD114">
        <f>SUMPRODUCT(DB_SOFProject[[#This Row],[Act01]:[Act12]],$Q$4:$AB$4)/valUnits2</f>
        <v>11.155710000000001</v>
      </c>
      <c r="AE114">
        <f>DB_SOFProject[[#This Row],[Actual]]-DB_SOFProject[[#This Row],[Plan]]</f>
        <v>-6.661150000000001</v>
      </c>
      <c r="AF114" s="32">
        <f>IF(DB_SOFProject[[#This Row],[Plan]]&lt;&gt;0,DB_SOFProject[[#This Row],[Actual]]/DB_SOFProject[[#This Row],[Plan]],1.000011000011)</f>
        <v>0.62613221409384145</v>
      </c>
      <c r="AG114" s="34">
        <f>SUM(DB_SOFProject[[#This Row],[Plan01]:[Plan12]])/valUnits2</f>
        <v>26.080510000000011</v>
      </c>
      <c r="AH114" s="34">
        <f>SUMPRODUCT(DB_SOFProject[[#This Row],[Act01]:[Act12]],$Q$3:$AB$3)/valUnits2</f>
        <v>11.155710000000001</v>
      </c>
    </row>
    <row r="115" spans="2:34" x14ac:dyDescent="0.2">
      <c r="B115" t="s">
        <v>489</v>
      </c>
      <c r="C115" t="s">
        <v>856</v>
      </c>
      <c r="D115" t="s">
        <v>947</v>
      </c>
      <c r="E115">
        <v>1660.424</v>
      </c>
      <c r="F115">
        <v>2011.325</v>
      </c>
      <c r="G115">
        <v>1859.02</v>
      </c>
      <c r="H115">
        <v>33.859000000000002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1569.91</v>
      </c>
      <c r="R115">
        <v>1929.5</v>
      </c>
      <c r="S115">
        <v>1786.56</v>
      </c>
      <c r="T115">
        <v>32.479999999999997</v>
      </c>
      <c r="U115">
        <v>0</v>
      </c>
      <c r="V115">
        <v>985.2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f>SUMPRODUCT(DB_SOFProject[[#This Row],[Plan01]:[Plan12]],$E$4:$P$4)/valUnits2</f>
        <v>5.5646280000000008</v>
      </c>
      <c r="AD115">
        <f>SUMPRODUCT(DB_SOFProject[[#This Row],[Act01]:[Act12]],$Q$4:$AB$4)/valUnits2</f>
        <v>6.3036499999999984</v>
      </c>
      <c r="AE115">
        <f>DB_SOFProject[[#This Row],[Actual]]-DB_SOFProject[[#This Row],[Plan]]</f>
        <v>0.73902199999999763</v>
      </c>
      <c r="AF115" s="32">
        <f>IF(DB_SOFProject[[#This Row],[Plan]]&lt;&gt;0,DB_SOFProject[[#This Row],[Actual]]/DB_SOFProject[[#This Row],[Plan]],1.000011000011)</f>
        <v>1.1328070807248927</v>
      </c>
      <c r="AG115" s="34">
        <f>SUM(DB_SOFProject[[#This Row],[Plan01]:[Plan12]])/valUnits2</f>
        <v>5.5646280000000008</v>
      </c>
      <c r="AH115" s="34">
        <f>SUMPRODUCT(DB_SOFProject[[#This Row],[Act01]:[Act12]],$Q$3:$AB$3)/valUnits2</f>
        <v>6.3036499999999984</v>
      </c>
    </row>
    <row r="116" spans="2:34" x14ac:dyDescent="0.2">
      <c r="B116" t="s">
        <v>489</v>
      </c>
      <c r="C116" t="s">
        <v>856</v>
      </c>
      <c r="D116" t="s">
        <v>959</v>
      </c>
      <c r="E116">
        <v>16164.042999999998</v>
      </c>
      <c r="F116">
        <v>16037.682000000001</v>
      </c>
      <c r="G116">
        <v>18221.552000000003</v>
      </c>
      <c r="H116">
        <v>15946.973000000002</v>
      </c>
      <c r="I116">
        <v>16133.349000000002</v>
      </c>
      <c r="J116">
        <v>11425.502</v>
      </c>
      <c r="K116">
        <v>11425.502</v>
      </c>
      <c r="L116">
        <v>11425.502</v>
      </c>
      <c r="M116">
        <v>11425.502</v>
      </c>
      <c r="N116">
        <v>11425.502</v>
      </c>
      <c r="O116">
        <v>11425.502</v>
      </c>
      <c r="P116">
        <v>11425.502</v>
      </c>
      <c r="Q116">
        <v>4480.0999999999995</v>
      </c>
      <c r="R116">
        <v>4424.54</v>
      </c>
      <c r="S116">
        <v>6531.15</v>
      </c>
      <c r="T116">
        <v>4388.82</v>
      </c>
      <c r="U116">
        <v>4583.3100000000004</v>
      </c>
      <c r="V116">
        <v>4989.66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f>SUMPRODUCT(DB_SOFProject[[#This Row],[Plan01]:[Plan12]],$E$4:$P$4)/valUnits2</f>
        <v>93.929100999999989</v>
      </c>
      <c r="AD116">
        <f>SUMPRODUCT(DB_SOFProject[[#This Row],[Act01]:[Act12]],$Q$4:$AB$4)/valUnits2</f>
        <v>29.397580000000001</v>
      </c>
      <c r="AE116">
        <f>DB_SOFProject[[#This Row],[Actual]]-DB_SOFProject[[#This Row],[Plan]]</f>
        <v>-64.531520999999984</v>
      </c>
      <c r="AF116" s="32">
        <f>IF(DB_SOFProject[[#This Row],[Plan]]&lt;&gt;0,DB_SOFProject[[#This Row],[Actual]]/DB_SOFProject[[#This Row],[Plan]],1.000011000011)</f>
        <v>0.31297627345544388</v>
      </c>
      <c r="AG116" s="34">
        <f>SUM(DB_SOFProject[[#This Row],[Plan01]:[Plan12]])/valUnits2</f>
        <v>162.48211300000006</v>
      </c>
      <c r="AH116" s="34">
        <f>SUMPRODUCT(DB_SOFProject[[#This Row],[Act01]:[Act12]],$Q$3:$AB$3)/valUnits2</f>
        <v>29.397580000000001</v>
      </c>
    </row>
    <row r="117" spans="2:34" x14ac:dyDescent="0.2">
      <c r="B117" t="s">
        <v>489</v>
      </c>
      <c r="C117" t="s">
        <v>856</v>
      </c>
      <c r="D117" t="s">
        <v>975</v>
      </c>
      <c r="E117">
        <v>23056.646000000001</v>
      </c>
      <c r="F117">
        <v>22743.577000000001</v>
      </c>
      <c r="G117">
        <v>22132.974000000006</v>
      </c>
      <c r="H117">
        <v>62323.528999999988</v>
      </c>
      <c r="I117">
        <v>34777.758000000002</v>
      </c>
      <c r="J117">
        <v>18760.276999999998</v>
      </c>
      <c r="K117">
        <v>18760.276999999998</v>
      </c>
      <c r="L117">
        <v>18760.276999999998</v>
      </c>
      <c r="M117">
        <v>18760.276999999998</v>
      </c>
      <c r="N117">
        <v>18760.276999999998</v>
      </c>
      <c r="O117">
        <v>18760.276999999998</v>
      </c>
      <c r="P117">
        <v>18760.217000000001</v>
      </c>
      <c r="Q117">
        <v>4062.1600000000003</v>
      </c>
      <c r="R117">
        <v>3820.72</v>
      </c>
      <c r="S117">
        <v>3241.2200000000003</v>
      </c>
      <c r="T117">
        <v>41878.19</v>
      </c>
      <c r="U117">
        <v>15572.460000000001</v>
      </c>
      <c r="V117">
        <v>12570.010000000002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f>SUMPRODUCT(DB_SOFProject[[#This Row],[Plan01]:[Plan12]],$E$4:$P$4)/valUnits2</f>
        <v>183.79476099999999</v>
      </c>
      <c r="AD117">
        <f>SUMPRODUCT(DB_SOFProject[[#This Row],[Act01]:[Act12]],$Q$4:$AB$4)/valUnits2</f>
        <v>81.144760000000005</v>
      </c>
      <c r="AE117">
        <f>DB_SOFProject[[#This Row],[Actual]]-DB_SOFProject[[#This Row],[Plan]]</f>
        <v>-102.65000099999999</v>
      </c>
      <c r="AF117" s="32">
        <f>IF(DB_SOFProject[[#This Row],[Plan]]&lt;&gt;0,DB_SOFProject[[#This Row],[Actual]]/DB_SOFProject[[#This Row],[Plan]],1.000011000011)</f>
        <v>0.441496588686769</v>
      </c>
      <c r="AG117" s="34">
        <f>SUM(DB_SOFProject[[#This Row],[Plan01]:[Plan12]])/valUnits2</f>
        <v>296.35636299999999</v>
      </c>
      <c r="AH117" s="34">
        <f>SUMPRODUCT(DB_SOFProject[[#This Row],[Act01]:[Act12]],$Q$3:$AB$3)/valUnits2</f>
        <v>81.144760000000005</v>
      </c>
    </row>
    <row r="118" spans="2:34" x14ac:dyDescent="0.2">
      <c r="B118" t="s">
        <v>489</v>
      </c>
      <c r="C118" t="s">
        <v>856</v>
      </c>
      <c r="D118" t="s">
        <v>976</v>
      </c>
      <c r="E118">
        <v>881.45699999999999</v>
      </c>
      <c r="F118">
        <v>1491.98</v>
      </c>
      <c r="G118">
        <v>1697.9850000000001</v>
      </c>
      <c r="H118">
        <v>2321.4</v>
      </c>
      <c r="I118">
        <v>1477.375</v>
      </c>
      <c r="J118">
        <v>881.45699999999999</v>
      </c>
      <c r="K118">
        <v>881.45699999999999</v>
      </c>
      <c r="L118">
        <v>881.45699999999999</v>
      </c>
      <c r="M118">
        <v>881.45699999999999</v>
      </c>
      <c r="N118">
        <v>881.45699999999999</v>
      </c>
      <c r="O118">
        <v>881.45699999999999</v>
      </c>
      <c r="P118">
        <v>881.45699999999999</v>
      </c>
      <c r="Q118">
        <v>0</v>
      </c>
      <c r="R118">
        <v>585.68000000000006</v>
      </c>
      <c r="S118">
        <v>784.7</v>
      </c>
      <c r="T118">
        <v>1381.49</v>
      </c>
      <c r="U118">
        <v>580.16</v>
      </c>
      <c r="V118">
        <v>695.19999999999993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f>SUMPRODUCT(DB_SOFProject[[#This Row],[Plan01]:[Plan12]],$E$4:$P$4)/valUnits2</f>
        <v>8.7516540000000003</v>
      </c>
      <c r="AD118">
        <f>SUMPRODUCT(DB_SOFProject[[#This Row],[Act01]:[Act12]],$Q$4:$AB$4)/valUnits2</f>
        <v>4.0272299999999994</v>
      </c>
      <c r="AE118">
        <f>DB_SOFProject[[#This Row],[Actual]]-DB_SOFProject[[#This Row],[Plan]]</f>
        <v>-4.7244240000000008</v>
      </c>
      <c r="AF118" s="32">
        <f>IF(DB_SOFProject[[#This Row],[Plan]]&lt;&gt;0,DB_SOFProject[[#This Row],[Actual]]/DB_SOFProject[[#This Row],[Plan]],1.000011000011)</f>
        <v>0.46016787226734507</v>
      </c>
      <c r="AG118" s="34">
        <f>SUM(DB_SOFProject[[#This Row],[Plan01]:[Plan12]])/valUnits2</f>
        <v>14.040396000000003</v>
      </c>
      <c r="AH118" s="34">
        <f>SUMPRODUCT(DB_SOFProject[[#This Row],[Act01]:[Act12]],$Q$3:$AB$3)/valUnits2</f>
        <v>4.0272299999999994</v>
      </c>
    </row>
    <row r="119" spans="2:34" x14ac:dyDescent="0.2">
      <c r="B119" t="s">
        <v>489</v>
      </c>
      <c r="C119" t="s">
        <v>856</v>
      </c>
      <c r="D119" t="s">
        <v>980</v>
      </c>
      <c r="E119">
        <v>1377.2750000000001</v>
      </c>
      <c r="F119">
        <v>3461.6750000000002</v>
      </c>
      <c r="G119">
        <v>4760.7350000000006</v>
      </c>
      <c r="H119">
        <v>5447.9469999999992</v>
      </c>
      <c r="I119">
        <v>3236.5330000000004</v>
      </c>
      <c r="J119">
        <v>1377.2750000000001</v>
      </c>
      <c r="K119">
        <v>1377.2750000000001</v>
      </c>
      <c r="L119">
        <v>1377.2750000000001</v>
      </c>
      <c r="M119">
        <v>1377.2750000000001</v>
      </c>
      <c r="N119">
        <v>1377.2750000000001</v>
      </c>
      <c r="O119">
        <v>1377.2750000000001</v>
      </c>
      <c r="P119">
        <v>1377.2750000000001</v>
      </c>
      <c r="Q119">
        <v>0</v>
      </c>
      <c r="R119">
        <v>1999.6000000000001</v>
      </c>
      <c r="S119">
        <v>3251.58</v>
      </c>
      <c r="T119">
        <v>3903.4600000000005</v>
      </c>
      <c r="U119">
        <v>1810.07</v>
      </c>
      <c r="V119">
        <v>2007.9199999999998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f>SUMPRODUCT(DB_SOFProject[[#This Row],[Plan01]:[Plan12]],$E$4:$P$4)/valUnits2</f>
        <v>19.661440000000002</v>
      </c>
      <c r="AD119">
        <f>SUMPRODUCT(DB_SOFProject[[#This Row],[Act01]:[Act12]],$Q$4:$AB$4)/valUnits2</f>
        <v>12.972630000000001</v>
      </c>
      <c r="AE119">
        <f>DB_SOFProject[[#This Row],[Actual]]-DB_SOFProject[[#This Row],[Plan]]</f>
        <v>-6.6888100000000019</v>
      </c>
      <c r="AF119" s="32">
        <f>IF(DB_SOFProject[[#This Row],[Plan]]&lt;&gt;0,DB_SOFProject[[#This Row],[Actual]]/DB_SOFProject[[#This Row],[Plan]],1.000011000011)</f>
        <v>0.65980060463526569</v>
      </c>
      <c r="AG119" s="34">
        <f>SUM(DB_SOFProject[[#This Row],[Plan01]:[Plan12]])/valUnits2</f>
        <v>27.925090000000012</v>
      </c>
      <c r="AH119" s="34">
        <f>SUMPRODUCT(DB_SOFProject[[#This Row],[Act01]:[Act12]],$Q$3:$AB$3)/valUnits2</f>
        <v>12.972630000000001</v>
      </c>
    </row>
    <row r="120" spans="2:34" x14ac:dyDescent="0.2">
      <c r="B120" t="s">
        <v>489</v>
      </c>
      <c r="C120" t="s">
        <v>856</v>
      </c>
      <c r="D120" t="s">
        <v>998</v>
      </c>
      <c r="E120">
        <v>3115</v>
      </c>
      <c r="F120">
        <v>4194.2800000000007</v>
      </c>
      <c r="G120">
        <v>3977.125</v>
      </c>
      <c r="H120">
        <v>4253.5309999999999</v>
      </c>
      <c r="I120">
        <v>3771.3410000000003</v>
      </c>
      <c r="J120">
        <v>3115</v>
      </c>
      <c r="K120">
        <v>3115</v>
      </c>
      <c r="L120">
        <v>3115</v>
      </c>
      <c r="M120">
        <v>3115</v>
      </c>
      <c r="N120">
        <v>3115</v>
      </c>
      <c r="O120">
        <v>3115</v>
      </c>
      <c r="P120">
        <v>3115</v>
      </c>
      <c r="Q120">
        <v>0</v>
      </c>
      <c r="R120">
        <v>1079.28</v>
      </c>
      <c r="S120">
        <v>861.25</v>
      </c>
      <c r="T120">
        <v>1121.6300000000001</v>
      </c>
      <c r="U120">
        <v>655.88000000000011</v>
      </c>
      <c r="V120">
        <v>657.1400000000001</v>
      </c>
      <c r="W120">
        <v>3098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f>SUMPRODUCT(DB_SOFProject[[#This Row],[Plan01]:[Plan12]],$E$4:$P$4)/valUnits2</f>
        <v>22.426277000000002</v>
      </c>
      <c r="AD120">
        <f>SUMPRODUCT(DB_SOFProject[[#This Row],[Act01]:[Act12]],$Q$4:$AB$4)/valUnits2</f>
        <v>4.3751800000000003</v>
      </c>
      <c r="AE120">
        <f>DB_SOFProject[[#This Row],[Actual]]-DB_SOFProject[[#This Row],[Plan]]</f>
        <v>-18.051097000000002</v>
      </c>
      <c r="AF120" s="32">
        <f>IF(DB_SOFProject[[#This Row],[Plan]]&lt;&gt;0,DB_SOFProject[[#This Row],[Actual]]/DB_SOFProject[[#This Row],[Plan]],1.000011000011)</f>
        <v>0.19509167749956891</v>
      </c>
      <c r="AG120" s="34">
        <f>SUM(DB_SOFProject[[#This Row],[Plan01]:[Plan12]])/valUnits2</f>
        <v>41.116277000000004</v>
      </c>
      <c r="AH120" s="34">
        <f>SUMPRODUCT(DB_SOFProject[[#This Row],[Act01]:[Act12]],$Q$3:$AB$3)/valUnits2</f>
        <v>4.3751800000000003</v>
      </c>
    </row>
    <row r="121" spans="2:34" x14ac:dyDescent="0.2">
      <c r="B121" t="s">
        <v>489</v>
      </c>
      <c r="C121" t="s">
        <v>856</v>
      </c>
      <c r="D121" t="s">
        <v>999</v>
      </c>
      <c r="E121">
        <v>2422.4369999999999</v>
      </c>
      <c r="F121">
        <v>2491.3820000000001</v>
      </c>
      <c r="G121">
        <v>3502.0920000000001</v>
      </c>
      <c r="H121">
        <v>4174.1350000000002</v>
      </c>
      <c r="I121">
        <v>2701.3710000000001</v>
      </c>
      <c r="J121">
        <v>1560.912</v>
      </c>
      <c r="K121">
        <v>1560.912</v>
      </c>
      <c r="L121">
        <v>1560.912</v>
      </c>
      <c r="M121">
        <v>1560.912</v>
      </c>
      <c r="N121">
        <v>1560.912</v>
      </c>
      <c r="O121">
        <v>1560.912</v>
      </c>
      <c r="P121">
        <v>1560.912</v>
      </c>
      <c r="Q121">
        <v>814.56</v>
      </c>
      <c r="R121">
        <v>892.62</v>
      </c>
      <c r="S121">
        <v>1865.54</v>
      </c>
      <c r="T121">
        <v>2513.39</v>
      </c>
      <c r="U121">
        <v>1109.9100000000001</v>
      </c>
      <c r="V121">
        <v>1589.6000000000001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f>SUMPRODUCT(DB_SOFProject[[#This Row],[Plan01]:[Plan12]],$E$4:$P$4)/valUnits2</f>
        <v>16.852329000000001</v>
      </c>
      <c r="AD121">
        <f>SUMPRODUCT(DB_SOFProject[[#This Row],[Act01]:[Act12]],$Q$4:$AB$4)/valUnits2</f>
        <v>8.7856199999999998</v>
      </c>
      <c r="AE121">
        <f>DB_SOFProject[[#This Row],[Actual]]-DB_SOFProject[[#This Row],[Plan]]</f>
        <v>-8.0667090000000012</v>
      </c>
      <c r="AF121" s="32">
        <f>IF(DB_SOFProject[[#This Row],[Plan]]&lt;&gt;0,DB_SOFProject[[#This Row],[Actual]]/DB_SOFProject[[#This Row],[Plan]],1.000011000011)</f>
        <v>0.52132972243777098</v>
      </c>
      <c r="AG121" s="34">
        <f>SUM(DB_SOFProject[[#This Row],[Plan01]:[Plan12]])/valUnits2</f>
        <v>26.217801000000001</v>
      </c>
      <c r="AH121" s="34">
        <f>SUMPRODUCT(DB_SOFProject[[#This Row],[Act01]:[Act12]],$Q$3:$AB$3)/valUnits2</f>
        <v>8.7856199999999998</v>
      </c>
    </row>
    <row r="122" spans="2:34" x14ac:dyDescent="0.2">
      <c r="B122" t="s">
        <v>489</v>
      </c>
      <c r="C122" t="s">
        <v>857</v>
      </c>
      <c r="D122" t="s">
        <v>946</v>
      </c>
      <c r="F122">
        <v>2247.46</v>
      </c>
      <c r="I122">
        <v>-2247.46</v>
      </c>
      <c r="R122">
        <v>2247.4599999999996</v>
      </c>
      <c r="U122">
        <v>-2247.4599999999996</v>
      </c>
      <c r="AC122">
        <f>SUMPRODUCT(DB_SOFProject[[#This Row],[Plan01]:[Plan12]],$E$4:$P$4)/valUnits2</f>
        <v>0</v>
      </c>
      <c r="AD122">
        <f>SUMPRODUCT(DB_SOFProject[[#This Row],[Act01]:[Act12]],$Q$4:$AB$4)/valUnits2</f>
        <v>0</v>
      </c>
      <c r="AE122">
        <f>DB_SOFProject[[#This Row],[Actual]]-DB_SOFProject[[#This Row],[Plan]]</f>
        <v>0</v>
      </c>
      <c r="AF122" s="32">
        <f>IF(DB_SOFProject[[#This Row],[Plan]]&lt;&gt;0,DB_SOFProject[[#This Row],[Actual]]/DB_SOFProject[[#This Row],[Plan]],1.000011000011)</f>
        <v>1.0000110000110001</v>
      </c>
      <c r="AG122" s="34">
        <f>SUM(DB_SOFProject[[#This Row],[Plan01]:[Plan12]])/valUnits2</f>
        <v>0</v>
      </c>
      <c r="AH122" s="34">
        <f>SUMPRODUCT(DB_SOFProject[[#This Row],[Act01]:[Act12]],$Q$3:$AB$3)/valUnits2</f>
        <v>0</v>
      </c>
    </row>
    <row r="123" spans="2:34" x14ac:dyDescent="0.2">
      <c r="B123" t="s">
        <v>489</v>
      </c>
      <c r="C123" t="s">
        <v>857</v>
      </c>
      <c r="D123" t="s">
        <v>947</v>
      </c>
      <c r="F123">
        <v>2609.21</v>
      </c>
      <c r="I123">
        <v>-2609.21</v>
      </c>
      <c r="R123">
        <v>2609.21</v>
      </c>
      <c r="U123">
        <v>-2609.21</v>
      </c>
      <c r="AC123">
        <f>SUMPRODUCT(DB_SOFProject[[#This Row],[Plan01]:[Plan12]],$E$4:$P$4)/valUnits2</f>
        <v>0</v>
      </c>
      <c r="AD123">
        <f>SUMPRODUCT(DB_SOFProject[[#This Row],[Act01]:[Act12]],$Q$4:$AB$4)/valUnits2</f>
        <v>0</v>
      </c>
      <c r="AE123">
        <f>DB_SOFProject[[#This Row],[Actual]]-DB_SOFProject[[#This Row],[Plan]]</f>
        <v>0</v>
      </c>
      <c r="AF123" s="32">
        <f>IF(DB_SOFProject[[#This Row],[Plan]]&lt;&gt;0,DB_SOFProject[[#This Row],[Actual]]/DB_SOFProject[[#This Row],[Plan]],1.000011000011)</f>
        <v>1.0000110000110001</v>
      </c>
      <c r="AG123" s="34">
        <f>SUM(DB_SOFProject[[#This Row],[Plan01]:[Plan12]])/valUnits2</f>
        <v>0</v>
      </c>
      <c r="AH123" s="34">
        <f>SUMPRODUCT(DB_SOFProject[[#This Row],[Act01]:[Act12]],$Q$3:$AB$3)/valUnits2</f>
        <v>0</v>
      </c>
    </row>
    <row r="124" spans="2:34" x14ac:dyDescent="0.2">
      <c r="B124" t="s">
        <v>489</v>
      </c>
      <c r="C124" t="s">
        <v>857</v>
      </c>
      <c r="D124" t="s">
        <v>959</v>
      </c>
      <c r="E124">
        <v>641.61</v>
      </c>
      <c r="F124">
        <v>3694.53</v>
      </c>
      <c r="G124">
        <v>1310.3</v>
      </c>
      <c r="I124">
        <v>-4404.6400000000003</v>
      </c>
      <c r="Q124">
        <v>641.61</v>
      </c>
      <c r="R124">
        <v>3694.53</v>
      </c>
      <c r="S124">
        <v>1310.3</v>
      </c>
      <c r="U124">
        <v>-4404.6400000000003</v>
      </c>
      <c r="AC124">
        <f>SUMPRODUCT(DB_SOFProject[[#This Row],[Plan01]:[Plan12]],$E$4:$P$4)/valUnits2</f>
        <v>1.2418000000000002</v>
      </c>
      <c r="AD124">
        <f>SUMPRODUCT(DB_SOFProject[[#This Row],[Act01]:[Act12]],$Q$4:$AB$4)/valUnits2</f>
        <v>1.2418000000000002</v>
      </c>
      <c r="AE124">
        <f>DB_SOFProject[[#This Row],[Actual]]-DB_SOFProject[[#This Row],[Plan]]</f>
        <v>0</v>
      </c>
      <c r="AF124" s="32">
        <f>IF(DB_SOFProject[[#This Row],[Plan]]&lt;&gt;0,DB_SOFProject[[#This Row],[Actual]]/DB_SOFProject[[#This Row],[Plan]],1.000011000011)</f>
        <v>1</v>
      </c>
      <c r="AG124" s="34">
        <f>SUM(DB_SOFProject[[#This Row],[Plan01]:[Plan12]])/valUnits2</f>
        <v>1.2418000000000002</v>
      </c>
      <c r="AH124" s="34">
        <f>SUMPRODUCT(DB_SOFProject[[#This Row],[Act01]:[Act12]],$Q$3:$AB$3)/valUnits2</f>
        <v>1.2418000000000002</v>
      </c>
    </row>
    <row r="125" spans="2:34" x14ac:dyDescent="0.2">
      <c r="B125" t="s">
        <v>489</v>
      </c>
      <c r="C125" t="s">
        <v>857</v>
      </c>
      <c r="D125" t="s">
        <v>975</v>
      </c>
      <c r="F125">
        <v>3648.64</v>
      </c>
      <c r="I125">
        <v>-3648.64</v>
      </c>
      <c r="R125">
        <v>3648.6400000000003</v>
      </c>
      <c r="U125">
        <v>-3648.6400000000003</v>
      </c>
      <c r="AC125">
        <f>SUMPRODUCT(DB_SOFProject[[#This Row],[Plan01]:[Plan12]],$E$4:$P$4)/valUnits2</f>
        <v>0</v>
      </c>
      <c r="AD125">
        <f>SUMPRODUCT(DB_SOFProject[[#This Row],[Act01]:[Act12]],$Q$4:$AB$4)/valUnits2</f>
        <v>0</v>
      </c>
      <c r="AE125">
        <f>DB_SOFProject[[#This Row],[Actual]]-DB_SOFProject[[#This Row],[Plan]]</f>
        <v>0</v>
      </c>
      <c r="AF125" s="32">
        <f>IF(DB_SOFProject[[#This Row],[Plan]]&lt;&gt;0,DB_SOFProject[[#This Row],[Actual]]/DB_SOFProject[[#This Row],[Plan]],1.000011000011)</f>
        <v>1.0000110000110001</v>
      </c>
      <c r="AG125" s="34">
        <f>SUM(DB_SOFProject[[#This Row],[Plan01]:[Plan12]])/valUnits2</f>
        <v>0</v>
      </c>
      <c r="AH125" s="34">
        <f>SUMPRODUCT(DB_SOFProject[[#This Row],[Act01]:[Act12]],$Q$3:$AB$3)/valUnits2</f>
        <v>0</v>
      </c>
    </row>
    <row r="126" spans="2:34" x14ac:dyDescent="0.2">
      <c r="B126" t="s">
        <v>489</v>
      </c>
      <c r="C126" t="s">
        <v>857</v>
      </c>
      <c r="D126" t="s">
        <v>976</v>
      </c>
      <c r="E126">
        <v>-1996.32</v>
      </c>
      <c r="Q126">
        <v>-1996.32</v>
      </c>
      <c r="AC126">
        <f>SUMPRODUCT(DB_SOFProject[[#This Row],[Plan01]:[Plan12]],$E$4:$P$4)/valUnits2</f>
        <v>-1.9963199999999999</v>
      </c>
      <c r="AD126">
        <f>SUMPRODUCT(DB_SOFProject[[#This Row],[Act01]:[Act12]],$Q$4:$AB$4)/valUnits2</f>
        <v>-1.9963199999999999</v>
      </c>
      <c r="AE126">
        <f>DB_SOFProject[[#This Row],[Actual]]-DB_SOFProject[[#This Row],[Plan]]</f>
        <v>0</v>
      </c>
      <c r="AF126" s="32">
        <f>IF(DB_SOFProject[[#This Row],[Plan]]&lt;&gt;0,DB_SOFProject[[#This Row],[Actual]]/DB_SOFProject[[#This Row],[Plan]],1.000011000011)</f>
        <v>1</v>
      </c>
      <c r="AG126" s="34">
        <f>SUM(DB_SOFProject[[#This Row],[Plan01]:[Plan12]])/valUnits2</f>
        <v>-1.9963199999999999</v>
      </c>
      <c r="AH126" s="34">
        <f>SUMPRODUCT(DB_SOFProject[[#This Row],[Act01]:[Act12]],$Q$3:$AB$3)/valUnits2</f>
        <v>-1.9963199999999999</v>
      </c>
    </row>
    <row r="127" spans="2:34" x14ac:dyDescent="0.2">
      <c r="B127" t="s">
        <v>489</v>
      </c>
      <c r="C127" t="s">
        <v>857</v>
      </c>
      <c r="D127" t="s">
        <v>984</v>
      </c>
      <c r="F127">
        <v>1317.15</v>
      </c>
      <c r="I127">
        <v>-1317.15</v>
      </c>
      <c r="R127">
        <v>1317.15</v>
      </c>
      <c r="U127">
        <v>-1317.15</v>
      </c>
      <c r="AC127">
        <f>SUMPRODUCT(DB_SOFProject[[#This Row],[Plan01]:[Plan12]],$E$4:$P$4)/valUnits2</f>
        <v>0</v>
      </c>
      <c r="AD127">
        <f>SUMPRODUCT(DB_SOFProject[[#This Row],[Act01]:[Act12]],$Q$4:$AB$4)/valUnits2</f>
        <v>0</v>
      </c>
      <c r="AE127">
        <f>DB_SOFProject[[#This Row],[Actual]]-DB_SOFProject[[#This Row],[Plan]]</f>
        <v>0</v>
      </c>
      <c r="AF127" s="32">
        <f>IF(DB_SOFProject[[#This Row],[Plan]]&lt;&gt;0,DB_SOFProject[[#This Row],[Actual]]/DB_SOFProject[[#This Row],[Plan]],1.000011000011)</f>
        <v>1.0000110000110001</v>
      </c>
      <c r="AG127" s="34">
        <f>SUM(DB_SOFProject[[#This Row],[Plan01]:[Plan12]])/valUnits2</f>
        <v>0</v>
      </c>
      <c r="AH127" s="34">
        <f>SUMPRODUCT(DB_SOFProject[[#This Row],[Act01]:[Act12]],$Q$3:$AB$3)/valUnits2</f>
        <v>0</v>
      </c>
    </row>
    <row r="128" spans="2:34" x14ac:dyDescent="0.2">
      <c r="B128" t="s">
        <v>489</v>
      </c>
      <c r="C128" t="s">
        <v>857</v>
      </c>
      <c r="D128" t="s">
        <v>999</v>
      </c>
      <c r="F128">
        <v>1035.3599999999999</v>
      </c>
      <c r="I128">
        <v>-1035.3599999999999</v>
      </c>
      <c r="R128">
        <v>1035.3599999999999</v>
      </c>
      <c r="U128">
        <v>-1035.3599999999999</v>
      </c>
      <c r="AC128">
        <f>SUMPRODUCT(DB_SOFProject[[#This Row],[Plan01]:[Plan12]],$E$4:$P$4)/valUnits2</f>
        <v>0</v>
      </c>
      <c r="AD128">
        <f>SUMPRODUCT(DB_SOFProject[[#This Row],[Act01]:[Act12]],$Q$4:$AB$4)/valUnits2</f>
        <v>0</v>
      </c>
      <c r="AE128">
        <f>DB_SOFProject[[#This Row],[Actual]]-DB_SOFProject[[#This Row],[Plan]]</f>
        <v>0</v>
      </c>
      <c r="AF128" s="32">
        <f>IF(DB_SOFProject[[#This Row],[Plan]]&lt;&gt;0,DB_SOFProject[[#This Row],[Actual]]/DB_SOFProject[[#This Row],[Plan]],1.000011000011)</f>
        <v>1.0000110000110001</v>
      </c>
      <c r="AG128" s="34">
        <f>SUM(DB_SOFProject[[#This Row],[Plan01]:[Plan12]])/valUnits2</f>
        <v>0</v>
      </c>
      <c r="AH128" s="34">
        <f>SUMPRODUCT(DB_SOFProject[[#This Row],[Act01]:[Act12]],$Q$3:$AB$3)/valUnits2</f>
        <v>0</v>
      </c>
    </row>
    <row r="129" spans="2:34" x14ac:dyDescent="0.2">
      <c r="B129" t="s">
        <v>489</v>
      </c>
      <c r="C129" t="s">
        <v>858</v>
      </c>
      <c r="D129" t="s">
        <v>946</v>
      </c>
      <c r="E129">
        <v>701.75</v>
      </c>
      <c r="H129">
        <v>451.65000000000009</v>
      </c>
      <c r="I129">
        <v>789.52</v>
      </c>
      <c r="J129">
        <v>0</v>
      </c>
      <c r="Q129">
        <v>701.75</v>
      </c>
      <c r="T129">
        <v>451.65</v>
      </c>
      <c r="U129">
        <v>789.52</v>
      </c>
      <c r="V129">
        <v>640.54</v>
      </c>
      <c r="AC129">
        <f>SUMPRODUCT(DB_SOFProject[[#This Row],[Plan01]:[Plan12]],$E$4:$P$4)/valUnits2</f>
        <v>1.94292</v>
      </c>
      <c r="AD129">
        <f>SUMPRODUCT(DB_SOFProject[[#This Row],[Act01]:[Act12]],$Q$4:$AB$4)/valUnits2</f>
        <v>2.5834600000000001</v>
      </c>
      <c r="AE129">
        <f>DB_SOFProject[[#This Row],[Actual]]-DB_SOFProject[[#This Row],[Plan]]</f>
        <v>0.64054000000000011</v>
      </c>
      <c r="AF129" s="32">
        <f>IF(DB_SOFProject[[#This Row],[Plan]]&lt;&gt;0,DB_SOFProject[[#This Row],[Actual]]/DB_SOFProject[[#This Row],[Plan]],1.000011000011)</f>
        <v>1.3296790397957714</v>
      </c>
      <c r="AG129" s="34">
        <f>SUM(DB_SOFProject[[#This Row],[Plan01]:[Plan12]])/valUnits2</f>
        <v>1.94292</v>
      </c>
      <c r="AH129" s="34">
        <f>SUMPRODUCT(DB_SOFProject[[#This Row],[Act01]:[Act12]],$Q$3:$AB$3)/valUnits2</f>
        <v>2.5834600000000001</v>
      </c>
    </row>
    <row r="130" spans="2:34" x14ac:dyDescent="0.2">
      <c r="B130" t="s">
        <v>489</v>
      </c>
      <c r="C130" t="s">
        <v>858</v>
      </c>
      <c r="D130" t="s">
        <v>947</v>
      </c>
      <c r="H130">
        <v>567.02</v>
      </c>
      <c r="I130">
        <v>1684.6999999999998</v>
      </c>
      <c r="J130">
        <v>0</v>
      </c>
      <c r="T130">
        <v>567.02</v>
      </c>
      <c r="U130">
        <v>1684.6999999999998</v>
      </c>
      <c r="V130">
        <v>783.98</v>
      </c>
      <c r="AC130">
        <f>SUMPRODUCT(DB_SOFProject[[#This Row],[Plan01]:[Plan12]],$E$4:$P$4)/valUnits2</f>
        <v>2.2517199999999997</v>
      </c>
      <c r="AD130">
        <f>SUMPRODUCT(DB_SOFProject[[#This Row],[Act01]:[Act12]],$Q$4:$AB$4)/valUnits2</f>
        <v>3.0356999999999998</v>
      </c>
      <c r="AE130">
        <f>DB_SOFProject[[#This Row],[Actual]]-DB_SOFProject[[#This Row],[Plan]]</f>
        <v>0.78398000000000012</v>
      </c>
      <c r="AF130" s="32">
        <f>IF(DB_SOFProject[[#This Row],[Plan]]&lt;&gt;0,DB_SOFProject[[#This Row],[Actual]]/DB_SOFProject[[#This Row],[Plan]],1.000011000011)</f>
        <v>1.3481693993924646</v>
      </c>
      <c r="AG130" s="34">
        <f>SUM(DB_SOFProject[[#This Row],[Plan01]:[Plan12]])/valUnits2</f>
        <v>2.2517199999999997</v>
      </c>
      <c r="AH130" s="34">
        <f>SUMPRODUCT(DB_SOFProject[[#This Row],[Act01]:[Act12]],$Q$3:$AB$3)/valUnits2</f>
        <v>3.0356999999999998</v>
      </c>
    </row>
    <row r="131" spans="2:34" x14ac:dyDescent="0.2">
      <c r="B131" t="s">
        <v>489</v>
      </c>
      <c r="C131" t="s">
        <v>858</v>
      </c>
      <c r="D131" t="s">
        <v>950</v>
      </c>
      <c r="E131">
        <v>10627.640000000001</v>
      </c>
      <c r="F131">
        <v>13504.11</v>
      </c>
      <c r="G131">
        <v>16400.11</v>
      </c>
      <c r="H131">
        <v>10183.049999999999</v>
      </c>
      <c r="I131">
        <v>12674.94</v>
      </c>
      <c r="J131">
        <v>15299.603000000003</v>
      </c>
      <c r="K131">
        <v>15299.603000000001</v>
      </c>
      <c r="L131">
        <v>17769.601000000002</v>
      </c>
      <c r="M131">
        <v>15299.603000000003</v>
      </c>
      <c r="N131">
        <v>15299.603000000001</v>
      </c>
      <c r="O131">
        <v>15299.603000000003</v>
      </c>
      <c r="P131">
        <v>15299.603000000003</v>
      </c>
      <c r="Q131">
        <v>10627.640000000001</v>
      </c>
      <c r="R131">
        <v>13504.110000000004</v>
      </c>
      <c r="S131">
        <v>16400.11</v>
      </c>
      <c r="T131">
        <v>10362.229999999998</v>
      </c>
      <c r="U131">
        <v>12674.940000000002</v>
      </c>
      <c r="V131">
        <v>14755.190000000002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f>SUMPRODUCT(DB_SOFProject[[#This Row],[Plan01]:[Plan12]],$E$4:$P$4)/valUnits2</f>
        <v>78.689453000000015</v>
      </c>
      <c r="AD131">
        <f>SUMPRODUCT(DB_SOFProject[[#This Row],[Act01]:[Act12]],$Q$4:$AB$4)/valUnits2</f>
        <v>78.324219999999997</v>
      </c>
      <c r="AE131">
        <f>DB_SOFProject[[#This Row],[Actual]]-DB_SOFProject[[#This Row],[Plan]]</f>
        <v>-0.36523300000001768</v>
      </c>
      <c r="AF131" s="32">
        <f>IF(DB_SOFProject[[#This Row],[Plan]]&lt;&gt;0,DB_SOFProject[[#This Row],[Actual]]/DB_SOFProject[[#This Row],[Plan]],1.000011000011)</f>
        <v>0.99535855205398338</v>
      </c>
      <c r="AG131" s="34">
        <f>SUM(DB_SOFProject[[#This Row],[Plan01]:[Plan12]])/valUnits2</f>
        <v>172.95706900000002</v>
      </c>
      <c r="AH131" s="34">
        <f>SUMPRODUCT(DB_SOFProject[[#This Row],[Act01]:[Act12]],$Q$3:$AB$3)/valUnits2</f>
        <v>78.324219999999997</v>
      </c>
    </row>
    <row r="132" spans="2:34" x14ac:dyDescent="0.2">
      <c r="B132" t="s">
        <v>489</v>
      </c>
      <c r="C132" t="s">
        <v>858</v>
      </c>
      <c r="D132" t="s">
        <v>959</v>
      </c>
      <c r="E132">
        <v>50535.54</v>
      </c>
      <c r="F132">
        <v>8685.3700000000008</v>
      </c>
      <c r="G132">
        <v>-43797.24</v>
      </c>
      <c r="H132">
        <v>6252.78</v>
      </c>
      <c r="I132">
        <v>4474.2700000000004</v>
      </c>
      <c r="J132">
        <v>5119.1010000000006</v>
      </c>
      <c r="K132">
        <v>5119.1010000000006</v>
      </c>
      <c r="L132">
        <v>5819.1009999999997</v>
      </c>
      <c r="M132">
        <v>5119.1010000000006</v>
      </c>
      <c r="N132">
        <v>5119.1010000000006</v>
      </c>
      <c r="O132">
        <v>5119.1010000000006</v>
      </c>
      <c r="P132">
        <v>5119.1010000000006</v>
      </c>
      <c r="Q132">
        <v>50535.54</v>
      </c>
      <c r="R132">
        <v>8685.3700000000008</v>
      </c>
      <c r="S132">
        <v>-43797.240000000005</v>
      </c>
      <c r="T132">
        <v>6252.78</v>
      </c>
      <c r="U132">
        <v>4474.2700000000004</v>
      </c>
      <c r="V132">
        <v>773.53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f>SUMPRODUCT(DB_SOFProject[[#This Row],[Plan01]:[Plan12]],$E$4:$P$4)/valUnits2</f>
        <v>31.269821000000004</v>
      </c>
      <c r="AD132">
        <f>SUMPRODUCT(DB_SOFProject[[#This Row],[Act01]:[Act12]],$Q$4:$AB$4)/valUnits2</f>
        <v>26.924249999999997</v>
      </c>
      <c r="AE132">
        <f>DB_SOFProject[[#This Row],[Actual]]-DB_SOFProject[[#This Row],[Plan]]</f>
        <v>-4.3455710000000067</v>
      </c>
      <c r="AF132" s="32">
        <f>IF(DB_SOFProject[[#This Row],[Plan]]&lt;&gt;0,DB_SOFProject[[#This Row],[Actual]]/DB_SOFProject[[#This Row],[Plan]],1.000011000011)</f>
        <v>0.86102987286048083</v>
      </c>
      <c r="AG132" s="34">
        <f>SUM(DB_SOFProject[[#This Row],[Plan01]:[Plan12]])/valUnits2</f>
        <v>62.684427000000021</v>
      </c>
      <c r="AH132" s="34">
        <f>SUMPRODUCT(DB_SOFProject[[#This Row],[Act01]:[Act12]],$Q$3:$AB$3)/valUnits2</f>
        <v>26.924249999999997</v>
      </c>
    </row>
    <row r="133" spans="2:34" x14ac:dyDescent="0.2">
      <c r="B133" t="s">
        <v>489</v>
      </c>
      <c r="C133" t="s">
        <v>858</v>
      </c>
      <c r="D133" t="s">
        <v>975</v>
      </c>
      <c r="E133">
        <v>3034.7400000000002</v>
      </c>
      <c r="F133">
        <v>4630.33</v>
      </c>
      <c r="G133">
        <v>-79.6099999999999</v>
      </c>
      <c r="H133">
        <v>21084.33</v>
      </c>
      <c r="I133">
        <v>8631.7099999999991</v>
      </c>
      <c r="J133">
        <v>5609.4340000000002</v>
      </c>
      <c r="K133">
        <v>5609.4340000000002</v>
      </c>
      <c r="L133">
        <v>7009.4359999999997</v>
      </c>
      <c r="M133">
        <v>5609.4340000000002</v>
      </c>
      <c r="N133">
        <v>5609.4340000000011</v>
      </c>
      <c r="O133">
        <v>5609.4340000000002</v>
      </c>
      <c r="P133">
        <v>5609.4340000000002</v>
      </c>
      <c r="Q133">
        <v>3034.74</v>
      </c>
      <c r="R133">
        <v>4703.08</v>
      </c>
      <c r="S133">
        <v>-152.36000000000038</v>
      </c>
      <c r="T133">
        <v>21084.329999999998</v>
      </c>
      <c r="U133">
        <v>8645.51</v>
      </c>
      <c r="V133">
        <v>7247.3300000000008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f>SUMPRODUCT(DB_SOFProject[[#This Row],[Plan01]:[Plan12]],$E$4:$P$4)/valUnits2</f>
        <v>42.910934000000005</v>
      </c>
      <c r="AD133">
        <f>SUMPRODUCT(DB_SOFProject[[#This Row],[Act01]:[Act12]],$Q$4:$AB$4)/valUnits2</f>
        <v>44.562629999999999</v>
      </c>
      <c r="AE133">
        <f>DB_SOFProject[[#This Row],[Actual]]-DB_SOFProject[[#This Row],[Plan]]</f>
        <v>1.6516959999999941</v>
      </c>
      <c r="AF133" s="32">
        <f>IF(DB_SOFProject[[#This Row],[Plan]]&lt;&gt;0,DB_SOFProject[[#This Row],[Actual]]/DB_SOFProject[[#This Row],[Plan]],1.000011000011)</f>
        <v>1.0384912619240587</v>
      </c>
      <c r="AG133" s="34">
        <f>SUM(DB_SOFProject[[#This Row],[Plan01]:[Plan12]])/valUnits2</f>
        <v>77.96754</v>
      </c>
      <c r="AH133" s="34">
        <f>SUMPRODUCT(DB_SOFProject[[#This Row],[Act01]:[Act12]],$Q$3:$AB$3)/valUnits2</f>
        <v>44.562629999999999</v>
      </c>
    </row>
    <row r="134" spans="2:34" x14ac:dyDescent="0.2">
      <c r="B134" t="s">
        <v>489</v>
      </c>
      <c r="C134" t="s">
        <v>858</v>
      </c>
      <c r="D134" t="s">
        <v>980</v>
      </c>
      <c r="E134">
        <v>0</v>
      </c>
      <c r="F134">
        <v>15.97</v>
      </c>
      <c r="G134">
        <v>0</v>
      </c>
      <c r="H134">
        <v>118.37</v>
      </c>
      <c r="I134">
        <v>2219.34</v>
      </c>
      <c r="J134">
        <v>1917.1550000000002</v>
      </c>
      <c r="K134">
        <v>1917.1550000000002</v>
      </c>
      <c r="L134">
        <v>1917.155</v>
      </c>
      <c r="M134">
        <v>1917.155</v>
      </c>
      <c r="N134">
        <v>1917.155</v>
      </c>
      <c r="O134">
        <v>1917.155</v>
      </c>
      <c r="P134">
        <v>1917.155</v>
      </c>
      <c r="Q134">
        <v>0</v>
      </c>
      <c r="R134">
        <v>15.97</v>
      </c>
      <c r="S134">
        <v>0</v>
      </c>
      <c r="T134">
        <v>118.36999999999999</v>
      </c>
      <c r="U134">
        <v>2219.34</v>
      </c>
      <c r="V134">
        <v>791.96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f>SUMPRODUCT(DB_SOFProject[[#This Row],[Plan01]:[Plan12]],$E$4:$P$4)/valUnits2</f>
        <v>4.2708350000000008</v>
      </c>
      <c r="AD134">
        <f>SUMPRODUCT(DB_SOFProject[[#This Row],[Act01]:[Act12]],$Q$4:$AB$4)/valUnits2</f>
        <v>3.1456400000000002</v>
      </c>
      <c r="AE134">
        <f>DB_SOFProject[[#This Row],[Actual]]-DB_SOFProject[[#This Row],[Plan]]</f>
        <v>-1.1251950000000006</v>
      </c>
      <c r="AF134" s="32">
        <f>IF(DB_SOFProject[[#This Row],[Plan]]&lt;&gt;0,DB_SOFProject[[#This Row],[Actual]]/DB_SOFProject[[#This Row],[Plan]],1.000011000011)</f>
        <v>0.73653981013080572</v>
      </c>
      <c r="AG134" s="34">
        <f>SUM(DB_SOFProject[[#This Row],[Plan01]:[Plan12]])/valUnits2</f>
        <v>15.773765000000003</v>
      </c>
      <c r="AH134" s="34">
        <f>SUMPRODUCT(DB_SOFProject[[#This Row],[Act01]:[Act12]],$Q$3:$AB$3)/valUnits2</f>
        <v>3.1456400000000002</v>
      </c>
    </row>
    <row r="135" spans="2:34" x14ac:dyDescent="0.2">
      <c r="B135" t="s">
        <v>489</v>
      </c>
      <c r="C135" t="s">
        <v>858</v>
      </c>
      <c r="D135" t="s">
        <v>984</v>
      </c>
      <c r="F135">
        <v>5380.9</v>
      </c>
      <c r="G135">
        <v>2770.11</v>
      </c>
      <c r="H135">
        <v>6751.46</v>
      </c>
      <c r="I135">
        <v>2686.63</v>
      </c>
      <c r="J135">
        <v>0</v>
      </c>
      <c r="R135">
        <v>5380.9</v>
      </c>
      <c r="S135">
        <v>2770.11</v>
      </c>
      <c r="T135">
        <v>6751.46</v>
      </c>
      <c r="U135">
        <v>2686.63</v>
      </c>
      <c r="V135">
        <v>6725.9</v>
      </c>
      <c r="AC135">
        <f>SUMPRODUCT(DB_SOFProject[[#This Row],[Plan01]:[Plan12]],$E$4:$P$4)/valUnits2</f>
        <v>17.589100000000002</v>
      </c>
      <c r="AD135">
        <f>SUMPRODUCT(DB_SOFProject[[#This Row],[Act01]:[Act12]],$Q$4:$AB$4)/valUnits2</f>
        <v>24.315000000000001</v>
      </c>
      <c r="AE135">
        <f>DB_SOFProject[[#This Row],[Actual]]-DB_SOFProject[[#This Row],[Plan]]</f>
        <v>6.7258999999999993</v>
      </c>
      <c r="AF135" s="32">
        <f>IF(DB_SOFProject[[#This Row],[Plan]]&lt;&gt;0,DB_SOFProject[[#This Row],[Actual]]/DB_SOFProject[[#This Row],[Plan]],1.000011000011)</f>
        <v>1.3823902303130915</v>
      </c>
      <c r="AG135" s="34">
        <f>SUM(DB_SOFProject[[#This Row],[Plan01]:[Plan12]])/valUnits2</f>
        <v>17.589100000000002</v>
      </c>
      <c r="AH135" s="34">
        <f>SUMPRODUCT(DB_SOFProject[[#This Row],[Act01]:[Act12]],$Q$3:$AB$3)/valUnits2</f>
        <v>24.315000000000001</v>
      </c>
    </row>
    <row r="136" spans="2:34" x14ac:dyDescent="0.2">
      <c r="B136" t="s">
        <v>489</v>
      </c>
      <c r="C136" t="s">
        <v>858</v>
      </c>
      <c r="D136" t="s">
        <v>990</v>
      </c>
      <c r="I136">
        <v>73.17</v>
      </c>
      <c r="U136">
        <v>73.17</v>
      </c>
      <c r="AC136">
        <f>SUMPRODUCT(DB_SOFProject[[#This Row],[Plan01]:[Plan12]],$E$4:$P$4)/valUnits2</f>
        <v>7.3169999999999999E-2</v>
      </c>
      <c r="AD136">
        <f>SUMPRODUCT(DB_SOFProject[[#This Row],[Act01]:[Act12]],$Q$4:$AB$4)/valUnits2</f>
        <v>7.3169999999999999E-2</v>
      </c>
      <c r="AE136">
        <f>DB_SOFProject[[#This Row],[Actual]]-DB_SOFProject[[#This Row],[Plan]]</f>
        <v>0</v>
      </c>
      <c r="AF136" s="32">
        <f>IF(DB_SOFProject[[#This Row],[Plan]]&lt;&gt;0,DB_SOFProject[[#This Row],[Actual]]/DB_SOFProject[[#This Row],[Plan]],1.000011000011)</f>
        <v>1</v>
      </c>
      <c r="AG136" s="34">
        <f>SUM(DB_SOFProject[[#This Row],[Plan01]:[Plan12]])/valUnits2</f>
        <v>7.3169999999999999E-2</v>
      </c>
      <c r="AH136" s="34">
        <f>SUMPRODUCT(DB_SOFProject[[#This Row],[Act01]:[Act12]],$Q$3:$AB$3)/valUnits2</f>
        <v>7.3169999999999999E-2</v>
      </c>
    </row>
    <row r="137" spans="2:34" x14ac:dyDescent="0.2">
      <c r="B137" t="s">
        <v>489</v>
      </c>
      <c r="C137" t="s">
        <v>858</v>
      </c>
      <c r="D137" t="s">
        <v>998</v>
      </c>
      <c r="E137">
        <v>24075.5</v>
      </c>
      <c r="F137">
        <v>7633.55</v>
      </c>
      <c r="G137">
        <v>-19528.5</v>
      </c>
      <c r="H137">
        <v>5622.1100000000006</v>
      </c>
      <c r="I137">
        <v>3470.76</v>
      </c>
      <c r="J137">
        <v>2401.951</v>
      </c>
      <c r="K137">
        <v>2401.951</v>
      </c>
      <c r="L137">
        <v>2401.951</v>
      </c>
      <c r="M137">
        <v>2401.951</v>
      </c>
      <c r="N137">
        <v>2401.951</v>
      </c>
      <c r="O137">
        <v>2401.951</v>
      </c>
      <c r="P137">
        <v>2401.951</v>
      </c>
      <c r="Q137">
        <v>24075.5</v>
      </c>
      <c r="R137">
        <v>7633.5499999999993</v>
      </c>
      <c r="S137">
        <v>-19528.5</v>
      </c>
      <c r="T137">
        <v>5622.1100000000006</v>
      </c>
      <c r="U137">
        <v>3470.76</v>
      </c>
      <c r="V137">
        <v>3477.57</v>
      </c>
      <c r="W137">
        <v>16391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f>SUMPRODUCT(DB_SOFProject[[#This Row],[Plan01]:[Plan12]],$E$4:$P$4)/valUnits2</f>
        <v>23.675370999999998</v>
      </c>
      <c r="AD137">
        <f>SUMPRODUCT(DB_SOFProject[[#This Row],[Act01]:[Act12]],$Q$4:$AB$4)/valUnits2</f>
        <v>24.750989999999998</v>
      </c>
      <c r="AE137">
        <f>DB_SOFProject[[#This Row],[Actual]]-DB_SOFProject[[#This Row],[Plan]]</f>
        <v>1.0756189999999997</v>
      </c>
      <c r="AF137" s="32">
        <f>IF(DB_SOFProject[[#This Row],[Plan]]&lt;&gt;0,DB_SOFProject[[#This Row],[Actual]]/DB_SOFProject[[#This Row],[Plan]],1.000011000011)</f>
        <v>1.0454319807702275</v>
      </c>
      <c r="AG137" s="34">
        <f>SUM(DB_SOFProject[[#This Row],[Plan01]:[Plan12]])/valUnits2</f>
        <v>38.087077000000008</v>
      </c>
      <c r="AH137" s="34">
        <f>SUMPRODUCT(DB_SOFProject[[#This Row],[Act01]:[Act12]],$Q$3:$AB$3)/valUnits2</f>
        <v>24.750989999999998</v>
      </c>
    </row>
    <row r="138" spans="2:34" x14ac:dyDescent="0.2">
      <c r="B138" t="s">
        <v>489</v>
      </c>
      <c r="C138" t="s">
        <v>858</v>
      </c>
      <c r="D138" t="s">
        <v>999</v>
      </c>
      <c r="E138">
        <v>207.44</v>
      </c>
      <c r="F138">
        <v>10.15</v>
      </c>
      <c r="G138">
        <v>-60.66</v>
      </c>
      <c r="H138">
        <v>2193.1</v>
      </c>
      <c r="I138">
        <v>605.04</v>
      </c>
      <c r="J138">
        <v>4529.5910000000003</v>
      </c>
      <c r="K138">
        <v>4529.5910000000003</v>
      </c>
      <c r="L138">
        <v>4879.5910000000003</v>
      </c>
      <c r="M138">
        <v>4529.5910000000003</v>
      </c>
      <c r="N138">
        <v>4529.5910000000003</v>
      </c>
      <c r="O138">
        <v>4529.5910000000003</v>
      </c>
      <c r="P138">
        <v>4529.5910000000003</v>
      </c>
      <c r="Q138">
        <v>207.43999999999997</v>
      </c>
      <c r="R138">
        <v>10.15</v>
      </c>
      <c r="S138">
        <v>-60.66</v>
      </c>
      <c r="T138">
        <v>2193.1000000000004</v>
      </c>
      <c r="U138">
        <v>605.04000000000008</v>
      </c>
      <c r="V138">
        <v>763.74000000000012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f>SUMPRODUCT(DB_SOFProject[[#This Row],[Plan01]:[Plan12]],$E$4:$P$4)/valUnits2</f>
        <v>7.484661</v>
      </c>
      <c r="AD138">
        <f>SUMPRODUCT(DB_SOFProject[[#This Row],[Act01]:[Act12]],$Q$4:$AB$4)/valUnits2</f>
        <v>3.7188100000000004</v>
      </c>
      <c r="AE138">
        <f>DB_SOFProject[[#This Row],[Actual]]-DB_SOFProject[[#This Row],[Plan]]</f>
        <v>-3.7658509999999996</v>
      </c>
      <c r="AF138" s="32">
        <f>IF(DB_SOFProject[[#This Row],[Plan]]&lt;&gt;0,DB_SOFProject[[#This Row],[Actual]]/DB_SOFProject[[#This Row],[Plan]],1.000011000011)</f>
        <v>0.49685750630522885</v>
      </c>
      <c r="AG138" s="34">
        <f>SUM(DB_SOFProject[[#This Row],[Plan01]:[Plan12]])/valUnits2</f>
        <v>35.012207000000004</v>
      </c>
      <c r="AH138" s="34">
        <f>SUMPRODUCT(DB_SOFProject[[#This Row],[Act01]:[Act12]],$Q$3:$AB$3)/valUnits2</f>
        <v>3.7188100000000004</v>
      </c>
    </row>
    <row r="139" spans="2:34" x14ac:dyDescent="0.2">
      <c r="B139" t="s">
        <v>489</v>
      </c>
      <c r="C139" t="s">
        <v>859</v>
      </c>
      <c r="D139" t="s">
        <v>959</v>
      </c>
      <c r="E139">
        <v>815.15499999999997</v>
      </c>
      <c r="F139">
        <v>912.28899999999999</v>
      </c>
      <c r="G139">
        <v>953.73699999999997</v>
      </c>
      <c r="P139">
        <v>1304.3050000000001</v>
      </c>
      <c r="Q139">
        <v>803.1</v>
      </c>
      <c r="R139">
        <v>931.42000000000007</v>
      </c>
      <c r="S139">
        <v>962.37</v>
      </c>
      <c r="AB139">
        <v>0</v>
      </c>
      <c r="AC139">
        <f>SUMPRODUCT(DB_SOFProject[[#This Row],[Plan01]:[Plan12]],$E$4:$P$4)/valUnits2</f>
        <v>2.681181</v>
      </c>
      <c r="AD139">
        <f>SUMPRODUCT(DB_SOFProject[[#This Row],[Act01]:[Act12]],$Q$4:$AB$4)/valUnits2</f>
        <v>2.6968899999999998</v>
      </c>
      <c r="AE139">
        <f>DB_SOFProject[[#This Row],[Actual]]-DB_SOFProject[[#This Row],[Plan]]</f>
        <v>1.5708999999999751E-2</v>
      </c>
      <c r="AF139" s="32">
        <f>IF(DB_SOFProject[[#This Row],[Plan]]&lt;&gt;0,DB_SOFProject[[#This Row],[Actual]]/DB_SOFProject[[#This Row],[Plan]],1.000011000011)</f>
        <v>1.0058589852755184</v>
      </c>
      <c r="AG139" s="34">
        <f>SUM(DB_SOFProject[[#This Row],[Plan01]:[Plan12]])/valUnits2</f>
        <v>3.9854859999999999</v>
      </c>
      <c r="AH139" s="34">
        <f>SUMPRODUCT(DB_SOFProject[[#This Row],[Act01]:[Act12]],$Q$3:$AB$3)/valUnits2</f>
        <v>2.6968899999999998</v>
      </c>
    </row>
    <row r="140" spans="2:34" x14ac:dyDescent="0.2">
      <c r="B140" t="s">
        <v>489</v>
      </c>
      <c r="C140" t="s">
        <v>859</v>
      </c>
      <c r="D140" t="s">
        <v>975</v>
      </c>
      <c r="E140">
        <v>1167.02</v>
      </c>
      <c r="F140">
        <v>1976.277</v>
      </c>
      <c r="G140">
        <v>2270.953</v>
      </c>
      <c r="H140">
        <v>4780.2919999999986</v>
      </c>
      <c r="I140">
        <v>4175.7380000000003</v>
      </c>
      <c r="J140">
        <v>2951.6419999999998</v>
      </c>
      <c r="K140">
        <v>2951.6419999999998</v>
      </c>
      <c r="L140">
        <v>2951.6419999999998</v>
      </c>
      <c r="M140">
        <v>2951.6420000000007</v>
      </c>
      <c r="N140">
        <v>2951.6419999999998</v>
      </c>
      <c r="O140">
        <v>2951.6420000000007</v>
      </c>
      <c r="P140">
        <v>2951.6419999999998</v>
      </c>
      <c r="Q140">
        <v>1149.76</v>
      </c>
      <c r="R140">
        <v>2017.7200000000003</v>
      </c>
      <c r="S140">
        <v>2291.5100000000002</v>
      </c>
      <c r="T140">
        <v>4807.51</v>
      </c>
      <c r="U140">
        <v>4143.6599999999989</v>
      </c>
      <c r="V140">
        <v>1475.37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f>SUMPRODUCT(DB_SOFProject[[#This Row],[Plan01]:[Plan12]],$E$4:$P$4)/valUnits2</f>
        <v>17.321921999999997</v>
      </c>
      <c r="AD140">
        <f>SUMPRODUCT(DB_SOFProject[[#This Row],[Act01]:[Act12]],$Q$4:$AB$4)/valUnits2</f>
        <v>15.885529999999999</v>
      </c>
      <c r="AE140">
        <f>DB_SOFProject[[#This Row],[Actual]]-DB_SOFProject[[#This Row],[Plan]]</f>
        <v>-1.4363919999999979</v>
      </c>
      <c r="AF140" s="32">
        <f>IF(DB_SOFProject[[#This Row],[Plan]]&lt;&gt;0,DB_SOFProject[[#This Row],[Actual]]/DB_SOFProject[[#This Row],[Plan]],1.000011000011)</f>
        <v>0.91707663849311882</v>
      </c>
      <c r="AG140" s="34">
        <f>SUM(DB_SOFProject[[#This Row],[Plan01]:[Plan12]])/valUnits2</f>
        <v>35.031773999999999</v>
      </c>
      <c r="AH140" s="34">
        <f>SUMPRODUCT(DB_SOFProject[[#This Row],[Act01]:[Act12]],$Q$3:$AB$3)/valUnits2</f>
        <v>15.885529999999999</v>
      </c>
    </row>
    <row r="141" spans="2:34" x14ac:dyDescent="0.2">
      <c r="B141" t="s">
        <v>489</v>
      </c>
      <c r="C141" t="s">
        <v>859</v>
      </c>
      <c r="D141" t="s">
        <v>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f>SUMPRODUCT(DB_SOFProject[[#This Row],[Plan01]:[Plan12]],$E$4:$P$4)/valUnits2</f>
        <v>0</v>
      </c>
      <c r="AD141">
        <f>SUMPRODUCT(DB_SOFProject[[#This Row],[Act01]:[Act12]],$Q$4:$AB$4)/valUnits2</f>
        <v>0</v>
      </c>
      <c r="AE141">
        <f>DB_SOFProject[[#This Row],[Actual]]-DB_SOFProject[[#This Row],[Plan]]</f>
        <v>0</v>
      </c>
      <c r="AF141" s="32">
        <f>IF(DB_SOFProject[[#This Row],[Plan]]&lt;&gt;0,DB_SOFProject[[#This Row],[Actual]]/DB_SOFProject[[#This Row],[Plan]],1.000011000011)</f>
        <v>1.0000110000110001</v>
      </c>
      <c r="AG141" s="34">
        <f>SUM(DB_SOFProject[[#This Row],[Plan01]:[Plan12]])/valUnits2</f>
        <v>0</v>
      </c>
      <c r="AH141" s="34">
        <f>SUMPRODUCT(DB_SOFProject[[#This Row],[Act01]:[Act12]],$Q$3:$AB$3)/valUnits2</f>
        <v>0</v>
      </c>
    </row>
    <row r="142" spans="2:34" x14ac:dyDescent="0.2">
      <c r="B142" t="s">
        <v>489</v>
      </c>
      <c r="C142" t="s">
        <v>860</v>
      </c>
      <c r="D142" t="s">
        <v>946</v>
      </c>
      <c r="E142">
        <v>2.04</v>
      </c>
      <c r="Q142">
        <v>2.04</v>
      </c>
      <c r="AC142">
        <f>SUMPRODUCT(DB_SOFProject[[#This Row],[Plan01]:[Plan12]],$E$4:$P$4)/valUnits2</f>
        <v>2.0400000000000001E-3</v>
      </c>
      <c r="AD142">
        <f>SUMPRODUCT(DB_SOFProject[[#This Row],[Act01]:[Act12]],$Q$4:$AB$4)/valUnits2</f>
        <v>2.0400000000000001E-3</v>
      </c>
      <c r="AE142">
        <f>DB_SOFProject[[#This Row],[Actual]]-DB_SOFProject[[#This Row],[Plan]]</f>
        <v>0</v>
      </c>
      <c r="AF142" s="32">
        <f>IF(DB_SOFProject[[#This Row],[Plan]]&lt;&gt;0,DB_SOFProject[[#This Row],[Actual]]/DB_SOFProject[[#This Row],[Plan]],1.000011000011)</f>
        <v>1</v>
      </c>
      <c r="AG142" s="34">
        <f>SUM(DB_SOFProject[[#This Row],[Plan01]:[Plan12]])/valUnits2</f>
        <v>2.0400000000000001E-3</v>
      </c>
      <c r="AH142" s="34">
        <f>SUMPRODUCT(DB_SOFProject[[#This Row],[Act01]:[Act12]],$Q$3:$AB$3)/valUnits2</f>
        <v>2.0400000000000001E-3</v>
      </c>
    </row>
    <row r="143" spans="2:34" x14ac:dyDescent="0.2">
      <c r="B143" t="s">
        <v>489</v>
      </c>
      <c r="C143" t="s">
        <v>860</v>
      </c>
      <c r="D143" t="s">
        <v>947</v>
      </c>
      <c r="E143">
        <v>1009.3</v>
      </c>
      <c r="F143">
        <v>52.94</v>
      </c>
      <c r="G143">
        <v>58.21</v>
      </c>
      <c r="H143">
        <v>6.15</v>
      </c>
      <c r="I143">
        <v>396.67999999999995</v>
      </c>
      <c r="J143">
        <v>0</v>
      </c>
      <c r="Q143">
        <v>1009.3</v>
      </c>
      <c r="R143">
        <v>52.940000000000005</v>
      </c>
      <c r="S143">
        <v>58.209999999999994</v>
      </c>
      <c r="T143">
        <v>6.15</v>
      </c>
      <c r="U143">
        <v>396.68</v>
      </c>
      <c r="V143">
        <v>115.39000000000001</v>
      </c>
      <c r="AC143">
        <f>SUMPRODUCT(DB_SOFProject[[#This Row],[Plan01]:[Plan12]],$E$4:$P$4)/valUnits2</f>
        <v>1.5232800000000002</v>
      </c>
      <c r="AD143">
        <f>SUMPRODUCT(DB_SOFProject[[#This Row],[Act01]:[Act12]],$Q$4:$AB$4)/valUnits2</f>
        <v>1.6386700000000003</v>
      </c>
      <c r="AE143">
        <f>DB_SOFProject[[#This Row],[Actual]]-DB_SOFProject[[#This Row],[Plan]]</f>
        <v>0.1153900000000001</v>
      </c>
      <c r="AF143" s="32">
        <f>IF(DB_SOFProject[[#This Row],[Plan]]&lt;&gt;0,DB_SOFProject[[#This Row],[Actual]]/DB_SOFProject[[#This Row],[Plan]],1.000011000011)</f>
        <v>1.0757510109763144</v>
      </c>
      <c r="AG143" s="34">
        <f>SUM(DB_SOFProject[[#This Row],[Plan01]:[Plan12]])/valUnits2</f>
        <v>1.5232800000000002</v>
      </c>
      <c r="AH143" s="34">
        <f>SUMPRODUCT(DB_SOFProject[[#This Row],[Act01]:[Act12]],$Q$3:$AB$3)/valUnits2</f>
        <v>1.6386700000000003</v>
      </c>
    </row>
    <row r="144" spans="2:34" x14ac:dyDescent="0.2">
      <c r="B144" t="s">
        <v>489</v>
      </c>
      <c r="C144" t="s">
        <v>860</v>
      </c>
      <c r="D144" t="s">
        <v>959</v>
      </c>
      <c r="E144">
        <v>0</v>
      </c>
      <c r="F144">
        <v>0</v>
      </c>
      <c r="G144">
        <v>0</v>
      </c>
      <c r="H144">
        <v>0</v>
      </c>
      <c r="I144">
        <v>150.05000000000001</v>
      </c>
      <c r="J144">
        <v>1626.316</v>
      </c>
      <c r="K144">
        <v>1626.316</v>
      </c>
      <c r="L144">
        <v>1626.316</v>
      </c>
      <c r="M144">
        <v>1626.316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150.05000000000001</v>
      </c>
      <c r="V144">
        <v>132.47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f>SUMPRODUCT(DB_SOFProject[[#This Row],[Plan01]:[Plan12]],$E$4:$P$4)/valUnits2</f>
        <v>1.7763659999999999</v>
      </c>
      <c r="AD144">
        <f>SUMPRODUCT(DB_SOFProject[[#This Row],[Act01]:[Act12]],$Q$4:$AB$4)/valUnits2</f>
        <v>0.28251999999999999</v>
      </c>
      <c r="AE144">
        <f>DB_SOFProject[[#This Row],[Actual]]-DB_SOFProject[[#This Row],[Plan]]</f>
        <v>-1.493846</v>
      </c>
      <c r="AF144" s="32">
        <f>IF(DB_SOFProject[[#This Row],[Plan]]&lt;&gt;0,DB_SOFProject[[#This Row],[Actual]]/DB_SOFProject[[#This Row],[Plan]],1.000011000011)</f>
        <v>0.1590438006581977</v>
      </c>
      <c r="AG144" s="34">
        <f>SUM(DB_SOFProject[[#This Row],[Plan01]:[Plan12]])/valUnits2</f>
        <v>6.6553139999999997</v>
      </c>
      <c r="AH144" s="34">
        <f>SUMPRODUCT(DB_SOFProject[[#This Row],[Act01]:[Act12]],$Q$3:$AB$3)/valUnits2</f>
        <v>0.28251999999999999</v>
      </c>
    </row>
    <row r="145" spans="2:34" x14ac:dyDescent="0.2">
      <c r="B145" t="s">
        <v>489</v>
      </c>
      <c r="C145" t="s">
        <v>860</v>
      </c>
      <c r="D145" t="s">
        <v>975</v>
      </c>
      <c r="E145">
        <v>1582.33</v>
      </c>
      <c r="F145">
        <v>3188.4899999999993</v>
      </c>
      <c r="G145">
        <v>5448.89</v>
      </c>
      <c r="H145">
        <v>10632.730000000005</v>
      </c>
      <c r="I145">
        <v>3106.47</v>
      </c>
      <c r="J145">
        <v>1326.9739999999999</v>
      </c>
      <c r="K145">
        <v>1326.9739999999999</v>
      </c>
      <c r="L145">
        <v>1326.9739999999999</v>
      </c>
      <c r="M145">
        <v>1326.9739999999999</v>
      </c>
      <c r="N145">
        <v>0</v>
      </c>
      <c r="O145">
        <v>0</v>
      </c>
      <c r="P145">
        <v>0</v>
      </c>
      <c r="Q145">
        <v>1582.33</v>
      </c>
      <c r="R145">
        <v>3188.49</v>
      </c>
      <c r="S145">
        <v>5460.97</v>
      </c>
      <c r="T145">
        <v>10665.24</v>
      </c>
      <c r="U145">
        <v>3113.650000000001</v>
      </c>
      <c r="V145">
        <v>2608.7699999999995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f>SUMPRODUCT(DB_SOFProject[[#This Row],[Plan01]:[Plan12]],$E$4:$P$4)/valUnits2</f>
        <v>25.285884000000003</v>
      </c>
      <c r="AD145">
        <f>SUMPRODUCT(DB_SOFProject[[#This Row],[Act01]:[Act12]],$Q$4:$AB$4)/valUnits2</f>
        <v>26.619450000000001</v>
      </c>
      <c r="AE145">
        <f>DB_SOFProject[[#This Row],[Actual]]-DB_SOFProject[[#This Row],[Plan]]</f>
        <v>1.3335659999999976</v>
      </c>
      <c r="AF145" s="32">
        <f>IF(DB_SOFProject[[#This Row],[Plan]]&lt;&gt;0,DB_SOFProject[[#This Row],[Actual]]/DB_SOFProject[[#This Row],[Plan]],1.000011000011)</f>
        <v>1.0527395443244143</v>
      </c>
      <c r="AG145" s="34">
        <f>SUM(DB_SOFProject[[#This Row],[Plan01]:[Plan12]])/valUnits2</f>
        <v>29.266805999999995</v>
      </c>
      <c r="AH145" s="34">
        <f>SUMPRODUCT(DB_SOFProject[[#This Row],[Act01]:[Act12]],$Q$3:$AB$3)/valUnits2</f>
        <v>26.619450000000001</v>
      </c>
    </row>
    <row r="146" spans="2:34" x14ac:dyDescent="0.2">
      <c r="B146" t="s">
        <v>489</v>
      </c>
      <c r="C146" t="s">
        <v>860</v>
      </c>
      <c r="D146" t="s">
        <v>976</v>
      </c>
      <c r="J146">
        <v>0</v>
      </c>
      <c r="V146">
        <v>9.99</v>
      </c>
      <c r="AC146">
        <f>SUMPRODUCT(DB_SOFProject[[#This Row],[Plan01]:[Plan12]],$E$4:$P$4)/valUnits2</f>
        <v>0</v>
      </c>
      <c r="AD146">
        <f>SUMPRODUCT(DB_SOFProject[[#This Row],[Act01]:[Act12]],$Q$4:$AB$4)/valUnits2</f>
        <v>9.9900000000000006E-3</v>
      </c>
      <c r="AE146">
        <f>DB_SOFProject[[#This Row],[Actual]]-DB_SOFProject[[#This Row],[Plan]]</f>
        <v>9.9900000000000006E-3</v>
      </c>
      <c r="AF146" s="32">
        <f>IF(DB_SOFProject[[#This Row],[Plan]]&lt;&gt;0,DB_SOFProject[[#This Row],[Actual]]/DB_SOFProject[[#This Row],[Plan]],1.000011000011)</f>
        <v>1.0000110000110001</v>
      </c>
      <c r="AG146" s="34">
        <f>SUM(DB_SOFProject[[#This Row],[Plan01]:[Plan12]])/valUnits2</f>
        <v>0</v>
      </c>
      <c r="AH146" s="34">
        <f>SUMPRODUCT(DB_SOFProject[[#This Row],[Act01]:[Act12]],$Q$3:$AB$3)/valUnits2</f>
        <v>9.9900000000000006E-3</v>
      </c>
    </row>
    <row r="147" spans="2:34" x14ac:dyDescent="0.2">
      <c r="B147" t="s">
        <v>489</v>
      </c>
      <c r="C147" t="s">
        <v>860</v>
      </c>
      <c r="D147" t="s">
        <v>980</v>
      </c>
      <c r="E147">
        <v>13</v>
      </c>
      <c r="F147">
        <v>2.54</v>
      </c>
      <c r="G147">
        <v>0.12999999999999545</v>
      </c>
      <c r="H147">
        <v>0</v>
      </c>
      <c r="I147">
        <v>0</v>
      </c>
      <c r="J147">
        <v>530.78899999999999</v>
      </c>
      <c r="K147">
        <v>530.78899999999999</v>
      </c>
      <c r="L147">
        <v>530.78899999999999</v>
      </c>
      <c r="M147">
        <v>530.78899999999999</v>
      </c>
      <c r="Q147">
        <v>13</v>
      </c>
      <c r="R147">
        <v>2.54</v>
      </c>
      <c r="S147">
        <v>0.13</v>
      </c>
      <c r="T147">
        <v>0</v>
      </c>
      <c r="U147">
        <v>0</v>
      </c>
      <c r="V147">
        <v>395.5</v>
      </c>
      <c r="W147">
        <v>0</v>
      </c>
      <c r="X147">
        <v>0</v>
      </c>
      <c r="Y147">
        <v>0</v>
      </c>
      <c r="AC147">
        <f>SUMPRODUCT(DB_SOFProject[[#This Row],[Plan01]:[Plan12]],$E$4:$P$4)/valUnits2</f>
        <v>0.54645899999999992</v>
      </c>
      <c r="AD147">
        <f>SUMPRODUCT(DB_SOFProject[[#This Row],[Act01]:[Act12]],$Q$4:$AB$4)/valUnits2</f>
        <v>0.41117000000000004</v>
      </c>
      <c r="AE147">
        <f>DB_SOFProject[[#This Row],[Actual]]-DB_SOFProject[[#This Row],[Plan]]</f>
        <v>-0.13528899999999988</v>
      </c>
      <c r="AF147" s="32">
        <f>IF(DB_SOFProject[[#This Row],[Plan]]&lt;&gt;0,DB_SOFProject[[#This Row],[Actual]]/DB_SOFProject[[#This Row],[Plan]],1.000011000011)</f>
        <v>0.75242607405130135</v>
      </c>
      <c r="AG147" s="34">
        <f>SUM(DB_SOFProject[[#This Row],[Plan01]:[Plan12]])/valUnits2</f>
        <v>2.1388259999999999</v>
      </c>
      <c r="AH147" s="34">
        <f>SUMPRODUCT(DB_SOFProject[[#This Row],[Act01]:[Act12]],$Q$3:$AB$3)/valUnits2</f>
        <v>0.41117000000000004</v>
      </c>
    </row>
    <row r="148" spans="2:34" x14ac:dyDescent="0.2">
      <c r="B148" t="s">
        <v>489</v>
      </c>
      <c r="C148" t="s">
        <v>860</v>
      </c>
      <c r="D148" t="s">
        <v>999</v>
      </c>
      <c r="E148">
        <v>412.14</v>
      </c>
      <c r="F148">
        <v>418.17</v>
      </c>
      <c r="G148">
        <v>908.37</v>
      </c>
      <c r="H148">
        <v>548.88</v>
      </c>
      <c r="I148">
        <v>7.2</v>
      </c>
      <c r="J148">
        <v>796.18399999999997</v>
      </c>
      <c r="K148">
        <v>796.18399999999997</v>
      </c>
      <c r="L148">
        <v>796.18399999999997</v>
      </c>
      <c r="M148">
        <v>796.18399999999997</v>
      </c>
      <c r="N148">
        <v>0</v>
      </c>
      <c r="O148">
        <v>0</v>
      </c>
      <c r="P148">
        <v>0</v>
      </c>
      <c r="Q148">
        <v>412.14</v>
      </c>
      <c r="R148">
        <v>418.17</v>
      </c>
      <c r="S148">
        <v>908.37</v>
      </c>
      <c r="T148">
        <v>548.88</v>
      </c>
      <c r="U148">
        <v>7.1999999999999993</v>
      </c>
      <c r="V148">
        <v>3.0700000000000003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f>SUMPRODUCT(DB_SOFProject[[#This Row],[Plan01]:[Plan12]],$E$4:$P$4)/valUnits2</f>
        <v>3.0909439999999995</v>
      </c>
      <c r="AD148">
        <f>SUMPRODUCT(DB_SOFProject[[#This Row],[Act01]:[Act12]],$Q$4:$AB$4)/valUnits2</f>
        <v>2.2978299999999998</v>
      </c>
      <c r="AE148">
        <f>DB_SOFProject[[#This Row],[Actual]]-DB_SOFProject[[#This Row],[Plan]]</f>
        <v>-0.79311399999999965</v>
      </c>
      <c r="AF148" s="32">
        <f>IF(DB_SOFProject[[#This Row],[Plan]]&lt;&gt;0,DB_SOFProject[[#This Row],[Actual]]/DB_SOFProject[[#This Row],[Plan]],1.000011000011)</f>
        <v>0.7434071921070069</v>
      </c>
      <c r="AG148" s="34">
        <f>SUM(DB_SOFProject[[#This Row],[Plan01]:[Plan12]])/valUnits2</f>
        <v>5.4794960000000001</v>
      </c>
      <c r="AH148" s="34">
        <f>SUMPRODUCT(DB_SOFProject[[#This Row],[Act01]:[Act12]],$Q$3:$AB$3)/valUnits2</f>
        <v>2.2978299999999998</v>
      </c>
    </row>
    <row r="149" spans="2:34" x14ac:dyDescent="0.2">
      <c r="B149" t="s">
        <v>489</v>
      </c>
      <c r="C149" t="s">
        <v>862</v>
      </c>
      <c r="D149" t="s">
        <v>946</v>
      </c>
      <c r="H149">
        <v>450.59300000000002</v>
      </c>
      <c r="I149">
        <v>946.72299999999996</v>
      </c>
      <c r="J149">
        <v>512.62099999999998</v>
      </c>
      <c r="K149">
        <v>512.62099999999998</v>
      </c>
      <c r="L149">
        <v>512.62099999999998</v>
      </c>
      <c r="M149">
        <v>512.62099999999998</v>
      </c>
      <c r="N149">
        <v>512.62099999999998</v>
      </c>
      <c r="O149">
        <v>512.62099999999998</v>
      </c>
      <c r="P149">
        <v>512.62099999999998</v>
      </c>
      <c r="T149">
        <v>447.29</v>
      </c>
      <c r="U149">
        <v>956.95999999999992</v>
      </c>
      <c r="V149">
        <v>512.37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f>SUMPRODUCT(DB_SOFProject[[#This Row],[Plan01]:[Plan12]],$E$4:$P$4)/valUnits2</f>
        <v>1.909937</v>
      </c>
      <c r="AD149">
        <f>SUMPRODUCT(DB_SOFProject[[#This Row],[Act01]:[Act12]],$Q$4:$AB$4)/valUnits2</f>
        <v>1.91662</v>
      </c>
      <c r="AE149">
        <f>DB_SOFProject[[#This Row],[Actual]]-DB_SOFProject[[#This Row],[Plan]]</f>
        <v>6.6829999999999945E-3</v>
      </c>
      <c r="AF149" s="32">
        <f>IF(DB_SOFProject[[#This Row],[Plan]]&lt;&gt;0,DB_SOFProject[[#This Row],[Actual]]/DB_SOFProject[[#This Row],[Plan]],1.000011000011)</f>
        <v>1.0034990682938756</v>
      </c>
      <c r="AG149" s="34">
        <f>SUM(DB_SOFProject[[#This Row],[Plan01]:[Plan12]])/valUnits2</f>
        <v>4.9856630000000006</v>
      </c>
      <c r="AH149" s="34">
        <f>SUMPRODUCT(DB_SOFProject[[#This Row],[Act01]:[Act12]],$Q$3:$AB$3)/valUnits2</f>
        <v>1.91662</v>
      </c>
    </row>
    <row r="150" spans="2:34" x14ac:dyDescent="0.2">
      <c r="B150" t="s">
        <v>489</v>
      </c>
      <c r="C150" t="s">
        <v>862</v>
      </c>
      <c r="D150" t="s">
        <v>959</v>
      </c>
      <c r="H150">
        <v>0</v>
      </c>
      <c r="I150">
        <v>0</v>
      </c>
      <c r="J150">
        <v>1025.2429999999999</v>
      </c>
      <c r="K150">
        <v>1025.2429999999999</v>
      </c>
      <c r="L150">
        <v>1025.2429999999999</v>
      </c>
      <c r="M150">
        <v>1025.2429999999999</v>
      </c>
      <c r="N150">
        <v>1025.2429999999999</v>
      </c>
      <c r="O150">
        <v>1025.2429999999999</v>
      </c>
      <c r="P150">
        <v>1025.2429999999999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f>SUMPRODUCT(DB_SOFProject[[#This Row],[Plan01]:[Plan12]],$E$4:$P$4)/valUnits2</f>
        <v>1.0252429999999999</v>
      </c>
      <c r="AD150">
        <f>SUMPRODUCT(DB_SOFProject[[#This Row],[Act01]:[Act12]],$Q$4:$AB$4)/valUnits2</f>
        <v>0</v>
      </c>
      <c r="AE150">
        <f>DB_SOFProject[[#This Row],[Actual]]-DB_SOFProject[[#This Row],[Plan]]</f>
        <v>-1.0252429999999999</v>
      </c>
      <c r="AF150" s="32">
        <f>IF(DB_SOFProject[[#This Row],[Plan]]&lt;&gt;0,DB_SOFProject[[#This Row],[Actual]]/DB_SOFProject[[#This Row],[Plan]],1.000011000011)</f>
        <v>0</v>
      </c>
      <c r="AG150" s="34">
        <f>SUM(DB_SOFProject[[#This Row],[Plan01]:[Plan12]])/valUnits2</f>
        <v>7.1767010000000013</v>
      </c>
      <c r="AH150" s="34">
        <f>SUMPRODUCT(DB_SOFProject[[#This Row],[Act01]:[Act12]],$Q$3:$AB$3)/valUnits2</f>
        <v>0</v>
      </c>
    </row>
    <row r="151" spans="2:34" x14ac:dyDescent="0.2">
      <c r="B151" t="s">
        <v>489</v>
      </c>
      <c r="C151" t="s">
        <v>862</v>
      </c>
      <c r="D151" t="s">
        <v>975</v>
      </c>
      <c r="H151">
        <v>1559.951</v>
      </c>
      <c r="I151">
        <v>1528.2239999999997</v>
      </c>
      <c r="J151">
        <v>692.03899999999999</v>
      </c>
      <c r="K151">
        <v>692.03899999999999</v>
      </c>
      <c r="L151">
        <v>692.03899999999999</v>
      </c>
      <c r="M151">
        <v>692.03899999999999</v>
      </c>
      <c r="N151">
        <v>692.03899999999999</v>
      </c>
      <c r="O151">
        <v>692.03899999999999</v>
      </c>
      <c r="P151">
        <v>692.03899999999999</v>
      </c>
      <c r="T151">
        <v>1572.9</v>
      </c>
      <c r="U151">
        <v>1525.36</v>
      </c>
      <c r="V151">
        <v>1459.86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f>SUMPRODUCT(DB_SOFProject[[#This Row],[Plan01]:[Plan12]],$E$4:$P$4)/valUnits2</f>
        <v>3.780214</v>
      </c>
      <c r="AD151">
        <f>SUMPRODUCT(DB_SOFProject[[#This Row],[Act01]:[Act12]],$Q$4:$AB$4)/valUnits2</f>
        <v>4.5581199999999997</v>
      </c>
      <c r="AE151">
        <f>DB_SOFProject[[#This Row],[Actual]]-DB_SOFProject[[#This Row],[Plan]]</f>
        <v>0.77790599999999976</v>
      </c>
      <c r="AF151" s="32">
        <f>IF(DB_SOFProject[[#This Row],[Plan]]&lt;&gt;0,DB_SOFProject[[#This Row],[Actual]]/DB_SOFProject[[#This Row],[Plan]],1.000011000011)</f>
        <v>1.2057835879132768</v>
      </c>
      <c r="AG151" s="34">
        <f>SUM(DB_SOFProject[[#This Row],[Plan01]:[Plan12]])/valUnits2</f>
        <v>7.9324479999999982</v>
      </c>
      <c r="AH151" s="34">
        <f>SUMPRODUCT(DB_SOFProject[[#This Row],[Act01]:[Act12]],$Q$3:$AB$3)/valUnits2</f>
        <v>4.5581199999999997</v>
      </c>
    </row>
    <row r="152" spans="2:34" x14ac:dyDescent="0.2">
      <c r="B152" t="s">
        <v>489</v>
      </c>
      <c r="C152" t="s">
        <v>862</v>
      </c>
      <c r="D152" t="s">
        <v>980</v>
      </c>
      <c r="H152">
        <v>0</v>
      </c>
      <c r="I152">
        <v>0</v>
      </c>
      <c r="J152">
        <v>512.62099999999998</v>
      </c>
      <c r="K152">
        <v>512.62099999999998</v>
      </c>
      <c r="L152">
        <v>512.62099999999998</v>
      </c>
      <c r="M152">
        <v>512.62099999999998</v>
      </c>
      <c r="N152">
        <v>512.62099999999998</v>
      </c>
      <c r="O152">
        <v>512.62099999999998</v>
      </c>
      <c r="P152">
        <v>512.62099999999998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f>SUMPRODUCT(DB_SOFProject[[#This Row],[Plan01]:[Plan12]],$E$4:$P$4)/valUnits2</f>
        <v>0.51262099999999999</v>
      </c>
      <c r="AD152">
        <f>SUMPRODUCT(DB_SOFProject[[#This Row],[Act01]:[Act12]],$Q$4:$AB$4)/valUnits2</f>
        <v>0</v>
      </c>
      <c r="AE152">
        <f>DB_SOFProject[[#This Row],[Actual]]-DB_SOFProject[[#This Row],[Plan]]</f>
        <v>-0.51262099999999999</v>
      </c>
      <c r="AF152" s="32">
        <f>IF(DB_SOFProject[[#This Row],[Plan]]&lt;&gt;0,DB_SOFProject[[#This Row],[Actual]]/DB_SOFProject[[#This Row],[Plan]],1.000011000011)</f>
        <v>0</v>
      </c>
      <c r="AG152" s="34">
        <f>SUM(DB_SOFProject[[#This Row],[Plan01]:[Plan12]])/valUnits2</f>
        <v>3.5883470000000002</v>
      </c>
      <c r="AH152" s="34">
        <f>SUMPRODUCT(DB_SOFProject[[#This Row],[Act01]:[Act12]],$Q$3:$AB$3)/valUnits2</f>
        <v>0</v>
      </c>
    </row>
    <row r="153" spans="2:34" x14ac:dyDescent="0.2">
      <c r="B153" t="s">
        <v>489</v>
      </c>
      <c r="C153" t="s">
        <v>862</v>
      </c>
      <c r="D153" t="s">
        <v>999</v>
      </c>
      <c r="H153">
        <v>3552.6390000000001</v>
      </c>
      <c r="I153">
        <v>6305.4740000000002</v>
      </c>
      <c r="J153">
        <v>512.62099999999998</v>
      </c>
      <c r="K153">
        <v>512.62099999999998</v>
      </c>
      <c r="L153">
        <v>512.62099999999998</v>
      </c>
      <c r="M153">
        <v>512.62099999999998</v>
      </c>
      <c r="N153">
        <v>512.62099999999998</v>
      </c>
      <c r="O153">
        <v>512.62099999999998</v>
      </c>
      <c r="P153">
        <v>512.62099999999998</v>
      </c>
      <c r="T153">
        <v>3562.17</v>
      </c>
      <c r="U153">
        <v>6383.0700000000006</v>
      </c>
      <c r="V153">
        <v>1971.9100000000003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f>SUMPRODUCT(DB_SOFProject[[#This Row],[Plan01]:[Plan12]],$E$4:$P$4)/valUnits2</f>
        <v>10.370734000000001</v>
      </c>
      <c r="AD153">
        <f>SUMPRODUCT(DB_SOFProject[[#This Row],[Act01]:[Act12]],$Q$4:$AB$4)/valUnits2</f>
        <v>11.917150000000001</v>
      </c>
      <c r="AE153">
        <f>DB_SOFProject[[#This Row],[Actual]]-DB_SOFProject[[#This Row],[Plan]]</f>
        <v>1.5464160000000007</v>
      </c>
      <c r="AF153" s="32">
        <f>IF(DB_SOFProject[[#This Row],[Plan]]&lt;&gt;0,DB_SOFProject[[#This Row],[Actual]]/DB_SOFProject[[#This Row],[Plan]],1.000011000011)</f>
        <v>1.1491134571574202</v>
      </c>
      <c r="AG153" s="34">
        <f>SUM(DB_SOFProject[[#This Row],[Plan01]:[Plan12]])/valUnits2</f>
        <v>13.446459999999995</v>
      </c>
      <c r="AH153" s="34">
        <f>SUMPRODUCT(DB_SOFProject[[#This Row],[Act01]:[Act12]],$Q$3:$AB$3)/valUnits2</f>
        <v>11.917150000000001</v>
      </c>
    </row>
    <row r="154" spans="2:34" x14ac:dyDescent="0.2">
      <c r="B154" t="s">
        <v>489</v>
      </c>
      <c r="C154" t="s">
        <v>863</v>
      </c>
      <c r="D154" t="s">
        <v>975</v>
      </c>
      <c r="H154">
        <v>777.83999999999992</v>
      </c>
      <c r="I154">
        <v>291.01000000000005</v>
      </c>
      <c r="T154">
        <v>777.83999999999992</v>
      </c>
      <c r="U154">
        <v>291.83000000000004</v>
      </c>
      <c r="AC154">
        <f>SUMPRODUCT(DB_SOFProject[[#This Row],[Plan01]:[Plan12]],$E$4:$P$4)/valUnits2</f>
        <v>1.0688499999999999</v>
      </c>
      <c r="AD154">
        <f>SUMPRODUCT(DB_SOFProject[[#This Row],[Act01]:[Act12]],$Q$4:$AB$4)/valUnits2</f>
        <v>1.0696700000000001</v>
      </c>
      <c r="AE154">
        <f>DB_SOFProject[[#This Row],[Actual]]-DB_SOFProject[[#This Row],[Plan]]</f>
        <v>8.2000000000026496E-4</v>
      </c>
      <c r="AF154" s="32">
        <f>IF(DB_SOFProject[[#This Row],[Plan]]&lt;&gt;0,DB_SOFProject[[#This Row],[Actual]]/DB_SOFProject[[#This Row],[Plan]],1.000011000011)</f>
        <v>1.0007671796790947</v>
      </c>
      <c r="AG154" s="34">
        <f>SUM(DB_SOFProject[[#This Row],[Plan01]:[Plan12]])/valUnits2</f>
        <v>1.0688499999999999</v>
      </c>
      <c r="AH154" s="34">
        <f>SUMPRODUCT(DB_SOFProject[[#This Row],[Act01]:[Act12]],$Q$3:$AB$3)/valUnits2</f>
        <v>1.0696700000000001</v>
      </c>
    </row>
    <row r="155" spans="2:34" x14ac:dyDescent="0.2">
      <c r="B155" t="s">
        <v>489</v>
      </c>
      <c r="C155" t="s">
        <v>865</v>
      </c>
      <c r="D155" t="s">
        <v>959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f>SUMPRODUCT(DB_SOFProject[[#This Row],[Plan01]:[Plan12]],$E$4:$P$4)/valUnits2</f>
        <v>0</v>
      </c>
      <c r="AD155">
        <f>SUMPRODUCT(DB_SOFProject[[#This Row],[Act01]:[Act12]],$Q$4:$AB$4)/valUnits2</f>
        <v>0</v>
      </c>
      <c r="AE155">
        <f>DB_SOFProject[[#This Row],[Actual]]-DB_SOFProject[[#This Row],[Plan]]</f>
        <v>0</v>
      </c>
      <c r="AF155" s="32">
        <f>IF(DB_SOFProject[[#This Row],[Plan]]&lt;&gt;0,DB_SOFProject[[#This Row],[Actual]]/DB_SOFProject[[#This Row],[Plan]],1.000011000011)</f>
        <v>1.0000110000110001</v>
      </c>
      <c r="AG155" s="34">
        <f>SUM(DB_SOFProject[[#This Row],[Plan01]:[Plan12]])/valUnits2</f>
        <v>0</v>
      </c>
      <c r="AH155" s="34">
        <f>SUMPRODUCT(DB_SOFProject[[#This Row],[Act01]:[Act12]],$Q$3:$AB$3)/valUnits2</f>
        <v>0</v>
      </c>
    </row>
    <row r="156" spans="2:34" x14ac:dyDescent="0.2">
      <c r="B156" t="s">
        <v>489</v>
      </c>
      <c r="C156" t="s">
        <v>865</v>
      </c>
      <c r="D156" t="s">
        <v>975</v>
      </c>
      <c r="E156">
        <v>0</v>
      </c>
      <c r="F156">
        <v>0</v>
      </c>
      <c r="G156">
        <v>0</v>
      </c>
      <c r="H156">
        <v>122.04299999999999</v>
      </c>
      <c r="I156">
        <v>42.975000000000001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121.11000000000001</v>
      </c>
      <c r="U156">
        <v>43.199999999999996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f>SUMPRODUCT(DB_SOFProject[[#This Row],[Plan01]:[Plan12]],$E$4:$P$4)/valUnits2</f>
        <v>0.165018</v>
      </c>
      <c r="AD156">
        <f>SUMPRODUCT(DB_SOFProject[[#This Row],[Act01]:[Act12]],$Q$4:$AB$4)/valUnits2</f>
        <v>0.16431000000000001</v>
      </c>
      <c r="AE156">
        <f>DB_SOFProject[[#This Row],[Actual]]-DB_SOFProject[[#This Row],[Plan]]</f>
        <v>-7.0799999999998642E-4</v>
      </c>
      <c r="AF156" s="32">
        <f>IF(DB_SOFProject[[#This Row],[Plan]]&lt;&gt;0,DB_SOFProject[[#This Row],[Actual]]/DB_SOFProject[[#This Row],[Plan]],1.000011000011)</f>
        <v>0.9957095589572047</v>
      </c>
      <c r="AG156" s="34">
        <f>SUM(DB_SOFProject[[#This Row],[Plan01]:[Plan12]])/valUnits2</f>
        <v>0.165018</v>
      </c>
      <c r="AH156" s="34">
        <f>SUMPRODUCT(DB_SOFProject[[#This Row],[Act01]:[Act12]],$Q$3:$AB$3)/valUnits2</f>
        <v>0.16431000000000001</v>
      </c>
    </row>
    <row r="157" spans="2:34" x14ac:dyDescent="0.2">
      <c r="B157" t="s">
        <v>489</v>
      </c>
      <c r="C157" t="s">
        <v>865</v>
      </c>
      <c r="D157" t="s">
        <v>980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f>SUMPRODUCT(DB_SOFProject[[#This Row],[Plan01]:[Plan12]],$E$4:$P$4)/valUnits2</f>
        <v>0</v>
      </c>
      <c r="AD157">
        <f>SUMPRODUCT(DB_SOFProject[[#This Row],[Act01]:[Act12]],$Q$4:$AB$4)/valUnits2</f>
        <v>0</v>
      </c>
      <c r="AE157">
        <f>DB_SOFProject[[#This Row],[Actual]]-DB_SOFProject[[#This Row],[Plan]]</f>
        <v>0</v>
      </c>
      <c r="AF157" s="32">
        <f>IF(DB_SOFProject[[#This Row],[Plan]]&lt;&gt;0,DB_SOFProject[[#This Row],[Actual]]/DB_SOFProject[[#This Row],[Plan]],1.000011000011)</f>
        <v>1.0000110000110001</v>
      </c>
      <c r="AG157" s="34">
        <f>SUM(DB_SOFProject[[#This Row],[Plan01]:[Plan12]])/valUnits2</f>
        <v>0</v>
      </c>
      <c r="AH157" s="34">
        <f>SUMPRODUCT(DB_SOFProject[[#This Row],[Act01]:[Act12]],$Q$3:$AB$3)/valUnits2</f>
        <v>0</v>
      </c>
    </row>
    <row r="158" spans="2:34" x14ac:dyDescent="0.2">
      <c r="B158" t="s">
        <v>489</v>
      </c>
      <c r="C158" t="s">
        <v>865</v>
      </c>
      <c r="D158" t="s">
        <v>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f>SUMPRODUCT(DB_SOFProject[[#This Row],[Plan01]:[Plan12]],$E$4:$P$4)/valUnits2</f>
        <v>0</v>
      </c>
      <c r="AD158">
        <f>SUMPRODUCT(DB_SOFProject[[#This Row],[Act01]:[Act12]],$Q$4:$AB$4)/valUnits2</f>
        <v>0</v>
      </c>
      <c r="AE158">
        <f>DB_SOFProject[[#This Row],[Actual]]-DB_SOFProject[[#This Row],[Plan]]</f>
        <v>0</v>
      </c>
      <c r="AF158" s="32">
        <f>IF(DB_SOFProject[[#This Row],[Plan]]&lt;&gt;0,DB_SOFProject[[#This Row],[Actual]]/DB_SOFProject[[#This Row],[Plan]],1.000011000011)</f>
        <v>1.0000110000110001</v>
      </c>
      <c r="AG158" s="34">
        <f>SUM(DB_SOFProject[[#This Row],[Plan01]:[Plan12]])/valUnits2</f>
        <v>0</v>
      </c>
      <c r="AH158" s="34">
        <f>SUMPRODUCT(DB_SOFProject[[#This Row],[Act01]:[Act12]],$Q$3:$AB$3)/valUnits2</f>
        <v>0</v>
      </c>
    </row>
    <row r="159" spans="2:34" x14ac:dyDescent="0.2">
      <c r="B159" t="s">
        <v>489</v>
      </c>
      <c r="C159" t="s">
        <v>355</v>
      </c>
      <c r="D159" t="s">
        <v>975</v>
      </c>
      <c r="H159">
        <v>84.13000000000001</v>
      </c>
      <c r="T159">
        <v>85.25</v>
      </c>
      <c r="AC159">
        <f>SUMPRODUCT(DB_SOFProject[[#This Row],[Plan01]:[Plan12]],$E$4:$P$4)/valUnits2</f>
        <v>8.413000000000001E-2</v>
      </c>
      <c r="AD159">
        <f>SUMPRODUCT(DB_SOFProject[[#This Row],[Act01]:[Act12]],$Q$4:$AB$4)/valUnits2</f>
        <v>8.5250000000000006E-2</v>
      </c>
      <c r="AE159">
        <f>DB_SOFProject[[#This Row],[Actual]]-DB_SOFProject[[#This Row],[Plan]]</f>
        <v>1.119999999999996E-3</v>
      </c>
      <c r="AF159" s="32">
        <f>IF(DB_SOFProject[[#This Row],[Plan]]&lt;&gt;0,DB_SOFProject[[#This Row],[Actual]]/DB_SOFProject[[#This Row],[Plan]],1.000011000011)</f>
        <v>1.0133127302983478</v>
      </c>
      <c r="AG159" s="34">
        <f>SUM(DB_SOFProject[[#This Row],[Plan01]:[Plan12]])/valUnits2</f>
        <v>8.413000000000001E-2</v>
      </c>
      <c r="AH159" s="34">
        <f>SUMPRODUCT(DB_SOFProject[[#This Row],[Act01]:[Act12]],$Q$3:$AB$3)/valUnits2</f>
        <v>8.5250000000000006E-2</v>
      </c>
    </row>
    <row r="160" spans="2:34" x14ac:dyDescent="0.2">
      <c r="B160" t="s">
        <v>489</v>
      </c>
      <c r="C160" t="s">
        <v>866</v>
      </c>
      <c r="D160" t="s">
        <v>946</v>
      </c>
      <c r="E160">
        <v>1654.14</v>
      </c>
      <c r="F160">
        <v>0</v>
      </c>
      <c r="G160">
        <v>0</v>
      </c>
      <c r="H160">
        <v>-461.46000000000009</v>
      </c>
      <c r="I160">
        <v>0</v>
      </c>
      <c r="J160">
        <v>1276.4449999999999</v>
      </c>
      <c r="K160">
        <v>1276.4449999999999</v>
      </c>
      <c r="L160">
        <v>1276.4449999999999</v>
      </c>
      <c r="M160">
        <v>1276.4449999999999</v>
      </c>
      <c r="Q160">
        <v>1654.14</v>
      </c>
      <c r="R160">
        <v>0</v>
      </c>
      <c r="S160">
        <v>0</v>
      </c>
      <c r="T160">
        <v>-117.02999999999997</v>
      </c>
      <c r="U160">
        <v>-344.43</v>
      </c>
      <c r="V160">
        <v>0</v>
      </c>
      <c r="W160">
        <v>0</v>
      </c>
      <c r="X160">
        <v>0</v>
      </c>
      <c r="Y160">
        <v>0</v>
      </c>
      <c r="AC160">
        <f>SUMPRODUCT(DB_SOFProject[[#This Row],[Plan01]:[Plan12]],$E$4:$P$4)/valUnits2</f>
        <v>2.469125</v>
      </c>
      <c r="AD160">
        <f>SUMPRODUCT(DB_SOFProject[[#This Row],[Act01]:[Act12]],$Q$4:$AB$4)/valUnits2</f>
        <v>1.19268</v>
      </c>
      <c r="AE160">
        <f>DB_SOFProject[[#This Row],[Actual]]-DB_SOFProject[[#This Row],[Plan]]</f>
        <v>-1.2764450000000001</v>
      </c>
      <c r="AF160" s="32">
        <f>IF(DB_SOFProject[[#This Row],[Plan]]&lt;&gt;0,DB_SOFProject[[#This Row],[Actual]]/DB_SOFProject[[#This Row],[Plan]],1.000011000011)</f>
        <v>0.48303751328912065</v>
      </c>
      <c r="AG160" s="34">
        <f>SUM(DB_SOFProject[[#This Row],[Plan01]:[Plan12]])/valUnits2</f>
        <v>6.2984599999999995</v>
      </c>
      <c r="AH160" s="34">
        <f>SUMPRODUCT(DB_SOFProject[[#This Row],[Act01]:[Act12]],$Q$3:$AB$3)/valUnits2</f>
        <v>1.19268</v>
      </c>
    </row>
    <row r="161" spans="2:34" x14ac:dyDescent="0.2">
      <c r="B161" t="s">
        <v>489</v>
      </c>
      <c r="C161" t="s">
        <v>866</v>
      </c>
      <c r="D161" t="s">
        <v>947</v>
      </c>
      <c r="E161">
        <v>2358.27</v>
      </c>
      <c r="F161">
        <v>808.99</v>
      </c>
      <c r="G161">
        <v>0</v>
      </c>
      <c r="H161">
        <v>-2916.6400000000003</v>
      </c>
      <c r="I161">
        <v>180.11</v>
      </c>
      <c r="J161">
        <v>2552.7780000000002</v>
      </c>
      <c r="K161">
        <v>2552.7780000000002</v>
      </c>
      <c r="L161">
        <v>2552.7780000000002</v>
      </c>
      <c r="M161">
        <v>2552.7780000000002</v>
      </c>
      <c r="Q161">
        <v>2358.27</v>
      </c>
      <c r="R161">
        <v>808.99</v>
      </c>
      <c r="S161">
        <v>0</v>
      </c>
      <c r="T161">
        <v>-2916.64</v>
      </c>
      <c r="U161">
        <v>180.11</v>
      </c>
      <c r="V161">
        <v>0</v>
      </c>
      <c r="W161">
        <v>0</v>
      </c>
      <c r="X161">
        <v>0</v>
      </c>
      <c r="Y161">
        <v>0</v>
      </c>
      <c r="AC161">
        <f>SUMPRODUCT(DB_SOFProject[[#This Row],[Plan01]:[Plan12]],$E$4:$P$4)/valUnits2</f>
        <v>2.983508</v>
      </c>
      <c r="AD161">
        <f>SUMPRODUCT(DB_SOFProject[[#This Row],[Act01]:[Act12]],$Q$4:$AB$4)/valUnits2</f>
        <v>0.43073000000000033</v>
      </c>
      <c r="AE161">
        <f>DB_SOFProject[[#This Row],[Actual]]-DB_SOFProject[[#This Row],[Plan]]</f>
        <v>-2.5527779999999995</v>
      </c>
      <c r="AF161" s="32">
        <f>IF(DB_SOFProject[[#This Row],[Plan]]&lt;&gt;0,DB_SOFProject[[#This Row],[Actual]]/DB_SOFProject[[#This Row],[Plan]],1.000011000011)</f>
        <v>0.14437031843051881</v>
      </c>
      <c r="AG161" s="34">
        <f>SUM(DB_SOFProject[[#This Row],[Plan01]:[Plan12]])/valUnits2</f>
        <v>10.641842</v>
      </c>
      <c r="AH161" s="34">
        <f>SUMPRODUCT(DB_SOFProject[[#This Row],[Act01]:[Act12]],$Q$3:$AB$3)/valUnits2</f>
        <v>0.43073000000000033</v>
      </c>
    </row>
    <row r="162" spans="2:34" x14ac:dyDescent="0.2">
      <c r="B162" t="s">
        <v>489</v>
      </c>
      <c r="C162" t="s">
        <v>866</v>
      </c>
      <c r="D162" t="s">
        <v>959</v>
      </c>
      <c r="E162">
        <v>166753.01999999999</v>
      </c>
      <c r="F162">
        <v>64641.53</v>
      </c>
      <c r="G162">
        <v>127255.34</v>
      </c>
      <c r="H162">
        <v>-136842.93</v>
      </c>
      <c r="I162">
        <v>-121443.4</v>
      </c>
      <c r="J162">
        <v>5743.7780000000002</v>
      </c>
      <c r="K162">
        <v>5743.7780000000002</v>
      </c>
      <c r="L162">
        <v>5743.7780000000002</v>
      </c>
      <c r="M162">
        <v>5743.7780000000002</v>
      </c>
      <c r="Q162">
        <v>166753.02000000002</v>
      </c>
      <c r="R162">
        <v>64641.53</v>
      </c>
      <c r="S162">
        <v>127255.34</v>
      </c>
      <c r="T162">
        <v>-136842.92999999996</v>
      </c>
      <c r="U162">
        <v>-121443.40000000001</v>
      </c>
      <c r="V162">
        <v>10654.779999999999</v>
      </c>
      <c r="W162">
        <v>858.06</v>
      </c>
      <c r="X162">
        <v>0</v>
      </c>
      <c r="Y162">
        <v>0</v>
      </c>
      <c r="AC162">
        <f>SUMPRODUCT(DB_SOFProject[[#This Row],[Plan01]:[Plan12]],$E$4:$P$4)/valUnits2</f>
        <v>106.10733800000003</v>
      </c>
      <c r="AD162">
        <f>SUMPRODUCT(DB_SOFProject[[#This Row],[Act01]:[Act12]],$Q$4:$AB$4)/valUnits2</f>
        <v>111.01834000000004</v>
      </c>
      <c r="AE162">
        <f>DB_SOFProject[[#This Row],[Actual]]-DB_SOFProject[[#This Row],[Plan]]</f>
        <v>4.9110020000000105</v>
      </c>
      <c r="AF162" s="32">
        <f>IF(DB_SOFProject[[#This Row],[Plan]]&lt;&gt;0,DB_SOFProject[[#This Row],[Actual]]/DB_SOFProject[[#This Row],[Plan]],1.000011000011)</f>
        <v>1.0462833399891722</v>
      </c>
      <c r="AG162" s="34">
        <f>SUM(DB_SOFProject[[#This Row],[Plan01]:[Plan12]])/valUnits2</f>
        <v>123.33867200000005</v>
      </c>
      <c r="AH162" s="34">
        <f>SUMPRODUCT(DB_SOFProject[[#This Row],[Act01]:[Act12]],$Q$3:$AB$3)/valUnits2</f>
        <v>111.01834000000004</v>
      </c>
    </row>
    <row r="163" spans="2:34" x14ac:dyDescent="0.2">
      <c r="B163" t="s">
        <v>489</v>
      </c>
      <c r="C163" t="s">
        <v>866</v>
      </c>
      <c r="D163" t="s">
        <v>964</v>
      </c>
      <c r="J163">
        <v>0</v>
      </c>
      <c r="V163">
        <v>588.1</v>
      </c>
      <c r="AC163">
        <f>SUMPRODUCT(DB_SOFProject[[#This Row],[Plan01]:[Plan12]],$E$4:$P$4)/valUnits2</f>
        <v>0</v>
      </c>
      <c r="AD163">
        <f>SUMPRODUCT(DB_SOFProject[[#This Row],[Act01]:[Act12]],$Q$4:$AB$4)/valUnits2</f>
        <v>0.58810000000000007</v>
      </c>
      <c r="AE163">
        <f>DB_SOFProject[[#This Row],[Actual]]-DB_SOFProject[[#This Row],[Plan]]</f>
        <v>0.58810000000000007</v>
      </c>
      <c r="AF163" s="32">
        <f>IF(DB_SOFProject[[#This Row],[Plan]]&lt;&gt;0,DB_SOFProject[[#This Row],[Actual]]/DB_SOFProject[[#This Row],[Plan]],1.000011000011)</f>
        <v>1.0000110000110001</v>
      </c>
      <c r="AG163" s="34">
        <f>SUM(DB_SOFProject[[#This Row],[Plan01]:[Plan12]])/valUnits2</f>
        <v>0</v>
      </c>
      <c r="AH163" s="34">
        <f>SUMPRODUCT(DB_SOFProject[[#This Row],[Act01]:[Act12]],$Q$3:$AB$3)/valUnits2</f>
        <v>0.58810000000000007</v>
      </c>
    </row>
    <row r="164" spans="2:34" x14ac:dyDescent="0.2">
      <c r="B164" t="s">
        <v>489</v>
      </c>
      <c r="C164" t="s">
        <v>866</v>
      </c>
      <c r="D164" t="s">
        <v>975</v>
      </c>
      <c r="E164">
        <v>11274.51</v>
      </c>
      <c r="F164">
        <v>10237.98</v>
      </c>
      <c r="G164">
        <v>10369.32</v>
      </c>
      <c r="H164">
        <v>-19141.670000000002</v>
      </c>
      <c r="I164">
        <v>-15276.18</v>
      </c>
      <c r="J164">
        <v>21772.224999999999</v>
      </c>
      <c r="K164">
        <v>21772.224999999999</v>
      </c>
      <c r="L164">
        <v>21772.224999999999</v>
      </c>
      <c r="M164">
        <v>21772.224999999999</v>
      </c>
      <c r="Q164">
        <v>11274.51</v>
      </c>
      <c r="R164">
        <v>10237.98</v>
      </c>
      <c r="S164">
        <v>10734.8</v>
      </c>
      <c r="T164">
        <v>-19507.150000000001</v>
      </c>
      <c r="U164">
        <v>-15530.380000000001</v>
      </c>
      <c r="V164">
        <v>183.46</v>
      </c>
      <c r="W164">
        <v>789.59</v>
      </c>
      <c r="X164">
        <v>0</v>
      </c>
      <c r="Y164">
        <v>0</v>
      </c>
      <c r="AC164">
        <f>SUMPRODUCT(DB_SOFProject[[#This Row],[Plan01]:[Plan12]],$E$4:$P$4)/valUnits2</f>
        <v>19.236184999999995</v>
      </c>
      <c r="AD164">
        <f>SUMPRODUCT(DB_SOFProject[[#This Row],[Act01]:[Act12]],$Q$4:$AB$4)/valUnits2</f>
        <v>-2.606780000000005</v>
      </c>
      <c r="AE164">
        <f>DB_SOFProject[[#This Row],[Actual]]-DB_SOFProject[[#This Row],[Plan]]</f>
        <v>-21.842965</v>
      </c>
      <c r="AF164" s="32">
        <f>IF(DB_SOFProject[[#This Row],[Plan]]&lt;&gt;0,DB_SOFProject[[#This Row],[Actual]]/DB_SOFProject[[#This Row],[Plan]],1.000011000011)</f>
        <v>-0.13551439643567609</v>
      </c>
      <c r="AG164" s="34">
        <f>SUM(DB_SOFProject[[#This Row],[Plan01]:[Plan12]])/valUnits2</f>
        <v>84.552859999999981</v>
      </c>
      <c r="AH164" s="34">
        <f>SUMPRODUCT(DB_SOFProject[[#This Row],[Act01]:[Act12]],$Q$3:$AB$3)/valUnits2</f>
        <v>-2.606780000000005</v>
      </c>
    </row>
    <row r="165" spans="2:34" x14ac:dyDescent="0.2">
      <c r="B165" t="s">
        <v>489</v>
      </c>
      <c r="C165" t="s">
        <v>866</v>
      </c>
      <c r="D165" t="s">
        <v>976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1276.4449999999999</v>
      </c>
      <c r="K165">
        <v>1276.4449999999999</v>
      </c>
      <c r="L165">
        <v>1276.4449999999999</v>
      </c>
      <c r="M165">
        <v>1276.4449999999999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AC165">
        <f>SUMPRODUCT(DB_SOFProject[[#This Row],[Plan01]:[Plan12]],$E$4:$P$4)/valUnits2</f>
        <v>1.2764449999999998</v>
      </c>
      <c r="AD165">
        <f>SUMPRODUCT(DB_SOFProject[[#This Row],[Act01]:[Act12]],$Q$4:$AB$4)/valUnits2</f>
        <v>0</v>
      </c>
      <c r="AE165">
        <f>DB_SOFProject[[#This Row],[Actual]]-DB_SOFProject[[#This Row],[Plan]]</f>
        <v>-1.2764449999999998</v>
      </c>
      <c r="AF165" s="32">
        <f>IF(DB_SOFProject[[#This Row],[Plan]]&lt;&gt;0,DB_SOFProject[[#This Row],[Actual]]/DB_SOFProject[[#This Row],[Plan]],1.000011000011)</f>
        <v>0</v>
      </c>
      <c r="AG165" s="34">
        <f>SUM(DB_SOFProject[[#This Row],[Plan01]:[Plan12]])/valUnits2</f>
        <v>5.1057799999999993</v>
      </c>
      <c r="AH165" s="34">
        <f>SUMPRODUCT(DB_SOFProject[[#This Row],[Act01]:[Act12]],$Q$3:$AB$3)/valUnits2</f>
        <v>0</v>
      </c>
    </row>
    <row r="166" spans="2:34" x14ac:dyDescent="0.2">
      <c r="B166" t="s">
        <v>489</v>
      </c>
      <c r="C166" t="s">
        <v>866</v>
      </c>
      <c r="D166" t="s">
        <v>980</v>
      </c>
      <c r="E166">
        <v>330.83</v>
      </c>
      <c r="F166">
        <v>11034</v>
      </c>
      <c r="G166">
        <v>1338.19</v>
      </c>
      <c r="H166">
        <v>-1706.85</v>
      </c>
      <c r="I166">
        <v>0</v>
      </c>
      <c r="J166">
        <v>3829.2219999999998</v>
      </c>
      <c r="K166">
        <v>3829.2219999999998</v>
      </c>
      <c r="L166">
        <v>3829.2219999999998</v>
      </c>
      <c r="M166">
        <v>3829.2219999999998</v>
      </c>
      <c r="Q166">
        <v>330.83</v>
      </c>
      <c r="R166">
        <v>11034</v>
      </c>
      <c r="S166">
        <v>1338.19</v>
      </c>
      <c r="T166">
        <v>-1706.8500000000001</v>
      </c>
      <c r="U166">
        <v>0</v>
      </c>
      <c r="V166">
        <v>8687.7400000000016</v>
      </c>
      <c r="W166">
        <v>0</v>
      </c>
      <c r="X166">
        <v>0</v>
      </c>
      <c r="Y166">
        <v>0</v>
      </c>
      <c r="AC166">
        <f>SUMPRODUCT(DB_SOFProject[[#This Row],[Plan01]:[Plan12]],$E$4:$P$4)/valUnits2</f>
        <v>14.825391999999999</v>
      </c>
      <c r="AD166">
        <f>SUMPRODUCT(DB_SOFProject[[#This Row],[Act01]:[Act12]],$Q$4:$AB$4)/valUnits2</f>
        <v>19.683910000000004</v>
      </c>
      <c r="AE166">
        <f>DB_SOFProject[[#This Row],[Actual]]-DB_SOFProject[[#This Row],[Plan]]</f>
        <v>4.8585180000000054</v>
      </c>
      <c r="AF166" s="32">
        <f>IF(DB_SOFProject[[#This Row],[Plan]]&lt;&gt;0,DB_SOFProject[[#This Row],[Actual]]/DB_SOFProject[[#This Row],[Plan]],1.000011000011)</f>
        <v>1.3277159888925707</v>
      </c>
      <c r="AG166" s="34">
        <f>SUM(DB_SOFProject[[#This Row],[Plan01]:[Plan12]])/valUnits2</f>
        <v>26.313058000000005</v>
      </c>
      <c r="AH166" s="34">
        <f>SUMPRODUCT(DB_SOFProject[[#This Row],[Act01]:[Act12]],$Q$3:$AB$3)/valUnits2</f>
        <v>19.683910000000004</v>
      </c>
    </row>
    <row r="167" spans="2:34" x14ac:dyDescent="0.2">
      <c r="B167" t="s">
        <v>489</v>
      </c>
      <c r="C167" t="s">
        <v>866</v>
      </c>
      <c r="D167" t="s">
        <v>984</v>
      </c>
      <c r="E167">
        <v>321.63000000000005</v>
      </c>
      <c r="F167">
        <v>4656.43</v>
      </c>
      <c r="G167">
        <v>2266.54</v>
      </c>
      <c r="H167">
        <v>8153.9299999999994</v>
      </c>
      <c r="I167">
        <v>1535.79</v>
      </c>
      <c r="J167">
        <v>0</v>
      </c>
      <c r="Q167">
        <v>321.63</v>
      </c>
      <c r="R167">
        <v>4656.4299999999994</v>
      </c>
      <c r="S167">
        <v>2266.54</v>
      </c>
      <c r="T167">
        <v>8153.93</v>
      </c>
      <c r="U167">
        <v>1535.79</v>
      </c>
      <c r="V167">
        <v>6659.33</v>
      </c>
      <c r="AC167">
        <f>SUMPRODUCT(DB_SOFProject[[#This Row],[Plan01]:[Plan12]],$E$4:$P$4)/valUnits2</f>
        <v>16.93432</v>
      </c>
      <c r="AD167">
        <f>SUMPRODUCT(DB_SOFProject[[#This Row],[Act01]:[Act12]],$Q$4:$AB$4)/valUnits2</f>
        <v>23.59365</v>
      </c>
      <c r="AE167">
        <f>DB_SOFProject[[#This Row],[Actual]]-DB_SOFProject[[#This Row],[Plan]]</f>
        <v>6.6593300000000006</v>
      </c>
      <c r="AF167" s="32">
        <f>IF(DB_SOFProject[[#This Row],[Plan]]&lt;&gt;0,DB_SOFProject[[#This Row],[Actual]]/DB_SOFProject[[#This Row],[Plan]],1.000011000011)</f>
        <v>1.3932446062197952</v>
      </c>
      <c r="AG167" s="34">
        <f>SUM(DB_SOFProject[[#This Row],[Plan01]:[Plan12]])/valUnits2</f>
        <v>16.93432</v>
      </c>
      <c r="AH167" s="34">
        <f>SUMPRODUCT(DB_SOFProject[[#This Row],[Act01]:[Act12]],$Q$3:$AB$3)/valUnits2</f>
        <v>23.59365</v>
      </c>
    </row>
    <row r="168" spans="2:34" x14ac:dyDescent="0.2">
      <c r="B168" t="s">
        <v>489</v>
      </c>
      <c r="C168" t="s">
        <v>866</v>
      </c>
      <c r="D168" t="s">
        <v>998</v>
      </c>
      <c r="F168">
        <v>5625.29</v>
      </c>
      <c r="G168">
        <v>2965</v>
      </c>
      <c r="H168">
        <v>-2572.4199999999996</v>
      </c>
      <c r="I168">
        <v>1834.44</v>
      </c>
      <c r="J168">
        <v>0</v>
      </c>
      <c r="K168">
        <v>0</v>
      </c>
      <c r="R168">
        <v>5625.29</v>
      </c>
      <c r="S168">
        <v>2965</v>
      </c>
      <c r="T168">
        <v>-2572.42</v>
      </c>
      <c r="U168">
        <v>1834.4399999999998</v>
      </c>
      <c r="V168">
        <v>2095.46</v>
      </c>
      <c r="W168">
        <v>5576</v>
      </c>
      <c r="AC168">
        <f>SUMPRODUCT(DB_SOFProject[[#This Row],[Plan01]:[Plan12]],$E$4:$P$4)/valUnits2</f>
        <v>7.852310000000001</v>
      </c>
      <c r="AD168">
        <f>SUMPRODUCT(DB_SOFProject[[#This Row],[Act01]:[Act12]],$Q$4:$AB$4)/valUnits2</f>
        <v>9.9477700000000002</v>
      </c>
      <c r="AE168">
        <f>DB_SOFProject[[#This Row],[Actual]]-DB_SOFProject[[#This Row],[Plan]]</f>
        <v>2.0954599999999992</v>
      </c>
      <c r="AF168" s="32">
        <f>IF(DB_SOFProject[[#This Row],[Plan]]&lt;&gt;0,DB_SOFProject[[#This Row],[Actual]]/DB_SOFProject[[#This Row],[Plan]],1.000011000011)</f>
        <v>1.2668590516675984</v>
      </c>
      <c r="AG168" s="34">
        <f>SUM(DB_SOFProject[[#This Row],[Plan01]:[Plan12]])/valUnits2</f>
        <v>7.852310000000001</v>
      </c>
      <c r="AH168" s="34">
        <f>SUMPRODUCT(DB_SOFProject[[#This Row],[Act01]:[Act12]],$Q$3:$AB$3)/valUnits2</f>
        <v>9.9477700000000002</v>
      </c>
    </row>
    <row r="169" spans="2:34" x14ac:dyDescent="0.2">
      <c r="B169" t="s">
        <v>489</v>
      </c>
      <c r="C169" t="s">
        <v>866</v>
      </c>
      <c r="D169" t="s">
        <v>999</v>
      </c>
      <c r="E169">
        <v>411.03999999999996</v>
      </c>
      <c r="F169">
        <v>506.65000000000003</v>
      </c>
      <c r="G169">
        <v>2301.8199999999997</v>
      </c>
      <c r="H169">
        <v>2730.8399999999997</v>
      </c>
      <c r="I169">
        <v>2688.5299999999997</v>
      </c>
      <c r="J169">
        <v>5743.5550000000003</v>
      </c>
      <c r="K169">
        <v>5743.5550000000003</v>
      </c>
      <c r="L169">
        <v>5743.5550000000003</v>
      </c>
      <c r="M169">
        <v>5743.5550000000003</v>
      </c>
      <c r="Q169">
        <v>411.03999999999996</v>
      </c>
      <c r="R169">
        <v>506.65</v>
      </c>
      <c r="S169">
        <v>2301.8200000000002</v>
      </c>
      <c r="T169">
        <v>2730.8399999999997</v>
      </c>
      <c r="U169">
        <v>2688.5299999999997</v>
      </c>
      <c r="V169">
        <v>1865.73</v>
      </c>
      <c r="W169">
        <v>0</v>
      </c>
      <c r="X169">
        <v>0</v>
      </c>
      <c r="Y169">
        <v>0</v>
      </c>
      <c r="AC169">
        <f>SUMPRODUCT(DB_SOFProject[[#This Row],[Plan01]:[Plan12]],$E$4:$P$4)/valUnits2</f>
        <v>14.382434999999999</v>
      </c>
      <c r="AD169">
        <f>SUMPRODUCT(DB_SOFProject[[#This Row],[Act01]:[Act12]],$Q$4:$AB$4)/valUnits2</f>
        <v>10.504610000000001</v>
      </c>
      <c r="AE169">
        <f>DB_SOFProject[[#This Row],[Actual]]-DB_SOFProject[[#This Row],[Plan]]</f>
        <v>-3.8778249999999979</v>
      </c>
      <c r="AF169" s="32">
        <f>IF(DB_SOFProject[[#This Row],[Plan]]&lt;&gt;0,DB_SOFProject[[#This Row],[Actual]]/DB_SOFProject[[#This Row],[Plan]],1.000011000011)</f>
        <v>0.73037771420486186</v>
      </c>
      <c r="AG169" s="34">
        <f>SUM(DB_SOFProject[[#This Row],[Plan01]:[Plan12]])/valUnits2</f>
        <v>31.613099999999999</v>
      </c>
      <c r="AH169" s="34">
        <f>SUMPRODUCT(DB_SOFProject[[#This Row],[Act01]:[Act12]],$Q$3:$AB$3)/valUnits2</f>
        <v>10.504610000000001</v>
      </c>
    </row>
    <row r="170" spans="2:34" x14ac:dyDescent="0.2">
      <c r="B170" t="s">
        <v>489</v>
      </c>
      <c r="C170" t="s">
        <v>867</v>
      </c>
      <c r="D170" t="s">
        <v>959</v>
      </c>
      <c r="J170">
        <v>0</v>
      </c>
      <c r="V170">
        <v>2398.81</v>
      </c>
      <c r="AC170">
        <f>SUMPRODUCT(DB_SOFProject[[#This Row],[Plan01]:[Plan12]],$E$4:$P$4)/valUnits2</f>
        <v>0</v>
      </c>
      <c r="AD170">
        <f>SUMPRODUCT(DB_SOFProject[[#This Row],[Act01]:[Act12]],$Q$4:$AB$4)/valUnits2</f>
        <v>2.3988100000000001</v>
      </c>
      <c r="AE170">
        <f>DB_SOFProject[[#This Row],[Actual]]-DB_SOFProject[[#This Row],[Plan]]</f>
        <v>2.3988100000000001</v>
      </c>
      <c r="AF170" s="32">
        <f>IF(DB_SOFProject[[#This Row],[Plan]]&lt;&gt;0,DB_SOFProject[[#This Row],[Actual]]/DB_SOFProject[[#This Row],[Plan]],1.000011000011)</f>
        <v>1.0000110000110001</v>
      </c>
      <c r="AG170" s="34">
        <f>SUM(DB_SOFProject[[#This Row],[Plan01]:[Plan12]])/valUnits2</f>
        <v>0</v>
      </c>
      <c r="AH170" s="34">
        <f>SUMPRODUCT(DB_SOFProject[[#This Row],[Act01]:[Act12]],$Q$3:$AB$3)/valUnits2</f>
        <v>2.3988100000000001</v>
      </c>
    </row>
    <row r="171" spans="2:34" x14ac:dyDescent="0.2">
      <c r="B171" t="s">
        <v>489</v>
      </c>
      <c r="C171" t="s">
        <v>867</v>
      </c>
      <c r="D171" t="s">
        <v>998</v>
      </c>
      <c r="J171">
        <v>0</v>
      </c>
      <c r="V171">
        <v>3.35</v>
      </c>
      <c r="AC171">
        <f>SUMPRODUCT(DB_SOFProject[[#This Row],[Plan01]:[Plan12]],$E$4:$P$4)/valUnits2</f>
        <v>0</v>
      </c>
      <c r="AD171">
        <f>SUMPRODUCT(DB_SOFProject[[#This Row],[Act01]:[Act12]],$Q$4:$AB$4)/valUnits2</f>
        <v>3.3500000000000001E-3</v>
      </c>
      <c r="AE171">
        <f>DB_SOFProject[[#This Row],[Actual]]-DB_SOFProject[[#This Row],[Plan]]</f>
        <v>3.3500000000000001E-3</v>
      </c>
      <c r="AF171" s="32">
        <f>IF(DB_SOFProject[[#This Row],[Plan]]&lt;&gt;0,DB_SOFProject[[#This Row],[Actual]]/DB_SOFProject[[#This Row],[Plan]],1.000011000011)</f>
        <v>1.0000110000110001</v>
      </c>
      <c r="AG171" s="34">
        <f>SUM(DB_SOFProject[[#This Row],[Plan01]:[Plan12]])/valUnits2</f>
        <v>0</v>
      </c>
      <c r="AH171" s="34">
        <f>SUMPRODUCT(DB_SOFProject[[#This Row],[Act01]:[Act12]],$Q$3:$AB$3)/valUnits2</f>
        <v>3.3500000000000001E-3</v>
      </c>
    </row>
    <row r="172" spans="2:34" x14ac:dyDescent="0.2">
      <c r="B172" t="s">
        <v>489</v>
      </c>
      <c r="C172" t="s">
        <v>868</v>
      </c>
      <c r="D172" t="s">
        <v>975</v>
      </c>
      <c r="H172">
        <v>52.31</v>
      </c>
      <c r="I172">
        <v>101.98999999999998</v>
      </c>
      <c r="J172">
        <v>0</v>
      </c>
      <c r="T172">
        <v>52.31</v>
      </c>
      <c r="U172">
        <v>102.27</v>
      </c>
      <c r="V172">
        <v>72.75</v>
      </c>
      <c r="AC172">
        <f>SUMPRODUCT(DB_SOFProject[[#This Row],[Plan01]:[Plan12]],$E$4:$P$4)/valUnits2</f>
        <v>0.15429999999999999</v>
      </c>
      <c r="AD172">
        <f>SUMPRODUCT(DB_SOFProject[[#This Row],[Act01]:[Act12]],$Q$4:$AB$4)/valUnits2</f>
        <v>0.22732999999999998</v>
      </c>
      <c r="AE172">
        <f>DB_SOFProject[[#This Row],[Actual]]-DB_SOFProject[[#This Row],[Plan]]</f>
        <v>7.3029999999999984E-2</v>
      </c>
      <c r="AF172" s="32">
        <f>IF(DB_SOFProject[[#This Row],[Plan]]&lt;&gt;0,DB_SOFProject[[#This Row],[Actual]]/DB_SOFProject[[#This Row],[Plan]],1.000011000011)</f>
        <v>1.4732987686325338</v>
      </c>
      <c r="AG172" s="34">
        <f>SUM(DB_SOFProject[[#This Row],[Plan01]:[Plan12]])/valUnits2</f>
        <v>0.15429999999999999</v>
      </c>
      <c r="AH172" s="34">
        <f>SUMPRODUCT(DB_SOFProject[[#This Row],[Act01]:[Act12]],$Q$3:$AB$3)/valUnits2</f>
        <v>0.22732999999999998</v>
      </c>
    </row>
    <row r="173" spans="2:34" x14ac:dyDescent="0.2">
      <c r="B173" t="s">
        <v>489</v>
      </c>
      <c r="C173" t="s">
        <v>869</v>
      </c>
      <c r="D173" t="s">
        <v>946</v>
      </c>
      <c r="E173">
        <v>4.84</v>
      </c>
      <c r="F173">
        <v>1493</v>
      </c>
      <c r="G173">
        <v>2136.5300000000002</v>
      </c>
      <c r="H173">
        <v>874.36</v>
      </c>
      <c r="I173">
        <v>571.46</v>
      </c>
      <c r="J173">
        <v>0</v>
      </c>
      <c r="Q173">
        <v>4.84</v>
      </c>
      <c r="R173">
        <v>1493</v>
      </c>
      <c r="S173">
        <v>2136.5300000000002</v>
      </c>
      <c r="T173">
        <v>874.36</v>
      </c>
      <c r="U173">
        <v>571.46</v>
      </c>
      <c r="V173">
        <v>282.61</v>
      </c>
      <c r="AC173">
        <f>SUMPRODUCT(DB_SOFProject[[#This Row],[Plan01]:[Plan12]],$E$4:$P$4)/valUnits2</f>
        <v>5.08019</v>
      </c>
      <c r="AD173">
        <f>SUMPRODUCT(DB_SOFProject[[#This Row],[Act01]:[Act12]],$Q$4:$AB$4)/valUnits2</f>
        <v>5.3627999999999991</v>
      </c>
      <c r="AE173">
        <f>DB_SOFProject[[#This Row],[Actual]]-DB_SOFProject[[#This Row],[Plan]]</f>
        <v>0.28260999999999914</v>
      </c>
      <c r="AF173" s="32">
        <f>IF(DB_SOFProject[[#This Row],[Plan]]&lt;&gt;0,DB_SOFProject[[#This Row],[Actual]]/DB_SOFProject[[#This Row],[Plan]],1.000011000011)</f>
        <v>1.0556298091213123</v>
      </c>
      <c r="AG173" s="34">
        <f>SUM(DB_SOFProject[[#This Row],[Plan01]:[Plan12]])/valUnits2</f>
        <v>5.08019</v>
      </c>
      <c r="AH173" s="34">
        <f>SUMPRODUCT(DB_SOFProject[[#This Row],[Act01]:[Act12]],$Q$3:$AB$3)/valUnits2</f>
        <v>5.3627999999999991</v>
      </c>
    </row>
    <row r="174" spans="2:34" x14ac:dyDescent="0.2">
      <c r="B174" t="s">
        <v>489</v>
      </c>
      <c r="C174" t="s">
        <v>869</v>
      </c>
      <c r="D174" t="s">
        <v>947</v>
      </c>
      <c r="F174">
        <v>3265.8300000000004</v>
      </c>
      <c r="G174">
        <v>1639.18</v>
      </c>
      <c r="J174">
        <v>0</v>
      </c>
      <c r="R174">
        <v>3265.8300000000004</v>
      </c>
      <c r="S174">
        <v>1639.18</v>
      </c>
      <c r="V174">
        <v>-1637.1200000000001</v>
      </c>
      <c r="AC174">
        <f>SUMPRODUCT(DB_SOFProject[[#This Row],[Plan01]:[Plan12]],$E$4:$P$4)/valUnits2</f>
        <v>4.9050099999999999</v>
      </c>
      <c r="AD174">
        <f>SUMPRODUCT(DB_SOFProject[[#This Row],[Act01]:[Act12]],$Q$4:$AB$4)/valUnits2</f>
        <v>3.2678900000000004</v>
      </c>
      <c r="AE174">
        <f>DB_SOFProject[[#This Row],[Actual]]-DB_SOFProject[[#This Row],[Plan]]</f>
        <v>-1.6371199999999995</v>
      </c>
      <c r="AF174" s="32">
        <f>IF(DB_SOFProject[[#This Row],[Plan]]&lt;&gt;0,DB_SOFProject[[#This Row],[Actual]]/DB_SOFProject[[#This Row],[Plan]],1.000011000011)</f>
        <v>0.66623513509656462</v>
      </c>
      <c r="AG174" s="34">
        <f>SUM(DB_SOFProject[[#This Row],[Plan01]:[Plan12]])/valUnits2</f>
        <v>4.9050099999999999</v>
      </c>
      <c r="AH174" s="34">
        <f>SUMPRODUCT(DB_SOFProject[[#This Row],[Act01]:[Act12]],$Q$3:$AB$3)/valUnits2</f>
        <v>3.2678900000000004</v>
      </c>
    </row>
    <row r="175" spans="2:34" x14ac:dyDescent="0.2">
      <c r="B175" t="s">
        <v>489</v>
      </c>
      <c r="C175" t="s">
        <v>869</v>
      </c>
      <c r="D175" t="s">
        <v>959</v>
      </c>
      <c r="E175">
        <v>139.29</v>
      </c>
      <c r="F175">
        <v>0</v>
      </c>
      <c r="G175">
        <v>0</v>
      </c>
      <c r="H175">
        <v>0</v>
      </c>
      <c r="I175">
        <v>0</v>
      </c>
      <c r="J175">
        <v>2842</v>
      </c>
      <c r="K175">
        <v>2842</v>
      </c>
      <c r="L175">
        <v>2842</v>
      </c>
      <c r="M175">
        <v>2842</v>
      </c>
      <c r="N175">
        <v>2842</v>
      </c>
      <c r="O175">
        <v>2842</v>
      </c>
      <c r="P175">
        <v>2842</v>
      </c>
      <c r="Q175">
        <v>139.29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f>SUMPRODUCT(DB_SOFProject[[#This Row],[Plan01]:[Plan12]],$E$4:$P$4)/valUnits2</f>
        <v>2.98129</v>
      </c>
      <c r="AD175">
        <f>SUMPRODUCT(DB_SOFProject[[#This Row],[Act01]:[Act12]],$Q$4:$AB$4)/valUnits2</f>
        <v>0.13929</v>
      </c>
      <c r="AE175">
        <f>DB_SOFProject[[#This Row],[Actual]]-DB_SOFProject[[#This Row],[Plan]]</f>
        <v>-2.8420000000000001</v>
      </c>
      <c r="AF175" s="32">
        <f>IF(DB_SOFProject[[#This Row],[Plan]]&lt;&gt;0,DB_SOFProject[[#This Row],[Actual]]/DB_SOFProject[[#This Row],[Plan]],1.000011000011)</f>
        <v>4.6721385708870994E-2</v>
      </c>
      <c r="AG175" s="34">
        <f>SUM(DB_SOFProject[[#This Row],[Plan01]:[Plan12]])/valUnits2</f>
        <v>20.033290000000001</v>
      </c>
      <c r="AH175" s="34">
        <f>SUMPRODUCT(DB_SOFProject[[#This Row],[Act01]:[Act12]],$Q$3:$AB$3)/valUnits2</f>
        <v>0.13929</v>
      </c>
    </row>
    <row r="176" spans="2:34" x14ac:dyDescent="0.2">
      <c r="B176" t="s">
        <v>489</v>
      </c>
      <c r="C176" t="s">
        <v>869</v>
      </c>
      <c r="D176" t="s">
        <v>975</v>
      </c>
      <c r="E176">
        <v>5769.39</v>
      </c>
      <c r="F176">
        <v>5764.8300000000008</v>
      </c>
      <c r="G176">
        <v>10461.910000000002</v>
      </c>
      <c r="H176">
        <v>17742.099999999999</v>
      </c>
      <c r="I176">
        <v>13755.13</v>
      </c>
      <c r="J176">
        <v>1755</v>
      </c>
      <c r="K176">
        <v>1755</v>
      </c>
      <c r="L176">
        <v>1755</v>
      </c>
      <c r="M176">
        <v>1755</v>
      </c>
      <c r="N176">
        <v>1755</v>
      </c>
      <c r="O176">
        <v>1755</v>
      </c>
      <c r="P176">
        <v>1755</v>
      </c>
      <c r="Q176">
        <v>5769.39</v>
      </c>
      <c r="R176">
        <v>5764.83</v>
      </c>
      <c r="S176">
        <v>10461.91</v>
      </c>
      <c r="T176">
        <v>17742.099999999995</v>
      </c>
      <c r="U176">
        <v>13758.849999999999</v>
      </c>
      <c r="V176">
        <v>9547.94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f>SUMPRODUCT(DB_SOFProject[[#This Row],[Plan01]:[Plan12]],$E$4:$P$4)/valUnits2</f>
        <v>55.248359999999998</v>
      </c>
      <c r="AD176">
        <f>SUMPRODUCT(DB_SOFProject[[#This Row],[Act01]:[Act12]],$Q$4:$AB$4)/valUnits2</f>
        <v>63.045019999999994</v>
      </c>
      <c r="AE176">
        <f>DB_SOFProject[[#This Row],[Actual]]-DB_SOFProject[[#This Row],[Plan]]</f>
        <v>7.7966599999999957</v>
      </c>
      <c r="AF176" s="32">
        <f>IF(DB_SOFProject[[#This Row],[Plan]]&lt;&gt;0,DB_SOFProject[[#This Row],[Actual]]/DB_SOFProject[[#This Row],[Plan]],1.000011000011)</f>
        <v>1.1411202070070496</v>
      </c>
      <c r="AG176" s="34">
        <f>SUM(DB_SOFProject[[#This Row],[Plan01]:[Plan12]])/valUnits2</f>
        <v>65.778360000000006</v>
      </c>
      <c r="AH176" s="34">
        <f>SUMPRODUCT(DB_SOFProject[[#This Row],[Act01]:[Act12]],$Q$3:$AB$3)/valUnits2</f>
        <v>63.045019999999994</v>
      </c>
    </row>
    <row r="177" spans="2:34" x14ac:dyDescent="0.2">
      <c r="B177" t="s">
        <v>489</v>
      </c>
      <c r="C177" t="s">
        <v>869</v>
      </c>
      <c r="D177" t="s">
        <v>976</v>
      </c>
      <c r="E177">
        <v>10.28</v>
      </c>
      <c r="F177">
        <v>897.68</v>
      </c>
      <c r="G177">
        <v>1239.48</v>
      </c>
      <c r="H177">
        <v>1271.74</v>
      </c>
      <c r="I177">
        <v>514.79999999999995</v>
      </c>
      <c r="J177">
        <v>487</v>
      </c>
      <c r="K177">
        <v>487</v>
      </c>
      <c r="L177">
        <v>487</v>
      </c>
      <c r="M177">
        <v>487</v>
      </c>
      <c r="N177">
        <v>487</v>
      </c>
      <c r="O177">
        <v>487</v>
      </c>
      <c r="P177">
        <v>487</v>
      </c>
      <c r="Q177">
        <v>10.28</v>
      </c>
      <c r="R177">
        <v>897.68000000000006</v>
      </c>
      <c r="S177">
        <v>1239.48</v>
      </c>
      <c r="T177">
        <v>1271.74</v>
      </c>
      <c r="U177">
        <v>514.79999999999995</v>
      </c>
      <c r="V177">
        <v>587.9799999999999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f>SUMPRODUCT(DB_SOFProject[[#This Row],[Plan01]:[Plan12]],$E$4:$P$4)/valUnits2</f>
        <v>4.4209800000000001</v>
      </c>
      <c r="AD177">
        <f>SUMPRODUCT(DB_SOFProject[[#This Row],[Act01]:[Act12]],$Q$4:$AB$4)/valUnits2</f>
        <v>4.52196</v>
      </c>
      <c r="AE177">
        <f>DB_SOFProject[[#This Row],[Actual]]-DB_SOFProject[[#This Row],[Plan]]</f>
        <v>0.10097999999999985</v>
      </c>
      <c r="AF177" s="32">
        <f>IF(DB_SOFProject[[#This Row],[Plan]]&lt;&gt;0,DB_SOFProject[[#This Row],[Actual]]/DB_SOFProject[[#This Row],[Plan]],1.000011000011)</f>
        <v>1.0228410895321851</v>
      </c>
      <c r="AG177" s="34">
        <f>SUM(DB_SOFProject[[#This Row],[Plan01]:[Plan12]])/valUnits2</f>
        <v>7.3429800000000007</v>
      </c>
      <c r="AH177" s="34">
        <f>SUMPRODUCT(DB_SOFProject[[#This Row],[Act01]:[Act12]],$Q$3:$AB$3)/valUnits2</f>
        <v>4.52196</v>
      </c>
    </row>
    <row r="178" spans="2:34" x14ac:dyDescent="0.2">
      <c r="B178" t="s">
        <v>489</v>
      </c>
      <c r="C178" t="s">
        <v>869</v>
      </c>
      <c r="D178" t="s">
        <v>980</v>
      </c>
      <c r="F178">
        <v>1237.8800000000001</v>
      </c>
      <c r="G178">
        <v>2267.6899999999996</v>
      </c>
      <c r="H178">
        <v>2403.3200000000002</v>
      </c>
      <c r="I178">
        <v>660.81000000000006</v>
      </c>
      <c r="J178">
        <v>1618</v>
      </c>
      <c r="K178">
        <v>1618</v>
      </c>
      <c r="L178">
        <v>1618</v>
      </c>
      <c r="M178">
        <v>1618</v>
      </c>
      <c r="N178">
        <v>1618</v>
      </c>
      <c r="O178">
        <v>1618</v>
      </c>
      <c r="P178">
        <v>1618</v>
      </c>
      <c r="R178">
        <v>1237.8800000000001</v>
      </c>
      <c r="S178">
        <v>2267.69</v>
      </c>
      <c r="T178">
        <v>2403.3199999999997</v>
      </c>
      <c r="U178">
        <v>660.81000000000006</v>
      </c>
      <c r="V178">
        <v>1346.78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f>SUMPRODUCT(DB_SOFProject[[#This Row],[Plan01]:[Plan12]],$E$4:$P$4)/valUnits2</f>
        <v>8.1876999999999995</v>
      </c>
      <c r="AD178">
        <f>SUMPRODUCT(DB_SOFProject[[#This Row],[Act01]:[Act12]],$Q$4:$AB$4)/valUnits2</f>
        <v>7.91648</v>
      </c>
      <c r="AE178">
        <f>DB_SOFProject[[#This Row],[Actual]]-DB_SOFProject[[#This Row],[Plan]]</f>
        <v>-0.27121999999999957</v>
      </c>
      <c r="AF178" s="32">
        <f>IF(DB_SOFProject[[#This Row],[Plan]]&lt;&gt;0,DB_SOFProject[[#This Row],[Actual]]/DB_SOFProject[[#This Row],[Plan]],1.000011000011)</f>
        <v>0.96687470229734851</v>
      </c>
      <c r="AG178" s="34">
        <f>SUM(DB_SOFProject[[#This Row],[Plan01]:[Plan12]])/valUnits2</f>
        <v>17.895700000000001</v>
      </c>
      <c r="AH178" s="34">
        <f>SUMPRODUCT(DB_SOFProject[[#This Row],[Act01]:[Act12]],$Q$3:$AB$3)/valUnits2</f>
        <v>7.91648</v>
      </c>
    </row>
    <row r="179" spans="2:34" x14ac:dyDescent="0.2">
      <c r="B179" t="s">
        <v>489</v>
      </c>
      <c r="C179" t="s">
        <v>869</v>
      </c>
      <c r="D179" t="s">
        <v>984</v>
      </c>
      <c r="E179">
        <v>0</v>
      </c>
      <c r="F179">
        <v>547.75</v>
      </c>
      <c r="G179">
        <v>581.37</v>
      </c>
      <c r="H179">
        <v>454.78</v>
      </c>
      <c r="I179">
        <v>214.71</v>
      </c>
      <c r="J179">
        <v>245</v>
      </c>
      <c r="K179">
        <v>245</v>
      </c>
      <c r="L179">
        <v>245</v>
      </c>
      <c r="M179">
        <v>245</v>
      </c>
      <c r="N179">
        <v>245</v>
      </c>
      <c r="O179">
        <v>245</v>
      </c>
      <c r="P179">
        <v>245</v>
      </c>
      <c r="Q179">
        <v>0</v>
      </c>
      <c r="R179">
        <v>547.75</v>
      </c>
      <c r="S179">
        <v>581.37</v>
      </c>
      <c r="T179">
        <v>454.78</v>
      </c>
      <c r="U179">
        <v>214.71</v>
      </c>
      <c r="V179">
        <v>245.22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f>SUMPRODUCT(DB_SOFProject[[#This Row],[Plan01]:[Plan12]],$E$4:$P$4)/valUnits2</f>
        <v>2.0436099999999997</v>
      </c>
      <c r="AD179">
        <f>SUMPRODUCT(DB_SOFProject[[#This Row],[Act01]:[Act12]],$Q$4:$AB$4)/valUnits2</f>
        <v>2.0438299999999998</v>
      </c>
      <c r="AE179">
        <f>DB_SOFProject[[#This Row],[Actual]]-DB_SOFProject[[#This Row],[Plan]]</f>
        <v>2.20000000000109E-4</v>
      </c>
      <c r="AF179" s="32">
        <f>IF(DB_SOFProject[[#This Row],[Plan]]&lt;&gt;0,DB_SOFProject[[#This Row],[Actual]]/DB_SOFProject[[#This Row],[Plan]],1.000011000011)</f>
        <v>1.0001076526343089</v>
      </c>
      <c r="AG179" s="34">
        <f>SUM(DB_SOFProject[[#This Row],[Plan01]:[Plan12]])/valUnits2</f>
        <v>3.5136099999999995</v>
      </c>
      <c r="AH179" s="34">
        <f>SUMPRODUCT(DB_SOFProject[[#This Row],[Act01]:[Act12]],$Q$3:$AB$3)/valUnits2</f>
        <v>2.0438299999999998</v>
      </c>
    </row>
    <row r="180" spans="2:34" x14ac:dyDescent="0.2">
      <c r="B180" t="s">
        <v>489</v>
      </c>
      <c r="C180" t="s">
        <v>869</v>
      </c>
      <c r="D180" t="s">
        <v>998</v>
      </c>
      <c r="E180">
        <v>0</v>
      </c>
      <c r="F180">
        <v>3000.4</v>
      </c>
      <c r="G180">
        <v>2398.7199999999998</v>
      </c>
      <c r="H180">
        <v>2967.41</v>
      </c>
      <c r="I180">
        <v>1827.63</v>
      </c>
      <c r="J180">
        <v>1506</v>
      </c>
      <c r="K180">
        <v>1506</v>
      </c>
      <c r="L180">
        <v>1506</v>
      </c>
      <c r="M180">
        <v>1506</v>
      </c>
      <c r="N180">
        <v>1506</v>
      </c>
      <c r="O180">
        <v>1506</v>
      </c>
      <c r="P180">
        <v>1506</v>
      </c>
      <c r="Q180">
        <v>0</v>
      </c>
      <c r="R180">
        <v>3000.4</v>
      </c>
      <c r="S180">
        <v>2398.7199999999998</v>
      </c>
      <c r="T180">
        <v>2967.41</v>
      </c>
      <c r="U180">
        <v>1827.63</v>
      </c>
      <c r="V180">
        <v>1830.82</v>
      </c>
      <c r="W180">
        <v>8630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f>SUMPRODUCT(DB_SOFProject[[#This Row],[Plan01]:[Plan12]],$E$4:$P$4)/valUnits2</f>
        <v>11.70016</v>
      </c>
      <c r="AD180">
        <f>SUMPRODUCT(DB_SOFProject[[#This Row],[Act01]:[Act12]],$Q$4:$AB$4)/valUnits2</f>
        <v>12.024979999999999</v>
      </c>
      <c r="AE180">
        <f>DB_SOFProject[[#This Row],[Actual]]-DB_SOFProject[[#This Row],[Plan]]</f>
        <v>0.324819999999999</v>
      </c>
      <c r="AF180" s="32">
        <f>IF(DB_SOFProject[[#This Row],[Plan]]&lt;&gt;0,DB_SOFProject[[#This Row],[Actual]]/DB_SOFProject[[#This Row],[Plan]],1.000011000011)</f>
        <v>1.0277620135109262</v>
      </c>
      <c r="AG180" s="34">
        <f>SUM(DB_SOFProject[[#This Row],[Plan01]:[Plan12]])/valUnits2</f>
        <v>20.736159999999998</v>
      </c>
      <c r="AH180" s="34">
        <f>SUMPRODUCT(DB_SOFProject[[#This Row],[Act01]:[Act12]],$Q$3:$AB$3)/valUnits2</f>
        <v>12.024979999999999</v>
      </c>
    </row>
    <row r="181" spans="2:34" x14ac:dyDescent="0.2">
      <c r="B181" t="s">
        <v>489</v>
      </c>
      <c r="C181" t="s">
        <v>869</v>
      </c>
      <c r="D181" t="s">
        <v>999</v>
      </c>
      <c r="E181">
        <v>1250.5999999999999</v>
      </c>
      <c r="F181">
        <v>1348.68</v>
      </c>
      <c r="G181">
        <v>1595.38</v>
      </c>
      <c r="H181">
        <v>1484.9099999999999</v>
      </c>
      <c r="I181">
        <v>2332.8000000000002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1250.6000000000001</v>
      </c>
      <c r="R181">
        <v>1348.68</v>
      </c>
      <c r="S181">
        <v>1595.38</v>
      </c>
      <c r="T181">
        <v>1484.9099999999999</v>
      </c>
      <c r="U181">
        <v>2332.8000000000002</v>
      </c>
      <c r="V181">
        <v>1897.0800000000002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f>SUMPRODUCT(DB_SOFProject[[#This Row],[Plan01]:[Plan12]],$E$4:$P$4)/valUnits2</f>
        <v>8.0123700000000007</v>
      </c>
      <c r="AD181">
        <f>SUMPRODUCT(DB_SOFProject[[#This Row],[Act01]:[Act12]],$Q$4:$AB$4)/valUnits2</f>
        <v>9.9094500000000014</v>
      </c>
      <c r="AE181">
        <f>DB_SOFProject[[#This Row],[Actual]]-DB_SOFProject[[#This Row],[Plan]]</f>
        <v>1.8970800000000008</v>
      </c>
      <c r="AF181" s="32">
        <f>IF(DB_SOFProject[[#This Row],[Plan]]&lt;&gt;0,DB_SOFProject[[#This Row],[Actual]]/DB_SOFProject[[#This Row],[Plan]],1.000011000011)</f>
        <v>1.2367688960944141</v>
      </c>
      <c r="AG181" s="34">
        <f>SUM(DB_SOFProject[[#This Row],[Plan01]:[Plan12]])/valUnits2</f>
        <v>8.0123700000000007</v>
      </c>
      <c r="AH181" s="34">
        <f>SUMPRODUCT(DB_SOFProject[[#This Row],[Act01]:[Act12]],$Q$3:$AB$3)/valUnits2</f>
        <v>9.9094500000000014</v>
      </c>
    </row>
    <row r="182" spans="2:34" x14ac:dyDescent="0.2">
      <c r="B182" t="s">
        <v>489</v>
      </c>
      <c r="C182" t="s">
        <v>870</v>
      </c>
      <c r="D182" t="s">
        <v>959</v>
      </c>
      <c r="H182">
        <v>0</v>
      </c>
      <c r="K182">
        <v>0</v>
      </c>
      <c r="N182">
        <v>0</v>
      </c>
      <c r="T182">
        <v>0</v>
      </c>
      <c r="W182">
        <v>0</v>
      </c>
      <c r="Z182">
        <v>0</v>
      </c>
      <c r="AC182">
        <f>SUMPRODUCT(DB_SOFProject[[#This Row],[Plan01]:[Plan12]],$E$4:$P$4)/valUnits2</f>
        <v>0</v>
      </c>
      <c r="AD182">
        <f>SUMPRODUCT(DB_SOFProject[[#This Row],[Act01]:[Act12]],$Q$4:$AB$4)/valUnits2</f>
        <v>0</v>
      </c>
      <c r="AE182">
        <f>DB_SOFProject[[#This Row],[Actual]]-DB_SOFProject[[#This Row],[Plan]]</f>
        <v>0</v>
      </c>
      <c r="AF182" s="32">
        <f>IF(DB_SOFProject[[#This Row],[Plan]]&lt;&gt;0,DB_SOFProject[[#This Row],[Actual]]/DB_SOFProject[[#This Row],[Plan]],1.000011000011)</f>
        <v>1.0000110000110001</v>
      </c>
      <c r="AG182" s="34">
        <f>SUM(DB_SOFProject[[#This Row],[Plan01]:[Plan12]])/valUnits2</f>
        <v>0</v>
      </c>
      <c r="AH182" s="34">
        <f>SUMPRODUCT(DB_SOFProject[[#This Row],[Act01]:[Act12]],$Q$3:$AB$3)/valUnits2</f>
        <v>0</v>
      </c>
    </row>
    <row r="183" spans="2:34" x14ac:dyDescent="0.2">
      <c r="B183" t="s">
        <v>489</v>
      </c>
      <c r="C183" t="s">
        <v>870</v>
      </c>
      <c r="D183" t="s">
        <v>975</v>
      </c>
      <c r="E183">
        <v>0</v>
      </c>
      <c r="H183">
        <v>0</v>
      </c>
      <c r="K183">
        <v>0</v>
      </c>
      <c r="N183">
        <v>0</v>
      </c>
      <c r="Q183">
        <v>0</v>
      </c>
      <c r="T183">
        <v>0</v>
      </c>
      <c r="W183">
        <v>0</v>
      </c>
      <c r="Z183">
        <v>0</v>
      </c>
      <c r="AC183">
        <f>SUMPRODUCT(DB_SOFProject[[#This Row],[Plan01]:[Plan12]],$E$4:$P$4)/valUnits2</f>
        <v>0</v>
      </c>
      <c r="AD183">
        <f>SUMPRODUCT(DB_SOFProject[[#This Row],[Act01]:[Act12]],$Q$4:$AB$4)/valUnits2</f>
        <v>0</v>
      </c>
      <c r="AE183">
        <f>DB_SOFProject[[#This Row],[Actual]]-DB_SOFProject[[#This Row],[Plan]]</f>
        <v>0</v>
      </c>
      <c r="AF183" s="32">
        <f>IF(DB_SOFProject[[#This Row],[Plan]]&lt;&gt;0,DB_SOFProject[[#This Row],[Actual]]/DB_SOFProject[[#This Row],[Plan]],1.000011000011)</f>
        <v>1.0000110000110001</v>
      </c>
      <c r="AG183" s="34">
        <f>SUM(DB_SOFProject[[#This Row],[Plan01]:[Plan12]])/valUnits2</f>
        <v>0</v>
      </c>
      <c r="AH183" s="34">
        <f>SUMPRODUCT(DB_SOFProject[[#This Row],[Act01]:[Act12]],$Q$3:$AB$3)/valUnits2</f>
        <v>0</v>
      </c>
    </row>
    <row r="184" spans="2:34" x14ac:dyDescent="0.2">
      <c r="B184" t="s">
        <v>489</v>
      </c>
      <c r="C184" t="s">
        <v>872</v>
      </c>
      <c r="D184" t="s">
        <v>975</v>
      </c>
      <c r="H184">
        <v>1531.8340000000001</v>
      </c>
      <c r="I184">
        <v>-1129.3790000000001</v>
      </c>
      <c r="J184">
        <v>2558.6289999999999</v>
      </c>
      <c r="K184">
        <v>2558.6289999999999</v>
      </c>
      <c r="L184">
        <v>2558.6289999999999</v>
      </c>
      <c r="M184">
        <v>2558.6289999999999</v>
      </c>
      <c r="N184">
        <v>2558.6289999999999</v>
      </c>
      <c r="O184">
        <v>2558.6289999999999</v>
      </c>
      <c r="P184">
        <v>2558.6289999999999</v>
      </c>
      <c r="T184">
        <v>1549.98</v>
      </c>
      <c r="U184">
        <v>-1169.7699999999998</v>
      </c>
      <c r="V184">
        <v>373.56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f>SUMPRODUCT(DB_SOFProject[[#This Row],[Plan01]:[Plan12]],$E$4:$P$4)/valUnits2</f>
        <v>2.961084</v>
      </c>
      <c r="AD184">
        <f>SUMPRODUCT(DB_SOFProject[[#This Row],[Act01]:[Act12]],$Q$4:$AB$4)/valUnits2</f>
        <v>0.75377000000000016</v>
      </c>
      <c r="AE184">
        <f>DB_SOFProject[[#This Row],[Actual]]-DB_SOFProject[[#This Row],[Plan]]</f>
        <v>-2.2073139999999998</v>
      </c>
      <c r="AF184" s="32">
        <f>IF(DB_SOFProject[[#This Row],[Plan]]&lt;&gt;0,DB_SOFProject[[#This Row],[Actual]]/DB_SOFProject[[#This Row],[Plan]],1.000011000011)</f>
        <v>0.25455880346521753</v>
      </c>
      <c r="AG184" s="34">
        <f>SUM(DB_SOFProject[[#This Row],[Plan01]:[Plan12]])/valUnits2</f>
        <v>18.312857999999999</v>
      </c>
      <c r="AH184" s="34">
        <f>SUMPRODUCT(DB_SOFProject[[#This Row],[Act01]:[Act12]],$Q$3:$AB$3)/valUnits2</f>
        <v>0.75377000000000016</v>
      </c>
    </row>
    <row r="185" spans="2:34" x14ac:dyDescent="0.2">
      <c r="B185" t="s">
        <v>489</v>
      </c>
      <c r="C185" t="s">
        <v>874</v>
      </c>
      <c r="D185" t="s">
        <v>946</v>
      </c>
      <c r="E185">
        <v>0</v>
      </c>
      <c r="F185">
        <v>0</v>
      </c>
      <c r="G185">
        <v>0</v>
      </c>
      <c r="H185">
        <v>906.28800000000001</v>
      </c>
      <c r="I185">
        <v>436.10700000000003</v>
      </c>
      <c r="J185">
        <v>371.988</v>
      </c>
      <c r="K185">
        <v>371.988</v>
      </c>
      <c r="L185">
        <v>371.988</v>
      </c>
      <c r="M185">
        <v>371.988</v>
      </c>
      <c r="N185">
        <v>371.988</v>
      </c>
      <c r="O185">
        <v>371.988</v>
      </c>
      <c r="P185">
        <v>371.988</v>
      </c>
      <c r="Q185">
        <v>0</v>
      </c>
      <c r="R185">
        <v>0</v>
      </c>
      <c r="S185">
        <v>0</v>
      </c>
      <c r="T185">
        <v>897.72</v>
      </c>
      <c r="U185">
        <v>430.82</v>
      </c>
      <c r="V185">
        <v>464.02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f>SUMPRODUCT(DB_SOFProject[[#This Row],[Plan01]:[Plan12]],$E$4:$P$4)/valUnits2</f>
        <v>1.714383</v>
      </c>
      <c r="AD185">
        <f>SUMPRODUCT(DB_SOFProject[[#This Row],[Act01]:[Act12]],$Q$4:$AB$4)/valUnits2</f>
        <v>1.7925599999999999</v>
      </c>
      <c r="AE185">
        <f>DB_SOFProject[[#This Row],[Actual]]-DB_SOFProject[[#This Row],[Plan]]</f>
        <v>7.8176999999999941E-2</v>
      </c>
      <c r="AF185" s="32">
        <f>IF(DB_SOFProject[[#This Row],[Plan]]&lt;&gt;0,DB_SOFProject[[#This Row],[Actual]]/DB_SOFProject[[#This Row],[Plan]],1.000011000011)</f>
        <v>1.0456006621624223</v>
      </c>
      <c r="AG185" s="34">
        <f>SUM(DB_SOFProject[[#This Row],[Plan01]:[Plan12]])/valUnits2</f>
        <v>3.9463109999999992</v>
      </c>
      <c r="AH185" s="34">
        <f>SUMPRODUCT(DB_SOFProject[[#This Row],[Act01]:[Act12]],$Q$3:$AB$3)/valUnits2</f>
        <v>1.7925599999999999</v>
      </c>
    </row>
    <row r="186" spans="2:34" x14ac:dyDescent="0.2">
      <c r="B186" t="s">
        <v>489</v>
      </c>
      <c r="C186" t="s">
        <v>874</v>
      </c>
      <c r="D186" t="s">
        <v>959</v>
      </c>
      <c r="E186">
        <v>815.15499999999997</v>
      </c>
      <c r="F186">
        <v>861.95399999999995</v>
      </c>
      <c r="G186">
        <v>1055.7349999999999</v>
      </c>
      <c r="H186">
        <v>966.83199999999999</v>
      </c>
      <c r="I186">
        <v>981.072</v>
      </c>
      <c r="J186">
        <v>0</v>
      </c>
      <c r="Q186">
        <v>803.1</v>
      </c>
      <c r="R186">
        <v>880.03</v>
      </c>
      <c r="S186">
        <v>1065.29</v>
      </c>
      <c r="T186">
        <v>961.32</v>
      </c>
      <c r="U186">
        <v>969.18000000000006</v>
      </c>
      <c r="V186">
        <v>1372.55</v>
      </c>
      <c r="AC186">
        <f>SUMPRODUCT(DB_SOFProject[[#This Row],[Plan01]:[Plan12]],$E$4:$P$4)/valUnits2</f>
        <v>4.6807479999999995</v>
      </c>
      <c r="AD186">
        <f>SUMPRODUCT(DB_SOFProject[[#This Row],[Act01]:[Act12]],$Q$4:$AB$4)/valUnits2</f>
        <v>6.0514700000000001</v>
      </c>
      <c r="AE186">
        <f>DB_SOFProject[[#This Row],[Actual]]-DB_SOFProject[[#This Row],[Plan]]</f>
        <v>1.3707220000000007</v>
      </c>
      <c r="AF186" s="32">
        <f>IF(DB_SOFProject[[#This Row],[Plan]]&lt;&gt;0,DB_SOFProject[[#This Row],[Actual]]/DB_SOFProject[[#This Row],[Plan]],1.000011000011)</f>
        <v>1.292842511496026</v>
      </c>
      <c r="AG186" s="34">
        <f>SUM(DB_SOFProject[[#This Row],[Plan01]:[Plan12]])/valUnits2</f>
        <v>4.6807479999999995</v>
      </c>
      <c r="AH186" s="34">
        <f>SUMPRODUCT(DB_SOFProject[[#This Row],[Act01]:[Act12]],$Q$3:$AB$3)/valUnits2</f>
        <v>6.0514700000000001</v>
      </c>
    </row>
    <row r="187" spans="2:34" x14ac:dyDescent="0.2">
      <c r="B187" t="s">
        <v>489</v>
      </c>
      <c r="C187" t="s">
        <v>874</v>
      </c>
      <c r="D187" t="s">
        <v>975</v>
      </c>
      <c r="E187">
        <v>1756.5169999999998</v>
      </c>
      <c r="F187">
        <v>1930.9290000000001</v>
      </c>
      <c r="G187">
        <v>2465.1660000000002</v>
      </c>
      <c r="H187">
        <v>6505.0499999999984</v>
      </c>
      <c r="I187">
        <v>3195.9599999999996</v>
      </c>
      <c r="J187">
        <v>4624.7759999999998</v>
      </c>
      <c r="K187">
        <v>4298.7000000000007</v>
      </c>
      <c r="L187">
        <v>4298.7000000000007</v>
      </c>
      <c r="M187">
        <v>4624.7760000000007</v>
      </c>
      <c r="N187">
        <v>4298.7000000000007</v>
      </c>
      <c r="O187">
        <v>4624.7760000000007</v>
      </c>
      <c r="P187">
        <v>4298.7000000000007</v>
      </c>
      <c r="Q187">
        <v>1730.54</v>
      </c>
      <c r="R187">
        <v>1971.42</v>
      </c>
      <c r="S187">
        <v>2487.4799999999996</v>
      </c>
      <c r="T187">
        <v>6543.46</v>
      </c>
      <c r="U187">
        <v>3180.8199999999997</v>
      </c>
      <c r="V187">
        <v>2827.64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f>SUMPRODUCT(DB_SOFProject[[#This Row],[Plan01]:[Plan12]],$E$4:$P$4)/valUnits2</f>
        <v>20.478397999999999</v>
      </c>
      <c r="AD187">
        <f>SUMPRODUCT(DB_SOFProject[[#This Row],[Act01]:[Act12]],$Q$4:$AB$4)/valUnits2</f>
        <v>18.74136</v>
      </c>
      <c r="AE187">
        <f>DB_SOFProject[[#This Row],[Actual]]-DB_SOFProject[[#This Row],[Plan]]</f>
        <v>-1.7370379999999983</v>
      </c>
      <c r="AF187" s="32">
        <f>IF(DB_SOFProject[[#This Row],[Plan]]&lt;&gt;0,DB_SOFProject[[#This Row],[Actual]]/DB_SOFProject[[#This Row],[Plan]],1.000011000011)</f>
        <v>0.91517705633028523</v>
      </c>
      <c r="AG187" s="34">
        <f>SUM(DB_SOFProject[[#This Row],[Plan01]:[Plan12]])/valUnits2</f>
        <v>46.922750000000001</v>
      </c>
      <c r="AH187" s="34">
        <f>SUMPRODUCT(DB_SOFProject[[#This Row],[Act01]:[Act12]],$Q$3:$AB$3)/valUnits2</f>
        <v>18.74136</v>
      </c>
    </row>
    <row r="188" spans="2:34" x14ac:dyDescent="0.2">
      <c r="B188" t="s">
        <v>489</v>
      </c>
      <c r="C188" t="s">
        <v>874</v>
      </c>
      <c r="D188" t="s">
        <v>980</v>
      </c>
      <c r="E188">
        <v>0</v>
      </c>
      <c r="F188">
        <v>391.93099999999998</v>
      </c>
      <c r="G188">
        <v>472.47300000000001</v>
      </c>
      <c r="H188">
        <v>1175.4649999999999</v>
      </c>
      <c r="I188">
        <v>544.17600000000004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400.15</v>
      </c>
      <c r="S188">
        <v>476.75</v>
      </c>
      <c r="T188">
        <v>1181.92</v>
      </c>
      <c r="U188">
        <v>537.57999999999993</v>
      </c>
      <c r="V188">
        <v>633.33999999999992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f>SUMPRODUCT(DB_SOFProject[[#This Row],[Plan01]:[Plan12]],$E$4:$P$4)/valUnits2</f>
        <v>2.5840450000000001</v>
      </c>
      <c r="AD188">
        <f>SUMPRODUCT(DB_SOFProject[[#This Row],[Act01]:[Act12]],$Q$4:$AB$4)/valUnits2</f>
        <v>3.2297399999999996</v>
      </c>
      <c r="AE188">
        <f>DB_SOFProject[[#This Row],[Actual]]-DB_SOFProject[[#This Row],[Plan]]</f>
        <v>0.64569499999999946</v>
      </c>
      <c r="AF188" s="32">
        <f>IF(DB_SOFProject[[#This Row],[Plan]]&lt;&gt;0,DB_SOFProject[[#This Row],[Actual]]/DB_SOFProject[[#This Row],[Plan]],1.000011000011)</f>
        <v>1.2498776143604309</v>
      </c>
      <c r="AG188" s="34">
        <f>SUM(DB_SOFProject[[#This Row],[Plan01]:[Plan12]])/valUnits2</f>
        <v>2.5840450000000001</v>
      </c>
      <c r="AH188" s="34">
        <f>SUMPRODUCT(DB_SOFProject[[#This Row],[Act01]:[Act12]],$Q$3:$AB$3)/valUnits2</f>
        <v>3.2297399999999996</v>
      </c>
    </row>
    <row r="189" spans="2:34" x14ac:dyDescent="0.2">
      <c r="B189" t="s">
        <v>489</v>
      </c>
      <c r="C189" t="s">
        <v>874</v>
      </c>
      <c r="D189" t="s">
        <v>990</v>
      </c>
      <c r="G189">
        <v>14.179</v>
      </c>
      <c r="H189">
        <v>6.15</v>
      </c>
      <c r="I189">
        <v>20.295999999999999</v>
      </c>
      <c r="S189">
        <v>14.23</v>
      </c>
      <c r="T189">
        <v>6.03</v>
      </c>
      <c r="U189">
        <v>20.13</v>
      </c>
      <c r="AC189">
        <f>SUMPRODUCT(DB_SOFProject[[#This Row],[Plan01]:[Plan12]],$E$4:$P$4)/valUnits2</f>
        <v>4.0625000000000001E-2</v>
      </c>
      <c r="AD189">
        <f>SUMPRODUCT(DB_SOFProject[[#This Row],[Act01]:[Act12]],$Q$4:$AB$4)/valUnits2</f>
        <v>4.0390000000000002E-2</v>
      </c>
      <c r="AE189">
        <f>DB_SOFProject[[#This Row],[Actual]]-DB_SOFProject[[#This Row],[Plan]]</f>
        <v>-2.349999999999991E-4</v>
      </c>
      <c r="AF189" s="32">
        <f>IF(DB_SOFProject[[#This Row],[Plan]]&lt;&gt;0,DB_SOFProject[[#This Row],[Actual]]/DB_SOFProject[[#This Row],[Plan]],1.000011000011)</f>
        <v>0.99421538461538461</v>
      </c>
      <c r="AG189" s="34">
        <f>SUM(DB_SOFProject[[#This Row],[Plan01]:[Plan12]])/valUnits2</f>
        <v>4.0625000000000001E-2</v>
      </c>
      <c r="AH189" s="34">
        <f>SUMPRODUCT(DB_SOFProject[[#This Row],[Act01]:[Act12]],$Q$3:$AB$3)/valUnits2</f>
        <v>4.0390000000000002E-2</v>
      </c>
    </row>
    <row r="190" spans="2:34" x14ac:dyDescent="0.2">
      <c r="B190" t="s">
        <v>489</v>
      </c>
      <c r="C190" t="s">
        <v>874</v>
      </c>
      <c r="D190" t="s">
        <v>998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f>SUMPRODUCT(DB_SOFProject[[#This Row],[Plan01]:[Plan12]],$E$4:$P$4)/valUnits2</f>
        <v>0</v>
      </c>
      <c r="AD190">
        <f>SUMPRODUCT(DB_SOFProject[[#This Row],[Act01]:[Act12]],$Q$4:$AB$4)/valUnits2</f>
        <v>0</v>
      </c>
      <c r="AE190">
        <f>DB_SOFProject[[#This Row],[Actual]]-DB_SOFProject[[#This Row],[Plan]]</f>
        <v>0</v>
      </c>
      <c r="AF190" s="32">
        <f>IF(DB_SOFProject[[#This Row],[Plan]]&lt;&gt;0,DB_SOFProject[[#This Row],[Actual]]/DB_SOFProject[[#This Row],[Plan]],1.000011000011)</f>
        <v>1.0000110000110001</v>
      </c>
      <c r="AG190" s="34">
        <f>SUM(DB_SOFProject[[#This Row],[Plan01]:[Plan12]])/valUnits2</f>
        <v>0</v>
      </c>
      <c r="AH190" s="34">
        <f>SUMPRODUCT(DB_SOFProject[[#This Row],[Act01]:[Act12]],$Q$3:$AB$3)/valUnits2</f>
        <v>0</v>
      </c>
    </row>
    <row r="191" spans="2:34" x14ac:dyDescent="0.2">
      <c r="B191" t="s">
        <v>489</v>
      </c>
      <c r="C191" t="s">
        <v>874</v>
      </c>
      <c r="D191" t="s">
        <v>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929.96999999999991</v>
      </c>
      <c r="K191">
        <v>929.96999999999991</v>
      </c>
      <c r="L191">
        <v>929.96999999999991</v>
      </c>
      <c r="M191">
        <v>929.96999999999991</v>
      </c>
      <c r="N191">
        <v>929.96999999999991</v>
      </c>
      <c r="O191">
        <v>929.96999999999991</v>
      </c>
      <c r="P191">
        <v>929.96999999999991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f>SUMPRODUCT(DB_SOFProject[[#This Row],[Plan01]:[Plan12]],$E$4:$P$4)/valUnits2</f>
        <v>0.92996999999999996</v>
      </c>
      <c r="AD191">
        <f>SUMPRODUCT(DB_SOFProject[[#This Row],[Act01]:[Act12]],$Q$4:$AB$4)/valUnits2</f>
        <v>0</v>
      </c>
      <c r="AE191">
        <f>DB_SOFProject[[#This Row],[Actual]]-DB_SOFProject[[#This Row],[Plan]]</f>
        <v>-0.92996999999999996</v>
      </c>
      <c r="AF191" s="32">
        <f>IF(DB_SOFProject[[#This Row],[Plan]]&lt;&gt;0,DB_SOFProject[[#This Row],[Actual]]/DB_SOFProject[[#This Row],[Plan]],1.000011000011)</f>
        <v>0</v>
      </c>
      <c r="AG191" s="34">
        <f>SUM(DB_SOFProject[[#This Row],[Plan01]:[Plan12]])/valUnits2</f>
        <v>6.5097899999999997</v>
      </c>
      <c r="AH191" s="34">
        <f>SUMPRODUCT(DB_SOFProject[[#This Row],[Act01]:[Act12]],$Q$3:$AB$3)/valUnits2</f>
        <v>0</v>
      </c>
    </row>
    <row r="192" spans="2:34" x14ac:dyDescent="0.2">
      <c r="B192" t="s">
        <v>489</v>
      </c>
      <c r="C192" t="s">
        <v>875</v>
      </c>
      <c r="D192" t="s">
        <v>946</v>
      </c>
      <c r="G192">
        <v>0</v>
      </c>
      <c r="H192">
        <v>143.43899999999999</v>
      </c>
      <c r="I192">
        <v>55.082000000000001</v>
      </c>
      <c r="J192">
        <v>241.98700000000002</v>
      </c>
      <c r="K192">
        <v>241.98700000000002</v>
      </c>
      <c r="L192">
        <v>241.98700000000002</v>
      </c>
      <c r="M192">
        <v>241.98700000000002</v>
      </c>
      <c r="N192">
        <v>241.98700000000002</v>
      </c>
      <c r="O192">
        <v>241.98700000000002</v>
      </c>
      <c r="P192">
        <v>241.98700000000002</v>
      </c>
      <c r="S192">
        <v>0</v>
      </c>
      <c r="T192">
        <v>145.12</v>
      </c>
      <c r="U192">
        <v>55.78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f>SUMPRODUCT(DB_SOFProject[[#This Row],[Plan01]:[Plan12]],$E$4:$P$4)/valUnits2</f>
        <v>0.44050800000000001</v>
      </c>
      <c r="AD192">
        <f>SUMPRODUCT(DB_SOFProject[[#This Row],[Act01]:[Act12]],$Q$4:$AB$4)/valUnits2</f>
        <v>0.2009</v>
      </c>
      <c r="AE192">
        <f>DB_SOFProject[[#This Row],[Actual]]-DB_SOFProject[[#This Row],[Plan]]</f>
        <v>-0.23960800000000002</v>
      </c>
      <c r="AF192" s="32">
        <f>IF(DB_SOFProject[[#This Row],[Plan]]&lt;&gt;0,DB_SOFProject[[#This Row],[Actual]]/DB_SOFProject[[#This Row],[Plan]],1.000011000011)</f>
        <v>0.45606436205471862</v>
      </c>
      <c r="AG192" s="34">
        <f>SUM(DB_SOFProject[[#This Row],[Plan01]:[Plan12]])/valUnits2</f>
        <v>1.8924300000000005</v>
      </c>
      <c r="AH192" s="34">
        <f>SUMPRODUCT(DB_SOFProject[[#This Row],[Act01]:[Act12]],$Q$3:$AB$3)/valUnits2</f>
        <v>0.2009</v>
      </c>
    </row>
    <row r="193" spans="2:34" x14ac:dyDescent="0.2">
      <c r="B193" t="s">
        <v>489</v>
      </c>
      <c r="C193" t="s">
        <v>875</v>
      </c>
      <c r="D193" t="s">
        <v>947</v>
      </c>
      <c r="H193">
        <v>390.03899999999999</v>
      </c>
      <c r="I193">
        <v>1122.614</v>
      </c>
      <c r="J193">
        <v>0</v>
      </c>
      <c r="T193">
        <v>384.29999999999995</v>
      </c>
      <c r="U193">
        <v>1155.69</v>
      </c>
      <c r="V193">
        <v>414.47</v>
      </c>
      <c r="AC193">
        <f>SUMPRODUCT(DB_SOFProject[[#This Row],[Plan01]:[Plan12]],$E$4:$P$4)/valUnits2</f>
        <v>1.512653</v>
      </c>
      <c r="AD193">
        <f>SUMPRODUCT(DB_SOFProject[[#This Row],[Act01]:[Act12]],$Q$4:$AB$4)/valUnits2</f>
        <v>1.9544600000000001</v>
      </c>
      <c r="AE193">
        <f>DB_SOFProject[[#This Row],[Actual]]-DB_SOFProject[[#This Row],[Plan]]</f>
        <v>0.44180700000000006</v>
      </c>
      <c r="AF193" s="32">
        <f>IF(DB_SOFProject[[#This Row],[Plan]]&lt;&gt;0,DB_SOFProject[[#This Row],[Actual]]/DB_SOFProject[[#This Row],[Plan]],1.000011000011)</f>
        <v>1.2920742562901075</v>
      </c>
      <c r="AG193" s="34">
        <f>SUM(DB_SOFProject[[#This Row],[Plan01]:[Plan12]])/valUnits2</f>
        <v>1.512653</v>
      </c>
      <c r="AH193" s="34">
        <f>SUMPRODUCT(DB_SOFProject[[#This Row],[Act01]:[Act12]],$Q$3:$AB$3)/valUnits2</f>
        <v>1.9544600000000001</v>
      </c>
    </row>
    <row r="194" spans="2:34" x14ac:dyDescent="0.2">
      <c r="B194" t="s">
        <v>489</v>
      </c>
      <c r="C194" t="s">
        <v>875</v>
      </c>
      <c r="D194" t="s">
        <v>959</v>
      </c>
      <c r="E194">
        <v>0</v>
      </c>
      <c r="F194">
        <v>0</v>
      </c>
      <c r="G194">
        <v>0</v>
      </c>
      <c r="H194">
        <v>473.67899999999997</v>
      </c>
      <c r="I194">
        <v>1265.0540000000001</v>
      </c>
      <c r="J194">
        <v>1186.2250000000001</v>
      </c>
      <c r="K194">
        <v>1186.2249999999999</v>
      </c>
      <c r="L194">
        <v>1186.2250000000001</v>
      </c>
      <c r="M194">
        <v>1186.2250000000001</v>
      </c>
      <c r="N194">
        <v>1186.2249999999999</v>
      </c>
      <c r="O194">
        <v>1186.2249999999999</v>
      </c>
      <c r="P194">
        <v>1186.2249999999999</v>
      </c>
      <c r="Q194">
        <v>0</v>
      </c>
      <c r="R194">
        <v>0</v>
      </c>
      <c r="S194">
        <v>0</v>
      </c>
      <c r="T194">
        <v>466.71</v>
      </c>
      <c r="U194">
        <v>1288.02</v>
      </c>
      <c r="V194">
        <v>952.72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f>SUMPRODUCT(DB_SOFProject[[#This Row],[Plan01]:[Plan12]],$E$4:$P$4)/valUnits2</f>
        <v>2.9249580000000006</v>
      </c>
      <c r="AD194">
        <f>SUMPRODUCT(DB_SOFProject[[#This Row],[Act01]:[Act12]],$Q$4:$AB$4)/valUnits2</f>
        <v>2.7074499999999997</v>
      </c>
      <c r="AE194">
        <f>DB_SOFProject[[#This Row],[Actual]]-DB_SOFProject[[#This Row],[Plan]]</f>
        <v>-0.21750800000000092</v>
      </c>
      <c r="AF194" s="32">
        <f>IF(DB_SOFProject[[#This Row],[Plan]]&lt;&gt;0,DB_SOFProject[[#This Row],[Actual]]/DB_SOFProject[[#This Row],[Plan]],1.000011000011)</f>
        <v>0.92563722282507954</v>
      </c>
      <c r="AG194" s="34">
        <f>SUM(DB_SOFProject[[#This Row],[Plan01]:[Plan12]])/valUnits2</f>
        <v>10.042308000000002</v>
      </c>
      <c r="AH194" s="34">
        <f>SUMPRODUCT(DB_SOFProject[[#This Row],[Act01]:[Act12]],$Q$3:$AB$3)/valUnits2</f>
        <v>2.7074499999999997</v>
      </c>
    </row>
    <row r="195" spans="2:34" x14ac:dyDescent="0.2">
      <c r="B195" t="s">
        <v>489</v>
      </c>
      <c r="C195" t="s">
        <v>875</v>
      </c>
      <c r="D195" t="s">
        <v>975</v>
      </c>
      <c r="G195">
        <v>0</v>
      </c>
      <c r="H195">
        <v>354.18100000000004</v>
      </c>
      <c r="I195">
        <v>917.76299999999992</v>
      </c>
      <c r="J195">
        <v>846.95400000000006</v>
      </c>
      <c r="K195">
        <v>846.95400000000006</v>
      </c>
      <c r="L195">
        <v>846.95400000000006</v>
      </c>
      <c r="M195">
        <v>846.95400000000006</v>
      </c>
      <c r="N195">
        <v>846.95400000000006</v>
      </c>
      <c r="O195">
        <v>846.95400000000006</v>
      </c>
      <c r="P195">
        <v>846.95400000000006</v>
      </c>
      <c r="S195">
        <v>0</v>
      </c>
      <c r="T195">
        <v>346.55</v>
      </c>
      <c r="U195">
        <v>929.52</v>
      </c>
      <c r="V195">
        <v>869.06000000000006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f>SUMPRODUCT(DB_SOFProject[[#This Row],[Plan01]:[Plan12]],$E$4:$P$4)/valUnits2</f>
        <v>2.1188980000000002</v>
      </c>
      <c r="AD195">
        <f>SUMPRODUCT(DB_SOFProject[[#This Row],[Act01]:[Act12]],$Q$4:$AB$4)/valUnits2</f>
        <v>2.14513</v>
      </c>
      <c r="AE195">
        <f>DB_SOFProject[[#This Row],[Actual]]-DB_SOFProject[[#This Row],[Plan]]</f>
        <v>2.6231999999999811E-2</v>
      </c>
      <c r="AF195" s="32">
        <f>IF(DB_SOFProject[[#This Row],[Plan]]&lt;&gt;0,DB_SOFProject[[#This Row],[Actual]]/DB_SOFProject[[#This Row],[Plan]],1.000011000011)</f>
        <v>1.0123800201803013</v>
      </c>
      <c r="AG195" s="34">
        <f>SUM(DB_SOFProject[[#This Row],[Plan01]:[Plan12]])/valUnits2</f>
        <v>7.2006219999999992</v>
      </c>
      <c r="AH195" s="34">
        <f>SUMPRODUCT(DB_SOFProject[[#This Row],[Act01]:[Act12]],$Q$3:$AB$3)/valUnits2</f>
        <v>2.14513</v>
      </c>
    </row>
    <row r="196" spans="2:34" x14ac:dyDescent="0.2">
      <c r="B196" t="s">
        <v>489</v>
      </c>
      <c r="C196" t="s">
        <v>875</v>
      </c>
      <c r="D196" t="s">
        <v>980</v>
      </c>
      <c r="G196">
        <v>0</v>
      </c>
      <c r="H196">
        <v>602.72</v>
      </c>
      <c r="I196">
        <v>389.88799999999998</v>
      </c>
      <c r="J196">
        <v>241.98700000000002</v>
      </c>
      <c r="K196">
        <v>241.98700000000002</v>
      </c>
      <c r="L196">
        <v>241.98700000000002</v>
      </c>
      <c r="M196">
        <v>241.98700000000002</v>
      </c>
      <c r="N196">
        <v>241.98700000000002</v>
      </c>
      <c r="O196">
        <v>241.98700000000002</v>
      </c>
      <c r="P196">
        <v>241.98700000000002</v>
      </c>
      <c r="S196">
        <v>0</v>
      </c>
      <c r="T196">
        <v>601.67999999999995</v>
      </c>
      <c r="U196">
        <v>394.83</v>
      </c>
      <c r="V196">
        <v>430.17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f>SUMPRODUCT(DB_SOFProject[[#This Row],[Plan01]:[Plan12]],$E$4:$P$4)/valUnits2</f>
        <v>1.2345950000000001</v>
      </c>
      <c r="AD196">
        <f>SUMPRODUCT(DB_SOFProject[[#This Row],[Act01]:[Act12]],$Q$4:$AB$4)/valUnits2</f>
        <v>1.4266800000000002</v>
      </c>
      <c r="AE196">
        <f>DB_SOFProject[[#This Row],[Actual]]-DB_SOFProject[[#This Row],[Plan]]</f>
        <v>0.19208500000000006</v>
      </c>
      <c r="AF196" s="32">
        <f>IF(DB_SOFProject[[#This Row],[Plan]]&lt;&gt;0,DB_SOFProject[[#This Row],[Actual]]/DB_SOFProject[[#This Row],[Plan]],1.000011000011)</f>
        <v>1.1555854348997039</v>
      </c>
      <c r="AG196" s="34">
        <f>SUM(DB_SOFProject[[#This Row],[Plan01]:[Plan12]])/valUnits2</f>
        <v>2.6865170000000003</v>
      </c>
      <c r="AH196" s="34">
        <f>SUMPRODUCT(DB_SOFProject[[#This Row],[Act01]:[Act12]],$Q$3:$AB$3)/valUnits2</f>
        <v>1.4266800000000002</v>
      </c>
    </row>
    <row r="197" spans="2:34" x14ac:dyDescent="0.2">
      <c r="B197" t="s">
        <v>489</v>
      </c>
      <c r="C197" t="s">
        <v>875</v>
      </c>
      <c r="D197" t="s">
        <v>999</v>
      </c>
      <c r="G197">
        <v>0</v>
      </c>
      <c r="H197">
        <v>671.87</v>
      </c>
      <c r="I197">
        <v>557.91800000000001</v>
      </c>
      <c r="J197">
        <v>241.98700000000002</v>
      </c>
      <c r="K197">
        <v>241.98700000000002</v>
      </c>
      <c r="L197">
        <v>241.98700000000002</v>
      </c>
      <c r="M197">
        <v>241.98700000000002</v>
      </c>
      <c r="N197">
        <v>241.98700000000002</v>
      </c>
      <c r="O197">
        <v>241.98700000000002</v>
      </c>
      <c r="P197">
        <v>241.98700000000002</v>
      </c>
      <c r="S197">
        <v>0</v>
      </c>
      <c r="T197">
        <v>680.83</v>
      </c>
      <c r="U197">
        <v>564.99</v>
      </c>
      <c r="V197">
        <v>594.23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f>SUMPRODUCT(DB_SOFProject[[#This Row],[Plan01]:[Plan12]],$E$4:$P$4)/valUnits2</f>
        <v>1.4717750000000001</v>
      </c>
      <c r="AD197">
        <f>SUMPRODUCT(DB_SOFProject[[#This Row],[Act01]:[Act12]],$Q$4:$AB$4)/valUnits2</f>
        <v>1.8400500000000002</v>
      </c>
      <c r="AE197">
        <f>DB_SOFProject[[#This Row],[Actual]]-DB_SOFProject[[#This Row],[Plan]]</f>
        <v>0.36827500000000013</v>
      </c>
      <c r="AF197" s="32">
        <f>IF(DB_SOFProject[[#This Row],[Plan]]&lt;&gt;0,DB_SOFProject[[#This Row],[Actual]]/DB_SOFProject[[#This Row],[Plan]],1.000011000011)</f>
        <v>1.2502250683698257</v>
      </c>
      <c r="AG197" s="34">
        <f>SUM(DB_SOFProject[[#This Row],[Plan01]:[Plan12]])/valUnits2</f>
        <v>2.9236970000000007</v>
      </c>
      <c r="AH197" s="34">
        <f>SUMPRODUCT(DB_SOFProject[[#This Row],[Act01]:[Act12]],$Q$3:$AB$3)/valUnits2</f>
        <v>1.8400500000000002</v>
      </c>
    </row>
    <row r="198" spans="2:34" x14ac:dyDescent="0.2">
      <c r="B198" t="s">
        <v>489</v>
      </c>
      <c r="C198" t="s">
        <v>876</v>
      </c>
      <c r="D198" t="s">
        <v>947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AC198">
        <f>SUMPRODUCT(DB_SOFProject[[#This Row],[Plan01]:[Plan12]],$E$4:$P$4)/valUnits2</f>
        <v>0</v>
      </c>
      <c r="AD198">
        <f>SUMPRODUCT(DB_SOFProject[[#This Row],[Act01]:[Act12]],$Q$4:$AB$4)/valUnits2</f>
        <v>0</v>
      </c>
      <c r="AE198">
        <f>DB_SOFProject[[#This Row],[Actual]]-DB_SOFProject[[#This Row],[Plan]]</f>
        <v>0</v>
      </c>
      <c r="AF198" s="32">
        <f>IF(DB_SOFProject[[#This Row],[Plan]]&lt;&gt;0,DB_SOFProject[[#This Row],[Actual]]/DB_SOFProject[[#This Row],[Plan]],1.000011000011)</f>
        <v>1.0000110000110001</v>
      </c>
      <c r="AG198" s="34">
        <f>SUM(DB_SOFProject[[#This Row],[Plan01]:[Plan12]])/valUnits2</f>
        <v>0</v>
      </c>
      <c r="AH198" s="34">
        <f>SUMPRODUCT(DB_SOFProject[[#This Row],[Act01]:[Act12]],$Q$3:$AB$3)/valUnits2</f>
        <v>0</v>
      </c>
    </row>
    <row r="199" spans="2:34" x14ac:dyDescent="0.2">
      <c r="B199" t="s">
        <v>489</v>
      </c>
      <c r="C199" t="s">
        <v>876</v>
      </c>
      <c r="D199" t="s">
        <v>959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213.12</v>
      </c>
      <c r="K199">
        <v>213.12</v>
      </c>
      <c r="L199">
        <v>213.12</v>
      </c>
      <c r="M199">
        <v>213.12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AC199">
        <f>SUMPRODUCT(DB_SOFProject[[#This Row],[Plan01]:[Plan12]],$E$4:$P$4)/valUnits2</f>
        <v>0.21312</v>
      </c>
      <c r="AD199">
        <f>SUMPRODUCT(DB_SOFProject[[#This Row],[Act01]:[Act12]],$Q$4:$AB$4)/valUnits2</f>
        <v>0</v>
      </c>
      <c r="AE199">
        <f>DB_SOFProject[[#This Row],[Actual]]-DB_SOFProject[[#This Row],[Plan]]</f>
        <v>-0.21312</v>
      </c>
      <c r="AF199" s="32">
        <f>IF(DB_SOFProject[[#This Row],[Plan]]&lt;&gt;0,DB_SOFProject[[#This Row],[Actual]]/DB_SOFProject[[#This Row],[Plan]],1.000011000011)</f>
        <v>0</v>
      </c>
      <c r="AG199" s="34">
        <f>SUM(DB_SOFProject[[#This Row],[Plan01]:[Plan12]])/valUnits2</f>
        <v>0.85248000000000002</v>
      </c>
      <c r="AH199" s="34">
        <f>SUMPRODUCT(DB_SOFProject[[#This Row],[Act01]:[Act12]],$Q$3:$AB$3)/valUnits2</f>
        <v>0</v>
      </c>
    </row>
    <row r="200" spans="2:34" x14ac:dyDescent="0.2">
      <c r="B200" t="s">
        <v>489</v>
      </c>
      <c r="C200" t="s">
        <v>876</v>
      </c>
      <c r="D200" t="s">
        <v>975</v>
      </c>
      <c r="E200">
        <v>386.56</v>
      </c>
      <c r="F200">
        <v>423.59</v>
      </c>
      <c r="G200">
        <v>815.32999999999993</v>
      </c>
      <c r="H200">
        <v>4599.49</v>
      </c>
      <c r="I200">
        <v>626.59999999999991</v>
      </c>
      <c r="J200">
        <v>398.08</v>
      </c>
      <c r="K200">
        <v>398.08</v>
      </c>
      <c r="L200">
        <v>398.08</v>
      </c>
      <c r="M200">
        <v>398.08</v>
      </c>
      <c r="Q200">
        <v>386.56</v>
      </c>
      <c r="R200">
        <v>423.59</v>
      </c>
      <c r="S200">
        <v>815.32999999999993</v>
      </c>
      <c r="T200">
        <v>4599.49</v>
      </c>
      <c r="U200">
        <v>628.37000000000012</v>
      </c>
      <c r="V200">
        <v>447.12</v>
      </c>
      <c r="W200">
        <v>0</v>
      </c>
      <c r="X200">
        <v>0</v>
      </c>
      <c r="Y200">
        <v>0</v>
      </c>
      <c r="AC200">
        <f>SUMPRODUCT(DB_SOFProject[[#This Row],[Plan01]:[Plan12]],$E$4:$P$4)/valUnits2</f>
        <v>7.2496499999999999</v>
      </c>
      <c r="AD200">
        <f>SUMPRODUCT(DB_SOFProject[[#This Row],[Act01]:[Act12]],$Q$4:$AB$4)/valUnits2</f>
        <v>7.3004599999999993</v>
      </c>
      <c r="AE200">
        <f>DB_SOFProject[[#This Row],[Actual]]-DB_SOFProject[[#This Row],[Plan]]</f>
        <v>5.0809999999999356E-2</v>
      </c>
      <c r="AF200" s="32">
        <f>IF(DB_SOFProject[[#This Row],[Plan]]&lt;&gt;0,DB_SOFProject[[#This Row],[Actual]]/DB_SOFProject[[#This Row],[Plan]],1.000011000011)</f>
        <v>1.0070086142089618</v>
      </c>
      <c r="AG200" s="34">
        <f>SUM(DB_SOFProject[[#This Row],[Plan01]:[Plan12]])/valUnits2</f>
        <v>8.4438899999999997</v>
      </c>
      <c r="AH200" s="34">
        <f>SUMPRODUCT(DB_SOFProject[[#This Row],[Act01]:[Act12]],$Q$3:$AB$3)/valUnits2</f>
        <v>7.3004599999999993</v>
      </c>
    </row>
    <row r="201" spans="2:34" x14ac:dyDescent="0.2">
      <c r="B201" t="s">
        <v>489</v>
      </c>
      <c r="C201" t="s">
        <v>876</v>
      </c>
      <c r="D201" t="s">
        <v>980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AC201">
        <f>SUMPRODUCT(DB_SOFProject[[#This Row],[Plan01]:[Plan12]],$E$4:$P$4)/valUnits2</f>
        <v>0</v>
      </c>
      <c r="AD201">
        <f>SUMPRODUCT(DB_SOFProject[[#This Row],[Act01]:[Act12]],$Q$4:$AB$4)/valUnits2</f>
        <v>0</v>
      </c>
      <c r="AE201">
        <f>DB_SOFProject[[#This Row],[Actual]]-DB_SOFProject[[#This Row],[Plan]]</f>
        <v>0</v>
      </c>
      <c r="AF201" s="32">
        <f>IF(DB_SOFProject[[#This Row],[Plan]]&lt;&gt;0,DB_SOFProject[[#This Row],[Actual]]/DB_SOFProject[[#This Row],[Plan]],1.000011000011)</f>
        <v>1.0000110000110001</v>
      </c>
      <c r="AG201" s="34">
        <f>SUM(DB_SOFProject[[#This Row],[Plan01]:[Plan12]])/valUnits2</f>
        <v>0</v>
      </c>
      <c r="AH201" s="34">
        <f>SUMPRODUCT(DB_SOFProject[[#This Row],[Act01]:[Act12]],$Q$3:$AB$3)/valUnits2</f>
        <v>0</v>
      </c>
    </row>
    <row r="202" spans="2:34" x14ac:dyDescent="0.2">
      <c r="B202" t="s">
        <v>489</v>
      </c>
      <c r="C202" t="s">
        <v>876</v>
      </c>
      <c r="D202" t="s">
        <v>999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213.12</v>
      </c>
      <c r="K202">
        <v>213.12</v>
      </c>
      <c r="L202">
        <v>213.12</v>
      </c>
      <c r="M202">
        <v>213.12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AC202">
        <f>SUMPRODUCT(DB_SOFProject[[#This Row],[Plan01]:[Plan12]],$E$4:$P$4)/valUnits2</f>
        <v>0.21312</v>
      </c>
      <c r="AD202">
        <f>SUMPRODUCT(DB_SOFProject[[#This Row],[Act01]:[Act12]],$Q$4:$AB$4)/valUnits2</f>
        <v>0</v>
      </c>
      <c r="AE202">
        <f>DB_SOFProject[[#This Row],[Actual]]-DB_SOFProject[[#This Row],[Plan]]</f>
        <v>-0.21312</v>
      </c>
      <c r="AF202" s="32">
        <f>IF(DB_SOFProject[[#This Row],[Plan]]&lt;&gt;0,DB_SOFProject[[#This Row],[Actual]]/DB_SOFProject[[#This Row],[Plan]],1.000011000011)</f>
        <v>0</v>
      </c>
      <c r="AG202" s="34">
        <f>SUM(DB_SOFProject[[#This Row],[Plan01]:[Plan12]])/valUnits2</f>
        <v>0.85248000000000002</v>
      </c>
      <c r="AH202" s="34">
        <f>SUMPRODUCT(DB_SOFProject[[#This Row],[Act01]:[Act12]],$Q$3:$AB$3)/valUnits2</f>
        <v>0</v>
      </c>
    </row>
    <row r="203" spans="2:34" x14ac:dyDescent="0.2">
      <c r="B203" t="s">
        <v>489</v>
      </c>
      <c r="C203" t="s">
        <v>362</v>
      </c>
      <c r="D203" t="s">
        <v>959</v>
      </c>
      <c r="E203">
        <v>0</v>
      </c>
      <c r="H203">
        <v>569.07399999999996</v>
      </c>
      <c r="I203">
        <v>0</v>
      </c>
      <c r="J203">
        <v>18.573</v>
      </c>
      <c r="Q203">
        <v>0</v>
      </c>
      <c r="T203">
        <v>569.94000000000005</v>
      </c>
      <c r="U203">
        <v>0</v>
      </c>
      <c r="V203">
        <v>0</v>
      </c>
      <c r="AC203">
        <f>SUMPRODUCT(DB_SOFProject[[#This Row],[Plan01]:[Plan12]],$E$4:$P$4)/valUnits2</f>
        <v>0.58764699999999992</v>
      </c>
      <c r="AD203">
        <f>SUMPRODUCT(DB_SOFProject[[#This Row],[Act01]:[Act12]],$Q$4:$AB$4)/valUnits2</f>
        <v>0.56994</v>
      </c>
      <c r="AE203">
        <f>DB_SOFProject[[#This Row],[Actual]]-DB_SOFProject[[#This Row],[Plan]]</f>
        <v>-1.7706999999999917E-2</v>
      </c>
      <c r="AF203" s="32">
        <f>IF(DB_SOFProject[[#This Row],[Plan]]&lt;&gt;0,DB_SOFProject[[#This Row],[Actual]]/DB_SOFProject[[#This Row],[Plan]],1.000011000011)</f>
        <v>0.96986796495174843</v>
      </c>
      <c r="AG203" s="34">
        <f>SUM(DB_SOFProject[[#This Row],[Plan01]:[Plan12]])/valUnits2</f>
        <v>0.58764699999999992</v>
      </c>
      <c r="AH203" s="34">
        <f>SUMPRODUCT(DB_SOFProject[[#This Row],[Act01]:[Act12]],$Q$3:$AB$3)/valUnits2</f>
        <v>0.56994</v>
      </c>
    </row>
    <row r="204" spans="2:34" x14ac:dyDescent="0.2">
      <c r="B204" t="s">
        <v>489</v>
      </c>
      <c r="C204" t="s">
        <v>362</v>
      </c>
      <c r="D204" t="s">
        <v>975</v>
      </c>
      <c r="E204">
        <v>0</v>
      </c>
      <c r="H204">
        <v>295.01799999999997</v>
      </c>
      <c r="I204">
        <v>384.22899999999998</v>
      </c>
      <c r="J204">
        <v>312.49599999999998</v>
      </c>
      <c r="Q204">
        <v>0</v>
      </c>
      <c r="T204">
        <v>294.93</v>
      </c>
      <c r="U204">
        <v>387.11</v>
      </c>
      <c r="V204">
        <v>296.18</v>
      </c>
      <c r="AC204">
        <f>SUMPRODUCT(DB_SOFProject[[#This Row],[Plan01]:[Plan12]],$E$4:$P$4)/valUnits2</f>
        <v>0.99174299999999993</v>
      </c>
      <c r="AD204">
        <f>SUMPRODUCT(DB_SOFProject[[#This Row],[Act01]:[Act12]],$Q$4:$AB$4)/valUnits2</f>
        <v>0.97821999999999998</v>
      </c>
      <c r="AE204">
        <f>DB_SOFProject[[#This Row],[Actual]]-DB_SOFProject[[#This Row],[Plan]]</f>
        <v>-1.3522999999999952E-2</v>
      </c>
      <c r="AF204" s="32">
        <f>IF(DB_SOFProject[[#This Row],[Plan]]&lt;&gt;0,DB_SOFProject[[#This Row],[Actual]]/DB_SOFProject[[#This Row],[Plan]],1.000011000011)</f>
        <v>0.98636441094114102</v>
      </c>
      <c r="AG204" s="34">
        <f>SUM(DB_SOFProject[[#This Row],[Plan01]:[Plan12]])/valUnits2</f>
        <v>0.99174299999999993</v>
      </c>
      <c r="AH204" s="34">
        <f>SUMPRODUCT(DB_SOFProject[[#This Row],[Act01]:[Act12]],$Q$3:$AB$3)/valUnits2</f>
        <v>0.97821999999999998</v>
      </c>
    </row>
    <row r="205" spans="2:34" x14ac:dyDescent="0.2">
      <c r="B205" t="s">
        <v>489</v>
      </c>
      <c r="C205" t="s">
        <v>362</v>
      </c>
      <c r="D205" t="s">
        <v>998</v>
      </c>
      <c r="H205">
        <v>0</v>
      </c>
      <c r="I205">
        <v>6.5730000000000004</v>
      </c>
      <c r="J205">
        <v>0</v>
      </c>
      <c r="T205">
        <v>0</v>
      </c>
      <c r="U205">
        <v>6.68</v>
      </c>
      <c r="V205">
        <v>0</v>
      </c>
      <c r="AC205">
        <f>SUMPRODUCT(DB_SOFProject[[#This Row],[Plan01]:[Plan12]],$E$4:$P$4)/valUnits2</f>
        <v>6.5730000000000007E-3</v>
      </c>
      <c r="AD205">
        <f>SUMPRODUCT(DB_SOFProject[[#This Row],[Act01]:[Act12]],$Q$4:$AB$4)/valUnits2</f>
        <v>6.6799999999999993E-3</v>
      </c>
      <c r="AE205">
        <f>DB_SOFProject[[#This Row],[Actual]]-DB_SOFProject[[#This Row],[Plan]]</f>
        <v>1.0699999999999859E-4</v>
      </c>
      <c r="AF205" s="32">
        <f>IF(DB_SOFProject[[#This Row],[Plan]]&lt;&gt;0,DB_SOFProject[[#This Row],[Actual]]/DB_SOFProject[[#This Row],[Plan]],1.000011000011)</f>
        <v>1.016278715959227</v>
      </c>
      <c r="AG205" s="34">
        <f>SUM(DB_SOFProject[[#This Row],[Plan01]:[Plan12]])/valUnits2</f>
        <v>6.5730000000000007E-3</v>
      </c>
      <c r="AH205" s="34">
        <f>SUMPRODUCT(DB_SOFProject[[#This Row],[Act01]:[Act12]],$Q$3:$AB$3)/valUnits2</f>
        <v>6.6799999999999993E-3</v>
      </c>
    </row>
    <row r="206" spans="2:34" x14ac:dyDescent="0.2">
      <c r="B206" t="s">
        <v>489</v>
      </c>
      <c r="C206" t="s">
        <v>362</v>
      </c>
      <c r="D206" t="s">
        <v>999</v>
      </c>
      <c r="E206">
        <v>0</v>
      </c>
      <c r="Q206">
        <v>0</v>
      </c>
      <c r="AC206">
        <f>SUMPRODUCT(DB_SOFProject[[#This Row],[Plan01]:[Plan12]],$E$4:$P$4)/valUnits2</f>
        <v>0</v>
      </c>
      <c r="AD206">
        <f>SUMPRODUCT(DB_SOFProject[[#This Row],[Act01]:[Act12]],$Q$4:$AB$4)/valUnits2</f>
        <v>0</v>
      </c>
      <c r="AE206">
        <f>DB_SOFProject[[#This Row],[Actual]]-DB_SOFProject[[#This Row],[Plan]]</f>
        <v>0</v>
      </c>
      <c r="AF206" s="32">
        <f>IF(DB_SOFProject[[#This Row],[Plan]]&lt;&gt;0,DB_SOFProject[[#This Row],[Actual]]/DB_SOFProject[[#This Row],[Plan]],1.000011000011)</f>
        <v>1.0000110000110001</v>
      </c>
      <c r="AG206" s="34">
        <f>SUM(DB_SOFProject[[#This Row],[Plan01]:[Plan12]])/valUnits2</f>
        <v>0</v>
      </c>
      <c r="AH206" s="34">
        <f>SUMPRODUCT(DB_SOFProject[[#This Row],[Act01]:[Act12]],$Q$3:$AB$3)/valUnits2</f>
        <v>0</v>
      </c>
    </row>
    <row r="207" spans="2:34" x14ac:dyDescent="0.2">
      <c r="B207" t="s">
        <v>489</v>
      </c>
      <c r="C207" t="s">
        <v>877</v>
      </c>
      <c r="D207" t="s">
        <v>959</v>
      </c>
      <c r="E207">
        <v>0</v>
      </c>
      <c r="F207">
        <v>145.75399999999999</v>
      </c>
      <c r="G207">
        <v>166.50299999999999</v>
      </c>
      <c r="H207">
        <v>145.822</v>
      </c>
      <c r="I207">
        <v>147.20400000000001</v>
      </c>
      <c r="J207">
        <v>165.18900000000002</v>
      </c>
      <c r="K207">
        <v>165.18900000000002</v>
      </c>
      <c r="L207">
        <v>165.18900000000002</v>
      </c>
      <c r="M207">
        <v>165.18900000000002</v>
      </c>
      <c r="N207">
        <v>165.18900000000002</v>
      </c>
      <c r="O207">
        <v>165.18900000000002</v>
      </c>
      <c r="P207">
        <v>165.18900000000002</v>
      </c>
      <c r="Q207">
        <v>0</v>
      </c>
      <c r="R207">
        <v>148.81</v>
      </c>
      <c r="S207">
        <v>168.01</v>
      </c>
      <c r="T207">
        <v>144.98999999999998</v>
      </c>
      <c r="U207">
        <v>145.42000000000002</v>
      </c>
      <c r="V207">
        <v>166.08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f>SUMPRODUCT(DB_SOFProject[[#This Row],[Plan01]:[Plan12]],$E$4:$P$4)/valUnits2</f>
        <v>0.77047199999999993</v>
      </c>
      <c r="AD207">
        <f>SUMPRODUCT(DB_SOFProject[[#This Row],[Act01]:[Act12]],$Q$4:$AB$4)/valUnits2</f>
        <v>0.77331000000000005</v>
      </c>
      <c r="AE207">
        <f>DB_SOFProject[[#This Row],[Actual]]-DB_SOFProject[[#This Row],[Plan]]</f>
        <v>2.8380000000001182E-3</v>
      </c>
      <c r="AF207" s="32">
        <f>IF(DB_SOFProject[[#This Row],[Plan]]&lt;&gt;0,DB_SOFProject[[#This Row],[Actual]]/DB_SOFProject[[#This Row],[Plan]],1.000011000011)</f>
        <v>1.0036834563747938</v>
      </c>
      <c r="AG207" s="34">
        <f>SUM(DB_SOFProject[[#This Row],[Plan01]:[Plan12]])/valUnits2</f>
        <v>1.7616060000000004</v>
      </c>
      <c r="AH207" s="34">
        <f>SUMPRODUCT(DB_SOFProject[[#This Row],[Act01]:[Act12]],$Q$3:$AB$3)/valUnits2</f>
        <v>0.77331000000000005</v>
      </c>
    </row>
    <row r="208" spans="2:34" x14ac:dyDescent="0.2">
      <c r="B208" t="s">
        <v>489</v>
      </c>
      <c r="C208" t="s">
        <v>877</v>
      </c>
      <c r="D208" t="s">
        <v>975</v>
      </c>
      <c r="E208">
        <v>0</v>
      </c>
      <c r="F208">
        <v>1489.702</v>
      </c>
      <c r="G208">
        <v>1613.2860000000001</v>
      </c>
      <c r="H208">
        <v>3614.8359999999998</v>
      </c>
      <c r="I208">
        <v>2365.6589999999997</v>
      </c>
      <c r="J208">
        <v>2223.3049999999998</v>
      </c>
      <c r="K208">
        <v>2223.3049999999998</v>
      </c>
      <c r="L208">
        <v>2223.3049999999998</v>
      </c>
      <c r="M208">
        <v>2223.3049999999998</v>
      </c>
      <c r="N208">
        <v>2223.3049999999998</v>
      </c>
      <c r="O208">
        <v>2223.3049999999998</v>
      </c>
      <c r="P208">
        <v>2223.3049999999998</v>
      </c>
      <c r="Q208">
        <v>0</v>
      </c>
      <c r="R208">
        <v>1520.94</v>
      </c>
      <c r="S208">
        <v>1627.8899999999999</v>
      </c>
      <c r="T208">
        <v>3635.25</v>
      </c>
      <c r="U208">
        <v>2358.7800000000007</v>
      </c>
      <c r="V208">
        <v>1945.29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f>SUMPRODUCT(DB_SOFProject[[#This Row],[Plan01]:[Plan12]],$E$4:$P$4)/valUnits2</f>
        <v>11.306788000000001</v>
      </c>
      <c r="AD208">
        <f>SUMPRODUCT(DB_SOFProject[[#This Row],[Act01]:[Act12]],$Q$4:$AB$4)/valUnits2</f>
        <v>11.088150000000001</v>
      </c>
      <c r="AE208">
        <f>DB_SOFProject[[#This Row],[Actual]]-DB_SOFProject[[#This Row],[Plan]]</f>
        <v>-0.21863800000000033</v>
      </c>
      <c r="AF208" s="32">
        <f>IF(DB_SOFProject[[#This Row],[Plan]]&lt;&gt;0,DB_SOFProject[[#This Row],[Actual]]/DB_SOFProject[[#This Row],[Plan]],1.000011000011)</f>
        <v>0.98066312024245961</v>
      </c>
      <c r="AG208" s="34">
        <f>SUM(DB_SOFProject[[#This Row],[Plan01]:[Plan12]])/valUnits2</f>
        <v>24.646618000000004</v>
      </c>
      <c r="AH208" s="34">
        <f>SUMPRODUCT(DB_SOFProject[[#This Row],[Act01]:[Act12]],$Q$3:$AB$3)/valUnits2</f>
        <v>11.088150000000001</v>
      </c>
    </row>
    <row r="209" spans="2:34" x14ac:dyDescent="0.2">
      <c r="B209" t="s">
        <v>489</v>
      </c>
      <c r="C209" t="s">
        <v>877</v>
      </c>
      <c r="D209" t="s">
        <v>980</v>
      </c>
      <c r="F209">
        <v>0</v>
      </c>
      <c r="G209">
        <v>0</v>
      </c>
      <c r="H209">
        <v>0</v>
      </c>
      <c r="I209">
        <v>0</v>
      </c>
      <c r="J209">
        <v>155.62299999999999</v>
      </c>
      <c r="K209">
        <v>155.62299999999999</v>
      </c>
      <c r="L209">
        <v>155.62299999999999</v>
      </c>
      <c r="M209">
        <v>155.62299999999999</v>
      </c>
      <c r="N209">
        <v>155.62299999999999</v>
      </c>
      <c r="O209">
        <v>155.62299999999999</v>
      </c>
      <c r="P209">
        <v>155.62299999999999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f>SUMPRODUCT(DB_SOFProject[[#This Row],[Plan01]:[Plan12]],$E$4:$P$4)/valUnits2</f>
        <v>0.15562299999999998</v>
      </c>
      <c r="AD209">
        <f>SUMPRODUCT(DB_SOFProject[[#This Row],[Act01]:[Act12]],$Q$4:$AB$4)/valUnits2</f>
        <v>0</v>
      </c>
      <c r="AE209">
        <f>DB_SOFProject[[#This Row],[Actual]]-DB_SOFProject[[#This Row],[Plan]]</f>
        <v>-0.15562299999999998</v>
      </c>
      <c r="AF209" s="32">
        <f>IF(DB_SOFProject[[#This Row],[Plan]]&lt;&gt;0,DB_SOFProject[[#This Row],[Actual]]/DB_SOFProject[[#This Row],[Plan]],1.000011000011)</f>
        <v>0</v>
      </c>
      <c r="AG209" s="34">
        <f>SUM(DB_SOFProject[[#This Row],[Plan01]:[Plan12]])/valUnits2</f>
        <v>1.089361</v>
      </c>
      <c r="AH209" s="34">
        <f>SUMPRODUCT(DB_SOFProject[[#This Row],[Act01]:[Act12]],$Q$3:$AB$3)/valUnits2</f>
        <v>0</v>
      </c>
    </row>
    <row r="210" spans="2:34" x14ac:dyDescent="0.2">
      <c r="B210" t="s">
        <v>489</v>
      </c>
      <c r="C210" t="s">
        <v>877</v>
      </c>
      <c r="D210" t="s">
        <v>998</v>
      </c>
      <c r="E210">
        <v>0</v>
      </c>
      <c r="F210">
        <v>417.60300000000001</v>
      </c>
      <c r="G210">
        <v>337.02100000000002</v>
      </c>
      <c r="H210">
        <v>426.28100000000001</v>
      </c>
      <c r="I210">
        <v>260.74599999999998</v>
      </c>
      <c r="J210">
        <v>414.19200000000001</v>
      </c>
      <c r="K210">
        <v>414.19200000000001</v>
      </c>
      <c r="L210">
        <v>414.19200000000001</v>
      </c>
      <c r="M210">
        <v>414.19200000000001</v>
      </c>
      <c r="N210">
        <v>414.19200000000001</v>
      </c>
      <c r="O210">
        <v>414.19200000000001</v>
      </c>
      <c r="P210">
        <v>414.19200000000001</v>
      </c>
      <c r="Q210">
        <v>0</v>
      </c>
      <c r="R210">
        <v>425.82</v>
      </c>
      <c r="S210">
        <v>339.43</v>
      </c>
      <c r="T210">
        <v>423.95</v>
      </c>
      <c r="U210">
        <v>258.25</v>
      </c>
      <c r="V210">
        <v>259.32</v>
      </c>
      <c r="W210">
        <v>1222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f>SUMPRODUCT(DB_SOFProject[[#This Row],[Plan01]:[Plan12]],$E$4:$P$4)/valUnits2</f>
        <v>1.8558429999999999</v>
      </c>
      <c r="AD210">
        <f>SUMPRODUCT(DB_SOFProject[[#This Row],[Act01]:[Act12]],$Q$4:$AB$4)/valUnits2</f>
        <v>1.7067699999999999</v>
      </c>
      <c r="AE210">
        <f>DB_SOFProject[[#This Row],[Actual]]-DB_SOFProject[[#This Row],[Plan]]</f>
        <v>-0.14907300000000001</v>
      </c>
      <c r="AF210" s="32">
        <f>IF(DB_SOFProject[[#This Row],[Plan]]&lt;&gt;0,DB_SOFProject[[#This Row],[Actual]]/DB_SOFProject[[#This Row],[Plan]],1.000011000011)</f>
        <v>0.91967370084646172</v>
      </c>
      <c r="AG210" s="34">
        <f>SUM(DB_SOFProject[[#This Row],[Plan01]:[Plan12]])/valUnits2</f>
        <v>4.3409949999999995</v>
      </c>
      <c r="AH210" s="34">
        <f>SUMPRODUCT(DB_SOFProject[[#This Row],[Act01]:[Act12]],$Q$3:$AB$3)/valUnits2</f>
        <v>1.7067699999999999</v>
      </c>
    </row>
    <row r="211" spans="2:34" x14ac:dyDescent="0.2">
      <c r="B211" t="s">
        <v>489</v>
      </c>
      <c r="C211" t="s">
        <v>877</v>
      </c>
      <c r="D211" t="s">
        <v>999</v>
      </c>
      <c r="E211">
        <v>0</v>
      </c>
      <c r="F211">
        <v>0</v>
      </c>
      <c r="G211">
        <v>0</v>
      </c>
      <c r="H211">
        <v>2942.5550000000003</v>
      </c>
      <c r="I211">
        <v>1382.9949999999999</v>
      </c>
      <c r="J211">
        <v>1863.3920000000003</v>
      </c>
      <c r="K211">
        <v>1863.3920000000001</v>
      </c>
      <c r="L211">
        <v>1863.3920000000003</v>
      </c>
      <c r="M211">
        <v>1863.3920000000003</v>
      </c>
      <c r="N211">
        <v>1863.3920000000003</v>
      </c>
      <c r="O211">
        <v>1863.3920000000001</v>
      </c>
      <c r="P211">
        <v>1863.3920000000003</v>
      </c>
      <c r="Q211">
        <v>0</v>
      </c>
      <c r="R211">
        <v>0</v>
      </c>
      <c r="S211">
        <v>0</v>
      </c>
      <c r="T211">
        <v>2947.4000000000005</v>
      </c>
      <c r="U211">
        <v>1366.2300000000002</v>
      </c>
      <c r="V211">
        <v>1041.3200000000002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f>SUMPRODUCT(DB_SOFProject[[#This Row],[Plan01]:[Plan12]],$E$4:$P$4)/valUnits2</f>
        <v>6.1889420000000008</v>
      </c>
      <c r="AD211">
        <f>SUMPRODUCT(DB_SOFProject[[#This Row],[Act01]:[Act12]],$Q$4:$AB$4)/valUnits2</f>
        <v>5.3549500000000005</v>
      </c>
      <c r="AE211">
        <f>DB_SOFProject[[#This Row],[Actual]]-DB_SOFProject[[#This Row],[Plan]]</f>
        <v>-0.83399200000000029</v>
      </c>
      <c r="AF211" s="32">
        <f>IF(DB_SOFProject[[#This Row],[Plan]]&lt;&gt;0,DB_SOFProject[[#This Row],[Actual]]/DB_SOFProject[[#This Row],[Plan]],1.000011000011)</f>
        <v>0.86524481890442662</v>
      </c>
      <c r="AG211" s="34">
        <f>SUM(DB_SOFProject[[#This Row],[Plan01]:[Plan12]])/valUnits2</f>
        <v>17.369294</v>
      </c>
      <c r="AH211" s="34">
        <f>SUMPRODUCT(DB_SOFProject[[#This Row],[Act01]:[Act12]],$Q$3:$AB$3)/valUnits2</f>
        <v>5.3549500000000005</v>
      </c>
    </row>
    <row r="212" spans="2:34" x14ac:dyDescent="0.2">
      <c r="B212" t="s">
        <v>489</v>
      </c>
      <c r="C212" t="s">
        <v>878</v>
      </c>
      <c r="D212" t="s">
        <v>946</v>
      </c>
      <c r="E212">
        <v>0</v>
      </c>
      <c r="F212">
        <v>0</v>
      </c>
      <c r="G212">
        <v>140.63800000000001</v>
      </c>
      <c r="H212">
        <v>140.63800000000001</v>
      </c>
      <c r="I212">
        <v>140.63800000000001</v>
      </c>
      <c r="J212">
        <v>140.63800000000001</v>
      </c>
      <c r="K212">
        <v>140.63800000000001</v>
      </c>
      <c r="L212">
        <v>140.63800000000001</v>
      </c>
      <c r="M212">
        <v>140.63800000000001</v>
      </c>
      <c r="N212">
        <v>140.63800000000001</v>
      </c>
      <c r="O212">
        <v>140.63800000000001</v>
      </c>
      <c r="P212">
        <v>140.63800000000001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f>SUMPRODUCT(DB_SOFProject[[#This Row],[Plan01]:[Plan12]],$E$4:$P$4)/valUnits2</f>
        <v>0.56255200000000005</v>
      </c>
      <c r="AD212">
        <f>SUMPRODUCT(DB_SOFProject[[#This Row],[Act01]:[Act12]],$Q$4:$AB$4)/valUnits2</f>
        <v>0</v>
      </c>
      <c r="AE212">
        <f>DB_SOFProject[[#This Row],[Actual]]-DB_SOFProject[[#This Row],[Plan]]</f>
        <v>-0.56255200000000005</v>
      </c>
      <c r="AF212" s="32">
        <f>IF(DB_SOFProject[[#This Row],[Plan]]&lt;&gt;0,DB_SOFProject[[#This Row],[Actual]]/DB_SOFProject[[#This Row],[Plan]],1.000011000011)</f>
        <v>0</v>
      </c>
      <c r="AG212" s="34">
        <f>SUM(DB_SOFProject[[#This Row],[Plan01]:[Plan12]])/valUnits2</f>
        <v>1.40638</v>
      </c>
      <c r="AH212" s="34">
        <f>SUMPRODUCT(DB_SOFProject[[#This Row],[Act01]:[Act12]],$Q$3:$AB$3)/valUnits2</f>
        <v>0</v>
      </c>
    </row>
    <row r="213" spans="2:34" x14ac:dyDescent="0.2">
      <c r="B213" t="s">
        <v>489</v>
      </c>
      <c r="C213" t="s">
        <v>878</v>
      </c>
      <c r="D213" t="s">
        <v>959</v>
      </c>
      <c r="E213">
        <v>0</v>
      </c>
      <c r="F213">
        <v>0</v>
      </c>
      <c r="G213">
        <v>281.27800000000002</v>
      </c>
      <c r="H213">
        <v>281.27800000000002</v>
      </c>
      <c r="I213">
        <v>281.27800000000002</v>
      </c>
      <c r="J213">
        <v>281.27800000000002</v>
      </c>
      <c r="K213">
        <v>281.27800000000002</v>
      </c>
      <c r="L213">
        <v>281.27800000000002</v>
      </c>
      <c r="M213">
        <v>281.27800000000002</v>
      </c>
      <c r="N213">
        <v>281.27800000000002</v>
      </c>
      <c r="O213">
        <v>281.27800000000002</v>
      </c>
      <c r="P213">
        <v>281.27800000000002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f>SUMPRODUCT(DB_SOFProject[[#This Row],[Plan01]:[Plan12]],$E$4:$P$4)/valUnits2</f>
        <v>1.1251120000000001</v>
      </c>
      <c r="AD213">
        <f>SUMPRODUCT(DB_SOFProject[[#This Row],[Act01]:[Act12]],$Q$4:$AB$4)/valUnits2</f>
        <v>0</v>
      </c>
      <c r="AE213">
        <f>DB_SOFProject[[#This Row],[Actual]]-DB_SOFProject[[#This Row],[Plan]]</f>
        <v>-1.1251120000000001</v>
      </c>
      <c r="AF213" s="32">
        <f>IF(DB_SOFProject[[#This Row],[Plan]]&lt;&gt;0,DB_SOFProject[[#This Row],[Actual]]/DB_SOFProject[[#This Row],[Plan]],1.000011000011)</f>
        <v>0</v>
      </c>
      <c r="AG213" s="34">
        <f>SUM(DB_SOFProject[[#This Row],[Plan01]:[Plan12]])/valUnits2</f>
        <v>2.8127800000000005</v>
      </c>
      <c r="AH213" s="34">
        <f>SUMPRODUCT(DB_SOFProject[[#This Row],[Act01]:[Act12]],$Q$3:$AB$3)/valUnits2</f>
        <v>0</v>
      </c>
    </row>
    <row r="214" spans="2:34" x14ac:dyDescent="0.2">
      <c r="B214" t="s">
        <v>489</v>
      </c>
      <c r="C214" t="s">
        <v>878</v>
      </c>
      <c r="D214" t="s">
        <v>975</v>
      </c>
      <c r="E214">
        <v>0</v>
      </c>
      <c r="F214">
        <v>252.773</v>
      </c>
      <c r="G214">
        <v>737.27099999999996</v>
      </c>
      <c r="H214">
        <v>827.13499999999999</v>
      </c>
      <c r="I214">
        <v>985.76600000000008</v>
      </c>
      <c r="J214">
        <v>737.27099999999996</v>
      </c>
      <c r="K214">
        <v>737.27099999999996</v>
      </c>
      <c r="L214">
        <v>737.27099999999996</v>
      </c>
      <c r="M214">
        <v>737.27099999999996</v>
      </c>
      <c r="N214">
        <v>737.27099999999996</v>
      </c>
      <c r="O214">
        <v>737.27099999999996</v>
      </c>
      <c r="P214">
        <v>737.27099999999996</v>
      </c>
      <c r="Q214">
        <v>0</v>
      </c>
      <c r="R214">
        <v>253.9</v>
      </c>
      <c r="S214">
        <v>0</v>
      </c>
      <c r="T214">
        <v>92.860000000000014</v>
      </c>
      <c r="U214">
        <v>263.16000000000003</v>
      </c>
      <c r="V214">
        <v>4385.6000000000004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f>SUMPRODUCT(DB_SOFProject[[#This Row],[Plan01]:[Plan12]],$E$4:$P$4)/valUnits2</f>
        <v>3.5402160000000005</v>
      </c>
      <c r="AD214">
        <f>SUMPRODUCT(DB_SOFProject[[#This Row],[Act01]:[Act12]],$Q$4:$AB$4)/valUnits2</f>
        <v>4.9955200000000008</v>
      </c>
      <c r="AE214">
        <f>DB_SOFProject[[#This Row],[Actual]]-DB_SOFProject[[#This Row],[Plan]]</f>
        <v>1.4553040000000004</v>
      </c>
      <c r="AF214" s="32">
        <f>IF(DB_SOFProject[[#This Row],[Plan]]&lt;&gt;0,DB_SOFProject[[#This Row],[Actual]]/DB_SOFProject[[#This Row],[Plan]],1.000011000011)</f>
        <v>1.4110777421490666</v>
      </c>
      <c r="AG214" s="34">
        <f>SUM(DB_SOFProject[[#This Row],[Plan01]:[Plan12]])/valUnits2</f>
        <v>7.9638419999999988</v>
      </c>
      <c r="AH214" s="34">
        <f>SUMPRODUCT(DB_SOFProject[[#This Row],[Act01]:[Act12]],$Q$3:$AB$3)/valUnits2</f>
        <v>4.9955200000000008</v>
      </c>
    </row>
    <row r="215" spans="2:34" x14ac:dyDescent="0.2">
      <c r="B215" t="s">
        <v>489</v>
      </c>
      <c r="C215" t="s">
        <v>878</v>
      </c>
      <c r="D215" t="s">
        <v>980</v>
      </c>
      <c r="E215">
        <v>0</v>
      </c>
      <c r="F215">
        <v>0</v>
      </c>
      <c r="G215">
        <v>140.63800000000001</v>
      </c>
      <c r="H215">
        <v>140.63800000000001</v>
      </c>
      <c r="I215">
        <v>140.63800000000001</v>
      </c>
      <c r="J215">
        <v>140.63800000000001</v>
      </c>
      <c r="K215">
        <v>140.63800000000001</v>
      </c>
      <c r="L215">
        <v>140.63800000000001</v>
      </c>
      <c r="M215">
        <v>140.63800000000001</v>
      </c>
      <c r="N215">
        <v>140.63800000000001</v>
      </c>
      <c r="O215">
        <v>140.63800000000001</v>
      </c>
      <c r="P215">
        <v>140.63800000000001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f>SUMPRODUCT(DB_SOFProject[[#This Row],[Plan01]:[Plan12]],$E$4:$P$4)/valUnits2</f>
        <v>0.56255200000000005</v>
      </c>
      <c r="AD215">
        <f>SUMPRODUCT(DB_SOFProject[[#This Row],[Act01]:[Act12]],$Q$4:$AB$4)/valUnits2</f>
        <v>0</v>
      </c>
      <c r="AE215">
        <f>DB_SOFProject[[#This Row],[Actual]]-DB_SOFProject[[#This Row],[Plan]]</f>
        <v>-0.56255200000000005</v>
      </c>
      <c r="AF215" s="32">
        <f>IF(DB_SOFProject[[#This Row],[Plan]]&lt;&gt;0,DB_SOFProject[[#This Row],[Actual]]/DB_SOFProject[[#This Row],[Plan]],1.000011000011)</f>
        <v>0</v>
      </c>
      <c r="AG215" s="34">
        <f>SUM(DB_SOFProject[[#This Row],[Plan01]:[Plan12]])/valUnits2</f>
        <v>1.40638</v>
      </c>
      <c r="AH215" s="34">
        <f>SUMPRODUCT(DB_SOFProject[[#This Row],[Act01]:[Act12]],$Q$3:$AB$3)/valUnits2</f>
        <v>0</v>
      </c>
    </row>
    <row r="216" spans="2:34" x14ac:dyDescent="0.2">
      <c r="B216" t="s">
        <v>489</v>
      </c>
      <c r="C216" t="s">
        <v>878</v>
      </c>
      <c r="D216" t="s">
        <v>999</v>
      </c>
      <c r="E216">
        <v>0</v>
      </c>
      <c r="F216">
        <v>0</v>
      </c>
      <c r="G216">
        <v>140.63800000000001</v>
      </c>
      <c r="H216">
        <v>140.63800000000001</v>
      </c>
      <c r="I216">
        <v>140.63800000000001</v>
      </c>
      <c r="J216">
        <v>140.63800000000001</v>
      </c>
      <c r="K216">
        <v>140.63800000000001</v>
      </c>
      <c r="L216">
        <v>140.63800000000001</v>
      </c>
      <c r="M216">
        <v>140.63800000000001</v>
      </c>
      <c r="N216">
        <v>140.63800000000001</v>
      </c>
      <c r="O216">
        <v>140.63800000000001</v>
      </c>
      <c r="P216">
        <v>140.63800000000001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1056.29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f>SUMPRODUCT(DB_SOFProject[[#This Row],[Plan01]:[Plan12]],$E$4:$P$4)/valUnits2</f>
        <v>0.56255200000000005</v>
      </c>
      <c r="AD216">
        <f>SUMPRODUCT(DB_SOFProject[[#This Row],[Act01]:[Act12]],$Q$4:$AB$4)/valUnits2</f>
        <v>1.05629</v>
      </c>
      <c r="AE216">
        <f>DB_SOFProject[[#This Row],[Actual]]-DB_SOFProject[[#This Row],[Plan]]</f>
        <v>0.4937379999999999</v>
      </c>
      <c r="AF216" s="32">
        <f>IF(DB_SOFProject[[#This Row],[Plan]]&lt;&gt;0,DB_SOFProject[[#This Row],[Actual]]/DB_SOFProject[[#This Row],[Plan]],1.000011000011)</f>
        <v>1.8776753082381714</v>
      </c>
      <c r="AG216" s="34">
        <f>SUM(DB_SOFProject[[#This Row],[Plan01]:[Plan12]])/valUnits2</f>
        <v>1.40638</v>
      </c>
      <c r="AH216" s="34">
        <f>SUMPRODUCT(DB_SOFProject[[#This Row],[Act01]:[Act12]],$Q$3:$AB$3)/valUnits2</f>
        <v>1.05629</v>
      </c>
    </row>
    <row r="217" spans="2:34" x14ac:dyDescent="0.2">
      <c r="B217" t="s">
        <v>489</v>
      </c>
      <c r="C217" t="s">
        <v>881</v>
      </c>
      <c r="D217" t="s">
        <v>946</v>
      </c>
      <c r="H217">
        <v>785.51</v>
      </c>
      <c r="I217">
        <v>376.98</v>
      </c>
      <c r="J217">
        <v>86.346999999999994</v>
      </c>
      <c r="K217">
        <v>172.69300000000001</v>
      </c>
      <c r="L217">
        <v>86.346999999999994</v>
      </c>
      <c r="M217">
        <v>86.346999999999994</v>
      </c>
      <c r="N217">
        <v>86.346999999999994</v>
      </c>
      <c r="O217">
        <v>86.346999999999994</v>
      </c>
      <c r="P217">
        <v>172.69300000000001</v>
      </c>
      <c r="T217">
        <v>785.5100000000001</v>
      </c>
      <c r="U217">
        <v>376.98</v>
      </c>
      <c r="V217">
        <v>406.02000000000004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f>SUMPRODUCT(DB_SOFProject[[#This Row],[Plan01]:[Plan12]],$E$4:$P$4)/valUnits2</f>
        <v>1.248837</v>
      </c>
      <c r="AD217">
        <f>SUMPRODUCT(DB_SOFProject[[#This Row],[Act01]:[Act12]],$Q$4:$AB$4)/valUnits2</f>
        <v>1.5685100000000003</v>
      </c>
      <c r="AE217">
        <f>DB_SOFProject[[#This Row],[Actual]]-DB_SOFProject[[#This Row],[Plan]]</f>
        <v>0.31967300000000032</v>
      </c>
      <c r="AF217" s="32">
        <f>IF(DB_SOFProject[[#This Row],[Plan]]&lt;&gt;0,DB_SOFProject[[#This Row],[Actual]]/DB_SOFProject[[#This Row],[Plan]],1.000011000011)</f>
        <v>1.255976560591975</v>
      </c>
      <c r="AG217" s="34">
        <f>SUM(DB_SOFProject[[#This Row],[Plan01]:[Plan12]])/valUnits2</f>
        <v>1.939611</v>
      </c>
      <c r="AH217" s="34">
        <f>SUMPRODUCT(DB_SOFProject[[#This Row],[Act01]:[Act12]],$Q$3:$AB$3)/valUnits2</f>
        <v>1.5685100000000003</v>
      </c>
    </row>
    <row r="218" spans="2:34" x14ac:dyDescent="0.2">
      <c r="B218" t="s">
        <v>489</v>
      </c>
      <c r="C218" t="s">
        <v>881</v>
      </c>
      <c r="D218" t="s">
        <v>947</v>
      </c>
      <c r="H218">
        <v>32.479999999999997</v>
      </c>
      <c r="I218">
        <v>0</v>
      </c>
      <c r="J218">
        <v>172.69300000000001</v>
      </c>
      <c r="K218">
        <v>345.38700000000006</v>
      </c>
      <c r="L218">
        <v>172.69300000000001</v>
      </c>
      <c r="M218">
        <v>172.69300000000001</v>
      </c>
      <c r="N218">
        <v>172.69300000000001</v>
      </c>
      <c r="O218">
        <v>172.69300000000001</v>
      </c>
      <c r="P218">
        <v>345.38700000000006</v>
      </c>
      <c r="T218">
        <v>32.479999999999997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f>SUMPRODUCT(DB_SOFProject[[#This Row],[Plan01]:[Plan12]],$E$4:$P$4)/valUnits2</f>
        <v>0.20517299999999999</v>
      </c>
      <c r="AD218">
        <f>SUMPRODUCT(DB_SOFProject[[#This Row],[Act01]:[Act12]],$Q$4:$AB$4)/valUnits2</f>
        <v>3.2479999999999995E-2</v>
      </c>
      <c r="AE218">
        <f>DB_SOFProject[[#This Row],[Actual]]-DB_SOFProject[[#This Row],[Plan]]</f>
        <v>-0.17269299999999999</v>
      </c>
      <c r="AF218" s="32">
        <f>IF(DB_SOFProject[[#This Row],[Plan]]&lt;&gt;0,DB_SOFProject[[#This Row],[Actual]]/DB_SOFProject[[#This Row],[Plan]],1.000011000011)</f>
        <v>0.15830543005171244</v>
      </c>
      <c r="AG218" s="34">
        <f>SUM(DB_SOFProject[[#This Row],[Plan01]:[Plan12]])/valUnits2</f>
        <v>1.586719</v>
      </c>
      <c r="AH218" s="34">
        <f>SUMPRODUCT(DB_SOFProject[[#This Row],[Act01]:[Act12]],$Q$3:$AB$3)/valUnits2</f>
        <v>3.2479999999999995E-2</v>
      </c>
    </row>
    <row r="219" spans="2:34" x14ac:dyDescent="0.2">
      <c r="B219" t="s">
        <v>489</v>
      </c>
      <c r="C219" t="s">
        <v>881</v>
      </c>
      <c r="D219" t="s">
        <v>959</v>
      </c>
      <c r="H219">
        <v>1013.45</v>
      </c>
      <c r="I219">
        <v>300.56</v>
      </c>
      <c r="J219">
        <v>319.80200000000002</v>
      </c>
      <c r="K219">
        <v>639.60699999999997</v>
      </c>
      <c r="L219">
        <v>319.80200000000002</v>
      </c>
      <c r="M219">
        <v>319.80200000000002</v>
      </c>
      <c r="N219">
        <v>319.80200000000002</v>
      </c>
      <c r="O219">
        <v>319.80200000000002</v>
      </c>
      <c r="P219">
        <v>639.60699999999997</v>
      </c>
      <c r="T219">
        <v>1013.45</v>
      </c>
      <c r="U219">
        <v>300.56</v>
      </c>
      <c r="V219">
        <v>820.17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f>SUMPRODUCT(DB_SOFProject[[#This Row],[Plan01]:[Plan12]],$E$4:$P$4)/valUnits2</f>
        <v>1.6338119999999998</v>
      </c>
      <c r="AD219">
        <f>SUMPRODUCT(DB_SOFProject[[#This Row],[Act01]:[Act12]],$Q$4:$AB$4)/valUnits2</f>
        <v>2.1341799999999997</v>
      </c>
      <c r="AE219">
        <f>DB_SOFProject[[#This Row],[Actual]]-DB_SOFProject[[#This Row],[Plan]]</f>
        <v>0.50036799999999992</v>
      </c>
      <c r="AF219" s="32">
        <f>IF(DB_SOFProject[[#This Row],[Plan]]&lt;&gt;0,DB_SOFProject[[#This Row],[Actual]]/DB_SOFProject[[#This Row],[Plan]],1.000011000011)</f>
        <v>1.3062580027567432</v>
      </c>
      <c r="AG219" s="34">
        <f>SUM(DB_SOFProject[[#This Row],[Plan01]:[Plan12]])/valUnits2</f>
        <v>4.192234</v>
      </c>
      <c r="AH219" s="34">
        <f>SUMPRODUCT(DB_SOFProject[[#This Row],[Act01]:[Act12]],$Q$3:$AB$3)/valUnits2</f>
        <v>2.1341799999999997</v>
      </c>
    </row>
    <row r="220" spans="2:34" x14ac:dyDescent="0.2">
      <c r="B220" t="s">
        <v>489</v>
      </c>
      <c r="C220" t="s">
        <v>881</v>
      </c>
      <c r="D220" t="s">
        <v>975</v>
      </c>
      <c r="H220">
        <v>1204.3000000000002</v>
      </c>
      <c r="I220">
        <v>1980.02</v>
      </c>
      <c r="J220">
        <v>448.74099999999993</v>
      </c>
      <c r="K220">
        <v>897.48299999999983</v>
      </c>
      <c r="L220">
        <v>448.74099999999993</v>
      </c>
      <c r="M220">
        <v>448.74099999999993</v>
      </c>
      <c r="N220">
        <v>448.74099999999993</v>
      </c>
      <c r="O220">
        <v>448.74099999999993</v>
      </c>
      <c r="P220">
        <v>897.48299999999983</v>
      </c>
      <c r="T220">
        <v>1204.3</v>
      </c>
      <c r="U220">
        <v>1982.32</v>
      </c>
      <c r="V220">
        <v>767.83999999999992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f>SUMPRODUCT(DB_SOFProject[[#This Row],[Plan01]:[Plan12]],$E$4:$P$4)/valUnits2</f>
        <v>3.6330610000000001</v>
      </c>
      <c r="AD220">
        <f>SUMPRODUCT(DB_SOFProject[[#This Row],[Act01]:[Act12]],$Q$4:$AB$4)/valUnits2</f>
        <v>3.9544600000000001</v>
      </c>
      <c r="AE220">
        <f>DB_SOFProject[[#This Row],[Actual]]-DB_SOFProject[[#This Row],[Plan]]</f>
        <v>0.32139899999999999</v>
      </c>
      <c r="AF220" s="32">
        <f>IF(DB_SOFProject[[#This Row],[Plan]]&lt;&gt;0,DB_SOFProject[[#This Row],[Actual]]/DB_SOFProject[[#This Row],[Plan]],1.000011000011)</f>
        <v>1.0884650711892809</v>
      </c>
      <c r="AG220" s="34">
        <f>SUM(DB_SOFProject[[#This Row],[Plan01]:[Plan12]])/valUnits2</f>
        <v>7.2229910000000004</v>
      </c>
      <c r="AH220" s="34">
        <f>SUMPRODUCT(DB_SOFProject[[#This Row],[Act01]:[Act12]],$Q$3:$AB$3)/valUnits2</f>
        <v>3.9544600000000001</v>
      </c>
    </row>
    <row r="221" spans="2:34" x14ac:dyDescent="0.2">
      <c r="B221" t="s">
        <v>489</v>
      </c>
      <c r="C221" t="s">
        <v>881</v>
      </c>
      <c r="D221" t="s">
        <v>980</v>
      </c>
      <c r="H221">
        <v>0</v>
      </c>
      <c r="I221">
        <v>0</v>
      </c>
      <c r="J221">
        <v>68.117999999999995</v>
      </c>
      <c r="K221">
        <v>136.23599999999999</v>
      </c>
      <c r="L221">
        <v>68.117999999999995</v>
      </c>
      <c r="M221">
        <v>68.117999999999995</v>
      </c>
      <c r="N221">
        <v>68.117999999999995</v>
      </c>
      <c r="O221">
        <v>68.117999999999995</v>
      </c>
      <c r="P221">
        <v>136.23599999999999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f>SUMPRODUCT(DB_SOFProject[[#This Row],[Plan01]:[Plan12]],$E$4:$P$4)/valUnits2</f>
        <v>6.8117999999999998E-2</v>
      </c>
      <c r="AD221">
        <f>SUMPRODUCT(DB_SOFProject[[#This Row],[Act01]:[Act12]],$Q$4:$AB$4)/valUnits2</f>
        <v>0</v>
      </c>
      <c r="AE221">
        <f>DB_SOFProject[[#This Row],[Actual]]-DB_SOFProject[[#This Row],[Plan]]</f>
        <v>-6.8117999999999998E-2</v>
      </c>
      <c r="AF221" s="32">
        <f>IF(DB_SOFProject[[#This Row],[Plan]]&lt;&gt;0,DB_SOFProject[[#This Row],[Actual]]/DB_SOFProject[[#This Row],[Plan]],1.000011000011)</f>
        <v>0</v>
      </c>
      <c r="AG221" s="34">
        <f>SUM(DB_SOFProject[[#This Row],[Plan01]:[Plan12]])/valUnits2</f>
        <v>0.61306199999999988</v>
      </c>
      <c r="AH221" s="34">
        <f>SUMPRODUCT(DB_SOFProject[[#This Row],[Act01]:[Act12]],$Q$3:$AB$3)/valUnits2</f>
        <v>0</v>
      </c>
    </row>
    <row r="222" spans="2:34" x14ac:dyDescent="0.2">
      <c r="B222" t="s">
        <v>489</v>
      </c>
      <c r="C222" t="s">
        <v>881</v>
      </c>
      <c r="D222" t="s">
        <v>990</v>
      </c>
      <c r="I222">
        <v>65.989999999999995</v>
      </c>
      <c r="U222">
        <v>65.990000000000009</v>
      </c>
      <c r="AC222">
        <f>SUMPRODUCT(DB_SOFProject[[#This Row],[Plan01]:[Plan12]],$E$4:$P$4)/valUnits2</f>
        <v>6.5989999999999993E-2</v>
      </c>
      <c r="AD222">
        <f>SUMPRODUCT(DB_SOFProject[[#This Row],[Act01]:[Act12]],$Q$4:$AB$4)/valUnits2</f>
        <v>6.5990000000000007E-2</v>
      </c>
      <c r="AE222">
        <f>DB_SOFProject[[#This Row],[Actual]]-DB_SOFProject[[#This Row],[Plan]]</f>
        <v>0</v>
      </c>
      <c r="AF222" s="32">
        <f>IF(DB_SOFProject[[#This Row],[Plan]]&lt;&gt;0,DB_SOFProject[[#This Row],[Actual]]/DB_SOFProject[[#This Row],[Plan]],1.000011000011)</f>
        <v>1.0000000000000002</v>
      </c>
      <c r="AG222" s="34">
        <f>SUM(DB_SOFProject[[#This Row],[Plan01]:[Plan12]])/valUnits2</f>
        <v>6.5989999999999993E-2</v>
      </c>
      <c r="AH222" s="34">
        <f>SUMPRODUCT(DB_SOFProject[[#This Row],[Act01]:[Act12]],$Q$3:$AB$3)/valUnits2</f>
        <v>6.5990000000000007E-2</v>
      </c>
    </row>
    <row r="223" spans="2:34" x14ac:dyDescent="0.2">
      <c r="B223" t="s">
        <v>489</v>
      </c>
      <c r="C223" t="s">
        <v>881</v>
      </c>
      <c r="D223" t="s">
        <v>999</v>
      </c>
      <c r="H223">
        <v>657.59</v>
      </c>
      <c r="I223">
        <v>0</v>
      </c>
      <c r="J223">
        <v>702.976</v>
      </c>
      <c r="K223">
        <v>1405.9540000000002</v>
      </c>
      <c r="L223">
        <v>702.976</v>
      </c>
      <c r="M223">
        <v>702.976</v>
      </c>
      <c r="N223">
        <v>702.976</v>
      </c>
      <c r="O223">
        <v>702.976</v>
      </c>
      <c r="P223">
        <v>1405.9540000000002</v>
      </c>
      <c r="T223">
        <v>657.59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f>SUMPRODUCT(DB_SOFProject[[#This Row],[Plan01]:[Plan12]],$E$4:$P$4)/valUnits2</f>
        <v>1.3605659999999999</v>
      </c>
      <c r="AD223">
        <f>SUMPRODUCT(DB_SOFProject[[#This Row],[Act01]:[Act12]],$Q$4:$AB$4)/valUnits2</f>
        <v>0.65759000000000001</v>
      </c>
      <c r="AE223">
        <f>DB_SOFProject[[#This Row],[Actual]]-DB_SOFProject[[#This Row],[Plan]]</f>
        <v>-0.70297599999999993</v>
      </c>
      <c r="AF223" s="32">
        <f>IF(DB_SOFProject[[#This Row],[Plan]]&lt;&gt;0,DB_SOFProject[[#This Row],[Actual]]/DB_SOFProject[[#This Row],[Plan]],1.000011000011)</f>
        <v>0.4833209120321984</v>
      </c>
      <c r="AG223" s="34">
        <f>SUM(DB_SOFProject[[#This Row],[Plan01]:[Plan12]])/valUnits2</f>
        <v>6.9843780000000004</v>
      </c>
      <c r="AH223" s="34">
        <f>SUMPRODUCT(DB_SOFProject[[#This Row],[Act01]:[Act12]],$Q$3:$AB$3)/valUnits2</f>
        <v>0.65759000000000001</v>
      </c>
    </row>
    <row r="224" spans="2:34" x14ac:dyDescent="0.2">
      <c r="B224" t="s">
        <v>489</v>
      </c>
      <c r="C224" t="s">
        <v>882</v>
      </c>
      <c r="D224" t="s">
        <v>946</v>
      </c>
      <c r="E224">
        <v>0</v>
      </c>
      <c r="F224">
        <v>0</v>
      </c>
      <c r="G224">
        <v>0</v>
      </c>
      <c r="H224">
        <v>339.86399999999998</v>
      </c>
      <c r="I224">
        <v>163.54300000000001</v>
      </c>
      <c r="J224">
        <v>139.495</v>
      </c>
      <c r="K224">
        <v>139.495</v>
      </c>
      <c r="L224">
        <v>139.495</v>
      </c>
      <c r="M224">
        <v>139.495</v>
      </c>
      <c r="N224">
        <v>139.495</v>
      </c>
      <c r="O224">
        <v>139.495</v>
      </c>
      <c r="P224">
        <v>139.495</v>
      </c>
      <c r="Q224">
        <v>0</v>
      </c>
      <c r="R224">
        <v>0</v>
      </c>
      <c r="S224">
        <v>0</v>
      </c>
      <c r="T224">
        <v>336.65</v>
      </c>
      <c r="U224">
        <v>161.56</v>
      </c>
      <c r="V224">
        <v>174.01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f>SUMPRODUCT(DB_SOFProject[[#This Row],[Plan01]:[Plan12]],$E$4:$P$4)/valUnits2</f>
        <v>0.64290200000000008</v>
      </c>
      <c r="AD224">
        <f>SUMPRODUCT(DB_SOFProject[[#This Row],[Act01]:[Act12]],$Q$4:$AB$4)/valUnits2</f>
        <v>0.67222000000000004</v>
      </c>
      <c r="AE224">
        <f>DB_SOFProject[[#This Row],[Actual]]-DB_SOFProject[[#This Row],[Plan]]</f>
        <v>2.9317999999999955E-2</v>
      </c>
      <c r="AF224" s="32">
        <f>IF(DB_SOFProject[[#This Row],[Plan]]&lt;&gt;0,DB_SOFProject[[#This Row],[Actual]]/DB_SOFProject[[#This Row],[Plan]],1.000011000011)</f>
        <v>1.0456025957299868</v>
      </c>
      <c r="AG224" s="34">
        <f>SUM(DB_SOFProject[[#This Row],[Plan01]:[Plan12]])/valUnits2</f>
        <v>1.4798719999999999</v>
      </c>
      <c r="AH224" s="34">
        <f>SUMPRODUCT(DB_SOFProject[[#This Row],[Act01]:[Act12]],$Q$3:$AB$3)/valUnits2</f>
        <v>0.67222000000000004</v>
      </c>
    </row>
    <row r="225" spans="2:34" x14ac:dyDescent="0.2">
      <c r="B225" t="s">
        <v>489</v>
      </c>
      <c r="C225" t="s">
        <v>882</v>
      </c>
      <c r="D225" t="s">
        <v>947</v>
      </c>
      <c r="F225">
        <v>342.39100000000002</v>
      </c>
      <c r="G225">
        <v>414.51599999999996</v>
      </c>
      <c r="H225">
        <v>211.78100000000001</v>
      </c>
      <c r="I225">
        <v>312.31299999999999</v>
      </c>
      <c r="R225">
        <v>349.57000000000005</v>
      </c>
      <c r="S225">
        <v>418.27</v>
      </c>
      <c r="T225">
        <v>209.13</v>
      </c>
      <c r="U225">
        <v>319.01</v>
      </c>
      <c r="AC225">
        <f>SUMPRODUCT(DB_SOFProject[[#This Row],[Plan01]:[Plan12]],$E$4:$P$4)/valUnits2</f>
        <v>1.2810009999999998</v>
      </c>
      <c r="AD225">
        <f>SUMPRODUCT(DB_SOFProject[[#This Row],[Act01]:[Act12]],$Q$4:$AB$4)/valUnits2</f>
        <v>1.2959799999999999</v>
      </c>
      <c r="AE225">
        <f>DB_SOFProject[[#This Row],[Actual]]-DB_SOFProject[[#This Row],[Plan]]</f>
        <v>1.4979000000000076E-2</v>
      </c>
      <c r="AF225" s="32">
        <f>IF(DB_SOFProject[[#This Row],[Plan]]&lt;&gt;0,DB_SOFProject[[#This Row],[Actual]]/DB_SOFProject[[#This Row],[Plan]],1.000011000011)</f>
        <v>1.0116931993027329</v>
      </c>
      <c r="AG225" s="34">
        <f>SUM(DB_SOFProject[[#This Row],[Plan01]:[Plan12]])/valUnits2</f>
        <v>1.2810009999999998</v>
      </c>
      <c r="AH225" s="34">
        <f>SUMPRODUCT(DB_SOFProject[[#This Row],[Act01]:[Act12]],$Q$3:$AB$3)/valUnits2</f>
        <v>1.2959799999999999</v>
      </c>
    </row>
    <row r="226" spans="2:34" x14ac:dyDescent="0.2">
      <c r="B226" t="s">
        <v>489</v>
      </c>
      <c r="C226" t="s">
        <v>882</v>
      </c>
      <c r="D226" t="s">
        <v>959</v>
      </c>
      <c r="E226">
        <v>586.077</v>
      </c>
      <c r="F226">
        <v>619.72500000000002</v>
      </c>
      <c r="G226">
        <v>1026.577</v>
      </c>
      <c r="H226">
        <v>686.64599999999996</v>
      </c>
      <c r="I226">
        <v>625.90899999999999</v>
      </c>
      <c r="J226">
        <v>434.76800000000003</v>
      </c>
      <c r="K226">
        <v>108.69199999999999</v>
      </c>
      <c r="L226">
        <v>108.69199999999999</v>
      </c>
      <c r="M226">
        <v>434.76800000000003</v>
      </c>
      <c r="N226">
        <v>108.69199999999999</v>
      </c>
      <c r="O226">
        <v>108.69199999999999</v>
      </c>
      <c r="P226">
        <v>434.76800000000003</v>
      </c>
      <c r="Q226">
        <v>577.41</v>
      </c>
      <c r="R226">
        <v>632.72</v>
      </c>
      <c r="S226">
        <v>1035.8699999999999</v>
      </c>
      <c r="T226">
        <v>682.73</v>
      </c>
      <c r="U226">
        <v>618.32000000000005</v>
      </c>
      <c r="V226">
        <v>850.67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f>SUMPRODUCT(DB_SOFProject[[#This Row],[Plan01]:[Plan12]],$E$4:$P$4)/valUnits2</f>
        <v>3.9797019999999996</v>
      </c>
      <c r="AD226">
        <f>SUMPRODUCT(DB_SOFProject[[#This Row],[Act01]:[Act12]],$Q$4:$AB$4)/valUnits2</f>
        <v>4.3977200000000005</v>
      </c>
      <c r="AE226">
        <f>DB_SOFProject[[#This Row],[Actual]]-DB_SOFProject[[#This Row],[Plan]]</f>
        <v>0.41801800000000089</v>
      </c>
      <c r="AF226" s="32">
        <f>IF(DB_SOFProject[[#This Row],[Plan]]&lt;&gt;0,DB_SOFProject[[#This Row],[Actual]]/DB_SOFProject[[#This Row],[Plan]],1.000011000011)</f>
        <v>1.1050375128590033</v>
      </c>
      <c r="AG226" s="34">
        <f>SUM(DB_SOFProject[[#This Row],[Plan01]:[Plan12]])/valUnits2</f>
        <v>5.2840059999999998</v>
      </c>
      <c r="AH226" s="34">
        <f>SUMPRODUCT(DB_SOFProject[[#This Row],[Act01]:[Act12]],$Q$3:$AB$3)/valUnits2</f>
        <v>4.3977200000000005</v>
      </c>
    </row>
    <row r="227" spans="2:34" x14ac:dyDescent="0.2">
      <c r="B227" t="s">
        <v>489</v>
      </c>
      <c r="C227" t="s">
        <v>882</v>
      </c>
      <c r="D227" t="s">
        <v>975</v>
      </c>
      <c r="E227">
        <v>366.65199999999999</v>
      </c>
      <c r="F227">
        <v>401.108</v>
      </c>
      <c r="G227">
        <v>446.80499999999995</v>
      </c>
      <c r="H227">
        <v>2600.9019999999996</v>
      </c>
      <c r="I227">
        <v>1612.5619999999999</v>
      </c>
      <c r="J227">
        <v>3962.6240000000003</v>
      </c>
      <c r="K227">
        <v>3962.6240000000003</v>
      </c>
      <c r="L227">
        <v>3962.6240000000003</v>
      </c>
      <c r="M227">
        <v>3962.6240000000003</v>
      </c>
      <c r="N227">
        <v>3962.6240000000007</v>
      </c>
      <c r="O227">
        <v>3962.6240000000003</v>
      </c>
      <c r="P227">
        <v>3962.6240000000003</v>
      </c>
      <c r="Q227">
        <v>361.23</v>
      </c>
      <c r="R227">
        <v>409.52</v>
      </c>
      <c r="S227">
        <v>450.84999999999997</v>
      </c>
      <c r="T227">
        <v>2589.4699999999998</v>
      </c>
      <c r="U227">
        <v>1603.8799999999999</v>
      </c>
      <c r="V227">
        <v>951.9899999999999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f>SUMPRODUCT(DB_SOFProject[[#This Row],[Plan01]:[Plan12]],$E$4:$P$4)/valUnits2</f>
        <v>9.3906530000000004</v>
      </c>
      <c r="AD227">
        <f>SUMPRODUCT(DB_SOFProject[[#This Row],[Act01]:[Act12]],$Q$4:$AB$4)/valUnits2</f>
        <v>6.3669399999999996</v>
      </c>
      <c r="AE227">
        <f>DB_SOFProject[[#This Row],[Actual]]-DB_SOFProject[[#This Row],[Plan]]</f>
        <v>-3.0237130000000008</v>
      </c>
      <c r="AF227" s="32">
        <f>IF(DB_SOFProject[[#This Row],[Plan]]&lt;&gt;0,DB_SOFProject[[#This Row],[Actual]]/DB_SOFProject[[#This Row],[Plan]],1.000011000011)</f>
        <v>0.67800822796881099</v>
      </c>
      <c r="AG227" s="34">
        <f>SUM(DB_SOFProject[[#This Row],[Plan01]:[Plan12]])/valUnits2</f>
        <v>33.166397000000003</v>
      </c>
      <c r="AH227" s="34">
        <f>SUMPRODUCT(DB_SOFProject[[#This Row],[Act01]:[Act12]],$Q$3:$AB$3)/valUnits2</f>
        <v>6.3669399999999996</v>
      </c>
    </row>
    <row r="228" spans="2:34" x14ac:dyDescent="0.2">
      <c r="B228" t="s">
        <v>489</v>
      </c>
      <c r="C228" t="s">
        <v>882</v>
      </c>
      <c r="D228" t="s">
        <v>980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164.34200000000001</v>
      </c>
      <c r="K228">
        <v>164.34200000000001</v>
      </c>
      <c r="L228">
        <v>164.34200000000001</v>
      </c>
      <c r="M228">
        <v>164.34200000000001</v>
      </c>
      <c r="N228">
        <v>164.34200000000001</v>
      </c>
      <c r="O228">
        <v>164.34200000000001</v>
      </c>
      <c r="P228">
        <v>164.34200000000001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f>SUMPRODUCT(DB_SOFProject[[#This Row],[Plan01]:[Plan12]],$E$4:$P$4)/valUnits2</f>
        <v>0.16434200000000002</v>
      </c>
      <c r="AD228">
        <f>SUMPRODUCT(DB_SOFProject[[#This Row],[Act01]:[Act12]],$Q$4:$AB$4)/valUnits2</f>
        <v>0</v>
      </c>
      <c r="AE228">
        <f>DB_SOFProject[[#This Row],[Actual]]-DB_SOFProject[[#This Row],[Plan]]</f>
        <v>-0.16434200000000002</v>
      </c>
      <c r="AF228" s="32">
        <f>IF(DB_SOFProject[[#This Row],[Plan]]&lt;&gt;0,DB_SOFProject[[#This Row],[Actual]]/DB_SOFProject[[#This Row],[Plan]],1.000011000011)</f>
        <v>0</v>
      </c>
      <c r="AG228" s="34">
        <f>SUM(DB_SOFProject[[#This Row],[Plan01]:[Plan12]])/valUnits2</f>
        <v>1.1503939999999999</v>
      </c>
      <c r="AH228" s="34">
        <f>SUMPRODUCT(DB_SOFProject[[#This Row],[Act01]:[Act12]],$Q$3:$AB$3)/valUnits2</f>
        <v>0</v>
      </c>
    </row>
    <row r="229" spans="2:34" x14ac:dyDescent="0.2">
      <c r="B229" t="s">
        <v>489</v>
      </c>
      <c r="C229" t="s">
        <v>882</v>
      </c>
      <c r="D229" t="s">
        <v>984</v>
      </c>
      <c r="E229">
        <v>399.35500000000002</v>
      </c>
      <c r="H229">
        <v>694.07400000000007</v>
      </c>
      <c r="I229">
        <v>862.42700000000002</v>
      </c>
      <c r="J229">
        <v>0</v>
      </c>
      <c r="Q229">
        <v>393.45</v>
      </c>
      <c r="T229">
        <v>688.18999999999994</v>
      </c>
      <c r="U229">
        <v>866.81999999999994</v>
      </c>
      <c r="V229">
        <v>476.15000000000003</v>
      </c>
      <c r="AC229">
        <f>SUMPRODUCT(DB_SOFProject[[#This Row],[Plan01]:[Plan12]],$E$4:$P$4)/valUnits2</f>
        <v>1.9558560000000003</v>
      </c>
      <c r="AD229">
        <f>SUMPRODUCT(DB_SOFProject[[#This Row],[Act01]:[Act12]],$Q$4:$AB$4)/valUnits2</f>
        <v>2.4246099999999995</v>
      </c>
      <c r="AE229">
        <f>DB_SOFProject[[#This Row],[Actual]]-DB_SOFProject[[#This Row],[Plan]]</f>
        <v>0.46875399999999923</v>
      </c>
      <c r="AF229" s="32">
        <f>IF(DB_SOFProject[[#This Row],[Plan]]&lt;&gt;0,DB_SOFProject[[#This Row],[Actual]]/DB_SOFProject[[#This Row],[Plan]],1.000011000011)</f>
        <v>1.2396669284446293</v>
      </c>
      <c r="AG229" s="34">
        <f>SUM(DB_SOFProject[[#This Row],[Plan01]:[Plan12]])/valUnits2</f>
        <v>1.9558560000000003</v>
      </c>
      <c r="AH229" s="34">
        <f>SUMPRODUCT(DB_SOFProject[[#This Row],[Act01]:[Act12]],$Q$3:$AB$3)/valUnits2</f>
        <v>2.4246099999999995</v>
      </c>
    </row>
    <row r="230" spans="2:34" x14ac:dyDescent="0.2">
      <c r="B230" t="s">
        <v>489</v>
      </c>
      <c r="C230" t="s">
        <v>882</v>
      </c>
      <c r="D230" t="s">
        <v>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929.96900000000005</v>
      </c>
      <c r="K230">
        <v>929.96900000000005</v>
      </c>
      <c r="L230">
        <v>929.96900000000005</v>
      </c>
      <c r="M230">
        <v>929.96900000000005</v>
      </c>
      <c r="N230">
        <v>929.96900000000005</v>
      </c>
      <c r="O230">
        <v>929.96900000000005</v>
      </c>
      <c r="P230">
        <v>929.96900000000005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f>SUMPRODUCT(DB_SOFProject[[#This Row],[Plan01]:[Plan12]],$E$4:$P$4)/valUnits2</f>
        <v>0.92996900000000005</v>
      </c>
      <c r="AD230">
        <f>SUMPRODUCT(DB_SOFProject[[#This Row],[Act01]:[Act12]],$Q$4:$AB$4)/valUnits2</f>
        <v>0</v>
      </c>
      <c r="AE230">
        <f>DB_SOFProject[[#This Row],[Actual]]-DB_SOFProject[[#This Row],[Plan]]</f>
        <v>-0.92996900000000005</v>
      </c>
      <c r="AF230" s="32">
        <f>IF(DB_SOFProject[[#This Row],[Plan]]&lt;&gt;0,DB_SOFProject[[#This Row],[Actual]]/DB_SOFProject[[#This Row],[Plan]],1.000011000011)</f>
        <v>0</v>
      </c>
      <c r="AG230" s="34">
        <f>SUM(DB_SOFProject[[#This Row],[Plan01]:[Plan12]])/valUnits2</f>
        <v>6.5097830000000005</v>
      </c>
      <c r="AH230" s="34">
        <f>SUMPRODUCT(DB_SOFProject[[#This Row],[Act01]:[Act12]],$Q$3:$AB$3)/valUnits2</f>
        <v>0</v>
      </c>
    </row>
    <row r="231" spans="2:34" x14ac:dyDescent="0.2">
      <c r="B231" t="s">
        <v>489</v>
      </c>
      <c r="C231" t="s">
        <v>883</v>
      </c>
      <c r="D231" t="s">
        <v>946</v>
      </c>
      <c r="F231">
        <v>231.935</v>
      </c>
      <c r="H231">
        <v>1352.0159999999998</v>
      </c>
      <c r="I231">
        <v>589.33600000000001</v>
      </c>
      <c r="J231">
        <v>0</v>
      </c>
      <c r="R231">
        <v>237.1</v>
      </c>
      <c r="T231">
        <v>1341.74</v>
      </c>
      <c r="U231">
        <v>592.81999999999994</v>
      </c>
      <c r="V231">
        <v>428.34000000000003</v>
      </c>
      <c r="AC231">
        <f>SUMPRODUCT(DB_SOFProject[[#This Row],[Plan01]:[Plan12]],$E$4:$P$4)/valUnits2</f>
        <v>2.1732869999999997</v>
      </c>
      <c r="AD231">
        <f>SUMPRODUCT(DB_SOFProject[[#This Row],[Act01]:[Act12]],$Q$4:$AB$4)/valUnits2</f>
        <v>2.6</v>
      </c>
      <c r="AE231">
        <f>DB_SOFProject[[#This Row],[Actual]]-DB_SOFProject[[#This Row],[Plan]]</f>
        <v>0.42671300000000034</v>
      </c>
      <c r="AF231" s="32">
        <f>IF(DB_SOFProject[[#This Row],[Plan]]&lt;&gt;0,DB_SOFProject[[#This Row],[Actual]]/DB_SOFProject[[#This Row],[Plan]],1.000011000011)</f>
        <v>1.196344523295819</v>
      </c>
      <c r="AG231" s="34">
        <f>SUM(DB_SOFProject[[#This Row],[Plan01]:[Plan12]])/valUnits2</f>
        <v>2.1732869999999997</v>
      </c>
      <c r="AH231" s="34">
        <f>SUMPRODUCT(DB_SOFProject[[#This Row],[Act01]:[Act12]],$Q$3:$AB$3)/valUnits2</f>
        <v>2.6</v>
      </c>
    </row>
    <row r="232" spans="2:34" x14ac:dyDescent="0.2">
      <c r="B232" t="s">
        <v>489</v>
      </c>
      <c r="C232" t="s">
        <v>883</v>
      </c>
      <c r="D232" t="s">
        <v>947</v>
      </c>
      <c r="F232">
        <v>341.95600000000002</v>
      </c>
      <c r="H232">
        <v>214.506</v>
      </c>
      <c r="I232">
        <v>306.57100000000003</v>
      </c>
      <c r="R232">
        <v>349.57000000000005</v>
      </c>
      <c r="T232">
        <v>209.13</v>
      </c>
      <c r="U232">
        <v>319.01</v>
      </c>
      <c r="AC232">
        <f>SUMPRODUCT(DB_SOFProject[[#This Row],[Plan01]:[Plan12]],$E$4:$P$4)/valUnits2</f>
        <v>0.86303300000000005</v>
      </c>
      <c r="AD232">
        <f>SUMPRODUCT(DB_SOFProject[[#This Row],[Act01]:[Act12]],$Q$4:$AB$4)/valUnits2</f>
        <v>0.87770999999999999</v>
      </c>
      <c r="AE232">
        <f>DB_SOFProject[[#This Row],[Actual]]-DB_SOFProject[[#This Row],[Plan]]</f>
        <v>1.467699999999994E-2</v>
      </c>
      <c r="AF232" s="32">
        <f>IF(DB_SOFProject[[#This Row],[Plan]]&lt;&gt;0,DB_SOFProject[[#This Row],[Actual]]/DB_SOFProject[[#This Row],[Plan]],1.000011000011)</f>
        <v>1.0170063021923843</v>
      </c>
      <c r="AG232" s="34">
        <f>SUM(DB_SOFProject[[#This Row],[Plan01]:[Plan12]])/valUnits2</f>
        <v>0.86303300000000005</v>
      </c>
      <c r="AH232" s="34">
        <f>SUMPRODUCT(DB_SOFProject[[#This Row],[Act01]:[Act12]],$Q$3:$AB$3)/valUnits2</f>
        <v>0.87770999999999999</v>
      </c>
    </row>
    <row r="233" spans="2:34" x14ac:dyDescent="0.2">
      <c r="B233" t="s">
        <v>489</v>
      </c>
      <c r="C233" t="s">
        <v>883</v>
      </c>
      <c r="D233" t="s">
        <v>959</v>
      </c>
      <c r="E233">
        <v>0</v>
      </c>
      <c r="F233">
        <v>1075.6590000000001</v>
      </c>
      <c r="G233">
        <v>134.13900000000001</v>
      </c>
      <c r="H233">
        <v>3066.9230000000002</v>
      </c>
      <c r="I233">
        <v>1411.761</v>
      </c>
      <c r="J233">
        <v>841.81</v>
      </c>
      <c r="K233">
        <v>841.81</v>
      </c>
      <c r="L233">
        <v>841.81</v>
      </c>
      <c r="M233">
        <v>836.08299999999997</v>
      </c>
      <c r="N233">
        <v>836.08299999999997</v>
      </c>
      <c r="O233">
        <v>836.08299999999997</v>
      </c>
      <c r="P233">
        <v>836.08299999999997</v>
      </c>
      <c r="Q233">
        <v>0</v>
      </c>
      <c r="R233">
        <v>1099.6100000000001</v>
      </c>
      <c r="S233">
        <v>133.39000000000001</v>
      </c>
      <c r="T233">
        <v>3059.3599999999997</v>
      </c>
      <c r="U233">
        <v>1412.12</v>
      </c>
      <c r="V233">
        <v>1204.4299999999998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f>SUMPRODUCT(DB_SOFProject[[#This Row],[Plan01]:[Plan12]],$E$4:$P$4)/valUnits2</f>
        <v>6.5302919999999993</v>
      </c>
      <c r="AD233">
        <f>SUMPRODUCT(DB_SOFProject[[#This Row],[Act01]:[Act12]],$Q$4:$AB$4)/valUnits2</f>
        <v>6.9089099999999997</v>
      </c>
      <c r="AE233">
        <f>DB_SOFProject[[#This Row],[Actual]]-DB_SOFProject[[#This Row],[Plan]]</f>
        <v>0.37861800000000034</v>
      </c>
      <c r="AF233" s="32">
        <f>IF(DB_SOFProject[[#This Row],[Plan]]&lt;&gt;0,DB_SOFProject[[#This Row],[Actual]]/DB_SOFProject[[#This Row],[Plan]],1.000011000011)</f>
        <v>1.0579787243816969</v>
      </c>
      <c r="AG233" s="34">
        <f>SUM(DB_SOFProject[[#This Row],[Plan01]:[Plan12]])/valUnits2</f>
        <v>11.558244</v>
      </c>
      <c r="AH233" s="34">
        <f>SUMPRODUCT(DB_SOFProject[[#This Row],[Act01]:[Act12]],$Q$3:$AB$3)/valUnits2</f>
        <v>6.9089099999999997</v>
      </c>
    </row>
    <row r="234" spans="2:34" x14ac:dyDescent="0.2">
      <c r="B234" t="s">
        <v>489</v>
      </c>
      <c r="C234" t="s">
        <v>883</v>
      </c>
      <c r="D234" t="s">
        <v>975</v>
      </c>
      <c r="E234">
        <v>0</v>
      </c>
      <c r="F234">
        <v>335.20499999999998</v>
      </c>
      <c r="H234">
        <v>2404.3599999999997</v>
      </c>
      <c r="I234">
        <v>2032.6930000000002</v>
      </c>
      <c r="J234">
        <v>888.42</v>
      </c>
      <c r="K234">
        <v>888.42</v>
      </c>
      <c r="L234">
        <v>888.42</v>
      </c>
      <c r="M234">
        <v>882.37399999999991</v>
      </c>
      <c r="N234">
        <v>882.37399999999991</v>
      </c>
      <c r="O234">
        <v>882.37399999999991</v>
      </c>
      <c r="P234">
        <v>882.37399999999991</v>
      </c>
      <c r="Q234">
        <v>0</v>
      </c>
      <c r="R234">
        <v>342.67</v>
      </c>
      <c r="T234">
        <v>2394.3599999999997</v>
      </c>
      <c r="U234">
        <v>2048.8900000000003</v>
      </c>
      <c r="V234">
        <v>255.78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f>SUMPRODUCT(DB_SOFProject[[#This Row],[Plan01]:[Plan12]],$E$4:$P$4)/valUnits2</f>
        <v>5.6606779999999999</v>
      </c>
      <c r="AD234">
        <f>SUMPRODUCT(DB_SOFProject[[#This Row],[Act01]:[Act12]],$Q$4:$AB$4)/valUnits2</f>
        <v>5.0416999999999996</v>
      </c>
      <c r="AE234">
        <f>DB_SOFProject[[#This Row],[Actual]]-DB_SOFProject[[#This Row],[Plan]]</f>
        <v>-0.61897800000000025</v>
      </c>
      <c r="AF234" s="32">
        <f>IF(DB_SOFProject[[#This Row],[Plan]]&lt;&gt;0,DB_SOFProject[[#This Row],[Actual]]/DB_SOFProject[[#This Row],[Plan]],1.000011000011)</f>
        <v>0.89065302778218436</v>
      </c>
      <c r="AG234" s="34">
        <f>SUM(DB_SOFProject[[#This Row],[Plan01]:[Plan12]])/valUnits2</f>
        <v>10.967013999999999</v>
      </c>
      <c r="AH234" s="34">
        <f>SUMPRODUCT(DB_SOFProject[[#This Row],[Act01]:[Act12]],$Q$3:$AB$3)/valUnits2</f>
        <v>5.0416999999999996</v>
      </c>
    </row>
    <row r="235" spans="2:34" x14ac:dyDescent="0.2">
      <c r="B235" t="s">
        <v>489</v>
      </c>
      <c r="C235" t="s">
        <v>883</v>
      </c>
      <c r="D235" t="s">
        <v>976</v>
      </c>
      <c r="E235">
        <v>0</v>
      </c>
      <c r="F235">
        <v>555.24599999999998</v>
      </c>
      <c r="H235">
        <v>1388.0320000000002</v>
      </c>
      <c r="I235">
        <v>567.66999999999996</v>
      </c>
      <c r="J235">
        <v>0</v>
      </c>
      <c r="Q235">
        <v>0</v>
      </c>
      <c r="R235">
        <v>567.6099999999999</v>
      </c>
      <c r="T235">
        <v>1385.7900000000002</v>
      </c>
      <c r="U235">
        <v>566.54999999999995</v>
      </c>
      <c r="V235">
        <v>647.07000000000005</v>
      </c>
      <c r="AC235">
        <f>SUMPRODUCT(DB_SOFProject[[#This Row],[Plan01]:[Plan12]],$E$4:$P$4)/valUnits2</f>
        <v>2.5109480000000004</v>
      </c>
      <c r="AD235">
        <f>SUMPRODUCT(DB_SOFProject[[#This Row],[Act01]:[Act12]],$Q$4:$AB$4)/valUnits2</f>
        <v>3.1670199999999999</v>
      </c>
      <c r="AE235">
        <f>DB_SOFProject[[#This Row],[Actual]]-DB_SOFProject[[#This Row],[Plan]]</f>
        <v>0.65607199999999954</v>
      </c>
      <c r="AF235" s="32">
        <f>IF(DB_SOFProject[[#This Row],[Plan]]&lt;&gt;0,DB_SOFProject[[#This Row],[Actual]]/DB_SOFProject[[#This Row],[Plan]],1.000011000011)</f>
        <v>1.2612845825560703</v>
      </c>
      <c r="AG235" s="34">
        <f>SUM(DB_SOFProject[[#This Row],[Plan01]:[Plan12]])/valUnits2</f>
        <v>2.5109480000000004</v>
      </c>
      <c r="AH235" s="34">
        <f>SUMPRODUCT(DB_SOFProject[[#This Row],[Act01]:[Act12]],$Q$3:$AB$3)/valUnits2</f>
        <v>3.1670199999999999</v>
      </c>
    </row>
    <row r="236" spans="2:34" x14ac:dyDescent="0.2">
      <c r="B236" t="s">
        <v>489</v>
      </c>
      <c r="C236" t="s">
        <v>883</v>
      </c>
      <c r="D236" t="s">
        <v>980</v>
      </c>
      <c r="E236">
        <v>0</v>
      </c>
      <c r="F236">
        <v>406.47899999999998</v>
      </c>
      <c r="G236">
        <v>0</v>
      </c>
      <c r="H236">
        <v>641.94499999999994</v>
      </c>
      <c r="I236">
        <v>595.91499999999996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415.53000000000003</v>
      </c>
      <c r="S236">
        <v>0</v>
      </c>
      <c r="T236">
        <v>634.97</v>
      </c>
      <c r="U236">
        <v>601.46</v>
      </c>
      <c r="V236">
        <v>445.99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f>SUMPRODUCT(DB_SOFProject[[#This Row],[Plan01]:[Plan12]],$E$4:$P$4)/valUnits2</f>
        <v>1.644339</v>
      </c>
      <c r="AD236">
        <f>SUMPRODUCT(DB_SOFProject[[#This Row],[Act01]:[Act12]],$Q$4:$AB$4)/valUnits2</f>
        <v>2.09795</v>
      </c>
      <c r="AE236">
        <f>DB_SOFProject[[#This Row],[Actual]]-DB_SOFProject[[#This Row],[Plan]]</f>
        <v>0.45361099999999999</v>
      </c>
      <c r="AF236" s="32">
        <f>IF(DB_SOFProject[[#This Row],[Plan]]&lt;&gt;0,DB_SOFProject[[#This Row],[Actual]]/DB_SOFProject[[#This Row],[Plan]],1.000011000011)</f>
        <v>1.2758622157596458</v>
      </c>
      <c r="AG236" s="34">
        <f>SUM(DB_SOFProject[[#This Row],[Plan01]:[Plan12]])/valUnits2</f>
        <v>1.644339</v>
      </c>
      <c r="AH236" s="34">
        <f>SUMPRODUCT(DB_SOFProject[[#This Row],[Act01]:[Act12]],$Q$3:$AB$3)/valUnits2</f>
        <v>2.09795</v>
      </c>
    </row>
    <row r="237" spans="2:34" x14ac:dyDescent="0.2">
      <c r="B237" t="s">
        <v>489</v>
      </c>
      <c r="C237" t="s">
        <v>883</v>
      </c>
      <c r="D237" t="s">
        <v>984</v>
      </c>
      <c r="E237">
        <v>61.866999999999997</v>
      </c>
      <c r="F237">
        <v>1155.296</v>
      </c>
      <c r="H237">
        <v>2712.2809999999999</v>
      </c>
      <c r="I237">
        <v>1213.635</v>
      </c>
      <c r="J237">
        <v>0</v>
      </c>
      <c r="Q237">
        <v>62.19</v>
      </c>
      <c r="R237">
        <v>1181.02</v>
      </c>
      <c r="T237">
        <v>2656.9</v>
      </c>
      <c r="U237">
        <v>1211.24</v>
      </c>
      <c r="V237">
        <v>1324.36</v>
      </c>
      <c r="AC237">
        <f>SUMPRODUCT(DB_SOFProject[[#This Row],[Plan01]:[Plan12]],$E$4:$P$4)/valUnits2</f>
        <v>5.1430789999999993</v>
      </c>
      <c r="AD237">
        <f>SUMPRODUCT(DB_SOFProject[[#This Row],[Act01]:[Act12]],$Q$4:$AB$4)/valUnits2</f>
        <v>6.4357100000000003</v>
      </c>
      <c r="AE237">
        <f>DB_SOFProject[[#This Row],[Actual]]-DB_SOFProject[[#This Row],[Plan]]</f>
        <v>1.292631000000001</v>
      </c>
      <c r="AF237" s="32">
        <f>IF(DB_SOFProject[[#This Row],[Plan]]&lt;&gt;0,DB_SOFProject[[#This Row],[Actual]]/DB_SOFProject[[#This Row],[Plan]],1.000011000011)</f>
        <v>1.2513340743939576</v>
      </c>
      <c r="AG237" s="34">
        <f>SUM(DB_SOFProject[[#This Row],[Plan01]:[Plan12]])/valUnits2</f>
        <v>5.1430789999999993</v>
      </c>
      <c r="AH237" s="34">
        <f>SUMPRODUCT(DB_SOFProject[[#This Row],[Act01]:[Act12]],$Q$3:$AB$3)/valUnits2</f>
        <v>6.4357100000000003</v>
      </c>
    </row>
    <row r="238" spans="2:34" x14ac:dyDescent="0.2">
      <c r="B238" t="s">
        <v>489</v>
      </c>
      <c r="C238" t="s">
        <v>883</v>
      </c>
      <c r="D238" t="s">
        <v>999</v>
      </c>
      <c r="E238">
        <v>0</v>
      </c>
      <c r="F238">
        <v>150.25399999999999</v>
      </c>
      <c r="H238">
        <v>846.12</v>
      </c>
      <c r="I238">
        <v>285.09100000000001</v>
      </c>
      <c r="J238">
        <v>903.40200000000004</v>
      </c>
      <c r="K238">
        <v>903.40200000000004</v>
      </c>
      <c r="L238">
        <v>903.40200000000004</v>
      </c>
      <c r="M238">
        <v>897.255</v>
      </c>
      <c r="N238">
        <v>897.255</v>
      </c>
      <c r="O238">
        <v>897.255</v>
      </c>
      <c r="P238">
        <v>897.255</v>
      </c>
      <c r="Q238">
        <v>0</v>
      </c>
      <c r="R238">
        <v>153.6</v>
      </c>
      <c r="T238">
        <v>846.76</v>
      </c>
      <c r="U238">
        <v>290.26</v>
      </c>
      <c r="V238">
        <v>171.43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f>SUMPRODUCT(DB_SOFProject[[#This Row],[Plan01]:[Plan12]],$E$4:$P$4)/valUnits2</f>
        <v>2.1848670000000001</v>
      </c>
      <c r="AD238">
        <f>SUMPRODUCT(DB_SOFProject[[#This Row],[Act01]:[Act12]],$Q$4:$AB$4)/valUnits2</f>
        <v>1.4620499999999998</v>
      </c>
      <c r="AE238">
        <f>DB_SOFProject[[#This Row],[Actual]]-DB_SOFProject[[#This Row],[Plan]]</f>
        <v>-0.72281700000000026</v>
      </c>
      <c r="AF238" s="32">
        <f>IF(DB_SOFProject[[#This Row],[Plan]]&lt;&gt;0,DB_SOFProject[[#This Row],[Actual]]/DB_SOFProject[[#This Row],[Plan]],1.000011000011)</f>
        <v>0.66917116694059631</v>
      </c>
      <c r="AG238" s="34">
        <f>SUM(DB_SOFProject[[#This Row],[Plan01]:[Plan12]])/valUnits2</f>
        <v>7.5806910000000007</v>
      </c>
      <c r="AH238" s="34">
        <f>SUMPRODUCT(DB_SOFProject[[#This Row],[Act01]:[Act12]],$Q$3:$AB$3)/valUnits2</f>
        <v>1.4620499999999998</v>
      </c>
    </row>
    <row r="239" spans="2:34" x14ac:dyDescent="0.2">
      <c r="B239" t="s">
        <v>489</v>
      </c>
      <c r="C239" t="s">
        <v>884</v>
      </c>
      <c r="D239" t="s">
        <v>959</v>
      </c>
      <c r="E239">
        <v>5000</v>
      </c>
      <c r="F239">
        <v>5000</v>
      </c>
      <c r="G239">
        <v>5000</v>
      </c>
      <c r="H239">
        <v>5000</v>
      </c>
      <c r="I239">
        <v>5000</v>
      </c>
      <c r="J239">
        <v>5000</v>
      </c>
      <c r="K239">
        <v>5000</v>
      </c>
      <c r="L239">
        <v>5000</v>
      </c>
      <c r="M239">
        <v>5000</v>
      </c>
      <c r="N239">
        <v>5000</v>
      </c>
      <c r="O239">
        <v>5000</v>
      </c>
      <c r="P239">
        <v>5000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f>SUMPRODUCT(DB_SOFProject[[#This Row],[Plan01]:[Plan12]],$E$4:$P$4)/valUnits2</f>
        <v>30</v>
      </c>
      <c r="AD239">
        <f>SUMPRODUCT(DB_SOFProject[[#This Row],[Act01]:[Act12]],$Q$4:$AB$4)/valUnits2</f>
        <v>0</v>
      </c>
      <c r="AE239">
        <f>DB_SOFProject[[#This Row],[Actual]]-DB_SOFProject[[#This Row],[Plan]]</f>
        <v>-30</v>
      </c>
      <c r="AF239" s="32">
        <f>IF(DB_SOFProject[[#This Row],[Plan]]&lt;&gt;0,DB_SOFProject[[#This Row],[Actual]]/DB_SOFProject[[#This Row],[Plan]],1.000011000011)</f>
        <v>0</v>
      </c>
      <c r="AG239" s="34">
        <f>SUM(DB_SOFProject[[#This Row],[Plan01]:[Plan12]])/valUnits2</f>
        <v>60</v>
      </c>
      <c r="AH239" s="34">
        <f>SUMPRODUCT(DB_SOFProject[[#This Row],[Act01]:[Act12]],$Q$3:$AB$3)/valUnits2</f>
        <v>0</v>
      </c>
    </row>
    <row r="240" spans="2:34" x14ac:dyDescent="0.2">
      <c r="B240" t="s">
        <v>489</v>
      </c>
      <c r="C240" t="s">
        <v>884</v>
      </c>
      <c r="D240" t="s">
        <v>990</v>
      </c>
      <c r="E240">
        <v>4166.6670000000004</v>
      </c>
      <c r="F240">
        <v>4166.6670000000004</v>
      </c>
      <c r="G240">
        <v>4166.6670000000004</v>
      </c>
      <c r="H240">
        <v>4166.6670000000004</v>
      </c>
      <c r="I240">
        <v>4166.6670000000004</v>
      </c>
      <c r="J240">
        <v>4166.6670000000004</v>
      </c>
      <c r="K240">
        <v>4166.6670000000004</v>
      </c>
      <c r="L240">
        <v>4166.6670000000004</v>
      </c>
      <c r="M240">
        <v>4166.6670000000004</v>
      </c>
      <c r="N240">
        <v>4166.6670000000004</v>
      </c>
      <c r="O240">
        <v>4166.6670000000004</v>
      </c>
      <c r="P240">
        <v>4166.6670000000004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f>SUMPRODUCT(DB_SOFProject[[#This Row],[Plan01]:[Plan12]],$E$4:$P$4)/valUnits2</f>
        <v>25.000002000000006</v>
      </c>
      <c r="AD240">
        <f>SUMPRODUCT(DB_SOFProject[[#This Row],[Act01]:[Act12]],$Q$4:$AB$4)/valUnits2</f>
        <v>0</v>
      </c>
      <c r="AE240">
        <f>DB_SOFProject[[#This Row],[Actual]]-DB_SOFProject[[#This Row],[Plan]]</f>
        <v>-25.000002000000006</v>
      </c>
      <c r="AF240" s="32">
        <f>IF(DB_SOFProject[[#This Row],[Plan]]&lt;&gt;0,DB_SOFProject[[#This Row],[Actual]]/DB_SOFProject[[#This Row],[Plan]],1.000011000011)</f>
        <v>0</v>
      </c>
      <c r="AG240" s="34">
        <f>SUM(DB_SOFProject[[#This Row],[Plan01]:[Plan12]])/valUnits2</f>
        <v>50.000004000000011</v>
      </c>
      <c r="AH240" s="34">
        <f>SUMPRODUCT(DB_SOFProject[[#This Row],[Act01]:[Act12]],$Q$3:$AB$3)/valUnits2</f>
        <v>0</v>
      </c>
    </row>
    <row r="241" spans="2:34" x14ac:dyDescent="0.2">
      <c r="B241" t="s">
        <v>489</v>
      </c>
      <c r="C241" t="s">
        <v>884</v>
      </c>
      <c r="D241" t="s">
        <v>999</v>
      </c>
      <c r="E241">
        <v>1666.6659999999999</v>
      </c>
      <c r="F241">
        <v>1666.6659999999999</v>
      </c>
      <c r="G241">
        <v>1666.6659999999999</v>
      </c>
      <c r="H241">
        <v>1666.6659999999999</v>
      </c>
      <c r="I241">
        <v>1666.6659999999999</v>
      </c>
      <c r="J241">
        <v>1666.6659999999999</v>
      </c>
      <c r="K241">
        <v>1666.6659999999999</v>
      </c>
      <c r="L241">
        <v>1666.6659999999999</v>
      </c>
      <c r="M241">
        <v>1666.6659999999999</v>
      </c>
      <c r="N241">
        <v>1666.6659999999999</v>
      </c>
      <c r="O241">
        <v>1666.6659999999999</v>
      </c>
      <c r="P241">
        <v>1666.6659999999999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f>SUMPRODUCT(DB_SOFProject[[#This Row],[Plan01]:[Plan12]],$E$4:$P$4)/valUnits2</f>
        <v>9.9999959999999994</v>
      </c>
      <c r="AD241">
        <f>SUMPRODUCT(DB_SOFProject[[#This Row],[Act01]:[Act12]],$Q$4:$AB$4)/valUnits2</f>
        <v>0</v>
      </c>
      <c r="AE241">
        <f>DB_SOFProject[[#This Row],[Actual]]-DB_SOFProject[[#This Row],[Plan]]</f>
        <v>-9.9999959999999994</v>
      </c>
      <c r="AF241" s="32">
        <f>IF(DB_SOFProject[[#This Row],[Plan]]&lt;&gt;0,DB_SOFProject[[#This Row],[Actual]]/DB_SOFProject[[#This Row],[Plan]],1.000011000011)</f>
        <v>0</v>
      </c>
      <c r="AG241" s="34">
        <f>SUM(DB_SOFProject[[#This Row],[Plan01]:[Plan12]])/valUnits2</f>
        <v>19.999991999999999</v>
      </c>
      <c r="AH241" s="34">
        <f>SUMPRODUCT(DB_SOFProject[[#This Row],[Act01]:[Act12]],$Q$3:$AB$3)/valUnits2</f>
        <v>0</v>
      </c>
    </row>
    <row r="242" spans="2:34" x14ac:dyDescent="0.2">
      <c r="B242" t="s">
        <v>489</v>
      </c>
      <c r="C242" t="s">
        <v>885</v>
      </c>
      <c r="D242" t="s">
        <v>946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379.43700000000001</v>
      </c>
      <c r="K242">
        <v>379.43700000000001</v>
      </c>
      <c r="L242">
        <v>379.43700000000001</v>
      </c>
      <c r="M242">
        <v>379.43700000000001</v>
      </c>
      <c r="N242">
        <v>379.43700000000001</v>
      </c>
      <c r="O242">
        <v>379.43700000000001</v>
      </c>
      <c r="P242">
        <v>379.43700000000001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f>SUMPRODUCT(DB_SOFProject[[#This Row],[Plan01]:[Plan12]],$E$4:$P$4)/valUnits2</f>
        <v>0.37943700000000002</v>
      </c>
      <c r="AD242">
        <f>SUMPRODUCT(DB_SOFProject[[#This Row],[Act01]:[Act12]],$Q$4:$AB$4)/valUnits2</f>
        <v>0</v>
      </c>
      <c r="AE242">
        <f>DB_SOFProject[[#This Row],[Actual]]-DB_SOFProject[[#This Row],[Plan]]</f>
        <v>-0.37943700000000002</v>
      </c>
      <c r="AF242" s="32">
        <f>IF(DB_SOFProject[[#This Row],[Plan]]&lt;&gt;0,DB_SOFProject[[#This Row],[Actual]]/DB_SOFProject[[#This Row],[Plan]],1.000011000011)</f>
        <v>0</v>
      </c>
      <c r="AG242" s="34">
        <f>SUM(DB_SOFProject[[#This Row],[Plan01]:[Plan12]])/valUnits2</f>
        <v>2.6560589999999999</v>
      </c>
      <c r="AH242" s="34">
        <f>SUMPRODUCT(DB_SOFProject[[#This Row],[Act01]:[Act12]],$Q$3:$AB$3)/valUnits2</f>
        <v>0</v>
      </c>
    </row>
    <row r="243" spans="2:34" x14ac:dyDescent="0.2">
      <c r="B243" t="s">
        <v>489</v>
      </c>
      <c r="C243" t="s">
        <v>885</v>
      </c>
      <c r="D243" t="s">
        <v>959</v>
      </c>
      <c r="E243">
        <v>21.917000000000002</v>
      </c>
      <c r="F243">
        <v>0</v>
      </c>
      <c r="G243">
        <v>0</v>
      </c>
      <c r="H243">
        <v>0</v>
      </c>
      <c r="I243">
        <v>0</v>
      </c>
      <c r="J243">
        <v>951.12</v>
      </c>
      <c r="K243">
        <v>951.12</v>
      </c>
      <c r="L243">
        <v>951.12</v>
      </c>
      <c r="M243">
        <v>951.12</v>
      </c>
      <c r="N243">
        <v>951.12</v>
      </c>
      <c r="O243">
        <v>951.12</v>
      </c>
      <c r="P243">
        <v>951.12</v>
      </c>
      <c r="Q243">
        <v>21.92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f>SUMPRODUCT(DB_SOFProject[[#This Row],[Plan01]:[Plan12]],$E$4:$P$4)/valUnits2</f>
        <v>0.97303700000000004</v>
      </c>
      <c r="AD243">
        <f>SUMPRODUCT(DB_SOFProject[[#This Row],[Act01]:[Act12]],$Q$4:$AB$4)/valUnits2</f>
        <v>2.1920000000000002E-2</v>
      </c>
      <c r="AE243">
        <f>DB_SOFProject[[#This Row],[Actual]]-DB_SOFProject[[#This Row],[Plan]]</f>
        <v>-0.95111699999999999</v>
      </c>
      <c r="AF243" s="32">
        <f>IF(DB_SOFProject[[#This Row],[Plan]]&lt;&gt;0,DB_SOFProject[[#This Row],[Actual]]/DB_SOFProject[[#This Row],[Plan]],1.000011000011)</f>
        <v>2.2527406460391537E-2</v>
      </c>
      <c r="AG243" s="34">
        <f>SUM(DB_SOFProject[[#This Row],[Plan01]:[Plan12]])/valUnits2</f>
        <v>6.6797569999999995</v>
      </c>
      <c r="AH243" s="34">
        <f>SUMPRODUCT(DB_SOFProject[[#This Row],[Act01]:[Act12]],$Q$3:$AB$3)/valUnits2</f>
        <v>2.1920000000000002E-2</v>
      </c>
    </row>
    <row r="244" spans="2:34" x14ac:dyDescent="0.2">
      <c r="B244" t="s">
        <v>489</v>
      </c>
      <c r="C244" t="s">
        <v>885</v>
      </c>
      <c r="D244" t="s">
        <v>975</v>
      </c>
      <c r="E244">
        <v>0</v>
      </c>
      <c r="F244">
        <v>967.93399999999997</v>
      </c>
      <c r="G244">
        <v>0</v>
      </c>
      <c r="H244">
        <v>6750.2520000000013</v>
      </c>
      <c r="I244">
        <v>3377.1170000000002</v>
      </c>
      <c r="J244">
        <v>1524.069</v>
      </c>
      <c r="K244">
        <v>1524.069</v>
      </c>
      <c r="L244">
        <v>1524.069</v>
      </c>
      <c r="M244">
        <v>1524.069</v>
      </c>
      <c r="N244">
        <v>1524.069</v>
      </c>
      <c r="O244">
        <v>1524.069</v>
      </c>
      <c r="P244">
        <v>1524.069</v>
      </c>
      <c r="Q244">
        <v>0</v>
      </c>
      <c r="R244">
        <v>967.95</v>
      </c>
      <c r="S244">
        <v>0</v>
      </c>
      <c r="T244">
        <v>6714.2499999999991</v>
      </c>
      <c r="U244">
        <v>3383.139999999999</v>
      </c>
      <c r="V244">
        <v>-219.27999999999994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f>SUMPRODUCT(DB_SOFProject[[#This Row],[Plan01]:[Plan12]],$E$4:$P$4)/valUnits2</f>
        <v>12.619372000000002</v>
      </c>
      <c r="AD244">
        <f>SUMPRODUCT(DB_SOFProject[[#This Row],[Act01]:[Act12]],$Q$4:$AB$4)/valUnits2</f>
        <v>10.846059999999998</v>
      </c>
      <c r="AE244">
        <f>DB_SOFProject[[#This Row],[Actual]]-DB_SOFProject[[#This Row],[Plan]]</f>
        <v>-1.7733120000000042</v>
      </c>
      <c r="AF244" s="32">
        <f>IF(DB_SOFProject[[#This Row],[Plan]]&lt;&gt;0,DB_SOFProject[[#This Row],[Actual]]/DB_SOFProject[[#This Row],[Plan]],1.000011000011)</f>
        <v>0.85947700091573465</v>
      </c>
      <c r="AG244" s="34">
        <f>SUM(DB_SOFProject[[#This Row],[Plan01]:[Plan12]])/valUnits2</f>
        <v>21.763786</v>
      </c>
      <c r="AH244" s="34">
        <f>SUMPRODUCT(DB_SOFProject[[#This Row],[Act01]:[Act12]],$Q$3:$AB$3)/valUnits2</f>
        <v>10.846059999999998</v>
      </c>
    </row>
    <row r="245" spans="2:34" x14ac:dyDescent="0.2">
      <c r="B245" t="s">
        <v>489</v>
      </c>
      <c r="C245" t="s">
        <v>885</v>
      </c>
      <c r="D245" t="s">
        <v>980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379.43700000000001</v>
      </c>
      <c r="K245">
        <v>379.43700000000001</v>
      </c>
      <c r="L245">
        <v>379.43700000000001</v>
      </c>
      <c r="M245">
        <v>379.43700000000001</v>
      </c>
      <c r="N245">
        <v>379.43700000000001</v>
      </c>
      <c r="O245">
        <v>379.43700000000001</v>
      </c>
      <c r="P245">
        <v>379.43700000000001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f>SUMPRODUCT(DB_SOFProject[[#This Row],[Plan01]:[Plan12]],$E$4:$P$4)/valUnits2</f>
        <v>0.37943700000000002</v>
      </c>
      <c r="AD245">
        <f>SUMPRODUCT(DB_SOFProject[[#This Row],[Act01]:[Act12]],$Q$4:$AB$4)/valUnits2</f>
        <v>0</v>
      </c>
      <c r="AE245">
        <f>DB_SOFProject[[#This Row],[Actual]]-DB_SOFProject[[#This Row],[Plan]]</f>
        <v>-0.37943700000000002</v>
      </c>
      <c r="AF245" s="32">
        <f>IF(DB_SOFProject[[#This Row],[Plan]]&lt;&gt;0,DB_SOFProject[[#This Row],[Actual]]/DB_SOFProject[[#This Row],[Plan]],1.000011000011)</f>
        <v>0</v>
      </c>
      <c r="AG245" s="34">
        <f>SUM(DB_SOFProject[[#This Row],[Plan01]:[Plan12]])/valUnits2</f>
        <v>2.6560589999999999</v>
      </c>
      <c r="AH245" s="34">
        <f>SUMPRODUCT(DB_SOFProject[[#This Row],[Act01]:[Act12]],$Q$3:$AB$3)/valUnits2</f>
        <v>0</v>
      </c>
    </row>
    <row r="246" spans="2:34" x14ac:dyDescent="0.2">
      <c r="B246" t="s">
        <v>489</v>
      </c>
      <c r="C246" t="s">
        <v>885</v>
      </c>
      <c r="D246" t="s">
        <v>984</v>
      </c>
      <c r="F246">
        <v>295.779</v>
      </c>
      <c r="H246">
        <v>315.64499999999998</v>
      </c>
      <c r="I246">
        <v>1059.7750000000001</v>
      </c>
      <c r="J246">
        <v>0</v>
      </c>
      <c r="R246">
        <v>295.77999999999997</v>
      </c>
      <c r="T246">
        <v>317.41999999999996</v>
      </c>
      <c r="U246">
        <v>1050.54</v>
      </c>
      <c r="V246">
        <v>363.62</v>
      </c>
      <c r="AC246">
        <f>SUMPRODUCT(DB_SOFProject[[#This Row],[Plan01]:[Plan12]],$E$4:$P$4)/valUnits2</f>
        <v>1.6711990000000001</v>
      </c>
      <c r="AD246">
        <f>SUMPRODUCT(DB_SOFProject[[#This Row],[Act01]:[Act12]],$Q$4:$AB$4)/valUnits2</f>
        <v>2.0273599999999998</v>
      </c>
      <c r="AE246">
        <f>DB_SOFProject[[#This Row],[Actual]]-DB_SOFProject[[#This Row],[Plan]]</f>
        <v>0.35616099999999973</v>
      </c>
      <c r="AF246" s="32">
        <f>IF(DB_SOFProject[[#This Row],[Plan]]&lt;&gt;0,DB_SOFProject[[#This Row],[Actual]]/DB_SOFProject[[#This Row],[Plan]],1.000011000011)</f>
        <v>1.2131170494956014</v>
      </c>
      <c r="AG246" s="34">
        <f>SUM(DB_SOFProject[[#This Row],[Plan01]:[Plan12]])/valUnits2</f>
        <v>1.6711990000000001</v>
      </c>
      <c r="AH246" s="34">
        <f>SUMPRODUCT(DB_SOFProject[[#This Row],[Act01]:[Act12]],$Q$3:$AB$3)/valUnits2</f>
        <v>2.0273599999999998</v>
      </c>
    </row>
    <row r="247" spans="2:34" x14ac:dyDescent="0.2">
      <c r="B247" t="s">
        <v>489</v>
      </c>
      <c r="C247" t="s">
        <v>885</v>
      </c>
      <c r="D247" t="s">
        <v>998</v>
      </c>
      <c r="F247">
        <v>1087.171</v>
      </c>
      <c r="G247">
        <v>564.91800000000001</v>
      </c>
      <c r="H247">
        <v>1115.8710000000001</v>
      </c>
      <c r="I247">
        <v>568.17200000000003</v>
      </c>
      <c r="J247">
        <v>0</v>
      </c>
      <c r="K247">
        <v>0</v>
      </c>
      <c r="R247">
        <v>1079.28</v>
      </c>
      <c r="S247">
        <v>561.25</v>
      </c>
      <c r="T247">
        <v>1121.5100000000002</v>
      </c>
      <c r="U247">
        <v>570.87</v>
      </c>
      <c r="V247">
        <v>654.99</v>
      </c>
      <c r="W247">
        <v>3097</v>
      </c>
      <c r="AC247">
        <f>SUMPRODUCT(DB_SOFProject[[#This Row],[Plan01]:[Plan12]],$E$4:$P$4)/valUnits2</f>
        <v>3.3361320000000001</v>
      </c>
      <c r="AD247">
        <f>SUMPRODUCT(DB_SOFProject[[#This Row],[Act01]:[Act12]],$Q$4:$AB$4)/valUnits2</f>
        <v>3.9878999999999998</v>
      </c>
      <c r="AE247">
        <f>DB_SOFProject[[#This Row],[Actual]]-DB_SOFProject[[#This Row],[Plan]]</f>
        <v>0.65176799999999968</v>
      </c>
      <c r="AF247" s="32">
        <f>IF(DB_SOFProject[[#This Row],[Plan]]&lt;&gt;0,DB_SOFProject[[#This Row],[Actual]]/DB_SOFProject[[#This Row],[Plan]],1.000011000011)</f>
        <v>1.1953663703954158</v>
      </c>
      <c r="AG247" s="34">
        <f>SUM(DB_SOFProject[[#This Row],[Plan01]:[Plan12]])/valUnits2</f>
        <v>3.3361320000000001</v>
      </c>
      <c r="AH247" s="34">
        <f>SUMPRODUCT(DB_SOFProject[[#This Row],[Act01]:[Act12]],$Q$3:$AB$3)/valUnits2</f>
        <v>3.9878999999999998</v>
      </c>
    </row>
    <row r="248" spans="2:34" x14ac:dyDescent="0.2">
      <c r="B248" t="s">
        <v>489</v>
      </c>
      <c r="C248" t="s">
        <v>885</v>
      </c>
      <c r="D248" t="s">
        <v>999</v>
      </c>
      <c r="E248">
        <v>0</v>
      </c>
      <c r="F248">
        <v>783.94200000000001</v>
      </c>
      <c r="G248">
        <v>0</v>
      </c>
      <c r="H248">
        <v>3967.855</v>
      </c>
      <c r="I248">
        <v>2246.8139999999999</v>
      </c>
      <c r="J248">
        <v>379.43700000000001</v>
      </c>
      <c r="K248">
        <v>379.43700000000001</v>
      </c>
      <c r="L248">
        <v>379.43700000000001</v>
      </c>
      <c r="M248">
        <v>379.43700000000001</v>
      </c>
      <c r="N248">
        <v>379.43700000000001</v>
      </c>
      <c r="O248">
        <v>379.43700000000001</v>
      </c>
      <c r="P248">
        <v>379.43700000000001</v>
      </c>
      <c r="Q248">
        <v>0</v>
      </c>
      <c r="R248">
        <v>783.93999999999994</v>
      </c>
      <c r="S248">
        <v>0</v>
      </c>
      <c r="T248">
        <v>3956.42</v>
      </c>
      <c r="U248">
        <v>2243.46</v>
      </c>
      <c r="V248">
        <v>1570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f>SUMPRODUCT(DB_SOFProject[[#This Row],[Plan01]:[Plan12]],$E$4:$P$4)/valUnits2</f>
        <v>7.3780480000000006</v>
      </c>
      <c r="AD248">
        <f>SUMPRODUCT(DB_SOFProject[[#This Row],[Act01]:[Act12]],$Q$4:$AB$4)/valUnits2</f>
        <v>8.55382</v>
      </c>
      <c r="AE248">
        <f>DB_SOFProject[[#This Row],[Actual]]-DB_SOFProject[[#This Row],[Plan]]</f>
        <v>1.1757719999999994</v>
      </c>
      <c r="AF248" s="32">
        <f>IF(DB_SOFProject[[#This Row],[Plan]]&lt;&gt;0,DB_SOFProject[[#This Row],[Actual]]/DB_SOFProject[[#This Row],[Plan]],1.000011000011)</f>
        <v>1.1593608499158583</v>
      </c>
      <c r="AG248" s="34">
        <f>SUM(DB_SOFProject[[#This Row],[Plan01]:[Plan12]])/valUnits2</f>
        <v>9.6546699999999994</v>
      </c>
      <c r="AH248" s="34">
        <f>SUMPRODUCT(DB_SOFProject[[#This Row],[Act01]:[Act12]],$Q$3:$AB$3)/valUnits2</f>
        <v>8.55382</v>
      </c>
    </row>
    <row r="249" spans="2:34" x14ac:dyDescent="0.2">
      <c r="B249" t="s">
        <v>489</v>
      </c>
      <c r="C249" t="s">
        <v>886</v>
      </c>
      <c r="D249" t="s">
        <v>975</v>
      </c>
      <c r="H249">
        <v>155.24</v>
      </c>
      <c r="T249">
        <v>154.38</v>
      </c>
      <c r="AC249">
        <f>SUMPRODUCT(DB_SOFProject[[#This Row],[Plan01]:[Plan12]],$E$4:$P$4)/valUnits2</f>
        <v>0.15524000000000002</v>
      </c>
      <c r="AD249">
        <f>SUMPRODUCT(DB_SOFProject[[#This Row],[Act01]:[Act12]],$Q$4:$AB$4)/valUnits2</f>
        <v>0.15437999999999999</v>
      </c>
      <c r="AE249">
        <f>DB_SOFProject[[#This Row],[Actual]]-DB_SOFProject[[#This Row],[Plan]]</f>
        <v>-8.6000000000002741E-4</v>
      </c>
      <c r="AF249" s="32">
        <f>IF(DB_SOFProject[[#This Row],[Plan]]&lt;&gt;0,DB_SOFProject[[#This Row],[Actual]]/DB_SOFProject[[#This Row],[Plan]],1.000011000011)</f>
        <v>0.99446019067250691</v>
      </c>
      <c r="AG249" s="34">
        <f>SUM(DB_SOFProject[[#This Row],[Plan01]:[Plan12]])/valUnits2</f>
        <v>0.15524000000000002</v>
      </c>
      <c r="AH249" s="34">
        <f>SUMPRODUCT(DB_SOFProject[[#This Row],[Act01]:[Act12]],$Q$3:$AB$3)/valUnits2</f>
        <v>0.15437999999999999</v>
      </c>
    </row>
    <row r="250" spans="2:34" x14ac:dyDescent="0.2">
      <c r="B250" t="s">
        <v>489</v>
      </c>
      <c r="C250" t="s">
        <v>887</v>
      </c>
      <c r="D250" t="s">
        <v>959</v>
      </c>
      <c r="H250">
        <v>377.01400000000001</v>
      </c>
      <c r="T250">
        <v>369.3</v>
      </c>
      <c r="AC250">
        <f>SUMPRODUCT(DB_SOFProject[[#This Row],[Plan01]:[Plan12]],$E$4:$P$4)/valUnits2</f>
        <v>0.37701400000000002</v>
      </c>
      <c r="AD250">
        <f>SUMPRODUCT(DB_SOFProject[[#This Row],[Act01]:[Act12]],$Q$4:$AB$4)/valUnits2</f>
        <v>0.36930000000000002</v>
      </c>
      <c r="AE250">
        <f>DB_SOFProject[[#This Row],[Actual]]-DB_SOFProject[[#This Row],[Plan]]</f>
        <v>-7.7139999999999986E-3</v>
      </c>
      <c r="AF250" s="32">
        <f>IF(DB_SOFProject[[#This Row],[Plan]]&lt;&gt;0,DB_SOFProject[[#This Row],[Actual]]/DB_SOFProject[[#This Row],[Plan]],1.000011000011)</f>
        <v>0.97953922135517513</v>
      </c>
      <c r="AG250" s="34">
        <f>SUM(DB_SOFProject[[#This Row],[Plan01]:[Plan12]])/valUnits2</f>
        <v>0.37701400000000002</v>
      </c>
      <c r="AH250" s="34">
        <f>SUMPRODUCT(DB_SOFProject[[#This Row],[Act01]:[Act12]],$Q$3:$AB$3)/valUnits2</f>
        <v>0.36930000000000002</v>
      </c>
    </row>
    <row r="251" spans="2:34" x14ac:dyDescent="0.2">
      <c r="B251" t="s">
        <v>489</v>
      </c>
      <c r="C251" t="s">
        <v>887</v>
      </c>
      <c r="D251" t="s">
        <v>975</v>
      </c>
      <c r="E251">
        <v>0</v>
      </c>
      <c r="F251">
        <v>0</v>
      </c>
      <c r="G251">
        <v>0</v>
      </c>
      <c r="H251">
        <v>0</v>
      </c>
      <c r="I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AC251">
        <f>SUMPRODUCT(DB_SOFProject[[#This Row],[Plan01]:[Plan12]],$E$4:$P$4)/valUnits2</f>
        <v>0</v>
      </c>
      <c r="AD251">
        <f>SUMPRODUCT(DB_SOFProject[[#This Row],[Act01]:[Act12]],$Q$4:$AB$4)/valUnits2</f>
        <v>0</v>
      </c>
      <c r="AE251">
        <f>DB_SOFProject[[#This Row],[Actual]]-DB_SOFProject[[#This Row],[Plan]]</f>
        <v>0</v>
      </c>
      <c r="AF251" s="32">
        <f>IF(DB_SOFProject[[#This Row],[Plan]]&lt;&gt;0,DB_SOFProject[[#This Row],[Actual]]/DB_SOFProject[[#This Row],[Plan]],1.000011000011)</f>
        <v>1.0000110000110001</v>
      </c>
      <c r="AG251" s="34">
        <f>SUM(DB_SOFProject[[#This Row],[Plan01]:[Plan12]])/valUnits2</f>
        <v>0</v>
      </c>
      <c r="AH251" s="34">
        <f>SUMPRODUCT(DB_SOFProject[[#This Row],[Act01]:[Act12]],$Q$3:$AB$3)/valUnits2</f>
        <v>0</v>
      </c>
    </row>
    <row r="252" spans="2:34" x14ac:dyDescent="0.2">
      <c r="B252" t="s">
        <v>489</v>
      </c>
      <c r="C252" t="s">
        <v>887</v>
      </c>
      <c r="D252" t="s">
        <v>999</v>
      </c>
      <c r="E252">
        <v>0</v>
      </c>
      <c r="F252">
        <v>0</v>
      </c>
      <c r="G252">
        <v>0</v>
      </c>
      <c r="Q252">
        <v>0</v>
      </c>
      <c r="R252">
        <v>0</v>
      </c>
      <c r="S252">
        <v>0</v>
      </c>
      <c r="AC252">
        <f>SUMPRODUCT(DB_SOFProject[[#This Row],[Plan01]:[Plan12]],$E$4:$P$4)/valUnits2</f>
        <v>0</v>
      </c>
      <c r="AD252">
        <f>SUMPRODUCT(DB_SOFProject[[#This Row],[Act01]:[Act12]],$Q$4:$AB$4)/valUnits2</f>
        <v>0</v>
      </c>
      <c r="AE252">
        <f>DB_SOFProject[[#This Row],[Actual]]-DB_SOFProject[[#This Row],[Plan]]</f>
        <v>0</v>
      </c>
      <c r="AF252" s="32">
        <f>IF(DB_SOFProject[[#This Row],[Plan]]&lt;&gt;0,DB_SOFProject[[#This Row],[Actual]]/DB_SOFProject[[#This Row],[Plan]],1.000011000011)</f>
        <v>1.0000110000110001</v>
      </c>
      <c r="AG252" s="34">
        <f>SUM(DB_SOFProject[[#This Row],[Plan01]:[Plan12]])/valUnits2</f>
        <v>0</v>
      </c>
      <c r="AH252" s="34">
        <f>SUMPRODUCT(DB_SOFProject[[#This Row],[Act01]:[Act12]],$Q$3:$AB$3)/valUnits2</f>
        <v>0</v>
      </c>
    </row>
    <row r="253" spans="2:34" x14ac:dyDescent="0.2">
      <c r="B253" t="s">
        <v>489</v>
      </c>
      <c r="C253" t="s">
        <v>361</v>
      </c>
      <c r="D253" t="s">
        <v>946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180.71299999999999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AC253">
        <f>SUMPRODUCT(DB_SOFProject[[#This Row],[Plan01]:[Plan12]],$E$4:$P$4)/valUnits2</f>
        <v>0.18071299999999998</v>
      </c>
      <c r="AD253">
        <f>SUMPRODUCT(DB_SOFProject[[#This Row],[Act01]:[Act12]],$Q$4:$AB$4)/valUnits2</f>
        <v>0</v>
      </c>
      <c r="AE253">
        <f>DB_SOFProject[[#This Row],[Actual]]-DB_SOFProject[[#This Row],[Plan]]</f>
        <v>-0.18071299999999998</v>
      </c>
      <c r="AF253" s="32">
        <f>IF(DB_SOFProject[[#This Row],[Plan]]&lt;&gt;0,DB_SOFProject[[#This Row],[Actual]]/DB_SOFProject[[#This Row],[Plan]],1.000011000011)</f>
        <v>0</v>
      </c>
      <c r="AG253" s="34">
        <f>SUM(DB_SOFProject[[#This Row],[Plan01]:[Plan12]])/valUnits2</f>
        <v>0.18071299999999998</v>
      </c>
      <c r="AH253" s="34">
        <f>SUMPRODUCT(DB_SOFProject[[#This Row],[Act01]:[Act12]],$Q$3:$AB$3)/valUnits2</f>
        <v>0</v>
      </c>
    </row>
    <row r="254" spans="2:34" x14ac:dyDescent="0.2">
      <c r="B254" t="s">
        <v>489</v>
      </c>
      <c r="C254" t="s">
        <v>361</v>
      </c>
      <c r="D254" t="s">
        <v>959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361.42500000000001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f>SUMPRODUCT(DB_SOFProject[[#This Row],[Plan01]:[Plan12]],$E$4:$P$4)/valUnits2</f>
        <v>0.361425</v>
      </c>
      <c r="AD254">
        <f>SUMPRODUCT(DB_SOFProject[[#This Row],[Act01]:[Act12]],$Q$4:$AB$4)/valUnits2</f>
        <v>0</v>
      </c>
      <c r="AE254">
        <f>DB_SOFProject[[#This Row],[Actual]]-DB_SOFProject[[#This Row],[Plan]]</f>
        <v>-0.361425</v>
      </c>
      <c r="AF254" s="32">
        <f>IF(DB_SOFProject[[#This Row],[Plan]]&lt;&gt;0,DB_SOFProject[[#This Row],[Actual]]/DB_SOFProject[[#This Row],[Plan]],1.000011000011)</f>
        <v>0</v>
      </c>
      <c r="AG254" s="34">
        <f>SUM(DB_SOFProject[[#This Row],[Plan01]:[Plan12]])/valUnits2</f>
        <v>0.361425</v>
      </c>
      <c r="AH254" s="34">
        <f>SUMPRODUCT(DB_SOFProject[[#This Row],[Act01]:[Act12]],$Q$3:$AB$3)/valUnits2</f>
        <v>0</v>
      </c>
    </row>
    <row r="255" spans="2:34" x14ac:dyDescent="0.2">
      <c r="B255" t="s">
        <v>489</v>
      </c>
      <c r="C255" t="s">
        <v>361</v>
      </c>
      <c r="D255" t="s">
        <v>975</v>
      </c>
      <c r="E255">
        <v>0</v>
      </c>
      <c r="F255">
        <v>0</v>
      </c>
      <c r="G255">
        <v>0</v>
      </c>
      <c r="H255">
        <v>402.53700000000003</v>
      </c>
      <c r="I255">
        <v>2160.645</v>
      </c>
      <c r="J255">
        <v>524.06600000000003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410.26</v>
      </c>
      <c r="U255">
        <v>2194.42</v>
      </c>
      <c r="V255">
        <v>117.78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f>SUMPRODUCT(DB_SOFProject[[#This Row],[Plan01]:[Plan12]],$E$4:$P$4)/valUnits2</f>
        <v>3.0872479999999998</v>
      </c>
      <c r="AD255">
        <f>SUMPRODUCT(DB_SOFProject[[#This Row],[Act01]:[Act12]],$Q$4:$AB$4)/valUnits2</f>
        <v>2.7224600000000003</v>
      </c>
      <c r="AE255">
        <f>DB_SOFProject[[#This Row],[Actual]]-DB_SOFProject[[#This Row],[Plan]]</f>
        <v>-0.36478799999999945</v>
      </c>
      <c r="AF255" s="32">
        <f>IF(DB_SOFProject[[#This Row],[Plan]]&lt;&gt;0,DB_SOFProject[[#This Row],[Actual]]/DB_SOFProject[[#This Row],[Plan]],1.000011000011)</f>
        <v>0.88184039636595457</v>
      </c>
      <c r="AG255" s="34">
        <f>SUM(DB_SOFProject[[#This Row],[Plan01]:[Plan12]])/valUnits2</f>
        <v>3.0872479999999998</v>
      </c>
      <c r="AH255" s="34">
        <f>SUMPRODUCT(DB_SOFProject[[#This Row],[Act01]:[Act12]],$Q$3:$AB$3)/valUnits2</f>
        <v>2.7224600000000003</v>
      </c>
    </row>
    <row r="256" spans="2:34" x14ac:dyDescent="0.2">
      <c r="B256" t="s">
        <v>489</v>
      </c>
      <c r="C256" t="s">
        <v>361</v>
      </c>
      <c r="D256" t="s">
        <v>980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180.71299999999999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f>SUMPRODUCT(DB_SOFProject[[#This Row],[Plan01]:[Plan12]],$E$4:$P$4)/valUnits2</f>
        <v>0.18071299999999998</v>
      </c>
      <c r="AD256">
        <f>SUMPRODUCT(DB_SOFProject[[#This Row],[Act01]:[Act12]],$Q$4:$AB$4)/valUnits2</f>
        <v>0</v>
      </c>
      <c r="AE256">
        <f>DB_SOFProject[[#This Row],[Actual]]-DB_SOFProject[[#This Row],[Plan]]</f>
        <v>-0.18071299999999998</v>
      </c>
      <c r="AF256" s="32">
        <f>IF(DB_SOFProject[[#This Row],[Plan]]&lt;&gt;0,DB_SOFProject[[#This Row],[Actual]]/DB_SOFProject[[#This Row],[Plan]],1.000011000011)</f>
        <v>0</v>
      </c>
      <c r="AG256" s="34">
        <f>SUM(DB_SOFProject[[#This Row],[Plan01]:[Plan12]])/valUnits2</f>
        <v>0.18071299999999998</v>
      </c>
      <c r="AH256" s="34">
        <f>SUMPRODUCT(DB_SOFProject[[#This Row],[Act01]:[Act12]],$Q$3:$AB$3)/valUnits2</f>
        <v>0</v>
      </c>
    </row>
    <row r="257" spans="2:34" x14ac:dyDescent="0.2">
      <c r="B257" t="s">
        <v>489</v>
      </c>
      <c r="C257" t="s">
        <v>361</v>
      </c>
      <c r="D257" t="s">
        <v>999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180.71299999999999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f>SUMPRODUCT(DB_SOFProject[[#This Row],[Plan01]:[Plan12]],$E$4:$P$4)/valUnits2</f>
        <v>0.18071299999999998</v>
      </c>
      <c r="AD257">
        <f>SUMPRODUCT(DB_SOFProject[[#This Row],[Act01]:[Act12]],$Q$4:$AB$4)/valUnits2</f>
        <v>0</v>
      </c>
      <c r="AE257">
        <f>DB_SOFProject[[#This Row],[Actual]]-DB_SOFProject[[#This Row],[Plan]]</f>
        <v>-0.18071299999999998</v>
      </c>
      <c r="AF257" s="32">
        <f>IF(DB_SOFProject[[#This Row],[Plan]]&lt;&gt;0,DB_SOFProject[[#This Row],[Actual]]/DB_SOFProject[[#This Row],[Plan]],1.000011000011)</f>
        <v>0</v>
      </c>
      <c r="AG257" s="34">
        <f>SUM(DB_SOFProject[[#This Row],[Plan01]:[Plan12]])/valUnits2</f>
        <v>0.18071299999999998</v>
      </c>
      <c r="AH257" s="34">
        <f>SUMPRODUCT(DB_SOFProject[[#This Row],[Act01]:[Act12]],$Q$3:$AB$3)/valUnits2</f>
        <v>0</v>
      </c>
    </row>
    <row r="258" spans="2:34" x14ac:dyDescent="0.2">
      <c r="B258" t="s">
        <v>489</v>
      </c>
      <c r="C258" t="s">
        <v>358</v>
      </c>
      <c r="D258" t="s">
        <v>946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379.21199999999999</v>
      </c>
      <c r="K258">
        <v>379.21199999999999</v>
      </c>
      <c r="L258">
        <v>379.21199999999999</v>
      </c>
      <c r="M258">
        <v>379.21199999999999</v>
      </c>
      <c r="N258">
        <v>379.21199999999999</v>
      </c>
      <c r="O258">
        <v>379.21199999999999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C258">
        <f>SUMPRODUCT(DB_SOFProject[[#This Row],[Plan01]:[Plan12]],$E$4:$P$4)/valUnits2</f>
        <v>0.37921199999999999</v>
      </c>
      <c r="AD258">
        <f>SUMPRODUCT(DB_SOFProject[[#This Row],[Act01]:[Act12]],$Q$4:$AB$4)/valUnits2</f>
        <v>0</v>
      </c>
      <c r="AE258">
        <f>DB_SOFProject[[#This Row],[Actual]]-DB_SOFProject[[#This Row],[Plan]]</f>
        <v>-0.37921199999999999</v>
      </c>
      <c r="AF258" s="32">
        <f>IF(DB_SOFProject[[#This Row],[Plan]]&lt;&gt;0,DB_SOFProject[[#This Row],[Actual]]/DB_SOFProject[[#This Row],[Plan]],1.000011000011)</f>
        <v>0</v>
      </c>
      <c r="AG258" s="34">
        <f>SUM(DB_SOFProject[[#This Row],[Plan01]:[Plan12]])/valUnits2</f>
        <v>2.2752719999999997</v>
      </c>
      <c r="AH258" s="34">
        <f>SUMPRODUCT(DB_SOFProject[[#This Row],[Act01]:[Act12]],$Q$3:$AB$3)/valUnits2</f>
        <v>0</v>
      </c>
    </row>
    <row r="259" spans="2:34" x14ac:dyDescent="0.2">
      <c r="B259" t="s">
        <v>489</v>
      </c>
      <c r="C259" t="s">
        <v>358</v>
      </c>
      <c r="D259" t="s">
        <v>947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AC259">
        <f>SUMPRODUCT(DB_SOFProject[[#This Row],[Plan01]:[Plan12]],$E$4:$P$4)/valUnits2</f>
        <v>0</v>
      </c>
      <c r="AD259">
        <f>SUMPRODUCT(DB_SOFProject[[#This Row],[Act01]:[Act12]],$Q$4:$AB$4)/valUnits2</f>
        <v>0</v>
      </c>
      <c r="AE259">
        <f>DB_SOFProject[[#This Row],[Actual]]-DB_SOFProject[[#This Row],[Plan]]</f>
        <v>0</v>
      </c>
      <c r="AF259" s="32">
        <f>IF(DB_SOFProject[[#This Row],[Plan]]&lt;&gt;0,DB_SOFProject[[#This Row],[Actual]]/DB_SOFProject[[#This Row],[Plan]],1.000011000011)</f>
        <v>1.0000110000110001</v>
      </c>
      <c r="AG259" s="34">
        <f>SUM(DB_SOFProject[[#This Row],[Plan01]:[Plan12]])/valUnits2</f>
        <v>0</v>
      </c>
      <c r="AH259" s="34">
        <f>SUMPRODUCT(DB_SOFProject[[#This Row],[Act01]:[Act12]],$Q$3:$AB$3)/valUnits2</f>
        <v>0</v>
      </c>
    </row>
    <row r="260" spans="2:34" x14ac:dyDescent="0.2">
      <c r="B260" t="s">
        <v>489</v>
      </c>
      <c r="C260" t="s">
        <v>358</v>
      </c>
      <c r="D260" t="s">
        <v>959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758.42199999999991</v>
      </c>
      <c r="K260">
        <v>758.42199999999991</v>
      </c>
      <c r="L260">
        <v>758.42199999999991</v>
      </c>
      <c r="M260">
        <v>758.42199999999991</v>
      </c>
      <c r="N260">
        <v>758.42199999999991</v>
      </c>
      <c r="O260">
        <v>758.42199999999991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C260">
        <f>SUMPRODUCT(DB_SOFProject[[#This Row],[Plan01]:[Plan12]],$E$4:$P$4)/valUnits2</f>
        <v>0.75842199999999993</v>
      </c>
      <c r="AD260">
        <f>SUMPRODUCT(DB_SOFProject[[#This Row],[Act01]:[Act12]],$Q$4:$AB$4)/valUnits2</f>
        <v>0</v>
      </c>
      <c r="AE260">
        <f>DB_SOFProject[[#This Row],[Actual]]-DB_SOFProject[[#This Row],[Plan]]</f>
        <v>-0.75842199999999993</v>
      </c>
      <c r="AF260" s="32">
        <f>IF(DB_SOFProject[[#This Row],[Plan]]&lt;&gt;0,DB_SOFProject[[#This Row],[Actual]]/DB_SOFProject[[#This Row],[Plan]],1.000011000011)</f>
        <v>0</v>
      </c>
      <c r="AG260" s="34">
        <f>SUM(DB_SOFProject[[#This Row],[Plan01]:[Plan12]])/valUnits2</f>
        <v>4.5505319999999996</v>
      </c>
      <c r="AH260" s="34">
        <f>SUMPRODUCT(DB_SOFProject[[#This Row],[Act01]:[Act12]],$Q$3:$AB$3)/valUnits2</f>
        <v>0</v>
      </c>
    </row>
    <row r="261" spans="2:34" x14ac:dyDescent="0.2">
      <c r="B261" t="s">
        <v>489</v>
      </c>
      <c r="C261" t="s">
        <v>358</v>
      </c>
      <c r="D261" t="s">
        <v>975</v>
      </c>
      <c r="E261">
        <v>0</v>
      </c>
      <c r="F261">
        <v>0</v>
      </c>
      <c r="G261">
        <v>0</v>
      </c>
      <c r="H261">
        <v>943.03499999999997</v>
      </c>
      <c r="I261">
        <v>816.46500000000015</v>
      </c>
      <c r="J261">
        <v>3144.768</v>
      </c>
      <c r="K261">
        <v>3144.768</v>
      </c>
      <c r="L261">
        <v>3144.768</v>
      </c>
      <c r="M261">
        <v>3144.768</v>
      </c>
      <c r="N261">
        <v>3144.768</v>
      </c>
      <c r="O261">
        <v>3144.768</v>
      </c>
      <c r="Q261">
        <v>0</v>
      </c>
      <c r="R261">
        <v>0</v>
      </c>
      <c r="S261">
        <v>0</v>
      </c>
      <c r="T261">
        <v>954.34</v>
      </c>
      <c r="U261">
        <v>824.06999999999994</v>
      </c>
      <c r="V261">
        <v>677.33</v>
      </c>
      <c r="W261">
        <v>0</v>
      </c>
      <c r="X261">
        <v>0</v>
      </c>
      <c r="Y261">
        <v>0</v>
      </c>
      <c r="Z261">
        <v>0</v>
      </c>
      <c r="AA261">
        <v>0</v>
      </c>
      <c r="AC261">
        <f>SUMPRODUCT(DB_SOFProject[[#This Row],[Plan01]:[Plan12]],$E$4:$P$4)/valUnits2</f>
        <v>4.9042680000000001</v>
      </c>
      <c r="AD261">
        <f>SUMPRODUCT(DB_SOFProject[[#This Row],[Act01]:[Act12]],$Q$4:$AB$4)/valUnits2</f>
        <v>2.4557399999999996</v>
      </c>
      <c r="AE261">
        <f>DB_SOFProject[[#This Row],[Actual]]-DB_SOFProject[[#This Row],[Plan]]</f>
        <v>-2.4485280000000005</v>
      </c>
      <c r="AF261" s="32">
        <f>IF(DB_SOFProject[[#This Row],[Plan]]&lt;&gt;0,DB_SOFProject[[#This Row],[Actual]]/DB_SOFProject[[#This Row],[Plan]],1.000011000011)</f>
        <v>0.50073527792526829</v>
      </c>
      <c r="AG261" s="34">
        <f>SUM(DB_SOFProject[[#This Row],[Plan01]:[Plan12]])/valUnits2</f>
        <v>20.628108000000001</v>
      </c>
      <c r="AH261" s="34">
        <f>SUMPRODUCT(DB_SOFProject[[#This Row],[Act01]:[Act12]],$Q$3:$AB$3)/valUnits2</f>
        <v>2.4557399999999996</v>
      </c>
    </row>
    <row r="262" spans="2:34" x14ac:dyDescent="0.2">
      <c r="B262" t="s">
        <v>489</v>
      </c>
      <c r="C262" t="s">
        <v>358</v>
      </c>
      <c r="D262" t="s">
        <v>980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379.21199999999999</v>
      </c>
      <c r="K262">
        <v>379.21199999999999</v>
      </c>
      <c r="L262">
        <v>379.21199999999999</v>
      </c>
      <c r="M262">
        <v>379.21199999999999</v>
      </c>
      <c r="N262">
        <v>379.21199999999999</v>
      </c>
      <c r="O262">
        <v>379.21199999999999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C262">
        <f>SUMPRODUCT(DB_SOFProject[[#This Row],[Plan01]:[Plan12]],$E$4:$P$4)/valUnits2</f>
        <v>0.37921199999999999</v>
      </c>
      <c r="AD262">
        <f>SUMPRODUCT(DB_SOFProject[[#This Row],[Act01]:[Act12]],$Q$4:$AB$4)/valUnits2</f>
        <v>0</v>
      </c>
      <c r="AE262">
        <f>DB_SOFProject[[#This Row],[Actual]]-DB_SOFProject[[#This Row],[Plan]]</f>
        <v>-0.37921199999999999</v>
      </c>
      <c r="AF262" s="32">
        <f>IF(DB_SOFProject[[#This Row],[Plan]]&lt;&gt;0,DB_SOFProject[[#This Row],[Actual]]/DB_SOFProject[[#This Row],[Plan]],1.000011000011)</f>
        <v>0</v>
      </c>
      <c r="AG262" s="34">
        <f>SUM(DB_SOFProject[[#This Row],[Plan01]:[Plan12]])/valUnits2</f>
        <v>2.2752719999999997</v>
      </c>
      <c r="AH262" s="34">
        <f>SUMPRODUCT(DB_SOFProject[[#This Row],[Act01]:[Act12]],$Q$3:$AB$3)/valUnits2</f>
        <v>0</v>
      </c>
    </row>
    <row r="263" spans="2:34" x14ac:dyDescent="0.2">
      <c r="B263" t="s">
        <v>489</v>
      </c>
      <c r="C263" t="s">
        <v>358</v>
      </c>
      <c r="D263" t="s">
        <v>999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379.21199999999999</v>
      </c>
      <c r="K263">
        <v>379.21199999999999</v>
      </c>
      <c r="L263">
        <v>379.21199999999999</v>
      </c>
      <c r="M263">
        <v>379.21199999999999</v>
      </c>
      <c r="N263">
        <v>379.21199999999999</v>
      </c>
      <c r="O263">
        <v>379.21199999999999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C263">
        <f>SUMPRODUCT(DB_SOFProject[[#This Row],[Plan01]:[Plan12]],$E$4:$P$4)/valUnits2</f>
        <v>0.37921199999999999</v>
      </c>
      <c r="AD263">
        <f>SUMPRODUCT(DB_SOFProject[[#This Row],[Act01]:[Act12]],$Q$4:$AB$4)/valUnits2</f>
        <v>0</v>
      </c>
      <c r="AE263">
        <f>DB_SOFProject[[#This Row],[Actual]]-DB_SOFProject[[#This Row],[Plan]]</f>
        <v>-0.37921199999999999</v>
      </c>
      <c r="AF263" s="32">
        <f>IF(DB_SOFProject[[#This Row],[Plan]]&lt;&gt;0,DB_SOFProject[[#This Row],[Actual]]/DB_SOFProject[[#This Row],[Plan]],1.000011000011)</f>
        <v>0</v>
      </c>
      <c r="AG263" s="34">
        <f>SUM(DB_SOFProject[[#This Row],[Plan01]:[Plan12]])/valUnits2</f>
        <v>2.2752719999999997</v>
      </c>
      <c r="AH263" s="34">
        <f>SUMPRODUCT(DB_SOFProject[[#This Row],[Act01]:[Act12]],$Q$3:$AB$3)/valUnits2</f>
        <v>0</v>
      </c>
    </row>
    <row r="264" spans="2:34" x14ac:dyDescent="0.2">
      <c r="B264" t="s">
        <v>489</v>
      </c>
      <c r="C264" t="s">
        <v>890</v>
      </c>
      <c r="D264" t="s">
        <v>947</v>
      </c>
      <c r="H264">
        <v>371.01400000000001</v>
      </c>
      <c r="I264">
        <v>756.38699999999994</v>
      </c>
      <c r="J264">
        <v>0</v>
      </c>
      <c r="T264">
        <v>365.46999999999997</v>
      </c>
      <c r="U264">
        <v>761.28</v>
      </c>
      <c r="V264">
        <v>418.65</v>
      </c>
      <c r="AC264">
        <f>SUMPRODUCT(DB_SOFProject[[#This Row],[Plan01]:[Plan12]],$E$4:$P$4)/valUnits2</f>
        <v>1.1274009999999999</v>
      </c>
      <c r="AD264">
        <f>SUMPRODUCT(DB_SOFProject[[#This Row],[Act01]:[Act12]],$Q$4:$AB$4)/valUnits2</f>
        <v>1.5454000000000001</v>
      </c>
      <c r="AE264">
        <f>DB_SOFProject[[#This Row],[Actual]]-DB_SOFProject[[#This Row],[Plan]]</f>
        <v>0.41799900000000023</v>
      </c>
      <c r="AF264" s="32">
        <f>IF(DB_SOFProject[[#This Row],[Plan]]&lt;&gt;0,DB_SOFProject[[#This Row],[Actual]]/DB_SOFProject[[#This Row],[Plan]],1.000011000011)</f>
        <v>1.3707633752320605</v>
      </c>
      <c r="AG264" s="34">
        <f>SUM(DB_SOFProject[[#This Row],[Plan01]:[Plan12]])/valUnits2</f>
        <v>1.1274009999999999</v>
      </c>
      <c r="AH264" s="34">
        <f>SUMPRODUCT(DB_SOFProject[[#This Row],[Act01]:[Act12]],$Q$3:$AB$3)/valUnits2</f>
        <v>1.5454000000000001</v>
      </c>
    </row>
    <row r="265" spans="2:34" x14ac:dyDescent="0.2">
      <c r="B265" t="s">
        <v>489</v>
      </c>
      <c r="C265" t="s">
        <v>890</v>
      </c>
      <c r="D265" t="s">
        <v>959</v>
      </c>
      <c r="J265">
        <v>0</v>
      </c>
      <c r="V265">
        <v>16.809999999999999</v>
      </c>
      <c r="AC265">
        <f>SUMPRODUCT(DB_SOFProject[[#This Row],[Plan01]:[Plan12]],$E$4:$P$4)/valUnits2</f>
        <v>0</v>
      </c>
      <c r="AD265">
        <f>SUMPRODUCT(DB_SOFProject[[#This Row],[Act01]:[Act12]],$Q$4:$AB$4)/valUnits2</f>
        <v>1.6809999999999999E-2</v>
      </c>
      <c r="AE265">
        <f>DB_SOFProject[[#This Row],[Actual]]-DB_SOFProject[[#This Row],[Plan]]</f>
        <v>1.6809999999999999E-2</v>
      </c>
      <c r="AF265" s="32">
        <f>IF(DB_SOFProject[[#This Row],[Plan]]&lt;&gt;0,DB_SOFProject[[#This Row],[Actual]]/DB_SOFProject[[#This Row],[Plan]],1.000011000011)</f>
        <v>1.0000110000110001</v>
      </c>
      <c r="AG265" s="34">
        <f>SUM(DB_SOFProject[[#This Row],[Plan01]:[Plan12]])/valUnits2</f>
        <v>0</v>
      </c>
      <c r="AH265" s="34">
        <f>SUMPRODUCT(DB_SOFProject[[#This Row],[Act01]:[Act12]],$Q$3:$AB$3)/valUnits2</f>
        <v>1.6809999999999999E-2</v>
      </c>
    </row>
    <row r="266" spans="2:34" x14ac:dyDescent="0.2">
      <c r="B266" t="s">
        <v>489</v>
      </c>
      <c r="C266" t="s">
        <v>890</v>
      </c>
      <c r="D266" t="s">
        <v>964</v>
      </c>
      <c r="J266">
        <v>0</v>
      </c>
      <c r="V266">
        <v>0.1</v>
      </c>
      <c r="AC266">
        <f>SUMPRODUCT(DB_SOFProject[[#This Row],[Plan01]:[Plan12]],$E$4:$P$4)/valUnits2</f>
        <v>0</v>
      </c>
      <c r="AD266">
        <f>SUMPRODUCT(DB_SOFProject[[#This Row],[Act01]:[Act12]],$Q$4:$AB$4)/valUnits2</f>
        <v>1E-4</v>
      </c>
      <c r="AE266">
        <f>DB_SOFProject[[#This Row],[Actual]]-DB_SOFProject[[#This Row],[Plan]]</f>
        <v>1E-4</v>
      </c>
      <c r="AF266" s="32">
        <f>IF(DB_SOFProject[[#This Row],[Plan]]&lt;&gt;0,DB_SOFProject[[#This Row],[Actual]]/DB_SOFProject[[#This Row],[Plan]],1.000011000011)</f>
        <v>1.0000110000110001</v>
      </c>
      <c r="AG266" s="34">
        <f>SUM(DB_SOFProject[[#This Row],[Plan01]:[Plan12]])/valUnits2</f>
        <v>0</v>
      </c>
      <c r="AH266" s="34">
        <f>SUMPRODUCT(DB_SOFProject[[#This Row],[Act01]:[Act12]],$Q$3:$AB$3)/valUnits2</f>
        <v>1E-4</v>
      </c>
    </row>
    <row r="267" spans="2:34" x14ac:dyDescent="0.2">
      <c r="B267" t="s">
        <v>489</v>
      </c>
      <c r="C267" t="s">
        <v>890</v>
      </c>
      <c r="D267" t="s">
        <v>975</v>
      </c>
      <c r="F267">
        <v>0</v>
      </c>
      <c r="G267">
        <v>0</v>
      </c>
      <c r="H267">
        <v>2392.7589999999996</v>
      </c>
      <c r="I267">
        <v>871.70800000000008</v>
      </c>
      <c r="J267">
        <v>420.50600000000003</v>
      </c>
      <c r="K267">
        <v>420.50600000000003</v>
      </c>
      <c r="L267">
        <v>420.50600000000003</v>
      </c>
      <c r="M267">
        <v>420.50600000000003</v>
      </c>
      <c r="N267">
        <v>420.50600000000003</v>
      </c>
      <c r="O267">
        <v>420.50600000000003</v>
      </c>
      <c r="P267">
        <v>420.50600000000003</v>
      </c>
      <c r="R267">
        <v>0</v>
      </c>
      <c r="S267">
        <v>0</v>
      </c>
      <c r="T267">
        <v>2418.7300000000005</v>
      </c>
      <c r="U267">
        <v>877.93999999999994</v>
      </c>
      <c r="V267">
        <v>2592.7599999999998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f>SUMPRODUCT(DB_SOFProject[[#This Row],[Plan01]:[Plan12]],$E$4:$P$4)/valUnits2</f>
        <v>3.6849729999999994</v>
      </c>
      <c r="AD267">
        <f>SUMPRODUCT(DB_SOFProject[[#This Row],[Act01]:[Act12]],$Q$4:$AB$4)/valUnits2</f>
        <v>5.8894299999999999</v>
      </c>
      <c r="AE267">
        <f>DB_SOFProject[[#This Row],[Actual]]-DB_SOFProject[[#This Row],[Plan]]</f>
        <v>2.2044570000000006</v>
      </c>
      <c r="AF267" s="32">
        <f>IF(DB_SOFProject[[#This Row],[Plan]]&lt;&gt;0,DB_SOFProject[[#This Row],[Actual]]/DB_SOFProject[[#This Row],[Plan]],1.000011000011)</f>
        <v>1.5982288065611339</v>
      </c>
      <c r="AG267" s="34">
        <f>SUM(DB_SOFProject[[#This Row],[Plan01]:[Plan12]])/valUnits2</f>
        <v>6.2080090000000006</v>
      </c>
      <c r="AH267" s="34">
        <f>SUMPRODUCT(DB_SOFProject[[#This Row],[Act01]:[Act12]],$Q$3:$AB$3)/valUnits2</f>
        <v>5.8894299999999999</v>
      </c>
    </row>
    <row r="268" spans="2:34" x14ac:dyDescent="0.2">
      <c r="B268" t="s">
        <v>489</v>
      </c>
      <c r="C268" t="s">
        <v>890</v>
      </c>
      <c r="D268" t="s">
        <v>980</v>
      </c>
      <c r="J268">
        <v>0</v>
      </c>
      <c r="V268">
        <v>305.52999999999997</v>
      </c>
      <c r="AC268">
        <f>SUMPRODUCT(DB_SOFProject[[#This Row],[Plan01]:[Plan12]],$E$4:$P$4)/valUnits2</f>
        <v>0</v>
      </c>
      <c r="AD268">
        <f>SUMPRODUCT(DB_SOFProject[[#This Row],[Act01]:[Act12]],$Q$4:$AB$4)/valUnits2</f>
        <v>0.30552999999999997</v>
      </c>
      <c r="AE268">
        <f>DB_SOFProject[[#This Row],[Actual]]-DB_SOFProject[[#This Row],[Plan]]</f>
        <v>0.30552999999999997</v>
      </c>
      <c r="AF268" s="32">
        <f>IF(DB_SOFProject[[#This Row],[Plan]]&lt;&gt;0,DB_SOFProject[[#This Row],[Actual]]/DB_SOFProject[[#This Row],[Plan]],1.000011000011)</f>
        <v>1.0000110000110001</v>
      </c>
      <c r="AG268" s="34">
        <f>SUM(DB_SOFProject[[#This Row],[Plan01]:[Plan12]])/valUnits2</f>
        <v>0</v>
      </c>
      <c r="AH268" s="34">
        <f>SUMPRODUCT(DB_SOFProject[[#This Row],[Act01]:[Act12]],$Q$3:$AB$3)/valUnits2</f>
        <v>0.30552999999999997</v>
      </c>
    </row>
    <row r="269" spans="2:34" x14ac:dyDescent="0.2">
      <c r="B269" t="s">
        <v>489</v>
      </c>
      <c r="C269" t="s">
        <v>890</v>
      </c>
      <c r="D269" t="s">
        <v>999</v>
      </c>
      <c r="F269">
        <v>0</v>
      </c>
      <c r="G269">
        <v>0</v>
      </c>
      <c r="H269">
        <v>0</v>
      </c>
      <c r="I269">
        <v>0</v>
      </c>
      <c r="J269">
        <v>142.32999999999998</v>
      </c>
      <c r="K269">
        <v>142.32999999999998</v>
      </c>
      <c r="L269">
        <v>142.32999999999998</v>
      </c>
      <c r="M269">
        <v>142.32999999999998</v>
      </c>
      <c r="N269">
        <v>142.32999999999998</v>
      </c>
      <c r="O269">
        <v>142.32999999999998</v>
      </c>
      <c r="P269">
        <v>142.32999999999998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f>SUMPRODUCT(DB_SOFProject[[#This Row],[Plan01]:[Plan12]],$E$4:$P$4)/valUnits2</f>
        <v>0.14232999999999998</v>
      </c>
      <c r="AD269">
        <f>SUMPRODUCT(DB_SOFProject[[#This Row],[Act01]:[Act12]],$Q$4:$AB$4)/valUnits2</f>
        <v>0</v>
      </c>
      <c r="AE269">
        <f>DB_SOFProject[[#This Row],[Actual]]-DB_SOFProject[[#This Row],[Plan]]</f>
        <v>-0.14232999999999998</v>
      </c>
      <c r="AF269" s="32">
        <f>IF(DB_SOFProject[[#This Row],[Plan]]&lt;&gt;0,DB_SOFProject[[#This Row],[Actual]]/DB_SOFProject[[#This Row],[Plan]],1.000011000011)</f>
        <v>0</v>
      </c>
      <c r="AG269" s="34">
        <f>SUM(DB_SOFProject[[#This Row],[Plan01]:[Plan12]])/valUnits2</f>
        <v>0.9963099999999997</v>
      </c>
      <c r="AH269" s="34">
        <f>SUMPRODUCT(DB_SOFProject[[#This Row],[Act01]:[Act12]],$Q$3:$AB$3)/valUnits2</f>
        <v>0</v>
      </c>
    </row>
    <row r="270" spans="2:34" x14ac:dyDescent="0.2">
      <c r="B270" t="s">
        <v>489</v>
      </c>
      <c r="C270" t="s">
        <v>891</v>
      </c>
      <c r="D270" t="s">
        <v>946</v>
      </c>
      <c r="I270">
        <v>0</v>
      </c>
      <c r="J270">
        <v>317.27199999999999</v>
      </c>
      <c r="K270">
        <v>317.27199999999999</v>
      </c>
      <c r="L270">
        <v>317.27199999999999</v>
      </c>
      <c r="M270">
        <v>317.27199999999999</v>
      </c>
      <c r="N270">
        <v>317.27199999999999</v>
      </c>
      <c r="O270">
        <v>317.27199999999999</v>
      </c>
      <c r="P270">
        <v>317.27199999999999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f>SUMPRODUCT(DB_SOFProject[[#This Row],[Plan01]:[Plan12]],$E$4:$P$4)/valUnits2</f>
        <v>0.317272</v>
      </c>
      <c r="AD270">
        <f>SUMPRODUCT(DB_SOFProject[[#This Row],[Act01]:[Act12]],$Q$4:$AB$4)/valUnits2</f>
        <v>0</v>
      </c>
      <c r="AE270">
        <f>DB_SOFProject[[#This Row],[Actual]]-DB_SOFProject[[#This Row],[Plan]]</f>
        <v>-0.317272</v>
      </c>
      <c r="AF270" s="32">
        <f>IF(DB_SOFProject[[#This Row],[Plan]]&lt;&gt;0,DB_SOFProject[[#This Row],[Actual]]/DB_SOFProject[[#This Row],[Plan]],1.000011000011)</f>
        <v>0</v>
      </c>
      <c r="AG270" s="34">
        <f>SUM(DB_SOFProject[[#This Row],[Plan01]:[Plan12]])/valUnits2</f>
        <v>2.220904</v>
      </c>
      <c r="AH270" s="34">
        <f>SUMPRODUCT(DB_SOFProject[[#This Row],[Act01]:[Act12]],$Q$3:$AB$3)/valUnits2</f>
        <v>0</v>
      </c>
    </row>
    <row r="271" spans="2:34" x14ac:dyDescent="0.2">
      <c r="B271" t="s">
        <v>489</v>
      </c>
      <c r="C271" t="s">
        <v>891</v>
      </c>
      <c r="D271" t="s">
        <v>947</v>
      </c>
      <c r="F271">
        <v>11.282</v>
      </c>
      <c r="H271">
        <v>5782.4629999999997</v>
      </c>
      <c r="I271">
        <v>7304.4070000000002</v>
      </c>
      <c r="J271">
        <v>0</v>
      </c>
      <c r="R271">
        <v>11.27</v>
      </c>
      <c r="T271">
        <v>5780.6100000000006</v>
      </c>
      <c r="U271">
        <v>7346.72</v>
      </c>
      <c r="V271">
        <v>3240.7799999999997</v>
      </c>
      <c r="AC271">
        <f>SUMPRODUCT(DB_SOFProject[[#This Row],[Plan01]:[Plan12]],$E$4:$P$4)/valUnits2</f>
        <v>13.098152000000001</v>
      </c>
      <c r="AD271">
        <f>SUMPRODUCT(DB_SOFProject[[#This Row],[Act01]:[Act12]],$Q$4:$AB$4)/valUnits2</f>
        <v>16.379380000000001</v>
      </c>
      <c r="AE271">
        <f>DB_SOFProject[[#This Row],[Actual]]-DB_SOFProject[[#This Row],[Plan]]</f>
        <v>3.2812280000000005</v>
      </c>
      <c r="AF271" s="32">
        <f>IF(DB_SOFProject[[#This Row],[Plan]]&lt;&gt;0,DB_SOFProject[[#This Row],[Actual]]/DB_SOFProject[[#This Row],[Plan]],1.000011000011)</f>
        <v>1.2505107590750206</v>
      </c>
      <c r="AG271" s="34">
        <f>SUM(DB_SOFProject[[#This Row],[Plan01]:[Plan12]])/valUnits2</f>
        <v>13.098152000000001</v>
      </c>
      <c r="AH271" s="34">
        <f>SUMPRODUCT(DB_SOFProject[[#This Row],[Act01]:[Act12]],$Q$3:$AB$3)/valUnits2</f>
        <v>16.379380000000001</v>
      </c>
    </row>
    <row r="272" spans="2:34" x14ac:dyDescent="0.2">
      <c r="B272" t="s">
        <v>489</v>
      </c>
      <c r="C272" t="s">
        <v>891</v>
      </c>
      <c r="D272" t="s">
        <v>959</v>
      </c>
      <c r="F272">
        <v>129.51599999999999</v>
      </c>
      <c r="H272">
        <v>0</v>
      </c>
      <c r="I272">
        <v>455.62299999999999</v>
      </c>
      <c r="J272">
        <v>510.09000000000003</v>
      </c>
      <c r="K272">
        <v>510.09000000000003</v>
      </c>
      <c r="L272">
        <v>510.09000000000003</v>
      </c>
      <c r="M272">
        <v>510.09000000000003</v>
      </c>
      <c r="N272">
        <v>510.09000000000003</v>
      </c>
      <c r="O272">
        <v>510.09000000000003</v>
      </c>
      <c r="P272">
        <v>510.09000000000003</v>
      </c>
      <c r="R272">
        <v>133.21</v>
      </c>
      <c r="T272">
        <v>0</v>
      </c>
      <c r="U272">
        <v>450.1</v>
      </c>
      <c r="V272">
        <v>1396.74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f>SUMPRODUCT(DB_SOFProject[[#This Row],[Plan01]:[Plan12]],$E$4:$P$4)/valUnits2</f>
        <v>1.095229</v>
      </c>
      <c r="AD272">
        <f>SUMPRODUCT(DB_SOFProject[[#This Row],[Act01]:[Act12]],$Q$4:$AB$4)/valUnits2</f>
        <v>1.9800500000000001</v>
      </c>
      <c r="AE272">
        <f>DB_SOFProject[[#This Row],[Actual]]-DB_SOFProject[[#This Row],[Plan]]</f>
        <v>0.88482100000000008</v>
      </c>
      <c r="AF272" s="32">
        <f>IF(DB_SOFProject[[#This Row],[Plan]]&lt;&gt;0,DB_SOFProject[[#This Row],[Actual]]/DB_SOFProject[[#This Row],[Plan]],1.000011000011)</f>
        <v>1.8078867524508573</v>
      </c>
      <c r="AG272" s="34">
        <f>SUM(DB_SOFProject[[#This Row],[Plan01]:[Plan12]])/valUnits2</f>
        <v>4.1557690000000003</v>
      </c>
      <c r="AH272" s="34">
        <f>SUMPRODUCT(DB_SOFProject[[#This Row],[Act01]:[Act12]],$Q$3:$AB$3)/valUnits2</f>
        <v>1.9800500000000001</v>
      </c>
    </row>
    <row r="273" spans="2:34" x14ac:dyDescent="0.2">
      <c r="B273" t="s">
        <v>489</v>
      </c>
      <c r="C273" t="s">
        <v>891</v>
      </c>
      <c r="D273" t="s">
        <v>975</v>
      </c>
      <c r="F273">
        <v>5.2720000000000002</v>
      </c>
      <c r="H273">
        <v>322.536</v>
      </c>
      <c r="I273">
        <v>1068.5450000000001</v>
      </c>
      <c r="J273">
        <v>836.29899999999998</v>
      </c>
      <c r="K273">
        <v>836.29899999999998</v>
      </c>
      <c r="L273">
        <v>836.29899999999998</v>
      </c>
      <c r="M273">
        <v>836.29899999999998</v>
      </c>
      <c r="N273">
        <v>836.29899999999998</v>
      </c>
      <c r="O273">
        <v>836.29899999999998</v>
      </c>
      <c r="P273">
        <v>836.29899999999998</v>
      </c>
      <c r="R273">
        <v>5.45</v>
      </c>
      <c r="T273">
        <v>321.45</v>
      </c>
      <c r="U273">
        <v>1063.96</v>
      </c>
      <c r="V273">
        <v>866.18000000000006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f>SUMPRODUCT(DB_SOFProject[[#This Row],[Plan01]:[Plan12]],$E$4:$P$4)/valUnits2</f>
        <v>2.2326519999999999</v>
      </c>
      <c r="AD273">
        <f>SUMPRODUCT(DB_SOFProject[[#This Row],[Act01]:[Act12]],$Q$4:$AB$4)/valUnits2</f>
        <v>2.2570399999999999</v>
      </c>
      <c r="AE273">
        <f>DB_SOFProject[[#This Row],[Actual]]-DB_SOFProject[[#This Row],[Plan]]</f>
        <v>2.4388000000000076E-2</v>
      </c>
      <c r="AF273" s="32">
        <f>IF(DB_SOFProject[[#This Row],[Plan]]&lt;&gt;0,DB_SOFProject[[#This Row],[Actual]]/DB_SOFProject[[#This Row],[Plan]],1.000011000011)</f>
        <v>1.0109233324315656</v>
      </c>
      <c r="AG273" s="34">
        <f>SUM(DB_SOFProject[[#This Row],[Plan01]:[Plan12]])/valUnits2</f>
        <v>7.2504460000000002</v>
      </c>
      <c r="AH273" s="34">
        <f>SUMPRODUCT(DB_SOFProject[[#This Row],[Act01]:[Act12]],$Q$3:$AB$3)/valUnits2</f>
        <v>2.2570399999999999</v>
      </c>
    </row>
    <row r="274" spans="2:34" x14ac:dyDescent="0.2">
      <c r="B274" t="s">
        <v>489</v>
      </c>
      <c r="C274" t="s">
        <v>891</v>
      </c>
      <c r="D274" t="s">
        <v>976</v>
      </c>
      <c r="H274">
        <v>0</v>
      </c>
      <c r="I274">
        <v>0</v>
      </c>
      <c r="J274">
        <v>118.761</v>
      </c>
      <c r="K274">
        <v>118.761</v>
      </c>
      <c r="L274">
        <v>118.761</v>
      </c>
      <c r="M274">
        <v>118.761</v>
      </c>
      <c r="N274">
        <v>118.761</v>
      </c>
      <c r="O274">
        <v>118.761</v>
      </c>
      <c r="P274">
        <v>118.761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f>SUMPRODUCT(DB_SOFProject[[#This Row],[Plan01]:[Plan12]],$E$4:$P$4)/valUnits2</f>
        <v>0.11876099999999999</v>
      </c>
      <c r="AD274">
        <f>SUMPRODUCT(DB_SOFProject[[#This Row],[Act01]:[Act12]],$Q$4:$AB$4)/valUnits2</f>
        <v>0</v>
      </c>
      <c r="AE274">
        <f>DB_SOFProject[[#This Row],[Actual]]-DB_SOFProject[[#This Row],[Plan]]</f>
        <v>-0.11876099999999999</v>
      </c>
      <c r="AF274" s="32">
        <f>IF(DB_SOFProject[[#This Row],[Plan]]&lt;&gt;0,DB_SOFProject[[#This Row],[Actual]]/DB_SOFProject[[#This Row],[Plan]],1.000011000011)</f>
        <v>0</v>
      </c>
      <c r="AG274" s="34">
        <f>SUM(DB_SOFProject[[#This Row],[Plan01]:[Plan12]])/valUnits2</f>
        <v>0.83132699999999993</v>
      </c>
      <c r="AH274" s="34">
        <f>SUMPRODUCT(DB_SOFProject[[#This Row],[Act01]:[Act12]],$Q$3:$AB$3)/valUnits2</f>
        <v>0</v>
      </c>
    </row>
    <row r="275" spans="2:34" x14ac:dyDescent="0.2">
      <c r="B275" t="s">
        <v>489</v>
      </c>
      <c r="C275" t="s">
        <v>891</v>
      </c>
      <c r="D275" t="s">
        <v>980</v>
      </c>
      <c r="H275">
        <v>0</v>
      </c>
      <c r="I275">
        <v>0</v>
      </c>
      <c r="J275">
        <v>118.761</v>
      </c>
      <c r="K275">
        <v>118.761</v>
      </c>
      <c r="L275">
        <v>118.761</v>
      </c>
      <c r="M275">
        <v>118.761</v>
      </c>
      <c r="N275">
        <v>118.761</v>
      </c>
      <c r="O275">
        <v>118.761</v>
      </c>
      <c r="P275">
        <v>118.761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f>SUMPRODUCT(DB_SOFProject[[#This Row],[Plan01]:[Plan12]],$E$4:$P$4)/valUnits2</f>
        <v>0.11876099999999999</v>
      </c>
      <c r="AD275">
        <f>SUMPRODUCT(DB_SOFProject[[#This Row],[Act01]:[Act12]],$Q$4:$AB$4)/valUnits2</f>
        <v>0</v>
      </c>
      <c r="AE275">
        <f>DB_SOFProject[[#This Row],[Actual]]-DB_SOFProject[[#This Row],[Plan]]</f>
        <v>-0.11876099999999999</v>
      </c>
      <c r="AF275" s="32">
        <f>IF(DB_SOFProject[[#This Row],[Plan]]&lt;&gt;0,DB_SOFProject[[#This Row],[Actual]]/DB_SOFProject[[#This Row],[Plan]],1.000011000011)</f>
        <v>0</v>
      </c>
      <c r="AG275" s="34">
        <f>SUM(DB_SOFProject[[#This Row],[Plan01]:[Plan12]])/valUnits2</f>
        <v>0.83132699999999993</v>
      </c>
      <c r="AH275" s="34">
        <f>SUMPRODUCT(DB_SOFProject[[#This Row],[Act01]:[Act12]],$Q$3:$AB$3)/valUnits2</f>
        <v>0</v>
      </c>
    </row>
    <row r="276" spans="2:34" x14ac:dyDescent="0.2">
      <c r="B276" t="s">
        <v>489</v>
      </c>
      <c r="C276" t="s">
        <v>891</v>
      </c>
      <c r="D276" t="s">
        <v>984</v>
      </c>
      <c r="J276">
        <v>0</v>
      </c>
      <c r="V276">
        <v>428.56000000000006</v>
      </c>
      <c r="AC276">
        <f>SUMPRODUCT(DB_SOFProject[[#This Row],[Plan01]:[Plan12]],$E$4:$P$4)/valUnits2</f>
        <v>0</v>
      </c>
      <c r="AD276">
        <f>SUMPRODUCT(DB_SOFProject[[#This Row],[Act01]:[Act12]],$Q$4:$AB$4)/valUnits2</f>
        <v>0.42856000000000005</v>
      </c>
      <c r="AE276">
        <f>DB_SOFProject[[#This Row],[Actual]]-DB_SOFProject[[#This Row],[Plan]]</f>
        <v>0.42856000000000005</v>
      </c>
      <c r="AF276" s="32">
        <f>IF(DB_SOFProject[[#This Row],[Plan]]&lt;&gt;0,DB_SOFProject[[#This Row],[Actual]]/DB_SOFProject[[#This Row],[Plan]],1.000011000011)</f>
        <v>1.0000110000110001</v>
      </c>
      <c r="AG276" s="34">
        <f>SUM(DB_SOFProject[[#This Row],[Plan01]:[Plan12]])/valUnits2</f>
        <v>0</v>
      </c>
      <c r="AH276" s="34">
        <f>SUMPRODUCT(DB_SOFProject[[#This Row],[Act01]:[Act12]],$Q$3:$AB$3)/valUnits2</f>
        <v>0.42856000000000005</v>
      </c>
    </row>
    <row r="277" spans="2:34" x14ac:dyDescent="0.2">
      <c r="B277" t="s">
        <v>489</v>
      </c>
      <c r="C277" t="s">
        <v>891</v>
      </c>
      <c r="D277" t="s">
        <v>999</v>
      </c>
      <c r="H277">
        <v>480.16899999999998</v>
      </c>
      <c r="I277">
        <v>616.94899999999996</v>
      </c>
      <c r="J277">
        <v>475.04300000000001</v>
      </c>
      <c r="K277">
        <v>475.04300000000001</v>
      </c>
      <c r="L277">
        <v>475.04300000000001</v>
      </c>
      <c r="M277">
        <v>475.04300000000001</v>
      </c>
      <c r="N277">
        <v>475.04300000000001</v>
      </c>
      <c r="O277">
        <v>475.04300000000001</v>
      </c>
      <c r="P277">
        <v>475.04300000000001</v>
      </c>
      <c r="T277">
        <v>477.43</v>
      </c>
      <c r="U277">
        <v>620.34</v>
      </c>
      <c r="V277">
        <v>2042.3600000000001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f>SUMPRODUCT(DB_SOFProject[[#This Row],[Plan01]:[Plan12]],$E$4:$P$4)/valUnits2</f>
        <v>1.5721610000000001</v>
      </c>
      <c r="AD277">
        <f>SUMPRODUCT(DB_SOFProject[[#This Row],[Act01]:[Act12]],$Q$4:$AB$4)/valUnits2</f>
        <v>3.1401300000000001</v>
      </c>
      <c r="AE277">
        <f>DB_SOFProject[[#This Row],[Actual]]-DB_SOFProject[[#This Row],[Plan]]</f>
        <v>1.5679689999999999</v>
      </c>
      <c r="AF277" s="32">
        <f>IF(DB_SOFProject[[#This Row],[Plan]]&lt;&gt;0,DB_SOFProject[[#This Row],[Actual]]/DB_SOFProject[[#This Row],[Plan]],1.000011000011)</f>
        <v>1.9973336064181721</v>
      </c>
      <c r="AG277" s="34">
        <f>SUM(DB_SOFProject[[#This Row],[Plan01]:[Plan12]])/valUnits2</f>
        <v>4.4224190000000005</v>
      </c>
      <c r="AH277" s="34">
        <f>SUMPRODUCT(DB_SOFProject[[#This Row],[Act01]:[Act12]],$Q$3:$AB$3)/valUnits2</f>
        <v>3.1401300000000001</v>
      </c>
    </row>
    <row r="278" spans="2:34" x14ac:dyDescent="0.2">
      <c r="B278" t="s">
        <v>489</v>
      </c>
      <c r="C278" t="s">
        <v>368</v>
      </c>
      <c r="D278" t="s">
        <v>947</v>
      </c>
      <c r="H278">
        <v>456.84</v>
      </c>
      <c r="I278">
        <v>1932.67</v>
      </c>
      <c r="J278">
        <v>0</v>
      </c>
      <c r="T278">
        <v>456.84000000000003</v>
      </c>
      <c r="U278">
        <v>1932.67</v>
      </c>
      <c r="V278">
        <v>1635.5500000000002</v>
      </c>
      <c r="AC278">
        <f>SUMPRODUCT(DB_SOFProject[[#This Row],[Plan01]:[Plan12]],$E$4:$P$4)/valUnits2</f>
        <v>2.38951</v>
      </c>
      <c r="AD278">
        <f>SUMPRODUCT(DB_SOFProject[[#This Row],[Act01]:[Act12]],$Q$4:$AB$4)/valUnits2</f>
        <v>4.0250600000000007</v>
      </c>
      <c r="AE278">
        <f>DB_SOFProject[[#This Row],[Actual]]-DB_SOFProject[[#This Row],[Plan]]</f>
        <v>1.6355500000000007</v>
      </c>
      <c r="AF278" s="32">
        <f>IF(DB_SOFProject[[#This Row],[Plan]]&lt;&gt;0,DB_SOFProject[[#This Row],[Actual]]/DB_SOFProject[[#This Row],[Plan]],1.000011000011)</f>
        <v>1.6844708747818593</v>
      </c>
      <c r="AG278" s="34">
        <f>SUM(DB_SOFProject[[#This Row],[Plan01]:[Plan12]])/valUnits2</f>
        <v>2.38951</v>
      </c>
      <c r="AH278" s="34">
        <f>SUMPRODUCT(DB_SOFProject[[#This Row],[Act01]:[Act12]],$Q$3:$AB$3)/valUnits2</f>
        <v>4.0250600000000007</v>
      </c>
    </row>
    <row r="279" spans="2:34" x14ac:dyDescent="0.2">
      <c r="B279" t="s">
        <v>489</v>
      </c>
      <c r="C279" t="s">
        <v>368</v>
      </c>
      <c r="D279" t="s">
        <v>959</v>
      </c>
      <c r="E279">
        <v>0</v>
      </c>
      <c r="F279">
        <v>0</v>
      </c>
      <c r="G279">
        <v>0</v>
      </c>
      <c r="H279">
        <v>0</v>
      </c>
      <c r="I279">
        <v>10486.585999999999</v>
      </c>
      <c r="J279">
        <v>9833.4360000000015</v>
      </c>
      <c r="K279">
        <v>9833.4360000000015</v>
      </c>
      <c r="L279">
        <v>9833.4360000000015</v>
      </c>
      <c r="M279">
        <v>9833.4360000000015</v>
      </c>
      <c r="N279">
        <v>9833.4360000000015</v>
      </c>
      <c r="O279">
        <v>9833.4360000000015</v>
      </c>
      <c r="Q279">
        <v>0</v>
      </c>
      <c r="R279">
        <v>0</v>
      </c>
      <c r="S279">
        <v>0</v>
      </c>
      <c r="T279">
        <v>0</v>
      </c>
      <c r="U279">
        <v>653.15</v>
      </c>
      <c r="V279">
        <v>652.73</v>
      </c>
      <c r="W279">
        <v>0</v>
      </c>
      <c r="X279">
        <v>0</v>
      </c>
      <c r="Y279">
        <v>0</v>
      </c>
      <c r="Z279">
        <v>0</v>
      </c>
      <c r="AA279">
        <v>0</v>
      </c>
      <c r="AC279">
        <f>SUMPRODUCT(DB_SOFProject[[#This Row],[Plan01]:[Plan12]],$E$4:$P$4)/valUnits2</f>
        <v>20.320022000000002</v>
      </c>
      <c r="AD279">
        <f>SUMPRODUCT(DB_SOFProject[[#This Row],[Act01]:[Act12]],$Q$4:$AB$4)/valUnits2</f>
        <v>1.3058800000000002</v>
      </c>
      <c r="AE279">
        <f>DB_SOFProject[[#This Row],[Actual]]-DB_SOFProject[[#This Row],[Plan]]</f>
        <v>-19.014142</v>
      </c>
      <c r="AF279" s="32">
        <f>IF(DB_SOFProject[[#This Row],[Plan]]&lt;&gt;0,DB_SOFProject[[#This Row],[Actual]]/DB_SOFProject[[#This Row],[Plan]],1.000011000011)</f>
        <v>6.4265678452513492E-2</v>
      </c>
      <c r="AG279" s="34">
        <f>SUM(DB_SOFProject[[#This Row],[Plan01]:[Plan12]])/valUnits2</f>
        <v>69.487202000000011</v>
      </c>
      <c r="AH279" s="34">
        <f>SUMPRODUCT(DB_SOFProject[[#This Row],[Act01]:[Act12]],$Q$3:$AB$3)/valUnits2</f>
        <v>1.3058800000000002</v>
      </c>
    </row>
    <row r="280" spans="2:34" x14ac:dyDescent="0.2">
      <c r="B280" t="s">
        <v>489</v>
      </c>
      <c r="C280" t="s">
        <v>368</v>
      </c>
      <c r="D280" t="s">
        <v>964</v>
      </c>
      <c r="E280">
        <v>26.3</v>
      </c>
      <c r="Q280">
        <v>26.3</v>
      </c>
      <c r="AC280">
        <f>SUMPRODUCT(DB_SOFProject[[#This Row],[Plan01]:[Plan12]],$E$4:$P$4)/valUnits2</f>
        <v>2.63E-2</v>
      </c>
      <c r="AD280">
        <f>SUMPRODUCT(DB_SOFProject[[#This Row],[Act01]:[Act12]],$Q$4:$AB$4)/valUnits2</f>
        <v>2.63E-2</v>
      </c>
      <c r="AE280">
        <f>DB_SOFProject[[#This Row],[Actual]]-DB_SOFProject[[#This Row],[Plan]]</f>
        <v>0</v>
      </c>
      <c r="AF280" s="32">
        <f>IF(DB_SOFProject[[#This Row],[Plan]]&lt;&gt;0,DB_SOFProject[[#This Row],[Actual]]/DB_SOFProject[[#This Row],[Plan]],1.000011000011)</f>
        <v>1</v>
      </c>
      <c r="AG280" s="34">
        <f>SUM(DB_SOFProject[[#This Row],[Plan01]:[Plan12]])/valUnits2</f>
        <v>2.63E-2</v>
      </c>
      <c r="AH280" s="34">
        <f>SUMPRODUCT(DB_SOFProject[[#This Row],[Act01]:[Act12]],$Q$3:$AB$3)/valUnits2</f>
        <v>2.63E-2</v>
      </c>
    </row>
    <row r="281" spans="2:34" x14ac:dyDescent="0.2">
      <c r="B281" t="s">
        <v>489</v>
      </c>
      <c r="C281" t="s">
        <v>368</v>
      </c>
      <c r="D281" t="s">
        <v>975</v>
      </c>
      <c r="E281">
        <v>0</v>
      </c>
      <c r="F281">
        <v>0</v>
      </c>
      <c r="G281">
        <v>0</v>
      </c>
      <c r="H281">
        <v>7350.09</v>
      </c>
      <c r="I281">
        <v>22327.33</v>
      </c>
      <c r="J281">
        <v>11725</v>
      </c>
      <c r="K281">
        <v>11725</v>
      </c>
      <c r="L281">
        <v>11725</v>
      </c>
      <c r="M281">
        <v>11725</v>
      </c>
      <c r="N281">
        <v>11725</v>
      </c>
      <c r="O281">
        <v>11725</v>
      </c>
      <c r="Q281">
        <v>0</v>
      </c>
      <c r="R281">
        <v>0</v>
      </c>
      <c r="S281">
        <v>0</v>
      </c>
      <c r="T281">
        <v>7350.0899999999983</v>
      </c>
      <c r="U281">
        <v>10622.67</v>
      </c>
      <c r="V281">
        <v>7415.8599999999988</v>
      </c>
      <c r="W281">
        <v>0</v>
      </c>
      <c r="X281">
        <v>0</v>
      </c>
      <c r="Y281">
        <v>0</v>
      </c>
      <c r="Z281">
        <v>0</v>
      </c>
      <c r="AA281">
        <v>0</v>
      </c>
      <c r="AC281">
        <f>SUMPRODUCT(DB_SOFProject[[#This Row],[Plan01]:[Plan12]],$E$4:$P$4)/valUnits2</f>
        <v>41.402419999999999</v>
      </c>
      <c r="AD281">
        <f>SUMPRODUCT(DB_SOFProject[[#This Row],[Act01]:[Act12]],$Q$4:$AB$4)/valUnits2</f>
        <v>25.388619999999996</v>
      </c>
      <c r="AE281">
        <f>DB_SOFProject[[#This Row],[Actual]]-DB_SOFProject[[#This Row],[Plan]]</f>
        <v>-16.013800000000003</v>
      </c>
      <c r="AF281" s="32">
        <f>IF(DB_SOFProject[[#This Row],[Plan]]&lt;&gt;0,DB_SOFProject[[#This Row],[Actual]]/DB_SOFProject[[#This Row],[Plan]],1.000011000011)</f>
        <v>0.6132158458370307</v>
      </c>
      <c r="AG281" s="34">
        <f>SUM(DB_SOFProject[[#This Row],[Plan01]:[Plan12]])/valUnits2</f>
        <v>100.02741999999999</v>
      </c>
      <c r="AH281" s="34">
        <f>SUMPRODUCT(DB_SOFProject[[#This Row],[Act01]:[Act12]],$Q$3:$AB$3)/valUnits2</f>
        <v>25.388619999999996</v>
      </c>
    </row>
    <row r="282" spans="2:34" x14ac:dyDescent="0.2">
      <c r="B282" t="s">
        <v>489</v>
      </c>
      <c r="C282" t="s">
        <v>368</v>
      </c>
      <c r="D282" t="s">
        <v>976</v>
      </c>
      <c r="E282">
        <v>0</v>
      </c>
      <c r="F282">
        <v>0</v>
      </c>
      <c r="I282">
        <v>1523.5619999999999</v>
      </c>
      <c r="J282">
        <v>1523.5619999999999</v>
      </c>
      <c r="K282">
        <v>1523.5619999999999</v>
      </c>
      <c r="L282">
        <v>1523.5619999999999</v>
      </c>
      <c r="M282">
        <v>1523.5619999999999</v>
      </c>
      <c r="N282">
        <v>1523.5619999999999</v>
      </c>
      <c r="O282">
        <v>1523.5619999999999</v>
      </c>
      <c r="Q282">
        <v>0</v>
      </c>
      <c r="R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C282">
        <f>SUMPRODUCT(DB_SOFProject[[#This Row],[Plan01]:[Plan12]],$E$4:$P$4)/valUnits2</f>
        <v>3.0471239999999997</v>
      </c>
      <c r="AD282">
        <f>SUMPRODUCT(DB_SOFProject[[#This Row],[Act01]:[Act12]],$Q$4:$AB$4)/valUnits2</f>
        <v>0</v>
      </c>
      <c r="AE282">
        <f>DB_SOFProject[[#This Row],[Actual]]-DB_SOFProject[[#This Row],[Plan]]</f>
        <v>-3.0471239999999997</v>
      </c>
      <c r="AF282" s="32">
        <f>IF(DB_SOFProject[[#This Row],[Plan]]&lt;&gt;0,DB_SOFProject[[#This Row],[Actual]]/DB_SOFProject[[#This Row],[Plan]],1.000011000011)</f>
        <v>0</v>
      </c>
      <c r="AG282" s="34">
        <f>SUM(DB_SOFProject[[#This Row],[Plan01]:[Plan12]])/valUnits2</f>
        <v>10.664933999999999</v>
      </c>
      <c r="AH282" s="34">
        <f>SUMPRODUCT(DB_SOFProject[[#This Row],[Act01]:[Act12]],$Q$3:$AB$3)/valUnits2</f>
        <v>0</v>
      </c>
    </row>
    <row r="283" spans="2:34" x14ac:dyDescent="0.2">
      <c r="B283" t="s">
        <v>489</v>
      </c>
      <c r="C283" t="s">
        <v>368</v>
      </c>
      <c r="D283" t="s">
        <v>980</v>
      </c>
      <c r="E283">
        <v>132.21</v>
      </c>
      <c r="F283">
        <v>0</v>
      </c>
      <c r="H283">
        <v>266.02999999999997</v>
      </c>
      <c r="I283">
        <v>3455.9780000000001</v>
      </c>
      <c r="J283">
        <v>2468.6880000000001</v>
      </c>
      <c r="K283">
        <v>2468.6880000000001</v>
      </c>
      <c r="L283">
        <v>2468.6880000000001</v>
      </c>
      <c r="M283">
        <v>2468.6880000000001</v>
      </c>
      <c r="N283">
        <v>2468.6880000000001</v>
      </c>
      <c r="O283">
        <v>2468.6880000000001</v>
      </c>
      <c r="Q283">
        <v>132.21</v>
      </c>
      <c r="R283">
        <v>0</v>
      </c>
      <c r="T283">
        <v>266.02999999999997</v>
      </c>
      <c r="U283">
        <v>987.29</v>
      </c>
      <c r="V283">
        <v>1175.7</v>
      </c>
      <c r="W283">
        <v>0</v>
      </c>
      <c r="X283">
        <v>0</v>
      </c>
      <c r="Y283">
        <v>0</v>
      </c>
      <c r="Z283">
        <v>0</v>
      </c>
      <c r="AA283">
        <v>0</v>
      </c>
      <c r="AC283">
        <f>SUMPRODUCT(DB_SOFProject[[#This Row],[Plan01]:[Plan12]],$E$4:$P$4)/valUnits2</f>
        <v>6.3229059999999997</v>
      </c>
      <c r="AD283">
        <f>SUMPRODUCT(DB_SOFProject[[#This Row],[Act01]:[Act12]],$Q$4:$AB$4)/valUnits2</f>
        <v>2.5612300000000001</v>
      </c>
      <c r="AE283">
        <f>DB_SOFProject[[#This Row],[Actual]]-DB_SOFProject[[#This Row],[Plan]]</f>
        <v>-3.7616759999999996</v>
      </c>
      <c r="AF283" s="32">
        <f>IF(DB_SOFProject[[#This Row],[Plan]]&lt;&gt;0,DB_SOFProject[[#This Row],[Actual]]/DB_SOFProject[[#This Row],[Plan]],1.000011000011)</f>
        <v>0.40507165534328682</v>
      </c>
      <c r="AG283" s="34">
        <f>SUM(DB_SOFProject[[#This Row],[Plan01]:[Plan12]])/valUnits2</f>
        <v>18.666346000000001</v>
      </c>
      <c r="AH283" s="34">
        <f>SUMPRODUCT(DB_SOFProject[[#This Row],[Act01]:[Act12]],$Q$3:$AB$3)/valUnits2</f>
        <v>2.5612300000000001</v>
      </c>
    </row>
    <row r="284" spans="2:34" x14ac:dyDescent="0.2">
      <c r="B284" t="s">
        <v>489</v>
      </c>
      <c r="C284" t="s">
        <v>368</v>
      </c>
      <c r="D284" t="s">
        <v>999</v>
      </c>
      <c r="E284">
        <v>0</v>
      </c>
      <c r="F284">
        <v>0</v>
      </c>
      <c r="H284">
        <v>2265.21</v>
      </c>
      <c r="I284">
        <v>19291.304</v>
      </c>
      <c r="J284">
        <v>10546.154</v>
      </c>
      <c r="K284">
        <v>10546.154</v>
      </c>
      <c r="L284">
        <v>10546.154</v>
      </c>
      <c r="M284">
        <v>10546.154</v>
      </c>
      <c r="N284">
        <v>10546.154</v>
      </c>
      <c r="O284">
        <v>10546.154</v>
      </c>
      <c r="Q284">
        <v>0</v>
      </c>
      <c r="R284">
        <v>0</v>
      </c>
      <c r="T284">
        <v>2265.21</v>
      </c>
      <c r="U284">
        <v>8745.15</v>
      </c>
      <c r="V284">
        <v>4354.24</v>
      </c>
      <c r="W284">
        <v>0</v>
      </c>
      <c r="X284">
        <v>0</v>
      </c>
      <c r="Y284">
        <v>0</v>
      </c>
      <c r="Z284">
        <v>0</v>
      </c>
      <c r="AA284">
        <v>0</v>
      </c>
      <c r="AC284">
        <f>SUMPRODUCT(DB_SOFProject[[#This Row],[Plan01]:[Plan12]],$E$4:$P$4)/valUnits2</f>
        <v>32.102668000000001</v>
      </c>
      <c r="AD284">
        <f>SUMPRODUCT(DB_SOFProject[[#This Row],[Act01]:[Act12]],$Q$4:$AB$4)/valUnits2</f>
        <v>15.364600000000001</v>
      </c>
      <c r="AE284">
        <f>DB_SOFProject[[#This Row],[Actual]]-DB_SOFProject[[#This Row],[Plan]]</f>
        <v>-16.738067999999998</v>
      </c>
      <c r="AF284" s="32">
        <f>IF(DB_SOFProject[[#This Row],[Plan]]&lt;&gt;0,DB_SOFProject[[#This Row],[Actual]]/DB_SOFProject[[#This Row],[Plan]],1.000011000011)</f>
        <v>0.47860819543098415</v>
      </c>
      <c r="AG284" s="34">
        <f>SUM(DB_SOFProject[[#This Row],[Plan01]:[Plan12]])/valUnits2</f>
        <v>84.833438000000001</v>
      </c>
      <c r="AH284" s="34">
        <f>SUMPRODUCT(DB_SOFProject[[#This Row],[Act01]:[Act12]],$Q$3:$AB$3)/valUnits2</f>
        <v>15.364600000000001</v>
      </c>
    </row>
    <row r="285" spans="2:34" x14ac:dyDescent="0.2">
      <c r="B285" t="s">
        <v>489</v>
      </c>
      <c r="C285" t="s">
        <v>892</v>
      </c>
      <c r="D285" t="s">
        <v>959</v>
      </c>
      <c r="F285">
        <v>207.48</v>
      </c>
      <c r="R285">
        <v>211.82999999999998</v>
      </c>
      <c r="AC285">
        <f>SUMPRODUCT(DB_SOFProject[[#This Row],[Plan01]:[Plan12]],$E$4:$P$4)/valUnits2</f>
        <v>0.20748</v>
      </c>
      <c r="AD285">
        <f>SUMPRODUCT(DB_SOFProject[[#This Row],[Act01]:[Act12]],$Q$4:$AB$4)/valUnits2</f>
        <v>0.21182999999999999</v>
      </c>
      <c r="AE285">
        <f>DB_SOFProject[[#This Row],[Actual]]-DB_SOFProject[[#This Row],[Plan]]</f>
        <v>4.3499999999999928E-3</v>
      </c>
      <c r="AF285" s="32">
        <f>IF(DB_SOFProject[[#This Row],[Plan]]&lt;&gt;0,DB_SOFProject[[#This Row],[Actual]]/DB_SOFProject[[#This Row],[Plan]],1.000011000011)</f>
        <v>1.0209658762290341</v>
      </c>
      <c r="AG285" s="34">
        <f>SUM(DB_SOFProject[[#This Row],[Plan01]:[Plan12]])/valUnits2</f>
        <v>0.20748</v>
      </c>
      <c r="AH285" s="34">
        <f>SUMPRODUCT(DB_SOFProject[[#This Row],[Act01]:[Act12]],$Q$3:$AB$3)/valUnits2</f>
        <v>0.21182999999999999</v>
      </c>
    </row>
    <row r="286" spans="2:34" x14ac:dyDescent="0.2">
      <c r="B286" t="s">
        <v>489</v>
      </c>
      <c r="C286" t="s">
        <v>892</v>
      </c>
      <c r="D286" t="s">
        <v>975</v>
      </c>
      <c r="E286">
        <v>428.21800000000002</v>
      </c>
      <c r="F286">
        <v>-122.785</v>
      </c>
      <c r="G286">
        <v>973.48899999999992</v>
      </c>
      <c r="H286">
        <v>1471.924</v>
      </c>
      <c r="I286">
        <v>2274.5500000000002</v>
      </c>
      <c r="J286">
        <v>414.27000000000004</v>
      </c>
      <c r="K286">
        <v>414.27000000000004</v>
      </c>
      <c r="L286">
        <v>414.27000000000004</v>
      </c>
      <c r="M286">
        <v>414.27000000000004</v>
      </c>
      <c r="N286">
        <v>414.27000000000004</v>
      </c>
      <c r="O286">
        <v>414.27000000000004</v>
      </c>
      <c r="P286">
        <v>414.27000000000004</v>
      </c>
      <c r="Q286">
        <v>0</v>
      </c>
      <c r="R286">
        <v>-526.1400000000001</v>
      </c>
      <c r="S286">
        <v>564.28</v>
      </c>
      <c r="T286">
        <v>1062.47</v>
      </c>
      <c r="U286">
        <v>1840.7000000000005</v>
      </c>
      <c r="V286">
        <v>700.64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f>SUMPRODUCT(DB_SOFProject[[#This Row],[Plan01]:[Plan12]],$E$4:$P$4)/valUnits2</f>
        <v>5.4396660000000008</v>
      </c>
      <c r="AD286">
        <f>SUMPRODUCT(DB_SOFProject[[#This Row],[Act01]:[Act12]],$Q$4:$AB$4)/valUnits2</f>
        <v>3.6419500000000005</v>
      </c>
      <c r="AE286">
        <f>DB_SOFProject[[#This Row],[Actual]]-DB_SOFProject[[#This Row],[Plan]]</f>
        <v>-1.7977160000000003</v>
      </c>
      <c r="AF286" s="32">
        <f>IF(DB_SOFProject[[#This Row],[Plan]]&lt;&gt;0,DB_SOFProject[[#This Row],[Actual]]/DB_SOFProject[[#This Row],[Plan]],1.000011000011)</f>
        <v>0.66951720932866099</v>
      </c>
      <c r="AG286" s="34">
        <f>SUM(DB_SOFProject[[#This Row],[Plan01]:[Plan12]])/valUnits2</f>
        <v>7.9252860000000034</v>
      </c>
      <c r="AH286" s="34">
        <f>SUMPRODUCT(DB_SOFProject[[#This Row],[Act01]:[Act12]],$Q$3:$AB$3)/valUnits2</f>
        <v>3.6419500000000005</v>
      </c>
    </row>
    <row r="287" spans="2:34" x14ac:dyDescent="0.2">
      <c r="B287" t="s">
        <v>489</v>
      </c>
      <c r="C287" t="s">
        <v>892</v>
      </c>
      <c r="D287" t="s">
        <v>998</v>
      </c>
      <c r="F287">
        <v>1058.454</v>
      </c>
      <c r="G287">
        <v>855.1389999999999</v>
      </c>
      <c r="H287">
        <v>1129.8340000000001</v>
      </c>
      <c r="I287">
        <v>355.36</v>
      </c>
      <c r="J287">
        <v>0</v>
      </c>
      <c r="R287">
        <v>1079.28</v>
      </c>
      <c r="S287">
        <v>861.25</v>
      </c>
      <c r="T287">
        <v>1121.97</v>
      </c>
      <c r="U287">
        <v>357.13</v>
      </c>
      <c r="V287">
        <v>8.77</v>
      </c>
      <c r="AC287">
        <f>SUMPRODUCT(DB_SOFProject[[#This Row],[Plan01]:[Plan12]],$E$4:$P$4)/valUnits2</f>
        <v>3.398787</v>
      </c>
      <c r="AD287">
        <f>SUMPRODUCT(DB_SOFProject[[#This Row],[Act01]:[Act12]],$Q$4:$AB$4)/valUnits2</f>
        <v>3.4283999999999999</v>
      </c>
      <c r="AE287">
        <f>DB_SOFProject[[#This Row],[Actual]]-DB_SOFProject[[#This Row],[Plan]]</f>
        <v>2.9612999999999889E-2</v>
      </c>
      <c r="AF287" s="32">
        <f>IF(DB_SOFProject[[#This Row],[Plan]]&lt;&gt;0,DB_SOFProject[[#This Row],[Actual]]/DB_SOFProject[[#This Row],[Plan]],1.000011000011)</f>
        <v>1.0087128143069866</v>
      </c>
      <c r="AG287" s="34">
        <f>SUM(DB_SOFProject[[#This Row],[Plan01]:[Plan12]])/valUnits2</f>
        <v>3.398787</v>
      </c>
      <c r="AH287" s="34">
        <f>SUMPRODUCT(DB_SOFProject[[#This Row],[Act01]:[Act12]],$Q$3:$AB$3)/valUnits2</f>
        <v>3.4283999999999999</v>
      </c>
    </row>
    <row r="288" spans="2:34" x14ac:dyDescent="0.2">
      <c r="B288" t="s">
        <v>489</v>
      </c>
      <c r="C288" t="s">
        <v>892</v>
      </c>
      <c r="D288" t="s">
        <v>999</v>
      </c>
      <c r="E288">
        <v>338.06600000000003</v>
      </c>
      <c r="F288">
        <v>327.05399999999997</v>
      </c>
      <c r="G288">
        <v>327.05399999999997</v>
      </c>
      <c r="H288">
        <v>327.05399999999997</v>
      </c>
      <c r="I288">
        <v>327.05399999999997</v>
      </c>
      <c r="J288">
        <v>327.05399999999997</v>
      </c>
      <c r="K288">
        <v>327.05399999999997</v>
      </c>
      <c r="L288">
        <v>327.05399999999997</v>
      </c>
      <c r="M288">
        <v>327.05399999999997</v>
      </c>
      <c r="N288">
        <v>327.05399999999997</v>
      </c>
      <c r="O288">
        <v>327.05399999999997</v>
      </c>
      <c r="P288">
        <v>327.05399999999997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f>SUMPRODUCT(DB_SOFProject[[#This Row],[Plan01]:[Plan12]],$E$4:$P$4)/valUnits2</f>
        <v>1.9733360000000002</v>
      </c>
      <c r="AD288">
        <f>SUMPRODUCT(DB_SOFProject[[#This Row],[Act01]:[Act12]],$Q$4:$AB$4)/valUnits2</f>
        <v>0</v>
      </c>
      <c r="AE288">
        <f>DB_SOFProject[[#This Row],[Actual]]-DB_SOFProject[[#This Row],[Plan]]</f>
        <v>-1.9733360000000002</v>
      </c>
      <c r="AF288" s="32">
        <f>IF(DB_SOFProject[[#This Row],[Plan]]&lt;&gt;0,DB_SOFProject[[#This Row],[Actual]]/DB_SOFProject[[#This Row],[Plan]],1.000011000011)</f>
        <v>0</v>
      </c>
      <c r="AG288" s="34">
        <f>SUM(DB_SOFProject[[#This Row],[Plan01]:[Plan12]])/valUnits2</f>
        <v>3.9356600000000008</v>
      </c>
      <c r="AH288" s="34">
        <f>SUMPRODUCT(DB_SOFProject[[#This Row],[Act01]:[Act12]],$Q$3:$AB$3)/valUnits2</f>
        <v>0</v>
      </c>
    </row>
    <row r="289" spans="2:34" x14ac:dyDescent="0.2">
      <c r="B289" t="s">
        <v>489</v>
      </c>
      <c r="C289" t="s">
        <v>893</v>
      </c>
      <c r="D289" t="s">
        <v>975</v>
      </c>
      <c r="G289">
        <v>2673.3850000000002</v>
      </c>
      <c r="S289">
        <v>2756.69</v>
      </c>
      <c r="AC289">
        <f>SUMPRODUCT(DB_SOFProject[[#This Row],[Plan01]:[Plan12]],$E$4:$P$4)/valUnits2</f>
        <v>2.6733850000000001</v>
      </c>
      <c r="AD289">
        <f>SUMPRODUCT(DB_SOFProject[[#This Row],[Act01]:[Act12]],$Q$4:$AB$4)/valUnits2</f>
        <v>2.7566899999999999</v>
      </c>
      <c r="AE289">
        <f>DB_SOFProject[[#This Row],[Actual]]-DB_SOFProject[[#This Row],[Plan]]</f>
        <v>8.330499999999974E-2</v>
      </c>
      <c r="AF289" s="32">
        <f>IF(DB_SOFProject[[#This Row],[Plan]]&lt;&gt;0,DB_SOFProject[[#This Row],[Actual]]/DB_SOFProject[[#This Row],[Plan]],1.000011000011)</f>
        <v>1.0311608690854477</v>
      </c>
      <c r="AG289" s="34">
        <f>SUM(DB_SOFProject[[#This Row],[Plan01]:[Plan12]])/valUnits2</f>
        <v>2.6733850000000001</v>
      </c>
      <c r="AH289" s="34">
        <f>SUMPRODUCT(DB_SOFProject[[#This Row],[Act01]:[Act12]],$Q$3:$AB$3)/valUnits2</f>
        <v>2.7566899999999999</v>
      </c>
    </row>
    <row r="290" spans="2:34" x14ac:dyDescent="0.2">
      <c r="B290" t="s">
        <v>489</v>
      </c>
      <c r="C290" t="s">
        <v>894</v>
      </c>
      <c r="D290" t="s">
        <v>975</v>
      </c>
      <c r="G290">
        <v>-270.34500000000003</v>
      </c>
      <c r="I290">
        <v>40.877999999999993</v>
      </c>
      <c r="S290">
        <v>-263.09000000000003</v>
      </c>
      <c r="U290">
        <v>42.73</v>
      </c>
      <c r="AC290">
        <f>SUMPRODUCT(DB_SOFProject[[#This Row],[Plan01]:[Plan12]],$E$4:$P$4)/valUnits2</f>
        <v>-0.22946700000000003</v>
      </c>
      <c r="AD290">
        <f>SUMPRODUCT(DB_SOFProject[[#This Row],[Act01]:[Act12]],$Q$4:$AB$4)/valUnits2</f>
        <v>-0.22036000000000006</v>
      </c>
      <c r="AE290">
        <f>DB_SOFProject[[#This Row],[Actual]]-DB_SOFProject[[#This Row],[Plan]]</f>
        <v>9.1069999999999762E-3</v>
      </c>
      <c r="AF290" s="32">
        <f>IF(DB_SOFProject[[#This Row],[Plan]]&lt;&gt;0,DB_SOFProject[[#This Row],[Actual]]/DB_SOFProject[[#This Row],[Plan]],1.000011000011)</f>
        <v>0.96031237607150499</v>
      </c>
      <c r="AG290" s="34">
        <f>SUM(DB_SOFProject[[#This Row],[Plan01]:[Plan12]])/valUnits2</f>
        <v>-0.22946700000000003</v>
      </c>
      <c r="AH290" s="34">
        <f>SUMPRODUCT(DB_SOFProject[[#This Row],[Act01]:[Act12]],$Q$3:$AB$3)/valUnits2</f>
        <v>-0.22036000000000006</v>
      </c>
    </row>
    <row r="291" spans="2:34" x14ac:dyDescent="0.2">
      <c r="B291" t="s">
        <v>489</v>
      </c>
      <c r="C291" t="s">
        <v>895</v>
      </c>
      <c r="D291" t="s">
        <v>959</v>
      </c>
      <c r="E291">
        <v>586.077</v>
      </c>
      <c r="F291">
        <v>619.72500000000002</v>
      </c>
      <c r="G291">
        <v>704.59199999999998</v>
      </c>
      <c r="H291">
        <v>620.01599999999996</v>
      </c>
      <c r="I291">
        <v>625.90899999999999</v>
      </c>
      <c r="J291">
        <v>0</v>
      </c>
      <c r="Q291">
        <v>577.41</v>
      </c>
      <c r="R291">
        <v>632.72</v>
      </c>
      <c r="S291">
        <v>710.97</v>
      </c>
      <c r="T291">
        <v>616.48</v>
      </c>
      <c r="U291">
        <v>618.32000000000005</v>
      </c>
      <c r="V291">
        <v>811.17</v>
      </c>
      <c r="AC291">
        <f>SUMPRODUCT(DB_SOFProject[[#This Row],[Plan01]:[Plan12]],$E$4:$P$4)/valUnits2</f>
        <v>3.1563190000000003</v>
      </c>
      <c r="AD291">
        <f>SUMPRODUCT(DB_SOFProject[[#This Row],[Act01]:[Act12]],$Q$4:$AB$4)/valUnits2</f>
        <v>3.9670700000000001</v>
      </c>
      <c r="AE291">
        <f>DB_SOFProject[[#This Row],[Actual]]-DB_SOFProject[[#This Row],[Plan]]</f>
        <v>0.81075099999999978</v>
      </c>
      <c r="AF291" s="32">
        <f>IF(DB_SOFProject[[#This Row],[Plan]]&lt;&gt;0,DB_SOFProject[[#This Row],[Actual]]/DB_SOFProject[[#This Row],[Plan]],1.000011000011)</f>
        <v>1.2568659885138351</v>
      </c>
      <c r="AG291" s="34">
        <f>SUM(DB_SOFProject[[#This Row],[Plan01]:[Plan12]])/valUnits2</f>
        <v>3.1563190000000003</v>
      </c>
      <c r="AH291" s="34">
        <f>SUMPRODUCT(DB_SOFProject[[#This Row],[Act01]:[Act12]],$Q$3:$AB$3)/valUnits2</f>
        <v>3.9670700000000001</v>
      </c>
    </row>
    <row r="292" spans="2:34" x14ac:dyDescent="0.2">
      <c r="B292" t="s">
        <v>489</v>
      </c>
      <c r="C292" t="s">
        <v>895</v>
      </c>
      <c r="D292" t="s">
        <v>975</v>
      </c>
      <c r="E292">
        <v>263.81099999999998</v>
      </c>
      <c r="F292">
        <v>277.32499999999999</v>
      </c>
      <c r="G292">
        <v>318.38900000000001</v>
      </c>
      <c r="H292">
        <v>3092.712</v>
      </c>
      <c r="I292">
        <v>1849.5650000000003</v>
      </c>
      <c r="J292">
        <v>3536.4400000000005</v>
      </c>
      <c r="K292">
        <v>3536.4400000000005</v>
      </c>
      <c r="L292">
        <v>3536.4400000000005</v>
      </c>
      <c r="M292">
        <v>3536.44</v>
      </c>
      <c r="N292">
        <v>3536.4400000000005</v>
      </c>
      <c r="O292">
        <v>3536.4400000000005</v>
      </c>
      <c r="P292">
        <v>3536.4400000000005</v>
      </c>
      <c r="Q292">
        <v>259.90999999999997</v>
      </c>
      <c r="R292">
        <v>283.14</v>
      </c>
      <c r="S292">
        <v>321.27</v>
      </c>
      <c r="T292">
        <v>3093.41</v>
      </c>
      <c r="U292">
        <v>1865.93</v>
      </c>
      <c r="V292">
        <v>851.21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f>SUMPRODUCT(DB_SOFProject[[#This Row],[Plan01]:[Plan12]],$E$4:$P$4)/valUnits2</f>
        <v>9.3382420000000028</v>
      </c>
      <c r="AD292">
        <f>SUMPRODUCT(DB_SOFProject[[#This Row],[Act01]:[Act12]],$Q$4:$AB$4)/valUnits2</f>
        <v>6.6748700000000003</v>
      </c>
      <c r="AE292">
        <f>DB_SOFProject[[#This Row],[Actual]]-DB_SOFProject[[#This Row],[Plan]]</f>
        <v>-2.6633720000000025</v>
      </c>
      <c r="AF292" s="32">
        <f>IF(DB_SOFProject[[#This Row],[Plan]]&lt;&gt;0,DB_SOFProject[[#This Row],[Actual]]/DB_SOFProject[[#This Row],[Plan]],1.000011000011)</f>
        <v>0.71478871504936348</v>
      </c>
      <c r="AG292" s="34">
        <f>SUM(DB_SOFProject[[#This Row],[Plan01]:[Plan12]])/valUnits2</f>
        <v>30.556882000000005</v>
      </c>
      <c r="AH292" s="34">
        <f>SUMPRODUCT(DB_SOFProject[[#This Row],[Act01]:[Act12]],$Q$3:$AB$3)/valUnits2</f>
        <v>6.6748700000000003</v>
      </c>
    </row>
    <row r="293" spans="2:34" x14ac:dyDescent="0.2">
      <c r="B293" t="s">
        <v>489</v>
      </c>
      <c r="C293" t="s">
        <v>895</v>
      </c>
      <c r="D293" t="s">
        <v>984</v>
      </c>
      <c r="F293">
        <v>311.18400000000003</v>
      </c>
      <c r="G293">
        <v>307.41800000000001</v>
      </c>
      <c r="H293">
        <v>462.71100000000001</v>
      </c>
      <c r="I293">
        <v>574.93100000000004</v>
      </c>
      <c r="J293">
        <v>0</v>
      </c>
      <c r="R293">
        <v>317.70999999999998</v>
      </c>
      <c r="S293">
        <v>310.2</v>
      </c>
      <c r="T293">
        <v>458.78999999999996</v>
      </c>
      <c r="U293">
        <v>577.86</v>
      </c>
      <c r="V293">
        <v>317.43</v>
      </c>
      <c r="AC293">
        <f>SUMPRODUCT(DB_SOFProject[[#This Row],[Plan01]:[Plan12]],$E$4:$P$4)/valUnits2</f>
        <v>1.656244</v>
      </c>
      <c r="AD293">
        <f>SUMPRODUCT(DB_SOFProject[[#This Row],[Act01]:[Act12]],$Q$4:$AB$4)/valUnits2</f>
        <v>1.9819899999999999</v>
      </c>
      <c r="AE293">
        <f>DB_SOFProject[[#This Row],[Actual]]-DB_SOFProject[[#This Row],[Plan]]</f>
        <v>0.32574599999999987</v>
      </c>
      <c r="AF293" s="32">
        <f>IF(DB_SOFProject[[#This Row],[Plan]]&lt;&gt;0,DB_SOFProject[[#This Row],[Actual]]/DB_SOFProject[[#This Row],[Plan]],1.000011000011)</f>
        <v>1.1966775426809093</v>
      </c>
      <c r="AG293" s="34">
        <f>SUM(DB_SOFProject[[#This Row],[Plan01]:[Plan12]])/valUnits2</f>
        <v>1.656244</v>
      </c>
      <c r="AH293" s="34">
        <f>SUMPRODUCT(DB_SOFProject[[#This Row],[Act01]:[Act12]],$Q$3:$AB$3)/valUnits2</f>
        <v>1.9819899999999999</v>
      </c>
    </row>
    <row r="294" spans="2:34" x14ac:dyDescent="0.2">
      <c r="B294" t="s">
        <v>489</v>
      </c>
      <c r="C294" t="s">
        <v>895</v>
      </c>
      <c r="D294" t="s">
        <v>999</v>
      </c>
      <c r="E294">
        <v>0</v>
      </c>
      <c r="F294">
        <v>0</v>
      </c>
      <c r="G294">
        <v>0</v>
      </c>
      <c r="H294">
        <v>1091.9839999999999</v>
      </c>
      <c r="I294">
        <v>308.58199999999999</v>
      </c>
      <c r="J294">
        <v>759.14200000000005</v>
      </c>
      <c r="K294">
        <v>759.14200000000005</v>
      </c>
      <c r="L294">
        <v>759.14200000000005</v>
      </c>
      <c r="M294">
        <v>759.14200000000005</v>
      </c>
      <c r="N294">
        <v>759.14200000000005</v>
      </c>
      <c r="O294">
        <v>759.14200000000005</v>
      </c>
      <c r="P294">
        <v>759.14200000000005</v>
      </c>
      <c r="Q294">
        <v>0</v>
      </c>
      <c r="R294">
        <v>0</v>
      </c>
      <c r="S294">
        <v>0</v>
      </c>
      <c r="T294">
        <v>1096.5700000000002</v>
      </c>
      <c r="U294">
        <v>304.84000000000003</v>
      </c>
      <c r="V294">
        <v>304.64000000000004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f>SUMPRODUCT(DB_SOFProject[[#This Row],[Plan01]:[Plan12]],$E$4:$P$4)/valUnits2</f>
        <v>2.1597079999999997</v>
      </c>
      <c r="AD294">
        <f>SUMPRODUCT(DB_SOFProject[[#This Row],[Act01]:[Act12]],$Q$4:$AB$4)/valUnits2</f>
        <v>1.7060500000000005</v>
      </c>
      <c r="AE294">
        <f>DB_SOFProject[[#This Row],[Actual]]-DB_SOFProject[[#This Row],[Plan]]</f>
        <v>-0.45365799999999923</v>
      </c>
      <c r="AF294" s="32">
        <f>IF(DB_SOFProject[[#This Row],[Plan]]&lt;&gt;0,DB_SOFProject[[#This Row],[Actual]]/DB_SOFProject[[#This Row],[Plan]],1.000011000011)</f>
        <v>0.78994475179052015</v>
      </c>
      <c r="AG294" s="34">
        <f>SUM(DB_SOFProject[[#This Row],[Plan01]:[Plan12]])/valUnits2</f>
        <v>6.7145599999999988</v>
      </c>
      <c r="AH294" s="34">
        <f>SUMPRODUCT(DB_SOFProject[[#This Row],[Act01]:[Act12]],$Q$3:$AB$3)/valUnits2</f>
        <v>1.7060500000000005</v>
      </c>
    </row>
    <row r="295" spans="2:34" x14ac:dyDescent="0.2">
      <c r="B295" t="s">
        <v>489</v>
      </c>
      <c r="C295" t="s">
        <v>896</v>
      </c>
      <c r="D295" t="s">
        <v>946</v>
      </c>
      <c r="E295">
        <v>0</v>
      </c>
      <c r="F295">
        <v>0</v>
      </c>
      <c r="G295">
        <v>0</v>
      </c>
      <c r="H295">
        <v>2321.1120000000001</v>
      </c>
      <c r="I295">
        <v>1583.3340000000001</v>
      </c>
      <c r="J295">
        <v>535.10300000000007</v>
      </c>
      <c r="K295">
        <v>535.10300000000007</v>
      </c>
      <c r="L295">
        <v>535.10300000000007</v>
      </c>
      <c r="M295">
        <v>535.10300000000007</v>
      </c>
      <c r="N295">
        <v>535.10300000000007</v>
      </c>
      <c r="O295">
        <v>535.10300000000007</v>
      </c>
      <c r="P295">
        <v>535.10300000000007</v>
      </c>
      <c r="Q295">
        <v>0</v>
      </c>
      <c r="R295">
        <v>0</v>
      </c>
      <c r="S295">
        <v>0</v>
      </c>
      <c r="T295">
        <v>2306.7599999999998</v>
      </c>
      <c r="U295">
        <v>1578.99</v>
      </c>
      <c r="V295">
        <v>1348.46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f>SUMPRODUCT(DB_SOFProject[[#This Row],[Plan01]:[Plan12]],$E$4:$P$4)/valUnits2</f>
        <v>4.4395490000000004</v>
      </c>
      <c r="AD295">
        <f>SUMPRODUCT(DB_SOFProject[[#This Row],[Act01]:[Act12]],$Q$4:$AB$4)/valUnits2</f>
        <v>5.23421</v>
      </c>
      <c r="AE295">
        <f>DB_SOFProject[[#This Row],[Actual]]-DB_SOFProject[[#This Row],[Plan]]</f>
        <v>0.79466099999999962</v>
      </c>
      <c r="AF295" s="32">
        <f>IF(DB_SOFProject[[#This Row],[Plan]]&lt;&gt;0,DB_SOFProject[[#This Row],[Actual]]/DB_SOFProject[[#This Row],[Plan]],1.000011000011)</f>
        <v>1.1789958844918706</v>
      </c>
      <c r="AG295" s="34">
        <f>SUM(DB_SOFProject[[#This Row],[Plan01]:[Plan12]])/valUnits2</f>
        <v>7.6501670000000006</v>
      </c>
      <c r="AH295" s="34">
        <f>SUMPRODUCT(DB_SOFProject[[#This Row],[Act01]:[Act12]],$Q$3:$AB$3)/valUnits2</f>
        <v>5.23421</v>
      </c>
    </row>
    <row r="296" spans="2:34" x14ac:dyDescent="0.2">
      <c r="B296" t="s">
        <v>489</v>
      </c>
      <c r="C296" t="s">
        <v>896</v>
      </c>
      <c r="D296" t="s">
        <v>959</v>
      </c>
      <c r="E296">
        <v>22.581</v>
      </c>
      <c r="F296">
        <v>0</v>
      </c>
      <c r="G296">
        <v>0</v>
      </c>
      <c r="H296">
        <v>0</v>
      </c>
      <c r="I296">
        <v>0</v>
      </c>
      <c r="J296">
        <v>1070.2049999999999</v>
      </c>
      <c r="K296">
        <v>1070.2049999999999</v>
      </c>
      <c r="L296">
        <v>1070.2049999999999</v>
      </c>
      <c r="M296">
        <v>1070.2049999999999</v>
      </c>
      <c r="N296">
        <v>1070.2049999999999</v>
      </c>
      <c r="O296">
        <v>1070.2049999999999</v>
      </c>
      <c r="P296">
        <v>1070.2049999999999</v>
      </c>
      <c r="Q296">
        <v>22.58</v>
      </c>
      <c r="R296">
        <v>0</v>
      </c>
      <c r="S296">
        <v>0</v>
      </c>
      <c r="T296">
        <v>0</v>
      </c>
      <c r="U296">
        <v>0</v>
      </c>
      <c r="V296">
        <v>16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f>SUMPRODUCT(DB_SOFProject[[#This Row],[Plan01]:[Plan12]],$E$4:$P$4)/valUnits2</f>
        <v>1.0927859999999998</v>
      </c>
      <c r="AD296">
        <f>SUMPRODUCT(DB_SOFProject[[#This Row],[Act01]:[Act12]],$Q$4:$AB$4)/valUnits2</f>
        <v>3.8579999999999996E-2</v>
      </c>
      <c r="AE296">
        <f>DB_SOFProject[[#This Row],[Actual]]-DB_SOFProject[[#This Row],[Plan]]</f>
        <v>-1.0542059999999998</v>
      </c>
      <c r="AF296" s="32">
        <f>IF(DB_SOFProject[[#This Row],[Plan]]&lt;&gt;0,DB_SOFProject[[#This Row],[Actual]]/DB_SOFProject[[#This Row],[Plan]],1.000011000011)</f>
        <v>3.5304259022352048E-2</v>
      </c>
      <c r="AG296" s="34">
        <f>SUM(DB_SOFProject[[#This Row],[Plan01]:[Plan12]])/valUnits2</f>
        <v>7.5140159999999998</v>
      </c>
      <c r="AH296" s="34">
        <f>SUMPRODUCT(DB_SOFProject[[#This Row],[Act01]:[Act12]],$Q$3:$AB$3)/valUnits2</f>
        <v>3.8579999999999996E-2</v>
      </c>
    </row>
    <row r="297" spans="2:34" x14ac:dyDescent="0.2">
      <c r="B297" t="s">
        <v>489</v>
      </c>
      <c r="C297" t="s">
        <v>896</v>
      </c>
      <c r="D297" t="s">
        <v>975</v>
      </c>
      <c r="E297">
        <v>0</v>
      </c>
      <c r="F297">
        <v>1783.3309999999999</v>
      </c>
      <c r="G297">
        <v>0</v>
      </c>
      <c r="H297">
        <v>7419.3579999999993</v>
      </c>
      <c r="I297">
        <v>3985.4879999999998</v>
      </c>
      <c r="J297">
        <v>722.3889999999999</v>
      </c>
      <c r="K297">
        <v>722.3889999999999</v>
      </c>
      <c r="L297">
        <v>722.3889999999999</v>
      </c>
      <c r="M297">
        <v>722.3889999999999</v>
      </c>
      <c r="N297">
        <v>722.3889999999999</v>
      </c>
      <c r="O297">
        <v>722.3889999999999</v>
      </c>
      <c r="P297">
        <v>722.3889999999999</v>
      </c>
      <c r="Q297">
        <v>0</v>
      </c>
      <c r="R297">
        <v>1783.3200000000002</v>
      </c>
      <c r="S297">
        <v>0</v>
      </c>
      <c r="T297">
        <v>7364.11</v>
      </c>
      <c r="U297">
        <v>3990.07</v>
      </c>
      <c r="V297">
        <v>1413.32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f>SUMPRODUCT(DB_SOFProject[[#This Row],[Plan01]:[Plan12]],$E$4:$P$4)/valUnits2</f>
        <v>13.910565999999998</v>
      </c>
      <c r="AD297">
        <f>SUMPRODUCT(DB_SOFProject[[#This Row],[Act01]:[Act12]],$Q$4:$AB$4)/valUnits2</f>
        <v>14.55082</v>
      </c>
      <c r="AE297">
        <f>DB_SOFProject[[#This Row],[Actual]]-DB_SOFProject[[#This Row],[Plan]]</f>
        <v>0.64025400000000232</v>
      </c>
      <c r="AF297" s="32">
        <f>IF(DB_SOFProject[[#This Row],[Plan]]&lt;&gt;0,DB_SOFProject[[#This Row],[Actual]]/DB_SOFProject[[#This Row],[Plan]],1.000011000011)</f>
        <v>1.0460264521227967</v>
      </c>
      <c r="AG297" s="34">
        <f>SUM(DB_SOFProject[[#This Row],[Plan01]:[Plan12]])/valUnits2</f>
        <v>18.244899999999994</v>
      </c>
      <c r="AH297" s="34">
        <f>SUMPRODUCT(DB_SOFProject[[#This Row],[Act01]:[Act12]],$Q$3:$AB$3)/valUnits2</f>
        <v>14.55082</v>
      </c>
    </row>
    <row r="298" spans="2:34" x14ac:dyDescent="0.2">
      <c r="B298" t="s">
        <v>489</v>
      </c>
      <c r="C298" t="s">
        <v>896</v>
      </c>
      <c r="D298" t="s">
        <v>976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f>SUMPRODUCT(DB_SOFProject[[#This Row],[Plan01]:[Plan12]],$E$4:$P$4)/valUnits2</f>
        <v>0</v>
      </c>
      <c r="AD298">
        <f>SUMPRODUCT(DB_SOFProject[[#This Row],[Act01]:[Act12]],$Q$4:$AB$4)/valUnits2</f>
        <v>0</v>
      </c>
      <c r="AE298">
        <f>DB_SOFProject[[#This Row],[Actual]]-DB_SOFProject[[#This Row],[Plan]]</f>
        <v>0</v>
      </c>
      <c r="AF298" s="32">
        <f>IF(DB_SOFProject[[#This Row],[Plan]]&lt;&gt;0,DB_SOFProject[[#This Row],[Actual]]/DB_SOFProject[[#This Row],[Plan]],1.000011000011)</f>
        <v>1.0000110000110001</v>
      </c>
      <c r="AG298" s="34">
        <f>SUM(DB_SOFProject[[#This Row],[Plan01]:[Plan12]])/valUnits2</f>
        <v>0</v>
      </c>
      <c r="AH298" s="34">
        <f>SUMPRODUCT(DB_SOFProject[[#This Row],[Act01]:[Act12]],$Q$3:$AB$3)/valUnits2</f>
        <v>0</v>
      </c>
    </row>
    <row r="299" spans="2:34" x14ac:dyDescent="0.2">
      <c r="B299" t="s">
        <v>489</v>
      </c>
      <c r="C299" t="s">
        <v>896</v>
      </c>
      <c r="D299" t="s">
        <v>980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535.10300000000007</v>
      </c>
      <c r="K299">
        <v>535.10300000000007</v>
      </c>
      <c r="L299">
        <v>535.10300000000007</v>
      </c>
      <c r="M299">
        <v>535.10300000000007</v>
      </c>
      <c r="N299">
        <v>535.10300000000007</v>
      </c>
      <c r="O299">
        <v>535.10300000000007</v>
      </c>
      <c r="P299">
        <v>535.10300000000007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f>SUMPRODUCT(DB_SOFProject[[#This Row],[Plan01]:[Plan12]],$E$4:$P$4)/valUnits2</f>
        <v>0.53510300000000011</v>
      </c>
      <c r="AD299">
        <f>SUMPRODUCT(DB_SOFProject[[#This Row],[Act01]:[Act12]],$Q$4:$AB$4)/valUnits2</f>
        <v>0</v>
      </c>
      <c r="AE299">
        <f>DB_SOFProject[[#This Row],[Actual]]-DB_SOFProject[[#This Row],[Plan]]</f>
        <v>-0.53510300000000011</v>
      </c>
      <c r="AF299" s="32">
        <f>IF(DB_SOFProject[[#This Row],[Plan]]&lt;&gt;0,DB_SOFProject[[#This Row],[Actual]]/DB_SOFProject[[#This Row],[Plan]],1.000011000011)</f>
        <v>0</v>
      </c>
      <c r="AG299" s="34">
        <f>SUM(DB_SOFProject[[#This Row],[Plan01]:[Plan12]])/valUnits2</f>
        <v>3.7457210000000005</v>
      </c>
      <c r="AH299" s="34">
        <f>SUMPRODUCT(DB_SOFProject[[#This Row],[Act01]:[Act12]],$Q$3:$AB$3)/valUnits2</f>
        <v>0</v>
      </c>
    </row>
    <row r="300" spans="2:34" x14ac:dyDescent="0.2">
      <c r="B300" t="s">
        <v>489</v>
      </c>
      <c r="C300" t="s">
        <v>896</v>
      </c>
      <c r="D300" t="s">
        <v>984</v>
      </c>
      <c r="F300">
        <v>304.755</v>
      </c>
      <c r="H300">
        <v>450.93299999999999</v>
      </c>
      <c r="I300">
        <v>1513.953</v>
      </c>
      <c r="J300">
        <v>0</v>
      </c>
      <c r="R300">
        <v>304.76</v>
      </c>
      <c r="T300">
        <v>453.46</v>
      </c>
      <c r="U300">
        <v>1500.78</v>
      </c>
      <c r="V300">
        <v>155.82999999999998</v>
      </c>
      <c r="AC300">
        <f>SUMPRODUCT(DB_SOFProject[[#This Row],[Plan01]:[Plan12]],$E$4:$P$4)/valUnits2</f>
        <v>2.269641</v>
      </c>
      <c r="AD300">
        <f>SUMPRODUCT(DB_SOFProject[[#This Row],[Act01]:[Act12]],$Q$4:$AB$4)/valUnits2</f>
        <v>2.4148299999999998</v>
      </c>
      <c r="AE300">
        <f>DB_SOFProject[[#This Row],[Actual]]-DB_SOFProject[[#This Row],[Plan]]</f>
        <v>0.14518899999999979</v>
      </c>
      <c r="AF300" s="32">
        <f>IF(DB_SOFProject[[#This Row],[Plan]]&lt;&gt;0,DB_SOFProject[[#This Row],[Actual]]/DB_SOFProject[[#This Row],[Plan]],1.000011000011)</f>
        <v>1.0639700287402281</v>
      </c>
      <c r="AG300" s="34">
        <f>SUM(DB_SOFProject[[#This Row],[Plan01]:[Plan12]])/valUnits2</f>
        <v>2.269641</v>
      </c>
      <c r="AH300" s="34">
        <f>SUMPRODUCT(DB_SOFProject[[#This Row],[Act01]:[Act12]],$Q$3:$AB$3)/valUnits2</f>
        <v>2.4148299999999998</v>
      </c>
    </row>
    <row r="301" spans="2:34" x14ac:dyDescent="0.2">
      <c r="B301" t="s">
        <v>489</v>
      </c>
      <c r="C301" t="s">
        <v>896</v>
      </c>
      <c r="D301" t="s">
        <v>990</v>
      </c>
      <c r="F301">
        <v>25.175000000000001</v>
      </c>
      <c r="G301">
        <v>16.41</v>
      </c>
      <c r="R301">
        <v>25.17</v>
      </c>
      <c r="S301">
        <v>16.29</v>
      </c>
      <c r="AC301">
        <f>SUMPRODUCT(DB_SOFProject[[#This Row],[Plan01]:[Plan12]],$E$4:$P$4)/valUnits2</f>
        <v>4.1585000000000004E-2</v>
      </c>
      <c r="AD301">
        <f>SUMPRODUCT(DB_SOFProject[[#This Row],[Act01]:[Act12]],$Q$4:$AB$4)/valUnits2</f>
        <v>4.1460000000000004E-2</v>
      </c>
      <c r="AE301">
        <f>DB_SOFProject[[#This Row],[Actual]]-DB_SOFProject[[#This Row],[Plan]]</f>
        <v>-1.2500000000000011E-4</v>
      </c>
      <c r="AF301" s="32">
        <f>IF(DB_SOFProject[[#This Row],[Plan]]&lt;&gt;0,DB_SOFProject[[#This Row],[Actual]]/DB_SOFProject[[#This Row],[Plan]],1.000011000011)</f>
        <v>0.99699410845256697</v>
      </c>
      <c r="AG301" s="34">
        <f>SUM(DB_SOFProject[[#This Row],[Plan01]:[Plan12]])/valUnits2</f>
        <v>4.1585000000000004E-2</v>
      </c>
      <c r="AH301" s="34">
        <f>SUMPRODUCT(DB_SOFProject[[#This Row],[Act01]:[Act12]],$Q$3:$AB$3)/valUnits2</f>
        <v>4.1460000000000004E-2</v>
      </c>
    </row>
    <row r="302" spans="2:34" x14ac:dyDescent="0.2">
      <c r="B302" t="s">
        <v>489</v>
      </c>
      <c r="C302" t="s">
        <v>896</v>
      </c>
      <c r="D302" t="s">
        <v>998</v>
      </c>
      <c r="F302">
        <v>2174.3409999999999</v>
      </c>
      <c r="G302">
        <v>1129.847</v>
      </c>
      <c r="H302">
        <v>2130.5540000000001</v>
      </c>
      <c r="I302">
        <v>1687.454</v>
      </c>
      <c r="J302">
        <v>0</v>
      </c>
      <c r="K302">
        <v>0</v>
      </c>
      <c r="R302">
        <v>2158.56</v>
      </c>
      <c r="S302">
        <v>1122.5</v>
      </c>
      <c r="T302">
        <v>2141.62</v>
      </c>
      <c r="U302">
        <v>1695.4399999999998</v>
      </c>
      <c r="V302">
        <v>1964.98</v>
      </c>
      <c r="W302">
        <v>9292</v>
      </c>
      <c r="AC302">
        <f>SUMPRODUCT(DB_SOFProject[[#This Row],[Plan01]:[Plan12]],$E$4:$P$4)/valUnits2</f>
        <v>7.1221959999999997</v>
      </c>
      <c r="AD302">
        <f>SUMPRODUCT(DB_SOFProject[[#This Row],[Act01]:[Act12]],$Q$4:$AB$4)/valUnits2</f>
        <v>9.0831</v>
      </c>
      <c r="AE302">
        <f>DB_SOFProject[[#This Row],[Actual]]-DB_SOFProject[[#This Row],[Plan]]</f>
        <v>1.9609040000000002</v>
      </c>
      <c r="AF302" s="32">
        <f>IF(DB_SOFProject[[#This Row],[Plan]]&lt;&gt;0,DB_SOFProject[[#This Row],[Actual]]/DB_SOFProject[[#This Row],[Plan]],1.000011000011)</f>
        <v>1.2753229481468917</v>
      </c>
      <c r="AG302" s="34">
        <f>SUM(DB_SOFProject[[#This Row],[Plan01]:[Plan12]])/valUnits2</f>
        <v>7.1221959999999997</v>
      </c>
      <c r="AH302" s="34">
        <f>SUMPRODUCT(DB_SOFProject[[#This Row],[Act01]:[Act12]],$Q$3:$AB$3)/valUnits2</f>
        <v>9.0831</v>
      </c>
    </row>
    <row r="303" spans="2:34" x14ac:dyDescent="0.2">
      <c r="B303" t="s">
        <v>489</v>
      </c>
      <c r="C303" t="s">
        <v>896</v>
      </c>
      <c r="D303" t="s">
        <v>999</v>
      </c>
      <c r="E303">
        <v>0</v>
      </c>
      <c r="F303">
        <v>807.74300000000005</v>
      </c>
      <c r="G303">
        <v>0</v>
      </c>
      <c r="H303">
        <v>1591.0330000000004</v>
      </c>
      <c r="I303">
        <v>1900.9860000000001</v>
      </c>
      <c r="J303">
        <v>535.10300000000007</v>
      </c>
      <c r="K303">
        <v>535.10300000000007</v>
      </c>
      <c r="L303">
        <v>535.10300000000007</v>
      </c>
      <c r="M303">
        <v>535.10300000000007</v>
      </c>
      <c r="N303">
        <v>535.10300000000007</v>
      </c>
      <c r="O303">
        <v>535.10300000000007</v>
      </c>
      <c r="P303">
        <v>535.10300000000007</v>
      </c>
      <c r="Q303">
        <v>0</v>
      </c>
      <c r="R303">
        <v>807.74</v>
      </c>
      <c r="S303">
        <v>0</v>
      </c>
      <c r="T303">
        <v>1591.6799999999998</v>
      </c>
      <c r="U303">
        <v>1890.02</v>
      </c>
      <c r="V303">
        <v>686.26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f>SUMPRODUCT(DB_SOFProject[[#This Row],[Plan01]:[Plan12]],$E$4:$P$4)/valUnits2</f>
        <v>4.8348650000000006</v>
      </c>
      <c r="AD303">
        <f>SUMPRODUCT(DB_SOFProject[[#This Row],[Act01]:[Act12]],$Q$4:$AB$4)/valUnits2</f>
        <v>4.9757000000000007</v>
      </c>
      <c r="AE303">
        <f>DB_SOFProject[[#This Row],[Actual]]-DB_SOFProject[[#This Row],[Plan]]</f>
        <v>0.14083500000000004</v>
      </c>
      <c r="AF303" s="32">
        <f>IF(DB_SOFProject[[#This Row],[Plan]]&lt;&gt;0,DB_SOFProject[[#This Row],[Actual]]/DB_SOFProject[[#This Row],[Plan]],1.000011000011)</f>
        <v>1.0291290449681636</v>
      </c>
      <c r="AG303" s="34">
        <f>SUM(DB_SOFProject[[#This Row],[Plan01]:[Plan12]])/valUnits2</f>
        <v>8.0454830000000008</v>
      </c>
      <c r="AH303" s="34">
        <f>SUMPRODUCT(DB_SOFProject[[#This Row],[Act01]:[Act12]],$Q$3:$AB$3)/valUnits2</f>
        <v>4.9757000000000007</v>
      </c>
    </row>
    <row r="304" spans="2:34" x14ac:dyDescent="0.2">
      <c r="B304" t="s">
        <v>489</v>
      </c>
      <c r="C304" t="s">
        <v>903</v>
      </c>
      <c r="D304" t="s">
        <v>946</v>
      </c>
      <c r="H304">
        <v>0</v>
      </c>
      <c r="I304">
        <v>0</v>
      </c>
      <c r="J304">
        <v>135.37700000000001</v>
      </c>
      <c r="K304">
        <v>135.37700000000001</v>
      </c>
      <c r="L304">
        <v>135.37700000000001</v>
      </c>
      <c r="M304">
        <v>135.37700000000001</v>
      </c>
      <c r="N304">
        <v>135.37700000000001</v>
      </c>
      <c r="O304">
        <v>135.37700000000001</v>
      </c>
      <c r="P304">
        <v>135.37700000000001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f>SUMPRODUCT(DB_SOFProject[[#This Row],[Plan01]:[Plan12]],$E$4:$P$4)/valUnits2</f>
        <v>0.135377</v>
      </c>
      <c r="AD304">
        <f>SUMPRODUCT(DB_SOFProject[[#This Row],[Act01]:[Act12]],$Q$4:$AB$4)/valUnits2</f>
        <v>0</v>
      </c>
      <c r="AE304">
        <f>DB_SOFProject[[#This Row],[Actual]]-DB_SOFProject[[#This Row],[Plan]]</f>
        <v>-0.135377</v>
      </c>
      <c r="AF304" s="32">
        <f>IF(DB_SOFProject[[#This Row],[Plan]]&lt;&gt;0,DB_SOFProject[[#This Row],[Actual]]/DB_SOFProject[[#This Row],[Plan]],1.000011000011)</f>
        <v>0</v>
      </c>
      <c r="AG304" s="34">
        <f>SUM(DB_SOFProject[[#This Row],[Plan01]:[Plan12]])/valUnits2</f>
        <v>0.9476389999999999</v>
      </c>
      <c r="AH304" s="34">
        <f>SUMPRODUCT(DB_SOFProject[[#This Row],[Act01]:[Act12]],$Q$3:$AB$3)/valUnits2</f>
        <v>0</v>
      </c>
    </row>
    <row r="305" spans="2:34" x14ac:dyDescent="0.2">
      <c r="B305" t="s">
        <v>489</v>
      </c>
      <c r="C305" t="s">
        <v>903</v>
      </c>
      <c r="D305" t="s">
        <v>959</v>
      </c>
      <c r="H305">
        <v>0</v>
      </c>
      <c r="I305">
        <v>0</v>
      </c>
      <c r="J305">
        <v>270.75400000000002</v>
      </c>
      <c r="K305">
        <v>270.75400000000002</v>
      </c>
      <c r="L305">
        <v>270.75400000000002</v>
      </c>
      <c r="M305">
        <v>270.75400000000002</v>
      </c>
      <c r="N305">
        <v>270.75400000000002</v>
      </c>
      <c r="O305">
        <v>270.75400000000002</v>
      </c>
      <c r="P305">
        <v>270.75400000000002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f>SUMPRODUCT(DB_SOFProject[[#This Row],[Plan01]:[Plan12]],$E$4:$P$4)/valUnits2</f>
        <v>0.27075399999999999</v>
      </c>
      <c r="AD305">
        <f>SUMPRODUCT(DB_SOFProject[[#This Row],[Act01]:[Act12]],$Q$4:$AB$4)/valUnits2</f>
        <v>0</v>
      </c>
      <c r="AE305">
        <f>DB_SOFProject[[#This Row],[Actual]]-DB_SOFProject[[#This Row],[Plan]]</f>
        <v>-0.27075399999999999</v>
      </c>
      <c r="AF305" s="32">
        <f>IF(DB_SOFProject[[#This Row],[Plan]]&lt;&gt;0,DB_SOFProject[[#This Row],[Actual]]/DB_SOFProject[[#This Row],[Plan]],1.000011000011)</f>
        <v>0</v>
      </c>
      <c r="AG305" s="34">
        <f>SUM(DB_SOFProject[[#This Row],[Plan01]:[Plan12]])/valUnits2</f>
        <v>1.8952779999999998</v>
      </c>
      <c r="AH305" s="34">
        <f>SUMPRODUCT(DB_SOFProject[[#This Row],[Act01]:[Act12]],$Q$3:$AB$3)/valUnits2</f>
        <v>0</v>
      </c>
    </row>
    <row r="306" spans="2:34" x14ac:dyDescent="0.2">
      <c r="B306" t="s">
        <v>489</v>
      </c>
      <c r="C306" t="s">
        <v>903</v>
      </c>
      <c r="D306" t="s">
        <v>975</v>
      </c>
      <c r="H306">
        <v>64.790999999999997</v>
      </c>
      <c r="I306">
        <v>124.19800000000001</v>
      </c>
      <c r="J306">
        <v>453.51400000000001</v>
      </c>
      <c r="K306">
        <v>453.51400000000001</v>
      </c>
      <c r="L306">
        <v>453.51400000000001</v>
      </c>
      <c r="M306">
        <v>453.51400000000001</v>
      </c>
      <c r="N306">
        <v>453.51400000000001</v>
      </c>
      <c r="O306">
        <v>453.51400000000001</v>
      </c>
      <c r="P306">
        <v>453.51400000000001</v>
      </c>
      <c r="T306">
        <v>63.95</v>
      </c>
      <c r="U306">
        <v>124.99000000000001</v>
      </c>
      <c r="V306">
        <v>88.94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f>SUMPRODUCT(DB_SOFProject[[#This Row],[Plan01]:[Plan12]],$E$4:$P$4)/valUnits2</f>
        <v>0.64250300000000005</v>
      </c>
      <c r="AD306">
        <f>SUMPRODUCT(DB_SOFProject[[#This Row],[Act01]:[Act12]],$Q$4:$AB$4)/valUnits2</f>
        <v>0.27788000000000002</v>
      </c>
      <c r="AE306">
        <f>DB_SOFProject[[#This Row],[Actual]]-DB_SOFProject[[#This Row],[Plan]]</f>
        <v>-0.36462300000000003</v>
      </c>
      <c r="AF306" s="32">
        <f>IF(DB_SOFProject[[#This Row],[Plan]]&lt;&gt;0,DB_SOFProject[[#This Row],[Actual]]/DB_SOFProject[[#This Row],[Plan]],1.000011000011)</f>
        <v>0.43249603503796868</v>
      </c>
      <c r="AG306" s="34">
        <f>SUM(DB_SOFProject[[#This Row],[Plan01]:[Plan12]])/valUnits2</f>
        <v>3.3635870000000003</v>
      </c>
      <c r="AH306" s="34">
        <f>SUMPRODUCT(DB_SOFProject[[#This Row],[Act01]:[Act12]],$Q$3:$AB$3)/valUnits2</f>
        <v>0.27788000000000002</v>
      </c>
    </row>
    <row r="307" spans="2:34" x14ac:dyDescent="0.2">
      <c r="B307" t="s">
        <v>489</v>
      </c>
      <c r="C307" t="s">
        <v>903</v>
      </c>
      <c r="D307" t="s">
        <v>980</v>
      </c>
      <c r="H307">
        <v>0</v>
      </c>
      <c r="I307">
        <v>0</v>
      </c>
      <c r="J307">
        <v>135.37700000000001</v>
      </c>
      <c r="K307">
        <v>135.37700000000001</v>
      </c>
      <c r="L307">
        <v>135.37700000000001</v>
      </c>
      <c r="M307">
        <v>135.37700000000001</v>
      </c>
      <c r="N307">
        <v>135.37700000000001</v>
      </c>
      <c r="O307">
        <v>135.37700000000001</v>
      </c>
      <c r="P307">
        <v>135.37700000000001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f>SUMPRODUCT(DB_SOFProject[[#This Row],[Plan01]:[Plan12]],$E$4:$P$4)/valUnits2</f>
        <v>0.135377</v>
      </c>
      <c r="AD307">
        <f>SUMPRODUCT(DB_SOFProject[[#This Row],[Act01]:[Act12]],$Q$4:$AB$4)/valUnits2</f>
        <v>0</v>
      </c>
      <c r="AE307">
        <f>DB_SOFProject[[#This Row],[Actual]]-DB_SOFProject[[#This Row],[Plan]]</f>
        <v>-0.135377</v>
      </c>
      <c r="AF307" s="32">
        <f>IF(DB_SOFProject[[#This Row],[Plan]]&lt;&gt;0,DB_SOFProject[[#This Row],[Actual]]/DB_SOFProject[[#This Row],[Plan]],1.000011000011)</f>
        <v>0</v>
      </c>
      <c r="AG307" s="34">
        <f>SUM(DB_SOFProject[[#This Row],[Plan01]:[Plan12]])/valUnits2</f>
        <v>0.9476389999999999</v>
      </c>
      <c r="AH307" s="34">
        <f>SUMPRODUCT(DB_SOFProject[[#This Row],[Act01]:[Act12]],$Q$3:$AB$3)/valUnits2</f>
        <v>0</v>
      </c>
    </row>
    <row r="308" spans="2:34" x14ac:dyDescent="0.2">
      <c r="B308" t="s">
        <v>489</v>
      </c>
      <c r="C308" t="s">
        <v>903</v>
      </c>
      <c r="D308" t="s">
        <v>999</v>
      </c>
      <c r="H308">
        <v>0</v>
      </c>
      <c r="I308">
        <v>0</v>
      </c>
      <c r="J308">
        <v>135.37700000000001</v>
      </c>
      <c r="K308">
        <v>135.37700000000001</v>
      </c>
      <c r="L308">
        <v>135.37700000000001</v>
      </c>
      <c r="M308">
        <v>135.37700000000001</v>
      </c>
      <c r="N308">
        <v>135.37700000000001</v>
      </c>
      <c r="O308">
        <v>135.37700000000001</v>
      </c>
      <c r="P308">
        <v>135.37700000000001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f>SUMPRODUCT(DB_SOFProject[[#This Row],[Plan01]:[Plan12]],$E$4:$P$4)/valUnits2</f>
        <v>0.135377</v>
      </c>
      <c r="AD308">
        <f>SUMPRODUCT(DB_SOFProject[[#This Row],[Act01]:[Act12]],$Q$4:$AB$4)/valUnits2</f>
        <v>0</v>
      </c>
      <c r="AE308">
        <f>DB_SOFProject[[#This Row],[Actual]]-DB_SOFProject[[#This Row],[Plan]]</f>
        <v>-0.135377</v>
      </c>
      <c r="AF308" s="32">
        <f>IF(DB_SOFProject[[#This Row],[Plan]]&lt;&gt;0,DB_SOFProject[[#This Row],[Actual]]/DB_SOFProject[[#This Row],[Plan]],1.000011000011)</f>
        <v>0</v>
      </c>
      <c r="AG308" s="34">
        <f>SUM(DB_SOFProject[[#This Row],[Plan01]:[Plan12]])/valUnits2</f>
        <v>0.9476389999999999</v>
      </c>
      <c r="AH308" s="34">
        <f>SUMPRODUCT(DB_SOFProject[[#This Row],[Act01]:[Act12]],$Q$3:$AB$3)/valUnits2</f>
        <v>0</v>
      </c>
    </row>
    <row r="309" spans="2:34" x14ac:dyDescent="0.2">
      <c r="B309" t="s">
        <v>489</v>
      </c>
      <c r="C309" t="s">
        <v>365</v>
      </c>
      <c r="D309" t="s">
        <v>946</v>
      </c>
      <c r="H309">
        <v>0</v>
      </c>
      <c r="I309">
        <v>0</v>
      </c>
      <c r="J309">
        <v>52.024999999999999</v>
      </c>
      <c r="K309">
        <v>52.024999999999999</v>
      </c>
      <c r="L309">
        <v>52.024999999999999</v>
      </c>
      <c r="T309">
        <v>0</v>
      </c>
      <c r="U309">
        <v>0</v>
      </c>
      <c r="V309">
        <v>0</v>
      </c>
      <c r="W309">
        <v>0</v>
      </c>
      <c r="X309">
        <v>0</v>
      </c>
      <c r="AC309">
        <f>SUMPRODUCT(DB_SOFProject[[#This Row],[Plan01]:[Plan12]],$E$4:$P$4)/valUnits2</f>
        <v>5.2025000000000002E-2</v>
      </c>
      <c r="AD309">
        <f>SUMPRODUCT(DB_SOFProject[[#This Row],[Act01]:[Act12]],$Q$4:$AB$4)/valUnits2</f>
        <v>0</v>
      </c>
      <c r="AE309">
        <f>DB_SOFProject[[#This Row],[Actual]]-DB_SOFProject[[#This Row],[Plan]]</f>
        <v>-5.2025000000000002E-2</v>
      </c>
      <c r="AF309" s="32">
        <f>IF(DB_SOFProject[[#This Row],[Plan]]&lt;&gt;0,DB_SOFProject[[#This Row],[Actual]]/DB_SOFProject[[#This Row],[Plan]],1.000011000011)</f>
        <v>0</v>
      </c>
      <c r="AG309" s="34">
        <f>SUM(DB_SOFProject[[#This Row],[Plan01]:[Plan12]])/valUnits2</f>
        <v>0.15607499999999999</v>
      </c>
      <c r="AH309" s="34">
        <f>SUMPRODUCT(DB_SOFProject[[#This Row],[Act01]:[Act12]],$Q$3:$AB$3)/valUnits2</f>
        <v>0</v>
      </c>
    </row>
    <row r="310" spans="2:34" x14ac:dyDescent="0.2">
      <c r="B310" t="s">
        <v>489</v>
      </c>
      <c r="C310" t="s">
        <v>365</v>
      </c>
      <c r="D310" t="s">
        <v>959</v>
      </c>
      <c r="H310">
        <v>0</v>
      </c>
      <c r="I310">
        <v>0</v>
      </c>
      <c r="J310">
        <v>104.051</v>
      </c>
      <c r="K310">
        <v>104.051</v>
      </c>
      <c r="L310">
        <v>104.051</v>
      </c>
      <c r="T310">
        <v>0</v>
      </c>
      <c r="U310">
        <v>0</v>
      </c>
      <c r="V310">
        <v>0</v>
      </c>
      <c r="W310">
        <v>0</v>
      </c>
      <c r="X310">
        <v>0</v>
      </c>
      <c r="AC310">
        <f>SUMPRODUCT(DB_SOFProject[[#This Row],[Plan01]:[Plan12]],$E$4:$P$4)/valUnits2</f>
        <v>0.104051</v>
      </c>
      <c r="AD310">
        <f>SUMPRODUCT(DB_SOFProject[[#This Row],[Act01]:[Act12]],$Q$4:$AB$4)/valUnits2</f>
        <v>0</v>
      </c>
      <c r="AE310">
        <f>DB_SOFProject[[#This Row],[Actual]]-DB_SOFProject[[#This Row],[Plan]]</f>
        <v>-0.104051</v>
      </c>
      <c r="AF310" s="32">
        <f>IF(DB_SOFProject[[#This Row],[Plan]]&lt;&gt;0,DB_SOFProject[[#This Row],[Actual]]/DB_SOFProject[[#This Row],[Plan]],1.000011000011)</f>
        <v>0</v>
      </c>
      <c r="AG310" s="34">
        <f>SUM(DB_SOFProject[[#This Row],[Plan01]:[Plan12]])/valUnits2</f>
        <v>0.31215300000000001</v>
      </c>
      <c r="AH310" s="34">
        <f>SUMPRODUCT(DB_SOFProject[[#This Row],[Act01]:[Act12]],$Q$3:$AB$3)/valUnits2</f>
        <v>0</v>
      </c>
    </row>
    <row r="311" spans="2:34" x14ac:dyDescent="0.2">
      <c r="B311" t="s">
        <v>489</v>
      </c>
      <c r="C311" t="s">
        <v>365</v>
      </c>
      <c r="D311" t="s">
        <v>975</v>
      </c>
      <c r="F311">
        <v>316.14999999999998</v>
      </c>
      <c r="G311">
        <v>506.702</v>
      </c>
      <c r="H311">
        <v>182.70299999999997</v>
      </c>
      <c r="I311">
        <v>98.053000000000011</v>
      </c>
      <c r="J311">
        <v>70.234999999999999</v>
      </c>
      <c r="K311">
        <v>70.234999999999999</v>
      </c>
      <c r="L311">
        <v>70.234999999999999</v>
      </c>
      <c r="R311">
        <v>317.56</v>
      </c>
      <c r="S311">
        <v>509.88</v>
      </c>
      <c r="T311">
        <v>185.39</v>
      </c>
      <c r="U311">
        <v>98.879999999999967</v>
      </c>
      <c r="V311">
        <v>70.36</v>
      </c>
      <c r="W311">
        <v>0</v>
      </c>
      <c r="X311">
        <v>0</v>
      </c>
      <c r="AC311">
        <f>SUMPRODUCT(DB_SOFProject[[#This Row],[Plan01]:[Plan12]],$E$4:$P$4)/valUnits2</f>
        <v>1.1738429999999997</v>
      </c>
      <c r="AD311">
        <f>SUMPRODUCT(DB_SOFProject[[#This Row],[Act01]:[Act12]],$Q$4:$AB$4)/valUnits2</f>
        <v>1.18207</v>
      </c>
      <c r="AE311">
        <f>DB_SOFProject[[#This Row],[Actual]]-DB_SOFProject[[#This Row],[Plan]]</f>
        <v>8.2270000000002064E-3</v>
      </c>
      <c r="AF311" s="32">
        <f>IF(DB_SOFProject[[#This Row],[Plan]]&lt;&gt;0,DB_SOFProject[[#This Row],[Actual]]/DB_SOFProject[[#This Row],[Plan]],1.000011000011)</f>
        <v>1.0070086033651862</v>
      </c>
      <c r="AG311" s="34">
        <f>SUM(DB_SOFProject[[#This Row],[Plan01]:[Plan12]])/valUnits2</f>
        <v>1.3143129999999996</v>
      </c>
      <c r="AH311" s="34">
        <f>SUMPRODUCT(DB_SOFProject[[#This Row],[Act01]:[Act12]],$Q$3:$AB$3)/valUnits2</f>
        <v>1.18207</v>
      </c>
    </row>
    <row r="312" spans="2:34" x14ac:dyDescent="0.2">
      <c r="B312" t="s">
        <v>489</v>
      </c>
      <c r="C312" t="s">
        <v>365</v>
      </c>
      <c r="D312" t="s">
        <v>980</v>
      </c>
      <c r="H312">
        <v>0</v>
      </c>
      <c r="I312">
        <v>0</v>
      </c>
      <c r="J312">
        <v>52.024999999999999</v>
      </c>
      <c r="K312">
        <v>52.024999999999999</v>
      </c>
      <c r="L312">
        <v>52.024999999999999</v>
      </c>
      <c r="T312">
        <v>0</v>
      </c>
      <c r="U312">
        <v>0</v>
      </c>
      <c r="V312">
        <v>0</v>
      </c>
      <c r="W312">
        <v>0</v>
      </c>
      <c r="X312">
        <v>0</v>
      </c>
      <c r="AC312">
        <f>SUMPRODUCT(DB_SOFProject[[#This Row],[Plan01]:[Plan12]],$E$4:$P$4)/valUnits2</f>
        <v>5.2025000000000002E-2</v>
      </c>
      <c r="AD312">
        <f>SUMPRODUCT(DB_SOFProject[[#This Row],[Act01]:[Act12]],$Q$4:$AB$4)/valUnits2</f>
        <v>0</v>
      </c>
      <c r="AE312">
        <f>DB_SOFProject[[#This Row],[Actual]]-DB_SOFProject[[#This Row],[Plan]]</f>
        <v>-5.2025000000000002E-2</v>
      </c>
      <c r="AF312" s="32">
        <f>IF(DB_SOFProject[[#This Row],[Plan]]&lt;&gt;0,DB_SOFProject[[#This Row],[Actual]]/DB_SOFProject[[#This Row],[Plan]],1.000011000011)</f>
        <v>0</v>
      </c>
      <c r="AG312" s="34">
        <f>SUM(DB_SOFProject[[#This Row],[Plan01]:[Plan12]])/valUnits2</f>
        <v>0.15607499999999999</v>
      </c>
      <c r="AH312" s="34">
        <f>SUMPRODUCT(DB_SOFProject[[#This Row],[Act01]:[Act12]],$Q$3:$AB$3)/valUnits2</f>
        <v>0</v>
      </c>
    </row>
    <row r="313" spans="2:34" x14ac:dyDescent="0.2">
      <c r="B313" t="s">
        <v>489</v>
      </c>
      <c r="C313" t="s">
        <v>365</v>
      </c>
      <c r="D313" t="s">
        <v>999</v>
      </c>
      <c r="H313">
        <v>0</v>
      </c>
      <c r="I313">
        <v>0</v>
      </c>
      <c r="J313">
        <v>52.024999999999999</v>
      </c>
      <c r="K313">
        <v>52.024999999999999</v>
      </c>
      <c r="L313">
        <v>52.024999999999999</v>
      </c>
      <c r="T313">
        <v>0</v>
      </c>
      <c r="U313">
        <v>0</v>
      </c>
      <c r="V313">
        <v>0</v>
      </c>
      <c r="W313">
        <v>0</v>
      </c>
      <c r="X313">
        <v>0</v>
      </c>
      <c r="AC313">
        <f>SUMPRODUCT(DB_SOFProject[[#This Row],[Plan01]:[Plan12]],$E$4:$P$4)/valUnits2</f>
        <v>5.2025000000000002E-2</v>
      </c>
      <c r="AD313">
        <f>SUMPRODUCT(DB_SOFProject[[#This Row],[Act01]:[Act12]],$Q$4:$AB$4)/valUnits2</f>
        <v>0</v>
      </c>
      <c r="AE313">
        <f>DB_SOFProject[[#This Row],[Actual]]-DB_SOFProject[[#This Row],[Plan]]</f>
        <v>-5.2025000000000002E-2</v>
      </c>
      <c r="AF313" s="32">
        <f>IF(DB_SOFProject[[#This Row],[Plan]]&lt;&gt;0,DB_SOFProject[[#This Row],[Actual]]/DB_SOFProject[[#This Row],[Plan]],1.000011000011)</f>
        <v>0</v>
      </c>
      <c r="AG313" s="34">
        <f>SUM(DB_SOFProject[[#This Row],[Plan01]:[Plan12]])/valUnits2</f>
        <v>0.15607499999999999</v>
      </c>
      <c r="AH313" s="34">
        <f>SUMPRODUCT(DB_SOFProject[[#This Row],[Act01]:[Act12]],$Q$3:$AB$3)/valUnits2</f>
        <v>0</v>
      </c>
    </row>
    <row r="314" spans="2:34" x14ac:dyDescent="0.2">
      <c r="B314" t="s">
        <v>489</v>
      </c>
      <c r="C314" t="s">
        <v>904</v>
      </c>
      <c r="D314" t="s">
        <v>946</v>
      </c>
      <c r="E314">
        <v>7.5190000000000001</v>
      </c>
      <c r="Q314">
        <v>7.51</v>
      </c>
      <c r="AC314">
        <f>SUMPRODUCT(DB_SOFProject[[#This Row],[Plan01]:[Plan12]],$E$4:$P$4)/valUnits2</f>
        <v>7.5190000000000005E-3</v>
      </c>
      <c r="AD314">
        <f>SUMPRODUCT(DB_SOFProject[[#This Row],[Act01]:[Act12]],$Q$4:$AB$4)/valUnits2</f>
        <v>7.5100000000000002E-3</v>
      </c>
      <c r="AE314">
        <f>DB_SOFProject[[#This Row],[Actual]]-DB_SOFProject[[#This Row],[Plan]]</f>
        <v>-9.0000000000003272E-6</v>
      </c>
      <c r="AF314" s="32">
        <f>IF(DB_SOFProject[[#This Row],[Plan]]&lt;&gt;0,DB_SOFProject[[#This Row],[Actual]]/DB_SOFProject[[#This Row],[Plan]],1.000011000011)</f>
        <v>0.99880303231812739</v>
      </c>
      <c r="AG314" s="34">
        <f>SUM(DB_SOFProject[[#This Row],[Plan01]:[Plan12]])/valUnits2</f>
        <v>7.5190000000000005E-3</v>
      </c>
      <c r="AH314" s="34">
        <f>SUMPRODUCT(DB_SOFProject[[#This Row],[Act01]:[Act12]],$Q$3:$AB$3)/valUnits2</f>
        <v>7.5100000000000002E-3</v>
      </c>
    </row>
    <row r="315" spans="2:34" x14ac:dyDescent="0.2">
      <c r="B315" t="s">
        <v>489</v>
      </c>
      <c r="C315" t="s">
        <v>904</v>
      </c>
      <c r="D315" t="s">
        <v>947</v>
      </c>
      <c r="E315">
        <v>98.721999999999994</v>
      </c>
      <c r="F315">
        <v>38.131</v>
      </c>
      <c r="G315">
        <v>11.154</v>
      </c>
      <c r="H315">
        <v>10.746</v>
      </c>
      <c r="I315">
        <v>79.777000000000001</v>
      </c>
      <c r="J315">
        <v>0</v>
      </c>
      <c r="Q315">
        <v>98.73</v>
      </c>
      <c r="R315">
        <v>38.130000000000003</v>
      </c>
      <c r="S315">
        <v>11.06</v>
      </c>
      <c r="T315">
        <v>10.77</v>
      </c>
      <c r="U315">
        <v>80.13</v>
      </c>
      <c r="V315">
        <v>46.52</v>
      </c>
      <c r="AC315">
        <f>SUMPRODUCT(DB_SOFProject[[#This Row],[Plan01]:[Plan12]],$E$4:$P$4)/valUnits2</f>
        <v>0.23853000000000002</v>
      </c>
      <c r="AD315">
        <f>SUMPRODUCT(DB_SOFProject[[#This Row],[Act01]:[Act12]],$Q$4:$AB$4)/valUnits2</f>
        <v>0.28534000000000004</v>
      </c>
      <c r="AE315">
        <f>DB_SOFProject[[#This Row],[Actual]]-DB_SOFProject[[#This Row],[Plan]]</f>
        <v>4.6810000000000018E-2</v>
      </c>
      <c r="AF315" s="32">
        <f>IF(DB_SOFProject[[#This Row],[Plan]]&lt;&gt;0,DB_SOFProject[[#This Row],[Actual]]/DB_SOFProject[[#This Row],[Plan]],1.000011000011)</f>
        <v>1.1962436590785226</v>
      </c>
      <c r="AG315" s="34">
        <f>SUM(DB_SOFProject[[#This Row],[Plan01]:[Plan12]])/valUnits2</f>
        <v>0.23853000000000002</v>
      </c>
      <c r="AH315" s="34">
        <f>SUMPRODUCT(DB_SOFProject[[#This Row],[Act01]:[Act12]],$Q$3:$AB$3)/valUnits2</f>
        <v>0.28534000000000004</v>
      </c>
    </row>
    <row r="316" spans="2:34" x14ac:dyDescent="0.2">
      <c r="B316" t="s">
        <v>489</v>
      </c>
      <c r="C316" t="s">
        <v>904</v>
      </c>
      <c r="D316" t="s">
        <v>959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81.698000000000008</v>
      </c>
      <c r="K316">
        <v>81.698000000000008</v>
      </c>
      <c r="L316">
        <v>81.698000000000008</v>
      </c>
      <c r="M316">
        <v>81.698000000000008</v>
      </c>
      <c r="N316">
        <v>81.698000000000008</v>
      </c>
      <c r="O316">
        <v>81.698000000000008</v>
      </c>
      <c r="P316">
        <v>81.698000000000008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432.03000000000003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f>SUMPRODUCT(DB_SOFProject[[#This Row],[Plan01]:[Plan12]],$E$4:$P$4)/valUnits2</f>
        <v>8.1698000000000007E-2</v>
      </c>
      <c r="AD316">
        <f>SUMPRODUCT(DB_SOFProject[[#This Row],[Act01]:[Act12]],$Q$4:$AB$4)/valUnits2</f>
        <v>0.43203000000000003</v>
      </c>
      <c r="AE316">
        <f>DB_SOFProject[[#This Row],[Actual]]-DB_SOFProject[[#This Row],[Plan]]</f>
        <v>0.35033200000000003</v>
      </c>
      <c r="AF316" s="32">
        <f>IF(DB_SOFProject[[#This Row],[Plan]]&lt;&gt;0,DB_SOFProject[[#This Row],[Actual]]/DB_SOFProject[[#This Row],[Plan]],1.000011000011)</f>
        <v>5.2881343484540624</v>
      </c>
      <c r="AG316" s="34">
        <f>SUM(DB_SOFProject[[#This Row],[Plan01]:[Plan12]])/valUnits2</f>
        <v>0.57188600000000001</v>
      </c>
      <c r="AH316" s="34">
        <f>SUMPRODUCT(DB_SOFProject[[#This Row],[Act01]:[Act12]],$Q$3:$AB$3)/valUnits2</f>
        <v>0.43203000000000003</v>
      </c>
    </row>
    <row r="317" spans="2:34" x14ac:dyDescent="0.2">
      <c r="B317" t="s">
        <v>489</v>
      </c>
      <c r="C317" t="s">
        <v>904</v>
      </c>
      <c r="D317" t="s">
        <v>975</v>
      </c>
      <c r="E317">
        <v>133.483</v>
      </c>
      <c r="F317">
        <v>250.83199999999999</v>
      </c>
      <c r="G317">
        <v>668.55200000000002</v>
      </c>
      <c r="H317">
        <v>743.6339999999999</v>
      </c>
      <c r="I317">
        <v>612.27499999999986</v>
      </c>
      <c r="J317">
        <v>284.26</v>
      </c>
      <c r="K317">
        <v>284.26</v>
      </c>
      <c r="L317">
        <v>284.26</v>
      </c>
      <c r="M317">
        <v>284.26</v>
      </c>
      <c r="N317">
        <v>284.26</v>
      </c>
      <c r="O317">
        <v>284.26</v>
      </c>
      <c r="P317">
        <v>284.26</v>
      </c>
      <c r="Q317">
        <v>133.43</v>
      </c>
      <c r="R317">
        <v>249.86</v>
      </c>
      <c r="S317">
        <v>666.04999999999984</v>
      </c>
      <c r="T317">
        <v>866.3</v>
      </c>
      <c r="U317">
        <v>614.91000000000008</v>
      </c>
      <c r="V317">
        <v>576.12999999999988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f>SUMPRODUCT(DB_SOFProject[[#This Row],[Plan01]:[Plan12]],$E$4:$P$4)/valUnits2</f>
        <v>2.6930360000000002</v>
      </c>
      <c r="AD317">
        <f>SUMPRODUCT(DB_SOFProject[[#This Row],[Act01]:[Act12]],$Q$4:$AB$4)/valUnits2</f>
        <v>3.1066800000000003</v>
      </c>
      <c r="AE317">
        <f>DB_SOFProject[[#This Row],[Actual]]-DB_SOFProject[[#This Row],[Plan]]</f>
        <v>0.41364400000000012</v>
      </c>
      <c r="AF317" s="32">
        <f>IF(DB_SOFProject[[#This Row],[Plan]]&lt;&gt;0,DB_SOFProject[[#This Row],[Actual]]/DB_SOFProject[[#This Row],[Plan]],1.000011000011)</f>
        <v>1.1535976496415199</v>
      </c>
      <c r="AG317" s="34">
        <f>SUM(DB_SOFProject[[#This Row],[Plan01]:[Plan12]])/valUnits2</f>
        <v>4.3985960000000013</v>
      </c>
      <c r="AH317" s="34">
        <f>SUMPRODUCT(DB_SOFProject[[#This Row],[Act01]:[Act12]],$Q$3:$AB$3)/valUnits2</f>
        <v>3.1066800000000003</v>
      </c>
    </row>
    <row r="318" spans="2:34" x14ac:dyDescent="0.2">
      <c r="B318" t="s">
        <v>489</v>
      </c>
      <c r="C318" t="s">
        <v>904</v>
      </c>
      <c r="D318" t="s">
        <v>976</v>
      </c>
      <c r="J318">
        <v>0</v>
      </c>
      <c r="V318">
        <v>21.23</v>
      </c>
      <c r="AC318">
        <f>SUMPRODUCT(DB_SOFProject[[#This Row],[Plan01]:[Plan12]],$E$4:$P$4)/valUnits2</f>
        <v>0</v>
      </c>
      <c r="AD318">
        <f>SUMPRODUCT(DB_SOFProject[[#This Row],[Act01]:[Act12]],$Q$4:$AB$4)/valUnits2</f>
        <v>2.1229999999999999E-2</v>
      </c>
      <c r="AE318">
        <f>DB_SOFProject[[#This Row],[Actual]]-DB_SOFProject[[#This Row],[Plan]]</f>
        <v>2.1229999999999999E-2</v>
      </c>
      <c r="AF318" s="32">
        <f>IF(DB_SOFProject[[#This Row],[Plan]]&lt;&gt;0,DB_SOFProject[[#This Row],[Actual]]/DB_SOFProject[[#This Row],[Plan]],1.000011000011)</f>
        <v>1.0000110000110001</v>
      </c>
      <c r="AG318" s="34">
        <f>SUM(DB_SOFProject[[#This Row],[Plan01]:[Plan12]])/valUnits2</f>
        <v>0</v>
      </c>
      <c r="AH318" s="34">
        <f>SUMPRODUCT(DB_SOFProject[[#This Row],[Act01]:[Act12]],$Q$3:$AB$3)/valUnits2</f>
        <v>2.1229999999999999E-2</v>
      </c>
    </row>
    <row r="319" spans="2:34" x14ac:dyDescent="0.2">
      <c r="B319" t="s">
        <v>489</v>
      </c>
      <c r="C319" t="s">
        <v>904</v>
      </c>
      <c r="D319" t="s">
        <v>980</v>
      </c>
      <c r="E319">
        <v>0</v>
      </c>
      <c r="F319">
        <v>120.20400000000001</v>
      </c>
      <c r="G319">
        <v>0.47399999999999998</v>
      </c>
      <c r="H319">
        <v>277.721</v>
      </c>
      <c r="I319">
        <v>0</v>
      </c>
      <c r="J319">
        <v>59.516999999999996</v>
      </c>
      <c r="K319">
        <v>59.516999999999996</v>
      </c>
      <c r="L319">
        <v>59.516999999999996</v>
      </c>
      <c r="M319">
        <v>59.516999999999996</v>
      </c>
      <c r="N319">
        <v>59.516999999999996</v>
      </c>
      <c r="O319">
        <v>59.516999999999996</v>
      </c>
      <c r="P319">
        <v>59.516999999999996</v>
      </c>
      <c r="Q319">
        <v>0</v>
      </c>
      <c r="R319">
        <v>120.17000000000002</v>
      </c>
      <c r="S319">
        <v>0.47</v>
      </c>
      <c r="T319">
        <v>276.78999999999996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f>SUMPRODUCT(DB_SOFProject[[#This Row],[Plan01]:[Plan12]],$E$4:$P$4)/valUnits2</f>
        <v>0.45791599999999999</v>
      </c>
      <c r="AD319">
        <f>SUMPRODUCT(DB_SOFProject[[#This Row],[Act01]:[Act12]],$Q$4:$AB$4)/valUnits2</f>
        <v>0.39742999999999995</v>
      </c>
      <c r="AE319">
        <f>DB_SOFProject[[#This Row],[Actual]]-DB_SOFProject[[#This Row],[Plan]]</f>
        <v>-6.048600000000004E-2</v>
      </c>
      <c r="AF319" s="32">
        <f>IF(DB_SOFProject[[#This Row],[Plan]]&lt;&gt;0,DB_SOFProject[[#This Row],[Actual]]/DB_SOFProject[[#This Row],[Plan]],1.000011000011)</f>
        <v>0.86791027175289781</v>
      </c>
      <c r="AG319" s="34">
        <f>SUM(DB_SOFProject[[#This Row],[Plan01]:[Plan12]])/valUnits2</f>
        <v>0.81501800000000024</v>
      </c>
      <c r="AH319" s="34">
        <f>SUMPRODUCT(DB_SOFProject[[#This Row],[Act01]:[Act12]],$Q$3:$AB$3)/valUnits2</f>
        <v>0.39742999999999995</v>
      </c>
    </row>
    <row r="320" spans="2:34" x14ac:dyDescent="0.2">
      <c r="B320" t="s">
        <v>489</v>
      </c>
      <c r="C320" t="s">
        <v>904</v>
      </c>
      <c r="D320" t="s">
        <v>999</v>
      </c>
      <c r="E320">
        <v>463.38400000000001</v>
      </c>
      <c r="F320">
        <v>0</v>
      </c>
      <c r="G320">
        <v>6.1029999999999998</v>
      </c>
      <c r="H320">
        <v>14.469000000000001</v>
      </c>
      <c r="I320">
        <v>26.289000000000001</v>
      </c>
      <c r="J320">
        <v>565.27</v>
      </c>
      <c r="K320">
        <v>565.27</v>
      </c>
      <c r="L320">
        <v>565.27</v>
      </c>
      <c r="M320">
        <v>565.27</v>
      </c>
      <c r="N320">
        <v>565.27</v>
      </c>
      <c r="O320">
        <v>565.27</v>
      </c>
      <c r="P320">
        <v>565.27</v>
      </c>
      <c r="Q320">
        <v>463.38</v>
      </c>
      <c r="R320">
        <v>0</v>
      </c>
      <c r="S320">
        <v>6.0600000000000005</v>
      </c>
      <c r="T320">
        <v>14.55</v>
      </c>
      <c r="U320">
        <v>26.330000000000002</v>
      </c>
      <c r="V320">
        <v>4.42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f>SUMPRODUCT(DB_SOFProject[[#This Row],[Plan01]:[Plan12]],$E$4:$P$4)/valUnits2</f>
        <v>1.0755149999999998</v>
      </c>
      <c r="AD320">
        <f>SUMPRODUCT(DB_SOFProject[[#This Row],[Act01]:[Act12]],$Q$4:$AB$4)/valUnits2</f>
        <v>0.51473999999999998</v>
      </c>
      <c r="AE320">
        <f>DB_SOFProject[[#This Row],[Actual]]-DB_SOFProject[[#This Row],[Plan]]</f>
        <v>-0.5607749999999998</v>
      </c>
      <c r="AF320" s="32">
        <f>IF(DB_SOFProject[[#This Row],[Plan]]&lt;&gt;0,DB_SOFProject[[#This Row],[Actual]]/DB_SOFProject[[#This Row],[Plan]],1.000011000011)</f>
        <v>0.47859862484484184</v>
      </c>
      <c r="AG320" s="34">
        <f>SUM(DB_SOFProject[[#This Row],[Plan01]:[Plan12]])/valUnits2</f>
        <v>4.4671349999999999</v>
      </c>
      <c r="AH320" s="34">
        <f>SUMPRODUCT(DB_SOFProject[[#This Row],[Act01]:[Act12]],$Q$3:$AB$3)/valUnits2</f>
        <v>0.51473999999999998</v>
      </c>
    </row>
    <row r="321" spans="2:34" x14ac:dyDescent="0.2">
      <c r="B321" t="s">
        <v>489</v>
      </c>
      <c r="C321" t="s">
        <v>905</v>
      </c>
      <c r="D321" t="s">
        <v>950</v>
      </c>
      <c r="E321">
        <v>116.46000000000001</v>
      </c>
      <c r="F321">
        <v>0</v>
      </c>
      <c r="G321">
        <v>0</v>
      </c>
      <c r="H321">
        <v>5.53</v>
      </c>
      <c r="I321">
        <v>-121.99000000000001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116.46000000000001</v>
      </c>
      <c r="R321">
        <v>0</v>
      </c>
      <c r="S321">
        <v>0</v>
      </c>
      <c r="T321">
        <v>5.53</v>
      </c>
      <c r="U321">
        <v>-121.99000000000001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f>SUMPRODUCT(DB_SOFProject[[#This Row],[Plan01]:[Plan12]],$E$4:$P$4)/valUnits2</f>
        <v>0</v>
      </c>
      <c r="AD321">
        <f>SUMPRODUCT(DB_SOFProject[[#This Row],[Act01]:[Act12]],$Q$4:$AB$4)/valUnits2</f>
        <v>0</v>
      </c>
      <c r="AE321">
        <f>DB_SOFProject[[#This Row],[Actual]]-DB_SOFProject[[#This Row],[Plan]]</f>
        <v>0</v>
      </c>
      <c r="AF321" s="32">
        <f>IF(DB_SOFProject[[#This Row],[Plan]]&lt;&gt;0,DB_SOFProject[[#This Row],[Actual]]/DB_SOFProject[[#This Row],[Plan]],1.000011000011)</f>
        <v>1.0000110000110001</v>
      </c>
      <c r="AG321" s="34">
        <f>SUM(DB_SOFProject[[#This Row],[Plan01]:[Plan12]])/valUnits2</f>
        <v>0</v>
      </c>
      <c r="AH321" s="34">
        <f>SUMPRODUCT(DB_SOFProject[[#This Row],[Act01]:[Act12]],$Q$3:$AB$3)/valUnits2</f>
        <v>0</v>
      </c>
    </row>
    <row r="322" spans="2:34" x14ac:dyDescent="0.2">
      <c r="B322" t="s">
        <v>489</v>
      </c>
      <c r="C322" t="s">
        <v>905</v>
      </c>
      <c r="D322" t="s">
        <v>959</v>
      </c>
      <c r="E322">
        <v>7.36</v>
      </c>
      <c r="F322">
        <v>0</v>
      </c>
      <c r="G322">
        <v>0</v>
      </c>
      <c r="H322">
        <v>0</v>
      </c>
      <c r="I322">
        <v>-7.36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7.36</v>
      </c>
      <c r="R322">
        <v>0</v>
      </c>
      <c r="S322">
        <v>0</v>
      </c>
      <c r="T322">
        <v>0</v>
      </c>
      <c r="U322">
        <v>-7.36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f>SUMPRODUCT(DB_SOFProject[[#This Row],[Plan01]:[Plan12]],$E$4:$P$4)/valUnits2</f>
        <v>0</v>
      </c>
      <c r="AD322">
        <f>SUMPRODUCT(DB_SOFProject[[#This Row],[Act01]:[Act12]],$Q$4:$AB$4)/valUnits2</f>
        <v>0</v>
      </c>
      <c r="AE322">
        <f>DB_SOFProject[[#This Row],[Actual]]-DB_SOFProject[[#This Row],[Plan]]</f>
        <v>0</v>
      </c>
      <c r="AF322" s="32">
        <f>IF(DB_SOFProject[[#This Row],[Plan]]&lt;&gt;0,DB_SOFProject[[#This Row],[Actual]]/DB_SOFProject[[#This Row],[Plan]],1.000011000011)</f>
        <v>1.0000110000110001</v>
      </c>
      <c r="AG322" s="34">
        <f>SUM(DB_SOFProject[[#This Row],[Plan01]:[Plan12]])/valUnits2</f>
        <v>0</v>
      </c>
      <c r="AH322" s="34">
        <f>SUMPRODUCT(DB_SOFProject[[#This Row],[Act01]:[Act12]],$Q$3:$AB$3)/valUnits2</f>
        <v>0</v>
      </c>
    </row>
    <row r="323" spans="2:34" x14ac:dyDescent="0.2">
      <c r="B323" t="s">
        <v>489</v>
      </c>
      <c r="C323" t="s">
        <v>905</v>
      </c>
      <c r="D323" t="s">
        <v>975</v>
      </c>
      <c r="E323">
        <v>0</v>
      </c>
      <c r="F323">
        <v>1354.9</v>
      </c>
      <c r="G323">
        <v>0</v>
      </c>
      <c r="H323">
        <v>0</v>
      </c>
      <c r="I323">
        <v>-1354.9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1354.9</v>
      </c>
      <c r="S323">
        <v>0</v>
      </c>
      <c r="T323">
        <v>0</v>
      </c>
      <c r="U323">
        <v>-1354.9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f>SUMPRODUCT(DB_SOFProject[[#This Row],[Plan01]:[Plan12]],$E$4:$P$4)/valUnits2</f>
        <v>0</v>
      </c>
      <c r="AD323">
        <f>SUMPRODUCT(DB_SOFProject[[#This Row],[Act01]:[Act12]],$Q$4:$AB$4)/valUnits2</f>
        <v>0</v>
      </c>
      <c r="AE323">
        <f>DB_SOFProject[[#This Row],[Actual]]-DB_SOFProject[[#This Row],[Plan]]</f>
        <v>0</v>
      </c>
      <c r="AF323" s="32">
        <f>IF(DB_SOFProject[[#This Row],[Plan]]&lt;&gt;0,DB_SOFProject[[#This Row],[Actual]]/DB_SOFProject[[#This Row],[Plan]],1.000011000011)</f>
        <v>1.0000110000110001</v>
      </c>
      <c r="AG323" s="34">
        <f>SUM(DB_SOFProject[[#This Row],[Plan01]:[Plan12]])/valUnits2</f>
        <v>0</v>
      </c>
      <c r="AH323" s="34">
        <f>SUMPRODUCT(DB_SOFProject[[#This Row],[Act01]:[Act12]],$Q$3:$AB$3)/valUnits2</f>
        <v>0</v>
      </c>
    </row>
    <row r="324" spans="2:34" x14ac:dyDescent="0.2">
      <c r="B324" t="s">
        <v>489</v>
      </c>
      <c r="C324" t="s">
        <v>905</v>
      </c>
      <c r="D324" t="s">
        <v>980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f>SUMPRODUCT(DB_SOFProject[[#This Row],[Plan01]:[Plan12]],$E$4:$P$4)/valUnits2</f>
        <v>0</v>
      </c>
      <c r="AD324">
        <f>SUMPRODUCT(DB_SOFProject[[#This Row],[Act01]:[Act12]],$Q$4:$AB$4)/valUnits2</f>
        <v>0</v>
      </c>
      <c r="AE324">
        <f>DB_SOFProject[[#This Row],[Actual]]-DB_SOFProject[[#This Row],[Plan]]</f>
        <v>0</v>
      </c>
      <c r="AF324" s="32">
        <f>IF(DB_SOFProject[[#This Row],[Plan]]&lt;&gt;0,DB_SOFProject[[#This Row],[Actual]]/DB_SOFProject[[#This Row],[Plan]],1.000011000011)</f>
        <v>1.0000110000110001</v>
      </c>
      <c r="AG324" s="34">
        <f>SUM(DB_SOFProject[[#This Row],[Plan01]:[Plan12]])/valUnits2</f>
        <v>0</v>
      </c>
      <c r="AH324" s="34">
        <f>SUMPRODUCT(DB_SOFProject[[#This Row],[Act01]:[Act12]],$Q$3:$AB$3)/valUnits2</f>
        <v>0</v>
      </c>
    </row>
    <row r="325" spans="2:34" x14ac:dyDescent="0.2">
      <c r="B325" t="s">
        <v>489</v>
      </c>
      <c r="C325" t="s">
        <v>905</v>
      </c>
      <c r="D325" t="s">
        <v>998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f>SUMPRODUCT(DB_SOFProject[[#This Row],[Plan01]:[Plan12]],$E$4:$P$4)/valUnits2</f>
        <v>0</v>
      </c>
      <c r="AD325">
        <f>SUMPRODUCT(DB_SOFProject[[#This Row],[Act01]:[Act12]],$Q$4:$AB$4)/valUnits2</f>
        <v>0</v>
      </c>
      <c r="AE325">
        <f>DB_SOFProject[[#This Row],[Actual]]-DB_SOFProject[[#This Row],[Plan]]</f>
        <v>0</v>
      </c>
      <c r="AF325" s="32">
        <f>IF(DB_SOFProject[[#This Row],[Plan]]&lt;&gt;0,DB_SOFProject[[#This Row],[Actual]]/DB_SOFProject[[#This Row],[Plan]],1.000011000011)</f>
        <v>1.0000110000110001</v>
      </c>
      <c r="AG325" s="34">
        <f>SUM(DB_SOFProject[[#This Row],[Plan01]:[Plan12]])/valUnits2</f>
        <v>0</v>
      </c>
      <c r="AH325" s="34">
        <f>SUMPRODUCT(DB_SOFProject[[#This Row],[Act01]:[Act12]],$Q$3:$AB$3)/valUnits2</f>
        <v>0</v>
      </c>
    </row>
    <row r="326" spans="2:34" x14ac:dyDescent="0.2">
      <c r="B326" t="s">
        <v>489</v>
      </c>
      <c r="C326" t="s">
        <v>905</v>
      </c>
      <c r="D326" t="s">
        <v>999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f>SUMPRODUCT(DB_SOFProject[[#This Row],[Plan01]:[Plan12]],$E$4:$P$4)/valUnits2</f>
        <v>0</v>
      </c>
      <c r="AD326">
        <f>SUMPRODUCT(DB_SOFProject[[#This Row],[Act01]:[Act12]],$Q$4:$AB$4)/valUnits2</f>
        <v>0</v>
      </c>
      <c r="AE326">
        <f>DB_SOFProject[[#This Row],[Actual]]-DB_SOFProject[[#This Row],[Plan]]</f>
        <v>0</v>
      </c>
      <c r="AF326" s="32">
        <f>IF(DB_SOFProject[[#This Row],[Plan]]&lt;&gt;0,DB_SOFProject[[#This Row],[Actual]]/DB_SOFProject[[#This Row],[Plan]],1.000011000011)</f>
        <v>1.0000110000110001</v>
      </c>
      <c r="AG326" s="34">
        <f>SUM(DB_SOFProject[[#This Row],[Plan01]:[Plan12]])/valUnits2</f>
        <v>0</v>
      </c>
      <c r="AH326" s="34">
        <f>SUMPRODUCT(DB_SOFProject[[#This Row],[Act01]:[Act12]],$Q$3:$AB$3)/valUnits2</f>
        <v>0</v>
      </c>
    </row>
    <row r="327" spans="2:34" x14ac:dyDescent="0.2">
      <c r="B327" t="s">
        <v>489</v>
      </c>
      <c r="C327" t="s">
        <v>907</v>
      </c>
      <c r="D327" t="s">
        <v>959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f>SUMPRODUCT(DB_SOFProject[[#This Row],[Plan01]:[Plan12]],$E$4:$P$4)/valUnits2</f>
        <v>0</v>
      </c>
      <c r="AD327">
        <f>SUMPRODUCT(DB_SOFProject[[#This Row],[Act01]:[Act12]],$Q$4:$AB$4)/valUnits2</f>
        <v>0</v>
      </c>
      <c r="AE327">
        <f>DB_SOFProject[[#This Row],[Actual]]-DB_SOFProject[[#This Row],[Plan]]</f>
        <v>0</v>
      </c>
      <c r="AF327" s="32">
        <f>IF(DB_SOFProject[[#This Row],[Plan]]&lt;&gt;0,DB_SOFProject[[#This Row],[Actual]]/DB_SOFProject[[#This Row],[Plan]],1.000011000011)</f>
        <v>1.0000110000110001</v>
      </c>
      <c r="AG327" s="34">
        <f>SUM(DB_SOFProject[[#This Row],[Plan01]:[Plan12]])/valUnits2</f>
        <v>0</v>
      </c>
      <c r="AH327" s="34">
        <f>SUMPRODUCT(DB_SOFProject[[#This Row],[Act01]:[Act12]],$Q$3:$AB$3)/valUnits2</f>
        <v>0</v>
      </c>
    </row>
    <row r="328" spans="2:34" x14ac:dyDescent="0.2">
      <c r="B328" t="s">
        <v>489</v>
      </c>
      <c r="C328" t="s">
        <v>907</v>
      </c>
      <c r="D328" t="s">
        <v>975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f>SUMPRODUCT(DB_SOFProject[[#This Row],[Plan01]:[Plan12]],$E$4:$P$4)/valUnits2</f>
        <v>0</v>
      </c>
      <c r="AD328">
        <f>SUMPRODUCT(DB_SOFProject[[#This Row],[Act01]:[Act12]],$Q$4:$AB$4)/valUnits2</f>
        <v>0</v>
      </c>
      <c r="AE328">
        <f>DB_SOFProject[[#This Row],[Actual]]-DB_SOFProject[[#This Row],[Plan]]</f>
        <v>0</v>
      </c>
      <c r="AF328" s="32">
        <f>IF(DB_SOFProject[[#This Row],[Plan]]&lt;&gt;0,DB_SOFProject[[#This Row],[Actual]]/DB_SOFProject[[#This Row],[Plan]],1.000011000011)</f>
        <v>1.0000110000110001</v>
      </c>
      <c r="AG328" s="34">
        <f>SUM(DB_SOFProject[[#This Row],[Plan01]:[Plan12]])/valUnits2</f>
        <v>0</v>
      </c>
      <c r="AH328" s="34">
        <f>SUMPRODUCT(DB_SOFProject[[#This Row],[Act01]:[Act12]],$Q$3:$AB$3)/valUnits2</f>
        <v>0</v>
      </c>
    </row>
    <row r="329" spans="2:34" x14ac:dyDescent="0.2">
      <c r="B329" t="s">
        <v>489</v>
      </c>
      <c r="C329" t="s">
        <v>907</v>
      </c>
      <c r="D329" t="s">
        <v>980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f>SUMPRODUCT(DB_SOFProject[[#This Row],[Plan01]:[Plan12]],$E$4:$P$4)/valUnits2</f>
        <v>0</v>
      </c>
      <c r="AD329">
        <f>SUMPRODUCT(DB_SOFProject[[#This Row],[Act01]:[Act12]],$Q$4:$AB$4)/valUnits2</f>
        <v>0</v>
      </c>
      <c r="AE329">
        <f>DB_SOFProject[[#This Row],[Actual]]-DB_SOFProject[[#This Row],[Plan]]</f>
        <v>0</v>
      </c>
      <c r="AF329" s="32">
        <f>IF(DB_SOFProject[[#This Row],[Plan]]&lt;&gt;0,DB_SOFProject[[#This Row],[Actual]]/DB_SOFProject[[#This Row],[Plan]],1.000011000011)</f>
        <v>1.0000110000110001</v>
      </c>
      <c r="AG329" s="34">
        <f>SUM(DB_SOFProject[[#This Row],[Plan01]:[Plan12]])/valUnits2</f>
        <v>0</v>
      </c>
      <c r="AH329" s="34">
        <f>SUMPRODUCT(DB_SOFProject[[#This Row],[Act01]:[Act12]],$Q$3:$AB$3)/valUnits2</f>
        <v>0</v>
      </c>
    </row>
    <row r="330" spans="2:34" x14ac:dyDescent="0.2">
      <c r="B330" t="s">
        <v>489</v>
      </c>
      <c r="C330" t="s">
        <v>907</v>
      </c>
      <c r="D330" t="s">
        <v>999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f>SUMPRODUCT(DB_SOFProject[[#This Row],[Plan01]:[Plan12]],$E$4:$P$4)/valUnits2</f>
        <v>0</v>
      </c>
      <c r="AD330">
        <f>SUMPRODUCT(DB_SOFProject[[#This Row],[Act01]:[Act12]],$Q$4:$AB$4)/valUnits2</f>
        <v>0</v>
      </c>
      <c r="AE330">
        <f>DB_SOFProject[[#This Row],[Actual]]-DB_SOFProject[[#This Row],[Plan]]</f>
        <v>0</v>
      </c>
      <c r="AF330" s="32">
        <f>IF(DB_SOFProject[[#This Row],[Plan]]&lt;&gt;0,DB_SOFProject[[#This Row],[Actual]]/DB_SOFProject[[#This Row],[Plan]],1.000011000011)</f>
        <v>1.0000110000110001</v>
      </c>
      <c r="AG330" s="34">
        <f>SUM(DB_SOFProject[[#This Row],[Plan01]:[Plan12]])/valUnits2</f>
        <v>0</v>
      </c>
      <c r="AH330" s="34">
        <f>SUMPRODUCT(DB_SOFProject[[#This Row],[Act01]:[Act12]],$Q$3:$AB$3)/valUnits2</f>
        <v>0</v>
      </c>
    </row>
    <row r="331" spans="2:34" x14ac:dyDescent="0.2">
      <c r="B331" t="s">
        <v>489</v>
      </c>
      <c r="C331" t="s">
        <v>908</v>
      </c>
      <c r="D331" t="s">
        <v>959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49.588999999999999</v>
      </c>
      <c r="K331">
        <v>49.588999999999999</v>
      </c>
      <c r="L331">
        <v>49.588999999999999</v>
      </c>
      <c r="M331">
        <v>49.588999999999999</v>
      </c>
      <c r="N331">
        <v>49.588999999999999</v>
      </c>
      <c r="O331">
        <v>49.588999999999999</v>
      </c>
      <c r="P331">
        <v>49.588999999999999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f>SUMPRODUCT(DB_SOFProject[[#This Row],[Plan01]:[Plan12]],$E$4:$P$4)/valUnits2</f>
        <v>4.9589000000000001E-2</v>
      </c>
      <c r="AD331">
        <f>SUMPRODUCT(DB_SOFProject[[#This Row],[Act01]:[Act12]],$Q$4:$AB$4)/valUnits2</f>
        <v>0</v>
      </c>
      <c r="AE331">
        <f>DB_SOFProject[[#This Row],[Actual]]-DB_SOFProject[[#This Row],[Plan]]</f>
        <v>-4.9589000000000001E-2</v>
      </c>
      <c r="AF331" s="32">
        <f>IF(DB_SOFProject[[#This Row],[Plan]]&lt;&gt;0,DB_SOFProject[[#This Row],[Actual]]/DB_SOFProject[[#This Row],[Plan]],1.000011000011)</f>
        <v>0</v>
      </c>
      <c r="AG331" s="34">
        <f>SUM(DB_SOFProject[[#This Row],[Plan01]:[Plan12]])/valUnits2</f>
        <v>0.34712300000000001</v>
      </c>
      <c r="AH331" s="34">
        <f>SUMPRODUCT(DB_SOFProject[[#This Row],[Act01]:[Act12]],$Q$3:$AB$3)/valUnits2</f>
        <v>0</v>
      </c>
    </row>
    <row r="332" spans="2:34" x14ac:dyDescent="0.2">
      <c r="B332" t="s">
        <v>489</v>
      </c>
      <c r="C332" t="s">
        <v>908</v>
      </c>
      <c r="D332" t="s">
        <v>975</v>
      </c>
      <c r="E332">
        <v>0</v>
      </c>
      <c r="F332">
        <v>0</v>
      </c>
      <c r="G332">
        <v>0</v>
      </c>
      <c r="H332">
        <v>1119.3989999999999</v>
      </c>
      <c r="I332">
        <v>-935.77499999999986</v>
      </c>
      <c r="J332">
        <v>39.475999999999999</v>
      </c>
      <c r="K332">
        <v>39.475999999999999</v>
      </c>
      <c r="L332">
        <v>39.475999999999999</v>
      </c>
      <c r="M332">
        <v>39.475999999999999</v>
      </c>
      <c r="N332">
        <v>39.475999999999999</v>
      </c>
      <c r="O332">
        <v>39.475999999999999</v>
      </c>
      <c r="P332">
        <v>39.475999999999999</v>
      </c>
      <c r="Q332">
        <v>0</v>
      </c>
      <c r="R332">
        <v>0</v>
      </c>
      <c r="S332">
        <v>0</v>
      </c>
      <c r="T332">
        <v>1135.72</v>
      </c>
      <c r="U332">
        <v>-970.39</v>
      </c>
      <c r="V332">
        <v>47.169999999999995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f>SUMPRODUCT(DB_SOFProject[[#This Row],[Plan01]:[Plan12]],$E$4:$P$4)/valUnits2</f>
        <v>0.22310000000000002</v>
      </c>
      <c r="AD332">
        <f>SUMPRODUCT(DB_SOFProject[[#This Row],[Act01]:[Act12]],$Q$4:$AB$4)/valUnits2</f>
        <v>0.21250000000000002</v>
      </c>
      <c r="AE332">
        <f>DB_SOFProject[[#This Row],[Actual]]-DB_SOFProject[[#This Row],[Plan]]</f>
        <v>-1.0599999999999998E-2</v>
      </c>
      <c r="AF332" s="32">
        <f>IF(DB_SOFProject[[#This Row],[Plan]]&lt;&gt;0,DB_SOFProject[[#This Row],[Actual]]/DB_SOFProject[[#This Row],[Plan]],1.000011000011)</f>
        <v>0.95248767368892873</v>
      </c>
      <c r="AG332" s="34">
        <f>SUM(DB_SOFProject[[#This Row],[Plan01]:[Plan12]])/valUnits2</f>
        <v>0.45995600000000003</v>
      </c>
      <c r="AH332" s="34">
        <f>SUMPRODUCT(DB_SOFProject[[#This Row],[Act01]:[Act12]],$Q$3:$AB$3)/valUnits2</f>
        <v>0.21250000000000002</v>
      </c>
    </row>
    <row r="333" spans="2:34" x14ac:dyDescent="0.2">
      <c r="B333" t="s">
        <v>489</v>
      </c>
      <c r="C333" t="s">
        <v>909</v>
      </c>
      <c r="D333" t="s">
        <v>946</v>
      </c>
      <c r="E333">
        <v>31.33</v>
      </c>
      <c r="F333">
        <v>1230.48</v>
      </c>
      <c r="G333">
        <v>1694.4199999999998</v>
      </c>
      <c r="H333">
        <v>2354.4699999999998</v>
      </c>
      <c r="I333">
        <v>1330.2099999999998</v>
      </c>
      <c r="J333">
        <v>1193</v>
      </c>
      <c r="K333">
        <v>1193</v>
      </c>
      <c r="L333">
        <v>1193</v>
      </c>
      <c r="M333">
        <v>1193</v>
      </c>
      <c r="N333">
        <v>1193</v>
      </c>
      <c r="O333">
        <v>1193</v>
      </c>
      <c r="P333">
        <v>1193</v>
      </c>
      <c r="Q333">
        <v>31.33</v>
      </c>
      <c r="R333">
        <v>1230.48</v>
      </c>
      <c r="S333">
        <v>1694.4199999999998</v>
      </c>
      <c r="T333">
        <v>2354.4699999999998</v>
      </c>
      <c r="U333">
        <v>1330.2099999999998</v>
      </c>
      <c r="V333">
        <v>1082.5999999999999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f>SUMPRODUCT(DB_SOFProject[[#This Row],[Plan01]:[Plan12]],$E$4:$P$4)/valUnits2</f>
        <v>7.8339099999999986</v>
      </c>
      <c r="AD333">
        <f>SUMPRODUCT(DB_SOFProject[[#This Row],[Act01]:[Act12]],$Q$4:$AB$4)/valUnits2</f>
        <v>7.7235099999999983</v>
      </c>
      <c r="AE333">
        <f>DB_SOFProject[[#This Row],[Actual]]-DB_SOFProject[[#This Row],[Plan]]</f>
        <v>-0.11040000000000028</v>
      </c>
      <c r="AF333" s="32">
        <f>IF(DB_SOFProject[[#This Row],[Plan]]&lt;&gt;0,DB_SOFProject[[#This Row],[Actual]]/DB_SOFProject[[#This Row],[Plan]],1.000011000011)</f>
        <v>0.98590742043245327</v>
      </c>
      <c r="AG333" s="34">
        <f>SUM(DB_SOFProject[[#This Row],[Plan01]:[Plan12]])/valUnits2</f>
        <v>14.991910000000001</v>
      </c>
      <c r="AH333" s="34">
        <f>SUMPRODUCT(DB_SOFProject[[#This Row],[Act01]:[Act12]],$Q$3:$AB$3)/valUnits2</f>
        <v>7.7235099999999983</v>
      </c>
    </row>
    <row r="334" spans="2:34" x14ac:dyDescent="0.2">
      <c r="B334" t="s">
        <v>489</v>
      </c>
      <c r="C334" t="s">
        <v>909</v>
      </c>
      <c r="D334" t="s">
        <v>947</v>
      </c>
      <c r="E334">
        <v>174.51000000000013</v>
      </c>
      <c r="F334">
        <v>3570.7099999999991</v>
      </c>
      <c r="G334">
        <v>4186.82</v>
      </c>
      <c r="H334">
        <v>4557.8999999999996</v>
      </c>
      <c r="I334">
        <v>2155.42</v>
      </c>
      <c r="J334">
        <v>0</v>
      </c>
      <c r="Q334">
        <v>174.5100000000001</v>
      </c>
      <c r="R334">
        <v>3570.71</v>
      </c>
      <c r="S334">
        <v>4186.8200000000006</v>
      </c>
      <c r="T334">
        <v>4557.9000000000005</v>
      </c>
      <c r="U334">
        <v>2155.42</v>
      </c>
      <c r="V334">
        <v>4834.41</v>
      </c>
      <c r="AC334">
        <f>SUMPRODUCT(DB_SOFProject[[#This Row],[Plan01]:[Plan12]],$E$4:$P$4)/valUnits2</f>
        <v>14.645359999999998</v>
      </c>
      <c r="AD334">
        <f>SUMPRODUCT(DB_SOFProject[[#This Row],[Act01]:[Act12]],$Q$4:$AB$4)/valUnits2</f>
        <v>19.479770000000006</v>
      </c>
      <c r="AE334">
        <f>DB_SOFProject[[#This Row],[Actual]]-DB_SOFProject[[#This Row],[Plan]]</f>
        <v>4.8344100000000072</v>
      </c>
      <c r="AF334" s="32">
        <f>IF(DB_SOFProject[[#This Row],[Plan]]&lt;&gt;0,DB_SOFProject[[#This Row],[Actual]]/DB_SOFProject[[#This Row],[Plan]],1.000011000011)</f>
        <v>1.3300984065943076</v>
      </c>
      <c r="AG334" s="34">
        <f>SUM(DB_SOFProject[[#This Row],[Plan01]:[Plan12]])/valUnits2</f>
        <v>14.645359999999998</v>
      </c>
      <c r="AH334" s="34">
        <f>SUMPRODUCT(DB_SOFProject[[#This Row],[Act01]:[Act12]],$Q$3:$AB$3)/valUnits2</f>
        <v>19.479770000000006</v>
      </c>
    </row>
    <row r="335" spans="2:34" x14ac:dyDescent="0.2">
      <c r="B335" t="s">
        <v>489</v>
      </c>
      <c r="C335" t="s">
        <v>909</v>
      </c>
      <c r="D335" t="s">
        <v>959</v>
      </c>
      <c r="E335">
        <v>1480.4</v>
      </c>
      <c r="F335">
        <v>531.71</v>
      </c>
      <c r="G335">
        <v>615.61</v>
      </c>
      <c r="H335">
        <v>3189.09</v>
      </c>
      <c r="I335">
        <v>2360.66</v>
      </c>
      <c r="J335">
        <v>200</v>
      </c>
      <c r="K335">
        <v>200</v>
      </c>
      <c r="L335">
        <v>200</v>
      </c>
      <c r="M335">
        <v>200</v>
      </c>
      <c r="N335">
        <v>200</v>
      </c>
      <c r="O335">
        <v>200</v>
      </c>
      <c r="P335">
        <v>200</v>
      </c>
      <c r="Q335">
        <v>1480.3999999999999</v>
      </c>
      <c r="R335">
        <v>531.70999999999992</v>
      </c>
      <c r="S335">
        <v>615.61</v>
      </c>
      <c r="T335">
        <v>3189.09</v>
      </c>
      <c r="U335">
        <v>2360.66</v>
      </c>
      <c r="V335">
        <v>2473.9300000000003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f>SUMPRODUCT(DB_SOFProject[[#This Row],[Plan01]:[Plan12]],$E$4:$P$4)/valUnits2</f>
        <v>8.3774700000000006</v>
      </c>
      <c r="AD335">
        <f>SUMPRODUCT(DB_SOFProject[[#This Row],[Act01]:[Act12]],$Q$4:$AB$4)/valUnits2</f>
        <v>10.651399999999999</v>
      </c>
      <c r="AE335">
        <f>DB_SOFProject[[#This Row],[Actual]]-DB_SOFProject[[#This Row],[Plan]]</f>
        <v>2.2739299999999982</v>
      </c>
      <c r="AF335" s="32">
        <f>IF(DB_SOFProject[[#This Row],[Plan]]&lt;&gt;0,DB_SOFProject[[#This Row],[Actual]]/DB_SOFProject[[#This Row],[Plan]],1.000011000011)</f>
        <v>1.2714339770837733</v>
      </c>
      <c r="AG335" s="34">
        <f>SUM(DB_SOFProject[[#This Row],[Plan01]:[Plan12]])/valUnits2</f>
        <v>9.5774700000000017</v>
      </c>
      <c r="AH335" s="34">
        <f>SUMPRODUCT(DB_SOFProject[[#This Row],[Act01]:[Act12]],$Q$3:$AB$3)/valUnits2</f>
        <v>10.651399999999999</v>
      </c>
    </row>
    <row r="336" spans="2:34" x14ac:dyDescent="0.2">
      <c r="B336" t="s">
        <v>489</v>
      </c>
      <c r="C336" t="s">
        <v>909</v>
      </c>
      <c r="D336" t="s">
        <v>975</v>
      </c>
      <c r="E336">
        <v>12253.490000000002</v>
      </c>
      <c r="F336">
        <v>14398.649999999998</v>
      </c>
      <c r="G336">
        <v>18283</v>
      </c>
      <c r="H336">
        <v>45575.310000000027</v>
      </c>
      <c r="I336">
        <v>23407.280000000006</v>
      </c>
      <c r="J336">
        <v>18617.002</v>
      </c>
      <c r="K336">
        <v>18617.002</v>
      </c>
      <c r="L336">
        <v>18617.002</v>
      </c>
      <c r="M336">
        <v>18617.002000000004</v>
      </c>
      <c r="N336">
        <v>18617.002</v>
      </c>
      <c r="O336">
        <v>18617.002</v>
      </c>
      <c r="P336">
        <v>18617.002000000004</v>
      </c>
      <c r="Q336">
        <v>12253.490000000003</v>
      </c>
      <c r="R336">
        <v>14398.650000000001</v>
      </c>
      <c r="S336">
        <v>18344.890000000007</v>
      </c>
      <c r="T336">
        <v>47134.670000000006</v>
      </c>
      <c r="U336">
        <v>23426.87</v>
      </c>
      <c r="V336">
        <v>22924.749999999993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f>SUMPRODUCT(DB_SOFProject[[#This Row],[Plan01]:[Plan12]],$E$4:$P$4)/valUnits2</f>
        <v>132.53473200000005</v>
      </c>
      <c r="AD336">
        <f>SUMPRODUCT(DB_SOFProject[[#This Row],[Act01]:[Act12]],$Q$4:$AB$4)/valUnits2</f>
        <v>138.48332000000002</v>
      </c>
      <c r="AE336">
        <f>DB_SOFProject[[#This Row],[Actual]]-DB_SOFProject[[#This Row],[Plan]]</f>
        <v>5.9485879999999725</v>
      </c>
      <c r="AF336" s="32">
        <f>IF(DB_SOFProject[[#This Row],[Plan]]&lt;&gt;0,DB_SOFProject[[#This Row],[Actual]]/DB_SOFProject[[#This Row],[Plan]],1.000011000011)</f>
        <v>1.0448832386064655</v>
      </c>
      <c r="AG336" s="34">
        <f>SUM(DB_SOFProject[[#This Row],[Plan01]:[Plan12]])/valUnits2</f>
        <v>244.2367440000001</v>
      </c>
      <c r="AH336" s="34">
        <f>SUMPRODUCT(DB_SOFProject[[#This Row],[Act01]:[Act12]],$Q$3:$AB$3)/valUnits2</f>
        <v>138.48332000000002</v>
      </c>
    </row>
    <row r="337" spans="2:34" x14ac:dyDescent="0.2">
      <c r="B337" t="s">
        <v>489</v>
      </c>
      <c r="C337" t="s">
        <v>909</v>
      </c>
      <c r="D337" t="s">
        <v>976</v>
      </c>
      <c r="E337">
        <v>0</v>
      </c>
      <c r="F337">
        <v>975.28</v>
      </c>
      <c r="G337">
        <v>1294.67</v>
      </c>
      <c r="H337">
        <v>2429.4199999999996</v>
      </c>
      <c r="I337">
        <v>977.91</v>
      </c>
      <c r="J337">
        <v>1461</v>
      </c>
      <c r="K337">
        <v>1461</v>
      </c>
      <c r="L337">
        <v>1461</v>
      </c>
      <c r="M337">
        <v>1461</v>
      </c>
      <c r="N337">
        <v>1461</v>
      </c>
      <c r="O337">
        <v>1461</v>
      </c>
      <c r="P337">
        <v>1461</v>
      </c>
      <c r="Q337">
        <v>0</v>
      </c>
      <c r="R337">
        <v>975.28</v>
      </c>
      <c r="S337">
        <v>1294.67</v>
      </c>
      <c r="T337">
        <v>2429.42</v>
      </c>
      <c r="U337">
        <v>977.91</v>
      </c>
      <c r="V337">
        <v>823.77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f>SUMPRODUCT(DB_SOFProject[[#This Row],[Plan01]:[Plan12]],$E$4:$P$4)/valUnits2</f>
        <v>7.1382799999999991</v>
      </c>
      <c r="AD337">
        <f>SUMPRODUCT(DB_SOFProject[[#This Row],[Act01]:[Act12]],$Q$4:$AB$4)/valUnits2</f>
        <v>6.5010499999999993</v>
      </c>
      <c r="AE337">
        <f>DB_SOFProject[[#This Row],[Actual]]-DB_SOFProject[[#This Row],[Plan]]</f>
        <v>-0.63722999999999974</v>
      </c>
      <c r="AF337" s="32">
        <f>IF(DB_SOFProject[[#This Row],[Plan]]&lt;&gt;0,DB_SOFProject[[#This Row],[Actual]]/DB_SOFProject[[#This Row],[Plan]],1.000011000011)</f>
        <v>0.91073059616602325</v>
      </c>
      <c r="AG337" s="34">
        <f>SUM(DB_SOFProject[[#This Row],[Plan01]:[Plan12]])/valUnits2</f>
        <v>15.904279999999998</v>
      </c>
      <c r="AH337" s="34">
        <f>SUMPRODUCT(DB_SOFProject[[#This Row],[Act01]:[Act12]],$Q$3:$AB$3)/valUnits2</f>
        <v>6.5010499999999993</v>
      </c>
    </row>
    <row r="338" spans="2:34" x14ac:dyDescent="0.2">
      <c r="B338" t="s">
        <v>489</v>
      </c>
      <c r="C338" t="s">
        <v>909</v>
      </c>
      <c r="D338" t="s">
        <v>980</v>
      </c>
      <c r="E338">
        <v>21.759999999999998</v>
      </c>
      <c r="F338">
        <v>4146.6999999999989</v>
      </c>
      <c r="G338">
        <v>5564.24</v>
      </c>
      <c r="H338">
        <v>6661.63</v>
      </c>
      <c r="I338">
        <v>2598.3000000000002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21.759999999999998</v>
      </c>
      <c r="R338">
        <v>4146.7</v>
      </c>
      <c r="S338">
        <v>5564.24</v>
      </c>
      <c r="T338">
        <v>6661.63</v>
      </c>
      <c r="U338">
        <v>2598.2999999999997</v>
      </c>
      <c r="V338">
        <v>2516.69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f>SUMPRODUCT(DB_SOFProject[[#This Row],[Plan01]:[Plan12]],$E$4:$P$4)/valUnits2</f>
        <v>18.992629999999998</v>
      </c>
      <c r="AD338">
        <f>SUMPRODUCT(DB_SOFProject[[#This Row],[Act01]:[Act12]],$Q$4:$AB$4)/valUnits2</f>
        <v>21.509319999999999</v>
      </c>
      <c r="AE338">
        <f>DB_SOFProject[[#This Row],[Actual]]-DB_SOFProject[[#This Row],[Plan]]</f>
        <v>2.5166900000000005</v>
      </c>
      <c r="AF338" s="32">
        <f>IF(DB_SOFProject[[#This Row],[Plan]]&lt;&gt;0,DB_SOFProject[[#This Row],[Actual]]/DB_SOFProject[[#This Row],[Plan]],1.000011000011)</f>
        <v>1.1325087678746968</v>
      </c>
      <c r="AG338" s="34">
        <f>SUM(DB_SOFProject[[#This Row],[Plan01]:[Plan12]])/valUnits2</f>
        <v>18.992629999999998</v>
      </c>
      <c r="AH338" s="34">
        <f>SUMPRODUCT(DB_SOFProject[[#This Row],[Act01]:[Act12]],$Q$3:$AB$3)/valUnits2</f>
        <v>21.509319999999999</v>
      </c>
    </row>
    <row r="339" spans="2:34" x14ac:dyDescent="0.2">
      <c r="B339" t="s">
        <v>489</v>
      </c>
      <c r="C339" t="s">
        <v>909</v>
      </c>
      <c r="D339" t="s">
        <v>984</v>
      </c>
      <c r="F339">
        <v>820.35</v>
      </c>
      <c r="G339">
        <v>829.97</v>
      </c>
      <c r="H339">
        <v>113.69</v>
      </c>
      <c r="I339">
        <v>53.68</v>
      </c>
      <c r="J339">
        <v>0</v>
      </c>
      <c r="R339">
        <v>820.35</v>
      </c>
      <c r="S339">
        <v>829.97</v>
      </c>
      <c r="T339">
        <v>113.69</v>
      </c>
      <c r="U339">
        <v>53.68</v>
      </c>
      <c r="V339">
        <v>61.300000000000004</v>
      </c>
      <c r="AC339">
        <f>SUMPRODUCT(DB_SOFProject[[#This Row],[Plan01]:[Plan12]],$E$4:$P$4)/valUnits2</f>
        <v>1.8176900000000002</v>
      </c>
      <c r="AD339">
        <f>SUMPRODUCT(DB_SOFProject[[#This Row],[Act01]:[Act12]],$Q$4:$AB$4)/valUnits2</f>
        <v>1.8789900000000002</v>
      </c>
      <c r="AE339">
        <f>DB_SOFProject[[#This Row],[Actual]]-DB_SOFProject[[#This Row],[Plan]]</f>
        <v>6.129999999999991E-2</v>
      </c>
      <c r="AF339" s="32">
        <f>IF(DB_SOFProject[[#This Row],[Plan]]&lt;&gt;0,DB_SOFProject[[#This Row],[Actual]]/DB_SOFProject[[#This Row],[Plan]],1.000011000011)</f>
        <v>1.0337241223751024</v>
      </c>
      <c r="AG339" s="34">
        <f>SUM(DB_SOFProject[[#This Row],[Plan01]:[Plan12]])/valUnits2</f>
        <v>1.8176900000000002</v>
      </c>
      <c r="AH339" s="34">
        <f>SUMPRODUCT(DB_SOFProject[[#This Row],[Act01]:[Act12]],$Q$3:$AB$3)/valUnits2</f>
        <v>1.8789900000000002</v>
      </c>
    </row>
    <row r="340" spans="2:34" x14ac:dyDescent="0.2">
      <c r="B340" t="s">
        <v>489</v>
      </c>
      <c r="C340" t="s">
        <v>909</v>
      </c>
      <c r="D340" t="s">
        <v>990</v>
      </c>
      <c r="E340">
        <v>50.44</v>
      </c>
      <c r="F340">
        <v>7.6</v>
      </c>
      <c r="Q340">
        <v>50.44</v>
      </c>
      <c r="R340">
        <v>7.6</v>
      </c>
      <c r="AC340">
        <f>SUMPRODUCT(DB_SOFProject[[#This Row],[Plan01]:[Plan12]],$E$4:$P$4)/valUnits2</f>
        <v>5.8040000000000001E-2</v>
      </c>
      <c r="AD340">
        <f>SUMPRODUCT(DB_SOFProject[[#This Row],[Act01]:[Act12]],$Q$4:$AB$4)/valUnits2</f>
        <v>5.8040000000000001E-2</v>
      </c>
      <c r="AE340">
        <f>DB_SOFProject[[#This Row],[Actual]]-DB_SOFProject[[#This Row],[Plan]]</f>
        <v>0</v>
      </c>
      <c r="AF340" s="32">
        <f>IF(DB_SOFProject[[#This Row],[Plan]]&lt;&gt;0,DB_SOFProject[[#This Row],[Actual]]/DB_SOFProject[[#This Row],[Plan]],1.000011000011)</f>
        <v>1</v>
      </c>
      <c r="AG340" s="34">
        <f>SUM(DB_SOFProject[[#This Row],[Plan01]:[Plan12]])/valUnits2</f>
        <v>5.8040000000000001E-2</v>
      </c>
      <c r="AH340" s="34">
        <f>SUMPRODUCT(DB_SOFProject[[#This Row],[Act01]:[Act12]],$Q$3:$AB$3)/valUnits2</f>
        <v>5.8040000000000001E-2</v>
      </c>
    </row>
    <row r="341" spans="2:34" x14ac:dyDescent="0.2">
      <c r="B341" t="s">
        <v>489</v>
      </c>
      <c r="C341" t="s">
        <v>909</v>
      </c>
      <c r="D341" t="s">
        <v>999</v>
      </c>
      <c r="E341">
        <v>2403.85</v>
      </c>
      <c r="F341">
        <v>813.38</v>
      </c>
      <c r="G341">
        <v>1866.25</v>
      </c>
      <c r="H341">
        <v>3246.3500000000004</v>
      </c>
      <c r="I341">
        <v>3122.4500000000003</v>
      </c>
      <c r="J341">
        <v>5061.5</v>
      </c>
      <c r="K341">
        <v>5061.5</v>
      </c>
      <c r="L341">
        <v>5061.5</v>
      </c>
      <c r="M341">
        <v>5061.5</v>
      </c>
      <c r="N341">
        <v>5061.5</v>
      </c>
      <c r="O341">
        <v>5061.5</v>
      </c>
      <c r="P341">
        <v>5061.5</v>
      </c>
      <c r="Q341">
        <v>2403.85</v>
      </c>
      <c r="R341">
        <v>813.38</v>
      </c>
      <c r="S341">
        <v>1866.2499999999995</v>
      </c>
      <c r="T341">
        <v>3246.35</v>
      </c>
      <c r="U341">
        <v>3122.45</v>
      </c>
      <c r="V341">
        <v>3606.9299999999994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f>SUMPRODUCT(DB_SOFProject[[#This Row],[Plan01]:[Plan12]],$E$4:$P$4)/valUnits2</f>
        <v>16.513780000000001</v>
      </c>
      <c r="AD341">
        <f>SUMPRODUCT(DB_SOFProject[[#This Row],[Act01]:[Act12]],$Q$4:$AB$4)/valUnits2</f>
        <v>15.059209999999998</v>
      </c>
      <c r="AE341">
        <f>DB_SOFProject[[#This Row],[Actual]]-DB_SOFProject[[#This Row],[Plan]]</f>
        <v>-1.4545700000000021</v>
      </c>
      <c r="AF341" s="32">
        <f>IF(DB_SOFProject[[#This Row],[Plan]]&lt;&gt;0,DB_SOFProject[[#This Row],[Actual]]/DB_SOFProject[[#This Row],[Plan]],1.000011000011)</f>
        <v>0.91191780440335268</v>
      </c>
      <c r="AG341" s="34">
        <f>SUM(DB_SOFProject[[#This Row],[Plan01]:[Plan12]])/valUnits2</f>
        <v>46.882779999999997</v>
      </c>
      <c r="AH341" s="34">
        <f>SUMPRODUCT(DB_SOFProject[[#This Row],[Act01]:[Act12]],$Q$3:$AB$3)/valUnits2</f>
        <v>15.059209999999998</v>
      </c>
    </row>
    <row r="342" spans="2:34" x14ac:dyDescent="0.2">
      <c r="B342" t="s">
        <v>489</v>
      </c>
      <c r="C342" t="s">
        <v>910</v>
      </c>
      <c r="D342" t="s">
        <v>959</v>
      </c>
      <c r="F342">
        <v>581.47</v>
      </c>
      <c r="G342">
        <v>521.39</v>
      </c>
      <c r="R342">
        <v>581.47</v>
      </c>
      <c r="S342">
        <v>521.39</v>
      </c>
      <c r="AC342">
        <f>SUMPRODUCT(DB_SOFProject[[#This Row],[Plan01]:[Plan12]],$E$4:$P$4)/valUnits2</f>
        <v>1.1028600000000002</v>
      </c>
      <c r="AD342">
        <f>SUMPRODUCT(DB_SOFProject[[#This Row],[Act01]:[Act12]],$Q$4:$AB$4)/valUnits2</f>
        <v>1.1028600000000002</v>
      </c>
      <c r="AE342">
        <f>DB_SOFProject[[#This Row],[Actual]]-DB_SOFProject[[#This Row],[Plan]]</f>
        <v>0</v>
      </c>
      <c r="AF342" s="32">
        <f>IF(DB_SOFProject[[#This Row],[Plan]]&lt;&gt;0,DB_SOFProject[[#This Row],[Actual]]/DB_SOFProject[[#This Row],[Plan]],1.000011000011)</f>
        <v>1</v>
      </c>
      <c r="AG342" s="34">
        <f>SUM(DB_SOFProject[[#This Row],[Plan01]:[Plan12]])/valUnits2</f>
        <v>1.1028600000000002</v>
      </c>
      <c r="AH342" s="34">
        <f>SUMPRODUCT(DB_SOFProject[[#This Row],[Act01]:[Act12]],$Q$3:$AB$3)/valUnits2</f>
        <v>1.1028600000000002</v>
      </c>
    </row>
    <row r="343" spans="2:34" x14ac:dyDescent="0.2">
      <c r="B343" t="s">
        <v>489</v>
      </c>
      <c r="C343" t="s">
        <v>354</v>
      </c>
      <c r="D343" t="s">
        <v>946</v>
      </c>
      <c r="H343">
        <v>0</v>
      </c>
      <c r="I343">
        <v>0</v>
      </c>
      <c r="J343">
        <v>297.35399999999998</v>
      </c>
      <c r="T343">
        <v>0</v>
      </c>
      <c r="U343">
        <v>0</v>
      </c>
      <c r="V343">
        <v>0</v>
      </c>
      <c r="AC343">
        <f>SUMPRODUCT(DB_SOFProject[[#This Row],[Plan01]:[Plan12]],$E$4:$P$4)/valUnits2</f>
        <v>0.29735400000000001</v>
      </c>
      <c r="AD343">
        <f>SUMPRODUCT(DB_SOFProject[[#This Row],[Act01]:[Act12]],$Q$4:$AB$4)/valUnits2</f>
        <v>0</v>
      </c>
      <c r="AE343">
        <f>DB_SOFProject[[#This Row],[Actual]]-DB_SOFProject[[#This Row],[Plan]]</f>
        <v>-0.29735400000000001</v>
      </c>
      <c r="AF343" s="32">
        <f>IF(DB_SOFProject[[#This Row],[Plan]]&lt;&gt;0,DB_SOFProject[[#This Row],[Actual]]/DB_SOFProject[[#This Row],[Plan]],1.000011000011)</f>
        <v>0</v>
      </c>
      <c r="AG343" s="34">
        <f>SUM(DB_SOFProject[[#This Row],[Plan01]:[Plan12]])/valUnits2</f>
        <v>0.29735400000000001</v>
      </c>
      <c r="AH343" s="34">
        <f>SUMPRODUCT(DB_SOFProject[[#This Row],[Act01]:[Act12]],$Q$3:$AB$3)/valUnits2</f>
        <v>0</v>
      </c>
    </row>
    <row r="344" spans="2:34" x14ac:dyDescent="0.2">
      <c r="B344" t="s">
        <v>489</v>
      </c>
      <c r="C344" t="s">
        <v>354</v>
      </c>
      <c r="D344" t="s">
        <v>947</v>
      </c>
      <c r="H344">
        <v>92.724000000000004</v>
      </c>
      <c r="I344">
        <v>185.34200000000001</v>
      </c>
      <c r="J344">
        <v>0</v>
      </c>
      <c r="T344">
        <v>91.36</v>
      </c>
      <c r="U344">
        <v>190.33</v>
      </c>
      <c r="V344">
        <v>104.67</v>
      </c>
      <c r="AC344">
        <f>SUMPRODUCT(DB_SOFProject[[#This Row],[Plan01]:[Plan12]],$E$4:$P$4)/valUnits2</f>
        <v>0.27806600000000004</v>
      </c>
      <c r="AD344">
        <f>SUMPRODUCT(DB_SOFProject[[#This Row],[Act01]:[Act12]],$Q$4:$AB$4)/valUnits2</f>
        <v>0.38636000000000004</v>
      </c>
      <c r="AE344">
        <f>DB_SOFProject[[#This Row],[Actual]]-DB_SOFProject[[#This Row],[Plan]]</f>
        <v>0.108294</v>
      </c>
      <c r="AF344" s="32">
        <f>IF(DB_SOFProject[[#This Row],[Plan]]&lt;&gt;0,DB_SOFProject[[#This Row],[Actual]]/DB_SOFProject[[#This Row],[Plan]],1.000011000011)</f>
        <v>1.3894543022160206</v>
      </c>
      <c r="AG344" s="34">
        <f>SUM(DB_SOFProject[[#This Row],[Plan01]:[Plan12]])/valUnits2</f>
        <v>0.27806600000000004</v>
      </c>
      <c r="AH344" s="34">
        <f>SUMPRODUCT(DB_SOFProject[[#This Row],[Act01]:[Act12]],$Q$3:$AB$3)/valUnits2</f>
        <v>0.38636000000000004</v>
      </c>
    </row>
    <row r="345" spans="2:34" x14ac:dyDescent="0.2">
      <c r="B345" t="s">
        <v>489</v>
      </c>
      <c r="C345" t="s">
        <v>354</v>
      </c>
      <c r="D345" t="s">
        <v>959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594.70799999999997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AC345">
        <f>SUMPRODUCT(DB_SOFProject[[#This Row],[Plan01]:[Plan12]],$E$4:$P$4)/valUnits2</f>
        <v>0.59470800000000001</v>
      </c>
      <c r="AD345">
        <f>SUMPRODUCT(DB_SOFProject[[#This Row],[Act01]:[Act12]],$Q$4:$AB$4)/valUnits2</f>
        <v>0</v>
      </c>
      <c r="AE345">
        <f>DB_SOFProject[[#This Row],[Actual]]-DB_SOFProject[[#This Row],[Plan]]</f>
        <v>-0.59470800000000001</v>
      </c>
      <c r="AF345" s="32">
        <f>IF(DB_SOFProject[[#This Row],[Plan]]&lt;&gt;0,DB_SOFProject[[#This Row],[Actual]]/DB_SOFProject[[#This Row],[Plan]],1.000011000011)</f>
        <v>0</v>
      </c>
      <c r="AG345" s="34">
        <f>SUM(DB_SOFProject[[#This Row],[Plan01]:[Plan12]])/valUnits2</f>
        <v>0.59470800000000001</v>
      </c>
      <c r="AH345" s="34">
        <f>SUMPRODUCT(DB_SOFProject[[#This Row],[Act01]:[Act12]],$Q$3:$AB$3)/valUnits2</f>
        <v>0</v>
      </c>
    </row>
    <row r="346" spans="2:34" x14ac:dyDescent="0.2">
      <c r="B346" t="s">
        <v>489</v>
      </c>
      <c r="C346" t="s">
        <v>354</v>
      </c>
      <c r="D346" t="s">
        <v>975</v>
      </c>
      <c r="E346">
        <v>0</v>
      </c>
      <c r="F346">
        <v>0</v>
      </c>
      <c r="G346">
        <v>0</v>
      </c>
      <c r="H346">
        <v>1264.8510000000001</v>
      </c>
      <c r="I346">
        <v>1318.0140000000004</v>
      </c>
      <c r="J346">
        <v>912.23200000000008</v>
      </c>
      <c r="Q346">
        <v>0</v>
      </c>
      <c r="R346">
        <v>0</v>
      </c>
      <c r="S346">
        <v>0</v>
      </c>
      <c r="T346">
        <v>1254.27</v>
      </c>
      <c r="U346">
        <v>1336.48</v>
      </c>
      <c r="V346">
        <v>1119.9199999999998</v>
      </c>
      <c r="AC346">
        <f>SUMPRODUCT(DB_SOFProject[[#This Row],[Plan01]:[Plan12]],$E$4:$P$4)/valUnits2</f>
        <v>3.4950970000000008</v>
      </c>
      <c r="AD346">
        <f>SUMPRODUCT(DB_SOFProject[[#This Row],[Act01]:[Act12]],$Q$4:$AB$4)/valUnits2</f>
        <v>3.7106699999999999</v>
      </c>
      <c r="AE346">
        <f>DB_SOFProject[[#This Row],[Actual]]-DB_SOFProject[[#This Row],[Plan]]</f>
        <v>0.21557299999999913</v>
      </c>
      <c r="AF346" s="32">
        <f>IF(DB_SOFProject[[#This Row],[Plan]]&lt;&gt;0,DB_SOFProject[[#This Row],[Actual]]/DB_SOFProject[[#This Row],[Plan]],1.000011000011)</f>
        <v>1.0616786887459773</v>
      </c>
      <c r="AG346" s="34">
        <f>SUM(DB_SOFProject[[#This Row],[Plan01]:[Plan12]])/valUnits2</f>
        <v>3.4950970000000008</v>
      </c>
      <c r="AH346" s="34">
        <f>SUMPRODUCT(DB_SOFProject[[#This Row],[Act01]:[Act12]],$Q$3:$AB$3)/valUnits2</f>
        <v>3.7106699999999999</v>
      </c>
    </row>
    <row r="347" spans="2:34" x14ac:dyDescent="0.2">
      <c r="B347" t="s">
        <v>489</v>
      </c>
      <c r="C347" t="s">
        <v>354</v>
      </c>
      <c r="D347" t="s">
        <v>980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297.35399999999998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AC347">
        <f>SUMPRODUCT(DB_SOFProject[[#This Row],[Plan01]:[Plan12]],$E$4:$P$4)/valUnits2</f>
        <v>0.29735400000000001</v>
      </c>
      <c r="AD347">
        <f>SUMPRODUCT(DB_SOFProject[[#This Row],[Act01]:[Act12]],$Q$4:$AB$4)/valUnits2</f>
        <v>0</v>
      </c>
      <c r="AE347">
        <f>DB_SOFProject[[#This Row],[Actual]]-DB_SOFProject[[#This Row],[Plan]]</f>
        <v>-0.29735400000000001</v>
      </c>
      <c r="AF347" s="32">
        <f>IF(DB_SOFProject[[#This Row],[Plan]]&lt;&gt;0,DB_SOFProject[[#This Row],[Actual]]/DB_SOFProject[[#This Row],[Plan]],1.000011000011)</f>
        <v>0</v>
      </c>
      <c r="AG347" s="34">
        <f>SUM(DB_SOFProject[[#This Row],[Plan01]:[Plan12]])/valUnits2</f>
        <v>0.29735400000000001</v>
      </c>
      <c r="AH347" s="34">
        <f>SUMPRODUCT(DB_SOFProject[[#This Row],[Act01]:[Act12]],$Q$3:$AB$3)/valUnits2</f>
        <v>0</v>
      </c>
    </row>
    <row r="348" spans="2:34" x14ac:dyDescent="0.2">
      <c r="B348" t="s">
        <v>489</v>
      </c>
      <c r="C348" t="s">
        <v>354</v>
      </c>
      <c r="D348" t="s">
        <v>999</v>
      </c>
      <c r="H348">
        <v>1884.212</v>
      </c>
      <c r="I348">
        <v>2970.05</v>
      </c>
      <c r="J348">
        <v>297.35399999999998</v>
      </c>
      <c r="T348">
        <v>1856.49</v>
      </c>
      <c r="U348">
        <v>3061.98</v>
      </c>
      <c r="V348">
        <v>1886.81</v>
      </c>
      <c r="AC348">
        <f>SUMPRODUCT(DB_SOFProject[[#This Row],[Plan01]:[Plan12]],$E$4:$P$4)/valUnits2</f>
        <v>5.1516160000000006</v>
      </c>
      <c r="AD348">
        <f>SUMPRODUCT(DB_SOFProject[[#This Row],[Act01]:[Act12]],$Q$4:$AB$4)/valUnits2</f>
        <v>6.8052800000000007</v>
      </c>
      <c r="AE348">
        <f>DB_SOFProject[[#This Row],[Actual]]-DB_SOFProject[[#This Row],[Plan]]</f>
        <v>1.653664</v>
      </c>
      <c r="AF348" s="32">
        <f>IF(DB_SOFProject[[#This Row],[Plan]]&lt;&gt;0,DB_SOFProject[[#This Row],[Actual]]/DB_SOFProject[[#This Row],[Plan]],1.000011000011)</f>
        <v>1.3209990806768206</v>
      </c>
      <c r="AG348" s="34">
        <f>SUM(DB_SOFProject[[#This Row],[Plan01]:[Plan12]])/valUnits2</f>
        <v>5.1516160000000006</v>
      </c>
      <c r="AH348" s="34">
        <f>SUMPRODUCT(DB_SOFProject[[#This Row],[Act01]:[Act12]],$Q$3:$AB$3)/valUnits2</f>
        <v>6.8052800000000007</v>
      </c>
    </row>
    <row r="349" spans="2:34" x14ac:dyDescent="0.2">
      <c r="B349" t="s">
        <v>489</v>
      </c>
      <c r="C349" t="s">
        <v>911</v>
      </c>
      <c r="D349" t="s">
        <v>946</v>
      </c>
      <c r="F349">
        <v>173.28</v>
      </c>
      <c r="G349">
        <v>245.71</v>
      </c>
      <c r="H349">
        <v>1013.63</v>
      </c>
      <c r="I349">
        <v>299.37</v>
      </c>
      <c r="J349">
        <v>0</v>
      </c>
      <c r="R349">
        <v>173.28</v>
      </c>
      <c r="S349">
        <v>245.71</v>
      </c>
      <c r="T349">
        <v>1013.6299999999999</v>
      </c>
      <c r="U349">
        <v>299.37</v>
      </c>
      <c r="V349">
        <v>278.2</v>
      </c>
      <c r="AC349">
        <f>SUMPRODUCT(DB_SOFProject[[#This Row],[Plan01]:[Plan12]],$E$4:$P$4)/valUnits2</f>
        <v>1.7319899999999997</v>
      </c>
      <c r="AD349">
        <f>SUMPRODUCT(DB_SOFProject[[#This Row],[Act01]:[Act12]],$Q$4:$AB$4)/valUnits2</f>
        <v>2.0101899999999997</v>
      </c>
      <c r="AE349">
        <f>DB_SOFProject[[#This Row],[Actual]]-DB_SOFProject[[#This Row],[Plan]]</f>
        <v>0.2782</v>
      </c>
      <c r="AF349" s="32">
        <f>IF(DB_SOFProject[[#This Row],[Plan]]&lt;&gt;0,DB_SOFProject[[#This Row],[Actual]]/DB_SOFProject[[#This Row],[Plan]],1.000011000011)</f>
        <v>1.1606244839750808</v>
      </c>
      <c r="AG349" s="34">
        <f>SUM(DB_SOFProject[[#This Row],[Plan01]:[Plan12]])/valUnits2</f>
        <v>1.7319899999999997</v>
      </c>
      <c r="AH349" s="34">
        <f>SUMPRODUCT(DB_SOFProject[[#This Row],[Act01]:[Act12]],$Q$3:$AB$3)/valUnits2</f>
        <v>2.0101899999999997</v>
      </c>
    </row>
    <row r="350" spans="2:34" x14ac:dyDescent="0.2">
      <c r="B350" t="s">
        <v>489</v>
      </c>
      <c r="C350" t="s">
        <v>911</v>
      </c>
      <c r="D350" t="s">
        <v>947</v>
      </c>
      <c r="F350">
        <v>139.44</v>
      </c>
      <c r="H350">
        <v>21.65</v>
      </c>
      <c r="I350">
        <v>206.03</v>
      </c>
      <c r="J350">
        <v>0</v>
      </c>
      <c r="R350">
        <v>139.44</v>
      </c>
      <c r="T350">
        <v>21.65</v>
      </c>
      <c r="U350">
        <v>206.03</v>
      </c>
      <c r="V350">
        <v>315.49</v>
      </c>
      <c r="AC350">
        <f>SUMPRODUCT(DB_SOFProject[[#This Row],[Plan01]:[Plan12]],$E$4:$P$4)/valUnits2</f>
        <v>0.36712</v>
      </c>
      <c r="AD350">
        <f>SUMPRODUCT(DB_SOFProject[[#This Row],[Act01]:[Act12]],$Q$4:$AB$4)/valUnits2</f>
        <v>0.68261000000000005</v>
      </c>
      <c r="AE350">
        <f>DB_SOFProject[[#This Row],[Actual]]-DB_SOFProject[[#This Row],[Plan]]</f>
        <v>0.31549000000000005</v>
      </c>
      <c r="AF350" s="32">
        <f>IF(DB_SOFProject[[#This Row],[Plan]]&lt;&gt;0,DB_SOFProject[[#This Row],[Actual]]/DB_SOFProject[[#This Row],[Plan]],1.000011000011)</f>
        <v>1.8593647853562869</v>
      </c>
      <c r="AG350" s="34">
        <f>SUM(DB_SOFProject[[#This Row],[Plan01]:[Plan12]])/valUnits2</f>
        <v>0.36712</v>
      </c>
      <c r="AH350" s="34">
        <f>SUMPRODUCT(DB_SOFProject[[#This Row],[Act01]:[Act12]],$Q$3:$AB$3)/valUnits2</f>
        <v>0.68261000000000005</v>
      </c>
    </row>
    <row r="351" spans="2:34" x14ac:dyDescent="0.2">
      <c r="B351" t="s">
        <v>489</v>
      </c>
      <c r="C351" t="s">
        <v>911</v>
      </c>
      <c r="D351" t="s">
        <v>959</v>
      </c>
      <c r="E351">
        <v>570.41</v>
      </c>
      <c r="F351">
        <v>2725.15</v>
      </c>
      <c r="G351">
        <v>1312.38</v>
      </c>
      <c r="H351">
        <v>1751.73</v>
      </c>
      <c r="I351">
        <v>1225.73</v>
      </c>
      <c r="J351">
        <v>0</v>
      </c>
      <c r="K351">
        <v>0</v>
      </c>
      <c r="L351">
        <v>0</v>
      </c>
      <c r="M351">
        <v>0</v>
      </c>
      <c r="N351">
        <v>0</v>
      </c>
      <c r="Q351">
        <v>570.41000000000008</v>
      </c>
      <c r="R351">
        <v>2725.15</v>
      </c>
      <c r="S351">
        <v>1312.38</v>
      </c>
      <c r="T351">
        <v>1751.73</v>
      </c>
      <c r="U351">
        <v>1225.73</v>
      </c>
      <c r="V351">
        <v>865.65</v>
      </c>
      <c r="W351">
        <v>0</v>
      </c>
      <c r="X351">
        <v>0</v>
      </c>
      <c r="Y351">
        <v>0</v>
      </c>
      <c r="Z351">
        <v>0</v>
      </c>
      <c r="AC351">
        <f>SUMPRODUCT(DB_SOFProject[[#This Row],[Plan01]:[Plan12]],$E$4:$P$4)/valUnits2</f>
        <v>7.5853999999999999</v>
      </c>
      <c r="AD351">
        <f>SUMPRODUCT(DB_SOFProject[[#This Row],[Act01]:[Act12]],$Q$4:$AB$4)/valUnits2</f>
        <v>8.4510499999999986</v>
      </c>
      <c r="AE351">
        <f>DB_SOFProject[[#This Row],[Actual]]-DB_SOFProject[[#This Row],[Plan]]</f>
        <v>0.8656499999999987</v>
      </c>
      <c r="AF351" s="32">
        <f>IF(DB_SOFProject[[#This Row],[Plan]]&lt;&gt;0,DB_SOFProject[[#This Row],[Actual]]/DB_SOFProject[[#This Row],[Plan]],1.000011000011)</f>
        <v>1.1141205473673108</v>
      </c>
      <c r="AG351" s="34">
        <f>SUM(DB_SOFProject[[#This Row],[Plan01]:[Plan12]])/valUnits2</f>
        <v>7.5853999999999999</v>
      </c>
      <c r="AH351" s="34">
        <f>SUMPRODUCT(DB_SOFProject[[#This Row],[Act01]:[Act12]],$Q$3:$AB$3)/valUnits2</f>
        <v>8.4510499999999986</v>
      </c>
    </row>
    <row r="352" spans="2:34" x14ac:dyDescent="0.2">
      <c r="B352" t="s">
        <v>489</v>
      </c>
      <c r="C352" t="s">
        <v>911</v>
      </c>
      <c r="D352" t="s">
        <v>975</v>
      </c>
      <c r="E352">
        <v>5965.7579999999998</v>
      </c>
      <c r="F352">
        <v>10343.724</v>
      </c>
      <c r="G352">
        <v>7426.05</v>
      </c>
      <c r="H352">
        <v>20152.229999999992</v>
      </c>
      <c r="I352">
        <v>8626.31</v>
      </c>
      <c r="J352">
        <v>2191.08</v>
      </c>
      <c r="K352">
        <v>2191.08</v>
      </c>
      <c r="L352">
        <v>2191.08</v>
      </c>
      <c r="M352">
        <v>2254.9749999999999</v>
      </c>
      <c r="N352">
        <v>2191.08</v>
      </c>
      <c r="Q352">
        <v>2672.09</v>
      </c>
      <c r="R352">
        <v>4125.3899999999994</v>
      </c>
      <c r="S352">
        <v>5234.97</v>
      </c>
      <c r="T352">
        <v>17961.150000000001</v>
      </c>
      <c r="U352">
        <v>6447.4100000000008</v>
      </c>
      <c r="V352">
        <v>5145.72</v>
      </c>
      <c r="W352">
        <v>0</v>
      </c>
      <c r="X352">
        <v>0</v>
      </c>
      <c r="Y352">
        <v>0</v>
      </c>
      <c r="Z352">
        <v>0</v>
      </c>
      <c r="AC352">
        <f>SUMPRODUCT(DB_SOFProject[[#This Row],[Plan01]:[Plan12]],$E$4:$P$4)/valUnits2</f>
        <v>54.705151999999984</v>
      </c>
      <c r="AD352">
        <f>SUMPRODUCT(DB_SOFProject[[#This Row],[Act01]:[Act12]],$Q$4:$AB$4)/valUnits2</f>
        <v>41.586730000000003</v>
      </c>
      <c r="AE352">
        <f>DB_SOFProject[[#This Row],[Actual]]-DB_SOFProject[[#This Row],[Plan]]</f>
        <v>-13.118421999999981</v>
      </c>
      <c r="AF352" s="32">
        <f>IF(DB_SOFProject[[#This Row],[Plan]]&lt;&gt;0,DB_SOFProject[[#This Row],[Actual]]/DB_SOFProject[[#This Row],[Plan]],1.000011000011)</f>
        <v>0.76019768668223453</v>
      </c>
      <c r="AG352" s="34">
        <f>SUM(DB_SOFProject[[#This Row],[Plan01]:[Plan12]])/valUnits2</f>
        <v>63.533366999999991</v>
      </c>
      <c r="AH352" s="34">
        <f>SUMPRODUCT(DB_SOFProject[[#This Row],[Act01]:[Act12]],$Q$3:$AB$3)/valUnits2</f>
        <v>41.586730000000003</v>
      </c>
    </row>
    <row r="353" spans="2:34" x14ac:dyDescent="0.2">
      <c r="B353" t="s">
        <v>489</v>
      </c>
      <c r="C353" t="s">
        <v>911</v>
      </c>
      <c r="D353" t="s">
        <v>976</v>
      </c>
      <c r="E353">
        <v>284.161</v>
      </c>
      <c r="F353">
        <v>529.91399999999999</v>
      </c>
      <c r="G353">
        <v>826.88599999999997</v>
      </c>
      <c r="H353">
        <v>909.90600000000006</v>
      </c>
      <c r="I353">
        <v>785.30600000000004</v>
      </c>
      <c r="J353">
        <v>681.82600000000002</v>
      </c>
      <c r="K353">
        <v>681.82600000000002</v>
      </c>
      <c r="L353">
        <v>681.82600000000002</v>
      </c>
      <c r="M353">
        <v>681.82600000000002</v>
      </c>
      <c r="N353">
        <v>681.82600000000002</v>
      </c>
      <c r="Q353">
        <v>0</v>
      </c>
      <c r="R353">
        <v>106.64</v>
      </c>
      <c r="S353">
        <v>145.06</v>
      </c>
      <c r="T353">
        <v>228.08</v>
      </c>
      <c r="U353">
        <v>103.47999999999999</v>
      </c>
      <c r="V353">
        <v>118.2</v>
      </c>
      <c r="W353">
        <v>0</v>
      </c>
      <c r="X353">
        <v>0</v>
      </c>
      <c r="Y353">
        <v>0</v>
      </c>
      <c r="Z353">
        <v>0</v>
      </c>
      <c r="AC353">
        <f>SUMPRODUCT(DB_SOFProject[[#This Row],[Plan01]:[Plan12]],$E$4:$P$4)/valUnits2</f>
        <v>4.0179990000000005</v>
      </c>
      <c r="AD353">
        <f>SUMPRODUCT(DB_SOFProject[[#This Row],[Act01]:[Act12]],$Q$4:$AB$4)/valUnits2</f>
        <v>0.70146000000000008</v>
      </c>
      <c r="AE353">
        <f>DB_SOFProject[[#This Row],[Actual]]-DB_SOFProject[[#This Row],[Plan]]</f>
        <v>-3.3165390000000006</v>
      </c>
      <c r="AF353" s="32">
        <f>IF(DB_SOFProject[[#This Row],[Plan]]&lt;&gt;0,DB_SOFProject[[#This Row],[Actual]]/DB_SOFProject[[#This Row],[Plan]],1.000011000011)</f>
        <v>0.17457943618203986</v>
      </c>
      <c r="AG353" s="34">
        <f>SUM(DB_SOFProject[[#This Row],[Plan01]:[Plan12]])/valUnits2</f>
        <v>6.7453030000000007</v>
      </c>
      <c r="AH353" s="34">
        <f>SUMPRODUCT(DB_SOFProject[[#This Row],[Act01]:[Act12]],$Q$3:$AB$3)/valUnits2</f>
        <v>0.70146000000000008</v>
      </c>
    </row>
    <row r="354" spans="2:34" x14ac:dyDescent="0.2">
      <c r="B354" t="s">
        <v>489</v>
      </c>
      <c r="C354" t="s">
        <v>911</v>
      </c>
      <c r="D354" t="s">
        <v>980</v>
      </c>
      <c r="F354">
        <v>775.52</v>
      </c>
      <c r="G354">
        <v>1316.1</v>
      </c>
      <c r="H354">
        <v>1564.8899999999999</v>
      </c>
      <c r="I354">
        <v>768.24</v>
      </c>
      <c r="J354">
        <v>0</v>
      </c>
      <c r="R354">
        <v>775.52</v>
      </c>
      <c r="S354">
        <v>1316.1</v>
      </c>
      <c r="T354">
        <v>1564.8899999999999</v>
      </c>
      <c r="U354">
        <v>768.24</v>
      </c>
      <c r="V354">
        <v>892.75</v>
      </c>
      <c r="AC354">
        <f>SUMPRODUCT(DB_SOFProject[[#This Row],[Plan01]:[Plan12]],$E$4:$P$4)/valUnits2</f>
        <v>4.4247500000000004</v>
      </c>
      <c r="AD354">
        <f>SUMPRODUCT(DB_SOFProject[[#This Row],[Act01]:[Act12]],$Q$4:$AB$4)/valUnits2</f>
        <v>5.3174999999999999</v>
      </c>
      <c r="AE354">
        <f>DB_SOFProject[[#This Row],[Actual]]-DB_SOFProject[[#This Row],[Plan]]</f>
        <v>0.89274999999999949</v>
      </c>
      <c r="AF354" s="32">
        <f>IF(DB_SOFProject[[#This Row],[Plan]]&lt;&gt;0,DB_SOFProject[[#This Row],[Actual]]/DB_SOFProject[[#This Row],[Plan]],1.000011000011)</f>
        <v>1.2017628114582743</v>
      </c>
      <c r="AG354" s="34">
        <f>SUM(DB_SOFProject[[#This Row],[Plan01]:[Plan12]])/valUnits2</f>
        <v>4.4247500000000004</v>
      </c>
      <c r="AH354" s="34">
        <f>SUMPRODUCT(DB_SOFProject[[#This Row],[Act01]:[Act12]],$Q$3:$AB$3)/valUnits2</f>
        <v>5.3174999999999999</v>
      </c>
    </row>
    <row r="355" spans="2:34" x14ac:dyDescent="0.2">
      <c r="B355" t="s">
        <v>489</v>
      </c>
      <c r="C355" t="s">
        <v>911</v>
      </c>
      <c r="D355" t="s">
        <v>999</v>
      </c>
      <c r="E355">
        <v>1876.0929999999998</v>
      </c>
      <c r="F355">
        <v>2329.654</v>
      </c>
      <c r="G355">
        <v>4073.848</v>
      </c>
      <c r="H355">
        <v>4377.4780000000001</v>
      </c>
      <c r="I355">
        <v>3186.748</v>
      </c>
      <c r="J355">
        <v>1581.838</v>
      </c>
      <c r="K355">
        <v>1581.838</v>
      </c>
      <c r="L355">
        <v>1581.838</v>
      </c>
      <c r="M355">
        <v>1581.838</v>
      </c>
      <c r="N355">
        <v>1581.838</v>
      </c>
      <c r="Q355">
        <v>1216.8399999999999</v>
      </c>
      <c r="R355">
        <v>1347.66</v>
      </c>
      <c r="S355">
        <v>2492.0100000000002</v>
      </c>
      <c r="T355">
        <v>2795.6399999999994</v>
      </c>
      <c r="U355">
        <v>1604.9099999999999</v>
      </c>
      <c r="V355">
        <v>1720.21</v>
      </c>
      <c r="W355">
        <v>0</v>
      </c>
      <c r="X355">
        <v>0</v>
      </c>
      <c r="Y355">
        <v>0</v>
      </c>
      <c r="Z355">
        <v>0</v>
      </c>
      <c r="AC355">
        <f>SUMPRODUCT(DB_SOFProject[[#This Row],[Plan01]:[Plan12]],$E$4:$P$4)/valUnits2</f>
        <v>17.425659</v>
      </c>
      <c r="AD355">
        <f>SUMPRODUCT(DB_SOFProject[[#This Row],[Act01]:[Act12]],$Q$4:$AB$4)/valUnits2</f>
        <v>11.17727</v>
      </c>
      <c r="AE355">
        <f>DB_SOFProject[[#This Row],[Actual]]-DB_SOFProject[[#This Row],[Plan]]</f>
        <v>-6.2483889999999995</v>
      </c>
      <c r="AF355" s="32">
        <f>IF(DB_SOFProject[[#This Row],[Plan]]&lt;&gt;0,DB_SOFProject[[#This Row],[Actual]]/DB_SOFProject[[#This Row],[Plan]],1.000011000011)</f>
        <v>0.6414259569752857</v>
      </c>
      <c r="AG355" s="34">
        <f>SUM(DB_SOFProject[[#This Row],[Plan01]:[Plan12]])/valUnits2</f>
        <v>23.753010999999997</v>
      </c>
      <c r="AH355" s="34">
        <f>SUMPRODUCT(DB_SOFProject[[#This Row],[Act01]:[Act12]],$Q$3:$AB$3)/valUnits2</f>
        <v>11.17727</v>
      </c>
    </row>
    <row r="356" spans="2:34" x14ac:dyDescent="0.2">
      <c r="B356" t="s">
        <v>489</v>
      </c>
      <c r="C356" t="s">
        <v>912</v>
      </c>
      <c r="D356" t="s">
        <v>998</v>
      </c>
      <c r="F356">
        <v>-1922.61</v>
      </c>
      <c r="R356">
        <v>-1922.61</v>
      </c>
      <c r="AC356">
        <f>SUMPRODUCT(DB_SOFProject[[#This Row],[Plan01]:[Plan12]],$E$4:$P$4)/valUnits2</f>
        <v>-1.9226099999999999</v>
      </c>
      <c r="AD356">
        <f>SUMPRODUCT(DB_SOFProject[[#This Row],[Act01]:[Act12]],$Q$4:$AB$4)/valUnits2</f>
        <v>-1.9226099999999999</v>
      </c>
      <c r="AE356">
        <f>DB_SOFProject[[#This Row],[Actual]]-DB_SOFProject[[#This Row],[Plan]]</f>
        <v>0</v>
      </c>
      <c r="AF356" s="32">
        <f>IF(DB_SOFProject[[#This Row],[Plan]]&lt;&gt;0,DB_SOFProject[[#This Row],[Actual]]/DB_SOFProject[[#This Row],[Plan]],1.000011000011)</f>
        <v>1</v>
      </c>
      <c r="AG356" s="34">
        <f>SUM(DB_SOFProject[[#This Row],[Plan01]:[Plan12]])/valUnits2</f>
        <v>-1.9226099999999999</v>
      </c>
      <c r="AH356" s="34">
        <f>SUMPRODUCT(DB_SOFProject[[#This Row],[Act01]:[Act12]],$Q$3:$AB$3)/valUnits2</f>
        <v>-1.9226099999999999</v>
      </c>
    </row>
    <row r="357" spans="2:34" x14ac:dyDescent="0.2">
      <c r="B357" t="s">
        <v>489</v>
      </c>
      <c r="C357" t="s">
        <v>912</v>
      </c>
      <c r="D357" t="s">
        <v>999</v>
      </c>
      <c r="E357">
        <v>411.44</v>
      </c>
      <c r="H357">
        <v>-411.44</v>
      </c>
      <c r="Q357">
        <v>411.44</v>
      </c>
      <c r="T357">
        <v>-411.44</v>
      </c>
      <c r="AC357">
        <f>SUMPRODUCT(DB_SOFProject[[#This Row],[Plan01]:[Plan12]],$E$4:$P$4)/valUnits2</f>
        <v>0</v>
      </c>
      <c r="AD357">
        <f>SUMPRODUCT(DB_SOFProject[[#This Row],[Act01]:[Act12]],$Q$4:$AB$4)/valUnits2</f>
        <v>0</v>
      </c>
      <c r="AE357">
        <f>DB_SOFProject[[#This Row],[Actual]]-DB_SOFProject[[#This Row],[Plan]]</f>
        <v>0</v>
      </c>
      <c r="AF357" s="32">
        <f>IF(DB_SOFProject[[#This Row],[Plan]]&lt;&gt;0,DB_SOFProject[[#This Row],[Actual]]/DB_SOFProject[[#This Row],[Plan]],1.000011000011)</f>
        <v>1.0000110000110001</v>
      </c>
      <c r="AG357" s="34">
        <f>SUM(DB_SOFProject[[#This Row],[Plan01]:[Plan12]])/valUnits2</f>
        <v>0</v>
      </c>
      <c r="AH357" s="34">
        <f>SUMPRODUCT(DB_SOFProject[[#This Row],[Act01]:[Act12]],$Q$3:$AB$3)/valUnits2</f>
        <v>0</v>
      </c>
    </row>
    <row r="358" spans="2:34" x14ac:dyDescent="0.2">
      <c r="B358" t="s">
        <v>489</v>
      </c>
      <c r="C358" t="s">
        <v>913</v>
      </c>
      <c r="D358" t="s">
        <v>946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84.236000000000004</v>
      </c>
      <c r="K358">
        <v>84.236000000000004</v>
      </c>
      <c r="L358">
        <v>84.236000000000004</v>
      </c>
      <c r="M358">
        <v>84.236000000000004</v>
      </c>
      <c r="N358">
        <v>84.236000000000004</v>
      </c>
      <c r="O358">
        <v>84.236000000000004</v>
      </c>
      <c r="P358">
        <v>84.236000000000004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f>SUMPRODUCT(DB_SOFProject[[#This Row],[Plan01]:[Plan12]],$E$4:$P$4)/valUnits2</f>
        <v>8.4236000000000005E-2</v>
      </c>
      <c r="AD358">
        <f>SUMPRODUCT(DB_SOFProject[[#This Row],[Act01]:[Act12]],$Q$4:$AB$4)/valUnits2</f>
        <v>0</v>
      </c>
      <c r="AE358">
        <f>DB_SOFProject[[#This Row],[Actual]]-DB_SOFProject[[#This Row],[Plan]]</f>
        <v>-8.4236000000000005E-2</v>
      </c>
      <c r="AF358" s="32">
        <f>IF(DB_SOFProject[[#This Row],[Plan]]&lt;&gt;0,DB_SOFProject[[#This Row],[Actual]]/DB_SOFProject[[#This Row],[Plan]],1.000011000011)</f>
        <v>0</v>
      </c>
      <c r="AG358" s="34">
        <f>SUM(DB_SOFProject[[#This Row],[Plan01]:[Plan12]])/valUnits2</f>
        <v>0.58965200000000006</v>
      </c>
      <c r="AH358" s="34">
        <f>SUMPRODUCT(DB_SOFProject[[#This Row],[Act01]:[Act12]],$Q$3:$AB$3)/valUnits2</f>
        <v>0</v>
      </c>
    </row>
    <row r="359" spans="2:34" x14ac:dyDescent="0.2">
      <c r="B359" t="s">
        <v>489</v>
      </c>
      <c r="C359" t="s">
        <v>913</v>
      </c>
      <c r="D359" t="s">
        <v>959</v>
      </c>
      <c r="E359">
        <v>0</v>
      </c>
      <c r="F359">
        <v>0</v>
      </c>
      <c r="G359">
        <v>0</v>
      </c>
      <c r="H359">
        <v>612.58299999999997</v>
      </c>
      <c r="I359">
        <v>705.08</v>
      </c>
      <c r="J359">
        <v>168.452</v>
      </c>
      <c r="K359">
        <v>168.452</v>
      </c>
      <c r="L359">
        <v>168.452</v>
      </c>
      <c r="M359">
        <v>168.452</v>
      </c>
      <c r="N359">
        <v>168.452</v>
      </c>
      <c r="O359">
        <v>168.452</v>
      </c>
      <c r="P359">
        <v>168.452</v>
      </c>
      <c r="Q359">
        <v>0</v>
      </c>
      <c r="R359">
        <v>0</v>
      </c>
      <c r="S359">
        <v>0</v>
      </c>
      <c r="T359">
        <v>609.09</v>
      </c>
      <c r="U359">
        <v>700.88</v>
      </c>
      <c r="V359">
        <v>1388.3400000000001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f>SUMPRODUCT(DB_SOFProject[[#This Row],[Plan01]:[Plan12]],$E$4:$P$4)/valUnits2</f>
        <v>1.4861150000000001</v>
      </c>
      <c r="AD359">
        <f>SUMPRODUCT(DB_SOFProject[[#This Row],[Act01]:[Act12]],$Q$4:$AB$4)/valUnits2</f>
        <v>2.6983100000000002</v>
      </c>
      <c r="AE359">
        <f>DB_SOFProject[[#This Row],[Actual]]-DB_SOFProject[[#This Row],[Plan]]</f>
        <v>1.2121950000000001</v>
      </c>
      <c r="AF359" s="32">
        <f>IF(DB_SOFProject[[#This Row],[Plan]]&lt;&gt;0,DB_SOFProject[[#This Row],[Actual]]/DB_SOFProject[[#This Row],[Plan]],1.000011000011)</f>
        <v>1.8156804823314481</v>
      </c>
      <c r="AG359" s="34">
        <f>SUM(DB_SOFProject[[#This Row],[Plan01]:[Plan12]])/valUnits2</f>
        <v>2.4968270000000001</v>
      </c>
      <c r="AH359" s="34">
        <f>SUMPRODUCT(DB_SOFProject[[#This Row],[Act01]:[Act12]],$Q$3:$AB$3)/valUnits2</f>
        <v>2.6983100000000002</v>
      </c>
    </row>
    <row r="360" spans="2:34" x14ac:dyDescent="0.2">
      <c r="B360" t="s">
        <v>489</v>
      </c>
      <c r="C360" t="s">
        <v>913</v>
      </c>
      <c r="D360" t="s">
        <v>964</v>
      </c>
      <c r="H360">
        <v>1305.654</v>
      </c>
      <c r="I360">
        <v>5367.0060000000003</v>
      </c>
      <c r="J360">
        <v>0</v>
      </c>
      <c r="T360">
        <v>1298.21</v>
      </c>
      <c r="U360">
        <v>5395.34</v>
      </c>
      <c r="V360">
        <v>1436.29</v>
      </c>
      <c r="AC360">
        <f>SUMPRODUCT(DB_SOFProject[[#This Row],[Plan01]:[Plan12]],$E$4:$P$4)/valUnits2</f>
        <v>6.6726599999999996</v>
      </c>
      <c r="AD360">
        <f>SUMPRODUCT(DB_SOFProject[[#This Row],[Act01]:[Act12]],$Q$4:$AB$4)/valUnits2</f>
        <v>8.1298399999999997</v>
      </c>
      <c r="AE360">
        <f>DB_SOFProject[[#This Row],[Actual]]-DB_SOFProject[[#This Row],[Plan]]</f>
        <v>1.4571800000000001</v>
      </c>
      <c r="AF360" s="32">
        <f>IF(DB_SOFProject[[#This Row],[Plan]]&lt;&gt;0,DB_SOFProject[[#This Row],[Actual]]/DB_SOFProject[[#This Row],[Plan]],1.000011000011)</f>
        <v>1.2183806757724807</v>
      </c>
      <c r="AG360" s="34">
        <f>SUM(DB_SOFProject[[#This Row],[Plan01]:[Plan12]])/valUnits2</f>
        <v>6.6726599999999996</v>
      </c>
      <c r="AH360" s="34">
        <f>SUMPRODUCT(DB_SOFProject[[#This Row],[Act01]:[Act12]],$Q$3:$AB$3)/valUnits2</f>
        <v>8.1298399999999997</v>
      </c>
    </row>
    <row r="361" spans="2:34" x14ac:dyDescent="0.2">
      <c r="B361" t="s">
        <v>489</v>
      </c>
      <c r="C361" t="s">
        <v>913</v>
      </c>
      <c r="D361" t="s">
        <v>975</v>
      </c>
      <c r="E361">
        <v>0</v>
      </c>
      <c r="F361">
        <v>0</v>
      </c>
      <c r="G361">
        <v>0</v>
      </c>
      <c r="H361">
        <v>466.15999999999997</v>
      </c>
      <c r="I361">
        <v>168.245</v>
      </c>
      <c r="J361">
        <v>282.19299999999998</v>
      </c>
      <c r="K361">
        <v>282.19299999999998</v>
      </c>
      <c r="L361">
        <v>282.19299999999998</v>
      </c>
      <c r="M361">
        <v>282.19299999999998</v>
      </c>
      <c r="N361">
        <v>282.19299999999998</v>
      </c>
      <c r="O361">
        <v>282.19299999999998</v>
      </c>
      <c r="P361">
        <v>282.19299999999998</v>
      </c>
      <c r="Q361">
        <v>0</v>
      </c>
      <c r="R361">
        <v>0</v>
      </c>
      <c r="S361">
        <v>0</v>
      </c>
      <c r="T361">
        <v>470.89</v>
      </c>
      <c r="U361">
        <v>169.02000000000004</v>
      </c>
      <c r="V361">
        <v>-2663.4599999999996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f>SUMPRODUCT(DB_SOFProject[[#This Row],[Plan01]:[Plan12]],$E$4:$P$4)/valUnits2</f>
        <v>0.91659799999999991</v>
      </c>
      <c r="AD361">
        <f>SUMPRODUCT(DB_SOFProject[[#This Row],[Act01]:[Act12]],$Q$4:$AB$4)/valUnits2</f>
        <v>-2.0235499999999993</v>
      </c>
      <c r="AE361">
        <f>DB_SOFProject[[#This Row],[Actual]]-DB_SOFProject[[#This Row],[Plan]]</f>
        <v>-2.9401479999999993</v>
      </c>
      <c r="AF361" s="32">
        <f>IF(DB_SOFProject[[#This Row],[Plan]]&lt;&gt;0,DB_SOFProject[[#This Row],[Actual]]/DB_SOFProject[[#This Row],[Plan]],1.000011000011)</f>
        <v>-2.2076744657963463</v>
      </c>
      <c r="AG361" s="34">
        <f>SUM(DB_SOFProject[[#This Row],[Plan01]:[Plan12]])/valUnits2</f>
        <v>2.6097560000000004</v>
      </c>
      <c r="AH361" s="34">
        <f>SUMPRODUCT(DB_SOFProject[[#This Row],[Act01]:[Act12]],$Q$3:$AB$3)/valUnits2</f>
        <v>-2.0235499999999993</v>
      </c>
    </row>
    <row r="362" spans="2:34" x14ac:dyDescent="0.2">
      <c r="B362" t="s">
        <v>489</v>
      </c>
      <c r="C362" t="s">
        <v>913</v>
      </c>
      <c r="D362" t="s">
        <v>980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84.236000000000004</v>
      </c>
      <c r="K362">
        <v>84.236000000000004</v>
      </c>
      <c r="L362">
        <v>84.236000000000004</v>
      </c>
      <c r="M362">
        <v>84.236000000000004</v>
      </c>
      <c r="N362">
        <v>84.236000000000004</v>
      </c>
      <c r="O362">
        <v>84.236000000000004</v>
      </c>
      <c r="P362">
        <v>84.236000000000004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f>SUMPRODUCT(DB_SOFProject[[#This Row],[Plan01]:[Plan12]],$E$4:$P$4)/valUnits2</f>
        <v>8.4236000000000005E-2</v>
      </c>
      <c r="AD362">
        <f>SUMPRODUCT(DB_SOFProject[[#This Row],[Act01]:[Act12]],$Q$4:$AB$4)/valUnits2</f>
        <v>0</v>
      </c>
      <c r="AE362">
        <f>DB_SOFProject[[#This Row],[Actual]]-DB_SOFProject[[#This Row],[Plan]]</f>
        <v>-8.4236000000000005E-2</v>
      </c>
      <c r="AF362" s="32">
        <f>IF(DB_SOFProject[[#This Row],[Plan]]&lt;&gt;0,DB_SOFProject[[#This Row],[Actual]]/DB_SOFProject[[#This Row],[Plan]],1.000011000011)</f>
        <v>0</v>
      </c>
      <c r="AG362" s="34">
        <f>SUM(DB_SOFProject[[#This Row],[Plan01]:[Plan12]])/valUnits2</f>
        <v>0.58965200000000006</v>
      </c>
      <c r="AH362" s="34">
        <f>SUMPRODUCT(DB_SOFProject[[#This Row],[Act01]:[Act12]],$Q$3:$AB$3)/valUnits2</f>
        <v>0</v>
      </c>
    </row>
    <row r="363" spans="2:34" x14ac:dyDescent="0.2">
      <c r="B363" t="s">
        <v>489</v>
      </c>
      <c r="C363" t="s">
        <v>913</v>
      </c>
      <c r="D363" t="s">
        <v>990</v>
      </c>
      <c r="G363">
        <v>11.228999999999999</v>
      </c>
      <c r="S363">
        <v>11.45</v>
      </c>
      <c r="AC363">
        <f>SUMPRODUCT(DB_SOFProject[[#This Row],[Plan01]:[Plan12]],$E$4:$P$4)/valUnits2</f>
        <v>1.1228999999999999E-2</v>
      </c>
      <c r="AD363">
        <f>SUMPRODUCT(DB_SOFProject[[#This Row],[Act01]:[Act12]],$Q$4:$AB$4)/valUnits2</f>
        <v>1.145E-2</v>
      </c>
      <c r="AE363">
        <f>DB_SOFProject[[#This Row],[Actual]]-DB_SOFProject[[#This Row],[Plan]]</f>
        <v>2.2100000000000071E-4</v>
      </c>
      <c r="AF363" s="32">
        <f>IF(DB_SOFProject[[#This Row],[Plan]]&lt;&gt;0,DB_SOFProject[[#This Row],[Actual]]/DB_SOFProject[[#This Row],[Plan]],1.000011000011)</f>
        <v>1.0196811826520618</v>
      </c>
      <c r="AG363" s="34">
        <f>SUM(DB_SOFProject[[#This Row],[Plan01]:[Plan12]])/valUnits2</f>
        <v>1.1228999999999999E-2</v>
      </c>
      <c r="AH363" s="34">
        <f>SUMPRODUCT(DB_SOFProject[[#This Row],[Act01]:[Act12]],$Q$3:$AB$3)/valUnits2</f>
        <v>1.145E-2</v>
      </c>
    </row>
    <row r="364" spans="2:34" x14ac:dyDescent="0.2">
      <c r="B364" t="s">
        <v>489</v>
      </c>
      <c r="C364" t="s">
        <v>913</v>
      </c>
      <c r="D364" t="s">
        <v>999</v>
      </c>
      <c r="E364">
        <v>0</v>
      </c>
      <c r="F364">
        <v>0</v>
      </c>
      <c r="G364">
        <v>0</v>
      </c>
      <c r="H364">
        <v>1263.364</v>
      </c>
      <c r="I364">
        <v>2416.6660000000002</v>
      </c>
      <c r="J364">
        <v>84.236000000000004</v>
      </c>
      <c r="K364">
        <v>84.236000000000004</v>
      </c>
      <c r="L364">
        <v>84.236000000000004</v>
      </c>
      <c r="M364">
        <v>84.236000000000004</v>
      </c>
      <c r="N364">
        <v>84.236000000000004</v>
      </c>
      <c r="O364">
        <v>84.236000000000004</v>
      </c>
      <c r="P364">
        <v>84.236000000000004</v>
      </c>
      <c r="Q364">
        <v>0</v>
      </c>
      <c r="R364">
        <v>0</v>
      </c>
      <c r="S364">
        <v>0</v>
      </c>
      <c r="T364">
        <v>1256.1599999999999</v>
      </c>
      <c r="U364">
        <v>2422.7800000000002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f>SUMPRODUCT(DB_SOFProject[[#This Row],[Plan01]:[Plan12]],$E$4:$P$4)/valUnits2</f>
        <v>3.7642660000000001</v>
      </c>
      <c r="AD364">
        <f>SUMPRODUCT(DB_SOFProject[[#This Row],[Act01]:[Act12]],$Q$4:$AB$4)/valUnits2</f>
        <v>3.6789399999999999</v>
      </c>
      <c r="AE364">
        <f>DB_SOFProject[[#This Row],[Actual]]-DB_SOFProject[[#This Row],[Plan]]</f>
        <v>-8.5326000000000235E-2</v>
      </c>
      <c r="AF364" s="32">
        <f>IF(DB_SOFProject[[#This Row],[Plan]]&lt;&gt;0,DB_SOFProject[[#This Row],[Actual]]/DB_SOFProject[[#This Row],[Plan]],1.000011000011)</f>
        <v>0.97733263270980308</v>
      </c>
      <c r="AG364" s="34">
        <f>SUM(DB_SOFProject[[#This Row],[Plan01]:[Plan12]])/valUnits2</f>
        <v>4.2696819999999995</v>
      </c>
      <c r="AH364" s="34">
        <f>SUMPRODUCT(DB_SOFProject[[#This Row],[Act01]:[Act12]],$Q$3:$AB$3)/valUnits2</f>
        <v>3.6789399999999999</v>
      </c>
    </row>
    <row r="365" spans="2:34" x14ac:dyDescent="0.2">
      <c r="B365" t="s">
        <v>489</v>
      </c>
      <c r="C365" t="s">
        <v>915</v>
      </c>
      <c r="D365" t="s">
        <v>946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43.953000000000003</v>
      </c>
      <c r="K365">
        <v>43.953000000000003</v>
      </c>
      <c r="L365">
        <v>43.953000000000003</v>
      </c>
      <c r="M365">
        <v>43.953000000000003</v>
      </c>
      <c r="N365">
        <v>43.953000000000003</v>
      </c>
      <c r="O365">
        <v>43.953000000000003</v>
      </c>
      <c r="P365">
        <v>43.953000000000003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f>SUMPRODUCT(DB_SOFProject[[#This Row],[Plan01]:[Plan12]],$E$4:$P$4)/valUnits2</f>
        <v>4.3953000000000006E-2</v>
      </c>
      <c r="AD365">
        <f>SUMPRODUCT(DB_SOFProject[[#This Row],[Act01]:[Act12]],$Q$4:$AB$4)/valUnits2</f>
        <v>0</v>
      </c>
      <c r="AE365">
        <f>DB_SOFProject[[#This Row],[Actual]]-DB_SOFProject[[#This Row],[Plan]]</f>
        <v>-4.3953000000000006E-2</v>
      </c>
      <c r="AF365" s="32">
        <f>IF(DB_SOFProject[[#This Row],[Plan]]&lt;&gt;0,DB_SOFProject[[#This Row],[Actual]]/DB_SOFProject[[#This Row],[Plan]],1.000011000011)</f>
        <v>0</v>
      </c>
      <c r="AG365" s="34">
        <f>SUM(DB_SOFProject[[#This Row],[Plan01]:[Plan12]])/valUnits2</f>
        <v>0.30767100000000003</v>
      </c>
      <c r="AH365" s="34">
        <f>SUMPRODUCT(DB_SOFProject[[#This Row],[Act01]:[Act12]],$Q$3:$AB$3)/valUnits2</f>
        <v>0</v>
      </c>
    </row>
    <row r="366" spans="2:34" x14ac:dyDescent="0.2">
      <c r="B366" t="s">
        <v>489</v>
      </c>
      <c r="C366" t="s">
        <v>915</v>
      </c>
      <c r="D366" t="s">
        <v>959</v>
      </c>
      <c r="E366">
        <v>0</v>
      </c>
      <c r="F366">
        <v>0</v>
      </c>
      <c r="G366">
        <v>0</v>
      </c>
      <c r="H366">
        <v>0</v>
      </c>
      <c r="I366">
        <v>812.30200000000002</v>
      </c>
      <c r="J366">
        <v>87.908000000000001</v>
      </c>
      <c r="K366">
        <v>87.908000000000001</v>
      </c>
      <c r="L366">
        <v>87.908000000000001</v>
      </c>
      <c r="M366">
        <v>87.908000000000001</v>
      </c>
      <c r="N366">
        <v>87.908000000000001</v>
      </c>
      <c r="O366">
        <v>87.908000000000001</v>
      </c>
      <c r="P366">
        <v>87.908000000000001</v>
      </c>
      <c r="Q366">
        <v>0</v>
      </c>
      <c r="R366">
        <v>0</v>
      </c>
      <c r="S366">
        <v>0</v>
      </c>
      <c r="T366">
        <v>0</v>
      </c>
      <c r="U366">
        <v>819.98</v>
      </c>
      <c r="V366">
        <v>909.14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f>SUMPRODUCT(DB_SOFProject[[#This Row],[Plan01]:[Plan12]],$E$4:$P$4)/valUnits2</f>
        <v>0.90021000000000007</v>
      </c>
      <c r="AD366">
        <f>SUMPRODUCT(DB_SOFProject[[#This Row],[Act01]:[Act12]],$Q$4:$AB$4)/valUnits2</f>
        <v>1.72912</v>
      </c>
      <c r="AE366">
        <f>DB_SOFProject[[#This Row],[Actual]]-DB_SOFProject[[#This Row],[Plan]]</f>
        <v>0.82890999999999992</v>
      </c>
      <c r="AF366" s="32">
        <f>IF(DB_SOFProject[[#This Row],[Plan]]&lt;&gt;0,DB_SOFProject[[#This Row],[Actual]]/DB_SOFProject[[#This Row],[Plan]],1.000011000011)</f>
        <v>1.9207962586507592</v>
      </c>
      <c r="AG366" s="34">
        <f>SUM(DB_SOFProject[[#This Row],[Plan01]:[Plan12]])/valUnits2</f>
        <v>1.4276579999999996</v>
      </c>
      <c r="AH366" s="34">
        <f>SUMPRODUCT(DB_SOFProject[[#This Row],[Act01]:[Act12]],$Q$3:$AB$3)/valUnits2</f>
        <v>1.72912</v>
      </c>
    </row>
    <row r="367" spans="2:34" x14ac:dyDescent="0.2">
      <c r="B367" t="s">
        <v>489</v>
      </c>
      <c r="C367" t="s">
        <v>915</v>
      </c>
      <c r="D367" t="s">
        <v>975</v>
      </c>
      <c r="E367">
        <v>0</v>
      </c>
      <c r="F367">
        <v>286.40100000000001</v>
      </c>
      <c r="G367">
        <v>324.58999999999997</v>
      </c>
      <c r="H367">
        <v>996.68000000000006</v>
      </c>
      <c r="I367">
        <v>1544.7240000000002</v>
      </c>
      <c r="J367">
        <v>153.839</v>
      </c>
      <c r="K367">
        <v>153.839</v>
      </c>
      <c r="L367">
        <v>153.839</v>
      </c>
      <c r="M367">
        <v>153.839</v>
      </c>
      <c r="N367">
        <v>153.839</v>
      </c>
      <c r="O367">
        <v>153.839</v>
      </c>
      <c r="P367">
        <v>153.839</v>
      </c>
      <c r="Q367">
        <v>0</v>
      </c>
      <c r="R367">
        <v>293.54000000000002</v>
      </c>
      <c r="S367">
        <v>320.03999999999996</v>
      </c>
      <c r="T367">
        <v>966.24</v>
      </c>
      <c r="U367">
        <v>1585.8100000000002</v>
      </c>
      <c r="V367">
        <v>1225.0100000000002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f>SUMPRODUCT(DB_SOFProject[[#This Row],[Plan01]:[Plan12]],$E$4:$P$4)/valUnits2</f>
        <v>3.3062340000000003</v>
      </c>
      <c r="AD367">
        <f>SUMPRODUCT(DB_SOFProject[[#This Row],[Act01]:[Act12]],$Q$4:$AB$4)/valUnits2</f>
        <v>4.3906400000000003</v>
      </c>
      <c r="AE367">
        <f>DB_SOFProject[[#This Row],[Actual]]-DB_SOFProject[[#This Row],[Plan]]</f>
        <v>1.084406</v>
      </c>
      <c r="AF367" s="32">
        <f>IF(DB_SOFProject[[#This Row],[Plan]]&lt;&gt;0,DB_SOFProject[[#This Row],[Actual]]/DB_SOFProject[[#This Row],[Plan]],1.000011000011)</f>
        <v>1.3279882791115207</v>
      </c>
      <c r="AG367" s="34">
        <f>SUM(DB_SOFProject[[#This Row],[Plan01]:[Plan12]])/valUnits2</f>
        <v>4.2292680000000002</v>
      </c>
      <c r="AH367" s="34">
        <f>SUMPRODUCT(DB_SOFProject[[#This Row],[Act01]:[Act12]],$Q$3:$AB$3)/valUnits2</f>
        <v>4.3906400000000003</v>
      </c>
    </row>
    <row r="368" spans="2:34" x14ac:dyDescent="0.2">
      <c r="B368" t="s">
        <v>489</v>
      </c>
      <c r="C368" t="s">
        <v>915</v>
      </c>
      <c r="D368" t="s">
        <v>980</v>
      </c>
      <c r="E368">
        <v>0</v>
      </c>
      <c r="F368">
        <v>0</v>
      </c>
      <c r="G368">
        <v>0</v>
      </c>
      <c r="H368">
        <v>0</v>
      </c>
      <c r="I368">
        <v>360.13600000000002</v>
      </c>
      <c r="J368">
        <v>43.953000000000003</v>
      </c>
      <c r="K368">
        <v>43.953000000000003</v>
      </c>
      <c r="L368">
        <v>43.953000000000003</v>
      </c>
      <c r="M368">
        <v>43.953000000000003</v>
      </c>
      <c r="N368">
        <v>43.953000000000003</v>
      </c>
      <c r="O368">
        <v>43.953000000000003</v>
      </c>
      <c r="P368">
        <v>43.953000000000003</v>
      </c>
      <c r="Q368">
        <v>0</v>
      </c>
      <c r="R368">
        <v>0</v>
      </c>
      <c r="S368">
        <v>0</v>
      </c>
      <c r="T368">
        <v>0</v>
      </c>
      <c r="U368">
        <v>363.53999999999996</v>
      </c>
      <c r="V368">
        <v>387.76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f>SUMPRODUCT(DB_SOFProject[[#This Row],[Plan01]:[Plan12]],$E$4:$P$4)/valUnits2</f>
        <v>0.40408900000000003</v>
      </c>
      <c r="AD368">
        <f>SUMPRODUCT(DB_SOFProject[[#This Row],[Act01]:[Act12]],$Q$4:$AB$4)/valUnits2</f>
        <v>0.75129999999999997</v>
      </c>
      <c r="AE368">
        <f>DB_SOFProject[[#This Row],[Actual]]-DB_SOFProject[[#This Row],[Plan]]</f>
        <v>0.34721099999999994</v>
      </c>
      <c r="AF368" s="32">
        <f>IF(DB_SOFProject[[#This Row],[Plan]]&lt;&gt;0,DB_SOFProject[[#This Row],[Actual]]/DB_SOFProject[[#This Row],[Plan]],1.000011000011)</f>
        <v>1.8592438794423998</v>
      </c>
      <c r="AG368" s="34">
        <f>SUM(DB_SOFProject[[#This Row],[Plan01]:[Plan12]])/valUnits2</f>
        <v>0.66780699999999993</v>
      </c>
      <c r="AH368" s="34">
        <f>SUMPRODUCT(DB_SOFProject[[#This Row],[Act01]:[Act12]],$Q$3:$AB$3)/valUnits2</f>
        <v>0.75129999999999997</v>
      </c>
    </row>
    <row r="369" spans="2:34" x14ac:dyDescent="0.2">
      <c r="B369" t="s">
        <v>489</v>
      </c>
      <c r="C369" t="s">
        <v>915</v>
      </c>
      <c r="D369" t="s">
        <v>984</v>
      </c>
      <c r="I369">
        <v>2423.7060000000001</v>
      </c>
      <c r="J369">
        <v>0</v>
      </c>
      <c r="U369">
        <v>2490.4299999999998</v>
      </c>
      <c r="V369">
        <v>674.41</v>
      </c>
      <c r="AC369">
        <f>SUMPRODUCT(DB_SOFProject[[#This Row],[Plan01]:[Plan12]],$E$4:$P$4)/valUnits2</f>
        <v>2.4237060000000001</v>
      </c>
      <c r="AD369">
        <f>SUMPRODUCT(DB_SOFProject[[#This Row],[Act01]:[Act12]],$Q$4:$AB$4)/valUnits2</f>
        <v>3.1648399999999999</v>
      </c>
      <c r="AE369">
        <f>DB_SOFProject[[#This Row],[Actual]]-DB_SOFProject[[#This Row],[Plan]]</f>
        <v>0.74113399999999974</v>
      </c>
      <c r="AF369" s="32">
        <f>IF(DB_SOFProject[[#This Row],[Plan]]&lt;&gt;0,DB_SOFProject[[#This Row],[Actual]]/DB_SOFProject[[#This Row],[Plan]],1.000011000011)</f>
        <v>1.3057854376727209</v>
      </c>
      <c r="AG369" s="34">
        <f>SUM(DB_SOFProject[[#This Row],[Plan01]:[Plan12]])/valUnits2</f>
        <v>2.4237060000000001</v>
      </c>
      <c r="AH369" s="34">
        <f>SUMPRODUCT(DB_SOFProject[[#This Row],[Act01]:[Act12]],$Q$3:$AB$3)/valUnits2</f>
        <v>3.1648399999999999</v>
      </c>
    </row>
    <row r="370" spans="2:34" x14ac:dyDescent="0.2">
      <c r="B370" t="s">
        <v>489</v>
      </c>
      <c r="C370" t="s">
        <v>915</v>
      </c>
      <c r="D370" t="s">
        <v>999</v>
      </c>
      <c r="E370">
        <v>0</v>
      </c>
      <c r="F370">
        <v>0</v>
      </c>
      <c r="G370">
        <v>0</v>
      </c>
      <c r="H370">
        <v>240.73099999999999</v>
      </c>
      <c r="I370">
        <v>983.173</v>
      </c>
      <c r="J370">
        <v>43.953000000000003</v>
      </c>
      <c r="K370">
        <v>43.953000000000003</v>
      </c>
      <c r="L370">
        <v>43.953000000000003</v>
      </c>
      <c r="M370">
        <v>43.953000000000003</v>
      </c>
      <c r="N370">
        <v>43.953000000000003</v>
      </c>
      <c r="O370">
        <v>43.953000000000003</v>
      </c>
      <c r="P370">
        <v>43.953000000000003</v>
      </c>
      <c r="Q370">
        <v>0</v>
      </c>
      <c r="R370">
        <v>0</v>
      </c>
      <c r="S370">
        <v>0</v>
      </c>
      <c r="T370">
        <v>236.53</v>
      </c>
      <c r="U370">
        <v>998.71</v>
      </c>
      <c r="V370">
        <v>560.29999999999995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f>SUMPRODUCT(DB_SOFProject[[#This Row],[Plan01]:[Plan12]],$E$4:$P$4)/valUnits2</f>
        <v>1.267857</v>
      </c>
      <c r="AD370">
        <f>SUMPRODUCT(DB_SOFProject[[#This Row],[Act01]:[Act12]],$Q$4:$AB$4)/valUnits2</f>
        <v>1.7955399999999999</v>
      </c>
      <c r="AE370">
        <f>DB_SOFProject[[#This Row],[Actual]]-DB_SOFProject[[#This Row],[Plan]]</f>
        <v>0.5276829999999999</v>
      </c>
      <c r="AF370" s="32">
        <f>IF(DB_SOFProject[[#This Row],[Plan]]&lt;&gt;0,DB_SOFProject[[#This Row],[Actual]]/DB_SOFProject[[#This Row],[Plan]],1.000011000011)</f>
        <v>1.416200722952194</v>
      </c>
      <c r="AG370" s="34">
        <f>SUM(DB_SOFProject[[#This Row],[Plan01]:[Plan12]])/valUnits2</f>
        <v>1.5315749999999999</v>
      </c>
      <c r="AH370" s="34">
        <f>SUMPRODUCT(DB_SOFProject[[#This Row],[Act01]:[Act12]],$Q$3:$AB$3)/valUnits2</f>
        <v>1.7955399999999999</v>
      </c>
    </row>
    <row r="371" spans="2:34" x14ac:dyDescent="0.2">
      <c r="B371" t="s">
        <v>489</v>
      </c>
      <c r="C371" t="s">
        <v>916</v>
      </c>
      <c r="D371" t="s">
        <v>975</v>
      </c>
      <c r="G371">
        <v>0</v>
      </c>
      <c r="H371">
        <v>0</v>
      </c>
      <c r="I371">
        <v>0</v>
      </c>
      <c r="J371">
        <v>125</v>
      </c>
      <c r="K371">
        <v>41.667000000000002</v>
      </c>
      <c r="L371">
        <v>41.667000000000002</v>
      </c>
      <c r="M371">
        <v>41.667000000000002</v>
      </c>
      <c r="N371">
        <v>41.667000000000002</v>
      </c>
      <c r="O371">
        <v>41.667000000000002</v>
      </c>
      <c r="P371">
        <v>41.667000000000002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f>SUMPRODUCT(DB_SOFProject[[#This Row],[Plan01]:[Plan12]],$E$4:$P$4)/valUnits2</f>
        <v>0.125</v>
      </c>
      <c r="AD371">
        <f>SUMPRODUCT(DB_SOFProject[[#This Row],[Act01]:[Act12]],$Q$4:$AB$4)/valUnits2</f>
        <v>0</v>
      </c>
      <c r="AE371">
        <f>DB_SOFProject[[#This Row],[Actual]]-DB_SOFProject[[#This Row],[Plan]]</f>
        <v>-0.125</v>
      </c>
      <c r="AF371" s="32">
        <f>IF(DB_SOFProject[[#This Row],[Plan]]&lt;&gt;0,DB_SOFProject[[#This Row],[Actual]]/DB_SOFProject[[#This Row],[Plan]],1.000011000011)</f>
        <v>0</v>
      </c>
      <c r="AG371" s="34">
        <f>SUM(DB_SOFProject[[#This Row],[Plan01]:[Plan12]])/valUnits2</f>
        <v>0.37500200000000006</v>
      </c>
      <c r="AH371" s="34">
        <f>SUMPRODUCT(DB_SOFProject[[#This Row],[Act01]:[Act12]],$Q$3:$AB$3)/valUnits2</f>
        <v>0</v>
      </c>
    </row>
    <row r="372" spans="2:34" x14ac:dyDescent="0.2">
      <c r="B372" t="s">
        <v>489</v>
      </c>
      <c r="C372" t="s">
        <v>917</v>
      </c>
      <c r="D372" t="s">
        <v>947</v>
      </c>
      <c r="E372">
        <v>818.38400000000001</v>
      </c>
      <c r="F372">
        <v>-108.315</v>
      </c>
      <c r="J372">
        <v>0</v>
      </c>
      <c r="Q372">
        <v>818.4</v>
      </c>
      <c r="R372">
        <v>-108.29</v>
      </c>
      <c r="V372">
        <v>2410.48</v>
      </c>
      <c r="AC372">
        <f>SUMPRODUCT(DB_SOFProject[[#This Row],[Plan01]:[Plan12]],$E$4:$P$4)/valUnits2</f>
        <v>0.71006899999999995</v>
      </c>
      <c r="AD372">
        <f>SUMPRODUCT(DB_SOFProject[[#This Row],[Act01]:[Act12]],$Q$4:$AB$4)/valUnits2</f>
        <v>3.12059</v>
      </c>
      <c r="AE372">
        <f>DB_SOFProject[[#This Row],[Actual]]-DB_SOFProject[[#This Row],[Plan]]</f>
        <v>2.4105210000000001</v>
      </c>
      <c r="AF372" s="32">
        <f>IF(DB_SOFProject[[#This Row],[Plan]]&lt;&gt;0,DB_SOFProject[[#This Row],[Actual]]/DB_SOFProject[[#This Row],[Plan]],1.000011000011)</f>
        <v>4.3947700857240637</v>
      </c>
      <c r="AG372" s="34">
        <f>SUM(DB_SOFProject[[#This Row],[Plan01]:[Plan12]])/valUnits2</f>
        <v>0.71006899999999995</v>
      </c>
      <c r="AH372" s="34">
        <f>SUMPRODUCT(DB_SOFProject[[#This Row],[Act01]:[Act12]],$Q$3:$AB$3)/valUnits2</f>
        <v>3.12059</v>
      </c>
    </row>
    <row r="373" spans="2:34" x14ac:dyDescent="0.2">
      <c r="B373" t="s">
        <v>489</v>
      </c>
      <c r="C373" t="s">
        <v>917</v>
      </c>
      <c r="D373" t="s">
        <v>975</v>
      </c>
      <c r="E373">
        <v>295.113</v>
      </c>
      <c r="F373">
        <v>51.811999999999998</v>
      </c>
      <c r="G373">
        <v>63.872</v>
      </c>
      <c r="H373">
        <v>2794.3670000000002</v>
      </c>
      <c r="I373">
        <v>860.52300000000002</v>
      </c>
      <c r="J373">
        <v>300.38499999999999</v>
      </c>
      <c r="K373">
        <v>1473.4739999999999</v>
      </c>
      <c r="L373">
        <v>1473.4739999999999</v>
      </c>
      <c r="M373">
        <v>1473.4739999999999</v>
      </c>
      <c r="N373">
        <v>1473.4739999999999</v>
      </c>
      <c r="O373">
        <v>1473.4739999999999</v>
      </c>
      <c r="P373">
        <v>1473.4739999999999</v>
      </c>
      <c r="Q373">
        <v>295.12</v>
      </c>
      <c r="R373">
        <v>51.65</v>
      </c>
      <c r="S373">
        <v>63.449999999999996</v>
      </c>
      <c r="T373">
        <v>2779.72</v>
      </c>
      <c r="U373">
        <v>864.67</v>
      </c>
      <c r="V373">
        <v>-1194.08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f>SUMPRODUCT(DB_SOFProject[[#This Row],[Plan01]:[Plan12]],$E$4:$P$4)/valUnits2</f>
        <v>4.366072</v>
      </c>
      <c r="AD373">
        <f>SUMPRODUCT(DB_SOFProject[[#This Row],[Act01]:[Act12]],$Q$4:$AB$4)/valUnits2</f>
        <v>2.8605299999999998</v>
      </c>
      <c r="AE373">
        <f>DB_SOFProject[[#This Row],[Actual]]-DB_SOFProject[[#This Row],[Plan]]</f>
        <v>-1.5055420000000002</v>
      </c>
      <c r="AF373" s="32">
        <f>IF(DB_SOFProject[[#This Row],[Plan]]&lt;&gt;0,DB_SOFProject[[#This Row],[Actual]]/DB_SOFProject[[#This Row],[Plan]],1.000011000011)</f>
        <v>0.65517242958888444</v>
      </c>
      <c r="AG373" s="34">
        <f>SUM(DB_SOFProject[[#This Row],[Plan01]:[Plan12]])/valUnits2</f>
        <v>13.206916000000001</v>
      </c>
      <c r="AH373" s="34">
        <f>SUMPRODUCT(DB_SOFProject[[#This Row],[Act01]:[Act12]],$Q$3:$AB$3)/valUnits2</f>
        <v>2.8605299999999998</v>
      </c>
    </row>
    <row r="374" spans="2:34" x14ac:dyDescent="0.2">
      <c r="B374" t="s">
        <v>489</v>
      </c>
      <c r="C374" t="s">
        <v>917</v>
      </c>
      <c r="D374" t="s">
        <v>980</v>
      </c>
      <c r="E374">
        <v>137.845</v>
      </c>
      <c r="F374">
        <v>139.86000000000001</v>
      </c>
      <c r="G374">
        <v>141.02600000000001</v>
      </c>
      <c r="H374">
        <v>140.72499999999999</v>
      </c>
      <c r="I374">
        <v>141.267</v>
      </c>
      <c r="J374">
        <v>124.598</v>
      </c>
      <c r="K374">
        <v>160.46700000000001</v>
      </c>
      <c r="L374">
        <v>160.46700000000001</v>
      </c>
      <c r="M374">
        <v>160.46700000000001</v>
      </c>
      <c r="N374">
        <v>160.46700000000001</v>
      </c>
      <c r="O374">
        <v>160.46700000000001</v>
      </c>
      <c r="P374">
        <v>160.46700000000001</v>
      </c>
      <c r="Q374">
        <v>137.84</v>
      </c>
      <c r="R374">
        <v>139.86000000000001</v>
      </c>
      <c r="S374">
        <v>140.11000000000001</v>
      </c>
      <c r="T374">
        <v>141.51</v>
      </c>
      <c r="U374">
        <v>141.94</v>
      </c>
      <c r="V374">
        <v>141.84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f>SUMPRODUCT(DB_SOFProject[[#This Row],[Plan01]:[Plan12]],$E$4:$P$4)/valUnits2</f>
        <v>0.82532099999999986</v>
      </c>
      <c r="AD374">
        <f>SUMPRODUCT(DB_SOFProject[[#This Row],[Act01]:[Act12]],$Q$4:$AB$4)/valUnits2</f>
        <v>0.84310000000000007</v>
      </c>
      <c r="AE374">
        <f>DB_SOFProject[[#This Row],[Actual]]-DB_SOFProject[[#This Row],[Plan]]</f>
        <v>1.7779000000000211E-2</v>
      </c>
      <c r="AF374" s="32">
        <f>IF(DB_SOFProject[[#This Row],[Plan]]&lt;&gt;0,DB_SOFProject[[#This Row],[Actual]]/DB_SOFProject[[#This Row],[Plan]],1.000011000011)</f>
        <v>1.0215419212645749</v>
      </c>
      <c r="AG374" s="34">
        <f>SUM(DB_SOFProject[[#This Row],[Plan01]:[Plan12]])/valUnits2</f>
        <v>1.7881230000000004</v>
      </c>
      <c r="AH374" s="34">
        <f>SUMPRODUCT(DB_SOFProject[[#This Row],[Act01]:[Act12]],$Q$3:$AB$3)/valUnits2</f>
        <v>0.84310000000000007</v>
      </c>
    </row>
    <row r="375" spans="2:34" x14ac:dyDescent="0.2">
      <c r="B375" t="s">
        <v>489</v>
      </c>
      <c r="C375" t="s">
        <v>918</v>
      </c>
      <c r="D375" t="s">
        <v>975</v>
      </c>
      <c r="E375">
        <v>0</v>
      </c>
      <c r="H375">
        <v>963.07899999999995</v>
      </c>
      <c r="I375">
        <v>349.35700000000008</v>
      </c>
      <c r="J375">
        <v>1697.268</v>
      </c>
      <c r="K375">
        <v>1697.268</v>
      </c>
      <c r="L375">
        <v>1697.268</v>
      </c>
      <c r="M375">
        <v>1697.268</v>
      </c>
      <c r="N375">
        <v>1697.268</v>
      </c>
      <c r="O375">
        <v>1697.268</v>
      </c>
      <c r="P375">
        <v>1697.268</v>
      </c>
      <c r="Q375">
        <v>0</v>
      </c>
      <c r="T375">
        <v>972.67</v>
      </c>
      <c r="U375">
        <v>349.78000000000003</v>
      </c>
      <c r="V375">
        <v>248.85999999999999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f>SUMPRODUCT(DB_SOFProject[[#This Row],[Plan01]:[Plan12]],$E$4:$P$4)/valUnits2</f>
        <v>3.0097040000000002</v>
      </c>
      <c r="AD375">
        <f>SUMPRODUCT(DB_SOFProject[[#This Row],[Act01]:[Act12]],$Q$4:$AB$4)/valUnits2</f>
        <v>1.57131</v>
      </c>
      <c r="AE375">
        <f>DB_SOFProject[[#This Row],[Actual]]-DB_SOFProject[[#This Row],[Plan]]</f>
        <v>-1.4383940000000002</v>
      </c>
      <c r="AF375" s="32">
        <f>IF(DB_SOFProject[[#This Row],[Plan]]&lt;&gt;0,DB_SOFProject[[#This Row],[Actual]]/DB_SOFProject[[#This Row],[Plan]],1.000011000011)</f>
        <v>0.52208124121176036</v>
      </c>
      <c r="AG375" s="34">
        <f>SUM(DB_SOFProject[[#This Row],[Plan01]:[Plan12]])/valUnits2</f>
        <v>13.193312000000001</v>
      </c>
      <c r="AH375" s="34">
        <f>SUMPRODUCT(DB_SOFProject[[#This Row],[Act01]:[Act12]],$Q$3:$AB$3)/valUnits2</f>
        <v>1.57131</v>
      </c>
    </row>
    <row r="376" spans="2:34" x14ac:dyDescent="0.2">
      <c r="B376" t="s">
        <v>489</v>
      </c>
      <c r="C376" t="s">
        <v>356</v>
      </c>
      <c r="D376" t="s">
        <v>946</v>
      </c>
      <c r="H376">
        <v>0</v>
      </c>
      <c r="I376">
        <v>0</v>
      </c>
      <c r="J376">
        <v>378.20799999999997</v>
      </c>
      <c r="T376">
        <v>0</v>
      </c>
      <c r="U376">
        <v>0</v>
      </c>
      <c r="V376">
        <v>0</v>
      </c>
      <c r="AC376">
        <f>SUMPRODUCT(DB_SOFProject[[#This Row],[Plan01]:[Plan12]],$E$4:$P$4)/valUnits2</f>
        <v>0.37820799999999999</v>
      </c>
      <c r="AD376">
        <f>SUMPRODUCT(DB_SOFProject[[#This Row],[Act01]:[Act12]],$Q$4:$AB$4)/valUnits2</f>
        <v>0</v>
      </c>
      <c r="AE376">
        <f>DB_SOFProject[[#This Row],[Actual]]-DB_SOFProject[[#This Row],[Plan]]</f>
        <v>-0.37820799999999999</v>
      </c>
      <c r="AF376" s="32">
        <f>IF(DB_SOFProject[[#This Row],[Plan]]&lt;&gt;0,DB_SOFProject[[#This Row],[Actual]]/DB_SOFProject[[#This Row],[Plan]],1.000011000011)</f>
        <v>0</v>
      </c>
      <c r="AG376" s="34">
        <f>SUM(DB_SOFProject[[#This Row],[Plan01]:[Plan12]])/valUnits2</f>
        <v>0.37820799999999999</v>
      </c>
      <c r="AH376" s="34">
        <f>SUMPRODUCT(DB_SOFProject[[#This Row],[Act01]:[Act12]],$Q$3:$AB$3)/valUnits2</f>
        <v>0</v>
      </c>
    </row>
    <row r="377" spans="2:34" x14ac:dyDescent="0.2">
      <c r="B377" t="s">
        <v>489</v>
      </c>
      <c r="C377" t="s">
        <v>356</v>
      </c>
      <c r="D377" t="s">
        <v>947</v>
      </c>
      <c r="H377">
        <v>92.197000000000003</v>
      </c>
      <c r="I377">
        <v>183.02600000000001</v>
      </c>
      <c r="J377">
        <v>0</v>
      </c>
      <c r="T377">
        <v>91.36</v>
      </c>
      <c r="U377">
        <v>190.33</v>
      </c>
      <c r="V377">
        <v>104.66</v>
      </c>
      <c r="AC377">
        <f>SUMPRODUCT(DB_SOFProject[[#This Row],[Plan01]:[Plan12]],$E$4:$P$4)/valUnits2</f>
        <v>0.275223</v>
      </c>
      <c r="AD377">
        <f>SUMPRODUCT(DB_SOFProject[[#This Row],[Act01]:[Act12]],$Q$4:$AB$4)/valUnits2</f>
        <v>0.38635000000000003</v>
      </c>
      <c r="AE377">
        <f>DB_SOFProject[[#This Row],[Actual]]-DB_SOFProject[[#This Row],[Plan]]</f>
        <v>0.11112700000000003</v>
      </c>
      <c r="AF377" s="32">
        <f>IF(DB_SOFProject[[#This Row],[Plan]]&lt;&gt;0,DB_SOFProject[[#This Row],[Actual]]/DB_SOFProject[[#This Row],[Plan]],1.000011000011)</f>
        <v>1.4037707604378995</v>
      </c>
      <c r="AG377" s="34">
        <f>SUM(DB_SOFProject[[#This Row],[Plan01]:[Plan12]])/valUnits2</f>
        <v>0.275223</v>
      </c>
      <c r="AH377" s="34">
        <f>SUMPRODUCT(DB_SOFProject[[#This Row],[Act01]:[Act12]],$Q$3:$AB$3)/valUnits2</f>
        <v>0.38635000000000003</v>
      </c>
    </row>
    <row r="378" spans="2:34" x14ac:dyDescent="0.2">
      <c r="B378" t="s">
        <v>489</v>
      </c>
      <c r="C378" t="s">
        <v>356</v>
      </c>
      <c r="D378" t="s">
        <v>959</v>
      </c>
      <c r="H378">
        <v>0</v>
      </c>
      <c r="I378">
        <v>0</v>
      </c>
      <c r="J378">
        <v>756.41599999999994</v>
      </c>
      <c r="T378">
        <v>0</v>
      </c>
      <c r="U378">
        <v>0</v>
      </c>
      <c r="V378">
        <v>0</v>
      </c>
      <c r="AC378">
        <f>SUMPRODUCT(DB_SOFProject[[#This Row],[Plan01]:[Plan12]],$E$4:$P$4)/valUnits2</f>
        <v>0.75641599999999998</v>
      </c>
      <c r="AD378">
        <f>SUMPRODUCT(DB_SOFProject[[#This Row],[Act01]:[Act12]],$Q$4:$AB$4)/valUnits2</f>
        <v>0</v>
      </c>
      <c r="AE378">
        <f>DB_SOFProject[[#This Row],[Actual]]-DB_SOFProject[[#This Row],[Plan]]</f>
        <v>-0.75641599999999998</v>
      </c>
      <c r="AF378" s="32">
        <f>IF(DB_SOFProject[[#This Row],[Plan]]&lt;&gt;0,DB_SOFProject[[#This Row],[Actual]]/DB_SOFProject[[#This Row],[Plan]],1.000011000011)</f>
        <v>0</v>
      </c>
      <c r="AG378" s="34">
        <f>SUM(DB_SOFProject[[#This Row],[Plan01]:[Plan12]])/valUnits2</f>
        <v>0.75641599999999998</v>
      </c>
      <c r="AH378" s="34">
        <f>SUMPRODUCT(DB_SOFProject[[#This Row],[Act01]:[Act12]],$Q$3:$AB$3)/valUnits2</f>
        <v>0</v>
      </c>
    </row>
    <row r="379" spans="2:34" x14ac:dyDescent="0.2">
      <c r="B379" t="s">
        <v>489</v>
      </c>
      <c r="C379" t="s">
        <v>356</v>
      </c>
      <c r="D379" t="s">
        <v>975</v>
      </c>
      <c r="E379">
        <v>0</v>
      </c>
      <c r="F379">
        <v>0</v>
      </c>
      <c r="G379">
        <v>0</v>
      </c>
      <c r="H379">
        <v>744.452</v>
      </c>
      <c r="I379">
        <v>467.10700000000003</v>
      </c>
      <c r="J379">
        <v>1349.1979999999999</v>
      </c>
      <c r="Q379">
        <v>0</v>
      </c>
      <c r="R379">
        <v>0</v>
      </c>
      <c r="S379">
        <v>0</v>
      </c>
      <c r="T379">
        <v>748.26</v>
      </c>
      <c r="U379">
        <v>491.4</v>
      </c>
      <c r="V379">
        <v>2504.85</v>
      </c>
      <c r="AC379">
        <f>SUMPRODUCT(DB_SOFProject[[#This Row],[Plan01]:[Plan12]],$E$4:$P$4)/valUnits2</f>
        <v>2.5607569999999997</v>
      </c>
      <c r="AD379">
        <f>SUMPRODUCT(DB_SOFProject[[#This Row],[Act01]:[Act12]],$Q$4:$AB$4)/valUnits2</f>
        <v>3.7445099999999996</v>
      </c>
      <c r="AE379">
        <f>DB_SOFProject[[#This Row],[Actual]]-DB_SOFProject[[#This Row],[Plan]]</f>
        <v>1.1837529999999998</v>
      </c>
      <c r="AF379" s="32">
        <f>IF(DB_SOFProject[[#This Row],[Plan]]&lt;&gt;0,DB_SOFProject[[#This Row],[Actual]]/DB_SOFProject[[#This Row],[Plan]],1.000011000011)</f>
        <v>1.4622668218811858</v>
      </c>
      <c r="AG379" s="34">
        <f>SUM(DB_SOFProject[[#This Row],[Plan01]:[Plan12]])/valUnits2</f>
        <v>2.5607569999999997</v>
      </c>
      <c r="AH379" s="34">
        <f>SUMPRODUCT(DB_SOFProject[[#This Row],[Act01]:[Act12]],$Q$3:$AB$3)/valUnits2</f>
        <v>3.7445099999999996</v>
      </c>
    </row>
    <row r="380" spans="2:34" x14ac:dyDescent="0.2">
      <c r="B380" t="s">
        <v>489</v>
      </c>
      <c r="C380" t="s">
        <v>356</v>
      </c>
      <c r="D380" t="s">
        <v>976</v>
      </c>
      <c r="H380">
        <v>290.64300000000003</v>
      </c>
      <c r="J380">
        <v>0</v>
      </c>
      <c r="T380">
        <v>292.33999999999997</v>
      </c>
      <c r="V380">
        <v>54.19</v>
      </c>
      <c r="AC380">
        <f>SUMPRODUCT(DB_SOFProject[[#This Row],[Plan01]:[Plan12]],$E$4:$P$4)/valUnits2</f>
        <v>0.29064300000000004</v>
      </c>
      <c r="AD380">
        <f>SUMPRODUCT(DB_SOFProject[[#This Row],[Act01]:[Act12]],$Q$4:$AB$4)/valUnits2</f>
        <v>0.34652999999999995</v>
      </c>
      <c r="AE380">
        <f>DB_SOFProject[[#This Row],[Actual]]-DB_SOFProject[[#This Row],[Plan]]</f>
        <v>5.5886999999999909E-2</v>
      </c>
      <c r="AF380" s="32">
        <f>IF(DB_SOFProject[[#This Row],[Plan]]&lt;&gt;0,DB_SOFProject[[#This Row],[Actual]]/DB_SOFProject[[#This Row],[Plan]],1.000011000011)</f>
        <v>1.1922874454227348</v>
      </c>
      <c r="AG380" s="34">
        <f>SUM(DB_SOFProject[[#This Row],[Plan01]:[Plan12]])/valUnits2</f>
        <v>0.29064300000000004</v>
      </c>
      <c r="AH380" s="34">
        <f>SUMPRODUCT(DB_SOFProject[[#This Row],[Act01]:[Act12]],$Q$3:$AB$3)/valUnits2</f>
        <v>0.34652999999999995</v>
      </c>
    </row>
    <row r="381" spans="2:34" x14ac:dyDescent="0.2">
      <c r="B381" t="s">
        <v>489</v>
      </c>
      <c r="C381" t="s">
        <v>356</v>
      </c>
      <c r="D381" t="s">
        <v>980</v>
      </c>
      <c r="H381">
        <v>205.62700000000001</v>
      </c>
      <c r="I381">
        <v>263.05399999999997</v>
      </c>
      <c r="J381">
        <v>378.20799999999997</v>
      </c>
      <c r="T381">
        <v>203.76</v>
      </c>
      <c r="U381">
        <v>266.58</v>
      </c>
      <c r="V381">
        <v>293.35000000000002</v>
      </c>
      <c r="AC381">
        <f>SUMPRODUCT(DB_SOFProject[[#This Row],[Plan01]:[Plan12]],$E$4:$P$4)/valUnits2</f>
        <v>0.84688899999999989</v>
      </c>
      <c r="AD381">
        <f>SUMPRODUCT(DB_SOFProject[[#This Row],[Act01]:[Act12]],$Q$4:$AB$4)/valUnits2</f>
        <v>0.76369000000000009</v>
      </c>
      <c r="AE381">
        <f>DB_SOFProject[[#This Row],[Actual]]-DB_SOFProject[[#This Row],[Plan]]</f>
        <v>-8.3198999999999801E-2</v>
      </c>
      <c r="AF381" s="32">
        <f>IF(DB_SOFProject[[#This Row],[Plan]]&lt;&gt;0,DB_SOFProject[[#This Row],[Actual]]/DB_SOFProject[[#This Row],[Plan]],1.000011000011)</f>
        <v>0.90175926242990545</v>
      </c>
      <c r="AG381" s="34">
        <f>SUM(DB_SOFProject[[#This Row],[Plan01]:[Plan12]])/valUnits2</f>
        <v>0.84688899999999989</v>
      </c>
      <c r="AH381" s="34">
        <f>SUMPRODUCT(DB_SOFProject[[#This Row],[Act01]:[Act12]],$Q$3:$AB$3)/valUnits2</f>
        <v>0.76369000000000009</v>
      </c>
    </row>
    <row r="382" spans="2:34" x14ac:dyDescent="0.2">
      <c r="B382" t="s">
        <v>489</v>
      </c>
      <c r="C382" t="s">
        <v>356</v>
      </c>
      <c r="D382" t="s">
        <v>999</v>
      </c>
      <c r="H382">
        <v>0</v>
      </c>
      <c r="I382">
        <v>0</v>
      </c>
      <c r="J382">
        <v>378.20799999999997</v>
      </c>
      <c r="T382">
        <v>0</v>
      </c>
      <c r="U382">
        <v>0</v>
      </c>
      <c r="V382">
        <v>0</v>
      </c>
      <c r="AC382">
        <f>SUMPRODUCT(DB_SOFProject[[#This Row],[Plan01]:[Plan12]],$E$4:$P$4)/valUnits2</f>
        <v>0.37820799999999999</v>
      </c>
      <c r="AD382">
        <f>SUMPRODUCT(DB_SOFProject[[#This Row],[Act01]:[Act12]],$Q$4:$AB$4)/valUnits2</f>
        <v>0</v>
      </c>
      <c r="AE382">
        <f>DB_SOFProject[[#This Row],[Actual]]-DB_SOFProject[[#This Row],[Plan]]</f>
        <v>-0.37820799999999999</v>
      </c>
      <c r="AF382" s="32">
        <f>IF(DB_SOFProject[[#This Row],[Plan]]&lt;&gt;0,DB_SOFProject[[#This Row],[Actual]]/DB_SOFProject[[#This Row],[Plan]],1.000011000011)</f>
        <v>0</v>
      </c>
      <c r="AG382" s="34">
        <f>SUM(DB_SOFProject[[#This Row],[Plan01]:[Plan12]])/valUnits2</f>
        <v>0.37820799999999999</v>
      </c>
      <c r="AH382" s="34">
        <f>SUMPRODUCT(DB_SOFProject[[#This Row],[Act01]:[Act12]],$Q$3:$AB$3)/valUnits2</f>
        <v>0</v>
      </c>
    </row>
    <row r="383" spans="2:34" x14ac:dyDescent="0.2">
      <c r="B383" t="s">
        <v>489</v>
      </c>
      <c r="C383" t="s">
        <v>919</v>
      </c>
      <c r="D383" t="s">
        <v>946</v>
      </c>
      <c r="E383">
        <v>0</v>
      </c>
      <c r="F383">
        <v>0</v>
      </c>
      <c r="G383">
        <v>0</v>
      </c>
      <c r="H383">
        <v>478.745</v>
      </c>
      <c r="I383">
        <v>98.331999999999994</v>
      </c>
      <c r="J383">
        <v>47.578000000000003</v>
      </c>
      <c r="K383">
        <v>47.578000000000003</v>
      </c>
      <c r="L383">
        <v>47.578000000000003</v>
      </c>
      <c r="M383">
        <v>47.578000000000003</v>
      </c>
      <c r="N383">
        <v>47.578000000000003</v>
      </c>
      <c r="O383">
        <v>47.578000000000003</v>
      </c>
      <c r="P383">
        <v>47.578000000000003</v>
      </c>
      <c r="Q383">
        <v>0</v>
      </c>
      <c r="R383">
        <v>0</v>
      </c>
      <c r="S383">
        <v>0</v>
      </c>
      <c r="T383">
        <v>479.28</v>
      </c>
      <c r="U383">
        <v>97.14</v>
      </c>
      <c r="V383">
        <v>110.93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f>SUMPRODUCT(DB_SOFProject[[#This Row],[Plan01]:[Plan12]],$E$4:$P$4)/valUnits2</f>
        <v>0.62465499999999996</v>
      </c>
      <c r="AD383">
        <f>SUMPRODUCT(DB_SOFProject[[#This Row],[Act01]:[Act12]],$Q$4:$AB$4)/valUnits2</f>
        <v>0.68734999999999991</v>
      </c>
      <c r="AE383">
        <f>DB_SOFProject[[#This Row],[Actual]]-DB_SOFProject[[#This Row],[Plan]]</f>
        <v>6.2694999999999945E-2</v>
      </c>
      <c r="AF383" s="32">
        <f>IF(DB_SOFProject[[#This Row],[Plan]]&lt;&gt;0,DB_SOFProject[[#This Row],[Actual]]/DB_SOFProject[[#This Row],[Plan]],1.000011000011)</f>
        <v>1.100367402806349</v>
      </c>
      <c r="AG383" s="34">
        <f>SUM(DB_SOFProject[[#This Row],[Plan01]:[Plan12]])/valUnits2</f>
        <v>0.91012299999999979</v>
      </c>
      <c r="AH383" s="34">
        <f>SUMPRODUCT(DB_SOFProject[[#This Row],[Act01]:[Act12]],$Q$3:$AB$3)/valUnits2</f>
        <v>0.68734999999999991</v>
      </c>
    </row>
    <row r="384" spans="2:34" x14ac:dyDescent="0.2">
      <c r="B384" t="s">
        <v>489</v>
      </c>
      <c r="C384" t="s">
        <v>919</v>
      </c>
      <c r="D384" t="s">
        <v>947</v>
      </c>
      <c r="E384">
        <v>0</v>
      </c>
      <c r="F384">
        <v>461.53199999999998</v>
      </c>
      <c r="G384">
        <v>0</v>
      </c>
      <c r="H384">
        <v>255.68600000000001</v>
      </c>
      <c r="I384">
        <v>0</v>
      </c>
      <c r="J384">
        <v>1231.71</v>
      </c>
      <c r="K384">
        <v>1231.71</v>
      </c>
      <c r="L384">
        <v>1231.71</v>
      </c>
      <c r="M384">
        <v>1231.71</v>
      </c>
      <c r="N384">
        <v>1231.71</v>
      </c>
      <c r="O384">
        <v>1231.71</v>
      </c>
      <c r="P384">
        <v>1231.71</v>
      </c>
      <c r="Q384">
        <v>0</v>
      </c>
      <c r="R384">
        <v>471.21000000000004</v>
      </c>
      <c r="S384">
        <v>0</v>
      </c>
      <c r="T384">
        <v>256.94000000000005</v>
      </c>
      <c r="U384">
        <v>0</v>
      </c>
      <c r="V384">
        <v>366.71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f>SUMPRODUCT(DB_SOFProject[[#This Row],[Plan01]:[Plan12]],$E$4:$P$4)/valUnits2</f>
        <v>1.948928</v>
      </c>
      <c r="AD384">
        <f>SUMPRODUCT(DB_SOFProject[[#This Row],[Act01]:[Act12]],$Q$4:$AB$4)/valUnits2</f>
        <v>1.0948600000000002</v>
      </c>
      <c r="AE384">
        <f>DB_SOFProject[[#This Row],[Actual]]-DB_SOFProject[[#This Row],[Plan]]</f>
        <v>-0.85406799999999983</v>
      </c>
      <c r="AF384" s="32">
        <f>IF(DB_SOFProject[[#This Row],[Plan]]&lt;&gt;0,DB_SOFProject[[#This Row],[Actual]]/DB_SOFProject[[#This Row],[Plan]],1.000011000011)</f>
        <v>0.5617754991461974</v>
      </c>
      <c r="AG384" s="34">
        <f>SUM(DB_SOFProject[[#This Row],[Plan01]:[Plan12]])/valUnits2</f>
        <v>9.339188</v>
      </c>
      <c r="AH384" s="34">
        <f>SUMPRODUCT(DB_SOFProject[[#This Row],[Act01]:[Act12]],$Q$3:$AB$3)/valUnits2</f>
        <v>1.0948600000000002</v>
      </c>
    </row>
    <row r="385" spans="2:34" x14ac:dyDescent="0.2">
      <c r="B385" t="s">
        <v>489</v>
      </c>
      <c r="C385" t="s">
        <v>919</v>
      </c>
      <c r="D385" t="s">
        <v>959</v>
      </c>
      <c r="E385">
        <v>0</v>
      </c>
      <c r="F385">
        <v>1034.3209999999999</v>
      </c>
      <c r="G385">
        <v>1230.154</v>
      </c>
      <c r="H385">
        <v>7685.2150000000001</v>
      </c>
      <c r="I385">
        <v>2026.375</v>
      </c>
      <c r="J385">
        <v>3303.1479999999997</v>
      </c>
      <c r="K385">
        <v>3303.1479999999997</v>
      </c>
      <c r="L385">
        <v>3303.1479999999997</v>
      </c>
      <c r="M385">
        <v>3303.1479999999997</v>
      </c>
      <c r="N385">
        <v>3303.1479999999997</v>
      </c>
      <c r="O385">
        <v>3303.1479999999997</v>
      </c>
      <c r="P385">
        <v>3303.1479999999997</v>
      </c>
      <c r="Q385">
        <v>0</v>
      </c>
      <c r="R385">
        <v>1056.01</v>
      </c>
      <c r="S385">
        <v>1241.29</v>
      </c>
      <c r="T385">
        <v>7689.04</v>
      </c>
      <c r="U385">
        <v>2001.8100000000002</v>
      </c>
      <c r="V385">
        <v>2451.66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f>SUMPRODUCT(DB_SOFProject[[#This Row],[Plan01]:[Plan12]],$E$4:$P$4)/valUnits2</f>
        <v>15.279213</v>
      </c>
      <c r="AD385">
        <f>SUMPRODUCT(DB_SOFProject[[#This Row],[Act01]:[Act12]],$Q$4:$AB$4)/valUnits2</f>
        <v>14.43981</v>
      </c>
      <c r="AE385">
        <f>DB_SOFProject[[#This Row],[Actual]]-DB_SOFProject[[#This Row],[Plan]]</f>
        <v>-0.83940300000000079</v>
      </c>
      <c r="AF385" s="32">
        <f>IF(DB_SOFProject[[#This Row],[Plan]]&lt;&gt;0,DB_SOFProject[[#This Row],[Actual]]/DB_SOFProject[[#This Row],[Plan]],1.000011000011)</f>
        <v>0.94506241911805267</v>
      </c>
      <c r="AG385" s="34">
        <f>SUM(DB_SOFProject[[#This Row],[Plan01]:[Plan12]])/valUnits2</f>
        <v>35.098101</v>
      </c>
      <c r="AH385" s="34">
        <f>SUMPRODUCT(DB_SOFProject[[#This Row],[Act01]:[Act12]],$Q$3:$AB$3)/valUnits2</f>
        <v>14.43981</v>
      </c>
    </row>
    <row r="386" spans="2:34" x14ac:dyDescent="0.2">
      <c r="B386" t="s">
        <v>489</v>
      </c>
      <c r="C386" t="s">
        <v>919</v>
      </c>
      <c r="D386" t="s">
        <v>975</v>
      </c>
      <c r="E386">
        <v>597.99300000000005</v>
      </c>
      <c r="F386">
        <v>2121.4360000000001</v>
      </c>
      <c r="G386">
        <v>3326.4030000000002</v>
      </c>
      <c r="H386">
        <v>24468.414000000004</v>
      </c>
      <c r="I386">
        <v>9444.4619999999995</v>
      </c>
      <c r="J386">
        <v>5767.6809999999996</v>
      </c>
      <c r="K386">
        <v>8031.7179999999998</v>
      </c>
      <c r="L386">
        <v>5767.6809999999996</v>
      </c>
      <c r="M386">
        <v>5767.6809999999996</v>
      </c>
      <c r="N386">
        <v>8031.7179999999998</v>
      </c>
      <c r="O386">
        <v>5767.6809999999996</v>
      </c>
      <c r="P386">
        <v>5767.6809999999996</v>
      </c>
      <c r="Q386">
        <v>589.15</v>
      </c>
      <c r="R386">
        <v>2165.92</v>
      </c>
      <c r="S386">
        <v>3356.77</v>
      </c>
      <c r="T386">
        <v>24696.719999999998</v>
      </c>
      <c r="U386">
        <v>9446.92</v>
      </c>
      <c r="V386">
        <v>6704.8899999999994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f>SUMPRODUCT(DB_SOFProject[[#This Row],[Plan01]:[Plan12]],$E$4:$P$4)/valUnits2</f>
        <v>45.726389000000005</v>
      </c>
      <c r="AD386">
        <f>SUMPRODUCT(DB_SOFProject[[#This Row],[Act01]:[Act12]],$Q$4:$AB$4)/valUnits2</f>
        <v>46.960369999999998</v>
      </c>
      <c r="AE386">
        <f>DB_SOFProject[[#This Row],[Actual]]-DB_SOFProject[[#This Row],[Plan]]</f>
        <v>1.2339809999999929</v>
      </c>
      <c r="AF386" s="32">
        <f>IF(DB_SOFProject[[#This Row],[Plan]]&lt;&gt;0,DB_SOFProject[[#This Row],[Actual]]/DB_SOFProject[[#This Row],[Plan]],1.000011000011)</f>
        <v>1.0269861895283268</v>
      </c>
      <c r="AG386" s="34">
        <f>SUM(DB_SOFProject[[#This Row],[Plan01]:[Plan12]])/valUnits2</f>
        <v>84.860548999999978</v>
      </c>
      <c r="AH386" s="34">
        <f>SUMPRODUCT(DB_SOFProject[[#This Row],[Act01]:[Act12]],$Q$3:$AB$3)/valUnits2</f>
        <v>46.960369999999998</v>
      </c>
    </row>
    <row r="387" spans="2:34" x14ac:dyDescent="0.2">
      <c r="B387" t="s">
        <v>489</v>
      </c>
      <c r="C387" t="s">
        <v>919</v>
      </c>
      <c r="D387" t="s">
        <v>976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f>SUMPRODUCT(DB_SOFProject[[#This Row],[Plan01]:[Plan12]],$E$4:$P$4)/valUnits2</f>
        <v>0</v>
      </c>
      <c r="AD387">
        <f>SUMPRODUCT(DB_SOFProject[[#This Row],[Act01]:[Act12]],$Q$4:$AB$4)/valUnits2</f>
        <v>0</v>
      </c>
      <c r="AE387">
        <f>DB_SOFProject[[#This Row],[Actual]]-DB_SOFProject[[#This Row],[Plan]]</f>
        <v>0</v>
      </c>
      <c r="AF387" s="32">
        <f>IF(DB_SOFProject[[#This Row],[Plan]]&lt;&gt;0,DB_SOFProject[[#This Row],[Actual]]/DB_SOFProject[[#This Row],[Plan]],1.000011000011)</f>
        <v>1.0000110000110001</v>
      </c>
      <c r="AG387" s="34">
        <f>SUM(DB_SOFProject[[#This Row],[Plan01]:[Plan12]])/valUnits2</f>
        <v>0</v>
      </c>
      <c r="AH387" s="34">
        <f>SUMPRODUCT(DB_SOFProject[[#This Row],[Act01]:[Act12]],$Q$3:$AB$3)/valUnits2</f>
        <v>0</v>
      </c>
    </row>
    <row r="388" spans="2:34" x14ac:dyDescent="0.2">
      <c r="B388" t="s">
        <v>489</v>
      </c>
      <c r="C388" t="s">
        <v>919</v>
      </c>
      <c r="D388" t="s">
        <v>980</v>
      </c>
      <c r="E388">
        <v>0</v>
      </c>
      <c r="F388">
        <v>629.08600000000001</v>
      </c>
      <c r="G388">
        <v>949.29700000000003</v>
      </c>
      <c r="H388">
        <v>1428.8760000000002</v>
      </c>
      <c r="I388">
        <v>597.00599999999997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642.28</v>
      </c>
      <c r="S388">
        <v>957.89</v>
      </c>
      <c r="T388">
        <v>1433.69</v>
      </c>
      <c r="U388">
        <v>589.77</v>
      </c>
      <c r="V388">
        <v>727.22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f>SUMPRODUCT(DB_SOFProject[[#This Row],[Plan01]:[Plan12]],$E$4:$P$4)/valUnits2</f>
        <v>3.6042649999999998</v>
      </c>
      <c r="AD388">
        <f>SUMPRODUCT(DB_SOFProject[[#This Row],[Act01]:[Act12]],$Q$4:$AB$4)/valUnits2</f>
        <v>4.3508500000000003</v>
      </c>
      <c r="AE388">
        <f>DB_SOFProject[[#This Row],[Actual]]-DB_SOFProject[[#This Row],[Plan]]</f>
        <v>0.7465850000000005</v>
      </c>
      <c r="AF388" s="32">
        <f>IF(DB_SOFProject[[#This Row],[Plan]]&lt;&gt;0,DB_SOFProject[[#This Row],[Actual]]/DB_SOFProject[[#This Row],[Plan]],1.000011000011)</f>
        <v>1.2071393196671167</v>
      </c>
      <c r="AG388" s="34">
        <f>SUM(DB_SOFProject[[#This Row],[Plan01]:[Plan12]])/valUnits2</f>
        <v>3.6042649999999998</v>
      </c>
      <c r="AH388" s="34">
        <f>SUMPRODUCT(DB_SOFProject[[#This Row],[Act01]:[Act12]],$Q$3:$AB$3)/valUnits2</f>
        <v>4.3508500000000003</v>
      </c>
    </row>
    <row r="389" spans="2:34" x14ac:dyDescent="0.2">
      <c r="B389" t="s">
        <v>489</v>
      </c>
      <c r="C389" t="s">
        <v>919</v>
      </c>
      <c r="D389" t="s">
        <v>990</v>
      </c>
      <c r="H389">
        <v>202.42</v>
      </c>
      <c r="I389">
        <v>133.62100000000001</v>
      </c>
      <c r="T389">
        <v>198.5</v>
      </c>
      <c r="U389">
        <v>132</v>
      </c>
      <c r="AC389">
        <f>SUMPRODUCT(DB_SOFProject[[#This Row],[Plan01]:[Plan12]],$E$4:$P$4)/valUnits2</f>
        <v>0.33604099999999998</v>
      </c>
      <c r="AD389">
        <f>SUMPRODUCT(DB_SOFProject[[#This Row],[Act01]:[Act12]],$Q$4:$AB$4)/valUnits2</f>
        <v>0.33050000000000002</v>
      </c>
      <c r="AE389">
        <f>DB_SOFProject[[#This Row],[Actual]]-DB_SOFProject[[#This Row],[Plan]]</f>
        <v>-5.5409999999999626E-3</v>
      </c>
      <c r="AF389" s="32">
        <f>IF(DB_SOFProject[[#This Row],[Plan]]&lt;&gt;0,DB_SOFProject[[#This Row],[Actual]]/DB_SOFProject[[#This Row],[Plan]],1.000011000011)</f>
        <v>0.98351094062926858</v>
      </c>
      <c r="AG389" s="34">
        <f>SUM(DB_SOFProject[[#This Row],[Plan01]:[Plan12]])/valUnits2</f>
        <v>0.33604099999999998</v>
      </c>
      <c r="AH389" s="34">
        <f>SUMPRODUCT(DB_SOFProject[[#This Row],[Act01]:[Act12]],$Q$3:$AB$3)/valUnits2</f>
        <v>0.33050000000000002</v>
      </c>
    </row>
    <row r="390" spans="2:34" x14ac:dyDescent="0.2">
      <c r="B390" t="s">
        <v>489</v>
      </c>
      <c r="C390" t="s">
        <v>919</v>
      </c>
      <c r="D390" t="s">
        <v>998</v>
      </c>
      <c r="E390">
        <v>0</v>
      </c>
      <c r="F390">
        <v>662.97500000000002</v>
      </c>
      <c r="G390">
        <v>534.70399999999995</v>
      </c>
      <c r="H390">
        <v>665.68600000000004</v>
      </c>
      <c r="I390">
        <v>406.44099999999997</v>
      </c>
      <c r="J390">
        <v>552.30799999999999</v>
      </c>
      <c r="K390">
        <v>552.30799999999999</v>
      </c>
      <c r="L390">
        <v>552.30799999999999</v>
      </c>
      <c r="M390">
        <v>552.30799999999999</v>
      </c>
      <c r="N390">
        <v>552.30799999999999</v>
      </c>
      <c r="O390">
        <v>552.30799999999999</v>
      </c>
      <c r="P390">
        <v>552.30799999999999</v>
      </c>
      <c r="Q390">
        <v>0</v>
      </c>
      <c r="R390">
        <v>676.02</v>
      </c>
      <c r="S390">
        <v>538.53</v>
      </c>
      <c r="T390">
        <v>661.37</v>
      </c>
      <c r="U390">
        <v>402.58000000000004</v>
      </c>
      <c r="V390">
        <v>402.24</v>
      </c>
      <c r="W390">
        <v>1895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f>SUMPRODUCT(DB_SOFProject[[#This Row],[Plan01]:[Plan12]],$E$4:$P$4)/valUnits2</f>
        <v>2.822114</v>
      </c>
      <c r="AD390">
        <f>SUMPRODUCT(DB_SOFProject[[#This Row],[Act01]:[Act12]],$Q$4:$AB$4)/valUnits2</f>
        <v>2.6807399999999997</v>
      </c>
      <c r="AE390">
        <f>DB_SOFProject[[#This Row],[Actual]]-DB_SOFProject[[#This Row],[Plan]]</f>
        <v>-0.14137400000000033</v>
      </c>
      <c r="AF390" s="32">
        <f>IF(DB_SOFProject[[#This Row],[Plan]]&lt;&gt;0,DB_SOFProject[[#This Row],[Actual]]/DB_SOFProject[[#This Row],[Plan]],1.000011000011)</f>
        <v>0.94990492942524629</v>
      </c>
      <c r="AG390" s="34">
        <f>SUM(DB_SOFProject[[#This Row],[Plan01]:[Plan12]])/valUnits2</f>
        <v>6.1359620000000001</v>
      </c>
      <c r="AH390" s="34">
        <f>SUMPRODUCT(DB_SOFProject[[#This Row],[Act01]:[Act12]],$Q$3:$AB$3)/valUnits2</f>
        <v>2.6807399999999997</v>
      </c>
    </row>
    <row r="391" spans="2:34" x14ac:dyDescent="0.2">
      <c r="B391" t="s">
        <v>489</v>
      </c>
      <c r="C391" t="s">
        <v>919</v>
      </c>
      <c r="D391" t="s">
        <v>999</v>
      </c>
      <c r="E391">
        <v>0</v>
      </c>
      <c r="F391">
        <v>1146.6559999999999</v>
      </c>
      <c r="G391">
        <v>1323.0130000000001</v>
      </c>
      <c r="H391">
        <v>2395.5709999999999</v>
      </c>
      <c r="I391">
        <v>0</v>
      </c>
      <c r="J391">
        <v>821.96500000000003</v>
      </c>
      <c r="K391">
        <v>821.96500000000003</v>
      </c>
      <c r="L391">
        <v>821.96500000000003</v>
      </c>
      <c r="M391">
        <v>821.96500000000003</v>
      </c>
      <c r="N391">
        <v>821.96500000000003</v>
      </c>
      <c r="O391">
        <v>821.96500000000003</v>
      </c>
      <c r="P391">
        <v>821.96500000000003</v>
      </c>
      <c r="Q391">
        <v>0</v>
      </c>
      <c r="R391">
        <v>1170.7</v>
      </c>
      <c r="S391">
        <v>1334.9899999999998</v>
      </c>
      <c r="T391">
        <v>2398.27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f>SUMPRODUCT(DB_SOFProject[[#This Row],[Plan01]:[Plan12]],$E$4:$P$4)/valUnits2</f>
        <v>5.6872049999999996</v>
      </c>
      <c r="AD391">
        <f>SUMPRODUCT(DB_SOFProject[[#This Row],[Act01]:[Act12]],$Q$4:$AB$4)/valUnits2</f>
        <v>4.9039599999999988</v>
      </c>
      <c r="AE391">
        <f>DB_SOFProject[[#This Row],[Actual]]-DB_SOFProject[[#This Row],[Plan]]</f>
        <v>-0.78324500000000086</v>
      </c>
      <c r="AF391" s="32">
        <f>IF(DB_SOFProject[[#This Row],[Plan]]&lt;&gt;0,DB_SOFProject[[#This Row],[Actual]]/DB_SOFProject[[#This Row],[Plan]],1.000011000011)</f>
        <v>0.86227945009895002</v>
      </c>
      <c r="AG391" s="34">
        <f>SUM(DB_SOFProject[[#This Row],[Plan01]:[Plan12]])/valUnits2</f>
        <v>10.618995</v>
      </c>
      <c r="AH391" s="34">
        <f>SUMPRODUCT(DB_SOFProject[[#This Row],[Act01]:[Act12]],$Q$3:$AB$3)/valUnits2</f>
        <v>4.9039599999999988</v>
      </c>
    </row>
    <row r="392" spans="2:34" x14ac:dyDescent="0.2">
      <c r="B392" t="s">
        <v>489</v>
      </c>
      <c r="C392" t="s">
        <v>920</v>
      </c>
      <c r="D392" t="s">
        <v>975</v>
      </c>
      <c r="J392">
        <v>0</v>
      </c>
      <c r="V392">
        <v>3898.23</v>
      </c>
      <c r="AC392">
        <f>SUMPRODUCT(DB_SOFProject[[#This Row],[Plan01]:[Plan12]],$E$4:$P$4)/valUnits2</f>
        <v>0</v>
      </c>
      <c r="AD392">
        <f>SUMPRODUCT(DB_SOFProject[[#This Row],[Act01]:[Act12]],$Q$4:$AB$4)/valUnits2</f>
        <v>3.8982299999999999</v>
      </c>
      <c r="AE392">
        <f>DB_SOFProject[[#This Row],[Actual]]-DB_SOFProject[[#This Row],[Plan]]</f>
        <v>3.8982299999999999</v>
      </c>
      <c r="AF392" s="32">
        <f>IF(DB_SOFProject[[#This Row],[Plan]]&lt;&gt;0,DB_SOFProject[[#This Row],[Actual]]/DB_SOFProject[[#This Row],[Plan]],1.000011000011)</f>
        <v>1.0000110000110001</v>
      </c>
      <c r="AG392" s="34">
        <f>SUM(DB_SOFProject[[#This Row],[Plan01]:[Plan12]])/valUnits2</f>
        <v>0</v>
      </c>
      <c r="AH392" s="34">
        <f>SUMPRODUCT(DB_SOFProject[[#This Row],[Act01]:[Act12]],$Q$3:$AB$3)/valUnits2</f>
        <v>3.8982299999999999</v>
      </c>
    </row>
    <row r="393" spans="2:34" x14ac:dyDescent="0.2">
      <c r="B393" t="s">
        <v>489</v>
      </c>
      <c r="C393" t="s">
        <v>921</v>
      </c>
      <c r="D393" t="s">
        <v>946</v>
      </c>
      <c r="E393">
        <v>1.3660000000000001</v>
      </c>
      <c r="Q393">
        <v>1.36</v>
      </c>
      <c r="AC393">
        <f>SUMPRODUCT(DB_SOFProject[[#This Row],[Plan01]:[Plan12]],$E$4:$P$4)/valUnits2</f>
        <v>1.366E-3</v>
      </c>
      <c r="AD393">
        <f>SUMPRODUCT(DB_SOFProject[[#This Row],[Act01]:[Act12]],$Q$4:$AB$4)/valUnits2</f>
        <v>1.3600000000000001E-3</v>
      </c>
      <c r="AE393">
        <f>DB_SOFProject[[#This Row],[Actual]]-DB_SOFProject[[#This Row],[Plan]]</f>
        <v>-5.999999999999929E-6</v>
      </c>
      <c r="AF393" s="32">
        <f>IF(DB_SOFProject[[#This Row],[Plan]]&lt;&gt;0,DB_SOFProject[[#This Row],[Actual]]/DB_SOFProject[[#This Row],[Plan]],1.000011000011)</f>
        <v>0.99560761346998539</v>
      </c>
      <c r="AG393" s="34">
        <f>SUM(DB_SOFProject[[#This Row],[Plan01]:[Plan12]])/valUnits2</f>
        <v>1.366E-3</v>
      </c>
      <c r="AH393" s="34">
        <f>SUMPRODUCT(DB_SOFProject[[#This Row],[Act01]:[Act12]],$Q$3:$AB$3)/valUnits2</f>
        <v>1.3600000000000001E-3</v>
      </c>
    </row>
    <row r="394" spans="2:34" x14ac:dyDescent="0.2">
      <c r="B394" t="s">
        <v>489</v>
      </c>
      <c r="C394" t="s">
        <v>921</v>
      </c>
      <c r="D394" t="s">
        <v>947</v>
      </c>
      <c r="E394">
        <v>55.013000000000005</v>
      </c>
      <c r="F394">
        <v>17.863</v>
      </c>
      <c r="G394">
        <v>13.076000000000001</v>
      </c>
      <c r="Q394">
        <v>55.009999999999991</v>
      </c>
      <c r="R394">
        <v>17.71</v>
      </c>
      <c r="S394">
        <v>12.98</v>
      </c>
      <c r="AC394">
        <f>SUMPRODUCT(DB_SOFProject[[#This Row],[Plan01]:[Plan12]],$E$4:$P$4)/valUnits2</f>
        <v>8.5952000000000001E-2</v>
      </c>
      <c r="AD394">
        <f>SUMPRODUCT(DB_SOFProject[[#This Row],[Act01]:[Act12]],$Q$4:$AB$4)/valUnits2</f>
        <v>8.5699999999999998E-2</v>
      </c>
      <c r="AE394">
        <f>DB_SOFProject[[#This Row],[Actual]]-DB_SOFProject[[#This Row],[Plan]]</f>
        <v>-2.5200000000000222E-4</v>
      </c>
      <c r="AF394" s="32">
        <f>IF(DB_SOFProject[[#This Row],[Plan]]&lt;&gt;0,DB_SOFProject[[#This Row],[Actual]]/DB_SOFProject[[#This Row],[Plan]],1.000011000011)</f>
        <v>0.99706813104988823</v>
      </c>
      <c r="AG394" s="34">
        <f>SUM(DB_SOFProject[[#This Row],[Plan01]:[Plan12]])/valUnits2</f>
        <v>8.5952000000000001E-2</v>
      </c>
      <c r="AH394" s="34">
        <f>SUMPRODUCT(DB_SOFProject[[#This Row],[Act01]:[Act12]],$Q$3:$AB$3)/valUnits2</f>
        <v>8.5699999999999998E-2</v>
      </c>
    </row>
    <row r="395" spans="2:34" x14ac:dyDescent="0.2">
      <c r="B395" t="s">
        <v>489</v>
      </c>
      <c r="C395" t="s">
        <v>921</v>
      </c>
      <c r="D395" t="s">
        <v>959</v>
      </c>
      <c r="E395">
        <v>0</v>
      </c>
      <c r="F395">
        <v>586.76400000000001</v>
      </c>
      <c r="G395">
        <v>683.49900000000002</v>
      </c>
      <c r="I395">
        <v>352.012</v>
      </c>
      <c r="Q395">
        <v>0</v>
      </c>
      <c r="R395">
        <v>586.76</v>
      </c>
      <c r="S395">
        <v>679.07</v>
      </c>
      <c r="U395">
        <v>353.68</v>
      </c>
      <c r="AC395">
        <f>SUMPRODUCT(DB_SOFProject[[#This Row],[Plan01]:[Plan12]],$E$4:$P$4)/valUnits2</f>
        <v>1.6222749999999999</v>
      </c>
      <c r="AD395">
        <f>SUMPRODUCT(DB_SOFProject[[#This Row],[Act01]:[Act12]],$Q$4:$AB$4)/valUnits2</f>
        <v>1.61951</v>
      </c>
      <c r="AE395">
        <f>DB_SOFProject[[#This Row],[Actual]]-DB_SOFProject[[#This Row],[Plan]]</f>
        <v>-2.7649999999999064E-3</v>
      </c>
      <c r="AF395" s="32">
        <f>IF(DB_SOFProject[[#This Row],[Plan]]&lt;&gt;0,DB_SOFProject[[#This Row],[Actual]]/DB_SOFProject[[#This Row],[Plan]],1.000011000011)</f>
        <v>0.99829560339646495</v>
      </c>
      <c r="AG395" s="34">
        <f>SUM(DB_SOFProject[[#This Row],[Plan01]:[Plan12]])/valUnits2</f>
        <v>1.6222749999999999</v>
      </c>
      <c r="AH395" s="34">
        <f>SUMPRODUCT(DB_SOFProject[[#This Row],[Act01]:[Act12]],$Q$3:$AB$3)/valUnits2</f>
        <v>1.61951</v>
      </c>
    </row>
    <row r="396" spans="2:34" x14ac:dyDescent="0.2">
      <c r="B396" t="s">
        <v>489</v>
      </c>
      <c r="C396" t="s">
        <v>921</v>
      </c>
      <c r="D396" t="s">
        <v>975</v>
      </c>
      <c r="E396">
        <v>81.001999999999995</v>
      </c>
      <c r="F396">
        <v>131.036</v>
      </c>
      <c r="G396">
        <v>189.63300000000001</v>
      </c>
      <c r="H396">
        <v>249.17100000000002</v>
      </c>
      <c r="I396">
        <v>17.134</v>
      </c>
      <c r="Q396">
        <v>80.97</v>
      </c>
      <c r="R396">
        <v>130.6</v>
      </c>
      <c r="S396">
        <v>188.67000000000002</v>
      </c>
      <c r="T396">
        <v>271.75999999999993</v>
      </c>
      <c r="U396">
        <v>17.209999999999997</v>
      </c>
      <c r="AC396">
        <f>SUMPRODUCT(DB_SOFProject[[#This Row],[Plan01]:[Plan12]],$E$4:$P$4)/valUnits2</f>
        <v>0.66797600000000013</v>
      </c>
      <c r="AD396">
        <f>SUMPRODUCT(DB_SOFProject[[#This Row],[Act01]:[Act12]],$Q$4:$AB$4)/valUnits2</f>
        <v>0.68920999999999999</v>
      </c>
      <c r="AE396">
        <f>DB_SOFProject[[#This Row],[Actual]]-DB_SOFProject[[#This Row],[Plan]]</f>
        <v>2.1233999999999864E-2</v>
      </c>
      <c r="AF396" s="32">
        <f>IF(DB_SOFProject[[#This Row],[Plan]]&lt;&gt;0,DB_SOFProject[[#This Row],[Actual]]/DB_SOFProject[[#This Row],[Plan]],1.000011000011)</f>
        <v>1.0317885672539131</v>
      </c>
      <c r="AG396" s="34">
        <f>SUM(DB_SOFProject[[#This Row],[Plan01]:[Plan12]])/valUnits2</f>
        <v>0.66797600000000013</v>
      </c>
      <c r="AH396" s="34">
        <f>SUMPRODUCT(DB_SOFProject[[#This Row],[Act01]:[Act12]],$Q$3:$AB$3)/valUnits2</f>
        <v>0.68920999999999999</v>
      </c>
    </row>
    <row r="397" spans="2:34" x14ac:dyDescent="0.2">
      <c r="B397" t="s">
        <v>489</v>
      </c>
      <c r="C397" t="s">
        <v>921</v>
      </c>
      <c r="D397" t="s">
        <v>980</v>
      </c>
      <c r="E397">
        <v>0</v>
      </c>
      <c r="F397">
        <v>1.6910000000000001</v>
      </c>
      <c r="G397">
        <v>0.09</v>
      </c>
      <c r="Q397">
        <v>0</v>
      </c>
      <c r="R397">
        <v>1.68</v>
      </c>
      <c r="S397">
        <v>0.09</v>
      </c>
      <c r="AC397">
        <f>SUMPRODUCT(DB_SOFProject[[#This Row],[Plan01]:[Plan12]],$E$4:$P$4)/valUnits2</f>
        <v>1.781E-3</v>
      </c>
      <c r="AD397">
        <f>SUMPRODUCT(DB_SOFProject[[#This Row],[Act01]:[Act12]],$Q$4:$AB$4)/valUnits2</f>
        <v>1.7700000000000001E-3</v>
      </c>
      <c r="AE397">
        <f>DB_SOFProject[[#This Row],[Actual]]-DB_SOFProject[[#This Row],[Plan]]</f>
        <v>-1.0999999999999942E-5</v>
      </c>
      <c r="AF397" s="32">
        <f>IF(DB_SOFProject[[#This Row],[Plan]]&lt;&gt;0,DB_SOFProject[[#This Row],[Actual]]/DB_SOFProject[[#This Row],[Plan]],1.000011000011)</f>
        <v>0.99382369455362163</v>
      </c>
      <c r="AG397" s="34">
        <f>SUM(DB_SOFProject[[#This Row],[Plan01]:[Plan12]])/valUnits2</f>
        <v>1.781E-3</v>
      </c>
      <c r="AH397" s="34">
        <f>SUMPRODUCT(DB_SOFProject[[#This Row],[Act01]:[Act12]],$Q$3:$AB$3)/valUnits2</f>
        <v>1.7700000000000001E-3</v>
      </c>
    </row>
    <row r="398" spans="2:34" x14ac:dyDescent="0.2">
      <c r="B398" t="s">
        <v>489</v>
      </c>
      <c r="C398" t="s">
        <v>921</v>
      </c>
      <c r="D398" t="s">
        <v>999</v>
      </c>
      <c r="E398">
        <v>0</v>
      </c>
      <c r="F398">
        <v>108.074</v>
      </c>
      <c r="G398">
        <v>1.1019999999999999</v>
      </c>
      <c r="H398">
        <v>2.226</v>
      </c>
      <c r="Q398">
        <v>0</v>
      </c>
      <c r="R398">
        <v>106.52</v>
      </c>
      <c r="S398">
        <v>1.0899999999999999</v>
      </c>
      <c r="T398">
        <v>2.2400000000000002</v>
      </c>
      <c r="AC398">
        <f>SUMPRODUCT(DB_SOFProject[[#This Row],[Plan01]:[Plan12]],$E$4:$P$4)/valUnits2</f>
        <v>0.111402</v>
      </c>
      <c r="AD398">
        <f>SUMPRODUCT(DB_SOFProject[[#This Row],[Act01]:[Act12]],$Q$4:$AB$4)/valUnits2</f>
        <v>0.10984999999999999</v>
      </c>
      <c r="AE398">
        <f>DB_SOFProject[[#This Row],[Actual]]-DB_SOFProject[[#This Row],[Plan]]</f>
        <v>-1.5520000000000117E-3</v>
      </c>
      <c r="AF398" s="32">
        <f>IF(DB_SOFProject[[#This Row],[Plan]]&lt;&gt;0,DB_SOFProject[[#This Row],[Actual]]/DB_SOFProject[[#This Row],[Plan]],1.000011000011)</f>
        <v>0.98606847273837084</v>
      </c>
      <c r="AG398" s="34">
        <f>SUM(DB_SOFProject[[#This Row],[Plan01]:[Plan12]])/valUnits2</f>
        <v>0.111402</v>
      </c>
      <c r="AH398" s="34">
        <f>SUMPRODUCT(DB_SOFProject[[#This Row],[Act01]:[Act12]],$Q$3:$AB$3)/valUnits2</f>
        <v>0.10984999999999999</v>
      </c>
    </row>
    <row r="399" spans="2:34" x14ac:dyDescent="0.2">
      <c r="B399" t="s">
        <v>489</v>
      </c>
      <c r="C399" t="s">
        <v>922</v>
      </c>
      <c r="D399" t="s">
        <v>946</v>
      </c>
      <c r="E399">
        <v>3.5289999999999999</v>
      </c>
      <c r="Q399">
        <v>3.42</v>
      </c>
      <c r="AC399">
        <f>SUMPRODUCT(DB_SOFProject[[#This Row],[Plan01]:[Plan12]],$E$4:$P$4)/valUnits2</f>
        <v>3.529E-3</v>
      </c>
      <c r="AD399">
        <f>SUMPRODUCT(DB_SOFProject[[#This Row],[Act01]:[Act12]],$Q$4:$AB$4)/valUnits2</f>
        <v>3.4199999999999999E-3</v>
      </c>
      <c r="AE399">
        <f>DB_SOFProject[[#This Row],[Actual]]-DB_SOFProject[[#This Row],[Plan]]</f>
        <v>-1.0900000000000016E-4</v>
      </c>
      <c r="AF399" s="32">
        <f>IF(DB_SOFProject[[#This Row],[Plan]]&lt;&gt;0,DB_SOFProject[[#This Row],[Actual]]/DB_SOFProject[[#This Row],[Plan]],1.000011000011)</f>
        <v>0.96911306319070556</v>
      </c>
      <c r="AG399" s="34">
        <f>SUM(DB_SOFProject[[#This Row],[Plan01]:[Plan12]])/valUnits2</f>
        <v>3.529E-3</v>
      </c>
      <c r="AH399" s="34">
        <f>SUMPRODUCT(DB_SOFProject[[#This Row],[Act01]:[Act12]],$Q$3:$AB$3)/valUnits2</f>
        <v>3.4199999999999999E-3</v>
      </c>
    </row>
    <row r="400" spans="2:34" x14ac:dyDescent="0.2">
      <c r="B400" t="s">
        <v>489</v>
      </c>
      <c r="C400" t="s">
        <v>922</v>
      </c>
      <c r="D400" t="s">
        <v>947</v>
      </c>
      <c r="E400">
        <v>95.248000000000005</v>
      </c>
      <c r="F400">
        <v>16.974</v>
      </c>
      <c r="I400">
        <v>23.42</v>
      </c>
      <c r="J400">
        <v>0</v>
      </c>
      <c r="Q400">
        <v>93.84</v>
      </c>
      <c r="R400">
        <v>17.329999999999998</v>
      </c>
      <c r="U400">
        <v>23.48</v>
      </c>
      <c r="V400">
        <v>21.14</v>
      </c>
      <c r="AC400">
        <f>SUMPRODUCT(DB_SOFProject[[#This Row],[Plan01]:[Plan12]],$E$4:$P$4)/valUnits2</f>
        <v>0.13564199999999998</v>
      </c>
      <c r="AD400">
        <f>SUMPRODUCT(DB_SOFProject[[#This Row],[Act01]:[Act12]],$Q$4:$AB$4)/valUnits2</f>
        <v>0.15579000000000001</v>
      </c>
      <c r="AE400">
        <f>DB_SOFProject[[#This Row],[Actual]]-DB_SOFProject[[#This Row],[Plan]]</f>
        <v>2.0148000000000027E-2</v>
      </c>
      <c r="AF400" s="32">
        <f>IF(DB_SOFProject[[#This Row],[Plan]]&lt;&gt;0,DB_SOFProject[[#This Row],[Actual]]/DB_SOFProject[[#This Row],[Plan]],1.000011000011)</f>
        <v>1.1485380634316806</v>
      </c>
      <c r="AG400" s="34">
        <f>SUM(DB_SOFProject[[#This Row],[Plan01]:[Plan12]])/valUnits2</f>
        <v>0.13564199999999998</v>
      </c>
      <c r="AH400" s="34">
        <f>SUMPRODUCT(DB_SOFProject[[#This Row],[Act01]:[Act12]],$Q$3:$AB$3)/valUnits2</f>
        <v>0.15579000000000001</v>
      </c>
    </row>
    <row r="401" spans="2:34" x14ac:dyDescent="0.2">
      <c r="B401" t="s">
        <v>489</v>
      </c>
      <c r="C401" t="s">
        <v>922</v>
      </c>
      <c r="D401" t="s">
        <v>959</v>
      </c>
      <c r="E401">
        <v>0</v>
      </c>
      <c r="F401">
        <v>123.95099999999999</v>
      </c>
      <c r="G401">
        <v>156.87</v>
      </c>
      <c r="H401">
        <v>843.38800000000003</v>
      </c>
      <c r="I401">
        <v>337.50099999999998</v>
      </c>
      <c r="J401">
        <v>257.81799999999998</v>
      </c>
      <c r="K401">
        <v>257.81799999999998</v>
      </c>
      <c r="L401">
        <v>257.81799999999998</v>
      </c>
      <c r="M401">
        <v>257.81799999999998</v>
      </c>
      <c r="N401">
        <v>257.81799999999998</v>
      </c>
      <c r="O401">
        <v>257.81799999999998</v>
      </c>
      <c r="P401">
        <v>257.81799999999998</v>
      </c>
      <c r="Q401">
        <v>0</v>
      </c>
      <c r="R401">
        <v>126.55</v>
      </c>
      <c r="S401">
        <v>158.29</v>
      </c>
      <c r="T401">
        <v>844.44999999999993</v>
      </c>
      <c r="U401">
        <v>333.40999999999997</v>
      </c>
      <c r="V401">
        <v>395.32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f>SUMPRODUCT(DB_SOFProject[[#This Row],[Plan01]:[Plan12]],$E$4:$P$4)/valUnits2</f>
        <v>1.7195279999999999</v>
      </c>
      <c r="AD401">
        <f>SUMPRODUCT(DB_SOFProject[[#This Row],[Act01]:[Act12]],$Q$4:$AB$4)/valUnits2</f>
        <v>1.8580199999999998</v>
      </c>
      <c r="AE401">
        <f>DB_SOFProject[[#This Row],[Actual]]-DB_SOFProject[[#This Row],[Plan]]</f>
        <v>0.13849199999999984</v>
      </c>
      <c r="AF401" s="32">
        <f>IF(DB_SOFProject[[#This Row],[Plan]]&lt;&gt;0,DB_SOFProject[[#This Row],[Actual]]/DB_SOFProject[[#This Row],[Plan]],1.000011000011)</f>
        <v>1.0805407065194634</v>
      </c>
      <c r="AG401" s="34">
        <f>SUM(DB_SOFProject[[#This Row],[Plan01]:[Plan12]])/valUnits2</f>
        <v>3.2664360000000006</v>
      </c>
      <c r="AH401" s="34">
        <f>SUMPRODUCT(DB_SOFProject[[#This Row],[Act01]:[Act12]],$Q$3:$AB$3)/valUnits2</f>
        <v>1.8580199999999998</v>
      </c>
    </row>
    <row r="402" spans="2:34" x14ac:dyDescent="0.2">
      <c r="B402" t="s">
        <v>489</v>
      </c>
      <c r="C402" t="s">
        <v>922</v>
      </c>
      <c r="D402" t="s">
        <v>975</v>
      </c>
      <c r="E402">
        <v>55.643000000000001</v>
      </c>
      <c r="F402">
        <v>308.58799999999997</v>
      </c>
      <c r="G402">
        <v>522.86900000000003</v>
      </c>
      <c r="H402">
        <v>266.71699999999998</v>
      </c>
      <c r="I402">
        <v>354.50700000000001</v>
      </c>
      <c r="J402">
        <v>430.42000000000007</v>
      </c>
      <c r="K402">
        <v>430.42000000000007</v>
      </c>
      <c r="L402">
        <v>430.42000000000007</v>
      </c>
      <c r="M402">
        <v>430.42000000000007</v>
      </c>
      <c r="N402">
        <v>430.42000000000007</v>
      </c>
      <c r="O402">
        <v>430.42000000000007</v>
      </c>
      <c r="P402">
        <v>430.42000000000007</v>
      </c>
      <c r="Q402">
        <v>53.959999999999994</v>
      </c>
      <c r="R402">
        <v>315.83</v>
      </c>
      <c r="S402">
        <v>531.63</v>
      </c>
      <c r="T402">
        <v>320.43</v>
      </c>
      <c r="U402">
        <v>355.0200000000001</v>
      </c>
      <c r="V402">
        <v>343.7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f>SUMPRODUCT(DB_SOFProject[[#This Row],[Plan01]:[Plan12]],$E$4:$P$4)/valUnits2</f>
        <v>1.9387440000000002</v>
      </c>
      <c r="AD402">
        <f>SUMPRODUCT(DB_SOFProject[[#This Row],[Act01]:[Act12]],$Q$4:$AB$4)/valUnits2</f>
        <v>1.9205699999999999</v>
      </c>
      <c r="AE402">
        <f>DB_SOFProject[[#This Row],[Actual]]-DB_SOFProject[[#This Row],[Plan]]</f>
        <v>-1.8174000000000357E-2</v>
      </c>
      <c r="AF402" s="32">
        <f>IF(DB_SOFProject[[#This Row],[Plan]]&lt;&gt;0,DB_SOFProject[[#This Row],[Actual]]/DB_SOFProject[[#This Row],[Plan]],1.000011000011)</f>
        <v>0.99062588975130272</v>
      </c>
      <c r="AG402" s="34">
        <f>SUM(DB_SOFProject[[#This Row],[Plan01]:[Plan12]])/valUnits2</f>
        <v>4.5212640000000013</v>
      </c>
      <c r="AH402" s="34">
        <f>SUMPRODUCT(DB_SOFProject[[#This Row],[Act01]:[Act12]],$Q$3:$AB$3)/valUnits2</f>
        <v>1.9205699999999999</v>
      </c>
    </row>
    <row r="403" spans="2:34" x14ac:dyDescent="0.2">
      <c r="B403" t="s">
        <v>489</v>
      </c>
      <c r="C403" t="s">
        <v>922</v>
      </c>
      <c r="D403" t="s">
        <v>980</v>
      </c>
      <c r="E403">
        <v>0</v>
      </c>
      <c r="F403">
        <v>4.0919999999999996</v>
      </c>
      <c r="G403">
        <v>0.215</v>
      </c>
      <c r="H403">
        <v>0</v>
      </c>
      <c r="I403">
        <v>0</v>
      </c>
      <c r="J403">
        <v>156.083</v>
      </c>
      <c r="K403">
        <v>156.083</v>
      </c>
      <c r="L403">
        <v>156.083</v>
      </c>
      <c r="M403">
        <v>156.083</v>
      </c>
      <c r="N403">
        <v>156.083</v>
      </c>
      <c r="O403">
        <v>156.083</v>
      </c>
      <c r="P403">
        <v>156.083</v>
      </c>
      <c r="Q403">
        <v>0</v>
      </c>
      <c r="R403">
        <v>4.2300000000000004</v>
      </c>
      <c r="S403">
        <v>0.22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f>SUMPRODUCT(DB_SOFProject[[#This Row],[Plan01]:[Plan12]],$E$4:$P$4)/valUnits2</f>
        <v>0.16038999999999998</v>
      </c>
      <c r="AD403">
        <f>SUMPRODUCT(DB_SOFProject[[#This Row],[Act01]:[Act12]],$Q$4:$AB$4)/valUnits2</f>
        <v>4.45E-3</v>
      </c>
      <c r="AE403">
        <f>DB_SOFProject[[#This Row],[Actual]]-DB_SOFProject[[#This Row],[Plan]]</f>
        <v>-0.15593999999999997</v>
      </c>
      <c r="AF403" s="32">
        <f>IF(DB_SOFProject[[#This Row],[Plan]]&lt;&gt;0,DB_SOFProject[[#This Row],[Actual]]/DB_SOFProject[[#This Row],[Plan]],1.000011000011)</f>
        <v>2.7744871874805167E-2</v>
      </c>
      <c r="AG403" s="34">
        <f>SUM(DB_SOFProject[[#This Row],[Plan01]:[Plan12]])/valUnits2</f>
        <v>1.0968879999999999</v>
      </c>
      <c r="AH403" s="34">
        <f>SUMPRODUCT(DB_SOFProject[[#This Row],[Act01]:[Act12]],$Q$3:$AB$3)/valUnits2</f>
        <v>4.45E-3</v>
      </c>
    </row>
    <row r="404" spans="2:34" x14ac:dyDescent="0.2">
      <c r="B404" t="s">
        <v>489</v>
      </c>
      <c r="C404" t="s">
        <v>922</v>
      </c>
      <c r="D404" t="s">
        <v>999</v>
      </c>
      <c r="E404">
        <v>386.62700000000001</v>
      </c>
      <c r="F404">
        <v>0</v>
      </c>
      <c r="G404">
        <v>2.7160000000000002</v>
      </c>
      <c r="H404">
        <v>23.036000000000001</v>
      </c>
      <c r="I404">
        <v>11.99</v>
      </c>
      <c r="J404">
        <v>818.23299999999995</v>
      </c>
      <c r="K404">
        <v>818.23299999999995</v>
      </c>
      <c r="L404">
        <v>818.23299999999995</v>
      </c>
      <c r="M404">
        <v>818.23299999999995</v>
      </c>
      <c r="N404">
        <v>818.23299999999995</v>
      </c>
      <c r="O404">
        <v>818.23299999999995</v>
      </c>
      <c r="P404">
        <v>818.23299999999995</v>
      </c>
      <c r="Q404">
        <v>380.90999999999997</v>
      </c>
      <c r="R404">
        <v>0</v>
      </c>
      <c r="S404">
        <v>2.77</v>
      </c>
      <c r="T404">
        <v>23.04</v>
      </c>
      <c r="U404">
        <v>11.969999999999999</v>
      </c>
      <c r="V404">
        <v>1.9000000000000001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f>SUMPRODUCT(DB_SOFProject[[#This Row],[Plan01]:[Plan12]],$E$4:$P$4)/valUnits2</f>
        <v>1.2426019999999998</v>
      </c>
      <c r="AD404">
        <f>SUMPRODUCT(DB_SOFProject[[#This Row],[Act01]:[Act12]],$Q$4:$AB$4)/valUnits2</f>
        <v>0.42058999999999991</v>
      </c>
      <c r="AE404">
        <f>DB_SOFProject[[#This Row],[Actual]]-DB_SOFProject[[#This Row],[Plan]]</f>
        <v>-0.82201199999999985</v>
      </c>
      <c r="AF404" s="32">
        <f>IF(DB_SOFProject[[#This Row],[Plan]]&lt;&gt;0,DB_SOFProject[[#This Row],[Actual]]/DB_SOFProject[[#This Row],[Plan]],1.000011000011)</f>
        <v>0.33847523181195588</v>
      </c>
      <c r="AG404" s="34">
        <f>SUM(DB_SOFProject[[#This Row],[Plan01]:[Plan12]])/valUnits2</f>
        <v>6.152000000000001</v>
      </c>
      <c r="AH404" s="34">
        <f>SUMPRODUCT(DB_SOFProject[[#This Row],[Act01]:[Act12]],$Q$3:$AB$3)/valUnits2</f>
        <v>0.42058999999999991</v>
      </c>
    </row>
    <row r="405" spans="2:34" x14ac:dyDescent="0.2">
      <c r="B405" t="s">
        <v>489</v>
      </c>
      <c r="C405" t="s">
        <v>924</v>
      </c>
      <c r="D405" t="s">
        <v>946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184.54399999999998</v>
      </c>
      <c r="K405">
        <v>184.54399999999998</v>
      </c>
      <c r="L405">
        <v>184.54399999999998</v>
      </c>
      <c r="M405">
        <v>184.54399999999998</v>
      </c>
      <c r="N405">
        <v>184.54399999999998</v>
      </c>
      <c r="O405">
        <v>184.54399999999998</v>
      </c>
      <c r="P405">
        <v>184.54399999999998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f>SUMPRODUCT(DB_SOFProject[[#This Row],[Plan01]:[Plan12]],$E$4:$P$4)/valUnits2</f>
        <v>0.18454399999999999</v>
      </c>
      <c r="AD405">
        <f>SUMPRODUCT(DB_SOFProject[[#This Row],[Act01]:[Act12]],$Q$4:$AB$4)/valUnits2</f>
        <v>0</v>
      </c>
      <c r="AE405">
        <f>DB_SOFProject[[#This Row],[Actual]]-DB_SOFProject[[#This Row],[Plan]]</f>
        <v>-0.18454399999999999</v>
      </c>
      <c r="AF405" s="32">
        <f>IF(DB_SOFProject[[#This Row],[Plan]]&lt;&gt;0,DB_SOFProject[[#This Row],[Actual]]/DB_SOFProject[[#This Row],[Plan]],1.000011000011)</f>
        <v>0</v>
      </c>
      <c r="AG405" s="34">
        <f>SUM(DB_SOFProject[[#This Row],[Plan01]:[Plan12]])/valUnits2</f>
        <v>1.2918080000000001</v>
      </c>
      <c r="AH405" s="34">
        <f>SUMPRODUCT(DB_SOFProject[[#This Row],[Act01]:[Act12]],$Q$3:$AB$3)/valUnits2</f>
        <v>0</v>
      </c>
    </row>
    <row r="406" spans="2:34" x14ac:dyDescent="0.2">
      <c r="B406" t="s">
        <v>489</v>
      </c>
      <c r="C406" t="s">
        <v>924</v>
      </c>
      <c r="D406" t="s">
        <v>959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369.08800000000002</v>
      </c>
      <c r="K406">
        <v>369.08800000000002</v>
      </c>
      <c r="L406">
        <v>369.08800000000002</v>
      </c>
      <c r="M406">
        <v>369.08800000000002</v>
      </c>
      <c r="N406">
        <v>369.08800000000002</v>
      </c>
      <c r="O406">
        <v>369.08800000000002</v>
      </c>
      <c r="P406">
        <v>369.08800000000002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f>SUMPRODUCT(DB_SOFProject[[#This Row],[Plan01]:[Plan12]],$E$4:$P$4)/valUnits2</f>
        <v>0.36908800000000003</v>
      </c>
      <c r="AD406">
        <f>SUMPRODUCT(DB_SOFProject[[#This Row],[Act01]:[Act12]],$Q$4:$AB$4)/valUnits2</f>
        <v>0</v>
      </c>
      <c r="AE406">
        <f>DB_SOFProject[[#This Row],[Actual]]-DB_SOFProject[[#This Row],[Plan]]</f>
        <v>-0.36908800000000003</v>
      </c>
      <c r="AF406" s="32">
        <f>IF(DB_SOFProject[[#This Row],[Plan]]&lt;&gt;0,DB_SOFProject[[#This Row],[Actual]]/DB_SOFProject[[#This Row],[Plan]],1.000011000011)</f>
        <v>0</v>
      </c>
      <c r="AG406" s="34">
        <f>SUM(DB_SOFProject[[#This Row],[Plan01]:[Plan12]])/valUnits2</f>
        <v>2.5836160000000006</v>
      </c>
      <c r="AH406" s="34">
        <f>SUMPRODUCT(DB_SOFProject[[#This Row],[Act01]:[Act12]],$Q$3:$AB$3)/valUnits2</f>
        <v>0</v>
      </c>
    </row>
    <row r="407" spans="2:34" x14ac:dyDescent="0.2">
      <c r="B407" t="s">
        <v>489</v>
      </c>
      <c r="C407" t="s">
        <v>924</v>
      </c>
      <c r="D407" t="s">
        <v>975</v>
      </c>
      <c r="E407">
        <v>0</v>
      </c>
      <c r="F407">
        <v>0</v>
      </c>
      <c r="G407">
        <v>0</v>
      </c>
      <c r="H407">
        <v>1007.609</v>
      </c>
      <c r="I407">
        <v>355.053</v>
      </c>
      <c r="J407">
        <v>618.24400000000003</v>
      </c>
      <c r="K407">
        <v>618.24400000000003</v>
      </c>
      <c r="L407">
        <v>618.24400000000003</v>
      </c>
      <c r="M407">
        <v>618.24400000000003</v>
      </c>
      <c r="N407">
        <v>618.24400000000003</v>
      </c>
      <c r="O407">
        <v>618.24400000000003</v>
      </c>
      <c r="P407">
        <v>618.24400000000003</v>
      </c>
      <c r="Q407">
        <v>0</v>
      </c>
      <c r="R407">
        <v>0</v>
      </c>
      <c r="S407">
        <v>0</v>
      </c>
      <c r="T407">
        <v>1017.9100000000001</v>
      </c>
      <c r="U407">
        <v>356.31</v>
      </c>
      <c r="V407">
        <v>253.67000000000002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f>SUMPRODUCT(DB_SOFProject[[#This Row],[Plan01]:[Plan12]],$E$4:$P$4)/valUnits2</f>
        <v>1.9809060000000001</v>
      </c>
      <c r="AD407">
        <f>SUMPRODUCT(DB_SOFProject[[#This Row],[Act01]:[Act12]],$Q$4:$AB$4)/valUnits2</f>
        <v>1.6278900000000001</v>
      </c>
      <c r="AE407">
        <f>DB_SOFProject[[#This Row],[Actual]]-DB_SOFProject[[#This Row],[Plan]]</f>
        <v>-0.353016</v>
      </c>
      <c r="AF407" s="32">
        <f>IF(DB_SOFProject[[#This Row],[Plan]]&lt;&gt;0,DB_SOFProject[[#This Row],[Actual]]/DB_SOFProject[[#This Row],[Plan]],1.000011000011)</f>
        <v>0.82179063519419904</v>
      </c>
      <c r="AG407" s="34">
        <f>SUM(DB_SOFProject[[#This Row],[Plan01]:[Plan12]])/valUnits2</f>
        <v>5.6903699999999997</v>
      </c>
      <c r="AH407" s="34">
        <f>SUMPRODUCT(DB_SOFProject[[#This Row],[Act01]:[Act12]],$Q$3:$AB$3)/valUnits2</f>
        <v>1.6278900000000001</v>
      </c>
    </row>
    <row r="408" spans="2:34" x14ac:dyDescent="0.2">
      <c r="B408" t="s">
        <v>489</v>
      </c>
      <c r="C408" t="s">
        <v>924</v>
      </c>
      <c r="D408" t="s">
        <v>980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184.553</v>
      </c>
      <c r="K408">
        <v>184.553</v>
      </c>
      <c r="L408">
        <v>184.553</v>
      </c>
      <c r="M408">
        <v>184.553</v>
      </c>
      <c r="N408">
        <v>184.553</v>
      </c>
      <c r="O408">
        <v>184.553</v>
      </c>
      <c r="P408">
        <v>184.553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f>SUMPRODUCT(DB_SOFProject[[#This Row],[Plan01]:[Plan12]],$E$4:$P$4)/valUnits2</f>
        <v>0.18455299999999999</v>
      </c>
      <c r="AD408">
        <f>SUMPRODUCT(DB_SOFProject[[#This Row],[Act01]:[Act12]],$Q$4:$AB$4)/valUnits2</f>
        <v>0</v>
      </c>
      <c r="AE408">
        <f>DB_SOFProject[[#This Row],[Actual]]-DB_SOFProject[[#This Row],[Plan]]</f>
        <v>-0.18455299999999999</v>
      </c>
      <c r="AF408" s="32">
        <f>IF(DB_SOFProject[[#This Row],[Plan]]&lt;&gt;0,DB_SOFProject[[#This Row],[Actual]]/DB_SOFProject[[#This Row],[Plan]],1.000011000011)</f>
        <v>0</v>
      </c>
      <c r="AG408" s="34">
        <f>SUM(DB_SOFProject[[#This Row],[Plan01]:[Plan12]])/valUnits2</f>
        <v>1.291871</v>
      </c>
      <c r="AH408" s="34">
        <f>SUMPRODUCT(DB_SOFProject[[#This Row],[Act01]:[Act12]],$Q$3:$AB$3)/valUnits2</f>
        <v>0</v>
      </c>
    </row>
    <row r="409" spans="2:34" x14ac:dyDescent="0.2">
      <c r="B409" t="s">
        <v>489</v>
      </c>
      <c r="C409" t="s">
        <v>924</v>
      </c>
      <c r="D409" t="s">
        <v>999</v>
      </c>
      <c r="E409">
        <v>0</v>
      </c>
      <c r="F409">
        <v>0</v>
      </c>
      <c r="G409">
        <v>0</v>
      </c>
      <c r="H409">
        <v>270.18</v>
      </c>
      <c r="I409">
        <v>729.52499999999998</v>
      </c>
      <c r="J409">
        <v>184.54399999999998</v>
      </c>
      <c r="K409">
        <v>184.54399999999998</v>
      </c>
      <c r="L409">
        <v>184.54399999999998</v>
      </c>
      <c r="M409">
        <v>184.54399999999998</v>
      </c>
      <c r="N409">
        <v>184.54399999999998</v>
      </c>
      <c r="O409">
        <v>184.54399999999998</v>
      </c>
      <c r="P409">
        <v>184.54399999999998</v>
      </c>
      <c r="Q409">
        <v>0</v>
      </c>
      <c r="R409">
        <v>0</v>
      </c>
      <c r="S409">
        <v>0</v>
      </c>
      <c r="T409">
        <v>268.64</v>
      </c>
      <c r="U409">
        <v>725.03</v>
      </c>
      <c r="V409">
        <v>1085.2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f>SUMPRODUCT(DB_SOFProject[[#This Row],[Plan01]:[Plan12]],$E$4:$P$4)/valUnits2</f>
        <v>1.1842489999999999</v>
      </c>
      <c r="AD409">
        <f>SUMPRODUCT(DB_SOFProject[[#This Row],[Act01]:[Act12]],$Q$4:$AB$4)/valUnits2</f>
        <v>2.0788699999999998</v>
      </c>
      <c r="AE409">
        <f>DB_SOFProject[[#This Row],[Actual]]-DB_SOFProject[[#This Row],[Plan]]</f>
        <v>0.89462099999999989</v>
      </c>
      <c r="AF409" s="32">
        <f>IF(DB_SOFProject[[#This Row],[Plan]]&lt;&gt;0,DB_SOFProject[[#This Row],[Actual]]/DB_SOFProject[[#This Row],[Plan]],1.000011000011)</f>
        <v>1.7554331901483555</v>
      </c>
      <c r="AG409" s="34">
        <f>SUM(DB_SOFProject[[#This Row],[Plan01]:[Plan12]])/valUnits2</f>
        <v>2.2915129999999988</v>
      </c>
      <c r="AH409" s="34">
        <f>SUMPRODUCT(DB_SOFProject[[#This Row],[Act01]:[Act12]],$Q$3:$AB$3)/valUnits2</f>
        <v>2.0788699999999998</v>
      </c>
    </row>
    <row r="410" spans="2:34" x14ac:dyDescent="0.2">
      <c r="B410" t="s">
        <v>489</v>
      </c>
      <c r="C410" t="s">
        <v>925</v>
      </c>
      <c r="D410" t="s">
        <v>959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f>SUMPRODUCT(DB_SOFProject[[#This Row],[Plan01]:[Plan12]],$E$4:$P$4)/valUnits2</f>
        <v>0</v>
      </c>
      <c r="AD410">
        <f>SUMPRODUCT(DB_SOFProject[[#This Row],[Act01]:[Act12]],$Q$4:$AB$4)/valUnits2</f>
        <v>0</v>
      </c>
      <c r="AE410">
        <f>DB_SOFProject[[#This Row],[Actual]]-DB_SOFProject[[#This Row],[Plan]]</f>
        <v>0</v>
      </c>
      <c r="AF410" s="32">
        <f>IF(DB_SOFProject[[#This Row],[Plan]]&lt;&gt;0,DB_SOFProject[[#This Row],[Actual]]/DB_SOFProject[[#This Row],[Plan]],1.000011000011)</f>
        <v>1.0000110000110001</v>
      </c>
      <c r="AG410" s="34">
        <f>SUM(DB_SOFProject[[#This Row],[Plan01]:[Plan12]])/valUnits2</f>
        <v>0</v>
      </c>
      <c r="AH410" s="34">
        <f>SUMPRODUCT(DB_SOFProject[[#This Row],[Act01]:[Act12]],$Q$3:$AB$3)/valUnits2</f>
        <v>0</v>
      </c>
    </row>
    <row r="411" spans="2:34" x14ac:dyDescent="0.2">
      <c r="B411" t="s">
        <v>489</v>
      </c>
      <c r="C411" t="s">
        <v>925</v>
      </c>
      <c r="D411" t="s">
        <v>975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f>SUMPRODUCT(DB_SOFProject[[#This Row],[Plan01]:[Plan12]],$E$4:$P$4)/valUnits2</f>
        <v>0</v>
      </c>
      <c r="AD411">
        <f>SUMPRODUCT(DB_SOFProject[[#This Row],[Act01]:[Act12]],$Q$4:$AB$4)/valUnits2</f>
        <v>0</v>
      </c>
      <c r="AE411">
        <f>DB_SOFProject[[#This Row],[Actual]]-DB_SOFProject[[#This Row],[Plan]]</f>
        <v>0</v>
      </c>
      <c r="AF411" s="32">
        <f>IF(DB_SOFProject[[#This Row],[Plan]]&lt;&gt;0,DB_SOFProject[[#This Row],[Actual]]/DB_SOFProject[[#This Row],[Plan]],1.000011000011)</f>
        <v>1.0000110000110001</v>
      </c>
      <c r="AG411" s="34">
        <f>SUM(DB_SOFProject[[#This Row],[Plan01]:[Plan12]])/valUnits2</f>
        <v>0</v>
      </c>
      <c r="AH411" s="34">
        <f>SUMPRODUCT(DB_SOFProject[[#This Row],[Act01]:[Act12]],$Q$3:$AB$3)/valUnits2</f>
        <v>0</v>
      </c>
    </row>
    <row r="412" spans="2:34" x14ac:dyDescent="0.2">
      <c r="B412" t="s">
        <v>489</v>
      </c>
      <c r="C412" t="s">
        <v>925</v>
      </c>
      <c r="D412" t="s">
        <v>980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f>SUMPRODUCT(DB_SOFProject[[#This Row],[Plan01]:[Plan12]],$E$4:$P$4)/valUnits2</f>
        <v>0</v>
      </c>
      <c r="AD412">
        <f>SUMPRODUCT(DB_SOFProject[[#This Row],[Act01]:[Act12]],$Q$4:$AB$4)/valUnits2</f>
        <v>0</v>
      </c>
      <c r="AE412">
        <f>DB_SOFProject[[#This Row],[Actual]]-DB_SOFProject[[#This Row],[Plan]]</f>
        <v>0</v>
      </c>
      <c r="AF412" s="32">
        <f>IF(DB_SOFProject[[#This Row],[Plan]]&lt;&gt;0,DB_SOFProject[[#This Row],[Actual]]/DB_SOFProject[[#This Row],[Plan]],1.000011000011)</f>
        <v>1.0000110000110001</v>
      </c>
      <c r="AG412" s="34">
        <f>SUM(DB_SOFProject[[#This Row],[Plan01]:[Plan12]])/valUnits2</f>
        <v>0</v>
      </c>
      <c r="AH412" s="34">
        <f>SUMPRODUCT(DB_SOFProject[[#This Row],[Act01]:[Act12]],$Q$3:$AB$3)/valUnits2</f>
        <v>0</v>
      </c>
    </row>
    <row r="413" spans="2:34" x14ac:dyDescent="0.2">
      <c r="B413" t="s">
        <v>489</v>
      </c>
      <c r="C413" t="s">
        <v>925</v>
      </c>
      <c r="D413" t="s">
        <v>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f>SUMPRODUCT(DB_SOFProject[[#This Row],[Plan01]:[Plan12]],$E$4:$P$4)/valUnits2</f>
        <v>0</v>
      </c>
      <c r="AD413">
        <f>SUMPRODUCT(DB_SOFProject[[#This Row],[Act01]:[Act12]],$Q$4:$AB$4)/valUnits2</f>
        <v>0</v>
      </c>
      <c r="AE413">
        <f>DB_SOFProject[[#This Row],[Actual]]-DB_SOFProject[[#This Row],[Plan]]</f>
        <v>0</v>
      </c>
      <c r="AF413" s="32">
        <f>IF(DB_SOFProject[[#This Row],[Plan]]&lt;&gt;0,DB_SOFProject[[#This Row],[Actual]]/DB_SOFProject[[#This Row],[Plan]],1.000011000011)</f>
        <v>1.0000110000110001</v>
      </c>
      <c r="AG413" s="34">
        <f>SUM(DB_SOFProject[[#This Row],[Plan01]:[Plan12]])/valUnits2</f>
        <v>0</v>
      </c>
      <c r="AH413" s="34">
        <f>SUMPRODUCT(DB_SOFProject[[#This Row],[Act01]:[Act12]],$Q$3:$AB$3)/valUnits2</f>
        <v>0</v>
      </c>
    </row>
    <row r="414" spans="2:34" x14ac:dyDescent="0.2">
      <c r="B414" t="s">
        <v>489</v>
      </c>
      <c r="C414" t="s">
        <v>926</v>
      </c>
      <c r="D414" t="s">
        <v>975</v>
      </c>
      <c r="E414">
        <v>642.59699999999998</v>
      </c>
      <c r="Q414">
        <v>654.08000000000004</v>
      </c>
      <c r="AC414">
        <f>SUMPRODUCT(DB_SOFProject[[#This Row],[Plan01]:[Plan12]],$E$4:$P$4)/valUnits2</f>
        <v>0.64259699999999997</v>
      </c>
      <c r="AD414">
        <f>SUMPRODUCT(DB_SOFProject[[#This Row],[Act01]:[Act12]],$Q$4:$AB$4)/valUnits2</f>
        <v>0.65407999999999999</v>
      </c>
      <c r="AE414">
        <f>DB_SOFProject[[#This Row],[Actual]]-DB_SOFProject[[#This Row],[Plan]]</f>
        <v>1.1483000000000021E-2</v>
      </c>
      <c r="AF414" s="32">
        <f>IF(DB_SOFProject[[#This Row],[Plan]]&lt;&gt;0,DB_SOFProject[[#This Row],[Actual]]/DB_SOFProject[[#This Row],[Plan]],1.000011000011)</f>
        <v>1.0178696757065471</v>
      </c>
      <c r="AG414" s="34">
        <f>SUM(DB_SOFProject[[#This Row],[Plan01]:[Plan12]])/valUnits2</f>
        <v>0.64259699999999997</v>
      </c>
      <c r="AH414" s="34">
        <f>SUMPRODUCT(DB_SOFProject[[#This Row],[Act01]:[Act12]],$Q$3:$AB$3)/valUnits2</f>
        <v>0.65407999999999999</v>
      </c>
    </row>
    <row r="415" spans="2:34" x14ac:dyDescent="0.2">
      <c r="B415" t="s">
        <v>489</v>
      </c>
      <c r="C415" t="s">
        <v>927</v>
      </c>
      <c r="D415" t="s">
        <v>946</v>
      </c>
      <c r="F415">
        <v>201.83</v>
      </c>
      <c r="G415">
        <v>281.77999999999997</v>
      </c>
      <c r="H415">
        <v>2271.5499999999997</v>
      </c>
      <c r="I415">
        <v>1494.56</v>
      </c>
      <c r="J415">
        <v>0</v>
      </c>
      <c r="R415">
        <v>201.82999999999998</v>
      </c>
      <c r="S415">
        <v>281.77999999999997</v>
      </c>
      <c r="T415">
        <v>2271.5499999999997</v>
      </c>
      <c r="U415">
        <v>1494.56</v>
      </c>
      <c r="V415">
        <v>1101.3399999999999</v>
      </c>
      <c r="AC415">
        <f>SUMPRODUCT(DB_SOFProject[[#This Row],[Plan01]:[Plan12]],$E$4:$P$4)/valUnits2</f>
        <v>4.2497199999999991</v>
      </c>
      <c r="AD415">
        <f>SUMPRODUCT(DB_SOFProject[[#This Row],[Act01]:[Act12]],$Q$4:$AB$4)/valUnits2</f>
        <v>5.3510599999999995</v>
      </c>
      <c r="AE415">
        <f>DB_SOFProject[[#This Row],[Actual]]-DB_SOFProject[[#This Row],[Plan]]</f>
        <v>1.1013400000000004</v>
      </c>
      <c r="AF415" s="32">
        <f>IF(DB_SOFProject[[#This Row],[Plan]]&lt;&gt;0,DB_SOFProject[[#This Row],[Actual]]/DB_SOFProject[[#This Row],[Plan]],1.000011000011)</f>
        <v>1.2591558973297066</v>
      </c>
      <c r="AG415" s="34">
        <f>SUM(DB_SOFProject[[#This Row],[Plan01]:[Plan12]])/valUnits2</f>
        <v>4.2497199999999991</v>
      </c>
      <c r="AH415" s="34">
        <f>SUMPRODUCT(DB_SOFProject[[#This Row],[Act01]:[Act12]],$Q$3:$AB$3)/valUnits2</f>
        <v>5.3510599999999995</v>
      </c>
    </row>
    <row r="416" spans="2:34" x14ac:dyDescent="0.2">
      <c r="B416" t="s">
        <v>489</v>
      </c>
      <c r="C416" t="s">
        <v>927</v>
      </c>
      <c r="D416" t="s">
        <v>947</v>
      </c>
      <c r="F416">
        <v>183.44</v>
      </c>
      <c r="H416">
        <v>446.91999999999996</v>
      </c>
      <c r="I416">
        <v>1152.27</v>
      </c>
      <c r="J416">
        <v>0</v>
      </c>
      <c r="R416">
        <v>183.44</v>
      </c>
      <c r="T416">
        <v>446.92</v>
      </c>
      <c r="U416">
        <v>1152.27</v>
      </c>
      <c r="V416">
        <v>467.87</v>
      </c>
      <c r="AC416">
        <f>SUMPRODUCT(DB_SOFProject[[#This Row],[Plan01]:[Plan12]],$E$4:$P$4)/valUnits2</f>
        <v>1.7826299999999999</v>
      </c>
      <c r="AD416">
        <f>SUMPRODUCT(DB_SOFProject[[#This Row],[Act01]:[Act12]],$Q$4:$AB$4)/valUnits2</f>
        <v>2.2505000000000002</v>
      </c>
      <c r="AE416">
        <f>DB_SOFProject[[#This Row],[Actual]]-DB_SOFProject[[#This Row],[Plan]]</f>
        <v>0.46787000000000023</v>
      </c>
      <c r="AF416" s="32">
        <f>IF(DB_SOFProject[[#This Row],[Plan]]&lt;&gt;0,DB_SOFProject[[#This Row],[Actual]]/DB_SOFProject[[#This Row],[Plan]],1.000011000011)</f>
        <v>1.2624605218132761</v>
      </c>
      <c r="AG416" s="34">
        <f>SUM(DB_SOFProject[[#This Row],[Plan01]:[Plan12]])/valUnits2</f>
        <v>1.7826299999999999</v>
      </c>
      <c r="AH416" s="34">
        <f>SUMPRODUCT(DB_SOFProject[[#This Row],[Act01]:[Act12]],$Q$3:$AB$3)/valUnits2</f>
        <v>2.2505000000000002</v>
      </c>
    </row>
    <row r="417" spans="2:34" x14ac:dyDescent="0.2">
      <c r="B417" t="s">
        <v>489</v>
      </c>
      <c r="C417" t="s">
        <v>927</v>
      </c>
      <c r="D417" t="s">
        <v>959</v>
      </c>
      <c r="E417">
        <v>0</v>
      </c>
      <c r="F417">
        <v>3937.0899999999997</v>
      </c>
      <c r="G417">
        <v>2515.14</v>
      </c>
      <c r="H417">
        <v>8343.2999999999993</v>
      </c>
      <c r="I417">
        <v>3032.08</v>
      </c>
      <c r="J417">
        <v>3404</v>
      </c>
      <c r="K417">
        <v>3404</v>
      </c>
      <c r="L417">
        <v>3404</v>
      </c>
      <c r="M417">
        <v>3404</v>
      </c>
      <c r="N417">
        <v>3404</v>
      </c>
      <c r="O417">
        <v>3404</v>
      </c>
      <c r="P417">
        <v>3404</v>
      </c>
      <c r="Q417">
        <v>0</v>
      </c>
      <c r="R417">
        <v>3937.09</v>
      </c>
      <c r="S417">
        <v>2515.14</v>
      </c>
      <c r="T417">
        <v>8343.2999999999993</v>
      </c>
      <c r="U417">
        <v>3032.08</v>
      </c>
      <c r="V417">
        <v>1239.33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f>SUMPRODUCT(DB_SOFProject[[#This Row],[Plan01]:[Plan12]],$E$4:$P$4)/valUnits2</f>
        <v>21.23161</v>
      </c>
      <c r="AD417">
        <f>SUMPRODUCT(DB_SOFProject[[#This Row],[Act01]:[Act12]],$Q$4:$AB$4)/valUnits2</f>
        <v>19.066940000000002</v>
      </c>
      <c r="AE417">
        <f>DB_SOFProject[[#This Row],[Actual]]-DB_SOFProject[[#This Row],[Plan]]</f>
        <v>-2.1646699999999974</v>
      </c>
      <c r="AF417" s="32">
        <f>IF(DB_SOFProject[[#This Row],[Plan]]&lt;&gt;0,DB_SOFProject[[#This Row],[Actual]]/DB_SOFProject[[#This Row],[Plan]],1.000011000011)</f>
        <v>0.89804494336510521</v>
      </c>
      <c r="AG417" s="34">
        <f>SUM(DB_SOFProject[[#This Row],[Plan01]:[Plan12]])/valUnits2</f>
        <v>41.655610000000003</v>
      </c>
      <c r="AH417" s="34">
        <f>SUMPRODUCT(DB_SOFProject[[#This Row],[Act01]:[Act12]],$Q$3:$AB$3)/valUnits2</f>
        <v>19.066940000000002</v>
      </c>
    </row>
    <row r="418" spans="2:34" x14ac:dyDescent="0.2">
      <c r="B418" t="s">
        <v>489</v>
      </c>
      <c r="C418" t="s">
        <v>927</v>
      </c>
      <c r="D418" t="s">
        <v>975</v>
      </c>
      <c r="E418">
        <v>657.14</v>
      </c>
      <c r="F418">
        <v>2398.27</v>
      </c>
      <c r="G418">
        <v>2660.2</v>
      </c>
      <c r="H418">
        <v>22466.440000000002</v>
      </c>
      <c r="I418">
        <v>10692.41</v>
      </c>
      <c r="J418">
        <v>13443.328000000001</v>
      </c>
      <c r="K418">
        <v>13443.328000000001</v>
      </c>
      <c r="L418">
        <v>13443.328000000001</v>
      </c>
      <c r="M418">
        <v>13443.328000000001</v>
      </c>
      <c r="N418">
        <v>13443.328000000001</v>
      </c>
      <c r="O418">
        <v>13443.328000000001</v>
      </c>
      <c r="P418">
        <v>13443.328000000001</v>
      </c>
      <c r="Q418">
        <v>657.14</v>
      </c>
      <c r="R418">
        <v>2398.27</v>
      </c>
      <c r="S418">
        <v>2660.2</v>
      </c>
      <c r="T418">
        <v>22466.44</v>
      </c>
      <c r="U418">
        <v>10707.769999999997</v>
      </c>
      <c r="V418">
        <v>5528.21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f>SUMPRODUCT(DB_SOFProject[[#This Row],[Plan01]:[Plan12]],$E$4:$P$4)/valUnits2</f>
        <v>52.317788000000007</v>
      </c>
      <c r="AD418">
        <f>SUMPRODUCT(DB_SOFProject[[#This Row],[Act01]:[Act12]],$Q$4:$AB$4)/valUnits2</f>
        <v>44.418029999999995</v>
      </c>
      <c r="AE418">
        <f>DB_SOFProject[[#This Row],[Actual]]-DB_SOFProject[[#This Row],[Plan]]</f>
        <v>-7.8997580000000127</v>
      </c>
      <c r="AF418" s="32">
        <f>IF(DB_SOFProject[[#This Row],[Plan]]&lt;&gt;0,DB_SOFProject[[#This Row],[Actual]]/DB_SOFProject[[#This Row],[Plan]],1.000011000011)</f>
        <v>0.8490043577530455</v>
      </c>
      <c r="AG418" s="34">
        <f>SUM(DB_SOFProject[[#This Row],[Plan01]:[Plan12]])/valUnits2</f>
        <v>132.97775600000006</v>
      </c>
      <c r="AH418" s="34">
        <f>SUMPRODUCT(DB_SOFProject[[#This Row],[Act01]:[Act12]],$Q$3:$AB$3)/valUnits2</f>
        <v>44.418029999999995</v>
      </c>
    </row>
    <row r="419" spans="2:34" x14ac:dyDescent="0.2">
      <c r="B419" t="s">
        <v>489</v>
      </c>
      <c r="C419" t="s">
        <v>927</v>
      </c>
      <c r="D419" t="s">
        <v>980</v>
      </c>
      <c r="E419">
        <v>0</v>
      </c>
      <c r="F419">
        <v>1756.97</v>
      </c>
      <c r="G419">
        <v>2841.68</v>
      </c>
      <c r="H419">
        <v>3925.85</v>
      </c>
      <c r="I419">
        <v>2587.54</v>
      </c>
      <c r="J419">
        <v>1104.549</v>
      </c>
      <c r="K419">
        <v>1104.549</v>
      </c>
      <c r="L419">
        <v>1104.549</v>
      </c>
      <c r="M419">
        <v>1104.549</v>
      </c>
      <c r="N419">
        <v>1104.549</v>
      </c>
      <c r="O419">
        <v>1104.549</v>
      </c>
      <c r="P419">
        <v>1104.549</v>
      </c>
      <c r="Q419">
        <v>0</v>
      </c>
      <c r="R419">
        <v>1756.97</v>
      </c>
      <c r="S419">
        <v>2841.68</v>
      </c>
      <c r="T419">
        <v>3925.85</v>
      </c>
      <c r="U419">
        <v>2587.54</v>
      </c>
      <c r="V419">
        <v>2427.86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f>SUMPRODUCT(DB_SOFProject[[#This Row],[Plan01]:[Plan12]],$E$4:$P$4)/valUnits2</f>
        <v>12.216589000000001</v>
      </c>
      <c r="AD419">
        <f>SUMPRODUCT(DB_SOFProject[[#This Row],[Act01]:[Act12]],$Q$4:$AB$4)/valUnits2</f>
        <v>13.539900000000001</v>
      </c>
      <c r="AE419">
        <f>DB_SOFProject[[#This Row],[Actual]]-DB_SOFProject[[#This Row],[Plan]]</f>
        <v>1.3233110000000003</v>
      </c>
      <c r="AF419" s="32">
        <f>IF(DB_SOFProject[[#This Row],[Plan]]&lt;&gt;0,DB_SOFProject[[#This Row],[Actual]]/DB_SOFProject[[#This Row],[Plan]],1.000011000011)</f>
        <v>1.1083208250682739</v>
      </c>
      <c r="AG419" s="34">
        <f>SUM(DB_SOFProject[[#This Row],[Plan01]:[Plan12]])/valUnits2</f>
        <v>18.843882999999995</v>
      </c>
      <c r="AH419" s="34">
        <f>SUMPRODUCT(DB_SOFProject[[#This Row],[Act01]:[Act12]],$Q$3:$AB$3)/valUnits2</f>
        <v>13.539900000000001</v>
      </c>
    </row>
    <row r="420" spans="2:34" x14ac:dyDescent="0.2">
      <c r="B420" t="s">
        <v>489</v>
      </c>
      <c r="C420" t="s">
        <v>927</v>
      </c>
      <c r="D420" t="s">
        <v>984</v>
      </c>
      <c r="F420">
        <v>109.85</v>
      </c>
      <c r="G420">
        <v>126.36999999999999</v>
      </c>
      <c r="H420">
        <v>227.38</v>
      </c>
      <c r="I420">
        <v>107.33999999999999</v>
      </c>
      <c r="J420">
        <v>0</v>
      </c>
      <c r="R420">
        <v>109.85</v>
      </c>
      <c r="S420">
        <v>126.36999999999999</v>
      </c>
      <c r="T420">
        <v>227.38</v>
      </c>
      <c r="U420">
        <v>107.33999999999999</v>
      </c>
      <c r="V420">
        <v>122.6</v>
      </c>
      <c r="AC420">
        <f>SUMPRODUCT(DB_SOFProject[[#This Row],[Plan01]:[Plan12]],$E$4:$P$4)/valUnits2</f>
        <v>0.57093999999999989</v>
      </c>
      <c r="AD420">
        <f>SUMPRODUCT(DB_SOFProject[[#This Row],[Act01]:[Act12]],$Q$4:$AB$4)/valUnits2</f>
        <v>0.69353999999999993</v>
      </c>
      <c r="AE420">
        <f>DB_SOFProject[[#This Row],[Actual]]-DB_SOFProject[[#This Row],[Plan]]</f>
        <v>0.12260000000000004</v>
      </c>
      <c r="AF420" s="32">
        <f>IF(DB_SOFProject[[#This Row],[Plan]]&lt;&gt;0,DB_SOFProject[[#This Row],[Actual]]/DB_SOFProject[[#This Row],[Plan]],1.000011000011)</f>
        <v>1.2147335972256281</v>
      </c>
      <c r="AG420" s="34">
        <f>SUM(DB_SOFProject[[#This Row],[Plan01]:[Plan12]])/valUnits2</f>
        <v>0.57093999999999989</v>
      </c>
      <c r="AH420" s="34">
        <f>SUMPRODUCT(DB_SOFProject[[#This Row],[Act01]:[Act12]],$Q$3:$AB$3)/valUnits2</f>
        <v>0.69353999999999993</v>
      </c>
    </row>
    <row r="421" spans="2:34" x14ac:dyDescent="0.2">
      <c r="B421" t="s">
        <v>489</v>
      </c>
      <c r="C421" t="s">
        <v>927</v>
      </c>
      <c r="D421" t="s">
        <v>990</v>
      </c>
      <c r="I421">
        <v>66.010000000000005</v>
      </c>
      <c r="U421">
        <v>66.010000000000005</v>
      </c>
      <c r="AC421">
        <f>SUMPRODUCT(DB_SOFProject[[#This Row],[Plan01]:[Plan12]],$E$4:$P$4)/valUnits2</f>
        <v>6.6009999999999999E-2</v>
      </c>
      <c r="AD421">
        <f>SUMPRODUCT(DB_SOFProject[[#This Row],[Act01]:[Act12]],$Q$4:$AB$4)/valUnits2</f>
        <v>6.6009999999999999E-2</v>
      </c>
      <c r="AE421">
        <f>DB_SOFProject[[#This Row],[Actual]]-DB_SOFProject[[#This Row],[Plan]]</f>
        <v>0</v>
      </c>
      <c r="AF421" s="32">
        <f>IF(DB_SOFProject[[#This Row],[Plan]]&lt;&gt;0,DB_SOFProject[[#This Row],[Actual]]/DB_SOFProject[[#This Row],[Plan]],1.000011000011)</f>
        <v>1</v>
      </c>
      <c r="AG421" s="34">
        <f>SUM(DB_SOFProject[[#This Row],[Plan01]:[Plan12]])/valUnits2</f>
        <v>6.6009999999999999E-2</v>
      </c>
      <c r="AH421" s="34">
        <f>SUMPRODUCT(DB_SOFProject[[#This Row],[Act01]:[Act12]],$Q$3:$AB$3)/valUnits2</f>
        <v>6.6009999999999999E-2</v>
      </c>
    </row>
    <row r="422" spans="2:34" x14ac:dyDescent="0.2">
      <c r="B422" t="s">
        <v>489</v>
      </c>
      <c r="C422" t="s">
        <v>927</v>
      </c>
      <c r="D422" t="s">
        <v>998</v>
      </c>
      <c r="E422">
        <v>0</v>
      </c>
      <c r="F422">
        <v>2054.94</v>
      </c>
      <c r="G422">
        <v>1649.31</v>
      </c>
      <c r="H422">
        <v>2068.59</v>
      </c>
      <c r="I422">
        <v>1255.8500000000001</v>
      </c>
      <c r="J422">
        <v>4647.4380000000001</v>
      </c>
      <c r="K422">
        <v>4647.4380000000001</v>
      </c>
      <c r="L422">
        <v>4647.4380000000001</v>
      </c>
      <c r="M422">
        <v>4647.4380000000001</v>
      </c>
      <c r="N422">
        <v>4647.4380000000001</v>
      </c>
      <c r="O422">
        <v>4647.4380000000001</v>
      </c>
      <c r="P422">
        <v>4647.4380000000001</v>
      </c>
      <c r="Q422">
        <v>0</v>
      </c>
      <c r="R422">
        <v>2054.94</v>
      </c>
      <c r="S422">
        <v>1649.31</v>
      </c>
      <c r="T422">
        <v>2068.59</v>
      </c>
      <c r="U422">
        <v>1255.8500000000001</v>
      </c>
      <c r="V422">
        <v>1259</v>
      </c>
      <c r="W422">
        <v>5935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f>SUMPRODUCT(DB_SOFProject[[#This Row],[Plan01]:[Plan12]],$E$4:$P$4)/valUnits2</f>
        <v>11.676128</v>
      </c>
      <c r="AD422">
        <f>SUMPRODUCT(DB_SOFProject[[#This Row],[Act01]:[Act12]],$Q$4:$AB$4)/valUnits2</f>
        <v>8.2876900000000013</v>
      </c>
      <c r="AE422">
        <f>DB_SOFProject[[#This Row],[Actual]]-DB_SOFProject[[#This Row],[Plan]]</f>
        <v>-3.388437999999999</v>
      </c>
      <c r="AF422" s="32">
        <f>IF(DB_SOFProject[[#This Row],[Plan]]&lt;&gt;0,DB_SOFProject[[#This Row],[Actual]]/DB_SOFProject[[#This Row],[Plan]],1.000011000011)</f>
        <v>0.7097978028332681</v>
      </c>
      <c r="AG422" s="34">
        <f>SUM(DB_SOFProject[[#This Row],[Plan01]:[Plan12]])/valUnits2</f>
        <v>39.560756000000012</v>
      </c>
      <c r="AH422" s="34">
        <f>SUMPRODUCT(DB_SOFProject[[#This Row],[Act01]:[Act12]],$Q$3:$AB$3)/valUnits2</f>
        <v>8.2876900000000013</v>
      </c>
    </row>
    <row r="423" spans="2:34" x14ac:dyDescent="0.2">
      <c r="B423" t="s">
        <v>489</v>
      </c>
      <c r="C423" t="s">
        <v>927</v>
      </c>
      <c r="D423" t="s">
        <v>999</v>
      </c>
      <c r="E423">
        <v>0</v>
      </c>
      <c r="F423">
        <v>102.4</v>
      </c>
      <c r="G423">
        <v>939.76</v>
      </c>
      <c r="H423">
        <v>5559.630000000001</v>
      </c>
      <c r="I423">
        <v>2845.0099999999998</v>
      </c>
      <c r="J423">
        <v>6310.27</v>
      </c>
      <c r="K423">
        <v>6310.27</v>
      </c>
      <c r="L423">
        <v>6310.27</v>
      </c>
      <c r="M423">
        <v>6310.27</v>
      </c>
      <c r="N423">
        <v>6310.27</v>
      </c>
      <c r="O423">
        <v>6310.27</v>
      </c>
      <c r="P423">
        <v>6310.27</v>
      </c>
      <c r="Q423">
        <v>0</v>
      </c>
      <c r="R423">
        <v>102.39999999999999</v>
      </c>
      <c r="S423">
        <v>939.76</v>
      </c>
      <c r="T423">
        <v>5559.6299999999992</v>
      </c>
      <c r="U423">
        <v>2845.01</v>
      </c>
      <c r="V423">
        <v>2101.52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f>SUMPRODUCT(DB_SOFProject[[#This Row],[Plan01]:[Plan12]],$E$4:$P$4)/valUnits2</f>
        <v>15.757070000000002</v>
      </c>
      <c r="AD423">
        <f>SUMPRODUCT(DB_SOFProject[[#This Row],[Act01]:[Act12]],$Q$4:$AB$4)/valUnits2</f>
        <v>11.54832</v>
      </c>
      <c r="AE423">
        <f>DB_SOFProject[[#This Row],[Actual]]-DB_SOFProject[[#This Row],[Plan]]</f>
        <v>-4.208750000000002</v>
      </c>
      <c r="AF423" s="32">
        <f>IF(DB_SOFProject[[#This Row],[Plan]]&lt;&gt;0,DB_SOFProject[[#This Row],[Actual]]/DB_SOFProject[[#This Row],[Plan]],1.000011000011)</f>
        <v>0.73289767704274966</v>
      </c>
      <c r="AG423" s="34">
        <f>SUM(DB_SOFProject[[#This Row],[Plan01]:[Plan12]])/valUnits2</f>
        <v>53.618690000000015</v>
      </c>
      <c r="AH423" s="34">
        <f>SUMPRODUCT(DB_SOFProject[[#This Row],[Act01]:[Act12]],$Q$3:$AB$3)/valUnits2</f>
        <v>11.54832</v>
      </c>
    </row>
    <row r="424" spans="2:34" x14ac:dyDescent="0.2">
      <c r="B424" t="s">
        <v>489</v>
      </c>
      <c r="C424" t="s">
        <v>359</v>
      </c>
      <c r="D424" t="s">
        <v>946</v>
      </c>
      <c r="H424">
        <v>0</v>
      </c>
      <c r="I424">
        <v>0</v>
      </c>
      <c r="J424">
        <v>83.958999999999989</v>
      </c>
      <c r="T424">
        <v>0</v>
      </c>
      <c r="U424">
        <v>0</v>
      </c>
      <c r="V424">
        <v>0</v>
      </c>
      <c r="AC424">
        <f>SUMPRODUCT(DB_SOFProject[[#This Row],[Plan01]:[Plan12]],$E$4:$P$4)/valUnits2</f>
        <v>8.3958999999999992E-2</v>
      </c>
      <c r="AD424">
        <f>SUMPRODUCT(DB_SOFProject[[#This Row],[Act01]:[Act12]],$Q$4:$AB$4)/valUnits2</f>
        <v>0</v>
      </c>
      <c r="AE424">
        <f>DB_SOFProject[[#This Row],[Actual]]-DB_SOFProject[[#This Row],[Plan]]</f>
        <v>-8.3958999999999992E-2</v>
      </c>
      <c r="AF424" s="32">
        <f>IF(DB_SOFProject[[#This Row],[Plan]]&lt;&gt;0,DB_SOFProject[[#This Row],[Actual]]/DB_SOFProject[[#This Row],[Plan]],1.000011000011)</f>
        <v>0</v>
      </c>
      <c r="AG424" s="34">
        <f>SUM(DB_SOFProject[[#This Row],[Plan01]:[Plan12]])/valUnits2</f>
        <v>8.3958999999999992E-2</v>
      </c>
      <c r="AH424" s="34">
        <f>SUMPRODUCT(DB_SOFProject[[#This Row],[Act01]:[Act12]],$Q$3:$AB$3)/valUnits2</f>
        <v>0</v>
      </c>
    </row>
    <row r="425" spans="2:34" x14ac:dyDescent="0.2">
      <c r="B425" t="s">
        <v>489</v>
      </c>
      <c r="C425" t="s">
        <v>359</v>
      </c>
      <c r="D425" t="s">
        <v>959</v>
      </c>
      <c r="H425">
        <v>0</v>
      </c>
      <c r="I425">
        <v>0</v>
      </c>
      <c r="J425">
        <v>167.91899999999998</v>
      </c>
      <c r="T425">
        <v>0</v>
      </c>
      <c r="U425">
        <v>0</v>
      </c>
      <c r="V425">
        <v>0</v>
      </c>
      <c r="AC425">
        <f>SUMPRODUCT(DB_SOFProject[[#This Row],[Plan01]:[Plan12]],$E$4:$P$4)/valUnits2</f>
        <v>0.16791899999999998</v>
      </c>
      <c r="AD425">
        <f>SUMPRODUCT(DB_SOFProject[[#This Row],[Act01]:[Act12]],$Q$4:$AB$4)/valUnits2</f>
        <v>0</v>
      </c>
      <c r="AE425">
        <f>DB_SOFProject[[#This Row],[Actual]]-DB_SOFProject[[#This Row],[Plan]]</f>
        <v>-0.16791899999999998</v>
      </c>
      <c r="AF425" s="32">
        <f>IF(DB_SOFProject[[#This Row],[Plan]]&lt;&gt;0,DB_SOFProject[[#This Row],[Actual]]/DB_SOFProject[[#This Row],[Plan]],1.000011000011)</f>
        <v>0</v>
      </c>
      <c r="AG425" s="34">
        <f>SUM(DB_SOFProject[[#This Row],[Plan01]:[Plan12]])/valUnits2</f>
        <v>0.16791899999999998</v>
      </c>
      <c r="AH425" s="34">
        <f>SUMPRODUCT(DB_SOFProject[[#This Row],[Act01]:[Act12]],$Q$3:$AB$3)/valUnits2</f>
        <v>0</v>
      </c>
    </row>
    <row r="426" spans="2:34" x14ac:dyDescent="0.2">
      <c r="B426" t="s">
        <v>489</v>
      </c>
      <c r="C426" t="s">
        <v>359</v>
      </c>
      <c r="D426" t="s">
        <v>975</v>
      </c>
      <c r="H426">
        <v>86.268999999999991</v>
      </c>
      <c r="I426">
        <v>42.413999999999994</v>
      </c>
      <c r="J426">
        <v>281.26400000000001</v>
      </c>
      <c r="T426">
        <v>87.36</v>
      </c>
      <c r="U426">
        <v>45.339999999999996</v>
      </c>
      <c r="V426">
        <v>32.270000000000003</v>
      </c>
      <c r="AC426">
        <f>SUMPRODUCT(DB_SOFProject[[#This Row],[Plan01]:[Plan12]],$E$4:$P$4)/valUnits2</f>
        <v>0.40994700000000001</v>
      </c>
      <c r="AD426">
        <f>SUMPRODUCT(DB_SOFProject[[#This Row],[Act01]:[Act12]],$Q$4:$AB$4)/valUnits2</f>
        <v>0.16497000000000001</v>
      </c>
      <c r="AE426">
        <f>DB_SOFProject[[#This Row],[Actual]]-DB_SOFProject[[#This Row],[Plan]]</f>
        <v>-0.244977</v>
      </c>
      <c r="AF426" s="32">
        <f>IF(DB_SOFProject[[#This Row],[Plan]]&lt;&gt;0,DB_SOFProject[[#This Row],[Actual]]/DB_SOFProject[[#This Row],[Plan]],1.000011000011)</f>
        <v>0.40241787352999292</v>
      </c>
      <c r="AG426" s="34">
        <f>SUM(DB_SOFProject[[#This Row],[Plan01]:[Plan12]])/valUnits2</f>
        <v>0.40994700000000001</v>
      </c>
      <c r="AH426" s="34">
        <f>SUMPRODUCT(DB_SOFProject[[#This Row],[Act01]:[Act12]],$Q$3:$AB$3)/valUnits2</f>
        <v>0.16497000000000001</v>
      </c>
    </row>
    <row r="427" spans="2:34" x14ac:dyDescent="0.2">
      <c r="B427" t="s">
        <v>489</v>
      </c>
      <c r="C427" t="s">
        <v>359</v>
      </c>
      <c r="D427" t="s">
        <v>980</v>
      </c>
      <c r="H427">
        <v>0</v>
      </c>
      <c r="I427">
        <v>0</v>
      </c>
      <c r="J427">
        <v>88.990999999999985</v>
      </c>
      <c r="T427">
        <v>0</v>
      </c>
      <c r="U427">
        <v>0</v>
      </c>
      <c r="V427">
        <v>0</v>
      </c>
      <c r="AC427">
        <f>SUMPRODUCT(DB_SOFProject[[#This Row],[Plan01]:[Plan12]],$E$4:$P$4)/valUnits2</f>
        <v>8.8990999999999987E-2</v>
      </c>
      <c r="AD427">
        <f>SUMPRODUCT(DB_SOFProject[[#This Row],[Act01]:[Act12]],$Q$4:$AB$4)/valUnits2</f>
        <v>0</v>
      </c>
      <c r="AE427">
        <f>DB_SOFProject[[#This Row],[Actual]]-DB_SOFProject[[#This Row],[Plan]]</f>
        <v>-8.8990999999999987E-2</v>
      </c>
      <c r="AF427" s="32">
        <f>IF(DB_SOFProject[[#This Row],[Plan]]&lt;&gt;0,DB_SOFProject[[#This Row],[Actual]]/DB_SOFProject[[#This Row],[Plan]],1.000011000011)</f>
        <v>0</v>
      </c>
      <c r="AG427" s="34">
        <f>SUM(DB_SOFProject[[#This Row],[Plan01]:[Plan12]])/valUnits2</f>
        <v>8.8990999999999987E-2</v>
      </c>
      <c r="AH427" s="34">
        <f>SUMPRODUCT(DB_SOFProject[[#This Row],[Act01]:[Act12]],$Q$3:$AB$3)/valUnits2</f>
        <v>0</v>
      </c>
    </row>
    <row r="428" spans="2:34" x14ac:dyDescent="0.2">
      <c r="B428" t="s">
        <v>489</v>
      </c>
      <c r="C428" t="s">
        <v>359</v>
      </c>
      <c r="D428" t="s">
        <v>999</v>
      </c>
      <c r="H428">
        <v>0</v>
      </c>
      <c r="I428">
        <v>0</v>
      </c>
      <c r="J428">
        <v>83.958999999999989</v>
      </c>
      <c r="T428">
        <v>0</v>
      </c>
      <c r="U428">
        <v>0</v>
      </c>
      <c r="V428">
        <v>0</v>
      </c>
      <c r="AC428">
        <f>SUMPRODUCT(DB_SOFProject[[#This Row],[Plan01]:[Plan12]],$E$4:$P$4)/valUnits2</f>
        <v>8.3958999999999992E-2</v>
      </c>
      <c r="AD428">
        <f>SUMPRODUCT(DB_SOFProject[[#This Row],[Act01]:[Act12]],$Q$4:$AB$4)/valUnits2</f>
        <v>0</v>
      </c>
      <c r="AE428">
        <f>DB_SOFProject[[#This Row],[Actual]]-DB_SOFProject[[#This Row],[Plan]]</f>
        <v>-8.3958999999999992E-2</v>
      </c>
      <c r="AF428" s="32">
        <f>IF(DB_SOFProject[[#This Row],[Plan]]&lt;&gt;0,DB_SOFProject[[#This Row],[Actual]]/DB_SOFProject[[#This Row],[Plan]],1.000011000011)</f>
        <v>0</v>
      </c>
      <c r="AG428" s="34">
        <f>SUM(DB_SOFProject[[#This Row],[Plan01]:[Plan12]])/valUnits2</f>
        <v>8.3958999999999992E-2</v>
      </c>
      <c r="AH428" s="34">
        <f>SUMPRODUCT(DB_SOFProject[[#This Row],[Act01]:[Act12]],$Q$3:$AB$3)/valUnits2</f>
        <v>0</v>
      </c>
    </row>
    <row r="429" spans="2:34" x14ac:dyDescent="0.2">
      <c r="B429" t="s">
        <v>489</v>
      </c>
      <c r="C429" t="s">
        <v>360</v>
      </c>
      <c r="D429" t="s">
        <v>946</v>
      </c>
      <c r="H429">
        <v>0</v>
      </c>
      <c r="I429">
        <v>0</v>
      </c>
      <c r="J429">
        <v>294.93599999999998</v>
      </c>
      <c r="T429">
        <v>0</v>
      </c>
      <c r="U429">
        <v>0</v>
      </c>
      <c r="V429">
        <v>0</v>
      </c>
      <c r="AC429">
        <f>SUMPRODUCT(DB_SOFProject[[#This Row],[Plan01]:[Plan12]],$E$4:$P$4)/valUnits2</f>
        <v>0.29493599999999998</v>
      </c>
      <c r="AD429">
        <f>SUMPRODUCT(DB_SOFProject[[#This Row],[Act01]:[Act12]],$Q$4:$AB$4)/valUnits2</f>
        <v>0</v>
      </c>
      <c r="AE429">
        <f>DB_SOFProject[[#This Row],[Actual]]-DB_SOFProject[[#This Row],[Plan]]</f>
        <v>-0.29493599999999998</v>
      </c>
      <c r="AF429" s="32">
        <f>IF(DB_SOFProject[[#This Row],[Plan]]&lt;&gt;0,DB_SOFProject[[#This Row],[Actual]]/DB_SOFProject[[#This Row],[Plan]],1.000011000011)</f>
        <v>0</v>
      </c>
      <c r="AG429" s="34">
        <f>SUM(DB_SOFProject[[#This Row],[Plan01]:[Plan12]])/valUnits2</f>
        <v>0.29493599999999998</v>
      </c>
      <c r="AH429" s="34">
        <f>SUMPRODUCT(DB_SOFProject[[#This Row],[Act01]:[Act12]],$Q$3:$AB$3)/valUnits2</f>
        <v>0</v>
      </c>
    </row>
    <row r="430" spans="2:34" x14ac:dyDescent="0.2">
      <c r="B430" t="s">
        <v>489</v>
      </c>
      <c r="C430" t="s">
        <v>360</v>
      </c>
      <c r="D430" t="s">
        <v>959</v>
      </c>
      <c r="H430">
        <v>0</v>
      </c>
      <c r="I430">
        <v>0</v>
      </c>
      <c r="J430">
        <v>589.87300000000005</v>
      </c>
      <c r="T430">
        <v>0</v>
      </c>
      <c r="U430">
        <v>0</v>
      </c>
      <c r="V430">
        <v>0</v>
      </c>
      <c r="AC430">
        <f>SUMPRODUCT(DB_SOFProject[[#This Row],[Plan01]:[Plan12]],$E$4:$P$4)/valUnits2</f>
        <v>0.58987300000000009</v>
      </c>
      <c r="AD430">
        <f>SUMPRODUCT(DB_SOFProject[[#This Row],[Act01]:[Act12]],$Q$4:$AB$4)/valUnits2</f>
        <v>0</v>
      </c>
      <c r="AE430">
        <f>DB_SOFProject[[#This Row],[Actual]]-DB_SOFProject[[#This Row],[Plan]]</f>
        <v>-0.58987300000000009</v>
      </c>
      <c r="AF430" s="32">
        <f>IF(DB_SOFProject[[#This Row],[Plan]]&lt;&gt;0,DB_SOFProject[[#This Row],[Actual]]/DB_SOFProject[[#This Row],[Plan]],1.000011000011)</f>
        <v>0</v>
      </c>
      <c r="AG430" s="34">
        <f>SUM(DB_SOFProject[[#This Row],[Plan01]:[Plan12]])/valUnits2</f>
        <v>0.58987300000000009</v>
      </c>
      <c r="AH430" s="34">
        <f>SUMPRODUCT(DB_SOFProject[[#This Row],[Act01]:[Act12]],$Q$3:$AB$3)/valUnits2</f>
        <v>0</v>
      </c>
    </row>
    <row r="431" spans="2:34" x14ac:dyDescent="0.2">
      <c r="B431" t="s">
        <v>489</v>
      </c>
      <c r="C431" t="s">
        <v>360</v>
      </c>
      <c r="D431" t="s">
        <v>975</v>
      </c>
      <c r="H431">
        <v>380.90299999999996</v>
      </c>
      <c r="I431">
        <v>172.05199999999999</v>
      </c>
      <c r="J431">
        <v>988.03700000000003</v>
      </c>
      <c r="T431">
        <v>385.74</v>
      </c>
      <c r="U431">
        <v>183.85000000000002</v>
      </c>
      <c r="V431">
        <v>1634.04</v>
      </c>
      <c r="AC431">
        <f>SUMPRODUCT(DB_SOFProject[[#This Row],[Plan01]:[Plan12]],$E$4:$P$4)/valUnits2</f>
        <v>1.5409919999999999</v>
      </c>
      <c r="AD431">
        <f>SUMPRODUCT(DB_SOFProject[[#This Row],[Act01]:[Act12]],$Q$4:$AB$4)/valUnits2</f>
        <v>2.20363</v>
      </c>
      <c r="AE431">
        <f>DB_SOFProject[[#This Row],[Actual]]-DB_SOFProject[[#This Row],[Plan]]</f>
        <v>0.66263800000000006</v>
      </c>
      <c r="AF431" s="32">
        <f>IF(DB_SOFProject[[#This Row],[Plan]]&lt;&gt;0,DB_SOFProject[[#This Row],[Actual]]/DB_SOFProject[[#This Row],[Plan]],1.000011000011)</f>
        <v>1.4300074237893514</v>
      </c>
      <c r="AG431" s="34">
        <f>SUM(DB_SOFProject[[#This Row],[Plan01]:[Plan12]])/valUnits2</f>
        <v>1.5409919999999999</v>
      </c>
      <c r="AH431" s="34">
        <f>SUMPRODUCT(DB_SOFProject[[#This Row],[Act01]:[Act12]],$Q$3:$AB$3)/valUnits2</f>
        <v>2.20363</v>
      </c>
    </row>
    <row r="432" spans="2:34" x14ac:dyDescent="0.2">
      <c r="B432" t="s">
        <v>489</v>
      </c>
      <c r="C432" t="s">
        <v>360</v>
      </c>
      <c r="D432" t="s">
        <v>980</v>
      </c>
      <c r="G432">
        <v>0</v>
      </c>
      <c r="H432">
        <v>0</v>
      </c>
      <c r="I432">
        <v>0</v>
      </c>
      <c r="J432">
        <v>312.31200000000001</v>
      </c>
      <c r="S432">
        <v>0</v>
      </c>
      <c r="T432">
        <v>0</v>
      </c>
      <c r="U432">
        <v>0</v>
      </c>
      <c r="V432">
        <v>0</v>
      </c>
      <c r="AC432">
        <f>SUMPRODUCT(DB_SOFProject[[#This Row],[Plan01]:[Plan12]],$E$4:$P$4)/valUnits2</f>
        <v>0.31231200000000003</v>
      </c>
      <c r="AD432">
        <f>SUMPRODUCT(DB_SOFProject[[#This Row],[Act01]:[Act12]],$Q$4:$AB$4)/valUnits2</f>
        <v>0</v>
      </c>
      <c r="AE432">
        <f>DB_SOFProject[[#This Row],[Actual]]-DB_SOFProject[[#This Row],[Plan]]</f>
        <v>-0.31231200000000003</v>
      </c>
      <c r="AF432" s="32">
        <f>IF(DB_SOFProject[[#This Row],[Plan]]&lt;&gt;0,DB_SOFProject[[#This Row],[Actual]]/DB_SOFProject[[#This Row],[Plan]],1.000011000011)</f>
        <v>0</v>
      </c>
      <c r="AG432" s="34">
        <f>SUM(DB_SOFProject[[#This Row],[Plan01]:[Plan12]])/valUnits2</f>
        <v>0.31231200000000003</v>
      </c>
      <c r="AH432" s="34">
        <f>SUMPRODUCT(DB_SOFProject[[#This Row],[Act01]:[Act12]],$Q$3:$AB$3)/valUnits2</f>
        <v>0</v>
      </c>
    </row>
    <row r="433" spans="2:34" x14ac:dyDescent="0.2">
      <c r="B433" t="s">
        <v>489</v>
      </c>
      <c r="C433" t="s">
        <v>360</v>
      </c>
      <c r="D433" t="s">
        <v>999</v>
      </c>
      <c r="H433">
        <v>0</v>
      </c>
      <c r="I433">
        <v>0</v>
      </c>
      <c r="J433">
        <v>294.93599999999998</v>
      </c>
      <c r="T433">
        <v>0</v>
      </c>
      <c r="U433">
        <v>0</v>
      </c>
      <c r="V433">
        <v>0</v>
      </c>
      <c r="AC433">
        <f>SUMPRODUCT(DB_SOFProject[[#This Row],[Plan01]:[Plan12]],$E$4:$P$4)/valUnits2</f>
        <v>0.29493599999999998</v>
      </c>
      <c r="AD433">
        <f>SUMPRODUCT(DB_SOFProject[[#This Row],[Act01]:[Act12]],$Q$4:$AB$4)/valUnits2</f>
        <v>0</v>
      </c>
      <c r="AE433">
        <f>DB_SOFProject[[#This Row],[Actual]]-DB_SOFProject[[#This Row],[Plan]]</f>
        <v>-0.29493599999999998</v>
      </c>
      <c r="AF433" s="32">
        <f>IF(DB_SOFProject[[#This Row],[Plan]]&lt;&gt;0,DB_SOFProject[[#This Row],[Actual]]/DB_SOFProject[[#This Row],[Plan]],1.000011000011)</f>
        <v>0</v>
      </c>
      <c r="AG433" s="34">
        <f>SUM(DB_SOFProject[[#This Row],[Plan01]:[Plan12]])/valUnits2</f>
        <v>0.29493599999999998</v>
      </c>
      <c r="AH433" s="34">
        <f>SUMPRODUCT(DB_SOFProject[[#This Row],[Act01]:[Act12]],$Q$3:$AB$3)/valUnits2</f>
        <v>0</v>
      </c>
    </row>
    <row r="434" spans="2:34" x14ac:dyDescent="0.2">
      <c r="B434" t="s">
        <v>489</v>
      </c>
      <c r="C434" t="s">
        <v>928</v>
      </c>
      <c r="D434" t="s">
        <v>959</v>
      </c>
      <c r="E434">
        <v>0</v>
      </c>
      <c r="F434">
        <v>357.875</v>
      </c>
      <c r="G434">
        <v>355.303</v>
      </c>
      <c r="H434">
        <v>311.19499999999999</v>
      </c>
      <c r="J434">
        <v>0</v>
      </c>
      <c r="Q434">
        <v>0</v>
      </c>
      <c r="R434">
        <v>365.38</v>
      </c>
      <c r="S434">
        <v>358.52</v>
      </c>
      <c r="T434">
        <v>309.42</v>
      </c>
      <c r="V434">
        <v>-1033.32</v>
      </c>
      <c r="AC434">
        <f>SUMPRODUCT(DB_SOFProject[[#This Row],[Plan01]:[Plan12]],$E$4:$P$4)/valUnits2</f>
        <v>1.024373</v>
      </c>
      <c r="AD434">
        <f>SUMPRODUCT(DB_SOFProject[[#This Row],[Act01]:[Act12]],$Q$4:$AB$4)/valUnits2</f>
        <v>0</v>
      </c>
      <c r="AE434">
        <f>DB_SOFProject[[#This Row],[Actual]]-DB_SOFProject[[#This Row],[Plan]]</f>
        <v>-1.024373</v>
      </c>
      <c r="AF434" s="32">
        <f>IF(DB_SOFProject[[#This Row],[Plan]]&lt;&gt;0,DB_SOFProject[[#This Row],[Actual]]/DB_SOFProject[[#This Row],[Plan]],1.000011000011)</f>
        <v>0</v>
      </c>
      <c r="AG434" s="34">
        <f>SUM(DB_SOFProject[[#This Row],[Plan01]:[Plan12]])/valUnits2</f>
        <v>1.024373</v>
      </c>
      <c r="AH434" s="34">
        <f>SUMPRODUCT(DB_SOFProject[[#This Row],[Act01]:[Act12]],$Q$3:$AB$3)/valUnits2</f>
        <v>0</v>
      </c>
    </row>
    <row r="435" spans="2:34" x14ac:dyDescent="0.2">
      <c r="B435" t="s">
        <v>489</v>
      </c>
      <c r="C435" t="s">
        <v>928</v>
      </c>
      <c r="D435" t="s">
        <v>975</v>
      </c>
      <c r="E435">
        <v>8.7899999999999991</v>
      </c>
      <c r="F435">
        <v>233.63</v>
      </c>
      <c r="G435">
        <v>240.21499999999997</v>
      </c>
      <c r="H435">
        <v>437.85700000000003</v>
      </c>
      <c r="I435">
        <v>241.041</v>
      </c>
      <c r="J435">
        <v>0</v>
      </c>
      <c r="Q435">
        <v>8.66</v>
      </c>
      <c r="R435">
        <v>238.53</v>
      </c>
      <c r="S435">
        <v>242.39000000000001</v>
      </c>
      <c r="T435">
        <v>439.13</v>
      </c>
      <c r="U435">
        <v>246.42000000000002</v>
      </c>
      <c r="V435">
        <v>-1166.47</v>
      </c>
      <c r="AC435">
        <f>SUMPRODUCT(DB_SOFProject[[#This Row],[Plan01]:[Plan12]],$E$4:$P$4)/valUnits2</f>
        <v>1.1615329999999999</v>
      </c>
      <c r="AD435">
        <f>SUMPRODUCT(DB_SOFProject[[#This Row],[Act01]:[Act12]],$Q$4:$AB$4)/valUnits2</f>
        <v>8.6600000000000826E-3</v>
      </c>
      <c r="AE435">
        <f>DB_SOFProject[[#This Row],[Actual]]-DB_SOFProject[[#This Row],[Plan]]</f>
        <v>-1.1528729999999998</v>
      </c>
      <c r="AF435" s="32">
        <f>IF(DB_SOFProject[[#This Row],[Plan]]&lt;&gt;0,DB_SOFProject[[#This Row],[Actual]]/DB_SOFProject[[#This Row],[Plan]],1.000011000011)</f>
        <v>7.4556641955072162E-3</v>
      </c>
      <c r="AG435" s="34">
        <f>SUM(DB_SOFProject[[#This Row],[Plan01]:[Plan12]])/valUnits2</f>
        <v>1.1615329999999999</v>
      </c>
      <c r="AH435" s="34">
        <f>SUMPRODUCT(DB_SOFProject[[#This Row],[Act01]:[Act12]],$Q$3:$AB$3)/valUnits2</f>
        <v>8.6600000000000826E-3</v>
      </c>
    </row>
    <row r="436" spans="2:34" x14ac:dyDescent="0.2">
      <c r="B436" t="s">
        <v>489</v>
      </c>
      <c r="C436" t="s">
        <v>928</v>
      </c>
      <c r="D436" t="s">
        <v>998</v>
      </c>
      <c r="E436">
        <v>0</v>
      </c>
      <c r="F436">
        <v>412.798</v>
      </c>
      <c r="G436">
        <v>333.05100000000004</v>
      </c>
      <c r="H436">
        <v>423.30800000000005</v>
      </c>
      <c r="J436">
        <v>0</v>
      </c>
      <c r="Q436">
        <v>0</v>
      </c>
      <c r="R436">
        <v>420.92</v>
      </c>
      <c r="S436">
        <v>335.43</v>
      </c>
      <c r="T436">
        <v>421.32</v>
      </c>
      <c r="V436">
        <v>-1177.67</v>
      </c>
      <c r="AC436">
        <f>SUMPRODUCT(DB_SOFProject[[#This Row],[Plan01]:[Plan12]],$E$4:$P$4)/valUnits2</f>
        <v>1.1691570000000002</v>
      </c>
      <c r="AD436">
        <f>SUMPRODUCT(DB_SOFProject[[#This Row],[Act01]:[Act12]],$Q$4:$AB$4)/valUnits2</f>
        <v>0</v>
      </c>
      <c r="AE436">
        <f>DB_SOFProject[[#This Row],[Actual]]-DB_SOFProject[[#This Row],[Plan]]</f>
        <v>-1.1691570000000002</v>
      </c>
      <c r="AF436" s="32">
        <f>IF(DB_SOFProject[[#This Row],[Plan]]&lt;&gt;0,DB_SOFProject[[#This Row],[Actual]]/DB_SOFProject[[#This Row],[Plan]],1.000011000011)</f>
        <v>0</v>
      </c>
      <c r="AG436" s="34">
        <f>SUM(DB_SOFProject[[#This Row],[Plan01]:[Plan12]])/valUnits2</f>
        <v>1.1691570000000002</v>
      </c>
      <c r="AH436" s="34">
        <f>SUMPRODUCT(DB_SOFProject[[#This Row],[Act01]:[Act12]],$Q$3:$AB$3)/valUnits2</f>
        <v>0</v>
      </c>
    </row>
    <row r="437" spans="2:34" x14ac:dyDescent="0.2">
      <c r="B437" t="s">
        <v>489</v>
      </c>
      <c r="C437" t="s">
        <v>929</v>
      </c>
      <c r="D437" t="s">
        <v>959</v>
      </c>
      <c r="G437">
        <v>0</v>
      </c>
      <c r="H437">
        <v>0</v>
      </c>
      <c r="I437">
        <v>314.13799999999998</v>
      </c>
      <c r="J437">
        <v>0</v>
      </c>
      <c r="S437">
        <v>0</v>
      </c>
      <c r="T437">
        <v>0</v>
      </c>
      <c r="U437">
        <v>310.33</v>
      </c>
      <c r="V437">
        <v>-310.33</v>
      </c>
      <c r="AC437">
        <f>SUMPRODUCT(DB_SOFProject[[#This Row],[Plan01]:[Plan12]],$E$4:$P$4)/valUnits2</f>
        <v>0.31413799999999997</v>
      </c>
      <c r="AD437">
        <f>SUMPRODUCT(DB_SOFProject[[#This Row],[Act01]:[Act12]],$Q$4:$AB$4)/valUnits2</f>
        <v>0</v>
      </c>
      <c r="AE437">
        <f>DB_SOFProject[[#This Row],[Actual]]-DB_SOFProject[[#This Row],[Plan]]</f>
        <v>-0.31413799999999997</v>
      </c>
      <c r="AF437" s="32">
        <f>IF(DB_SOFProject[[#This Row],[Plan]]&lt;&gt;0,DB_SOFProject[[#This Row],[Actual]]/DB_SOFProject[[#This Row],[Plan]],1.000011000011)</f>
        <v>0</v>
      </c>
      <c r="AG437" s="34">
        <f>SUM(DB_SOFProject[[#This Row],[Plan01]:[Plan12]])/valUnits2</f>
        <v>0.31413799999999997</v>
      </c>
      <c r="AH437" s="34">
        <f>SUMPRODUCT(DB_SOFProject[[#This Row],[Act01]:[Act12]],$Q$3:$AB$3)/valUnits2</f>
        <v>0</v>
      </c>
    </row>
    <row r="438" spans="2:34" x14ac:dyDescent="0.2">
      <c r="B438" t="s">
        <v>489</v>
      </c>
      <c r="C438" t="s">
        <v>929</v>
      </c>
      <c r="D438" t="s">
        <v>975</v>
      </c>
      <c r="E438">
        <v>0</v>
      </c>
      <c r="G438">
        <v>0</v>
      </c>
      <c r="H438">
        <v>163.691</v>
      </c>
      <c r="I438">
        <v>108.81099999999999</v>
      </c>
      <c r="Q438">
        <v>0</v>
      </c>
      <c r="S438">
        <v>0</v>
      </c>
      <c r="T438">
        <v>163.13999999999999</v>
      </c>
      <c r="U438">
        <v>107.88999999999999</v>
      </c>
      <c r="AC438">
        <f>SUMPRODUCT(DB_SOFProject[[#This Row],[Plan01]:[Plan12]],$E$4:$P$4)/valUnits2</f>
        <v>0.27250200000000002</v>
      </c>
      <c r="AD438">
        <f>SUMPRODUCT(DB_SOFProject[[#This Row],[Act01]:[Act12]],$Q$4:$AB$4)/valUnits2</f>
        <v>0.27102999999999999</v>
      </c>
      <c r="AE438">
        <f>DB_SOFProject[[#This Row],[Actual]]-DB_SOFProject[[#This Row],[Plan]]</f>
        <v>-1.4720000000000288E-3</v>
      </c>
      <c r="AF438" s="32">
        <f>IF(DB_SOFProject[[#This Row],[Plan]]&lt;&gt;0,DB_SOFProject[[#This Row],[Actual]]/DB_SOFProject[[#This Row],[Plan]],1.000011000011)</f>
        <v>0.994598204783818</v>
      </c>
      <c r="AG438" s="34">
        <f>SUM(DB_SOFProject[[#This Row],[Plan01]:[Plan12]])/valUnits2</f>
        <v>0.27250200000000002</v>
      </c>
      <c r="AH438" s="34">
        <f>SUMPRODUCT(DB_SOFProject[[#This Row],[Act01]:[Act12]],$Q$3:$AB$3)/valUnits2</f>
        <v>0.27102999999999999</v>
      </c>
    </row>
    <row r="439" spans="2:34" x14ac:dyDescent="0.2">
      <c r="B439" t="s">
        <v>489</v>
      </c>
      <c r="C439" t="s">
        <v>929</v>
      </c>
      <c r="D439" t="s">
        <v>998</v>
      </c>
      <c r="F439">
        <v>88.061000000000007</v>
      </c>
      <c r="R439">
        <v>87.97</v>
      </c>
      <c r="AC439">
        <f>SUMPRODUCT(DB_SOFProject[[#This Row],[Plan01]:[Plan12]],$E$4:$P$4)/valUnits2</f>
        <v>8.8061E-2</v>
      </c>
      <c r="AD439">
        <f>SUMPRODUCT(DB_SOFProject[[#This Row],[Act01]:[Act12]],$Q$4:$AB$4)/valUnits2</f>
        <v>8.7969999999999993E-2</v>
      </c>
      <c r="AE439">
        <f>DB_SOFProject[[#This Row],[Actual]]-DB_SOFProject[[#This Row],[Plan]]</f>
        <v>-9.1000000000007741E-5</v>
      </c>
      <c r="AF439" s="32">
        <f>IF(DB_SOFProject[[#This Row],[Plan]]&lt;&gt;0,DB_SOFProject[[#This Row],[Actual]]/DB_SOFProject[[#This Row],[Plan]],1.000011000011)</f>
        <v>0.99896662540738801</v>
      </c>
      <c r="AG439" s="34">
        <f>SUM(DB_SOFProject[[#This Row],[Plan01]:[Plan12]])/valUnits2</f>
        <v>8.8061E-2</v>
      </c>
      <c r="AH439" s="34">
        <f>SUMPRODUCT(DB_SOFProject[[#This Row],[Act01]:[Act12]],$Q$3:$AB$3)/valUnits2</f>
        <v>8.7969999999999993E-2</v>
      </c>
    </row>
    <row r="440" spans="2:34" x14ac:dyDescent="0.2">
      <c r="B440" t="s">
        <v>489</v>
      </c>
      <c r="C440" t="s">
        <v>929</v>
      </c>
      <c r="D440" t="s">
        <v>999</v>
      </c>
      <c r="G440">
        <v>0</v>
      </c>
      <c r="H440">
        <v>0</v>
      </c>
      <c r="S440">
        <v>0</v>
      </c>
      <c r="T440">
        <v>0</v>
      </c>
      <c r="AC440">
        <f>SUMPRODUCT(DB_SOFProject[[#This Row],[Plan01]:[Plan12]],$E$4:$P$4)/valUnits2</f>
        <v>0</v>
      </c>
      <c r="AD440">
        <f>SUMPRODUCT(DB_SOFProject[[#This Row],[Act01]:[Act12]],$Q$4:$AB$4)/valUnits2</f>
        <v>0</v>
      </c>
      <c r="AE440">
        <f>DB_SOFProject[[#This Row],[Actual]]-DB_SOFProject[[#This Row],[Plan]]</f>
        <v>0</v>
      </c>
      <c r="AF440" s="32">
        <f>IF(DB_SOFProject[[#This Row],[Plan]]&lt;&gt;0,DB_SOFProject[[#This Row],[Actual]]/DB_SOFProject[[#This Row],[Plan]],1.000011000011)</f>
        <v>1.0000110000110001</v>
      </c>
      <c r="AG440" s="34">
        <f>SUM(DB_SOFProject[[#This Row],[Plan01]:[Plan12]])/valUnits2</f>
        <v>0</v>
      </c>
      <c r="AH440" s="34">
        <f>SUMPRODUCT(DB_SOFProject[[#This Row],[Act01]:[Act12]],$Q$3:$AB$3)/valUnits2</f>
        <v>0</v>
      </c>
    </row>
    <row r="441" spans="2:34" x14ac:dyDescent="0.2">
      <c r="B441" t="s">
        <v>489</v>
      </c>
      <c r="C441" t="s">
        <v>930</v>
      </c>
      <c r="D441" t="s">
        <v>946</v>
      </c>
      <c r="E441">
        <v>6.83</v>
      </c>
      <c r="Q441">
        <v>6.83</v>
      </c>
      <c r="AC441">
        <f>SUMPRODUCT(DB_SOFProject[[#This Row],[Plan01]:[Plan12]],$E$4:$P$4)/valUnits2</f>
        <v>6.8300000000000001E-3</v>
      </c>
      <c r="AD441">
        <f>SUMPRODUCT(DB_SOFProject[[#This Row],[Act01]:[Act12]],$Q$4:$AB$4)/valUnits2</f>
        <v>6.8300000000000001E-3</v>
      </c>
      <c r="AE441">
        <f>DB_SOFProject[[#This Row],[Actual]]-DB_SOFProject[[#This Row],[Plan]]</f>
        <v>0</v>
      </c>
      <c r="AF441" s="32">
        <f>IF(DB_SOFProject[[#This Row],[Plan]]&lt;&gt;0,DB_SOFProject[[#This Row],[Actual]]/DB_SOFProject[[#This Row],[Plan]],1.000011000011)</f>
        <v>1</v>
      </c>
      <c r="AG441" s="34">
        <f>SUM(DB_SOFProject[[#This Row],[Plan01]:[Plan12]])/valUnits2</f>
        <v>6.8300000000000001E-3</v>
      </c>
      <c r="AH441" s="34">
        <f>SUMPRODUCT(DB_SOFProject[[#This Row],[Act01]:[Act12]],$Q$3:$AB$3)/valUnits2</f>
        <v>6.8300000000000001E-3</v>
      </c>
    </row>
    <row r="442" spans="2:34" x14ac:dyDescent="0.2">
      <c r="B442" t="s">
        <v>489</v>
      </c>
      <c r="C442" t="s">
        <v>930</v>
      </c>
      <c r="D442" t="s">
        <v>947</v>
      </c>
      <c r="E442">
        <v>641.72</v>
      </c>
      <c r="F442">
        <v>34.659999999999997</v>
      </c>
      <c r="G442">
        <v>63.94</v>
      </c>
      <c r="I442">
        <v>266.37</v>
      </c>
      <c r="J442">
        <v>0</v>
      </c>
      <c r="Q442">
        <v>641.72</v>
      </c>
      <c r="R442">
        <v>34.659999999999997</v>
      </c>
      <c r="S442">
        <v>63.94</v>
      </c>
      <c r="U442">
        <v>266.37</v>
      </c>
      <c r="V442">
        <v>42.28</v>
      </c>
      <c r="AC442">
        <f>SUMPRODUCT(DB_SOFProject[[#This Row],[Plan01]:[Plan12]],$E$4:$P$4)/valUnits2</f>
        <v>1.0066899999999999</v>
      </c>
      <c r="AD442">
        <f>SUMPRODUCT(DB_SOFProject[[#This Row],[Act01]:[Act12]],$Q$4:$AB$4)/valUnits2</f>
        <v>1.04897</v>
      </c>
      <c r="AE442">
        <f>DB_SOFProject[[#This Row],[Actual]]-DB_SOFProject[[#This Row],[Plan]]</f>
        <v>4.2280000000000095E-2</v>
      </c>
      <c r="AF442" s="32">
        <f>IF(DB_SOFProject[[#This Row],[Plan]]&lt;&gt;0,DB_SOFProject[[#This Row],[Actual]]/DB_SOFProject[[#This Row],[Plan]],1.000011000011)</f>
        <v>1.0419990265126307</v>
      </c>
      <c r="AG442" s="34">
        <f>SUM(DB_SOFProject[[#This Row],[Plan01]:[Plan12]])/valUnits2</f>
        <v>1.0066899999999999</v>
      </c>
      <c r="AH442" s="34">
        <f>SUMPRODUCT(DB_SOFProject[[#This Row],[Act01]:[Act12]],$Q$3:$AB$3)/valUnits2</f>
        <v>1.04897</v>
      </c>
    </row>
    <row r="443" spans="2:34" x14ac:dyDescent="0.2">
      <c r="B443" t="s">
        <v>489</v>
      </c>
      <c r="C443" t="s">
        <v>930</v>
      </c>
      <c r="D443" t="s">
        <v>975</v>
      </c>
      <c r="E443">
        <v>668.74</v>
      </c>
      <c r="F443">
        <v>6203.0399999999991</v>
      </c>
      <c r="G443">
        <v>5986.15</v>
      </c>
      <c r="H443">
        <v>1326.1999999999998</v>
      </c>
      <c r="I443">
        <v>2177.4299999999998</v>
      </c>
      <c r="J443">
        <v>2441.4229999999998</v>
      </c>
      <c r="K443">
        <v>2441.4229999999998</v>
      </c>
      <c r="L443">
        <v>2441.4229999999998</v>
      </c>
      <c r="M443">
        <v>2441.4229999999998</v>
      </c>
      <c r="N443">
        <v>2441.4229999999998</v>
      </c>
      <c r="O443">
        <v>2441.4229999999998</v>
      </c>
      <c r="P443">
        <v>2441.4229999999998</v>
      </c>
      <c r="Q443">
        <v>668.74</v>
      </c>
      <c r="R443">
        <v>6203.04</v>
      </c>
      <c r="S443">
        <v>5988.2499999999991</v>
      </c>
      <c r="T443">
        <v>1437.9600000000003</v>
      </c>
      <c r="U443">
        <v>2180.4499999999998</v>
      </c>
      <c r="V443">
        <v>2365.0600000000004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f>SUMPRODUCT(DB_SOFProject[[#This Row],[Plan01]:[Plan12]],$E$4:$P$4)/valUnits2</f>
        <v>18.802982999999998</v>
      </c>
      <c r="AD443">
        <f>SUMPRODUCT(DB_SOFProject[[#This Row],[Act01]:[Act12]],$Q$4:$AB$4)/valUnits2</f>
        <v>18.843499999999999</v>
      </c>
      <c r="AE443">
        <f>DB_SOFProject[[#This Row],[Actual]]-DB_SOFProject[[#This Row],[Plan]]</f>
        <v>4.0517000000001246E-2</v>
      </c>
      <c r="AF443" s="32">
        <f>IF(DB_SOFProject[[#This Row],[Plan]]&lt;&gt;0,DB_SOFProject[[#This Row],[Actual]]/DB_SOFProject[[#This Row],[Plan]],1.000011000011)</f>
        <v>1.0021548176690902</v>
      </c>
      <c r="AG443" s="34">
        <f>SUM(DB_SOFProject[[#This Row],[Plan01]:[Plan12]])/valUnits2</f>
        <v>33.451520999999993</v>
      </c>
      <c r="AH443" s="34">
        <f>SUMPRODUCT(DB_SOFProject[[#This Row],[Act01]:[Act12]],$Q$3:$AB$3)/valUnits2</f>
        <v>18.843499999999999</v>
      </c>
    </row>
    <row r="444" spans="2:34" x14ac:dyDescent="0.2">
      <c r="B444" t="s">
        <v>489</v>
      </c>
      <c r="C444" t="s">
        <v>930</v>
      </c>
      <c r="D444" t="s">
        <v>976</v>
      </c>
      <c r="E444">
        <v>0</v>
      </c>
      <c r="F444">
        <v>274.81</v>
      </c>
      <c r="G444">
        <v>339.16999999999996</v>
      </c>
      <c r="H444">
        <v>232.39000000000001</v>
      </c>
      <c r="I444">
        <v>89.9</v>
      </c>
      <c r="J444">
        <v>117.77500000000001</v>
      </c>
      <c r="K444">
        <v>117.77500000000001</v>
      </c>
      <c r="L444">
        <v>117.77500000000001</v>
      </c>
      <c r="M444">
        <v>117.77500000000001</v>
      </c>
      <c r="N444">
        <v>117.77500000000001</v>
      </c>
      <c r="O444">
        <v>117.77500000000001</v>
      </c>
      <c r="P444">
        <v>117.77500000000001</v>
      </c>
      <c r="Q444">
        <v>0</v>
      </c>
      <c r="R444">
        <v>274.81</v>
      </c>
      <c r="S444">
        <v>339.16999999999996</v>
      </c>
      <c r="T444">
        <v>232.39</v>
      </c>
      <c r="U444">
        <v>89.9</v>
      </c>
      <c r="V444">
        <v>161.38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f>SUMPRODUCT(DB_SOFProject[[#This Row],[Plan01]:[Plan12]],$E$4:$P$4)/valUnits2</f>
        <v>1.0540450000000001</v>
      </c>
      <c r="AD444">
        <f>SUMPRODUCT(DB_SOFProject[[#This Row],[Act01]:[Act12]],$Q$4:$AB$4)/valUnits2</f>
        <v>1.09765</v>
      </c>
      <c r="AE444">
        <f>DB_SOFProject[[#This Row],[Actual]]-DB_SOFProject[[#This Row],[Plan]]</f>
        <v>4.3604999999999894E-2</v>
      </c>
      <c r="AF444" s="32">
        <f>IF(DB_SOFProject[[#This Row],[Plan]]&lt;&gt;0,DB_SOFProject[[#This Row],[Actual]]/DB_SOFProject[[#This Row],[Plan]],1.000011000011)</f>
        <v>1.0413692015046794</v>
      </c>
      <c r="AG444" s="34">
        <f>SUM(DB_SOFProject[[#This Row],[Plan01]:[Plan12]])/valUnits2</f>
        <v>1.7606950000000006</v>
      </c>
      <c r="AH444" s="34">
        <f>SUMPRODUCT(DB_SOFProject[[#This Row],[Act01]:[Act12]],$Q$3:$AB$3)/valUnits2</f>
        <v>1.09765</v>
      </c>
    </row>
    <row r="445" spans="2:34" x14ac:dyDescent="0.2">
      <c r="B445" t="s">
        <v>489</v>
      </c>
      <c r="C445" t="s">
        <v>930</v>
      </c>
      <c r="D445" t="s">
        <v>980</v>
      </c>
      <c r="F445">
        <v>8.4600000000000009</v>
      </c>
      <c r="G445">
        <v>0.43</v>
      </c>
      <c r="I445">
        <v>210.95</v>
      </c>
      <c r="J445">
        <v>0</v>
      </c>
      <c r="R445">
        <v>8.4600000000000009</v>
      </c>
      <c r="S445">
        <v>0.43</v>
      </c>
      <c r="U445">
        <v>210.95000000000002</v>
      </c>
      <c r="V445">
        <v>533.96</v>
      </c>
      <c r="AC445">
        <f>SUMPRODUCT(DB_SOFProject[[#This Row],[Plan01]:[Plan12]],$E$4:$P$4)/valUnits2</f>
        <v>0.21983999999999998</v>
      </c>
      <c r="AD445">
        <f>SUMPRODUCT(DB_SOFProject[[#This Row],[Act01]:[Act12]],$Q$4:$AB$4)/valUnits2</f>
        <v>0.75380000000000003</v>
      </c>
      <c r="AE445">
        <f>DB_SOFProject[[#This Row],[Actual]]-DB_SOFProject[[#This Row],[Plan]]</f>
        <v>0.53395999999999999</v>
      </c>
      <c r="AF445" s="32">
        <f>IF(DB_SOFProject[[#This Row],[Plan]]&lt;&gt;0,DB_SOFProject[[#This Row],[Actual]]/DB_SOFProject[[#This Row],[Plan]],1.000011000011)</f>
        <v>3.4288573508005826</v>
      </c>
      <c r="AG445" s="34">
        <f>SUM(DB_SOFProject[[#This Row],[Plan01]:[Plan12]])/valUnits2</f>
        <v>0.21983999999999998</v>
      </c>
      <c r="AH445" s="34">
        <f>SUMPRODUCT(DB_SOFProject[[#This Row],[Act01]:[Act12]],$Q$3:$AB$3)/valUnits2</f>
        <v>0.75380000000000003</v>
      </c>
    </row>
    <row r="446" spans="2:34" x14ac:dyDescent="0.2">
      <c r="B446" t="s">
        <v>489</v>
      </c>
      <c r="C446" t="s">
        <v>930</v>
      </c>
      <c r="D446" t="s">
        <v>984</v>
      </c>
      <c r="F446">
        <v>164.76</v>
      </c>
      <c r="G446">
        <v>189.54</v>
      </c>
      <c r="H446">
        <v>341.06</v>
      </c>
      <c r="I446">
        <v>331.71</v>
      </c>
      <c r="J446">
        <v>0</v>
      </c>
      <c r="R446">
        <v>164.76</v>
      </c>
      <c r="S446">
        <v>189.54000000000002</v>
      </c>
      <c r="T446">
        <v>341.06</v>
      </c>
      <c r="U446">
        <v>331.71</v>
      </c>
      <c r="V446">
        <v>183.9</v>
      </c>
      <c r="AC446">
        <f>SUMPRODUCT(DB_SOFProject[[#This Row],[Plan01]:[Plan12]],$E$4:$P$4)/valUnits2</f>
        <v>1.0270699999999999</v>
      </c>
      <c r="AD446">
        <f>SUMPRODUCT(DB_SOFProject[[#This Row],[Act01]:[Act12]],$Q$4:$AB$4)/valUnits2</f>
        <v>1.2109700000000001</v>
      </c>
      <c r="AE446">
        <f>DB_SOFProject[[#This Row],[Actual]]-DB_SOFProject[[#This Row],[Plan]]</f>
        <v>0.18390000000000017</v>
      </c>
      <c r="AF446" s="32">
        <f>IF(DB_SOFProject[[#This Row],[Plan]]&lt;&gt;0,DB_SOFProject[[#This Row],[Actual]]/DB_SOFProject[[#This Row],[Plan]],1.000011000011)</f>
        <v>1.1790530343598782</v>
      </c>
      <c r="AG446" s="34">
        <f>SUM(DB_SOFProject[[#This Row],[Plan01]:[Plan12]])/valUnits2</f>
        <v>1.0270699999999999</v>
      </c>
      <c r="AH446" s="34">
        <f>SUMPRODUCT(DB_SOFProject[[#This Row],[Act01]:[Act12]],$Q$3:$AB$3)/valUnits2</f>
        <v>1.2109700000000001</v>
      </c>
    </row>
    <row r="447" spans="2:34" x14ac:dyDescent="0.2">
      <c r="B447" t="s">
        <v>489</v>
      </c>
      <c r="C447" t="s">
        <v>930</v>
      </c>
      <c r="D447" t="s">
        <v>999</v>
      </c>
      <c r="E447">
        <v>227.67</v>
      </c>
      <c r="G447">
        <v>5.52</v>
      </c>
      <c r="H447">
        <v>11.3</v>
      </c>
      <c r="I447">
        <v>26.080000000000002</v>
      </c>
      <c r="J447">
        <v>0</v>
      </c>
      <c r="Q447">
        <v>227.67</v>
      </c>
      <c r="S447">
        <v>5.52</v>
      </c>
      <c r="T447">
        <v>11.3</v>
      </c>
      <c r="U447">
        <v>26.080000000000002</v>
      </c>
      <c r="V447">
        <v>4.1999999999999993</v>
      </c>
      <c r="AC447">
        <f>SUMPRODUCT(DB_SOFProject[[#This Row],[Plan01]:[Plan12]],$E$4:$P$4)/valUnits2</f>
        <v>0.27056999999999998</v>
      </c>
      <c r="AD447">
        <f>SUMPRODUCT(DB_SOFProject[[#This Row],[Act01]:[Act12]],$Q$4:$AB$4)/valUnits2</f>
        <v>0.27476999999999996</v>
      </c>
      <c r="AE447">
        <f>DB_SOFProject[[#This Row],[Actual]]-DB_SOFProject[[#This Row],[Plan]]</f>
        <v>4.1999999999999815E-3</v>
      </c>
      <c r="AF447" s="32">
        <f>IF(DB_SOFProject[[#This Row],[Plan]]&lt;&gt;0,DB_SOFProject[[#This Row],[Actual]]/DB_SOFProject[[#This Row],[Plan]],1.000011000011)</f>
        <v>1.0155227852311786</v>
      </c>
      <c r="AG447" s="34">
        <f>SUM(DB_SOFProject[[#This Row],[Plan01]:[Plan12]])/valUnits2</f>
        <v>0.27056999999999998</v>
      </c>
      <c r="AH447" s="34">
        <f>SUMPRODUCT(DB_SOFProject[[#This Row],[Act01]:[Act12]],$Q$3:$AB$3)/valUnits2</f>
        <v>0.27476999999999996</v>
      </c>
    </row>
    <row r="448" spans="2:34" x14ac:dyDescent="0.2">
      <c r="B448" t="s">
        <v>489</v>
      </c>
      <c r="C448" t="s">
        <v>932</v>
      </c>
      <c r="D448" t="s">
        <v>946</v>
      </c>
      <c r="H448">
        <v>178.14999999999998</v>
      </c>
      <c r="I448">
        <v>178.14999999999998</v>
      </c>
      <c r="J448">
        <v>178.14999999999998</v>
      </c>
      <c r="K448">
        <v>178.14999999999998</v>
      </c>
      <c r="L448">
        <v>178.14999999999998</v>
      </c>
      <c r="M448">
        <v>178.14999999999998</v>
      </c>
      <c r="N448">
        <v>178.14999999999998</v>
      </c>
      <c r="O448">
        <v>178.14999999999998</v>
      </c>
      <c r="P448">
        <v>178.14999999999998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f>SUMPRODUCT(DB_SOFProject[[#This Row],[Plan01]:[Plan12]],$E$4:$P$4)/valUnits2</f>
        <v>0.53444999999999998</v>
      </c>
      <c r="AD448">
        <f>SUMPRODUCT(DB_SOFProject[[#This Row],[Act01]:[Act12]],$Q$4:$AB$4)/valUnits2</f>
        <v>0</v>
      </c>
      <c r="AE448">
        <f>DB_SOFProject[[#This Row],[Actual]]-DB_SOFProject[[#This Row],[Plan]]</f>
        <v>-0.53444999999999998</v>
      </c>
      <c r="AF448" s="32">
        <f>IF(DB_SOFProject[[#This Row],[Plan]]&lt;&gt;0,DB_SOFProject[[#This Row],[Actual]]/DB_SOFProject[[#This Row],[Plan]],1.000011000011)</f>
        <v>0</v>
      </c>
      <c r="AG448" s="34">
        <f>SUM(DB_SOFProject[[#This Row],[Plan01]:[Plan12]])/valUnits2</f>
        <v>1.6033499999999998</v>
      </c>
      <c r="AH448" s="34">
        <f>SUMPRODUCT(DB_SOFProject[[#This Row],[Act01]:[Act12]],$Q$3:$AB$3)/valUnits2</f>
        <v>0</v>
      </c>
    </row>
    <row r="449" spans="2:34" x14ac:dyDescent="0.2">
      <c r="B449" t="s">
        <v>489</v>
      </c>
      <c r="C449" t="s">
        <v>932</v>
      </c>
      <c r="D449" t="s">
        <v>959</v>
      </c>
      <c r="H449">
        <v>356.3</v>
      </c>
      <c r="I449">
        <v>356.3</v>
      </c>
      <c r="J449">
        <v>356.3</v>
      </c>
      <c r="K449">
        <v>356.3</v>
      </c>
      <c r="L449">
        <v>356.3</v>
      </c>
      <c r="M449">
        <v>356.3</v>
      </c>
      <c r="N449">
        <v>356.3</v>
      </c>
      <c r="O449">
        <v>356.3</v>
      </c>
      <c r="P449">
        <v>356.3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f>SUMPRODUCT(DB_SOFProject[[#This Row],[Plan01]:[Plan12]],$E$4:$P$4)/valUnits2</f>
        <v>1.0689000000000002</v>
      </c>
      <c r="AD449">
        <f>SUMPRODUCT(DB_SOFProject[[#This Row],[Act01]:[Act12]],$Q$4:$AB$4)/valUnits2</f>
        <v>0</v>
      </c>
      <c r="AE449">
        <f>DB_SOFProject[[#This Row],[Actual]]-DB_SOFProject[[#This Row],[Plan]]</f>
        <v>-1.0689000000000002</v>
      </c>
      <c r="AF449" s="32">
        <f>IF(DB_SOFProject[[#This Row],[Plan]]&lt;&gt;0,DB_SOFProject[[#This Row],[Actual]]/DB_SOFProject[[#This Row],[Plan]],1.000011000011)</f>
        <v>0</v>
      </c>
      <c r="AG449" s="34">
        <f>SUM(DB_SOFProject[[#This Row],[Plan01]:[Plan12]])/valUnits2</f>
        <v>3.2067000000000005</v>
      </c>
      <c r="AH449" s="34">
        <f>SUMPRODUCT(DB_SOFProject[[#This Row],[Act01]:[Act12]],$Q$3:$AB$3)/valUnits2</f>
        <v>0</v>
      </c>
    </row>
    <row r="450" spans="2:34" x14ac:dyDescent="0.2">
      <c r="B450" t="s">
        <v>489</v>
      </c>
      <c r="C450" t="s">
        <v>932</v>
      </c>
      <c r="D450" t="s">
        <v>975</v>
      </c>
      <c r="H450">
        <v>806.04199999999992</v>
      </c>
      <c r="I450">
        <v>1306.93</v>
      </c>
      <c r="J450">
        <v>122.73099999999999</v>
      </c>
      <c r="K450">
        <v>122.73099999999999</v>
      </c>
      <c r="L450">
        <v>122.73099999999999</v>
      </c>
      <c r="M450">
        <v>122.73099999999999</v>
      </c>
      <c r="N450">
        <v>122.73099999999999</v>
      </c>
      <c r="O450">
        <v>122.73099999999999</v>
      </c>
      <c r="P450">
        <v>122.73099999999999</v>
      </c>
      <c r="T450">
        <v>687.24</v>
      </c>
      <c r="U450">
        <v>1270.29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f>SUMPRODUCT(DB_SOFProject[[#This Row],[Plan01]:[Plan12]],$E$4:$P$4)/valUnits2</f>
        <v>2.2357029999999996</v>
      </c>
      <c r="AD450">
        <f>SUMPRODUCT(DB_SOFProject[[#This Row],[Act01]:[Act12]],$Q$4:$AB$4)/valUnits2</f>
        <v>1.95753</v>
      </c>
      <c r="AE450">
        <f>DB_SOFProject[[#This Row],[Actual]]-DB_SOFProject[[#This Row],[Plan]]</f>
        <v>-0.27817299999999956</v>
      </c>
      <c r="AF450" s="32">
        <f>IF(DB_SOFProject[[#This Row],[Plan]]&lt;&gt;0,DB_SOFProject[[#This Row],[Actual]]/DB_SOFProject[[#This Row],[Plan]],1.000011000011)</f>
        <v>0.87557694380693696</v>
      </c>
      <c r="AG450" s="34">
        <f>SUM(DB_SOFProject[[#This Row],[Plan01]:[Plan12]])/valUnits2</f>
        <v>2.9720889999999982</v>
      </c>
      <c r="AH450" s="34">
        <f>SUMPRODUCT(DB_SOFProject[[#This Row],[Act01]:[Act12]],$Q$3:$AB$3)/valUnits2</f>
        <v>1.95753</v>
      </c>
    </row>
    <row r="451" spans="2:34" x14ac:dyDescent="0.2">
      <c r="B451" t="s">
        <v>489</v>
      </c>
      <c r="C451" t="s">
        <v>932</v>
      </c>
      <c r="D451" t="s">
        <v>980</v>
      </c>
      <c r="H451">
        <v>178.14999999999998</v>
      </c>
      <c r="I451">
        <v>178.14999999999998</v>
      </c>
      <c r="J451">
        <v>178.14999999999998</v>
      </c>
      <c r="K451">
        <v>178.14999999999998</v>
      </c>
      <c r="L451">
        <v>178.14999999999998</v>
      </c>
      <c r="M451">
        <v>178.14999999999998</v>
      </c>
      <c r="N451">
        <v>178.14999999999998</v>
      </c>
      <c r="O451">
        <v>178.14999999999998</v>
      </c>
      <c r="P451">
        <v>178.14999999999998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f>SUMPRODUCT(DB_SOFProject[[#This Row],[Plan01]:[Plan12]],$E$4:$P$4)/valUnits2</f>
        <v>0.53444999999999998</v>
      </c>
      <c r="AD451">
        <f>SUMPRODUCT(DB_SOFProject[[#This Row],[Act01]:[Act12]],$Q$4:$AB$4)/valUnits2</f>
        <v>0</v>
      </c>
      <c r="AE451">
        <f>DB_SOFProject[[#This Row],[Actual]]-DB_SOFProject[[#This Row],[Plan]]</f>
        <v>-0.53444999999999998</v>
      </c>
      <c r="AF451" s="32">
        <f>IF(DB_SOFProject[[#This Row],[Plan]]&lt;&gt;0,DB_SOFProject[[#This Row],[Actual]]/DB_SOFProject[[#This Row],[Plan]],1.000011000011)</f>
        <v>0</v>
      </c>
      <c r="AG451" s="34">
        <f>SUM(DB_SOFProject[[#This Row],[Plan01]:[Plan12]])/valUnits2</f>
        <v>1.6033499999999998</v>
      </c>
      <c r="AH451" s="34">
        <f>SUMPRODUCT(DB_SOFProject[[#This Row],[Act01]:[Act12]],$Q$3:$AB$3)/valUnits2</f>
        <v>0</v>
      </c>
    </row>
    <row r="452" spans="2:34" x14ac:dyDescent="0.2">
      <c r="B452" t="s">
        <v>489</v>
      </c>
      <c r="C452" t="s">
        <v>932</v>
      </c>
      <c r="D452" t="s">
        <v>999</v>
      </c>
      <c r="H452">
        <v>178.14999999999998</v>
      </c>
      <c r="I452">
        <v>178.14999999999998</v>
      </c>
      <c r="J452">
        <v>178.14999999999998</v>
      </c>
      <c r="K452">
        <v>178.14999999999998</v>
      </c>
      <c r="L452">
        <v>178.14999999999998</v>
      </c>
      <c r="M452">
        <v>178.14999999999998</v>
      </c>
      <c r="N452">
        <v>178.14999999999998</v>
      </c>
      <c r="O452">
        <v>178.14999999999998</v>
      </c>
      <c r="P452">
        <v>178.14999999999998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f>SUMPRODUCT(DB_SOFProject[[#This Row],[Plan01]:[Plan12]],$E$4:$P$4)/valUnits2</f>
        <v>0.53444999999999998</v>
      </c>
      <c r="AD452">
        <f>SUMPRODUCT(DB_SOFProject[[#This Row],[Act01]:[Act12]],$Q$4:$AB$4)/valUnits2</f>
        <v>0</v>
      </c>
      <c r="AE452">
        <f>DB_SOFProject[[#This Row],[Actual]]-DB_SOFProject[[#This Row],[Plan]]</f>
        <v>-0.53444999999999998</v>
      </c>
      <c r="AF452" s="32">
        <f>IF(DB_SOFProject[[#This Row],[Plan]]&lt;&gt;0,DB_SOFProject[[#This Row],[Actual]]/DB_SOFProject[[#This Row],[Plan]],1.000011000011)</f>
        <v>0</v>
      </c>
      <c r="AG452" s="34">
        <f>SUM(DB_SOFProject[[#This Row],[Plan01]:[Plan12]])/valUnits2</f>
        <v>1.6033499999999998</v>
      </c>
      <c r="AH452" s="34">
        <f>SUMPRODUCT(DB_SOFProject[[#This Row],[Act01]:[Act12]],$Q$3:$AB$3)/valUnits2</f>
        <v>0</v>
      </c>
    </row>
    <row r="453" spans="2:34" x14ac:dyDescent="0.2">
      <c r="B453" t="s">
        <v>489</v>
      </c>
      <c r="C453" t="s">
        <v>933</v>
      </c>
      <c r="D453" t="s">
        <v>946</v>
      </c>
      <c r="G453">
        <v>0</v>
      </c>
      <c r="H453">
        <v>0</v>
      </c>
      <c r="I453">
        <v>0</v>
      </c>
      <c r="S453">
        <v>0</v>
      </c>
      <c r="T453">
        <v>0</v>
      </c>
      <c r="U453">
        <v>0</v>
      </c>
      <c r="AC453">
        <f>SUMPRODUCT(DB_SOFProject[[#This Row],[Plan01]:[Plan12]],$E$4:$P$4)/valUnits2</f>
        <v>0</v>
      </c>
      <c r="AD453">
        <f>SUMPRODUCT(DB_SOFProject[[#This Row],[Act01]:[Act12]],$Q$4:$AB$4)/valUnits2</f>
        <v>0</v>
      </c>
      <c r="AE453">
        <f>DB_SOFProject[[#This Row],[Actual]]-DB_SOFProject[[#This Row],[Plan]]</f>
        <v>0</v>
      </c>
      <c r="AF453" s="32">
        <f>IF(DB_SOFProject[[#This Row],[Plan]]&lt;&gt;0,DB_SOFProject[[#This Row],[Actual]]/DB_SOFProject[[#This Row],[Plan]],1.000011000011)</f>
        <v>1.0000110000110001</v>
      </c>
      <c r="AG453" s="34">
        <f>SUM(DB_SOFProject[[#This Row],[Plan01]:[Plan12]])/valUnits2</f>
        <v>0</v>
      </c>
      <c r="AH453" s="34">
        <f>SUMPRODUCT(DB_SOFProject[[#This Row],[Act01]:[Act12]],$Q$3:$AB$3)/valUnits2</f>
        <v>0</v>
      </c>
    </row>
    <row r="454" spans="2:34" x14ac:dyDescent="0.2">
      <c r="B454" t="s">
        <v>489</v>
      </c>
      <c r="C454" t="s">
        <v>933</v>
      </c>
      <c r="D454" t="s">
        <v>947</v>
      </c>
      <c r="E454">
        <v>12.09</v>
      </c>
      <c r="F454">
        <v>20.03</v>
      </c>
      <c r="G454">
        <v>46.89</v>
      </c>
      <c r="H454">
        <v>9.9700000000000006</v>
      </c>
      <c r="I454">
        <v>7.55</v>
      </c>
      <c r="J454">
        <v>0</v>
      </c>
      <c r="Q454">
        <v>12.09</v>
      </c>
      <c r="R454">
        <v>20.03</v>
      </c>
      <c r="S454">
        <v>144.79000000000002</v>
      </c>
      <c r="T454">
        <v>9.9700000000000006</v>
      </c>
      <c r="U454">
        <v>7.5500000000000007</v>
      </c>
      <c r="V454">
        <v>34.07</v>
      </c>
      <c r="AC454">
        <f>SUMPRODUCT(DB_SOFProject[[#This Row],[Plan01]:[Plan12]],$E$4:$P$4)/valUnits2</f>
        <v>9.6530000000000005E-2</v>
      </c>
      <c r="AD454">
        <f>SUMPRODUCT(DB_SOFProject[[#This Row],[Act01]:[Act12]],$Q$4:$AB$4)/valUnits2</f>
        <v>0.22850000000000004</v>
      </c>
      <c r="AE454">
        <f>DB_SOFProject[[#This Row],[Actual]]-DB_SOFProject[[#This Row],[Plan]]</f>
        <v>0.13197000000000003</v>
      </c>
      <c r="AF454" s="32">
        <f>IF(DB_SOFProject[[#This Row],[Plan]]&lt;&gt;0,DB_SOFProject[[#This Row],[Actual]]/DB_SOFProject[[#This Row],[Plan]],1.000011000011)</f>
        <v>2.367139749300736</v>
      </c>
      <c r="AG454" s="34">
        <f>SUM(DB_SOFProject[[#This Row],[Plan01]:[Plan12]])/valUnits2</f>
        <v>9.6530000000000005E-2</v>
      </c>
      <c r="AH454" s="34">
        <f>SUMPRODUCT(DB_SOFProject[[#This Row],[Act01]:[Act12]],$Q$3:$AB$3)/valUnits2</f>
        <v>0.22850000000000004</v>
      </c>
    </row>
    <row r="455" spans="2:34" x14ac:dyDescent="0.2">
      <c r="B455" t="s">
        <v>489</v>
      </c>
      <c r="C455" t="s">
        <v>933</v>
      </c>
      <c r="D455" t="s">
        <v>959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f>SUMPRODUCT(DB_SOFProject[[#This Row],[Plan01]:[Plan12]],$E$4:$P$4)/valUnits2</f>
        <v>0</v>
      </c>
      <c r="AD455">
        <f>SUMPRODUCT(DB_SOFProject[[#This Row],[Act01]:[Act12]],$Q$4:$AB$4)/valUnits2</f>
        <v>0</v>
      </c>
      <c r="AE455">
        <f>DB_SOFProject[[#This Row],[Actual]]-DB_SOFProject[[#This Row],[Plan]]</f>
        <v>0</v>
      </c>
      <c r="AF455" s="32">
        <f>IF(DB_SOFProject[[#This Row],[Plan]]&lt;&gt;0,DB_SOFProject[[#This Row],[Actual]]/DB_SOFProject[[#This Row],[Plan]],1.000011000011)</f>
        <v>1.0000110000110001</v>
      </c>
      <c r="AG455" s="34">
        <f>SUM(DB_SOFProject[[#This Row],[Plan01]:[Plan12]])/valUnits2</f>
        <v>0</v>
      </c>
      <c r="AH455" s="34">
        <f>SUMPRODUCT(DB_SOFProject[[#This Row],[Act01]:[Act12]],$Q$3:$AB$3)/valUnits2</f>
        <v>0</v>
      </c>
    </row>
    <row r="456" spans="2:34" x14ac:dyDescent="0.2">
      <c r="B456" t="s">
        <v>489</v>
      </c>
      <c r="C456" t="s">
        <v>933</v>
      </c>
      <c r="D456" t="s">
        <v>975</v>
      </c>
      <c r="E456">
        <v>279.24</v>
      </c>
      <c r="F456">
        <v>0</v>
      </c>
      <c r="G456">
        <v>5.03</v>
      </c>
      <c r="H456">
        <v>33.69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279.24</v>
      </c>
      <c r="R456">
        <v>0</v>
      </c>
      <c r="S456">
        <v>5.03</v>
      </c>
      <c r="T456">
        <v>33.69</v>
      </c>
      <c r="U456">
        <v>0</v>
      </c>
      <c r="V456">
        <v>3.14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f>SUMPRODUCT(DB_SOFProject[[#This Row],[Plan01]:[Plan12]],$E$4:$P$4)/valUnits2</f>
        <v>0.31795999999999996</v>
      </c>
      <c r="AD456">
        <f>SUMPRODUCT(DB_SOFProject[[#This Row],[Act01]:[Act12]],$Q$4:$AB$4)/valUnits2</f>
        <v>0.32109999999999994</v>
      </c>
      <c r="AE456">
        <f>DB_SOFProject[[#This Row],[Actual]]-DB_SOFProject[[#This Row],[Plan]]</f>
        <v>3.1399999999999761E-3</v>
      </c>
      <c r="AF456" s="32">
        <f>IF(DB_SOFProject[[#This Row],[Plan]]&lt;&gt;0,DB_SOFProject[[#This Row],[Actual]]/DB_SOFProject[[#This Row],[Plan]],1.000011000011)</f>
        <v>1.0098754560322052</v>
      </c>
      <c r="AG456" s="34">
        <f>SUM(DB_SOFProject[[#This Row],[Plan01]:[Plan12]])/valUnits2</f>
        <v>0.31795999999999996</v>
      </c>
      <c r="AH456" s="34">
        <f>SUMPRODUCT(DB_SOFProject[[#This Row],[Act01]:[Act12]],$Q$3:$AB$3)/valUnits2</f>
        <v>0.32109999999999994</v>
      </c>
    </row>
    <row r="457" spans="2:34" x14ac:dyDescent="0.2">
      <c r="B457" t="s">
        <v>489</v>
      </c>
      <c r="C457" t="s">
        <v>933</v>
      </c>
      <c r="D457" t="s">
        <v>976</v>
      </c>
      <c r="G457">
        <v>0</v>
      </c>
      <c r="H457">
        <v>0</v>
      </c>
      <c r="I457">
        <v>0</v>
      </c>
      <c r="S457">
        <v>0</v>
      </c>
      <c r="T457">
        <v>0</v>
      </c>
      <c r="U457">
        <v>0</v>
      </c>
      <c r="AC457">
        <f>SUMPRODUCT(DB_SOFProject[[#This Row],[Plan01]:[Plan12]],$E$4:$P$4)/valUnits2</f>
        <v>0</v>
      </c>
      <c r="AD457">
        <f>SUMPRODUCT(DB_SOFProject[[#This Row],[Act01]:[Act12]],$Q$4:$AB$4)/valUnits2</f>
        <v>0</v>
      </c>
      <c r="AE457">
        <f>DB_SOFProject[[#This Row],[Actual]]-DB_SOFProject[[#This Row],[Plan]]</f>
        <v>0</v>
      </c>
      <c r="AF457" s="32">
        <f>IF(DB_SOFProject[[#This Row],[Plan]]&lt;&gt;0,DB_SOFProject[[#This Row],[Actual]]/DB_SOFProject[[#This Row],[Plan]],1.000011000011)</f>
        <v>1.0000110000110001</v>
      </c>
      <c r="AG457" s="34">
        <f>SUM(DB_SOFProject[[#This Row],[Plan01]:[Plan12]])/valUnits2</f>
        <v>0</v>
      </c>
      <c r="AH457" s="34">
        <f>SUMPRODUCT(DB_SOFProject[[#This Row],[Act01]:[Act12]],$Q$3:$AB$3)/valUnits2</f>
        <v>0</v>
      </c>
    </row>
    <row r="458" spans="2:34" x14ac:dyDescent="0.2">
      <c r="B458" t="s">
        <v>489</v>
      </c>
      <c r="C458" t="s">
        <v>933</v>
      </c>
      <c r="D458" t="s">
        <v>980</v>
      </c>
      <c r="F458">
        <v>3297.7799999999997</v>
      </c>
      <c r="G458">
        <v>2277.79</v>
      </c>
      <c r="H458">
        <v>1039.17</v>
      </c>
      <c r="I458">
        <v>0</v>
      </c>
      <c r="J458">
        <v>10</v>
      </c>
      <c r="K458">
        <v>10</v>
      </c>
      <c r="L458">
        <v>10</v>
      </c>
      <c r="M458">
        <v>10</v>
      </c>
      <c r="N458">
        <v>10</v>
      </c>
      <c r="O458">
        <v>10</v>
      </c>
      <c r="P458">
        <v>10</v>
      </c>
      <c r="R458">
        <v>3297.7799999999997</v>
      </c>
      <c r="S458">
        <v>2277.79</v>
      </c>
      <c r="T458">
        <v>1039.17</v>
      </c>
      <c r="U458">
        <v>0</v>
      </c>
      <c r="V458">
        <v>568.54999999999995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f>SUMPRODUCT(DB_SOFProject[[#This Row],[Plan01]:[Plan12]],$E$4:$P$4)/valUnits2</f>
        <v>6.6247400000000001</v>
      </c>
      <c r="AD458">
        <f>SUMPRODUCT(DB_SOFProject[[#This Row],[Act01]:[Act12]],$Q$4:$AB$4)/valUnits2</f>
        <v>7.1832900000000004</v>
      </c>
      <c r="AE458">
        <f>DB_SOFProject[[#This Row],[Actual]]-DB_SOFProject[[#This Row],[Plan]]</f>
        <v>0.55855000000000032</v>
      </c>
      <c r="AF458" s="32">
        <f>IF(DB_SOFProject[[#This Row],[Plan]]&lt;&gt;0,DB_SOFProject[[#This Row],[Actual]]/DB_SOFProject[[#This Row],[Plan]],1.000011000011)</f>
        <v>1.084312742839719</v>
      </c>
      <c r="AG458" s="34">
        <f>SUM(DB_SOFProject[[#This Row],[Plan01]:[Plan12]])/valUnits2</f>
        <v>6.6847399999999997</v>
      </c>
      <c r="AH458" s="34">
        <f>SUMPRODUCT(DB_SOFProject[[#This Row],[Act01]:[Act12]],$Q$3:$AB$3)/valUnits2</f>
        <v>7.1832900000000004</v>
      </c>
    </row>
    <row r="459" spans="2:34" x14ac:dyDescent="0.2">
      <c r="B459" t="s">
        <v>489</v>
      </c>
      <c r="C459" t="s">
        <v>933</v>
      </c>
      <c r="D459" t="s">
        <v>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AC459">
        <f>SUMPRODUCT(DB_SOFProject[[#This Row],[Plan01]:[Plan12]],$E$4:$P$4)/valUnits2</f>
        <v>0</v>
      </c>
      <c r="AD459">
        <f>SUMPRODUCT(DB_SOFProject[[#This Row],[Act01]:[Act12]],$Q$4:$AB$4)/valUnits2</f>
        <v>0</v>
      </c>
      <c r="AE459">
        <f>DB_SOFProject[[#This Row],[Actual]]-DB_SOFProject[[#This Row],[Plan]]</f>
        <v>0</v>
      </c>
      <c r="AF459" s="32">
        <f>IF(DB_SOFProject[[#This Row],[Plan]]&lt;&gt;0,DB_SOFProject[[#This Row],[Actual]]/DB_SOFProject[[#This Row],[Plan]],1.000011000011)</f>
        <v>1.0000110000110001</v>
      </c>
      <c r="AG459" s="34">
        <f>SUM(DB_SOFProject[[#This Row],[Plan01]:[Plan12]])/valUnits2</f>
        <v>0</v>
      </c>
      <c r="AH459" s="34">
        <f>SUMPRODUCT(DB_SOFProject[[#This Row],[Act01]:[Act12]],$Q$3:$AB$3)/valUnits2</f>
        <v>0</v>
      </c>
    </row>
    <row r="460" spans="2:34" x14ac:dyDescent="0.2">
      <c r="B460" t="s">
        <v>489</v>
      </c>
      <c r="C460" t="s">
        <v>935</v>
      </c>
      <c r="D460" t="s">
        <v>946</v>
      </c>
      <c r="E460">
        <v>0</v>
      </c>
      <c r="H460">
        <v>229.142</v>
      </c>
      <c r="I460">
        <v>107.93300000000001</v>
      </c>
      <c r="J460">
        <v>119.40299999999999</v>
      </c>
      <c r="K460">
        <v>119.40299999999999</v>
      </c>
      <c r="L460">
        <v>119.40299999999999</v>
      </c>
      <c r="M460">
        <v>119.40299999999999</v>
      </c>
      <c r="N460">
        <v>119.40299999999999</v>
      </c>
      <c r="O460">
        <v>119.40299999999999</v>
      </c>
      <c r="P460">
        <v>119.40299999999999</v>
      </c>
      <c r="Q460">
        <v>0</v>
      </c>
      <c r="T460">
        <v>224.44000000000003</v>
      </c>
      <c r="U460">
        <v>107.72</v>
      </c>
      <c r="V460">
        <v>116.02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f>SUMPRODUCT(DB_SOFProject[[#This Row],[Plan01]:[Plan12]],$E$4:$P$4)/valUnits2</f>
        <v>0.45647799999999994</v>
      </c>
      <c r="AD460">
        <f>SUMPRODUCT(DB_SOFProject[[#This Row],[Act01]:[Act12]],$Q$4:$AB$4)/valUnits2</f>
        <v>0.44818000000000002</v>
      </c>
      <c r="AE460">
        <f>DB_SOFProject[[#This Row],[Actual]]-DB_SOFProject[[#This Row],[Plan]]</f>
        <v>-8.2979999999999166E-3</v>
      </c>
      <c r="AF460" s="32">
        <f>IF(DB_SOFProject[[#This Row],[Plan]]&lt;&gt;0,DB_SOFProject[[#This Row],[Actual]]/DB_SOFProject[[#This Row],[Plan]],1.000011000011)</f>
        <v>0.98182168691590854</v>
      </c>
      <c r="AG460" s="34">
        <f>SUM(DB_SOFProject[[#This Row],[Plan01]:[Plan12]])/valUnits2</f>
        <v>1.1728959999999999</v>
      </c>
      <c r="AH460" s="34">
        <f>SUMPRODUCT(DB_SOFProject[[#This Row],[Act01]:[Act12]],$Q$3:$AB$3)/valUnits2</f>
        <v>0.44818000000000002</v>
      </c>
    </row>
    <row r="461" spans="2:34" x14ac:dyDescent="0.2">
      <c r="B461" t="s">
        <v>489</v>
      </c>
      <c r="C461" t="s">
        <v>935</v>
      </c>
      <c r="D461" t="s">
        <v>947</v>
      </c>
      <c r="H461">
        <v>771.74</v>
      </c>
      <c r="I461">
        <v>101.119</v>
      </c>
      <c r="J461">
        <v>126.646</v>
      </c>
      <c r="K461">
        <v>126.646</v>
      </c>
      <c r="L461">
        <v>126.646</v>
      </c>
      <c r="M461">
        <v>126.646</v>
      </c>
      <c r="N461">
        <v>126.646</v>
      </c>
      <c r="O461">
        <v>126.646</v>
      </c>
      <c r="P461">
        <v>126.646</v>
      </c>
      <c r="T461">
        <v>760.21</v>
      </c>
      <c r="U461">
        <v>100.92</v>
      </c>
      <c r="V461">
        <v>103.41000000000001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f>SUMPRODUCT(DB_SOFProject[[#This Row],[Plan01]:[Plan12]],$E$4:$P$4)/valUnits2</f>
        <v>0.99950499999999998</v>
      </c>
      <c r="AD461">
        <f>SUMPRODUCT(DB_SOFProject[[#This Row],[Act01]:[Act12]],$Q$4:$AB$4)/valUnits2</f>
        <v>0.96453999999999995</v>
      </c>
      <c r="AE461">
        <f>DB_SOFProject[[#This Row],[Actual]]-DB_SOFProject[[#This Row],[Plan]]</f>
        <v>-3.4965000000000024E-2</v>
      </c>
      <c r="AF461" s="32">
        <f>IF(DB_SOFProject[[#This Row],[Plan]]&lt;&gt;0,DB_SOFProject[[#This Row],[Actual]]/DB_SOFProject[[#This Row],[Plan]],1.000011000011)</f>
        <v>0.96501768375345798</v>
      </c>
      <c r="AG461" s="34">
        <f>SUM(DB_SOFProject[[#This Row],[Plan01]:[Plan12]])/valUnits2</f>
        <v>1.7593809999999999</v>
      </c>
      <c r="AH461" s="34">
        <f>SUMPRODUCT(DB_SOFProject[[#This Row],[Act01]:[Act12]],$Q$3:$AB$3)/valUnits2</f>
        <v>0.96453999999999995</v>
      </c>
    </row>
    <row r="462" spans="2:34" x14ac:dyDescent="0.2">
      <c r="B462" t="s">
        <v>489</v>
      </c>
      <c r="C462" t="s">
        <v>935</v>
      </c>
      <c r="D462" t="s">
        <v>959</v>
      </c>
      <c r="E462">
        <v>0</v>
      </c>
      <c r="F462">
        <v>1269.9350000000002</v>
      </c>
      <c r="G462">
        <v>1294.5839999999998</v>
      </c>
      <c r="H462">
        <v>2138.3629999999998</v>
      </c>
      <c r="I462">
        <v>1497.6220000000001</v>
      </c>
      <c r="J462">
        <v>921.91200000000003</v>
      </c>
      <c r="K462">
        <v>921.91200000000003</v>
      </c>
      <c r="L462">
        <v>921.91200000000003</v>
      </c>
      <c r="M462">
        <v>921.91200000000003</v>
      </c>
      <c r="N462">
        <v>921.91200000000003</v>
      </c>
      <c r="O462">
        <v>921.91200000000003</v>
      </c>
      <c r="P462">
        <v>921.91200000000003</v>
      </c>
      <c r="Q462">
        <v>0</v>
      </c>
      <c r="R462">
        <v>1300.1499999999999</v>
      </c>
      <c r="S462">
        <v>1287.3499999999999</v>
      </c>
      <c r="T462">
        <v>2122.9</v>
      </c>
      <c r="U462">
        <v>1527.2300000000002</v>
      </c>
      <c r="V462">
        <v>647.79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f>SUMPRODUCT(DB_SOFProject[[#This Row],[Plan01]:[Plan12]],$E$4:$P$4)/valUnits2</f>
        <v>7.1224160000000003</v>
      </c>
      <c r="AD462">
        <f>SUMPRODUCT(DB_SOFProject[[#This Row],[Act01]:[Act12]],$Q$4:$AB$4)/valUnits2</f>
        <v>6.8854199999999999</v>
      </c>
      <c r="AE462">
        <f>DB_SOFProject[[#This Row],[Actual]]-DB_SOFProject[[#This Row],[Plan]]</f>
        <v>-0.23699600000000043</v>
      </c>
      <c r="AF462" s="32">
        <f>IF(DB_SOFProject[[#This Row],[Plan]]&lt;&gt;0,DB_SOFProject[[#This Row],[Actual]]/DB_SOFProject[[#This Row],[Plan]],1.000011000011)</f>
        <v>0.96672533589725729</v>
      </c>
      <c r="AG462" s="34">
        <f>SUM(DB_SOFProject[[#This Row],[Plan01]:[Plan12]])/valUnits2</f>
        <v>12.653888</v>
      </c>
      <c r="AH462" s="34">
        <f>SUMPRODUCT(DB_SOFProject[[#This Row],[Act01]:[Act12]],$Q$3:$AB$3)/valUnits2</f>
        <v>6.8854199999999999</v>
      </c>
    </row>
    <row r="463" spans="2:34" x14ac:dyDescent="0.2">
      <c r="B463" t="s">
        <v>489</v>
      </c>
      <c r="C463" t="s">
        <v>935</v>
      </c>
      <c r="D463" t="s">
        <v>975</v>
      </c>
      <c r="E463">
        <v>1023.5359999999999</v>
      </c>
      <c r="F463">
        <v>1271.46</v>
      </c>
      <c r="G463">
        <v>1192.1110000000001</v>
      </c>
      <c r="H463">
        <v>10164.751000000002</v>
      </c>
      <c r="I463">
        <v>7361.8890000000001</v>
      </c>
      <c r="J463">
        <v>2493.1780000000003</v>
      </c>
      <c r="K463">
        <v>2493.1780000000003</v>
      </c>
      <c r="L463">
        <v>2493.1780000000003</v>
      </c>
      <c r="M463">
        <v>2493.1780000000008</v>
      </c>
      <c r="N463">
        <v>2493.1780000000003</v>
      </c>
      <c r="O463">
        <v>2493.1780000000003</v>
      </c>
      <c r="P463">
        <v>2734.2470000000003</v>
      </c>
      <c r="Q463">
        <v>1028.8900000000001</v>
      </c>
      <c r="R463">
        <v>1303.8300000000002</v>
      </c>
      <c r="S463">
        <v>1184.0700000000002</v>
      </c>
      <c r="T463">
        <v>10208.48</v>
      </c>
      <c r="U463">
        <v>7396.2800000000007</v>
      </c>
      <c r="V463">
        <v>5953.0000000000009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f>SUMPRODUCT(DB_SOFProject[[#This Row],[Plan01]:[Plan12]],$E$4:$P$4)/valUnits2</f>
        <v>23.506925000000003</v>
      </c>
      <c r="AD463">
        <f>SUMPRODUCT(DB_SOFProject[[#This Row],[Act01]:[Act12]],$Q$4:$AB$4)/valUnits2</f>
        <v>27.074550000000002</v>
      </c>
      <c r="AE463">
        <f>DB_SOFProject[[#This Row],[Actual]]-DB_SOFProject[[#This Row],[Plan]]</f>
        <v>3.5676249999999996</v>
      </c>
      <c r="AF463" s="32">
        <f>IF(DB_SOFProject[[#This Row],[Plan]]&lt;&gt;0,DB_SOFProject[[#This Row],[Actual]]/DB_SOFProject[[#This Row],[Plan]],1.000011000011)</f>
        <v>1.1517691063378133</v>
      </c>
      <c r="AG463" s="34">
        <f>SUM(DB_SOFProject[[#This Row],[Plan01]:[Plan12]])/valUnits2</f>
        <v>38.707062000000008</v>
      </c>
      <c r="AH463" s="34">
        <f>SUMPRODUCT(DB_SOFProject[[#This Row],[Act01]:[Act12]],$Q$3:$AB$3)/valUnits2</f>
        <v>27.074550000000002</v>
      </c>
    </row>
    <row r="464" spans="2:34" x14ac:dyDescent="0.2">
      <c r="B464" t="s">
        <v>489</v>
      </c>
      <c r="C464" t="s">
        <v>935</v>
      </c>
      <c r="D464" t="s">
        <v>980</v>
      </c>
      <c r="F464">
        <v>1146.1790000000001</v>
      </c>
      <c r="G464">
        <v>1208.664</v>
      </c>
      <c r="H464">
        <v>2332.13</v>
      </c>
      <c r="I464">
        <v>238.72200000000001</v>
      </c>
      <c r="J464">
        <v>1185.5720000000001</v>
      </c>
      <c r="K464">
        <v>1185.5720000000001</v>
      </c>
      <c r="L464">
        <v>1185.5720000000001</v>
      </c>
      <c r="M464">
        <v>1185.5720000000001</v>
      </c>
      <c r="N464">
        <v>1185.5720000000001</v>
      </c>
      <c r="O464">
        <v>1185.5720000000001</v>
      </c>
      <c r="P464">
        <v>1185.5720000000001</v>
      </c>
      <c r="R464">
        <v>1171.7</v>
      </c>
      <c r="S464">
        <v>1201.9100000000001</v>
      </c>
      <c r="T464">
        <v>2339.88</v>
      </c>
      <c r="U464">
        <v>238.25</v>
      </c>
      <c r="V464">
        <v>269.11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f>SUMPRODUCT(DB_SOFProject[[#This Row],[Plan01]:[Plan12]],$E$4:$P$4)/valUnits2</f>
        <v>6.1112669999999998</v>
      </c>
      <c r="AD464">
        <f>SUMPRODUCT(DB_SOFProject[[#This Row],[Act01]:[Act12]],$Q$4:$AB$4)/valUnits2</f>
        <v>5.2208499999999995</v>
      </c>
      <c r="AE464">
        <f>DB_SOFProject[[#This Row],[Actual]]-DB_SOFProject[[#This Row],[Plan]]</f>
        <v>-0.89041700000000024</v>
      </c>
      <c r="AF464" s="32">
        <f>IF(DB_SOFProject[[#This Row],[Plan]]&lt;&gt;0,DB_SOFProject[[#This Row],[Actual]]/DB_SOFProject[[#This Row],[Plan]],1.000011000011)</f>
        <v>0.8542991166970777</v>
      </c>
      <c r="AG464" s="34">
        <f>SUM(DB_SOFProject[[#This Row],[Plan01]:[Plan12]])/valUnits2</f>
        <v>13.224699000000001</v>
      </c>
      <c r="AH464" s="34">
        <f>SUMPRODUCT(DB_SOFProject[[#This Row],[Act01]:[Act12]],$Q$3:$AB$3)/valUnits2</f>
        <v>5.2208499999999995</v>
      </c>
    </row>
    <row r="465" spans="2:34" x14ac:dyDescent="0.2">
      <c r="B465" t="s">
        <v>489</v>
      </c>
      <c r="C465" t="s">
        <v>935</v>
      </c>
      <c r="D465" t="s">
        <v>984</v>
      </c>
      <c r="F465">
        <v>115.527</v>
      </c>
      <c r="G465">
        <v>144.68899999999999</v>
      </c>
      <c r="H465">
        <v>117.36499999999999</v>
      </c>
      <c r="I465">
        <v>117.732</v>
      </c>
      <c r="J465">
        <v>163.54399999999998</v>
      </c>
      <c r="K465">
        <v>163.54399999999998</v>
      </c>
      <c r="L465">
        <v>163.54399999999998</v>
      </c>
      <c r="M465">
        <v>163.54399999999998</v>
      </c>
      <c r="N465">
        <v>163.54399999999998</v>
      </c>
      <c r="O465">
        <v>163.54399999999998</v>
      </c>
      <c r="P465">
        <v>163.54399999999998</v>
      </c>
      <c r="R465">
        <v>118.1</v>
      </c>
      <c r="S465">
        <v>143.88</v>
      </c>
      <c r="T465">
        <v>115.61</v>
      </c>
      <c r="U465">
        <v>117.5</v>
      </c>
      <c r="V465">
        <v>214.28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f>SUMPRODUCT(DB_SOFProject[[#This Row],[Plan01]:[Plan12]],$E$4:$P$4)/valUnits2</f>
        <v>0.65885700000000003</v>
      </c>
      <c r="AD465">
        <f>SUMPRODUCT(DB_SOFProject[[#This Row],[Act01]:[Act12]],$Q$4:$AB$4)/valUnits2</f>
        <v>0.70937000000000006</v>
      </c>
      <c r="AE465">
        <f>DB_SOFProject[[#This Row],[Actual]]-DB_SOFProject[[#This Row],[Plan]]</f>
        <v>5.051300000000003E-2</v>
      </c>
      <c r="AF465" s="32">
        <f>IF(DB_SOFProject[[#This Row],[Plan]]&lt;&gt;0,DB_SOFProject[[#This Row],[Actual]]/DB_SOFProject[[#This Row],[Plan]],1.000011000011)</f>
        <v>1.0766676228680883</v>
      </c>
      <c r="AG465" s="34">
        <f>SUM(DB_SOFProject[[#This Row],[Plan01]:[Plan12]])/valUnits2</f>
        <v>1.6401209999999997</v>
      </c>
      <c r="AH465" s="34">
        <f>SUMPRODUCT(DB_SOFProject[[#This Row],[Act01]:[Act12]],$Q$3:$AB$3)/valUnits2</f>
        <v>0.70937000000000006</v>
      </c>
    </row>
    <row r="466" spans="2:34" x14ac:dyDescent="0.2">
      <c r="B466" t="s">
        <v>489</v>
      </c>
      <c r="C466" t="s">
        <v>935</v>
      </c>
      <c r="D466" t="s">
        <v>998</v>
      </c>
      <c r="E466">
        <v>0</v>
      </c>
      <c r="F466">
        <v>1265.8920000000001</v>
      </c>
      <c r="G466">
        <v>1049.48</v>
      </c>
      <c r="H466">
        <v>1314.95</v>
      </c>
      <c r="I466">
        <v>787.39100000000008</v>
      </c>
      <c r="J466">
        <v>1383.3110000000001</v>
      </c>
      <c r="K466">
        <v>1383.3110000000001</v>
      </c>
      <c r="L466">
        <v>1383.3110000000001</v>
      </c>
      <c r="M466">
        <v>1383.3110000000001</v>
      </c>
      <c r="N466">
        <v>1383.3110000000001</v>
      </c>
      <c r="O466">
        <v>1383.3110000000001</v>
      </c>
      <c r="P466">
        <v>1383.3110000000001</v>
      </c>
      <c r="Q466">
        <v>0</v>
      </c>
      <c r="R466">
        <v>1309.98</v>
      </c>
      <c r="S466">
        <v>1045.21</v>
      </c>
      <c r="T466">
        <v>1295.21</v>
      </c>
      <c r="U466">
        <v>788.23</v>
      </c>
      <c r="V466">
        <v>788.65000000000009</v>
      </c>
      <c r="W466">
        <v>3717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f>SUMPRODUCT(DB_SOFProject[[#This Row],[Plan01]:[Plan12]],$E$4:$P$4)/valUnits2</f>
        <v>5.8010239999999991</v>
      </c>
      <c r="AD466">
        <f>SUMPRODUCT(DB_SOFProject[[#This Row],[Act01]:[Act12]],$Q$4:$AB$4)/valUnits2</f>
        <v>5.2272800000000004</v>
      </c>
      <c r="AE466">
        <f>DB_SOFProject[[#This Row],[Actual]]-DB_SOFProject[[#This Row],[Plan]]</f>
        <v>-0.5737439999999987</v>
      </c>
      <c r="AF466" s="32">
        <f>IF(DB_SOFProject[[#This Row],[Plan]]&lt;&gt;0,DB_SOFProject[[#This Row],[Actual]]/DB_SOFProject[[#This Row],[Plan]],1.000011000011)</f>
        <v>0.90109608234684102</v>
      </c>
      <c r="AG466" s="34">
        <f>SUM(DB_SOFProject[[#This Row],[Plan01]:[Plan12]])/valUnits2</f>
        <v>14.100889999999998</v>
      </c>
      <c r="AH466" s="34">
        <f>SUMPRODUCT(DB_SOFProject[[#This Row],[Act01]:[Act12]],$Q$3:$AB$3)/valUnits2</f>
        <v>5.2272800000000004</v>
      </c>
    </row>
    <row r="467" spans="2:34" x14ac:dyDescent="0.2">
      <c r="B467" t="s">
        <v>489</v>
      </c>
      <c r="C467" t="s">
        <v>935</v>
      </c>
      <c r="D467" t="s">
        <v>999</v>
      </c>
      <c r="E467">
        <v>672.27300000000002</v>
      </c>
      <c r="F467">
        <v>1888.5010000000002</v>
      </c>
      <c r="G467">
        <v>2082.1259999999997</v>
      </c>
      <c r="H467">
        <v>5161.8739999999998</v>
      </c>
      <c r="I467">
        <v>1641.4490000000001</v>
      </c>
      <c r="J467">
        <v>1820.5029999999999</v>
      </c>
      <c r="K467">
        <v>1820.5029999999999</v>
      </c>
      <c r="L467">
        <v>1820.5030000000002</v>
      </c>
      <c r="M467">
        <v>1820.5030000000002</v>
      </c>
      <c r="N467">
        <v>1820.5030000000002</v>
      </c>
      <c r="O467">
        <v>1820.5030000000002</v>
      </c>
      <c r="P467">
        <v>1820.5030000000002</v>
      </c>
      <c r="Q467">
        <v>675.79</v>
      </c>
      <c r="R467">
        <v>1930.55</v>
      </c>
      <c r="S467">
        <v>2070.4900000000002</v>
      </c>
      <c r="T467">
        <v>5128.7699999999995</v>
      </c>
      <c r="U467">
        <v>1638.2099999999998</v>
      </c>
      <c r="V467">
        <v>1831.8999999999999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f>SUMPRODUCT(DB_SOFProject[[#This Row],[Plan01]:[Plan12]],$E$4:$P$4)/valUnits2</f>
        <v>13.266726</v>
      </c>
      <c r="AD467">
        <f>SUMPRODUCT(DB_SOFProject[[#This Row],[Act01]:[Act12]],$Q$4:$AB$4)/valUnits2</f>
        <v>13.275709999999997</v>
      </c>
      <c r="AE467">
        <f>DB_SOFProject[[#This Row],[Actual]]-DB_SOFProject[[#This Row],[Plan]]</f>
        <v>8.9839999999963283E-3</v>
      </c>
      <c r="AF467" s="32">
        <f>IF(DB_SOFProject[[#This Row],[Plan]]&lt;&gt;0,DB_SOFProject[[#This Row],[Actual]]/DB_SOFProject[[#This Row],[Plan]],1.000011000011)</f>
        <v>1.000677182901041</v>
      </c>
      <c r="AG467" s="34">
        <f>SUM(DB_SOFProject[[#This Row],[Plan01]:[Plan12]])/valUnits2</f>
        <v>24.189744000000001</v>
      </c>
      <c r="AH467" s="34">
        <f>SUMPRODUCT(DB_SOFProject[[#This Row],[Act01]:[Act12]],$Q$3:$AB$3)/valUnits2</f>
        <v>13.275709999999997</v>
      </c>
    </row>
    <row r="468" spans="2:34" x14ac:dyDescent="0.2">
      <c r="B468" t="s">
        <v>489</v>
      </c>
      <c r="C468" t="s">
        <v>937</v>
      </c>
      <c r="D468" t="s">
        <v>959</v>
      </c>
      <c r="H468">
        <v>0</v>
      </c>
      <c r="I468">
        <v>0</v>
      </c>
      <c r="J468">
        <v>750</v>
      </c>
      <c r="T468">
        <v>0</v>
      </c>
      <c r="U468">
        <v>0</v>
      </c>
      <c r="V468">
        <v>0</v>
      </c>
      <c r="AC468">
        <f>SUMPRODUCT(DB_SOFProject[[#This Row],[Plan01]:[Plan12]],$E$4:$P$4)/valUnits2</f>
        <v>0.75</v>
      </c>
      <c r="AD468">
        <f>SUMPRODUCT(DB_SOFProject[[#This Row],[Act01]:[Act12]],$Q$4:$AB$4)/valUnits2</f>
        <v>0</v>
      </c>
      <c r="AE468">
        <f>DB_SOFProject[[#This Row],[Actual]]-DB_SOFProject[[#This Row],[Plan]]</f>
        <v>-0.75</v>
      </c>
      <c r="AF468" s="32">
        <f>IF(DB_SOFProject[[#This Row],[Plan]]&lt;&gt;0,DB_SOFProject[[#This Row],[Actual]]/DB_SOFProject[[#This Row],[Plan]],1.000011000011)</f>
        <v>0</v>
      </c>
      <c r="AG468" s="34">
        <f>SUM(DB_SOFProject[[#This Row],[Plan01]:[Plan12]])/valUnits2</f>
        <v>0.75</v>
      </c>
      <c r="AH468" s="34">
        <f>SUMPRODUCT(DB_SOFProject[[#This Row],[Act01]:[Act12]],$Q$3:$AB$3)/valUnits2</f>
        <v>0</v>
      </c>
    </row>
    <row r="469" spans="2:34" x14ac:dyDescent="0.2">
      <c r="B469" t="s">
        <v>489</v>
      </c>
      <c r="C469" t="s">
        <v>937</v>
      </c>
      <c r="D469" t="s">
        <v>975</v>
      </c>
      <c r="G469">
        <v>0</v>
      </c>
      <c r="H469">
        <v>3932.77</v>
      </c>
      <c r="I469">
        <v>2772.9</v>
      </c>
      <c r="J469">
        <v>6395.7629999999999</v>
      </c>
      <c r="S469">
        <v>0</v>
      </c>
      <c r="T469">
        <v>3932.7699999999995</v>
      </c>
      <c r="U469">
        <v>2772.9</v>
      </c>
      <c r="V469">
        <v>2865.04</v>
      </c>
      <c r="AC469">
        <f>SUMPRODUCT(DB_SOFProject[[#This Row],[Plan01]:[Plan12]],$E$4:$P$4)/valUnits2</f>
        <v>13.101433</v>
      </c>
      <c r="AD469">
        <f>SUMPRODUCT(DB_SOFProject[[#This Row],[Act01]:[Act12]],$Q$4:$AB$4)/valUnits2</f>
        <v>9.5707099999999983</v>
      </c>
      <c r="AE469">
        <f>DB_SOFProject[[#This Row],[Actual]]-DB_SOFProject[[#This Row],[Plan]]</f>
        <v>-3.5307230000000018</v>
      </c>
      <c r="AF469" s="32">
        <f>IF(DB_SOFProject[[#This Row],[Plan]]&lt;&gt;0,DB_SOFProject[[#This Row],[Actual]]/DB_SOFProject[[#This Row],[Plan]],1.000011000011)</f>
        <v>0.73050863978009106</v>
      </c>
      <c r="AG469" s="34">
        <f>SUM(DB_SOFProject[[#This Row],[Plan01]:[Plan12]])/valUnits2</f>
        <v>13.101433</v>
      </c>
      <c r="AH469" s="34">
        <f>SUMPRODUCT(DB_SOFProject[[#This Row],[Act01]:[Act12]],$Q$3:$AB$3)/valUnits2</f>
        <v>9.5707099999999983</v>
      </c>
    </row>
    <row r="470" spans="2:34" x14ac:dyDescent="0.2">
      <c r="B470" t="s">
        <v>481</v>
      </c>
      <c r="C470" t="s">
        <v>357</v>
      </c>
      <c r="D470" t="s">
        <v>938</v>
      </c>
      <c r="E470">
        <v>866.66</v>
      </c>
      <c r="F470">
        <v>949.67999999999938</v>
      </c>
      <c r="G470">
        <v>39692.370000000003</v>
      </c>
      <c r="H470">
        <v>925.32</v>
      </c>
      <c r="I470">
        <v>5159.9799999999996</v>
      </c>
      <c r="J470">
        <v>5297.402</v>
      </c>
      <c r="K470">
        <v>0</v>
      </c>
      <c r="Q470">
        <v>866.66</v>
      </c>
      <c r="R470">
        <v>949.67999999999938</v>
      </c>
      <c r="S470">
        <v>39692.370000000003</v>
      </c>
      <c r="T470">
        <v>925.32</v>
      </c>
      <c r="U470">
        <v>5159.9799999999996</v>
      </c>
      <c r="V470">
        <v>63372.459999999992</v>
      </c>
      <c r="W470">
        <v>-3.19</v>
      </c>
      <c r="AC470">
        <f>SUMPRODUCT(DB_SOFProject[[#This Row],[Plan01]:[Plan12]],$E$4:$P$4)/valUnits2</f>
        <v>52.891411999999995</v>
      </c>
      <c r="AD470">
        <f>SUMPRODUCT(DB_SOFProject[[#This Row],[Act01]:[Act12]],$Q$4:$AB$4)/valUnits2</f>
        <v>110.96646999999999</v>
      </c>
      <c r="AE470">
        <f>DB_SOFProject[[#This Row],[Actual]]-DB_SOFProject[[#This Row],[Plan]]</f>
        <v>58.075057999999991</v>
      </c>
      <c r="AF470" s="32">
        <f>IF(DB_SOFProject[[#This Row],[Plan]]&lt;&gt;0,DB_SOFProject[[#This Row],[Actual]]/DB_SOFProject[[#This Row],[Plan]],1.000011000011)</f>
        <v>2.0980054380094826</v>
      </c>
      <c r="AG470" s="34">
        <f>SUM(DB_SOFProject[[#This Row],[Plan01]:[Plan12]])/valUnits2</f>
        <v>52.891411999999995</v>
      </c>
      <c r="AH470" s="34">
        <f>SUMPRODUCT(DB_SOFProject[[#This Row],[Act01]:[Act12]],$Q$3:$AB$3)/valUnits2</f>
        <v>110.96646999999999</v>
      </c>
    </row>
    <row r="471" spans="2:34" x14ac:dyDescent="0.2">
      <c r="B471" t="s">
        <v>481</v>
      </c>
      <c r="C471" t="s">
        <v>846</v>
      </c>
      <c r="D471" t="s">
        <v>938</v>
      </c>
      <c r="E471">
        <v>10113.969999999998</v>
      </c>
      <c r="F471">
        <v>86.5</v>
      </c>
      <c r="G471">
        <v>79.170000000000258</v>
      </c>
      <c r="H471">
        <v>2765.04</v>
      </c>
      <c r="I471">
        <v>2810.61</v>
      </c>
      <c r="J471">
        <v>4089.3270000000002</v>
      </c>
      <c r="K471">
        <v>4089.3270000000002</v>
      </c>
      <c r="L471">
        <v>4089.3270000000002</v>
      </c>
      <c r="M471">
        <v>4089.3270000000002</v>
      </c>
      <c r="N471">
        <v>4089.3270000000002</v>
      </c>
      <c r="O471">
        <v>4089.3270000000002</v>
      </c>
      <c r="P471">
        <v>4089.3270000000002</v>
      </c>
      <c r="Q471">
        <v>10113.969999999999</v>
      </c>
      <c r="R471">
        <v>86.5</v>
      </c>
      <c r="S471">
        <v>79.169999999999987</v>
      </c>
      <c r="T471">
        <v>2765.0400000000004</v>
      </c>
      <c r="U471">
        <v>2810.6099999999997</v>
      </c>
      <c r="V471">
        <v>2630.05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f>SUMPRODUCT(DB_SOFProject[[#This Row],[Plan01]:[Plan12]],$E$4:$P$4)/valUnits2</f>
        <v>19.944616999999997</v>
      </c>
      <c r="AD471">
        <f>SUMPRODUCT(DB_SOFProject[[#This Row],[Act01]:[Act12]],$Q$4:$AB$4)/valUnits2</f>
        <v>18.485340000000001</v>
      </c>
      <c r="AE471">
        <f>DB_SOFProject[[#This Row],[Actual]]-DB_SOFProject[[#This Row],[Plan]]</f>
        <v>-1.4592769999999966</v>
      </c>
      <c r="AF471" s="32">
        <f>IF(DB_SOFProject[[#This Row],[Plan]]&lt;&gt;0,DB_SOFProject[[#This Row],[Actual]]/DB_SOFProject[[#This Row],[Plan]],1.000011000011)</f>
        <v>0.92683354110033811</v>
      </c>
      <c r="AG471" s="34">
        <f>SUM(DB_SOFProject[[#This Row],[Plan01]:[Plan12]])/valUnits2</f>
        <v>44.480578999999999</v>
      </c>
      <c r="AH471" s="34">
        <f>SUMPRODUCT(DB_SOFProject[[#This Row],[Act01]:[Act12]],$Q$3:$AB$3)/valUnits2</f>
        <v>18.485340000000001</v>
      </c>
    </row>
    <row r="472" spans="2:34" x14ac:dyDescent="0.2">
      <c r="B472" t="s">
        <v>481</v>
      </c>
      <c r="C472" t="s">
        <v>366</v>
      </c>
      <c r="D472" t="s">
        <v>938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1356.4160000000002</v>
      </c>
      <c r="K472">
        <v>678.20900000000006</v>
      </c>
      <c r="L472">
        <v>1356.4160000000002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23634.82</v>
      </c>
      <c r="W472">
        <v>0</v>
      </c>
      <c r="X472">
        <v>0</v>
      </c>
      <c r="AC472">
        <f>SUMPRODUCT(DB_SOFProject[[#This Row],[Plan01]:[Plan12]],$E$4:$P$4)/valUnits2</f>
        <v>1.3564160000000001</v>
      </c>
      <c r="AD472">
        <f>SUMPRODUCT(DB_SOFProject[[#This Row],[Act01]:[Act12]],$Q$4:$AB$4)/valUnits2</f>
        <v>23.634820000000001</v>
      </c>
      <c r="AE472">
        <f>DB_SOFProject[[#This Row],[Actual]]-DB_SOFProject[[#This Row],[Plan]]</f>
        <v>22.278404000000002</v>
      </c>
      <c r="AF472" s="32">
        <f>IF(DB_SOFProject[[#This Row],[Plan]]&lt;&gt;0,DB_SOFProject[[#This Row],[Actual]]/DB_SOFProject[[#This Row],[Plan]],1.000011000011)</f>
        <v>17.42446270170803</v>
      </c>
      <c r="AG472" s="34">
        <f>SUM(DB_SOFProject[[#This Row],[Plan01]:[Plan12]])/valUnits2</f>
        <v>3.391041</v>
      </c>
      <c r="AH472" s="34">
        <f>SUMPRODUCT(DB_SOFProject[[#This Row],[Act01]:[Act12]],$Q$3:$AB$3)/valUnits2</f>
        <v>23.634820000000001</v>
      </c>
    </row>
    <row r="473" spans="2:34" x14ac:dyDescent="0.2">
      <c r="B473" t="s">
        <v>481</v>
      </c>
      <c r="C473" t="s">
        <v>858</v>
      </c>
      <c r="D473" t="s">
        <v>971</v>
      </c>
      <c r="E473">
        <v>7855.18</v>
      </c>
      <c r="F473">
        <v>11163.539999999999</v>
      </c>
      <c r="G473">
        <v>18728.96</v>
      </c>
      <c r="H473">
        <v>16707.73</v>
      </c>
      <c r="I473">
        <v>13666.100000000002</v>
      </c>
      <c r="J473">
        <v>34528.481</v>
      </c>
      <c r="K473">
        <v>51195.147000000004</v>
      </c>
      <c r="L473">
        <v>38476.39</v>
      </c>
      <c r="M473">
        <v>36528.481</v>
      </c>
      <c r="N473">
        <v>73933.938999999998</v>
      </c>
      <c r="O473">
        <v>34528.481</v>
      </c>
      <c r="P473">
        <v>67861.811000000002</v>
      </c>
      <c r="Q473">
        <v>7855.18</v>
      </c>
      <c r="R473">
        <v>11229.45</v>
      </c>
      <c r="S473">
        <v>18728.96</v>
      </c>
      <c r="T473">
        <v>16761.440000000002</v>
      </c>
      <c r="U473">
        <v>13726.420000000002</v>
      </c>
      <c r="V473">
        <v>64857.440000000002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f>SUMPRODUCT(DB_SOFProject[[#This Row],[Plan01]:[Plan12]],$E$4:$P$4)/valUnits2</f>
        <v>102.64999100000001</v>
      </c>
      <c r="AD473">
        <f>SUMPRODUCT(DB_SOFProject[[#This Row],[Act01]:[Act12]],$Q$4:$AB$4)/valUnits2</f>
        <v>133.15889000000001</v>
      </c>
      <c r="AE473">
        <f>DB_SOFProject[[#This Row],[Actual]]-DB_SOFProject[[#This Row],[Plan]]</f>
        <v>30.508899</v>
      </c>
      <c r="AF473" s="32">
        <f>IF(DB_SOFProject[[#This Row],[Plan]]&lt;&gt;0,DB_SOFProject[[#This Row],[Actual]]/DB_SOFProject[[#This Row],[Plan]],1.000011000011)</f>
        <v>1.297212875547159</v>
      </c>
      <c r="AG473" s="34">
        <f>SUM(DB_SOFProject[[#This Row],[Plan01]:[Plan12]])/valUnits2</f>
        <v>405.17424</v>
      </c>
      <c r="AH473" s="34">
        <f>SUMPRODUCT(DB_SOFProject[[#This Row],[Act01]:[Act12]],$Q$3:$AB$3)/valUnits2</f>
        <v>133.15889000000001</v>
      </c>
    </row>
    <row r="474" spans="2:34" x14ac:dyDescent="0.2">
      <c r="B474" t="s">
        <v>481</v>
      </c>
      <c r="C474" t="s">
        <v>863</v>
      </c>
      <c r="D474" t="s">
        <v>938</v>
      </c>
      <c r="E474">
        <v>-2877.63</v>
      </c>
      <c r="F474">
        <v>168.67</v>
      </c>
      <c r="G474">
        <v>1033.82</v>
      </c>
      <c r="H474">
        <v>6467.68</v>
      </c>
      <c r="I474">
        <v>703.97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-2877.6300000000019</v>
      </c>
      <c r="R474">
        <v>168.67</v>
      </c>
      <c r="S474">
        <v>1033.82</v>
      </c>
      <c r="T474">
        <v>6467.68</v>
      </c>
      <c r="U474">
        <v>703.97</v>
      </c>
      <c r="V474">
        <v>271.08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f>SUMPRODUCT(DB_SOFProject[[#This Row],[Plan01]:[Plan12]],$E$4:$P$4)/valUnits2</f>
        <v>5.4965099999999998</v>
      </c>
      <c r="AD474">
        <f>SUMPRODUCT(DB_SOFProject[[#This Row],[Act01]:[Act12]],$Q$4:$AB$4)/valUnits2</f>
        <v>5.7675899999999984</v>
      </c>
      <c r="AE474">
        <f>DB_SOFProject[[#This Row],[Actual]]-DB_SOFProject[[#This Row],[Plan]]</f>
        <v>0.27107999999999866</v>
      </c>
      <c r="AF474" s="32">
        <f>IF(DB_SOFProject[[#This Row],[Plan]]&lt;&gt;0,DB_SOFProject[[#This Row],[Actual]]/DB_SOFProject[[#This Row],[Plan]],1.000011000011)</f>
        <v>1.049318567600168</v>
      </c>
      <c r="AG474" s="34">
        <f>SUM(DB_SOFProject[[#This Row],[Plan01]:[Plan12]])/valUnits2</f>
        <v>5.4965099999999998</v>
      </c>
      <c r="AH474" s="34">
        <f>SUMPRODUCT(DB_SOFProject[[#This Row],[Act01]:[Act12]],$Q$3:$AB$3)/valUnits2</f>
        <v>5.7675899999999984</v>
      </c>
    </row>
    <row r="475" spans="2:34" x14ac:dyDescent="0.2">
      <c r="B475" t="s">
        <v>481</v>
      </c>
      <c r="C475" t="s">
        <v>868</v>
      </c>
      <c r="D475" t="s">
        <v>938</v>
      </c>
      <c r="G475">
        <v>0</v>
      </c>
      <c r="J475">
        <v>0</v>
      </c>
      <c r="S475">
        <v>0</v>
      </c>
      <c r="V475">
        <v>10715.31</v>
      </c>
      <c r="AC475">
        <f>SUMPRODUCT(DB_SOFProject[[#This Row],[Plan01]:[Plan12]],$E$4:$P$4)/valUnits2</f>
        <v>0</v>
      </c>
      <c r="AD475">
        <f>SUMPRODUCT(DB_SOFProject[[#This Row],[Act01]:[Act12]],$Q$4:$AB$4)/valUnits2</f>
        <v>10.715309999999999</v>
      </c>
      <c r="AE475">
        <f>DB_SOFProject[[#This Row],[Actual]]-DB_SOFProject[[#This Row],[Plan]]</f>
        <v>10.715309999999999</v>
      </c>
      <c r="AF475" s="32">
        <f>IF(DB_SOFProject[[#This Row],[Plan]]&lt;&gt;0,DB_SOFProject[[#This Row],[Actual]]/DB_SOFProject[[#This Row],[Plan]],1.000011000011)</f>
        <v>1.0000110000110001</v>
      </c>
      <c r="AG475" s="34">
        <f>SUM(DB_SOFProject[[#This Row],[Plan01]:[Plan12]])/valUnits2</f>
        <v>0</v>
      </c>
      <c r="AH475" s="34">
        <f>SUMPRODUCT(DB_SOFProject[[#This Row],[Act01]:[Act12]],$Q$3:$AB$3)/valUnits2</f>
        <v>10.715309999999999</v>
      </c>
    </row>
    <row r="476" spans="2:34" x14ac:dyDescent="0.2">
      <c r="B476" t="s">
        <v>481</v>
      </c>
      <c r="C476" t="s">
        <v>871</v>
      </c>
      <c r="D476" t="s">
        <v>939</v>
      </c>
      <c r="E476">
        <v>308.12</v>
      </c>
      <c r="Q476">
        <v>308.12</v>
      </c>
      <c r="AC476">
        <f>SUMPRODUCT(DB_SOFProject[[#This Row],[Plan01]:[Plan12]],$E$4:$P$4)/valUnits2</f>
        <v>0.30812</v>
      </c>
      <c r="AD476">
        <f>SUMPRODUCT(DB_SOFProject[[#This Row],[Act01]:[Act12]],$Q$4:$AB$4)/valUnits2</f>
        <v>0.30812</v>
      </c>
      <c r="AE476">
        <f>DB_SOFProject[[#This Row],[Actual]]-DB_SOFProject[[#This Row],[Plan]]</f>
        <v>0</v>
      </c>
      <c r="AF476" s="32">
        <f>IF(DB_SOFProject[[#This Row],[Plan]]&lt;&gt;0,DB_SOFProject[[#This Row],[Actual]]/DB_SOFProject[[#This Row],[Plan]],1.000011000011)</f>
        <v>1</v>
      </c>
      <c r="AG476" s="34">
        <f>SUM(DB_SOFProject[[#This Row],[Plan01]:[Plan12]])/valUnits2</f>
        <v>0.30812</v>
      </c>
      <c r="AH476" s="34">
        <f>SUMPRODUCT(DB_SOFProject[[#This Row],[Act01]:[Act12]],$Q$3:$AB$3)/valUnits2</f>
        <v>0.30812</v>
      </c>
    </row>
    <row r="477" spans="2:34" x14ac:dyDescent="0.2">
      <c r="B477" t="s">
        <v>481</v>
      </c>
      <c r="C477" t="s">
        <v>873</v>
      </c>
      <c r="D477" t="s">
        <v>977</v>
      </c>
      <c r="G477">
        <v>-34974.351000000002</v>
      </c>
      <c r="S477">
        <v>-34749.879999999997</v>
      </c>
      <c r="AC477">
        <f>SUMPRODUCT(DB_SOFProject[[#This Row],[Plan01]:[Plan12]],$E$4:$P$4)/valUnits2</f>
        <v>-34.974351000000006</v>
      </c>
      <c r="AD477">
        <f>SUMPRODUCT(DB_SOFProject[[#This Row],[Act01]:[Act12]],$Q$4:$AB$4)/valUnits2</f>
        <v>-34.749879999999997</v>
      </c>
      <c r="AE477">
        <f>DB_SOFProject[[#This Row],[Actual]]-DB_SOFProject[[#This Row],[Plan]]</f>
        <v>0.2244710000000083</v>
      </c>
      <c r="AF477" s="32">
        <f>IF(DB_SOFProject[[#This Row],[Plan]]&lt;&gt;0,DB_SOFProject[[#This Row],[Actual]]/DB_SOFProject[[#This Row],[Plan]],1.000011000011)</f>
        <v>0.99358183944571243</v>
      </c>
      <c r="AG477" s="34">
        <f>SUM(DB_SOFProject[[#This Row],[Plan01]:[Plan12]])/valUnits2</f>
        <v>-34.974351000000006</v>
      </c>
      <c r="AH477" s="34">
        <f>SUMPRODUCT(DB_SOFProject[[#This Row],[Act01]:[Act12]],$Q$3:$AB$3)/valUnits2</f>
        <v>-34.749879999999997</v>
      </c>
    </row>
    <row r="478" spans="2:34" x14ac:dyDescent="0.2">
      <c r="B478" t="s">
        <v>481</v>
      </c>
      <c r="C478" t="s">
        <v>883</v>
      </c>
      <c r="D478" t="s">
        <v>954</v>
      </c>
      <c r="E478">
        <v>3945.6210000000001</v>
      </c>
      <c r="F478">
        <v>3139.0209999999997</v>
      </c>
      <c r="G478">
        <v>31243.805</v>
      </c>
      <c r="H478">
        <v>3524.4970000000003</v>
      </c>
      <c r="I478">
        <v>4479.3770000000004</v>
      </c>
      <c r="J478">
        <v>160033.67899999997</v>
      </c>
      <c r="K478">
        <v>20603.374</v>
      </c>
      <c r="L478">
        <v>155463.17599999995</v>
      </c>
      <c r="M478">
        <v>21731.730000000003</v>
      </c>
      <c r="N478">
        <v>158944.774</v>
      </c>
      <c r="O478">
        <v>23220.115000000002</v>
      </c>
      <c r="P478">
        <v>148760.23300000001</v>
      </c>
      <c r="Q478">
        <v>3976.6700000000005</v>
      </c>
      <c r="R478">
        <v>3221.4100000000003</v>
      </c>
      <c r="S478">
        <v>31074.83</v>
      </c>
      <c r="T478">
        <v>3492.920000000001</v>
      </c>
      <c r="U478">
        <v>4464.74</v>
      </c>
      <c r="V478">
        <v>1745.98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f>SUMPRODUCT(DB_SOFProject[[#This Row],[Plan01]:[Plan12]],$E$4:$P$4)/valUnits2</f>
        <v>206.36599999999996</v>
      </c>
      <c r="AD478">
        <f>SUMPRODUCT(DB_SOFProject[[#This Row],[Act01]:[Act12]],$Q$4:$AB$4)/valUnits2</f>
        <v>47.976550000000003</v>
      </c>
      <c r="AE478">
        <f>DB_SOFProject[[#This Row],[Actual]]-DB_SOFProject[[#This Row],[Plan]]</f>
        <v>-158.38944999999995</v>
      </c>
      <c r="AF478" s="32">
        <f>IF(DB_SOFProject[[#This Row],[Plan]]&lt;&gt;0,DB_SOFProject[[#This Row],[Actual]]/DB_SOFProject[[#This Row],[Plan]],1.000011000011)</f>
        <v>0.23248282178265806</v>
      </c>
      <c r="AG478" s="34">
        <f>SUM(DB_SOFProject[[#This Row],[Plan01]:[Plan12]])/valUnits2</f>
        <v>735.08940199999984</v>
      </c>
      <c r="AH478" s="34">
        <f>SUMPRODUCT(DB_SOFProject[[#This Row],[Act01]:[Act12]],$Q$3:$AB$3)/valUnits2</f>
        <v>47.976550000000003</v>
      </c>
    </row>
    <row r="479" spans="2:34" x14ac:dyDescent="0.2">
      <c r="B479" t="s">
        <v>481</v>
      </c>
      <c r="C479" t="s">
        <v>884</v>
      </c>
      <c r="D479" t="s">
        <v>939</v>
      </c>
      <c r="E479">
        <v>2500</v>
      </c>
      <c r="F479">
        <v>2500</v>
      </c>
      <c r="G479">
        <v>2500</v>
      </c>
      <c r="H479">
        <v>2500</v>
      </c>
      <c r="I479">
        <v>2500</v>
      </c>
      <c r="J479">
        <v>2500</v>
      </c>
      <c r="K479">
        <v>2500</v>
      </c>
      <c r="L479">
        <v>2500</v>
      </c>
      <c r="M479">
        <v>2500</v>
      </c>
      <c r="N479">
        <v>2500</v>
      </c>
      <c r="O479">
        <v>2500</v>
      </c>
      <c r="P479">
        <v>2500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f>SUMPRODUCT(DB_SOFProject[[#This Row],[Plan01]:[Plan12]],$E$4:$P$4)/valUnits2</f>
        <v>15</v>
      </c>
      <c r="AD479">
        <f>SUMPRODUCT(DB_SOFProject[[#This Row],[Act01]:[Act12]],$Q$4:$AB$4)/valUnits2</f>
        <v>0</v>
      </c>
      <c r="AE479">
        <f>DB_SOFProject[[#This Row],[Actual]]-DB_SOFProject[[#This Row],[Plan]]</f>
        <v>-15</v>
      </c>
      <c r="AF479" s="32">
        <f>IF(DB_SOFProject[[#This Row],[Plan]]&lt;&gt;0,DB_SOFProject[[#This Row],[Actual]]/DB_SOFProject[[#This Row],[Plan]],1.000011000011)</f>
        <v>0</v>
      </c>
      <c r="AG479" s="34">
        <f>SUM(DB_SOFProject[[#This Row],[Plan01]:[Plan12]])/valUnits2</f>
        <v>30</v>
      </c>
      <c r="AH479" s="34">
        <f>SUMPRODUCT(DB_SOFProject[[#This Row],[Act01]:[Act12]],$Q$3:$AB$3)/valUnits2</f>
        <v>0</v>
      </c>
    </row>
    <row r="480" spans="2:34" x14ac:dyDescent="0.2">
      <c r="B480" t="s">
        <v>481</v>
      </c>
      <c r="C480" t="s">
        <v>884</v>
      </c>
      <c r="D480" t="s">
        <v>954</v>
      </c>
      <c r="E480">
        <v>2250</v>
      </c>
      <c r="F480">
        <v>2250</v>
      </c>
      <c r="G480">
        <v>2250</v>
      </c>
      <c r="H480">
        <v>2250</v>
      </c>
      <c r="I480">
        <v>2250</v>
      </c>
      <c r="J480">
        <v>2250</v>
      </c>
      <c r="K480">
        <v>2250</v>
      </c>
      <c r="L480">
        <v>2250</v>
      </c>
      <c r="M480">
        <v>2250</v>
      </c>
      <c r="N480">
        <v>2250</v>
      </c>
      <c r="O480">
        <v>2250</v>
      </c>
      <c r="P480">
        <v>2250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f>SUMPRODUCT(DB_SOFProject[[#This Row],[Plan01]:[Plan12]],$E$4:$P$4)/valUnits2</f>
        <v>13.5</v>
      </c>
      <c r="AD480">
        <f>SUMPRODUCT(DB_SOFProject[[#This Row],[Act01]:[Act12]],$Q$4:$AB$4)/valUnits2</f>
        <v>0</v>
      </c>
      <c r="AE480">
        <f>DB_SOFProject[[#This Row],[Actual]]-DB_SOFProject[[#This Row],[Plan]]</f>
        <v>-13.5</v>
      </c>
      <c r="AF480" s="32">
        <f>IF(DB_SOFProject[[#This Row],[Plan]]&lt;&gt;0,DB_SOFProject[[#This Row],[Actual]]/DB_SOFProject[[#This Row],[Plan]],1.000011000011)</f>
        <v>0</v>
      </c>
      <c r="AG480" s="34">
        <f>SUM(DB_SOFProject[[#This Row],[Plan01]:[Plan12]])/valUnits2</f>
        <v>27</v>
      </c>
      <c r="AH480" s="34">
        <f>SUMPRODUCT(DB_SOFProject[[#This Row],[Act01]:[Act12]],$Q$3:$AB$3)/valUnits2</f>
        <v>0</v>
      </c>
    </row>
    <row r="481" spans="2:34" x14ac:dyDescent="0.2">
      <c r="B481" t="s">
        <v>481</v>
      </c>
      <c r="C481" t="s">
        <v>888</v>
      </c>
      <c r="D481" t="s">
        <v>938</v>
      </c>
      <c r="E481">
        <v>7181.5839999999998</v>
      </c>
      <c r="F481">
        <v>-7864.9250000000002</v>
      </c>
      <c r="G481">
        <v>750.12400000000002</v>
      </c>
      <c r="Q481">
        <v>7176.88</v>
      </c>
      <c r="R481">
        <v>-7955.51</v>
      </c>
      <c r="S481">
        <v>782.23</v>
      </c>
      <c r="AC481">
        <f>SUMPRODUCT(DB_SOFProject[[#This Row],[Plan01]:[Plan12]],$E$4:$P$4)/valUnits2</f>
        <v>6.6782999999999676E-2</v>
      </c>
      <c r="AD481">
        <f>SUMPRODUCT(DB_SOFProject[[#This Row],[Act01]:[Act12]],$Q$4:$AB$4)/valUnits2</f>
        <v>3.5999999999999093E-3</v>
      </c>
      <c r="AE481">
        <f>DB_SOFProject[[#This Row],[Actual]]-DB_SOFProject[[#This Row],[Plan]]</f>
        <v>-6.3182999999999767E-2</v>
      </c>
      <c r="AF481" s="32">
        <f>IF(DB_SOFProject[[#This Row],[Plan]]&lt;&gt;0,DB_SOFProject[[#This Row],[Actual]]/DB_SOFProject[[#This Row],[Plan]],1.000011000011)</f>
        <v>5.3905934144916019E-2</v>
      </c>
      <c r="AG481" s="34">
        <f>SUM(DB_SOFProject[[#This Row],[Plan01]:[Plan12]])/valUnits2</f>
        <v>6.6782999999999676E-2</v>
      </c>
      <c r="AH481" s="34">
        <f>SUMPRODUCT(DB_SOFProject[[#This Row],[Act01]:[Act12]],$Q$3:$AB$3)/valUnits2</f>
        <v>3.5999999999999093E-3</v>
      </c>
    </row>
    <row r="482" spans="2:34" x14ac:dyDescent="0.2">
      <c r="B482" t="s">
        <v>481</v>
      </c>
      <c r="C482" t="s">
        <v>368</v>
      </c>
      <c r="D482" t="s">
        <v>938</v>
      </c>
      <c r="E482">
        <v>76955.98000000001</v>
      </c>
      <c r="F482">
        <v>9915.7400000000016</v>
      </c>
      <c r="G482">
        <v>56368.61</v>
      </c>
      <c r="H482">
        <v>112902.03</v>
      </c>
      <c r="I482">
        <v>462306.44799999997</v>
      </c>
      <c r="J482">
        <v>435920.88799999998</v>
      </c>
      <c r="K482">
        <v>437188.88799999998</v>
      </c>
      <c r="L482">
        <v>438220.88799999998</v>
      </c>
      <c r="M482">
        <v>438220.88799999998</v>
      </c>
      <c r="N482">
        <v>328078.06699999998</v>
      </c>
      <c r="O482">
        <v>384687.88799999998</v>
      </c>
      <c r="Q482">
        <v>76955.98</v>
      </c>
      <c r="R482">
        <v>9915.7400000000016</v>
      </c>
      <c r="S482">
        <v>56368.609999999986</v>
      </c>
      <c r="T482">
        <v>112902.03</v>
      </c>
      <c r="U482">
        <v>25385.560000000005</v>
      </c>
      <c r="V482">
        <v>57654.140000000014</v>
      </c>
      <c r="W482">
        <v>1993.2</v>
      </c>
      <c r="X482">
        <v>0</v>
      </c>
      <c r="Y482">
        <v>0</v>
      </c>
      <c r="Z482">
        <v>0</v>
      </c>
      <c r="AA482">
        <v>0</v>
      </c>
      <c r="AC482">
        <f>SUMPRODUCT(DB_SOFProject[[#This Row],[Plan01]:[Plan12]],$E$4:$P$4)/valUnits2</f>
        <v>1154.369696</v>
      </c>
      <c r="AD482">
        <f>SUMPRODUCT(DB_SOFProject[[#This Row],[Act01]:[Act12]],$Q$4:$AB$4)/valUnits2</f>
        <v>339.18205999999998</v>
      </c>
      <c r="AE482">
        <f>DB_SOFProject[[#This Row],[Actual]]-DB_SOFProject[[#This Row],[Plan]]</f>
        <v>-815.187636</v>
      </c>
      <c r="AF482" s="32">
        <f>IF(DB_SOFProject[[#This Row],[Plan]]&lt;&gt;0,DB_SOFProject[[#This Row],[Actual]]/DB_SOFProject[[#This Row],[Plan]],1.000011000011)</f>
        <v>0.293824466438523</v>
      </c>
      <c r="AG482" s="34">
        <f>SUM(DB_SOFProject[[#This Row],[Plan01]:[Plan12]])/valUnits2</f>
        <v>3180.7663149999994</v>
      </c>
      <c r="AH482" s="34">
        <f>SUMPRODUCT(DB_SOFProject[[#This Row],[Act01]:[Act12]],$Q$3:$AB$3)/valUnits2</f>
        <v>339.18205999999998</v>
      </c>
    </row>
    <row r="483" spans="2:34" x14ac:dyDescent="0.2">
      <c r="B483" t="s">
        <v>481</v>
      </c>
      <c r="C483" t="s">
        <v>905</v>
      </c>
      <c r="D483" t="s">
        <v>971</v>
      </c>
      <c r="E483">
        <v>182.39</v>
      </c>
      <c r="F483">
        <v>428.47999999999996</v>
      </c>
      <c r="G483">
        <v>664.37</v>
      </c>
      <c r="H483">
        <v>371.24</v>
      </c>
      <c r="I483">
        <v>-1110.8599999999999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182.39</v>
      </c>
      <c r="R483">
        <v>428.47999999999996</v>
      </c>
      <c r="S483">
        <v>664.37</v>
      </c>
      <c r="T483">
        <v>371.24</v>
      </c>
      <c r="U483">
        <v>-1110.8600000000001</v>
      </c>
      <c r="V483">
        <v>-19.079999999999998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f>SUMPRODUCT(DB_SOFProject[[#This Row],[Plan01]:[Plan12]],$E$4:$P$4)/valUnits2</f>
        <v>0.53561999999999987</v>
      </c>
      <c r="AD483">
        <f>SUMPRODUCT(DB_SOFProject[[#This Row],[Act01]:[Act12]],$Q$4:$AB$4)/valUnits2</f>
        <v>0.51653999999999967</v>
      </c>
      <c r="AE483">
        <f>DB_SOFProject[[#This Row],[Actual]]-DB_SOFProject[[#This Row],[Plan]]</f>
        <v>-1.9080000000000208E-2</v>
      </c>
      <c r="AF483" s="32">
        <f>IF(DB_SOFProject[[#This Row],[Plan]]&lt;&gt;0,DB_SOFProject[[#This Row],[Actual]]/DB_SOFProject[[#This Row],[Plan]],1.000011000011)</f>
        <v>0.96437773048056419</v>
      </c>
      <c r="AG483" s="34">
        <f>SUM(DB_SOFProject[[#This Row],[Plan01]:[Plan12]])/valUnits2</f>
        <v>0.53561999999999987</v>
      </c>
      <c r="AH483" s="34">
        <f>SUMPRODUCT(DB_SOFProject[[#This Row],[Act01]:[Act12]],$Q$3:$AB$3)/valUnits2</f>
        <v>0.51653999999999967</v>
      </c>
    </row>
    <row r="484" spans="2:34" x14ac:dyDescent="0.2">
      <c r="B484" t="s">
        <v>481</v>
      </c>
      <c r="C484" t="s">
        <v>911</v>
      </c>
      <c r="D484" t="s">
        <v>938</v>
      </c>
      <c r="E484">
        <v>109309.92</v>
      </c>
      <c r="F484">
        <v>392794.84900000005</v>
      </c>
      <c r="G484">
        <v>367754.52800000005</v>
      </c>
      <c r="H484">
        <v>449800.17299999995</v>
      </c>
      <c r="I484">
        <v>398372.77300000004</v>
      </c>
      <c r="J484">
        <v>288365.37300000002</v>
      </c>
      <c r="K484">
        <v>261773.02299999999</v>
      </c>
      <c r="L484">
        <v>276729.12300000002</v>
      </c>
      <c r="M484">
        <v>265285.82299999997</v>
      </c>
      <c r="N484">
        <v>268199.87300000002</v>
      </c>
      <c r="Q484">
        <v>14203.989999999998</v>
      </c>
      <c r="R484">
        <v>220825.25999999995</v>
      </c>
      <c r="S484">
        <v>185700.18999999997</v>
      </c>
      <c r="T484">
        <v>161434.79999999996</v>
      </c>
      <c r="U484">
        <v>136827.52000000002</v>
      </c>
      <c r="V484">
        <v>78427.420000000013</v>
      </c>
      <c r="W484">
        <v>11046.51</v>
      </c>
      <c r="X484">
        <v>0</v>
      </c>
      <c r="Y484">
        <v>0</v>
      </c>
      <c r="Z484">
        <v>0</v>
      </c>
      <c r="AC484">
        <f>SUMPRODUCT(DB_SOFProject[[#This Row],[Plan01]:[Plan12]],$E$4:$P$4)/valUnits2</f>
        <v>2006.397616</v>
      </c>
      <c r="AD484">
        <f>SUMPRODUCT(DB_SOFProject[[#This Row],[Act01]:[Act12]],$Q$4:$AB$4)/valUnits2</f>
        <v>797.41917999999998</v>
      </c>
      <c r="AE484">
        <f>DB_SOFProject[[#This Row],[Actual]]-DB_SOFProject[[#This Row],[Plan]]</f>
        <v>-1208.9784359999999</v>
      </c>
      <c r="AF484" s="32">
        <f>IF(DB_SOFProject[[#This Row],[Plan]]&lt;&gt;0,DB_SOFProject[[#This Row],[Actual]]/DB_SOFProject[[#This Row],[Plan]],1.000011000011)</f>
        <v>0.39743826131021481</v>
      </c>
      <c r="AG484" s="34">
        <f>SUM(DB_SOFProject[[#This Row],[Plan01]:[Plan12]])/valUnits2</f>
        <v>3078.3854580000002</v>
      </c>
      <c r="AH484" s="34">
        <f>SUMPRODUCT(DB_SOFProject[[#This Row],[Act01]:[Act12]],$Q$3:$AB$3)/valUnits2</f>
        <v>797.41917999999998</v>
      </c>
    </row>
    <row r="485" spans="2:34" x14ac:dyDescent="0.2">
      <c r="B485" t="s">
        <v>481</v>
      </c>
      <c r="C485" t="s">
        <v>911</v>
      </c>
      <c r="D485" t="s">
        <v>954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C485">
        <f>SUMPRODUCT(DB_SOFProject[[#This Row],[Plan01]:[Plan12]],$E$4:$P$4)/valUnits2</f>
        <v>0</v>
      </c>
      <c r="AD485">
        <f>SUMPRODUCT(DB_SOFProject[[#This Row],[Act01]:[Act12]],$Q$4:$AB$4)/valUnits2</f>
        <v>0</v>
      </c>
      <c r="AE485">
        <f>DB_SOFProject[[#This Row],[Actual]]-DB_SOFProject[[#This Row],[Plan]]</f>
        <v>0</v>
      </c>
      <c r="AF485" s="32">
        <f>IF(DB_SOFProject[[#This Row],[Plan]]&lt;&gt;0,DB_SOFProject[[#This Row],[Actual]]/DB_SOFProject[[#This Row],[Plan]],1.000011000011)</f>
        <v>1.0000110000110001</v>
      </c>
      <c r="AG485" s="34">
        <f>SUM(DB_SOFProject[[#This Row],[Plan01]:[Plan12]])/valUnits2</f>
        <v>0</v>
      </c>
      <c r="AH485" s="34">
        <f>SUMPRODUCT(DB_SOFProject[[#This Row],[Act01]:[Act12]],$Q$3:$AB$3)/valUnits2</f>
        <v>0</v>
      </c>
    </row>
    <row r="486" spans="2:34" x14ac:dyDescent="0.2">
      <c r="B486" t="s">
        <v>481</v>
      </c>
      <c r="C486" t="s">
        <v>911</v>
      </c>
      <c r="D486" t="s">
        <v>960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C486">
        <f>SUMPRODUCT(DB_SOFProject[[#This Row],[Plan01]:[Plan12]],$E$4:$P$4)/valUnits2</f>
        <v>0</v>
      </c>
      <c r="AD486">
        <f>SUMPRODUCT(DB_SOFProject[[#This Row],[Act01]:[Act12]],$Q$4:$AB$4)/valUnits2</f>
        <v>0</v>
      </c>
      <c r="AE486">
        <f>DB_SOFProject[[#This Row],[Actual]]-DB_SOFProject[[#This Row],[Plan]]</f>
        <v>0</v>
      </c>
      <c r="AF486" s="32">
        <f>IF(DB_SOFProject[[#This Row],[Plan]]&lt;&gt;0,DB_SOFProject[[#This Row],[Actual]]/DB_SOFProject[[#This Row],[Plan]],1.000011000011)</f>
        <v>1.0000110000110001</v>
      </c>
      <c r="AG486" s="34">
        <f>SUM(DB_SOFProject[[#This Row],[Plan01]:[Plan12]])/valUnits2</f>
        <v>0</v>
      </c>
      <c r="AH486" s="34">
        <f>SUMPRODUCT(DB_SOFProject[[#This Row],[Act01]:[Act12]],$Q$3:$AB$3)/valUnits2</f>
        <v>0</v>
      </c>
    </row>
    <row r="487" spans="2:34" x14ac:dyDescent="0.2">
      <c r="B487" t="s">
        <v>481</v>
      </c>
      <c r="C487" t="s">
        <v>911</v>
      </c>
      <c r="D487" t="s">
        <v>989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C487">
        <f>SUMPRODUCT(DB_SOFProject[[#This Row],[Plan01]:[Plan12]],$E$4:$P$4)/valUnits2</f>
        <v>0</v>
      </c>
      <c r="AD487">
        <f>SUMPRODUCT(DB_SOFProject[[#This Row],[Act01]:[Act12]],$Q$4:$AB$4)/valUnits2</f>
        <v>0</v>
      </c>
      <c r="AE487">
        <f>DB_SOFProject[[#This Row],[Actual]]-DB_SOFProject[[#This Row],[Plan]]</f>
        <v>0</v>
      </c>
      <c r="AF487" s="32">
        <f>IF(DB_SOFProject[[#This Row],[Plan]]&lt;&gt;0,DB_SOFProject[[#This Row],[Actual]]/DB_SOFProject[[#This Row],[Plan]],1.000011000011)</f>
        <v>1.0000110000110001</v>
      </c>
      <c r="AG487" s="34">
        <f>SUM(DB_SOFProject[[#This Row],[Plan01]:[Plan12]])/valUnits2</f>
        <v>0</v>
      </c>
      <c r="AH487" s="34">
        <f>SUMPRODUCT(DB_SOFProject[[#This Row],[Act01]:[Act12]],$Q$3:$AB$3)/valUnits2</f>
        <v>0</v>
      </c>
    </row>
    <row r="488" spans="2:34" x14ac:dyDescent="0.2">
      <c r="B488" t="s">
        <v>481</v>
      </c>
      <c r="C488" t="s">
        <v>930</v>
      </c>
      <c r="D488" t="s">
        <v>971</v>
      </c>
      <c r="E488">
        <v>20829.650000000001</v>
      </c>
      <c r="F488">
        <v>23579.479999999996</v>
      </c>
      <c r="G488">
        <v>35265.119999999995</v>
      </c>
      <c r="H488">
        <v>24690.97</v>
      </c>
      <c r="I488">
        <v>23585.780000000002</v>
      </c>
      <c r="J488">
        <v>62731.120999999999</v>
      </c>
      <c r="K488">
        <v>69731.120999999999</v>
      </c>
      <c r="L488">
        <v>39731.120999999999</v>
      </c>
      <c r="M488">
        <v>38851.120999999999</v>
      </c>
      <c r="N488">
        <v>32231.120999999999</v>
      </c>
      <c r="O488">
        <v>32231.120999999999</v>
      </c>
      <c r="P488">
        <v>25013.355</v>
      </c>
      <c r="Q488">
        <v>20829.650000000001</v>
      </c>
      <c r="R488">
        <v>23579.480000000003</v>
      </c>
      <c r="S488">
        <v>35265.119999999995</v>
      </c>
      <c r="T488">
        <v>24690.970000000005</v>
      </c>
      <c r="U488">
        <v>23585.780000000006</v>
      </c>
      <c r="V488">
        <v>41456.53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f>SUMPRODUCT(DB_SOFProject[[#This Row],[Plan01]:[Plan12]],$E$4:$P$4)/valUnits2</f>
        <v>190.682121</v>
      </c>
      <c r="AD488">
        <f>SUMPRODUCT(DB_SOFProject[[#This Row],[Act01]:[Act12]],$Q$4:$AB$4)/valUnits2</f>
        <v>169.40753000000001</v>
      </c>
      <c r="AE488">
        <f>DB_SOFProject[[#This Row],[Actual]]-DB_SOFProject[[#This Row],[Plan]]</f>
        <v>-21.274590999999987</v>
      </c>
      <c r="AF488" s="32">
        <f>IF(DB_SOFProject[[#This Row],[Plan]]&lt;&gt;0,DB_SOFProject[[#This Row],[Actual]]/DB_SOFProject[[#This Row],[Plan]],1.000011000011)</f>
        <v>0.88842902056874018</v>
      </c>
      <c r="AG488" s="34">
        <f>SUM(DB_SOFProject[[#This Row],[Plan01]:[Plan12]])/valUnits2</f>
        <v>428.47108099999991</v>
      </c>
      <c r="AH488" s="34">
        <f>SUMPRODUCT(DB_SOFProject[[#This Row],[Act01]:[Act12]],$Q$3:$AB$3)/valUnits2</f>
        <v>169.40753000000001</v>
      </c>
    </row>
    <row r="489" spans="2:34" x14ac:dyDescent="0.2">
      <c r="B489" t="s">
        <v>481</v>
      </c>
      <c r="C489" t="s">
        <v>931</v>
      </c>
      <c r="D489" t="s">
        <v>938</v>
      </c>
      <c r="E489">
        <v>14371.314</v>
      </c>
      <c r="F489">
        <v>-13696.876</v>
      </c>
      <c r="G489">
        <v>-750.12400000000002</v>
      </c>
      <c r="Q489">
        <v>14358.650000000001</v>
      </c>
      <c r="R489">
        <v>-13854.63</v>
      </c>
      <c r="S489">
        <v>-782.23</v>
      </c>
      <c r="AC489">
        <f>SUMPRODUCT(DB_SOFProject[[#This Row],[Plan01]:[Plan12]],$E$4:$P$4)/valUnits2</f>
        <v>-7.568599999999992E-2</v>
      </c>
      <c r="AD489">
        <f>SUMPRODUCT(DB_SOFProject[[#This Row],[Act01]:[Act12]],$Q$4:$AB$4)/valUnits2</f>
        <v>-0.27820999999999774</v>
      </c>
      <c r="AE489">
        <f>DB_SOFProject[[#This Row],[Actual]]-DB_SOFProject[[#This Row],[Plan]]</f>
        <v>-0.20252399999999782</v>
      </c>
      <c r="AF489" s="32">
        <f>IF(DB_SOFProject[[#This Row],[Plan]]&lt;&gt;0,DB_SOFProject[[#This Row],[Actual]]/DB_SOFProject[[#This Row],[Plan]],1.000011000011)</f>
        <v>3.6758449382976774</v>
      </c>
      <c r="AG489" s="34">
        <f>SUM(DB_SOFProject[[#This Row],[Plan01]:[Plan12]])/valUnits2</f>
        <v>-7.568599999999992E-2</v>
      </c>
      <c r="AH489" s="34">
        <f>SUMPRODUCT(DB_SOFProject[[#This Row],[Act01]:[Act12]],$Q$3:$AB$3)/valUnits2</f>
        <v>-0.27820999999999774</v>
      </c>
    </row>
    <row r="490" spans="2:34" x14ac:dyDescent="0.2">
      <c r="B490" t="s">
        <v>481</v>
      </c>
      <c r="C490" t="s">
        <v>937</v>
      </c>
      <c r="D490" t="s">
        <v>939</v>
      </c>
      <c r="H490">
        <v>39632.149999999994</v>
      </c>
      <c r="I490">
        <v>8378.82</v>
      </c>
      <c r="J490">
        <v>36789.993999999999</v>
      </c>
      <c r="T490">
        <v>39632.150000000009</v>
      </c>
      <c r="U490">
        <v>8378.8200000000015</v>
      </c>
      <c r="V490">
        <v>9232.1500000000015</v>
      </c>
      <c r="AC490">
        <f>SUMPRODUCT(DB_SOFProject[[#This Row],[Plan01]:[Plan12]],$E$4:$P$4)/valUnits2</f>
        <v>84.800963999999993</v>
      </c>
      <c r="AD490">
        <f>SUMPRODUCT(DB_SOFProject[[#This Row],[Act01]:[Act12]],$Q$4:$AB$4)/valUnits2</f>
        <v>57.243120000000012</v>
      </c>
      <c r="AE490">
        <f>DB_SOFProject[[#This Row],[Actual]]-DB_SOFProject[[#This Row],[Plan]]</f>
        <v>-27.557843999999982</v>
      </c>
      <c r="AF490" s="32">
        <f>IF(DB_SOFProject[[#This Row],[Plan]]&lt;&gt;0,DB_SOFProject[[#This Row],[Actual]]/DB_SOFProject[[#This Row],[Plan]],1.000011000011)</f>
        <v>0.67502911877275373</v>
      </c>
      <c r="AG490" s="34">
        <f>SUM(DB_SOFProject[[#This Row],[Plan01]:[Plan12]])/valUnits2</f>
        <v>84.800963999999993</v>
      </c>
      <c r="AH490" s="34">
        <f>SUMPRODUCT(DB_SOFProject[[#This Row],[Act01]:[Act12]],$Q$3:$AB$3)/valUnits2</f>
        <v>57.243120000000012</v>
      </c>
    </row>
    <row r="491" spans="2:34" x14ac:dyDescent="0.2">
      <c r="B491" t="s">
        <v>482</v>
      </c>
      <c r="C491" t="s">
        <v>860</v>
      </c>
      <c r="D491" t="s">
        <v>979</v>
      </c>
      <c r="E491">
        <v>0</v>
      </c>
      <c r="F491">
        <v>0</v>
      </c>
      <c r="G491">
        <v>0</v>
      </c>
      <c r="H491">
        <v>684.36</v>
      </c>
      <c r="I491">
        <v>5196.57</v>
      </c>
      <c r="J491">
        <v>31678.894000000004</v>
      </c>
      <c r="K491">
        <v>31678.894000000004</v>
      </c>
      <c r="L491">
        <v>31678.894000000004</v>
      </c>
      <c r="M491">
        <v>31782.894000000004</v>
      </c>
      <c r="Q491">
        <v>0</v>
      </c>
      <c r="R491">
        <v>0</v>
      </c>
      <c r="S491">
        <v>0</v>
      </c>
      <c r="T491">
        <v>684.36</v>
      </c>
      <c r="U491">
        <v>5196.57</v>
      </c>
      <c r="V491">
        <v>4760.05</v>
      </c>
      <c r="W491">
        <v>0</v>
      </c>
      <c r="X491">
        <v>0</v>
      </c>
      <c r="Y491">
        <v>0</v>
      </c>
      <c r="AC491">
        <f>SUMPRODUCT(DB_SOFProject[[#This Row],[Plan01]:[Plan12]],$E$4:$P$4)/valUnits2</f>
        <v>37.559823999999999</v>
      </c>
      <c r="AD491">
        <f>SUMPRODUCT(DB_SOFProject[[#This Row],[Act01]:[Act12]],$Q$4:$AB$4)/valUnits2</f>
        <v>10.640979999999999</v>
      </c>
      <c r="AE491">
        <f>DB_SOFProject[[#This Row],[Actual]]-DB_SOFProject[[#This Row],[Plan]]</f>
        <v>-26.918844</v>
      </c>
      <c r="AF491" s="32">
        <f>IF(DB_SOFProject[[#This Row],[Plan]]&lt;&gt;0,DB_SOFProject[[#This Row],[Actual]]/DB_SOFProject[[#This Row],[Plan]],1.000011000011)</f>
        <v>0.28330750431631413</v>
      </c>
      <c r="AG491" s="34">
        <f>SUM(DB_SOFProject[[#This Row],[Plan01]:[Plan12]])/valUnits2</f>
        <v>132.70050600000002</v>
      </c>
      <c r="AH491" s="34">
        <f>SUMPRODUCT(DB_SOFProject[[#This Row],[Act01]:[Act12]],$Q$3:$AB$3)/valUnits2</f>
        <v>10.640979999999999</v>
      </c>
    </row>
    <row r="492" spans="2:34" x14ac:dyDescent="0.2">
      <c r="B492" t="s">
        <v>482</v>
      </c>
      <c r="C492" t="s">
        <v>860</v>
      </c>
      <c r="D492" t="s">
        <v>1000</v>
      </c>
      <c r="E492">
        <v>10791.550000000001</v>
      </c>
      <c r="F492">
        <v>17596.89</v>
      </c>
      <c r="G492">
        <v>429401.63000000006</v>
      </c>
      <c r="H492">
        <v>276425.63</v>
      </c>
      <c r="I492">
        <v>47985.64</v>
      </c>
      <c r="J492">
        <v>124506.917</v>
      </c>
      <c r="K492">
        <v>124506.917</v>
      </c>
      <c r="L492">
        <v>124506.91699999999</v>
      </c>
      <c r="M492">
        <v>124506.91699999999</v>
      </c>
      <c r="N492">
        <v>0</v>
      </c>
      <c r="O492">
        <v>0</v>
      </c>
      <c r="P492">
        <v>0</v>
      </c>
      <c r="Q492">
        <v>10791.55</v>
      </c>
      <c r="R492">
        <v>17618.439999999995</v>
      </c>
      <c r="S492">
        <v>429401.63000000018</v>
      </c>
      <c r="T492">
        <v>276425.63</v>
      </c>
      <c r="U492">
        <v>47985.639999999992</v>
      </c>
      <c r="V492">
        <v>40203.200000000012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f>SUMPRODUCT(DB_SOFProject[[#This Row],[Plan01]:[Plan12]],$E$4:$P$4)/valUnits2</f>
        <v>906.70825700000012</v>
      </c>
      <c r="AD492">
        <f>SUMPRODUCT(DB_SOFProject[[#This Row],[Act01]:[Act12]],$Q$4:$AB$4)/valUnits2</f>
        <v>822.42609000000027</v>
      </c>
      <c r="AE492">
        <f>DB_SOFProject[[#This Row],[Actual]]-DB_SOFProject[[#This Row],[Plan]]</f>
        <v>-84.282166999999845</v>
      </c>
      <c r="AF492" s="32">
        <f>IF(DB_SOFProject[[#This Row],[Plan]]&lt;&gt;0,DB_SOFProject[[#This Row],[Actual]]/DB_SOFProject[[#This Row],[Plan]],1.000011000011)</f>
        <v>0.90704599153109966</v>
      </c>
      <c r="AG492" s="34">
        <f>SUM(DB_SOFProject[[#This Row],[Plan01]:[Plan12]])/valUnits2</f>
        <v>1280.229008</v>
      </c>
      <c r="AH492" s="34">
        <f>SUMPRODUCT(DB_SOFProject[[#This Row],[Act01]:[Act12]],$Q$3:$AB$3)/valUnits2</f>
        <v>822.42609000000027</v>
      </c>
    </row>
    <row r="493" spans="2:34" x14ac:dyDescent="0.2">
      <c r="B493" t="s">
        <v>482</v>
      </c>
      <c r="C493" t="s">
        <v>869</v>
      </c>
      <c r="D493" t="s">
        <v>956</v>
      </c>
      <c r="E493">
        <v>111634.09</v>
      </c>
      <c r="F493">
        <v>7996.0800000000017</v>
      </c>
      <c r="G493">
        <v>19427.309999999998</v>
      </c>
      <c r="H493">
        <v>132146.93</v>
      </c>
      <c r="I493">
        <v>30170.619999999995</v>
      </c>
      <c r="J493">
        <v>10295</v>
      </c>
      <c r="K493">
        <v>10295</v>
      </c>
      <c r="L493">
        <v>10295</v>
      </c>
      <c r="M493">
        <v>10295</v>
      </c>
      <c r="N493">
        <v>10295</v>
      </c>
      <c r="O493">
        <v>10295.000000000002</v>
      </c>
      <c r="P493">
        <v>10295</v>
      </c>
      <c r="Q493">
        <v>111634.09000000001</v>
      </c>
      <c r="R493">
        <v>7996.0799999999981</v>
      </c>
      <c r="S493">
        <v>19427.310000000001</v>
      </c>
      <c r="T493">
        <v>132146.93000000002</v>
      </c>
      <c r="U493">
        <v>30170.620000000003</v>
      </c>
      <c r="V493">
        <v>9375.68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f>SUMPRODUCT(DB_SOFProject[[#This Row],[Plan01]:[Plan12]],$E$4:$P$4)/valUnits2</f>
        <v>311.67003</v>
      </c>
      <c r="AD493">
        <f>SUMPRODUCT(DB_SOFProject[[#This Row],[Act01]:[Act12]],$Q$4:$AB$4)/valUnits2</f>
        <v>310.75071000000003</v>
      </c>
      <c r="AE493">
        <f>DB_SOFProject[[#This Row],[Actual]]-DB_SOFProject[[#This Row],[Plan]]</f>
        <v>-0.91931999999997061</v>
      </c>
      <c r="AF493" s="32">
        <f>IF(DB_SOFProject[[#This Row],[Plan]]&lt;&gt;0,DB_SOFProject[[#This Row],[Actual]]/DB_SOFProject[[#This Row],[Plan]],1.000011000011)</f>
        <v>0.99705034199149667</v>
      </c>
      <c r="AG493" s="34">
        <f>SUM(DB_SOFProject[[#This Row],[Plan01]:[Plan12]])/valUnits2</f>
        <v>373.44002999999998</v>
      </c>
      <c r="AH493" s="34">
        <f>SUMPRODUCT(DB_SOFProject[[#This Row],[Act01]:[Act12]],$Q$3:$AB$3)/valUnits2</f>
        <v>310.75071000000003</v>
      </c>
    </row>
    <row r="494" spans="2:34" x14ac:dyDescent="0.2">
      <c r="B494" t="s">
        <v>482</v>
      </c>
      <c r="C494" t="s">
        <v>875</v>
      </c>
      <c r="D494" t="s">
        <v>956</v>
      </c>
      <c r="E494">
        <v>1044.6479999999999</v>
      </c>
      <c r="F494">
        <v>692.01299999999992</v>
      </c>
      <c r="G494">
        <v>2483.8330000000001</v>
      </c>
      <c r="H494">
        <v>3811.8990000000003</v>
      </c>
      <c r="I494">
        <v>41019.810999999994</v>
      </c>
      <c r="J494">
        <v>8468.5400000000009</v>
      </c>
      <c r="K494">
        <v>8468.5400000000009</v>
      </c>
      <c r="L494">
        <v>8468.5400000000009</v>
      </c>
      <c r="M494">
        <v>8468.5400000000009</v>
      </c>
      <c r="N494">
        <v>8468.5400000000009</v>
      </c>
      <c r="O494">
        <v>8468.5399999999991</v>
      </c>
      <c r="P494">
        <v>8468.5399999999991</v>
      </c>
      <c r="Q494">
        <v>1065.98</v>
      </c>
      <c r="R494">
        <v>690.56999999999994</v>
      </c>
      <c r="S494">
        <v>2541.8799999999997</v>
      </c>
      <c r="T494">
        <v>3746.2900000000004</v>
      </c>
      <c r="U494">
        <v>42246.06</v>
      </c>
      <c r="V494">
        <v>3853.02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f>SUMPRODUCT(DB_SOFProject[[#This Row],[Plan01]:[Plan12]],$E$4:$P$4)/valUnits2</f>
        <v>57.520744000000001</v>
      </c>
      <c r="AD494">
        <f>SUMPRODUCT(DB_SOFProject[[#This Row],[Act01]:[Act12]],$Q$4:$AB$4)/valUnits2</f>
        <v>54.143799999999999</v>
      </c>
      <c r="AE494">
        <f>DB_SOFProject[[#This Row],[Actual]]-DB_SOFProject[[#This Row],[Plan]]</f>
        <v>-3.3769440000000017</v>
      </c>
      <c r="AF494" s="32">
        <f>IF(DB_SOFProject[[#This Row],[Plan]]&lt;&gt;0,DB_SOFProject[[#This Row],[Actual]]/DB_SOFProject[[#This Row],[Plan]],1.000011000011)</f>
        <v>0.94129171903617936</v>
      </c>
      <c r="AG494" s="34">
        <f>SUM(DB_SOFProject[[#This Row],[Plan01]:[Plan12]])/valUnits2</f>
        <v>108.33198399999999</v>
      </c>
      <c r="AH494" s="34">
        <f>SUMPRODUCT(DB_SOFProject[[#This Row],[Act01]:[Act12]],$Q$3:$AB$3)/valUnits2</f>
        <v>54.143799999999999</v>
      </c>
    </row>
    <row r="495" spans="2:34" x14ac:dyDescent="0.2">
      <c r="B495" t="s">
        <v>482</v>
      </c>
      <c r="C495" t="s">
        <v>876</v>
      </c>
      <c r="D495" t="s">
        <v>956</v>
      </c>
      <c r="E495">
        <v>5338.0299999999988</v>
      </c>
      <c r="F495">
        <v>76531.799999999988</v>
      </c>
      <c r="G495">
        <v>55713.14</v>
      </c>
      <c r="H495">
        <v>-6317.0499999999993</v>
      </c>
      <c r="I495">
        <v>30890.21</v>
      </c>
      <c r="J495">
        <v>52960.398000000001</v>
      </c>
      <c r="K495">
        <v>14677.691999999999</v>
      </c>
      <c r="L495">
        <v>14677.691999999999</v>
      </c>
      <c r="M495">
        <v>14677.691999999999</v>
      </c>
      <c r="Q495">
        <v>5338.03</v>
      </c>
      <c r="R495">
        <v>76555.149999999994</v>
      </c>
      <c r="S495">
        <v>55713.14</v>
      </c>
      <c r="T495">
        <v>-6317.0499999999975</v>
      </c>
      <c r="U495">
        <v>30890.209999999995</v>
      </c>
      <c r="V495">
        <v>46429.41</v>
      </c>
      <c r="W495">
        <v>449.41</v>
      </c>
      <c r="X495">
        <v>0</v>
      </c>
      <c r="Y495">
        <v>0</v>
      </c>
      <c r="AC495">
        <f>SUMPRODUCT(DB_SOFProject[[#This Row],[Plan01]:[Plan12]],$E$4:$P$4)/valUnits2</f>
        <v>215.11652799999999</v>
      </c>
      <c r="AD495">
        <f>SUMPRODUCT(DB_SOFProject[[#This Row],[Act01]:[Act12]],$Q$4:$AB$4)/valUnits2</f>
        <v>208.60889</v>
      </c>
      <c r="AE495">
        <f>DB_SOFProject[[#This Row],[Actual]]-DB_SOFProject[[#This Row],[Plan]]</f>
        <v>-6.5076379999999858</v>
      </c>
      <c r="AF495" s="32">
        <f>IF(DB_SOFProject[[#This Row],[Plan]]&lt;&gt;0,DB_SOFProject[[#This Row],[Actual]]/DB_SOFProject[[#This Row],[Plan]],1.000011000011)</f>
        <v>0.96974831241233128</v>
      </c>
      <c r="AG495" s="34">
        <f>SUM(DB_SOFProject[[#This Row],[Plan01]:[Plan12]])/valUnits2</f>
        <v>259.14960400000001</v>
      </c>
      <c r="AH495" s="34">
        <f>SUMPRODUCT(DB_SOFProject[[#This Row],[Act01]:[Act12]],$Q$3:$AB$3)/valUnits2</f>
        <v>208.60889</v>
      </c>
    </row>
    <row r="496" spans="2:34" x14ac:dyDescent="0.2">
      <c r="B496" t="s">
        <v>482</v>
      </c>
      <c r="C496" t="s">
        <v>879</v>
      </c>
      <c r="D496" t="s">
        <v>956</v>
      </c>
      <c r="F496">
        <v>1347.7660000000001</v>
      </c>
      <c r="G496">
        <v>26199.86</v>
      </c>
      <c r="H496">
        <v>0</v>
      </c>
      <c r="I496">
        <v>58059.58</v>
      </c>
      <c r="J496">
        <v>10048.280000000001</v>
      </c>
      <c r="K496">
        <v>10083.751</v>
      </c>
      <c r="L496">
        <v>10048.280000000001</v>
      </c>
      <c r="M496">
        <v>10048.280999999999</v>
      </c>
      <c r="N496">
        <v>10048.280999999999</v>
      </c>
      <c r="O496">
        <v>10048.280999999999</v>
      </c>
      <c r="P496">
        <v>10048.280999999999</v>
      </c>
      <c r="R496">
        <v>1346.3</v>
      </c>
      <c r="S496">
        <v>26928.3</v>
      </c>
      <c r="T496">
        <v>0</v>
      </c>
      <c r="U496">
        <v>59748.4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f>SUMPRODUCT(DB_SOFProject[[#This Row],[Plan01]:[Plan12]],$E$4:$P$4)/valUnits2</f>
        <v>95.65548600000001</v>
      </c>
      <c r="AD496">
        <f>SUMPRODUCT(DB_SOFProject[[#This Row],[Act01]:[Act12]],$Q$4:$AB$4)/valUnits2</f>
        <v>88.022999999999996</v>
      </c>
      <c r="AE496">
        <f>DB_SOFProject[[#This Row],[Actual]]-DB_SOFProject[[#This Row],[Plan]]</f>
        <v>-7.6324860000000143</v>
      </c>
      <c r="AF496" s="32">
        <f>IF(DB_SOFProject[[#This Row],[Plan]]&lt;&gt;0,DB_SOFProject[[#This Row],[Actual]]/DB_SOFProject[[#This Row],[Plan]],1.000011000011)</f>
        <v>0.92020859106815878</v>
      </c>
      <c r="AG496" s="34">
        <f>SUM(DB_SOFProject[[#This Row],[Plan01]:[Plan12]])/valUnits2</f>
        <v>155.98064099999996</v>
      </c>
      <c r="AH496" s="34">
        <f>SUMPRODUCT(DB_SOFProject[[#This Row],[Act01]:[Act12]],$Q$3:$AB$3)/valUnits2</f>
        <v>88.022999999999996</v>
      </c>
    </row>
    <row r="497" spans="2:34" x14ac:dyDescent="0.2">
      <c r="B497" t="s">
        <v>482</v>
      </c>
      <c r="C497" t="s">
        <v>891</v>
      </c>
      <c r="D497" t="s">
        <v>956</v>
      </c>
      <c r="E497">
        <v>1201.345</v>
      </c>
      <c r="F497">
        <v>3866.3089999999997</v>
      </c>
      <c r="G497">
        <v>4404.1809999999996</v>
      </c>
      <c r="H497">
        <v>5184.1420000000007</v>
      </c>
      <c r="I497">
        <v>5679.0499999999993</v>
      </c>
      <c r="J497">
        <v>17559.863999999998</v>
      </c>
      <c r="K497">
        <v>16096.863999999998</v>
      </c>
      <c r="L497">
        <v>12925.015999999996</v>
      </c>
      <c r="M497">
        <v>13383.478999999999</v>
      </c>
      <c r="N497">
        <v>12726.108999999997</v>
      </c>
      <c r="O497">
        <v>13769.552999999996</v>
      </c>
      <c r="P497">
        <v>14030.413999999997</v>
      </c>
      <c r="Q497">
        <v>1182.8899999999999</v>
      </c>
      <c r="R497">
        <v>3950.3500000000004</v>
      </c>
      <c r="S497">
        <v>4457.7599999999993</v>
      </c>
      <c r="T497">
        <v>5149.58</v>
      </c>
      <c r="U497">
        <v>5678.57</v>
      </c>
      <c r="V497">
        <v>7472.9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f>SUMPRODUCT(DB_SOFProject[[#This Row],[Plan01]:[Plan12]],$E$4:$P$4)/valUnits2</f>
        <v>37.894890999999994</v>
      </c>
      <c r="AD497">
        <f>SUMPRODUCT(DB_SOFProject[[#This Row],[Act01]:[Act12]],$Q$4:$AB$4)/valUnits2</f>
        <v>27.892050000000005</v>
      </c>
      <c r="AE497">
        <f>DB_SOFProject[[#This Row],[Actual]]-DB_SOFProject[[#This Row],[Plan]]</f>
        <v>-10.002840999999989</v>
      </c>
      <c r="AF497" s="32">
        <f>IF(DB_SOFProject[[#This Row],[Plan]]&lt;&gt;0,DB_SOFProject[[#This Row],[Actual]]/DB_SOFProject[[#This Row],[Plan]],1.000011000011)</f>
        <v>0.73603721409305567</v>
      </c>
      <c r="AG497" s="34">
        <f>SUM(DB_SOFProject[[#This Row],[Plan01]:[Plan12]])/valUnits2</f>
        <v>120.82632599999997</v>
      </c>
      <c r="AH497" s="34">
        <f>SUMPRODUCT(DB_SOFProject[[#This Row],[Act01]:[Act12]],$Q$3:$AB$3)/valUnits2</f>
        <v>27.892050000000005</v>
      </c>
    </row>
    <row r="498" spans="2:34" x14ac:dyDescent="0.2">
      <c r="B498" t="s">
        <v>482</v>
      </c>
      <c r="C498" t="s">
        <v>365</v>
      </c>
      <c r="D498" t="s">
        <v>956</v>
      </c>
      <c r="E498">
        <v>9656.07</v>
      </c>
      <c r="F498">
        <v>48.295999999999999</v>
      </c>
      <c r="G498">
        <v>26.175999999999998</v>
      </c>
      <c r="H498">
        <v>0</v>
      </c>
      <c r="I498">
        <v>16580.027000000002</v>
      </c>
      <c r="J498">
        <v>7952.7719999999999</v>
      </c>
      <c r="K498">
        <v>10185.606</v>
      </c>
      <c r="L498">
        <v>10185.606</v>
      </c>
      <c r="Q498">
        <v>9651.16</v>
      </c>
      <c r="R498">
        <v>47.96</v>
      </c>
      <c r="S498">
        <v>26.34</v>
      </c>
      <c r="T498">
        <v>0</v>
      </c>
      <c r="U498">
        <v>17039.41</v>
      </c>
      <c r="V498">
        <v>83.83</v>
      </c>
      <c r="W498">
        <v>0</v>
      </c>
      <c r="X498">
        <v>0</v>
      </c>
      <c r="AC498">
        <f>SUMPRODUCT(DB_SOFProject[[#This Row],[Plan01]:[Plan12]],$E$4:$P$4)/valUnits2</f>
        <v>34.263340999999997</v>
      </c>
      <c r="AD498">
        <f>SUMPRODUCT(DB_SOFProject[[#This Row],[Act01]:[Act12]],$Q$4:$AB$4)/valUnits2</f>
        <v>26.848700000000001</v>
      </c>
      <c r="AE498">
        <f>DB_SOFProject[[#This Row],[Actual]]-DB_SOFProject[[#This Row],[Plan]]</f>
        <v>-7.414640999999996</v>
      </c>
      <c r="AF498" s="32">
        <f>IF(DB_SOFProject[[#This Row],[Plan]]&lt;&gt;0,DB_SOFProject[[#This Row],[Actual]]/DB_SOFProject[[#This Row],[Plan]],1.000011000011)</f>
        <v>0.78359842374974475</v>
      </c>
      <c r="AG498" s="34">
        <f>SUM(DB_SOFProject[[#This Row],[Plan01]:[Plan12]])/valUnits2</f>
        <v>54.634552999999997</v>
      </c>
      <c r="AH498" s="34">
        <f>SUMPRODUCT(DB_SOFProject[[#This Row],[Act01]:[Act12]],$Q$3:$AB$3)/valUnits2</f>
        <v>26.848700000000001</v>
      </c>
    </row>
    <row r="499" spans="2:34" x14ac:dyDescent="0.2">
      <c r="B499" t="s">
        <v>482</v>
      </c>
      <c r="C499" t="s">
        <v>906</v>
      </c>
      <c r="D499" t="s">
        <v>956</v>
      </c>
      <c r="E499">
        <v>149.51</v>
      </c>
      <c r="F499">
        <v>-1449.3440000000001</v>
      </c>
      <c r="Q499">
        <v>112.57000000000016</v>
      </c>
      <c r="R499">
        <v>-1545.67</v>
      </c>
      <c r="AC499">
        <f>SUMPRODUCT(DB_SOFProject[[#This Row],[Plan01]:[Plan12]],$E$4:$P$4)/valUnits2</f>
        <v>-1.2998340000000002</v>
      </c>
      <c r="AD499">
        <f>SUMPRODUCT(DB_SOFProject[[#This Row],[Act01]:[Act12]],$Q$4:$AB$4)/valUnits2</f>
        <v>-1.4330999999999998</v>
      </c>
      <c r="AE499">
        <f>DB_SOFProject[[#This Row],[Actual]]-DB_SOFProject[[#This Row],[Plan]]</f>
        <v>-0.13326599999999966</v>
      </c>
      <c r="AF499" s="32">
        <f>IF(DB_SOFProject[[#This Row],[Plan]]&lt;&gt;0,DB_SOFProject[[#This Row],[Actual]]/DB_SOFProject[[#This Row],[Plan]],1.000011000011)</f>
        <v>1.1025253993971535</v>
      </c>
      <c r="AG499" s="34">
        <f>SUM(DB_SOFProject[[#This Row],[Plan01]:[Plan12]])/valUnits2</f>
        <v>-1.2998340000000002</v>
      </c>
      <c r="AH499" s="34">
        <f>SUMPRODUCT(DB_SOFProject[[#This Row],[Act01]:[Act12]],$Q$3:$AB$3)/valUnits2</f>
        <v>-1.4330999999999998</v>
      </c>
    </row>
    <row r="500" spans="2:34" x14ac:dyDescent="0.2">
      <c r="B500" t="s">
        <v>482</v>
      </c>
      <c r="C500" t="s">
        <v>909</v>
      </c>
      <c r="D500" t="s">
        <v>956</v>
      </c>
      <c r="E500">
        <v>103097.75</v>
      </c>
      <c r="F500">
        <v>10615.770000000004</v>
      </c>
      <c r="G500">
        <v>14804.089999999998</v>
      </c>
      <c r="H500">
        <v>135064.91</v>
      </c>
      <c r="I500">
        <v>187311.39</v>
      </c>
      <c r="J500">
        <v>109053.83</v>
      </c>
      <c r="K500">
        <v>109053.83000000002</v>
      </c>
      <c r="L500">
        <v>109053.83</v>
      </c>
      <c r="M500">
        <v>158311.82999999999</v>
      </c>
      <c r="N500">
        <v>159053.82999999996</v>
      </c>
      <c r="O500">
        <v>176788.83</v>
      </c>
      <c r="P500">
        <v>109053.83</v>
      </c>
      <c r="Q500">
        <v>103097.74999999999</v>
      </c>
      <c r="R500">
        <v>10615.770000000059</v>
      </c>
      <c r="S500">
        <v>14804.090000000029</v>
      </c>
      <c r="T500">
        <v>135064.91000000006</v>
      </c>
      <c r="U500">
        <v>187311.39000000004</v>
      </c>
      <c r="V500">
        <v>8666.8599999999878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f>SUMPRODUCT(DB_SOFProject[[#This Row],[Plan01]:[Plan12]],$E$4:$P$4)/valUnits2</f>
        <v>559.94773999999995</v>
      </c>
      <c r="AD500">
        <f>SUMPRODUCT(DB_SOFProject[[#This Row],[Act01]:[Act12]],$Q$4:$AB$4)/valUnits2</f>
        <v>459.56077000000016</v>
      </c>
      <c r="AE500">
        <f>DB_SOFProject[[#This Row],[Actual]]-DB_SOFProject[[#This Row],[Plan]]</f>
        <v>-100.38696999999979</v>
      </c>
      <c r="AF500" s="32">
        <f>IF(DB_SOFProject[[#This Row],[Plan]]&lt;&gt;0,DB_SOFProject[[#This Row],[Actual]]/DB_SOFProject[[#This Row],[Plan]],1.000011000011)</f>
        <v>0.82072082298251658</v>
      </c>
      <c r="AG500" s="34">
        <f>SUM(DB_SOFProject[[#This Row],[Plan01]:[Plan12]])/valUnits2</f>
        <v>1381.2637200000001</v>
      </c>
      <c r="AH500" s="34">
        <f>SUMPRODUCT(DB_SOFProject[[#This Row],[Act01]:[Act12]],$Q$3:$AB$3)/valUnits2</f>
        <v>459.56077000000016</v>
      </c>
    </row>
    <row r="501" spans="2:34" x14ac:dyDescent="0.2">
      <c r="B501" t="s">
        <v>482</v>
      </c>
      <c r="C501" t="s">
        <v>917</v>
      </c>
      <c r="D501" t="s">
        <v>956</v>
      </c>
      <c r="E501">
        <v>10948.574000000001</v>
      </c>
      <c r="F501">
        <v>4768.2910000000002</v>
      </c>
      <c r="G501">
        <v>0</v>
      </c>
      <c r="H501">
        <v>1073.396</v>
      </c>
      <c r="I501">
        <v>1077.5340000000001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10943.62</v>
      </c>
      <c r="R501">
        <v>4753.18</v>
      </c>
      <c r="S501">
        <v>0</v>
      </c>
      <c r="T501">
        <v>1079.42</v>
      </c>
      <c r="U501">
        <v>1082.6299999999999</v>
      </c>
      <c r="V501">
        <v>2036.4499999999998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f>SUMPRODUCT(DB_SOFProject[[#This Row],[Plan01]:[Plan12]],$E$4:$P$4)/valUnits2</f>
        <v>17.867795000000001</v>
      </c>
      <c r="AD501">
        <f>SUMPRODUCT(DB_SOFProject[[#This Row],[Act01]:[Act12]],$Q$4:$AB$4)/valUnits2</f>
        <v>19.895300000000002</v>
      </c>
      <c r="AE501">
        <f>DB_SOFProject[[#This Row],[Actual]]-DB_SOFProject[[#This Row],[Plan]]</f>
        <v>2.0275050000000014</v>
      </c>
      <c r="AF501" s="32">
        <f>IF(DB_SOFProject[[#This Row],[Plan]]&lt;&gt;0,DB_SOFProject[[#This Row],[Actual]]/DB_SOFProject[[#This Row],[Plan]],1.000011000011)</f>
        <v>1.11347259132982</v>
      </c>
      <c r="AG501" s="34">
        <f>SUM(DB_SOFProject[[#This Row],[Plan01]:[Plan12]])/valUnits2</f>
        <v>17.867795000000001</v>
      </c>
      <c r="AH501" s="34">
        <f>SUMPRODUCT(DB_SOFProject[[#This Row],[Act01]:[Act12]],$Q$3:$AB$3)/valUnits2</f>
        <v>19.895300000000002</v>
      </c>
    </row>
    <row r="502" spans="2:34" x14ac:dyDescent="0.2">
      <c r="B502" t="s">
        <v>482</v>
      </c>
      <c r="C502" t="s">
        <v>922</v>
      </c>
      <c r="D502" t="s">
        <v>956</v>
      </c>
      <c r="E502">
        <v>4938.1909999999998</v>
      </c>
      <c r="F502">
        <v>8108.5540000000001</v>
      </c>
      <c r="G502">
        <v>12100.385999999997</v>
      </c>
      <c r="H502">
        <v>6925.5629999999992</v>
      </c>
      <c r="I502">
        <v>8256.0329999999994</v>
      </c>
      <c r="J502">
        <v>8802.25</v>
      </c>
      <c r="K502">
        <v>8802.25</v>
      </c>
      <c r="L502">
        <v>8802.2499999999982</v>
      </c>
      <c r="M502">
        <v>8802.25</v>
      </c>
      <c r="N502">
        <v>8802.2499999999982</v>
      </c>
      <c r="O502">
        <v>8802.2499999999982</v>
      </c>
      <c r="P502">
        <v>8802.2499999999982</v>
      </c>
      <c r="Q502">
        <v>4850.2700000000004</v>
      </c>
      <c r="R502">
        <v>8309.869999999999</v>
      </c>
      <c r="S502">
        <v>12241.170000000004</v>
      </c>
      <c r="T502">
        <v>6880.1399999999994</v>
      </c>
      <c r="U502">
        <v>8210.0500000000011</v>
      </c>
      <c r="V502">
        <v>13599.839999999998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f>SUMPRODUCT(DB_SOFProject[[#This Row],[Plan01]:[Plan12]],$E$4:$P$4)/valUnits2</f>
        <v>49.130976999999994</v>
      </c>
      <c r="AD502">
        <f>SUMPRODUCT(DB_SOFProject[[#This Row],[Act01]:[Act12]],$Q$4:$AB$4)/valUnits2</f>
        <v>54.091340000000002</v>
      </c>
      <c r="AE502">
        <f>DB_SOFProject[[#This Row],[Actual]]-DB_SOFProject[[#This Row],[Plan]]</f>
        <v>4.9603630000000081</v>
      </c>
      <c r="AF502" s="32">
        <f>IF(DB_SOFProject[[#This Row],[Plan]]&lt;&gt;0,DB_SOFProject[[#This Row],[Actual]]/DB_SOFProject[[#This Row],[Plan]],1.000011000011)</f>
        <v>1.1009620264624498</v>
      </c>
      <c r="AG502" s="34">
        <f>SUM(DB_SOFProject[[#This Row],[Plan01]:[Plan12]])/valUnits2</f>
        <v>101.94447699999998</v>
      </c>
      <c r="AH502" s="34">
        <f>SUMPRODUCT(DB_SOFProject[[#This Row],[Act01]:[Act12]],$Q$3:$AB$3)/valUnits2</f>
        <v>54.091340000000002</v>
      </c>
    </row>
    <row r="503" spans="2:34" x14ac:dyDescent="0.2">
      <c r="B503" t="s">
        <v>482</v>
      </c>
      <c r="C503" t="s">
        <v>933</v>
      </c>
      <c r="D503" t="s">
        <v>956</v>
      </c>
      <c r="E503">
        <v>54161.509999999995</v>
      </c>
      <c r="F503">
        <v>14573.82</v>
      </c>
      <c r="G503">
        <v>71841.47000000003</v>
      </c>
      <c r="H503">
        <v>86226.550000000032</v>
      </c>
      <c r="I503">
        <v>59762.14</v>
      </c>
      <c r="J503">
        <v>89542.5</v>
      </c>
      <c r="K503">
        <v>54115.5</v>
      </c>
      <c r="L503">
        <v>54114</v>
      </c>
      <c r="M503">
        <v>54114</v>
      </c>
      <c r="N503">
        <v>54114</v>
      </c>
      <c r="O503">
        <v>54114</v>
      </c>
      <c r="P503">
        <v>54114</v>
      </c>
      <c r="Q503">
        <v>54161.510000000009</v>
      </c>
      <c r="R503">
        <v>14573.820000000011</v>
      </c>
      <c r="S503">
        <v>71841.47</v>
      </c>
      <c r="T503">
        <v>86249.000000000058</v>
      </c>
      <c r="U503">
        <v>59762.140000000007</v>
      </c>
      <c r="V503">
        <v>74012.03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f>SUMPRODUCT(DB_SOFProject[[#This Row],[Plan01]:[Plan12]],$E$4:$P$4)/valUnits2</f>
        <v>376.10799000000003</v>
      </c>
      <c r="AD503">
        <f>SUMPRODUCT(DB_SOFProject[[#This Row],[Act01]:[Act12]],$Q$4:$AB$4)/valUnits2</f>
        <v>360.5999700000001</v>
      </c>
      <c r="AE503">
        <f>DB_SOFProject[[#This Row],[Actual]]-DB_SOFProject[[#This Row],[Plan]]</f>
        <v>-15.508019999999931</v>
      </c>
      <c r="AF503" s="32">
        <f>IF(DB_SOFProject[[#This Row],[Plan]]&lt;&gt;0,DB_SOFProject[[#This Row],[Actual]]/DB_SOFProject[[#This Row],[Plan]],1.000011000011)</f>
        <v>0.958767108350982</v>
      </c>
      <c r="AG503" s="34">
        <f>SUM(DB_SOFProject[[#This Row],[Plan01]:[Plan12]])/valUnits2</f>
        <v>700.79349000000002</v>
      </c>
      <c r="AH503" s="34">
        <f>SUMPRODUCT(DB_SOFProject[[#This Row],[Act01]:[Act12]],$Q$3:$AB$3)/valUnits2</f>
        <v>360.5999700000001</v>
      </c>
    </row>
    <row r="504" spans="2:34" x14ac:dyDescent="0.2">
      <c r="B504" t="s">
        <v>482</v>
      </c>
      <c r="C504" t="s">
        <v>934</v>
      </c>
      <c r="D504" t="s">
        <v>956</v>
      </c>
      <c r="E504">
        <v>0</v>
      </c>
      <c r="F504">
        <v>0</v>
      </c>
      <c r="G504">
        <v>0</v>
      </c>
      <c r="H504">
        <v>1605695.61</v>
      </c>
      <c r="I504">
        <v>0</v>
      </c>
      <c r="J504">
        <v>1491983.7069999999</v>
      </c>
      <c r="K504">
        <v>0</v>
      </c>
      <c r="L504">
        <v>0</v>
      </c>
      <c r="M504">
        <v>1491983.7069999999</v>
      </c>
      <c r="N504">
        <v>0</v>
      </c>
      <c r="O504">
        <v>0</v>
      </c>
      <c r="P504">
        <v>1478955.7069999999</v>
      </c>
      <c r="Q504">
        <v>0</v>
      </c>
      <c r="R504">
        <v>0</v>
      </c>
      <c r="S504">
        <v>0</v>
      </c>
      <c r="T504">
        <v>1605695.61</v>
      </c>
      <c r="U504">
        <v>0</v>
      </c>
      <c r="V504">
        <v>572741.81999999995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f>SUMPRODUCT(DB_SOFProject[[#This Row],[Plan01]:[Plan12]],$E$4:$P$4)/valUnits2</f>
        <v>3097.6793169999996</v>
      </c>
      <c r="AD504">
        <f>SUMPRODUCT(DB_SOFProject[[#This Row],[Act01]:[Act12]],$Q$4:$AB$4)/valUnits2</f>
        <v>2178.4374299999999</v>
      </c>
      <c r="AE504">
        <f>DB_SOFProject[[#This Row],[Actual]]-DB_SOFProject[[#This Row],[Plan]]</f>
        <v>-919.24188699999968</v>
      </c>
      <c r="AF504" s="32">
        <f>IF(DB_SOFProject[[#This Row],[Plan]]&lt;&gt;0,DB_SOFProject[[#This Row],[Actual]]/DB_SOFProject[[#This Row],[Plan]],1.000011000011)</f>
        <v>0.70324820843938907</v>
      </c>
      <c r="AG504" s="34">
        <f>SUM(DB_SOFProject[[#This Row],[Plan01]:[Plan12]])/valUnits2</f>
        <v>6068.6187310000005</v>
      </c>
      <c r="AH504" s="34">
        <f>SUMPRODUCT(DB_SOFProject[[#This Row],[Act01]:[Act12]],$Q$3:$AB$3)/valUnits2</f>
        <v>2178.4374299999999</v>
      </c>
    </row>
    <row r="505" spans="2:34" x14ac:dyDescent="0.2">
      <c r="B505" t="s">
        <v>483</v>
      </c>
      <c r="C505" t="s">
        <v>843</v>
      </c>
      <c r="D505" t="s">
        <v>944</v>
      </c>
      <c r="H505">
        <v>71414.804999999993</v>
      </c>
      <c r="I505">
        <v>44609.921999999999</v>
      </c>
      <c r="J505">
        <v>44265.896999999997</v>
      </c>
      <c r="K505">
        <v>44265.896999999997</v>
      </c>
      <c r="L505">
        <v>44265.896999999997</v>
      </c>
      <c r="M505">
        <v>44265.896999999997</v>
      </c>
      <c r="N505">
        <v>44265.897000000004</v>
      </c>
      <c r="O505">
        <v>44265.897000000004</v>
      </c>
      <c r="P505">
        <v>44265.896999999997</v>
      </c>
      <c r="T505">
        <v>72844.440000000017</v>
      </c>
      <c r="U505">
        <v>44488.5</v>
      </c>
      <c r="V505">
        <v>7139.5499999999956</v>
      </c>
      <c r="W505">
        <v>681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f>SUMPRODUCT(DB_SOFProject[[#This Row],[Plan01]:[Plan12]],$E$4:$P$4)/valUnits2</f>
        <v>160.29062399999998</v>
      </c>
      <c r="AD505">
        <f>SUMPRODUCT(DB_SOFProject[[#This Row],[Act01]:[Act12]],$Q$4:$AB$4)/valUnits2</f>
        <v>124.47249000000002</v>
      </c>
      <c r="AE505">
        <f>DB_SOFProject[[#This Row],[Actual]]-DB_SOFProject[[#This Row],[Plan]]</f>
        <v>-35.818133999999958</v>
      </c>
      <c r="AF505" s="32">
        <f>IF(DB_SOFProject[[#This Row],[Plan]]&lt;&gt;0,DB_SOFProject[[#This Row],[Actual]]/DB_SOFProject[[#This Row],[Plan]],1.000011000011)</f>
        <v>0.77654255061107025</v>
      </c>
      <c r="AG505" s="34">
        <f>SUM(DB_SOFProject[[#This Row],[Plan01]:[Plan12]])/valUnits2</f>
        <v>425.88600599999995</v>
      </c>
      <c r="AH505" s="34">
        <f>SUMPRODUCT(DB_SOFProject[[#This Row],[Act01]:[Act12]],$Q$3:$AB$3)/valUnits2</f>
        <v>124.47249000000002</v>
      </c>
    </row>
    <row r="506" spans="2:34" x14ac:dyDescent="0.2">
      <c r="B506" t="s">
        <v>483</v>
      </c>
      <c r="C506" t="s">
        <v>848</v>
      </c>
      <c r="D506" t="s">
        <v>996</v>
      </c>
      <c r="E506">
        <v>83.542000000000002</v>
      </c>
      <c r="F506">
        <v>84.763000000000005</v>
      </c>
      <c r="G506">
        <v>544.44200000000001</v>
      </c>
      <c r="H506">
        <v>7541.7800000000007</v>
      </c>
      <c r="I506">
        <v>1660.3120000000001</v>
      </c>
      <c r="Q506">
        <v>0</v>
      </c>
      <c r="R506">
        <v>0</v>
      </c>
      <c r="S506">
        <v>459.67999999999995</v>
      </c>
      <c r="T506">
        <v>3876.5599999999995</v>
      </c>
      <c r="U506">
        <v>1642.5200000000002</v>
      </c>
      <c r="AC506">
        <f>SUMPRODUCT(DB_SOFProject[[#This Row],[Plan01]:[Plan12]],$E$4:$P$4)/valUnits2</f>
        <v>9.9148390000000006</v>
      </c>
      <c r="AD506">
        <f>SUMPRODUCT(DB_SOFProject[[#This Row],[Act01]:[Act12]],$Q$4:$AB$4)/valUnits2</f>
        <v>5.9787600000000003</v>
      </c>
      <c r="AE506">
        <f>DB_SOFProject[[#This Row],[Actual]]-DB_SOFProject[[#This Row],[Plan]]</f>
        <v>-3.9360790000000003</v>
      </c>
      <c r="AF506" s="32">
        <f>IF(DB_SOFProject[[#This Row],[Plan]]&lt;&gt;0,DB_SOFProject[[#This Row],[Actual]]/DB_SOFProject[[#This Row],[Plan]],1.000011000011)</f>
        <v>0.60301130457085583</v>
      </c>
      <c r="AG506" s="34">
        <f>SUM(DB_SOFProject[[#This Row],[Plan01]:[Plan12]])/valUnits2</f>
        <v>9.9148390000000006</v>
      </c>
      <c r="AH506" s="34">
        <f>SUMPRODUCT(DB_SOFProject[[#This Row],[Act01]:[Act12]],$Q$3:$AB$3)/valUnits2</f>
        <v>5.9787600000000003</v>
      </c>
    </row>
    <row r="507" spans="2:34" x14ac:dyDescent="0.2">
      <c r="B507" t="s">
        <v>483</v>
      </c>
      <c r="C507" t="s">
        <v>850</v>
      </c>
      <c r="D507" t="s">
        <v>944</v>
      </c>
      <c r="E507">
        <v>6209.75</v>
      </c>
      <c r="F507">
        <v>3670.5279999999998</v>
      </c>
      <c r="G507">
        <v>6615.0840000000007</v>
      </c>
      <c r="H507">
        <v>44641.317000000003</v>
      </c>
      <c r="I507">
        <v>20136.372000000003</v>
      </c>
      <c r="J507">
        <v>18407.532999999999</v>
      </c>
      <c r="K507">
        <v>18407.532999999996</v>
      </c>
      <c r="L507">
        <v>18407.532999999996</v>
      </c>
      <c r="M507">
        <v>18407.532999999996</v>
      </c>
      <c r="N507">
        <v>18407.532999999996</v>
      </c>
      <c r="O507">
        <v>18407.532999999996</v>
      </c>
      <c r="P507">
        <v>18407.532999999996</v>
      </c>
      <c r="Q507">
        <v>6209.75</v>
      </c>
      <c r="R507">
        <v>3738.900000000001</v>
      </c>
      <c r="S507">
        <v>6613.77</v>
      </c>
      <c r="T507">
        <v>44863.48000000001</v>
      </c>
      <c r="U507">
        <v>20162.610000000004</v>
      </c>
      <c r="V507">
        <v>8727.6000000000022</v>
      </c>
      <c r="W507">
        <v>1324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f>SUMPRODUCT(DB_SOFProject[[#This Row],[Plan01]:[Plan12]],$E$4:$P$4)/valUnits2</f>
        <v>99.680583999999996</v>
      </c>
      <c r="AD507">
        <f>SUMPRODUCT(DB_SOFProject[[#This Row],[Act01]:[Act12]],$Q$4:$AB$4)/valUnits2</f>
        <v>90.316110000000009</v>
      </c>
      <c r="AE507">
        <f>DB_SOFProject[[#This Row],[Actual]]-DB_SOFProject[[#This Row],[Plan]]</f>
        <v>-9.3644739999999871</v>
      </c>
      <c r="AF507" s="32">
        <f>IF(DB_SOFProject[[#This Row],[Plan]]&lt;&gt;0,DB_SOFProject[[#This Row],[Actual]]/DB_SOFProject[[#This Row],[Plan]],1.000011000011)</f>
        <v>0.90605518523045581</v>
      </c>
      <c r="AG507" s="34">
        <f>SUM(DB_SOFProject[[#This Row],[Plan01]:[Plan12]])/valUnits2</f>
        <v>210.12578199999999</v>
      </c>
      <c r="AH507" s="34">
        <f>SUMPRODUCT(DB_SOFProject[[#This Row],[Act01]:[Act12]],$Q$3:$AB$3)/valUnits2</f>
        <v>90.316110000000009</v>
      </c>
    </row>
    <row r="508" spans="2:34" x14ac:dyDescent="0.2">
      <c r="B508" t="s">
        <v>483</v>
      </c>
      <c r="C508" t="s">
        <v>851</v>
      </c>
      <c r="D508" t="s">
        <v>944</v>
      </c>
      <c r="G508">
        <v>0</v>
      </c>
      <c r="H508">
        <v>403.30500000000001</v>
      </c>
      <c r="I508">
        <v>6206.9159999999993</v>
      </c>
      <c r="J508">
        <v>4750.6329999999998</v>
      </c>
      <c r="K508">
        <v>4750.6329999999998</v>
      </c>
      <c r="L508">
        <v>4750.6329999999998</v>
      </c>
      <c r="M508">
        <v>4750.6329999999998</v>
      </c>
      <c r="N508">
        <v>4750.6329999999998</v>
      </c>
      <c r="O508">
        <v>4750.6329999999998</v>
      </c>
      <c r="P508">
        <v>4750.6329999999998</v>
      </c>
      <c r="S508">
        <v>0</v>
      </c>
      <c r="T508">
        <v>400.34999999999997</v>
      </c>
      <c r="U508">
        <v>6247.6799999999994</v>
      </c>
      <c r="V508">
        <v>13505.090000000002</v>
      </c>
      <c r="W508">
        <v>453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f>SUMPRODUCT(DB_SOFProject[[#This Row],[Plan01]:[Plan12]],$E$4:$P$4)/valUnits2</f>
        <v>11.360854</v>
      </c>
      <c r="AD508">
        <f>SUMPRODUCT(DB_SOFProject[[#This Row],[Act01]:[Act12]],$Q$4:$AB$4)/valUnits2</f>
        <v>20.153120000000001</v>
      </c>
      <c r="AE508">
        <f>DB_SOFProject[[#This Row],[Actual]]-DB_SOFProject[[#This Row],[Plan]]</f>
        <v>8.7922660000000015</v>
      </c>
      <c r="AF508" s="32">
        <f>IF(DB_SOFProject[[#This Row],[Plan]]&lt;&gt;0,DB_SOFProject[[#This Row],[Actual]]/DB_SOFProject[[#This Row],[Plan]],1.000011000011)</f>
        <v>1.7739088980458688</v>
      </c>
      <c r="AG508" s="34">
        <f>SUM(DB_SOFProject[[#This Row],[Plan01]:[Plan12]])/valUnits2</f>
        <v>39.864652</v>
      </c>
      <c r="AH508" s="34">
        <f>SUMPRODUCT(DB_SOFProject[[#This Row],[Act01]:[Act12]],$Q$3:$AB$3)/valUnits2</f>
        <v>20.153120000000001</v>
      </c>
    </row>
    <row r="509" spans="2:34" x14ac:dyDescent="0.2">
      <c r="B509" t="s">
        <v>483</v>
      </c>
      <c r="C509" t="s">
        <v>887</v>
      </c>
      <c r="D509" t="s">
        <v>951</v>
      </c>
      <c r="G509">
        <v>942.30700000000002</v>
      </c>
      <c r="S509">
        <v>936.19</v>
      </c>
      <c r="AC509">
        <f>SUMPRODUCT(DB_SOFProject[[#This Row],[Plan01]:[Plan12]],$E$4:$P$4)/valUnits2</f>
        <v>0.94230700000000001</v>
      </c>
      <c r="AD509">
        <f>SUMPRODUCT(DB_SOFProject[[#This Row],[Act01]:[Act12]],$Q$4:$AB$4)/valUnits2</f>
        <v>0.93619000000000008</v>
      </c>
      <c r="AE509">
        <f>DB_SOFProject[[#This Row],[Actual]]-DB_SOFProject[[#This Row],[Plan]]</f>
        <v>-6.1169999999999281E-3</v>
      </c>
      <c r="AF509" s="32">
        <f>IF(DB_SOFProject[[#This Row],[Plan]]&lt;&gt;0,DB_SOFProject[[#This Row],[Actual]]/DB_SOFProject[[#This Row],[Plan]],1.000011000011)</f>
        <v>0.99350848502664213</v>
      </c>
      <c r="AG509" s="34">
        <f>SUM(DB_SOFProject[[#This Row],[Plan01]:[Plan12]])/valUnits2</f>
        <v>0.94230700000000001</v>
      </c>
      <c r="AH509" s="34">
        <f>SUMPRODUCT(DB_SOFProject[[#This Row],[Act01]:[Act12]],$Q$3:$AB$3)/valUnits2</f>
        <v>0.93619000000000008</v>
      </c>
    </row>
    <row r="510" spans="2:34" x14ac:dyDescent="0.2">
      <c r="B510" t="s">
        <v>483</v>
      </c>
      <c r="C510" t="s">
        <v>887</v>
      </c>
      <c r="D510" t="s">
        <v>996</v>
      </c>
      <c r="E510">
        <v>383.459</v>
      </c>
      <c r="F510">
        <v>1555.423</v>
      </c>
      <c r="G510">
        <v>4858.485999999999</v>
      </c>
      <c r="H510">
        <v>6355.0380000000005</v>
      </c>
      <c r="I510">
        <v>-972.90999999999985</v>
      </c>
      <c r="Q510">
        <v>383.46</v>
      </c>
      <c r="R510">
        <v>1555.41</v>
      </c>
      <c r="S510">
        <v>4838.74</v>
      </c>
      <c r="T510">
        <v>6298.74</v>
      </c>
      <c r="U510">
        <v>-961.04000000000019</v>
      </c>
      <c r="AC510">
        <f>SUMPRODUCT(DB_SOFProject[[#This Row],[Plan01]:[Plan12]],$E$4:$P$4)/valUnits2</f>
        <v>12.179495999999999</v>
      </c>
      <c r="AD510">
        <f>SUMPRODUCT(DB_SOFProject[[#This Row],[Act01]:[Act12]],$Q$4:$AB$4)/valUnits2</f>
        <v>12.115309999999997</v>
      </c>
      <c r="AE510">
        <f>DB_SOFProject[[#This Row],[Actual]]-DB_SOFProject[[#This Row],[Plan]]</f>
        <v>-6.4186000000001187E-2</v>
      </c>
      <c r="AF510" s="32">
        <f>IF(DB_SOFProject[[#This Row],[Plan]]&lt;&gt;0,DB_SOFProject[[#This Row],[Actual]]/DB_SOFProject[[#This Row],[Plan]],1.000011000011)</f>
        <v>0.99472999539554008</v>
      </c>
      <c r="AG510" s="34">
        <f>SUM(DB_SOFProject[[#This Row],[Plan01]:[Plan12]])/valUnits2</f>
        <v>12.179495999999999</v>
      </c>
      <c r="AH510" s="34">
        <f>SUMPRODUCT(DB_SOFProject[[#This Row],[Act01]:[Act12]],$Q$3:$AB$3)/valUnits2</f>
        <v>12.115309999999997</v>
      </c>
    </row>
    <row r="511" spans="2:34" x14ac:dyDescent="0.2">
      <c r="B511" t="s">
        <v>483</v>
      </c>
      <c r="C511" t="s">
        <v>895</v>
      </c>
      <c r="D511" t="s">
        <v>944</v>
      </c>
      <c r="E511">
        <v>57408.741000000016</v>
      </c>
      <c r="F511">
        <v>407.6140000000056</v>
      </c>
      <c r="G511">
        <v>70415.628000000012</v>
      </c>
      <c r="H511">
        <v>1744.2539999999788</v>
      </c>
      <c r="I511">
        <v>47011.361000000004</v>
      </c>
      <c r="J511">
        <v>37403.968000000015</v>
      </c>
      <c r="K511">
        <v>24360.919000000016</v>
      </c>
      <c r="L511">
        <v>27023.005000000016</v>
      </c>
      <c r="M511">
        <v>24360.919000000013</v>
      </c>
      <c r="N511">
        <v>24360.919000000013</v>
      </c>
      <c r="O511">
        <v>29152.935000000012</v>
      </c>
      <c r="P511">
        <v>24360.919000000009</v>
      </c>
      <c r="Q511">
        <v>56567.999999999993</v>
      </c>
      <c r="R511">
        <v>416.46999999999628</v>
      </c>
      <c r="S511">
        <v>71053.039999999979</v>
      </c>
      <c r="T511">
        <v>1734.9799999999868</v>
      </c>
      <c r="U511">
        <v>47117.709999999992</v>
      </c>
      <c r="V511">
        <v>44895.39999999998</v>
      </c>
      <c r="W511">
        <v>57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f>SUMPRODUCT(DB_SOFProject[[#This Row],[Plan01]:[Plan12]],$E$4:$P$4)/valUnits2</f>
        <v>214.39156600000001</v>
      </c>
      <c r="AD511">
        <f>SUMPRODUCT(DB_SOFProject[[#This Row],[Act01]:[Act12]],$Q$4:$AB$4)/valUnits2</f>
        <v>221.78559999999993</v>
      </c>
      <c r="AE511">
        <f>DB_SOFProject[[#This Row],[Actual]]-DB_SOFProject[[#This Row],[Plan]]</f>
        <v>7.3940339999999196</v>
      </c>
      <c r="AF511" s="32">
        <f>IF(DB_SOFProject[[#This Row],[Plan]]&lt;&gt;0,DB_SOFProject[[#This Row],[Actual]]/DB_SOFProject[[#This Row],[Plan]],1.000011000011)</f>
        <v>1.0344884555766523</v>
      </c>
      <c r="AG511" s="34">
        <f>SUM(DB_SOFProject[[#This Row],[Plan01]:[Plan12]])/valUnits2</f>
        <v>368.01118200000002</v>
      </c>
      <c r="AH511" s="34">
        <f>SUMPRODUCT(DB_SOFProject[[#This Row],[Act01]:[Act12]],$Q$3:$AB$3)/valUnits2</f>
        <v>221.78559999999993</v>
      </c>
    </row>
    <row r="512" spans="2:34" x14ac:dyDescent="0.2">
      <c r="B512" t="s">
        <v>483</v>
      </c>
      <c r="C512" t="s">
        <v>907</v>
      </c>
      <c r="D512" t="s">
        <v>944</v>
      </c>
      <c r="E512">
        <v>2101.1689999999999</v>
      </c>
      <c r="F512">
        <v>1132.094000000001</v>
      </c>
      <c r="G512">
        <v>0</v>
      </c>
      <c r="H512">
        <v>-97.852000000000004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2072.52</v>
      </c>
      <c r="R512">
        <v>1098.71</v>
      </c>
      <c r="S512">
        <v>0</v>
      </c>
      <c r="T512">
        <v>-100.25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f>SUMPRODUCT(DB_SOFProject[[#This Row],[Plan01]:[Plan12]],$E$4:$P$4)/valUnits2</f>
        <v>3.1354110000000008</v>
      </c>
      <c r="AD512">
        <f>SUMPRODUCT(DB_SOFProject[[#This Row],[Act01]:[Act12]],$Q$4:$AB$4)/valUnits2</f>
        <v>3.07098</v>
      </c>
      <c r="AE512">
        <f>DB_SOFProject[[#This Row],[Actual]]-DB_SOFProject[[#This Row],[Plan]]</f>
        <v>-6.4431000000000793E-2</v>
      </c>
      <c r="AF512" s="32">
        <f>IF(DB_SOFProject[[#This Row],[Plan]]&lt;&gt;0,DB_SOFProject[[#This Row],[Actual]]/DB_SOFProject[[#This Row],[Plan]],1.000011000011)</f>
        <v>0.97945054093386774</v>
      </c>
      <c r="AG512" s="34">
        <f>SUM(DB_SOFProject[[#This Row],[Plan01]:[Plan12]])/valUnits2</f>
        <v>3.1354110000000008</v>
      </c>
      <c r="AH512" s="34">
        <f>SUMPRODUCT(DB_SOFProject[[#This Row],[Act01]:[Act12]],$Q$3:$AB$3)/valUnits2</f>
        <v>3.07098</v>
      </c>
    </row>
    <row r="513" spans="2:34" x14ac:dyDescent="0.2">
      <c r="B513" t="s">
        <v>483</v>
      </c>
      <c r="C513" t="s">
        <v>932</v>
      </c>
      <c r="D513" t="s">
        <v>951</v>
      </c>
      <c r="H513">
        <v>11574.745000000001</v>
      </c>
      <c r="T513">
        <v>11651.449999999999</v>
      </c>
      <c r="AC513">
        <f>SUMPRODUCT(DB_SOFProject[[#This Row],[Plan01]:[Plan12]],$E$4:$P$4)/valUnits2</f>
        <v>11.574745</v>
      </c>
      <c r="AD513">
        <f>SUMPRODUCT(DB_SOFProject[[#This Row],[Act01]:[Act12]],$Q$4:$AB$4)/valUnits2</f>
        <v>11.651449999999999</v>
      </c>
      <c r="AE513">
        <f>DB_SOFProject[[#This Row],[Actual]]-DB_SOFProject[[#This Row],[Plan]]</f>
        <v>7.6704999999998691E-2</v>
      </c>
      <c r="AF513" s="32">
        <f>IF(DB_SOFProject[[#This Row],[Plan]]&lt;&gt;0,DB_SOFProject[[#This Row],[Actual]]/DB_SOFProject[[#This Row],[Plan]],1.000011000011)</f>
        <v>1.0066269278502462</v>
      </c>
      <c r="AG513" s="34">
        <f>SUM(DB_SOFProject[[#This Row],[Plan01]:[Plan12]])/valUnits2</f>
        <v>11.574745</v>
      </c>
      <c r="AH513" s="34">
        <f>SUMPRODUCT(DB_SOFProject[[#This Row],[Act01]:[Act12]],$Q$3:$AB$3)/valUnits2</f>
        <v>11.651449999999999</v>
      </c>
    </row>
    <row r="514" spans="2:34" x14ac:dyDescent="0.2">
      <c r="B514" t="s">
        <v>483</v>
      </c>
      <c r="C514" t="s">
        <v>932</v>
      </c>
      <c r="D514" t="s">
        <v>996</v>
      </c>
      <c r="H514">
        <v>3367.5149999999999</v>
      </c>
      <c r="I514">
        <v>1721.943</v>
      </c>
      <c r="T514">
        <v>3336.95</v>
      </c>
      <c r="U514">
        <v>1855.28</v>
      </c>
      <c r="AC514">
        <f>SUMPRODUCT(DB_SOFProject[[#This Row],[Plan01]:[Plan12]],$E$4:$P$4)/valUnits2</f>
        <v>5.0894579999999996</v>
      </c>
      <c r="AD514">
        <f>SUMPRODUCT(DB_SOFProject[[#This Row],[Act01]:[Act12]],$Q$4:$AB$4)/valUnits2</f>
        <v>5.1922299999999995</v>
      </c>
      <c r="AE514">
        <f>DB_SOFProject[[#This Row],[Actual]]-DB_SOFProject[[#This Row],[Plan]]</f>
        <v>0.10277199999999986</v>
      </c>
      <c r="AF514" s="32">
        <f>IF(DB_SOFProject[[#This Row],[Plan]]&lt;&gt;0,DB_SOFProject[[#This Row],[Actual]]/DB_SOFProject[[#This Row],[Plan]],1.000011000011)</f>
        <v>1.0201931129012165</v>
      </c>
      <c r="AG514" s="34">
        <f>SUM(DB_SOFProject[[#This Row],[Plan01]:[Plan12]])/valUnits2</f>
        <v>5.0894579999999996</v>
      </c>
      <c r="AH514" s="34">
        <f>SUMPRODUCT(DB_SOFProject[[#This Row],[Act01]:[Act12]],$Q$3:$AB$3)/valUnits2</f>
        <v>5.1922299999999995</v>
      </c>
    </row>
    <row r="515" spans="2:34" x14ac:dyDescent="0.2">
      <c r="B515" t="s">
        <v>484</v>
      </c>
      <c r="C515" t="s">
        <v>853</v>
      </c>
      <c r="D515" t="s">
        <v>953</v>
      </c>
      <c r="G515">
        <v>336.26799999999997</v>
      </c>
      <c r="H515">
        <v>320.65600000000001</v>
      </c>
      <c r="I515">
        <v>175.089</v>
      </c>
      <c r="J515">
        <v>554.19900000000007</v>
      </c>
      <c r="K515">
        <v>1924.893</v>
      </c>
      <c r="L515">
        <v>1924.893</v>
      </c>
      <c r="M515">
        <v>554.19899999999996</v>
      </c>
      <c r="N515">
        <v>1924.893</v>
      </c>
      <c r="O515">
        <v>1924.893</v>
      </c>
      <c r="P515">
        <v>554.19899999999996</v>
      </c>
      <c r="S515">
        <v>335.14</v>
      </c>
      <c r="T515">
        <v>314.67</v>
      </c>
      <c r="U515">
        <v>175.92000000000002</v>
      </c>
      <c r="V515">
        <v>597.64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f>SUMPRODUCT(DB_SOFProject[[#This Row],[Plan01]:[Plan12]],$E$4:$P$4)/valUnits2</f>
        <v>1.386212</v>
      </c>
      <c r="AD515">
        <f>SUMPRODUCT(DB_SOFProject[[#This Row],[Act01]:[Act12]],$Q$4:$AB$4)/valUnits2</f>
        <v>1.4233699999999998</v>
      </c>
      <c r="AE515">
        <f>DB_SOFProject[[#This Row],[Actual]]-DB_SOFProject[[#This Row],[Plan]]</f>
        <v>3.7157999999999802E-2</v>
      </c>
      <c r="AF515" s="32">
        <f>IF(DB_SOFProject[[#This Row],[Plan]]&lt;&gt;0,DB_SOFProject[[#This Row],[Actual]]/DB_SOFProject[[#This Row],[Plan]],1.000011000011)</f>
        <v>1.026805423701425</v>
      </c>
      <c r="AG515" s="34">
        <f>SUM(DB_SOFProject[[#This Row],[Plan01]:[Plan12]])/valUnits2</f>
        <v>10.194182000000001</v>
      </c>
      <c r="AH515" s="34">
        <f>SUMPRODUCT(DB_SOFProject[[#This Row],[Act01]:[Act12]],$Q$3:$AB$3)/valUnits2</f>
        <v>1.4233699999999998</v>
      </c>
    </row>
    <row r="516" spans="2:34" x14ac:dyDescent="0.2">
      <c r="B516" t="s">
        <v>484</v>
      </c>
      <c r="C516" t="s">
        <v>858</v>
      </c>
      <c r="D516" t="s">
        <v>957</v>
      </c>
      <c r="E516">
        <v>1531.98</v>
      </c>
      <c r="F516">
        <v>2067.5500000000002</v>
      </c>
      <c r="G516">
        <v>2275.65</v>
      </c>
      <c r="H516">
        <v>2495.9199999999996</v>
      </c>
      <c r="I516">
        <v>6837.23</v>
      </c>
      <c r="J516">
        <v>6140.0830000000005</v>
      </c>
      <c r="K516">
        <v>6140.0830000000005</v>
      </c>
      <c r="L516">
        <v>7015.0829999999996</v>
      </c>
      <c r="M516">
        <v>6140.0830000000005</v>
      </c>
      <c r="N516">
        <v>6140.0830000000005</v>
      </c>
      <c r="O516">
        <v>6140.0830000000005</v>
      </c>
      <c r="P516">
        <v>6140.0829999999996</v>
      </c>
      <c r="Q516">
        <v>1531.98</v>
      </c>
      <c r="R516">
        <v>2067.5499999999997</v>
      </c>
      <c r="S516">
        <v>2275.65</v>
      </c>
      <c r="T516">
        <v>2495.92</v>
      </c>
      <c r="U516">
        <v>6837.23</v>
      </c>
      <c r="V516">
        <v>4994.3999999999996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f>SUMPRODUCT(DB_SOFProject[[#This Row],[Plan01]:[Plan12]],$E$4:$P$4)/valUnits2</f>
        <v>21.348413000000001</v>
      </c>
      <c r="AD516">
        <f>SUMPRODUCT(DB_SOFProject[[#This Row],[Act01]:[Act12]],$Q$4:$AB$4)/valUnits2</f>
        <v>20.202729999999999</v>
      </c>
      <c r="AE516">
        <f>DB_SOFProject[[#This Row],[Actual]]-DB_SOFProject[[#This Row],[Plan]]</f>
        <v>-1.1456830000000018</v>
      </c>
      <c r="AF516" s="32">
        <f>IF(DB_SOFProject[[#This Row],[Plan]]&lt;&gt;0,DB_SOFProject[[#This Row],[Actual]]/DB_SOFProject[[#This Row],[Plan]],1.000011000011)</f>
        <v>0.94633404365935769</v>
      </c>
      <c r="AG516" s="34">
        <f>SUM(DB_SOFProject[[#This Row],[Plan01]:[Plan12]])/valUnits2</f>
        <v>59.06391099999999</v>
      </c>
      <c r="AH516" s="34">
        <f>SUMPRODUCT(DB_SOFProject[[#This Row],[Act01]:[Act12]],$Q$3:$AB$3)/valUnits2</f>
        <v>20.202729999999999</v>
      </c>
    </row>
    <row r="517" spans="2:34" x14ac:dyDescent="0.2">
      <c r="B517" t="s">
        <v>484</v>
      </c>
      <c r="C517" t="s">
        <v>859</v>
      </c>
      <c r="D517" t="s">
        <v>957</v>
      </c>
      <c r="E517">
        <v>-3797.5700000000124</v>
      </c>
      <c r="F517">
        <v>26265.154999999999</v>
      </c>
      <c r="G517">
        <v>1074.7700000000077</v>
      </c>
      <c r="H517">
        <v>129110.20800000001</v>
      </c>
      <c r="I517">
        <v>5634.0659999999953</v>
      </c>
      <c r="J517">
        <v>90752.036999999997</v>
      </c>
      <c r="K517">
        <v>45084.934000000001</v>
      </c>
      <c r="L517">
        <v>45318.159000000007</v>
      </c>
      <c r="M517">
        <v>42878.476999999992</v>
      </c>
      <c r="N517">
        <v>41226.447</v>
      </c>
      <c r="O517">
        <v>63712.292000000001</v>
      </c>
      <c r="P517">
        <v>52670.436000000009</v>
      </c>
      <c r="Q517">
        <v>-3699.7099999999909</v>
      </c>
      <c r="R517">
        <v>27140.719999999994</v>
      </c>
      <c r="S517">
        <v>1085.9100000000042</v>
      </c>
      <c r="T517">
        <v>127526.94</v>
      </c>
      <c r="U517">
        <v>5640.9299999999967</v>
      </c>
      <c r="V517">
        <v>7776.0099999999957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f>SUMPRODUCT(DB_SOFProject[[#This Row],[Plan01]:[Plan12]],$E$4:$P$4)/valUnits2</f>
        <v>249.03866599999998</v>
      </c>
      <c r="AD517">
        <f>SUMPRODUCT(DB_SOFProject[[#This Row],[Act01]:[Act12]],$Q$4:$AB$4)/valUnits2</f>
        <v>165.47080000000003</v>
      </c>
      <c r="AE517">
        <f>DB_SOFProject[[#This Row],[Actual]]-DB_SOFProject[[#This Row],[Plan]]</f>
        <v>-83.567865999999952</v>
      </c>
      <c r="AF517" s="32">
        <f>IF(DB_SOFProject[[#This Row],[Plan]]&lt;&gt;0,DB_SOFProject[[#This Row],[Actual]]/DB_SOFProject[[#This Row],[Plan]],1.000011000011)</f>
        <v>0.6644381880844159</v>
      </c>
      <c r="AG517" s="34">
        <f>SUM(DB_SOFProject[[#This Row],[Plan01]:[Plan12]])/valUnits2</f>
        <v>539.92941099999996</v>
      </c>
      <c r="AH517" s="34">
        <f>SUMPRODUCT(DB_SOFProject[[#This Row],[Act01]:[Act12]],$Q$3:$AB$3)/valUnits2</f>
        <v>165.47080000000003</v>
      </c>
    </row>
    <row r="518" spans="2:34" x14ac:dyDescent="0.2">
      <c r="B518" t="s">
        <v>484</v>
      </c>
      <c r="C518" t="s">
        <v>862</v>
      </c>
      <c r="D518" t="s">
        <v>957</v>
      </c>
      <c r="G518">
        <v>99.876999999999995</v>
      </c>
      <c r="H518">
        <v>6930.0259999999998</v>
      </c>
      <c r="I518">
        <v>80476.503000000012</v>
      </c>
      <c r="J518">
        <v>31600.264999999996</v>
      </c>
      <c r="K518">
        <v>31600.264999999999</v>
      </c>
      <c r="L518">
        <v>31600.264999999999</v>
      </c>
      <c r="M518">
        <v>31600.264999999999</v>
      </c>
      <c r="N518">
        <v>31600.264999999999</v>
      </c>
      <c r="O518">
        <v>31600.264999999996</v>
      </c>
      <c r="P518">
        <v>31600.264999999999</v>
      </c>
      <c r="S518">
        <v>101.13</v>
      </c>
      <c r="T518">
        <v>6973.49</v>
      </c>
      <c r="U518">
        <v>79531.429999999993</v>
      </c>
      <c r="V518">
        <v>13190.530000000006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f>SUMPRODUCT(DB_SOFProject[[#This Row],[Plan01]:[Plan12]],$E$4:$P$4)/valUnits2</f>
        <v>119.10667100000002</v>
      </c>
      <c r="AD518">
        <f>SUMPRODUCT(DB_SOFProject[[#This Row],[Act01]:[Act12]],$Q$4:$AB$4)/valUnits2</f>
        <v>99.796579999999992</v>
      </c>
      <c r="AE518">
        <f>DB_SOFProject[[#This Row],[Actual]]-DB_SOFProject[[#This Row],[Plan]]</f>
        <v>-19.310091000000028</v>
      </c>
      <c r="AF518" s="32">
        <f>IF(DB_SOFProject[[#This Row],[Plan]]&lt;&gt;0,DB_SOFProject[[#This Row],[Actual]]/DB_SOFProject[[#This Row],[Plan]],1.000011000011)</f>
        <v>0.83787565517635842</v>
      </c>
      <c r="AG518" s="34">
        <f>SUM(DB_SOFProject[[#This Row],[Plan01]:[Plan12]])/valUnits2</f>
        <v>308.70826100000005</v>
      </c>
      <c r="AH518" s="34">
        <f>SUMPRODUCT(DB_SOFProject[[#This Row],[Act01]:[Act12]],$Q$3:$AB$3)/valUnits2</f>
        <v>99.796579999999992</v>
      </c>
    </row>
    <row r="519" spans="2:34" x14ac:dyDescent="0.2">
      <c r="B519" t="s">
        <v>484</v>
      </c>
      <c r="C519" t="s">
        <v>865</v>
      </c>
      <c r="D519" t="s">
        <v>957</v>
      </c>
      <c r="E519">
        <v>865.33799999999997</v>
      </c>
      <c r="F519">
        <v>-877.99099999999999</v>
      </c>
      <c r="G519">
        <v>0</v>
      </c>
      <c r="H519">
        <v>0</v>
      </c>
      <c r="I519">
        <v>11295.225999999999</v>
      </c>
      <c r="J519">
        <v>2932.069</v>
      </c>
      <c r="K519">
        <v>2932.069</v>
      </c>
      <c r="L519">
        <v>2932.069</v>
      </c>
      <c r="M519">
        <v>2932.069</v>
      </c>
      <c r="N519">
        <v>2932.069</v>
      </c>
      <c r="O519">
        <v>2932.069</v>
      </c>
      <c r="P519">
        <v>2932.069</v>
      </c>
      <c r="Q519">
        <v>865.34</v>
      </c>
      <c r="R519">
        <v>-864.9</v>
      </c>
      <c r="S519">
        <v>0</v>
      </c>
      <c r="T519">
        <v>0</v>
      </c>
      <c r="U519">
        <v>11310.3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f>SUMPRODUCT(DB_SOFProject[[#This Row],[Plan01]:[Plan12]],$E$4:$P$4)/valUnits2</f>
        <v>14.214641999999998</v>
      </c>
      <c r="AD519">
        <f>SUMPRODUCT(DB_SOFProject[[#This Row],[Act01]:[Act12]],$Q$4:$AB$4)/valUnits2</f>
        <v>11.310739999999999</v>
      </c>
      <c r="AE519">
        <f>DB_SOFProject[[#This Row],[Actual]]-DB_SOFProject[[#This Row],[Plan]]</f>
        <v>-2.9039019999999987</v>
      </c>
      <c r="AF519" s="32">
        <f>IF(DB_SOFProject[[#This Row],[Plan]]&lt;&gt;0,DB_SOFProject[[#This Row],[Actual]]/DB_SOFProject[[#This Row],[Plan]],1.000011000011)</f>
        <v>0.79571050751753025</v>
      </c>
      <c r="AG519" s="34">
        <f>SUM(DB_SOFProject[[#This Row],[Plan01]:[Plan12]])/valUnits2</f>
        <v>31.807055999999996</v>
      </c>
      <c r="AH519" s="34">
        <f>SUMPRODUCT(DB_SOFProject[[#This Row],[Act01]:[Act12]],$Q$3:$AB$3)/valUnits2</f>
        <v>11.310739999999999</v>
      </c>
    </row>
    <row r="520" spans="2:34" x14ac:dyDescent="0.2">
      <c r="B520" t="s">
        <v>484</v>
      </c>
      <c r="C520" t="s">
        <v>362</v>
      </c>
      <c r="D520" t="s">
        <v>955</v>
      </c>
      <c r="E520">
        <v>0</v>
      </c>
      <c r="H520">
        <v>773.56600000000003</v>
      </c>
      <c r="I520">
        <v>11320.175999999999</v>
      </c>
      <c r="J520">
        <v>9854.0660000000025</v>
      </c>
      <c r="Q520">
        <v>0</v>
      </c>
      <c r="T520">
        <v>762.01</v>
      </c>
      <c r="U520">
        <v>11343.030000000002</v>
      </c>
      <c r="V520">
        <v>62096.54</v>
      </c>
      <c r="AC520">
        <f>SUMPRODUCT(DB_SOFProject[[#This Row],[Plan01]:[Plan12]],$E$4:$P$4)/valUnits2</f>
        <v>21.947808000000006</v>
      </c>
      <c r="AD520">
        <f>SUMPRODUCT(DB_SOFProject[[#This Row],[Act01]:[Act12]],$Q$4:$AB$4)/valUnits2</f>
        <v>74.201580000000007</v>
      </c>
      <c r="AE520">
        <f>DB_SOFProject[[#This Row],[Actual]]-DB_SOFProject[[#This Row],[Plan]]</f>
        <v>52.253771999999998</v>
      </c>
      <c r="AF520" s="32">
        <f>IF(DB_SOFProject[[#This Row],[Plan]]&lt;&gt;0,DB_SOFProject[[#This Row],[Actual]]/DB_SOFProject[[#This Row],[Plan]],1.000011000011)</f>
        <v>3.3808196244472337</v>
      </c>
      <c r="AG520" s="34">
        <f>SUM(DB_SOFProject[[#This Row],[Plan01]:[Plan12]])/valUnits2</f>
        <v>21.947808000000006</v>
      </c>
      <c r="AH520" s="34">
        <f>SUMPRODUCT(DB_SOFProject[[#This Row],[Act01]:[Act12]],$Q$3:$AB$3)/valUnits2</f>
        <v>74.201580000000007</v>
      </c>
    </row>
    <row r="521" spans="2:34" x14ac:dyDescent="0.2">
      <c r="B521" t="s">
        <v>484</v>
      </c>
      <c r="C521" t="s">
        <v>885</v>
      </c>
      <c r="D521" t="s">
        <v>957</v>
      </c>
      <c r="E521">
        <v>25890.054000000004</v>
      </c>
      <c r="F521">
        <v>-15561.596000000001</v>
      </c>
      <c r="G521">
        <v>2978.6979999999999</v>
      </c>
      <c r="H521">
        <v>93326.723999999973</v>
      </c>
      <c r="I521">
        <v>73304.005999999979</v>
      </c>
      <c r="J521">
        <v>40621.507000000005</v>
      </c>
      <c r="K521">
        <v>40621.507000000005</v>
      </c>
      <c r="L521">
        <v>40621.507000000005</v>
      </c>
      <c r="M521">
        <v>40621.507000000005</v>
      </c>
      <c r="N521">
        <v>40621.507000000005</v>
      </c>
      <c r="O521">
        <v>40621.507000000005</v>
      </c>
      <c r="P521">
        <v>40621.507000000005</v>
      </c>
      <c r="Q521">
        <v>25890.05</v>
      </c>
      <c r="R521">
        <v>-15235.919999999998</v>
      </c>
      <c r="S521">
        <v>2978.86</v>
      </c>
      <c r="T521">
        <v>93688.950000000026</v>
      </c>
      <c r="U521">
        <v>73630.300000000017</v>
      </c>
      <c r="V521">
        <v>7543.1099999999933</v>
      </c>
      <c r="W521">
        <v>11032.87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f>SUMPRODUCT(DB_SOFProject[[#This Row],[Plan01]:[Plan12]],$E$4:$P$4)/valUnits2</f>
        <v>220.55939299999994</v>
      </c>
      <c r="AD521">
        <f>SUMPRODUCT(DB_SOFProject[[#This Row],[Act01]:[Act12]],$Q$4:$AB$4)/valUnits2</f>
        <v>188.49535000000003</v>
      </c>
      <c r="AE521">
        <f>DB_SOFProject[[#This Row],[Actual]]-DB_SOFProject[[#This Row],[Plan]]</f>
        <v>-32.064042999999913</v>
      </c>
      <c r="AF521" s="32">
        <f>IF(DB_SOFProject[[#This Row],[Plan]]&lt;&gt;0,DB_SOFProject[[#This Row],[Actual]]/DB_SOFProject[[#This Row],[Plan]],1.000011000011)</f>
        <v>0.85462399690227697</v>
      </c>
      <c r="AG521" s="34">
        <f>SUM(DB_SOFProject[[#This Row],[Plan01]:[Plan12]])/valUnits2</f>
        <v>464.28843499999988</v>
      </c>
      <c r="AH521" s="34">
        <f>SUMPRODUCT(DB_SOFProject[[#This Row],[Act01]:[Act12]],$Q$3:$AB$3)/valUnits2</f>
        <v>188.49535000000003</v>
      </c>
    </row>
    <row r="522" spans="2:34" x14ac:dyDescent="0.2">
      <c r="B522" t="s">
        <v>484</v>
      </c>
      <c r="C522" t="s">
        <v>361</v>
      </c>
      <c r="D522" t="s">
        <v>987</v>
      </c>
      <c r="E522">
        <v>29175.424999999999</v>
      </c>
      <c r="F522">
        <v>5391.5889999999999</v>
      </c>
      <c r="G522">
        <v>3659.3919999999985</v>
      </c>
      <c r="H522">
        <v>15298.188000000002</v>
      </c>
      <c r="I522">
        <v>5988.0909999999985</v>
      </c>
      <c r="J522">
        <v>14621.733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29736.309999999998</v>
      </c>
      <c r="R522">
        <v>5419.88</v>
      </c>
      <c r="S522">
        <v>3689.6900000000023</v>
      </c>
      <c r="T522">
        <v>14909.33</v>
      </c>
      <c r="U522">
        <v>6076.8099999999986</v>
      </c>
      <c r="V522">
        <v>19202.489999999998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f>SUMPRODUCT(DB_SOFProject[[#This Row],[Plan01]:[Plan12]],$E$4:$P$4)/valUnits2</f>
        <v>74.134418000000011</v>
      </c>
      <c r="AD522">
        <f>SUMPRODUCT(DB_SOFProject[[#This Row],[Act01]:[Act12]],$Q$4:$AB$4)/valUnits2</f>
        <v>79.034509999999997</v>
      </c>
      <c r="AE522">
        <f>DB_SOFProject[[#This Row],[Actual]]-DB_SOFProject[[#This Row],[Plan]]</f>
        <v>4.9000919999999866</v>
      </c>
      <c r="AF522" s="32">
        <f>IF(DB_SOFProject[[#This Row],[Plan]]&lt;&gt;0,DB_SOFProject[[#This Row],[Actual]]/DB_SOFProject[[#This Row],[Plan]],1.000011000011)</f>
        <v>1.0660973962188518</v>
      </c>
      <c r="AG522" s="34">
        <f>SUM(DB_SOFProject[[#This Row],[Plan01]:[Plan12]])/valUnits2</f>
        <v>74.134418000000011</v>
      </c>
      <c r="AH522" s="34">
        <f>SUMPRODUCT(DB_SOFProject[[#This Row],[Act01]:[Act12]],$Q$3:$AB$3)/valUnits2</f>
        <v>79.034509999999997</v>
      </c>
    </row>
    <row r="523" spans="2:34" x14ac:dyDescent="0.2">
      <c r="B523" t="s">
        <v>484</v>
      </c>
      <c r="C523" t="s">
        <v>358</v>
      </c>
      <c r="D523" t="s">
        <v>955</v>
      </c>
      <c r="E523">
        <v>1612.9280000000001</v>
      </c>
      <c r="F523">
        <v>2464.7570000000001</v>
      </c>
      <c r="G523">
        <v>2427.3879999999999</v>
      </c>
      <c r="H523">
        <v>37145.898000000001</v>
      </c>
      <c r="I523">
        <v>7729.2829999999976</v>
      </c>
      <c r="J523">
        <v>28963.57</v>
      </c>
      <c r="K523">
        <v>31603.297000000002</v>
      </c>
      <c r="L523">
        <v>33861.678</v>
      </c>
      <c r="M523">
        <v>37505.089</v>
      </c>
      <c r="N523">
        <v>37362.668999999994</v>
      </c>
      <c r="O523">
        <v>37564.241999999998</v>
      </c>
      <c r="Q523">
        <v>1645.5099999999998</v>
      </c>
      <c r="R523">
        <v>2491.69</v>
      </c>
      <c r="S523">
        <v>2454.5100000000002</v>
      </c>
      <c r="T523">
        <v>36971.22</v>
      </c>
      <c r="U523">
        <v>7857.8000000000011</v>
      </c>
      <c r="V523">
        <v>78227.62999999999</v>
      </c>
      <c r="W523">
        <v>0</v>
      </c>
      <c r="X523">
        <v>0</v>
      </c>
      <c r="Y523">
        <v>0</v>
      </c>
      <c r="Z523">
        <v>0</v>
      </c>
      <c r="AA523">
        <v>0</v>
      </c>
      <c r="AC523">
        <f>SUMPRODUCT(DB_SOFProject[[#This Row],[Plan01]:[Plan12]],$E$4:$P$4)/valUnits2</f>
        <v>80.343823999999998</v>
      </c>
      <c r="AD523">
        <f>SUMPRODUCT(DB_SOFProject[[#This Row],[Act01]:[Act12]],$Q$4:$AB$4)/valUnits2</f>
        <v>129.64836</v>
      </c>
      <c r="AE523">
        <f>DB_SOFProject[[#This Row],[Actual]]-DB_SOFProject[[#This Row],[Plan]]</f>
        <v>49.304535999999999</v>
      </c>
      <c r="AF523" s="32">
        <f>IF(DB_SOFProject[[#This Row],[Plan]]&lt;&gt;0,DB_SOFProject[[#This Row],[Actual]]/DB_SOFProject[[#This Row],[Plan]],1.000011000011)</f>
        <v>1.6136692722019306</v>
      </c>
      <c r="AG523" s="34">
        <f>SUM(DB_SOFProject[[#This Row],[Plan01]:[Plan12]])/valUnits2</f>
        <v>258.24079899999998</v>
      </c>
      <c r="AH523" s="34">
        <f>SUMPRODUCT(DB_SOFProject[[#This Row],[Act01]:[Act12]],$Q$3:$AB$3)/valUnits2</f>
        <v>129.64836</v>
      </c>
    </row>
    <row r="524" spans="2:34" x14ac:dyDescent="0.2">
      <c r="B524" t="s">
        <v>484</v>
      </c>
      <c r="C524" t="s">
        <v>894</v>
      </c>
      <c r="D524" t="s">
        <v>957</v>
      </c>
      <c r="E524">
        <v>4243.8900000000003</v>
      </c>
      <c r="F524">
        <v>-4204.5349999999999</v>
      </c>
      <c r="G524">
        <v>-242.30099999999999</v>
      </c>
      <c r="H524">
        <v>9433.9760000000006</v>
      </c>
      <c r="I524">
        <v>9589.4180000000015</v>
      </c>
      <c r="J524">
        <v>4154.3329999999996</v>
      </c>
      <c r="K524">
        <v>4154.3329999999996</v>
      </c>
      <c r="L524">
        <v>4154.3329999999996</v>
      </c>
      <c r="M524">
        <v>4154.3329999999996</v>
      </c>
      <c r="N524">
        <v>4154.3329999999996</v>
      </c>
      <c r="O524">
        <v>4154.3329999999996</v>
      </c>
      <c r="P524">
        <v>4154.3329999999996</v>
      </c>
      <c r="Q524">
        <v>4256.37</v>
      </c>
      <c r="R524">
        <v>-4117</v>
      </c>
      <c r="S524">
        <v>-246.06000000000023</v>
      </c>
      <c r="T524">
        <v>9444.2000000000007</v>
      </c>
      <c r="U524">
        <v>9987.7999999999993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f>SUMPRODUCT(DB_SOFProject[[#This Row],[Plan01]:[Plan12]],$E$4:$P$4)/valUnits2</f>
        <v>22.974781000000004</v>
      </c>
      <c r="AD524">
        <f>SUMPRODUCT(DB_SOFProject[[#This Row],[Act01]:[Act12]],$Q$4:$AB$4)/valUnits2</f>
        <v>19.325309999999998</v>
      </c>
      <c r="AE524">
        <f>DB_SOFProject[[#This Row],[Actual]]-DB_SOFProject[[#This Row],[Plan]]</f>
        <v>-3.6494710000000055</v>
      </c>
      <c r="AF524" s="32">
        <f>IF(DB_SOFProject[[#This Row],[Plan]]&lt;&gt;0,DB_SOFProject[[#This Row],[Actual]]/DB_SOFProject[[#This Row],[Plan]],1.000011000011)</f>
        <v>0.84115317573647364</v>
      </c>
      <c r="AG524" s="34">
        <f>SUM(DB_SOFProject[[#This Row],[Plan01]:[Plan12]])/valUnits2</f>
        <v>47.900778999999993</v>
      </c>
      <c r="AH524" s="34">
        <f>SUMPRODUCT(DB_SOFProject[[#This Row],[Act01]:[Act12]],$Q$3:$AB$3)/valUnits2</f>
        <v>19.325309999999998</v>
      </c>
    </row>
    <row r="525" spans="2:34" x14ac:dyDescent="0.2">
      <c r="B525" t="s">
        <v>484</v>
      </c>
      <c r="C525" t="s">
        <v>900</v>
      </c>
      <c r="D525" t="s">
        <v>987</v>
      </c>
      <c r="G525">
        <v>-9.4999999996630891E-2</v>
      </c>
      <c r="S525">
        <v>-9.000000000730779E-2</v>
      </c>
      <c r="AC525">
        <f>SUMPRODUCT(DB_SOFProject[[#This Row],[Plan01]:[Plan12]],$E$4:$P$4)/valUnits2</f>
        <v>-9.4999999996630888E-5</v>
      </c>
      <c r="AD525">
        <f>SUMPRODUCT(DB_SOFProject[[#This Row],[Act01]:[Act12]],$Q$4:$AB$4)/valUnits2</f>
        <v>-9.0000000007307786E-5</v>
      </c>
      <c r="AE525">
        <f>DB_SOFProject[[#This Row],[Actual]]-DB_SOFProject[[#This Row],[Plan]]</f>
        <v>4.9999999893231018E-6</v>
      </c>
      <c r="AF525" s="32">
        <f>IF(DB_SOFProject[[#This Row],[Plan]]&lt;&gt;0,DB_SOFProject[[#This Row],[Actual]]/DB_SOFProject[[#This Row],[Plan]],1.000011000011)</f>
        <v>0.94736842116315345</v>
      </c>
      <c r="AG525" s="34">
        <f>SUM(DB_SOFProject[[#This Row],[Plan01]:[Plan12]])/valUnits2</f>
        <v>-9.4999999996630888E-5</v>
      </c>
      <c r="AH525" s="34">
        <f>SUMPRODUCT(DB_SOFProject[[#This Row],[Act01]:[Act12]],$Q$3:$AB$3)/valUnits2</f>
        <v>-9.0000000007307786E-5</v>
      </c>
    </row>
    <row r="526" spans="2:34" x14ac:dyDescent="0.2">
      <c r="B526" t="s">
        <v>484</v>
      </c>
      <c r="C526" t="s">
        <v>905</v>
      </c>
      <c r="D526" t="s">
        <v>957</v>
      </c>
      <c r="E526">
        <v>-2459.02</v>
      </c>
      <c r="F526">
        <v>615.39</v>
      </c>
      <c r="G526">
        <v>0</v>
      </c>
      <c r="H526">
        <v>0</v>
      </c>
      <c r="I526">
        <v>1917.8700000000003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-2459.02</v>
      </c>
      <c r="R526">
        <v>615.39</v>
      </c>
      <c r="S526">
        <v>0</v>
      </c>
      <c r="T526">
        <v>0</v>
      </c>
      <c r="U526">
        <v>1917.8700000000003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f>SUMPRODUCT(DB_SOFProject[[#This Row],[Plan01]:[Plan12]],$E$4:$P$4)/valUnits2</f>
        <v>7.4240000000000236E-2</v>
      </c>
      <c r="AD526">
        <f>SUMPRODUCT(DB_SOFProject[[#This Row],[Act01]:[Act12]],$Q$4:$AB$4)/valUnits2</f>
        <v>7.4240000000000236E-2</v>
      </c>
      <c r="AE526">
        <f>DB_SOFProject[[#This Row],[Actual]]-DB_SOFProject[[#This Row],[Plan]]</f>
        <v>0</v>
      </c>
      <c r="AF526" s="32">
        <f>IF(DB_SOFProject[[#This Row],[Plan]]&lt;&gt;0,DB_SOFProject[[#This Row],[Actual]]/DB_SOFProject[[#This Row],[Plan]],1.000011000011)</f>
        <v>1</v>
      </c>
      <c r="AG526" s="34">
        <f>SUM(DB_SOFProject[[#This Row],[Plan01]:[Plan12]])/valUnits2</f>
        <v>7.4240000000000236E-2</v>
      </c>
      <c r="AH526" s="34">
        <f>SUMPRODUCT(DB_SOFProject[[#This Row],[Act01]:[Act12]],$Q$3:$AB$3)/valUnits2</f>
        <v>7.4240000000000236E-2</v>
      </c>
    </row>
    <row r="527" spans="2:34" x14ac:dyDescent="0.2">
      <c r="B527" t="s">
        <v>484</v>
      </c>
      <c r="C527" t="s">
        <v>354</v>
      </c>
      <c r="D527" t="s">
        <v>957</v>
      </c>
      <c r="E527">
        <v>1996.9120000000003</v>
      </c>
      <c r="F527">
        <v>3437.315000000001</v>
      </c>
      <c r="G527">
        <v>5048.5190000000002</v>
      </c>
      <c r="H527">
        <v>3517.1329999999998</v>
      </c>
      <c r="I527">
        <v>15796.520999999999</v>
      </c>
      <c r="J527">
        <v>12748.554</v>
      </c>
      <c r="Q527">
        <v>2037.2300000000002</v>
      </c>
      <c r="R527">
        <v>3454.9299999999989</v>
      </c>
      <c r="S527">
        <v>5130.96</v>
      </c>
      <c r="T527">
        <v>3462.8300000000004</v>
      </c>
      <c r="U527">
        <v>16039.03</v>
      </c>
      <c r="V527">
        <v>7768.51</v>
      </c>
      <c r="AC527">
        <f>SUMPRODUCT(DB_SOFProject[[#This Row],[Plan01]:[Plan12]],$E$4:$P$4)/valUnits2</f>
        <v>42.544953999999997</v>
      </c>
      <c r="AD527">
        <f>SUMPRODUCT(DB_SOFProject[[#This Row],[Act01]:[Act12]],$Q$4:$AB$4)/valUnits2</f>
        <v>37.89349</v>
      </c>
      <c r="AE527">
        <f>DB_SOFProject[[#This Row],[Actual]]-DB_SOFProject[[#This Row],[Plan]]</f>
        <v>-4.6514639999999972</v>
      </c>
      <c r="AF527" s="32">
        <f>IF(DB_SOFProject[[#This Row],[Plan]]&lt;&gt;0,DB_SOFProject[[#This Row],[Actual]]/DB_SOFProject[[#This Row],[Plan]],1.000011000011)</f>
        <v>0.89066943167925394</v>
      </c>
      <c r="AG527" s="34">
        <f>SUM(DB_SOFProject[[#This Row],[Plan01]:[Plan12]])/valUnits2</f>
        <v>42.544953999999997</v>
      </c>
      <c r="AH527" s="34">
        <f>SUMPRODUCT(DB_SOFProject[[#This Row],[Act01]:[Act12]],$Q$3:$AB$3)/valUnits2</f>
        <v>37.89349</v>
      </c>
    </row>
    <row r="528" spans="2:34" x14ac:dyDescent="0.2">
      <c r="B528" t="s">
        <v>484</v>
      </c>
      <c r="C528" t="s">
        <v>918</v>
      </c>
      <c r="D528" t="s">
        <v>957</v>
      </c>
      <c r="E528">
        <v>70933.031000000003</v>
      </c>
      <c r="F528">
        <v>21.822999999999873</v>
      </c>
      <c r="G528">
        <v>41.058000000000902</v>
      </c>
      <c r="H528">
        <v>14378.822000000002</v>
      </c>
      <c r="I528">
        <v>1913.9569999999981</v>
      </c>
      <c r="J528">
        <v>17263.381999999998</v>
      </c>
      <c r="K528">
        <v>18152.124999999996</v>
      </c>
      <c r="L528">
        <v>16340.862000000003</v>
      </c>
      <c r="M528">
        <v>15073.969000000003</v>
      </c>
      <c r="N528">
        <v>20780.716000000015</v>
      </c>
      <c r="O528">
        <v>14654.361000000001</v>
      </c>
      <c r="P528">
        <v>13990.392</v>
      </c>
      <c r="Q528">
        <v>68741.8</v>
      </c>
      <c r="R528">
        <v>22.559999999991703</v>
      </c>
      <c r="S528">
        <v>41.739999999997963</v>
      </c>
      <c r="T528">
        <v>14296.000000000004</v>
      </c>
      <c r="U528">
        <v>1899.6300000000083</v>
      </c>
      <c r="V528">
        <v>16703.549999999996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f>SUMPRODUCT(DB_SOFProject[[#This Row],[Plan01]:[Plan12]],$E$4:$P$4)/valUnits2</f>
        <v>104.55207300000001</v>
      </c>
      <c r="AD528">
        <f>SUMPRODUCT(DB_SOFProject[[#This Row],[Act01]:[Act12]],$Q$4:$AB$4)/valUnits2</f>
        <v>101.70528</v>
      </c>
      <c r="AE528">
        <f>DB_SOFProject[[#This Row],[Actual]]-DB_SOFProject[[#This Row],[Plan]]</f>
        <v>-2.8467930000000052</v>
      </c>
      <c r="AF528" s="32">
        <f>IF(DB_SOFProject[[#This Row],[Plan]]&lt;&gt;0,DB_SOFProject[[#This Row],[Actual]]/DB_SOFProject[[#This Row],[Plan]],1.000011000011)</f>
        <v>0.9727715298385331</v>
      </c>
      <c r="AG528" s="34">
        <f>SUM(DB_SOFProject[[#This Row],[Plan01]:[Plan12]])/valUnits2</f>
        <v>203.54449800000003</v>
      </c>
      <c r="AH528" s="34">
        <f>SUMPRODUCT(DB_SOFProject[[#This Row],[Act01]:[Act12]],$Q$3:$AB$3)/valUnits2</f>
        <v>101.70528</v>
      </c>
    </row>
    <row r="529" spans="2:34" x14ac:dyDescent="0.2">
      <c r="B529" t="s">
        <v>484</v>
      </c>
      <c r="C529" t="s">
        <v>923</v>
      </c>
      <c r="D529" t="s">
        <v>957</v>
      </c>
      <c r="H529">
        <v>0</v>
      </c>
      <c r="I529">
        <v>0</v>
      </c>
      <c r="J529">
        <v>5075.4619999999995</v>
      </c>
      <c r="K529">
        <v>5075.4619999999995</v>
      </c>
      <c r="L529">
        <v>5075.4619999999995</v>
      </c>
      <c r="M529">
        <v>5075.4619999999995</v>
      </c>
      <c r="N529">
        <v>5075.4619999999995</v>
      </c>
      <c r="O529">
        <v>5075.4619999999995</v>
      </c>
      <c r="P529">
        <v>5075.4619999999995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f>SUMPRODUCT(DB_SOFProject[[#This Row],[Plan01]:[Plan12]],$E$4:$P$4)/valUnits2</f>
        <v>5.0754619999999999</v>
      </c>
      <c r="AD529">
        <f>SUMPRODUCT(DB_SOFProject[[#This Row],[Act01]:[Act12]],$Q$4:$AB$4)/valUnits2</f>
        <v>0</v>
      </c>
      <c r="AE529">
        <f>DB_SOFProject[[#This Row],[Actual]]-DB_SOFProject[[#This Row],[Plan]]</f>
        <v>-5.0754619999999999</v>
      </c>
      <c r="AF529" s="32">
        <f>IF(DB_SOFProject[[#This Row],[Plan]]&lt;&gt;0,DB_SOFProject[[#This Row],[Actual]]/DB_SOFProject[[#This Row],[Plan]],1.000011000011)</f>
        <v>0</v>
      </c>
      <c r="AG529" s="34">
        <f>SUM(DB_SOFProject[[#This Row],[Plan01]:[Plan12]])/valUnits2</f>
        <v>35.528233999999998</v>
      </c>
      <c r="AH529" s="34">
        <f>SUMPRODUCT(DB_SOFProject[[#This Row],[Act01]:[Act12]],$Q$3:$AB$3)/valUnits2</f>
        <v>0</v>
      </c>
    </row>
    <row r="530" spans="2:34" x14ac:dyDescent="0.2">
      <c r="B530" t="s">
        <v>484</v>
      </c>
      <c r="C530" t="s">
        <v>925</v>
      </c>
      <c r="D530" t="s">
        <v>957</v>
      </c>
      <c r="E530">
        <v>6819.9470000000001</v>
      </c>
      <c r="F530">
        <v>-3413.87</v>
      </c>
      <c r="G530">
        <v>0</v>
      </c>
      <c r="H530">
        <v>-3348.2700000000004</v>
      </c>
      <c r="I530">
        <v>580.32799999999997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6736.45</v>
      </c>
      <c r="R530">
        <v>-3322.34</v>
      </c>
      <c r="S530">
        <v>0</v>
      </c>
      <c r="T530">
        <v>-3411.53</v>
      </c>
      <c r="U530">
        <v>583.55000000000007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f>SUMPRODUCT(DB_SOFProject[[#This Row],[Plan01]:[Plan12]],$E$4:$P$4)/valUnits2</f>
        <v>0.63813499999999979</v>
      </c>
      <c r="AD530">
        <f>SUMPRODUCT(DB_SOFProject[[#This Row],[Act01]:[Act12]],$Q$4:$AB$4)/valUnits2</f>
        <v>0.5861299999999996</v>
      </c>
      <c r="AE530">
        <f>DB_SOFProject[[#This Row],[Actual]]-DB_SOFProject[[#This Row],[Plan]]</f>
        <v>-5.200500000000019E-2</v>
      </c>
      <c r="AF530" s="32">
        <f>IF(DB_SOFProject[[#This Row],[Plan]]&lt;&gt;0,DB_SOFProject[[#This Row],[Actual]]/DB_SOFProject[[#This Row],[Plan]],1.000011000011)</f>
        <v>0.91850470511725546</v>
      </c>
      <c r="AG530" s="34">
        <f>SUM(DB_SOFProject[[#This Row],[Plan01]:[Plan12]])/valUnits2</f>
        <v>0.63813499999999979</v>
      </c>
      <c r="AH530" s="34">
        <f>SUMPRODUCT(DB_SOFProject[[#This Row],[Act01]:[Act12]],$Q$3:$AB$3)/valUnits2</f>
        <v>0.5861299999999996</v>
      </c>
    </row>
    <row r="531" spans="2:34" x14ac:dyDescent="0.2">
      <c r="B531" t="s">
        <v>484</v>
      </c>
      <c r="C531" t="s">
        <v>359</v>
      </c>
      <c r="D531" t="s">
        <v>966</v>
      </c>
      <c r="E531">
        <v>0</v>
      </c>
      <c r="F531">
        <v>0</v>
      </c>
      <c r="G531">
        <v>2453.7269999999999</v>
      </c>
      <c r="H531">
        <v>4211.6930000000002</v>
      </c>
      <c r="I531">
        <v>348.37899999999996</v>
      </c>
      <c r="J531">
        <v>4348.7679999999991</v>
      </c>
      <c r="K531">
        <v>0</v>
      </c>
      <c r="Q531">
        <v>0</v>
      </c>
      <c r="R531">
        <v>0</v>
      </c>
      <c r="S531">
        <v>2425.6799999999998</v>
      </c>
      <c r="T531">
        <v>4242.33</v>
      </c>
      <c r="U531">
        <v>353.36999999999995</v>
      </c>
      <c r="V531">
        <v>534.29999999999905</v>
      </c>
      <c r="W531">
        <v>238.23</v>
      </c>
      <c r="AC531">
        <f>SUMPRODUCT(DB_SOFProject[[#This Row],[Plan01]:[Plan12]],$E$4:$P$4)/valUnits2</f>
        <v>11.362566999999999</v>
      </c>
      <c r="AD531">
        <f>SUMPRODUCT(DB_SOFProject[[#This Row],[Act01]:[Act12]],$Q$4:$AB$4)/valUnits2</f>
        <v>7.5556799999999997</v>
      </c>
      <c r="AE531">
        <f>DB_SOFProject[[#This Row],[Actual]]-DB_SOFProject[[#This Row],[Plan]]</f>
        <v>-3.8068869999999988</v>
      </c>
      <c r="AF531" s="32">
        <f>IF(DB_SOFProject[[#This Row],[Plan]]&lt;&gt;0,DB_SOFProject[[#This Row],[Actual]]/DB_SOFProject[[#This Row],[Plan]],1.000011000011)</f>
        <v>0.66496241562315983</v>
      </c>
      <c r="AG531" s="34">
        <f>SUM(DB_SOFProject[[#This Row],[Plan01]:[Plan12]])/valUnits2</f>
        <v>11.362566999999999</v>
      </c>
      <c r="AH531" s="34">
        <f>SUMPRODUCT(DB_SOFProject[[#This Row],[Act01]:[Act12]],$Q$3:$AB$3)/valUnits2</f>
        <v>7.5556799999999997</v>
      </c>
    </row>
    <row r="532" spans="2:34" x14ac:dyDescent="0.2">
      <c r="B532" t="s">
        <v>484</v>
      </c>
      <c r="C532" t="s">
        <v>360</v>
      </c>
      <c r="D532" t="s">
        <v>966</v>
      </c>
      <c r="E532">
        <v>1081.4570000000001</v>
      </c>
      <c r="F532">
        <v>3682.498</v>
      </c>
      <c r="G532">
        <v>13794.330000000002</v>
      </c>
      <c r="H532">
        <v>19136.293000000001</v>
      </c>
      <c r="I532">
        <v>2495.6530000000002</v>
      </c>
      <c r="J532">
        <v>15802.603999999998</v>
      </c>
      <c r="K532">
        <v>0</v>
      </c>
      <c r="Q532">
        <v>1091.95</v>
      </c>
      <c r="R532">
        <v>3753.04</v>
      </c>
      <c r="S532">
        <v>13656.68</v>
      </c>
      <c r="T532">
        <v>19282.000000000004</v>
      </c>
      <c r="U532">
        <v>2549.4099999999994</v>
      </c>
      <c r="V532">
        <v>2753.2700000000018</v>
      </c>
      <c r="W532">
        <v>1085.23</v>
      </c>
      <c r="AC532">
        <f>SUMPRODUCT(DB_SOFProject[[#This Row],[Plan01]:[Plan12]],$E$4:$P$4)/valUnits2</f>
        <v>55.992835000000007</v>
      </c>
      <c r="AD532">
        <f>SUMPRODUCT(DB_SOFProject[[#This Row],[Act01]:[Act12]],$Q$4:$AB$4)/valUnits2</f>
        <v>43.086349999999996</v>
      </c>
      <c r="AE532">
        <f>DB_SOFProject[[#This Row],[Actual]]-DB_SOFProject[[#This Row],[Plan]]</f>
        <v>-12.906485000000011</v>
      </c>
      <c r="AF532" s="32">
        <f>IF(DB_SOFProject[[#This Row],[Plan]]&lt;&gt;0,DB_SOFProject[[#This Row],[Actual]]/DB_SOFProject[[#This Row],[Plan]],1.000011000011)</f>
        <v>0.76949756160765914</v>
      </c>
      <c r="AG532" s="34">
        <f>SUM(DB_SOFProject[[#This Row],[Plan01]:[Plan12]])/valUnits2</f>
        <v>55.992835000000007</v>
      </c>
      <c r="AH532" s="34">
        <f>SUMPRODUCT(DB_SOFProject[[#This Row],[Act01]:[Act12]],$Q$3:$AB$3)/valUnits2</f>
        <v>43.086349999999996</v>
      </c>
    </row>
    <row r="533" spans="2:34" x14ac:dyDescent="0.2">
      <c r="B533" t="s">
        <v>484</v>
      </c>
      <c r="C533" t="s">
        <v>928</v>
      </c>
      <c r="D533" t="s">
        <v>955</v>
      </c>
      <c r="E533">
        <v>13773.968000000004</v>
      </c>
      <c r="F533">
        <v>4404.3419999999987</v>
      </c>
      <c r="G533">
        <v>3943.9870000000001</v>
      </c>
      <c r="H533">
        <v>23190.710999999996</v>
      </c>
      <c r="I533">
        <v>386.22800000000001</v>
      </c>
      <c r="J533">
        <v>0</v>
      </c>
      <c r="Q533">
        <v>13426.629999999992</v>
      </c>
      <c r="R533">
        <v>4502.01</v>
      </c>
      <c r="S533">
        <v>3992.2799999999997</v>
      </c>
      <c r="T533">
        <v>22991.829999999998</v>
      </c>
      <c r="U533">
        <v>385.57000000000005</v>
      </c>
      <c r="V533">
        <v>-22224.77</v>
      </c>
      <c r="AC533">
        <f>SUMPRODUCT(DB_SOFProject[[#This Row],[Plan01]:[Plan12]],$E$4:$P$4)/valUnits2</f>
        <v>45.699236000000006</v>
      </c>
      <c r="AD533">
        <f>SUMPRODUCT(DB_SOFProject[[#This Row],[Act01]:[Act12]],$Q$4:$AB$4)/valUnits2</f>
        <v>23.073549999999983</v>
      </c>
      <c r="AE533">
        <f>DB_SOFProject[[#This Row],[Actual]]-DB_SOFProject[[#This Row],[Plan]]</f>
        <v>-22.625686000000023</v>
      </c>
      <c r="AF533" s="32">
        <f>IF(DB_SOFProject[[#This Row],[Plan]]&lt;&gt;0,DB_SOFProject[[#This Row],[Actual]]/DB_SOFProject[[#This Row],[Plan]],1.000011000011)</f>
        <v>0.50490012568262588</v>
      </c>
      <c r="AG533" s="34">
        <f>SUM(DB_SOFProject[[#This Row],[Plan01]:[Plan12]])/valUnits2</f>
        <v>45.699236000000006</v>
      </c>
      <c r="AH533" s="34">
        <f>SUMPRODUCT(DB_SOFProject[[#This Row],[Act01]:[Act12]],$Q$3:$AB$3)/valUnits2</f>
        <v>23.073549999999983</v>
      </c>
    </row>
    <row r="534" spans="2:34" x14ac:dyDescent="0.2">
      <c r="B534" t="s">
        <v>484</v>
      </c>
      <c r="C534" t="s">
        <v>928</v>
      </c>
      <c r="D534" t="s">
        <v>967</v>
      </c>
      <c r="E534">
        <v>4215.1239999999998</v>
      </c>
      <c r="F534">
        <v>4144.5029999999997</v>
      </c>
      <c r="G534">
        <v>3940.9319999999998</v>
      </c>
      <c r="H534">
        <v>4317.5479999999998</v>
      </c>
      <c r="J534">
        <v>0</v>
      </c>
      <c r="Q534">
        <v>4152.7900000000009</v>
      </c>
      <c r="R534">
        <v>4231.41</v>
      </c>
      <c r="S534">
        <v>3977.13</v>
      </c>
      <c r="T534">
        <v>4292.93</v>
      </c>
      <c r="V534">
        <v>-12501.47</v>
      </c>
      <c r="AC534">
        <f>SUMPRODUCT(DB_SOFProject[[#This Row],[Plan01]:[Plan12]],$E$4:$P$4)/valUnits2</f>
        <v>16.618106999999998</v>
      </c>
      <c r="AD534">
        <f>SUMPRODUCT(DB_SOFProject[[#This Row],[Act01]:[Act12]],$Q$4:$AB$4)/valUnits2</f>
        <v>4.1527900000000031</v>
      </c>
      <c r="AE534">
        <f>DB_SOFProject[[#This Row],[Actual]]-DB_SOFProject[[#This Row],[Plan]]</f>
        <v>-12.465316999999995</v>
      </c>
      <c r="AF534" s="32">
        <f>IF(DB_SOFProject[[#This Row],[Plan]]&lt;&gt;0,DB_SOFProject[[#This Row],[Actual]]/DB_SOFProject[[#This Row],[Plan]],1.000011000011)</f>
        <v>0.24989549050322057</v>
      </c>
      <c r="AG534" s="34">
        <f>SUM(DB_SOFProject[[#This Row],[Plan01]:[Plan12]])/valUnits2</f>
        <v>16.618106999999998</v>
      </c>
      <c r="AH534" s="34">
        <f>SUMPRODUCT(DB_SOFProject[[#This Row],[Act01]:[Act12]],$Q$3:$AB$3)/valUnits2</f>
        <v>4.1527900000000031</v>
      </c>
    </row>
    <row r="535" spans="2:34" x14ac:dyDescent="0.2">
      <c r="B535" t="s">
        <v>485</v>
      </c>
      <c r="C535" t="s">
        <v>856</v>
      </c>
      <c r="D535" t="s">
        <v>945</v>
      </c>
      <c r="E535">
        <v>140577.72100000005</v>
      </c>
      <c r="F535">
        <v>94060.825999999972</v>
      </c>
      <c r="G535">
        <v>190511.98500000007</v>
      </c>
      <c r="H535">
        <v>158423.66400000005</v>
      </c>
      <c r="I535">
        <v>228074.43299999996</v>
      </c>
      <c r="J535">
        <v>61980.572999999997</v>
      </c>
      <c r="K535">
        <v>89863.987000000008</v>
      </c>
      <c r="L535">
        <v>89863.987000000008</v>
      </c>
      <c r="M535">
        <v>89863.986999999994</v>
      </c>
      <c r="N535">
        <v>89863.987000000008</v>
      </c>
      <c r="O535">
        <v>89863.986999999979</v>
      </c>
      <c r="P535">
        <v>89863.986999999994</v>
      </c>
      <c r="Q535">
        <v>102200.31999999999</v>
      </c>
      <c r="R535">
        <v>57106.25</v>
      </c>
      <c r="S535">
        <v>151338.07000000007</v>
      </c>
      <c r="T535">
        <v>94046.64</v>
      </c>
      <c r="U535">
        <v>161603.93999999997</v>
      </c>
      <c r="V535">
        <v>114442.77000000002</v>
      </c>
      <c r="W535">
        <v>5924.21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f>SUMPRODUCT(DB_SOFProject[[#This Row],[Plan01]:[Plan12]],$E$4:$P$4)/valUnits2</f>
        <v>873.62920200000019</v>
      </c>
      <c r="AD535">
        <f>SUMPRODUCT(DB_SOFProject[[#This Row],[Act01]:[Act12]],$Q$4:$AB$4)/valUnits2</f>
        <v>680.73799000000008</v>
      </c>
      <c r="AE535">
        <f>DB_SOFProject[[#This Row],[Actual]]-DB_SOFProject[[#This Row],[Plan]]</f>
        <v>-192.89121200000011</v>
      </c>
      <c r="AF535" s="32">
        <f>IF(DB_SOFProject[[#This Row],[Plan]]&lt;&gt;0,DB_SOFProject[[#This Row],[Actual]]/DB_SOFProject[[#This Row],[Plan]],1.000011000011)</f>
        <v>0.77920700045463898</v>
      </c>
      <c r="AG535" s="34">
        <f>SUM(DB_SOFProject[[#This Row],[Plan01]:[Plan12]])/valUnits2</f>
        <v>1412.813124</v>
      </c>
      <c r="AH535" s="34">
        <f>SUMPRODUCT(DB_SOFProject[[#This Row],[Act01]:[Act12]],$Q$3:$AB$3)/valUnits2</f>
        <v>680.73799000000008</v>
      </c>
    </row>
    <row r="536" spans="2:34" x14ac:dyDescent="0.2">
      <c r="B536" t="s">
        <v>485</v>
      </c>
      <c r="C536" t="s">
        <v>856</v>
      </c>
      <c r="D536" t="s">
        <v>948</v>
      </c>
      <c r="E536">
        <v>0</v>
      </c>
      <c r="F536">
        <v>0</v>
      </c>
      <c r="G536">
        <v>0</v>
      </c>
      <c r="H536">
        <v>875.94500000000005</v>
      </c>
      <c r="I536">
        <v>863.30100000000004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850.24</v>
      </c>
      <c r="U536">
        <v>840.46</v>
      </c>
      <c r="V536">
        <v>65.81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f>SUMPRODUCT(DB_SOFProject[[#This Row],[Plan01]:[Plan12]],$E$4:$P$4)/valUnits2</f>
        <v>1.7392460000000001</v>
      </c>
      <c r="AD536">
        <f>SUMPRODUCT(DB_SOFProject[[#This Row],[Act01]:[Act12]],$Q$4:$AB$4)/valUnits2</f>
        <v>1.75651</v>
      </c>
      <c r="AE536">
        <f>DB_SOFProject[[#This Row],[Actual]]-DB_SOFProject[[#This Row],[Plan]]</f>
        <v>1.7263999999999946E-2</v>
      </c>
      <c r="AF536" s="32">
        <f>IF(DB_SOFProject[[#This Row],[Plan]]&lt;&gt;0,DB_SOFProject[[#This Row],[Actual]]/DB_SOFProject[[#This Row],[Plan]],1.000011000011)</f>
        <v>1.0099261404079698</v>
      </c>
      <c r="AG536" s="34">
        <f>SUM(DB_SOFProject[[#This Row],[Plan01]:[Plan12]])/valUnits2</f>
        <v>1.7392460000000001</v>
      </c>
      <c r="AH536" s="34">
        <f>SUMPRODUCT(DB_SOFProject[[#This Row],[Act01]:[Act12]],$Q$3:$AB$3)/valUnits2</f>
        <v>1.75651</v>
      </c>
    </row>
    <row r="537" spans="2:34" x14ac:dyDescent="0.2">
      <c r="B537" t="s">
        <v>485</v>
      </c>
      <c r="C537" t="s">
        <v>856</v>
      </c>
      <c r="D537" t="s">
        <v>949</v>
      </c>
      <c r="E537">
        <v>-405.262</v>
      </c>
      <c r="Q537">
        <v>-387.54</v>
      </c>
      <c r="AC537">
        <f>SUMPRODUCT(DB_SOFProject[[#This Row],[Plan01]:[Plan12]],$E$4:$P$4)/valUnits2</f>
        <v>-0.40526200000000001</v>
      </c>
      <c r="AD537">
        <f>SUMPRODUCT(DB_SOFProject[[#This Row],[Act01]:[Act12]],$Q$4:$AB$4)/valUnits2</f>
        <v>-0.38754</v>
      </c>
      <c r="AE537">
        <f>DB_SOFProject[[#This Row],[Actual]]-DB_SOFProject[[#This Row],[Plan]]</f>
        <v>1.7722000000000016E-2</v>
      </c>
      <c r="AF537" s="32">
        <f>IF(DB_SOFProject[[#This Row],[Plan]]&lt;&gt;0,DB_SOFProject[[#This Row],[Actual]]/DB_SOFProject[[#This Row],[Plan]],1.000011000011)</f>
        <v>0.95627026466828857</v>
      </c>
      <c r="AG537" s="34">
        <f>SUM(DB_SOFProject[[#This Row],[Plan01]:[Plan12]])/valUnits2</f>
        <v>-0.40526200000000001</v>
      </c>
      <c r="AH537" s="34">
        <f>SUMPRODUCT(DB_SOFProject[[#This Row],[Act01]:[Act12]],$Q$3:$AB$3)/valUnits2</f>
        <v>-0.38754</v>
      </c>
    </row>
    <row r="538" spans="2:34" x14ac:dyDescent="0.2">
      <c r="B538" t="s">
        <v>485</v>
      </c>
      <c r="C538" t="s">
        <v>856</v>
      </c>
      <c r="D538" t="s">
        <v>952</v>
      </c>
      <c r="E538">
        <v>33202.271000000001</v>
      </c>
      <c r="F538">
        <v>33202.270999999957</v>
      </c>
      <c r="G538">
        <v>33202.272000000004</v>
      </c>
      <c r="H538">
        <v>706688.05400000012</v>
      </c>
      <c r="I538">
        <v>33202.271000000001</v>
      </c>
      <c r="J538">
        <v>33202.271000000001</v>
      </c>
      <c r="K538">
        <v>611132.19899999991</v>
      </c>
      <c r="L538">
        <v>33202.271000000001</v>
      </c>
      <c r="M538">
        <v>33202.271000000001</v>
      </c>
      <c r="N538">
        <v>558405.255</v>
      </c>
      <c r="O538">
        <v>33202.271000000001</v>
      </c>
      <c r="P538">
        <v>573061.68199999991</v>
      </c>
      <c r="Q538">
        <v>0</v>
      </c>
      <c r="R538">
        <v>5.0000000024994051E-2</v>
      </c>
      <c r="S538">
        <v>-1.0000000000047748E-2</v>
      </c>
      <c r="T538">
        <v>0</v>
      </c>
      <c r="U538">
        <v>0</v>
      </c>
      <c r="V538">
        <v>907929.05999999982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f>SUMPRODUCT(DB_SOFProject[[#This Row],[Plan01]:[Plan12]],$E$4:$P$4)/valUnits2</f>
        <v>872.69940999999994</v>
      </c>
      <c r="AD538">
        <f>SUMPRODUCT(DB_SOFProject[[#This Row],[Act01]:[Act12]],$Q$4:$AB$4)/valUnits2</f>
        <v>907.92909999999983</v>
      </c>
      <c r="AE538">
        <f>DB_SOFProject[[#This Row],[Actual]]-DB_SOFProject[[#This Row],[Plan]]</f>
        <v>35.229689999999891</v>
      </c>
      <c r="AF538" s="32">
        <f>IF(DB_SOFProject[[#This Row],[Plan]]&lt;&gt;0,DB_SOFProject[[#This Row],[Actual]]/DB_SOFProject[[#This Row],[Plan]],1.000011000011)</f>
        <v>1.0403686419359444</v>
      </c>
      <c r="AG538" s="34">
        <f>SUM(DB_SOFProject[[#This Row],[Plan01]:[Plan12]])/valUnits2</f>
        <v>2714.9053589999999</v>
      </c>
      <c r="AH538" s="34">
        <f>SUMPRODUCT(DB_SOFProject[[#This Row],[Act01]:[Act12]],$Q$3:$AB$3)/valUnits2</f>
        <v>907.92909999999983</v>
      </c>
    </row>
    <row r="539" spans="2:34" x14ac:dyDescent="0.2">
      <c r="B539" t="s">
        <v>485</v>
      </c>
      <c r="C539" t="s">
        <v>856</v>
      </c>
      <c r="D539" t="s">
        <v>961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f>SUMPRODUCT(DB_SOFProject[[#This Row],[Plan01]:[Plan12]],$E$4:$P$4)/valUnits2</f>
        <v>0</v>
      </c>
      <c r="AD539">
        <f>SUMPRODUCT(DB_SOFProject[[#This Row],[Act01]:[Act12]],$Q$4:$AB$4)/valUnits2</f>
        <v>0</v>
      </c>
      <c r="AE539">
        <f>DB_SOFProject[[#This Row],[Actual]]-DB_SOFProject[[#This Row],[Plan]]</f>
        <v>0</v>
      </c>
      <c r="AF539" s="32">
        <f>IF(DB_SOFProject[[#This Row],[Plan]]&lt;&gt;0,DB_SOFProject[[#This Row],[Actual]]/DB_SOFProject[[#This Row],[Plan]],1.000011000011)</f>
        <v>1.0000110000110001</v>
      </c>
      <c r="AG539" s="34">
        <f>SUM(DB_SOFProject[[#This Row],[Plan01]:[Plan12]])/valUnits2</f>
        <v>0</v>
      </c>
      <c r="AH539" s="34">
        <f>SUMPRODUCT(DB_SOFProject[[#This Row],[Act01]:[Act12]],$Q$3:$AB$3)/valUnits2</f>
        <v>0</v>
      </c>
    </row>
    <row r="540" spans="2:34" x14ac:dyDescent="0.2">
      <c r="B540" t="s">
        <v>485</v>
      </c>
      <c r="C540" t="s">
        <v>856</v>
      </c>
      <c r="D540" t="s">
        <v>962</v>
      </c>
      <c r="H540">
        <v>62592.341999999997</v>
      </c>
      <c r="J540">
        <v>0</v>
      </c>
      <c r="K540">
        <v>50087.85</v>
      </c>
      <c r="T540">
        <v>0</v>
      </c>
      <c r="V540">
        <v>91478.83</v>
      </c>
      <c r="W540">
        <v>0</v>
      </c>
      <c r="AC540">
        <f>SUMPRODUCT(DB_SOFProject[[#This Row],[Plan01]:[Plan12]],$E$4:$P$4)/valUnits2</f>
        <v>62.592341999999995</v>
      </c>
      <c r="AD540">
        <f>SUMPRODUCT(DB_SOFProject[[#This Row],[Act01]:[Act12]],$Q$4:$AB$4)/valUnits2</f>
        <v>91.478830000000002</v>
      </c>
      <c r="AE540">
        <f>DB_SOFProject[[#This Row],[Actual]]-DB_SOFProject[[#This Row],[Plan]]</f>
        <v>28.886488000000007</v>
      </c>
      <c r="AF540" s="32">
        <f>IF(DB_SOFProject[[#This Row],[Plan]]&lt;&gt;0,DB_SOFProject[[#This Row],[Actual]]/DB_SOFProject[[#This Row],[Plan]],1.000011000011)</f>
        <v>1.4615019517882877</v>
      </c>
      <c r="AG540" s="34">
        <f>SUM(DB_SOFProject[[#This Row],[Plan01]:[Plan12]])/valUnits2</f>
        <v>112.68019199999999</v>
      </c>
      <c r="AH540" s="34">
        <f>SUMPRODUCT(DB_SOFProject[[#This Row],[Act01]:[Act12]],$Q$3:$AB$3)/valUnits2</f>
        <v>91.478830000000002</v>
      </c>
    </row>
    <row r="541" spans="2:34" x14ac:dyDescent="0.2">
      <c r="B541" t="s">
        <v>485</v>
      </c>
      <c r="C541" t="s">
        <v>856</v>
      </c>
      <c r="D541" t="s">
        <v>963</v>
      </c>
      <c r="I541">
        <v>0</v>
      </c>
      <c r="J541">
        <v>0</v>
      </c>
      <c r="U541">
        <v>0</v>
      </c>
      <c r="V541">
        <v>81741.789999999994</v>
      </c>
      <c r="AC541">
        <f>SUMPRODUCT(DB_SOFProject[[#This Row],[Plan01]:[Plan12]],$E$4:$P$4)/valUnits2</f>
        <v>0</v>
      </c>
      <c r="AD541">
        <f>SUMPRODUCT(DB_SOFProject[[#This Row],[Act01]:[Act12]],$Q$4:$AB$4)/valUnits2</f>
        <v>81.741789999999995</v>
      </c>
      <c r="AE541">
        <f>DB_SOFProject[[#This Row],[Actual]]-DB_SOFProject[[#This Row],[Plan]]</f>
        <v>81.741789999999995</v>
      </c>
      <c r="AF541" s="32">
        <f>IF(DB_SOFProject[[#This Row],[Plan]]&lt;&gt;0,DB_SOFProject[[#This Row],[Actual]]/DB_SOFProject[[#This Row],[Plan]],1.000011000011)</f>
        <v>1.0000110000110001</v>
      </c>
      <c r="AG541" s="34">
        <f>SUM(DB_SOFProject[[#This Row],[Plan01]:[Plan12]])/valUnits2</f>
        <v>0</v>
      </c>
      <c r="AH541" s="34">
        <f>SUMPRODUCT(DB_SOFProject[[#This Row],[Act01]:[Act12]],$Q$3:$AB$3)/valUnits2</f>
        <v>81.741789999999995</v>
      </c>
    </row>
    <row r="542" spans="2:34" x14ac:dyDescent="0.2">
      <c r="B542" t="s">
        <v>485</v>
      </c>
      <c r="C542" t="s">
        <v>856</v>
      </c>
      <c r="D542" t="s">
        <v>973</v>
      </c>
      <c r="E542">
        <v>0</v>
      </c>
      <c r="F542">
        <v>0</v>
      </c>
      <c r="G542">
        <v>0</v>
      </c>
      <c r="H542">
        <v>54235.468999999997</v>
      </c>
      <c r="I542">
        <v>0</v>
      </c>
      <c r="J542">
        <v>0</v>
      </c>
      <c r="K542">
        <v>21182.812999999998</v>
      </c>
      <c r="L542">
        <v>0</v>
      </c>
      <c r="M542">
        <v>0</v>
      </c>
      <c r="N542">
        <v>25956.75</v>
      </c>
      <c r="O542">
        <v>0</v>
      </c>
      <c r="P542">
        <v>128763.156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-5532.14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f>SUMPRODUCT(DB_SOFProject[[#This Row],[Plan01]:[Plan12]],$E$4:$P$4)/valUnits2</f>
        <v>54.235468999999995</v>
      </c>
      <c r="AD542">
        <f>SUMPRODUCT(DB_SOFProject[[#This Row],[Act01]:[Act12]],$Q$4:$AB$4)/valUnits2</f>
        <v>-5.5321400000000001</v>
      </c>
      <c r="AE542">
        <f>DB_SOFProject[[#This Row],[Actual]]-DB_SOFProject[[#This Row],[Plan]]</f>
        <v>-59.767608999999993</v>
      </c>
      <c r="AF542" s="32">
        <f>IF(DB_SOFProject[[#This Row],[Plan]]&lt;&gt;0,DB_SOFProject[[#This Row],[Actual]]/DB_SOFProject[[#This Row],[Plan]],1.000011000011)</f>
        <v>-0.10200225243742246</v>
      </c>
      <c r="AG542" s="34">
        <f>SUM(DB_SOFProject[[#This Row],[Plan01]:[Plan12]])/valUnits2</f>
        <v>230.13818799999999</v>
      </c>
      <c r="AH542" s="34">
        <f>SUMPRODUCT(DB_SOFProject[[#This Row],[Act01]:[Act12]],$Q$3:$AB$3)/valUnits2</f>
        <v>-5.5321400000000001</v>
      </c>
    </row>
    <row r="543" spans="2:34" x14ac:dyDescent="0.2">
      <c r="B543" t="s">
        <v>485</v>
      </c>
      <c r="C543" t="s">
        <v>856</v>
      </c>
      <c r="D543" t="s">
        <v>991</v>
      </c>
      <c r="E543">
        <v>1118.7</v>
      </c>
      <c r="J543">
        <v>0</v>
      </c>
      <c r="Q543">
        <v>1118.7</v>
      </c>
      <c r="V543">
        <v>172.62</v>
      </c>
      <c r="AC543">
        <f>SUMPRODUCT(DB_SOFProject[[#This Row],[Plan01]:[Plan12]],$E$4:$P$4)/valUnits2</f>
        <v>1.1187</v>
      </c>
      <c r="AD543">
        <f>SUMPRODUCT(DB_SOFProject[[#This Row],[Act01]:[Act12]],$Q$4:$AB$4)/valUnits2</f>
        <v>1.2913200000000002</v>
      </c>
      <c r="AE543">
        <f>DB_SOFProject[[#This Row],[Actual]]-DB_SOFProject[[#This Row],[Plan]]</f>
        <v>0.17262000000000022</v>
      </c>
      <c r="AF543" s="32">
        <f>IF(DB_SOFProject[[#This Row],[Plan]]&lt;&gt;0,DB_SOFProject[[#This Row],[Actual]]/DB_SOFProject[[#This Row],[Plan]],1.000011000011)</f>
        <v>1.1543041029766696</v>
      </c>
      <c r="AG543" s="34">
        <f>SUM(DB_SOFProject[[#This Row],[Plan01]:[Plan12]])/valUnits2</f>
        <v>1.1187</v>
      </c>
      <c r="AH543" s="34">
        <f>SUMPRODUCT(DB_SOFProject[[#This Row],[Act01]:[Act12]],$Q$3:$AB$3)/valUnits2</f>
        <v>1.2913200000000002</v>
      </c>
    </row>
    <row r="544" spans="2:34" x14ac:dyDescent="0.2">
      <c r="B544" t="s">
        <v>485</v>
      </c>
      <c r="C544" t="s">
        <v>856</v>
      </c>
      <c r="D544" t="s">
        <v>1001</v>
      </c>
      <c r="E544">
        <v>13028.225999999999</v>
      </c>
      <c r="F544">
        <v>13028.226000000002</v>
      </c>
      <c r="G544">
        <v>13028.225999999999</v>
      </c>
      <c r="H544">
        <v>758258.16599999997</v>
      </c>
      <c r="I544">
        <v>13028.226000000001</v>
      </c>
      <c r="J544">
        <v>13028.225999999999</v>
      </c>
      <c r="K544">
        <v>634588.65100000007</v>
      </c>
      <c r="L544">
        <v>13028.225999999999</v>
      </c>
      <c r="M544">
        <v>13028.226000000001</v>
      </c>
      <c r="N544">
        <v>598115.50900000008</v>
      </c>
      <c r="O544">
        <v>13028.226000000002</v>
      </c>
      <c r="P544">
        <v>596603.478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1087668.3600000001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f>SUMPRODUCT(DB_SOFProject[[#This Row],[Plan01]:[Plan12]],$E$4:$P$4)/valUnits2</f>
        <v>823.39929599999994</v>
      </c>
      <c r="AD544">
        <f>SUMPRODUCT(DB_SOFProject[[#This Row],[Act01]:[Act12]],$Q$4:$AB$4)/valUnits2</f>
        <v>1087.6683600000001</v>
      </c>
      <c r="AE544">
        <f>DB_SOFProject[[#This Row],[Actual]]-DB_SOFProject[[#This Row],[Plan]]</f>
        <v>264.26906400000018</v>
      </c>
      <c r="AF544" s="32">
        <f>IF(DB_SOFProject[[#This Row],[Plan]]&lt;&gt;0,DB_SOFProject[[#This Row],[Actual]]/DB_SOFProject[[#This Row],[Plan]],1.000011000011)</f>
        <v>1.320948858328876</v>
      </c>
      <c r="AG544" s="34">
        <f>SUM(DB_SOFProject[[#This Row],[Plan01]:[Plan12]])/valUnits2</f>
        <v>2691.791612</v>
      </c>
      <c r="AH544" s="34">
        <f>SUMPRODUCT(DB_SOFProject[[#This Row],[Act01]:[Act12]],$Q$3:$AB$3)/valUnits2</f>
        <v>1087.6683600000001</v>
      </c>
    </row>
    <row r="545" spans="2:34" x14ac:dyDescent="0.2">
      <c r="B545" t="s">
        <v>485</v>
      </c>
      <c r="C545" t="s">
        <v>856</v>
      </c>
      <c r="D545" t="s">
        <v>1002</v>
      </c>
      <c r="E545">
        <v>0</v>
      </c>
      <c r="F545">
        <v>0</v>
      </c>
      <c r="G545">
        <v>0</v>
      </c>
      <c r="H545">
        <v>79195.593999999997</v>
      </c>
      <c r="I545">
        <v>0</v>
      </c>
      <c r="J545">
        <v>0</v>
      </c>
      <c r="K545">
        <v>122621.942</v>
      </c>
      <c r="L545">
        <v>0</v>
      </c>
      <c r="M545">
        <v>0</v>
      </c>
      <c r="N545">
        <v>101561.269</v>
      </c>
      <c r="O545">
        <v>0</v>
      </c>
      <c r="P545">
        <v>101310.019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211188.41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f>SUMPRODUCT(DB_SOFProject[[#This Row],[Plan01]:[Plan12]],$E$4:$P$4)/valUnits2</f>
        <v>79.195594</v>
      </c>
      <c r="AD545">
        <f>SUMPRODUCT(DB_SOFProject[[#This Row],[Act01]:[Act12]],$Q$4:$AB$4)/valUnits2</f>
        <v>211.18841</v>
      </c>
      <c r="AE545">
        <f>DB_SOFProject[[#This Row],[Actual]]-DB_SOFProject[[#This Row],[Plan]]</f>
        <v>131.992816</v>
      </c>
      <c r="AF545" s="32">
        <f>IF(DB_SOFProject[[#This Row],[Plan]]&lt;&gt;0,DB_SOFProject[[#This Row],[Actual]]/DB_SOFProject[[#This Row],[Plan]],1.000011000011)</f>
        <v>2.6666686785631031</v>
      </c>
      <c r="AG545" s="34">
        <f>SUM(DB_SOFProject[[#This Row],[Plan01]:[Plan12]])/valUnits2</f>
        <v>404.68882400000001</v>
      </c>
      <c r="AH545" s="34">
        <f>SUMPRODUCT(DB_SOFProject[[#This Row],[Act01]:[Act12]],$Q$3:$AB$3)/valUnits2</f>
        <v>211.18841</v>
      </c>
    </row>
    <row r="546" spans="2:34" x14ac:dyDescent="0.2">
      <c r="B546" t="s">
        <v>485</v>
      </c>
      <c r="C546" t="s">
        <v>902</v>
      </c>
      <c r="D546" t="s">
        <v>973</v>
      </c>
      <c r="F546">
        <v>1657.84</v>
      </c>
      <c r="H546">
        <v>0</v>
      </c>
      <c r="J546">
        <v>409.24</v>
      </c>
      <c r="M546">
        <v>409.24</v>
      </c>
      <c r="P546">
        <v>409.24</v>
      </c>
      <c r="R546">
        <v>1657.84</v>
      </c>
      <c r="T546">
        <v>0</v>
      </c>
      <c r="V546">
        <v>0</v>
      </c>
      <c r="Y546">
        <v>0</v>
      </c>
      <c r="AB546">
        <v>0</v>
      </c>
      <c r="AC546">
        <f>SUMPRODUCT(DB_SOFProject[[#This Row],[Plan01]:[Plan12]],$E$4:$P$4)/valUnits2</f>
        <v>2.0670799999999998</v>
      </c>
      <c r="AD546">
        <f>SUMPRODUCT(DB_SOFProject[[#This Row],[Act01]:[Act12]],$Q$4:$AB$4)/valUnits2</f>
        <v>1.65784</v>
      </c>
      <c r="AE546">
        <f>DB_SOFProject[[#This Row],[Actual]]-DB_SOFProject[[#This Row],[Plan]]</f>
        <v>-0.40923999999999983</v>
      </c>
      <c r="AF546" s="32">
        <f>IF(DB_SOFProject[[#This Row],[Plan]]&lt;&gt;0,DB_SOFProject[[#This Row],[Actual]]/DB_SOFProject[[#This Row],[Plan]],1.000011000011)</f>
        <v>0.8020202411130678</v>
      </c>
      <c r="AG546" s="34">
        <f>SUM(DB_SOFProject[[#This Row],[Plan01]:[Plan12]])/valUnits2</f>
        <v>2.8855599999999995</v>
      </c>
      <c r="AH546" s="34">
        <f>SUMPRODUCT(DB_SOFProject[[#This Row],[Act01]:[Act12]],$Q$3:$AB$3)/valUnits2</f>
        <v>1.65784</v>
      </c>
    </row>
    <row r="547" spans="2:34" x14ac:dyDescent="0.2">
      <c r="B547" t="s">
        <v>486</v>
      </c>
      <c r="C547" t="s">
        <v>842</v>
      </c>
      <c r="D547" t="s">
        <v>981</v>
      </c>
      <c r="E547">
        <v>0</v>
      </c>
      <c r="F547">
        <v>0</v>
      </c>
      <c r="G547">
        <v>205.351</v>
      </c>
      <c r="H547">
        <v>16.495000000000001</v>
      </c>
      <c r="I547">
        <v>41168.827000000005</v>
      </c>
      <c r="J547">
        <v>13974.606000000002</v>
      </c>
      <c r="K547">
        <v>35153.910000000003</v>
      </c>
      <c r="L547">
        <v>13974.606000000002</v>
      </c>
      <c r="M547">
        <v>13974.606000000002</v>
      </c>
      <c r="N547">
        <v>13974.606000000002</v>
      </c>
      <c r="O547">
        <v>13974.606000000002</v>
      </c>
      <c r="P547">
        <v>39656.370000000003</v>
      </c>
      <c r="Q547">
        <v>0</v>
      </c>
      <c r="R547">
        <v>0</v>
      </c>
      <c r="S547">
        <v>207.21</v>
      </c>
      <c r="T547">
        <v>16.47</v>
      </c>
      <c r="U547">
        <v>41060.94</v>
      </c>
      <c r="V547">
        <v>11836.960000000003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f>SUMPRODUCT(DB_SOFProject[[#This Row],[Plan01]:[Plan12]],$E$4:$P$4)/valUnits2</f>
        <v>55.365279000000001</v>
      </c>
      <c r="AD547">
        <f>SUMPRODUCT(DB_SOFProject[[#This Row],[Act01]:[Act12]],$Q$4:$AB$4)/valUnits2</f>
        <v>53.121580000000002</v>
      </c>
      <c r="AE547">
        <f>DB_SOFProject[[#This Row],[Actual]]-DB_SOFProject[[#This Row],[Plan]]</f>
        <v>-2.2436989999999994</v>
      </c>
      <c r="AF547" s="32">
        <f>IF(DB_SOFProject[[#This Row],[Plan]]&lt;&gt;0,DB_SOFProject[[#This Row],[Actual]]/DB_SOFProject[[#This Row],[Plan]],1.000011000011)</f>
        <v>0.95947461946321988</v>
      </c>
      <c r="AG547" s="34">
        <f>SUM(DB_SOFProject[[#This Row],[Plan01]:[Plan12]])/valUnits2</f>
        <v>186.073983</v>
      </c>
      <c r="AH547" s="34">
        <f>SUMPRODUCT(DB_SOFProject[[#This Row],[Act01]:[Act12]],$Q$3:$AB$3)/valUnits2</f>
        <v>53.121580000000002</v>
      </c>
    </row>
    <row r="548" spans="2:34" x14ac:dyDescent="0.2">
      <c r="B548" t="s">
        <v>486</v>
      </c>
      <c r="C548" t="s">
        <v>845</v>
      </c>
      <c r="D548" t="s">
        <v>942</v>
      </c>
      <c r="J548">
        <v>0</v>
      </c>
      <c r="V548">
        <v>7889.6</v>
      </c>
      <c r="AC548">
        <f>SUMPRODUCT(DB_SOFProject[[#This Row],[Plan01]:[Plan12]],$E$4:$P$4)/valUnits2</f>
        <v>0</v>
      </c>
      <c r="AD548">
        <f>SUMPRODUCT(DB_SOFProject[[#This Row],[Act01]:[Act12]],$Q$4:$AB$4)/valUnits2</f>
        <v>7.8896000000000006</v>
      </c>
      <c r="AE548">
        <f>DB_SOFProject[[#This Row],[Actual]]-DB_SOFProject[[#This Row],[Plan]]</f>
        <v>7.8896000000000006</v>
      </c>
      <c r="AF548" s="32">
        <f>IF(DB_SOFProject[[#This Row],[Plan]]&lt;&gt;0,DB_SOFProject[[#This Row],[Actual]]/DB_SOFProject[[#This Row],[Plan]],1.000011000011)</f>
        <v>1.0000110000110001</v>
      </c>
      <c r="AG548" s="34">
        <f>SUM(DB_SOFProject[[#This Row],[Plan01]:[Plan12]])/valUnits2</f>
        <v>0</v>
      </c>
      <c r="AH548" s="34">
        <f>SUMPRODUCT(DB_SOFProject[[#This Row],[Act01]:[Act12]],$Q$3:$AB$3)/valUnits2</f>
        <v>7.8896000000000006</v>
      </c>
    </row>
    <row r="549" spans="2:34" x14ac:dyDescent="0.2">
      <c r="B549" t="s">
        <v>486</v>
      </c>
      <c r="C549" t="s">
        <v>845</v>
      </c>
      <c r="D549" t="s">
        <v>981</v>
      </c>
      <c r="I549">
        <v>4802.6399999999994</v>
      </c>
      <c r="U549">
        <v>4802.6399999999994</v>
      </c>
      <c r="AC549">
        <f>SUMPRODUCT(DB_SOFProject[[#This Row],[Plan01]:[Plan12]],$E$4:$P$4)/valUnits2</f>
        <v>4.8026399999999994</v>
      </c>
      <c r="AD549">
        <f>SUMPRODUCT(DB_SOFProject[[#This Row],[Act01]:[Act12]],$Q$4:$AB$4)/valUnits2</f>
        <v>4.8026399999999994</v>
      </c>
      <c r="AE549">
        <f>DB_SOFProject[[#This Row],[Actual]]-DB_SOFProject[[#This Row],[Plan]]</f>
        <v>0</v>
      </c>
      <c r="AF549" s="32">
        <f>IF(DB_SOFProject[[#This Row],[Plan]]&lt;&gt;0,DB_SOFProject[[#This Row],[Actual]]/DB_SOFProject[[#This Row],[Plan]],1.000011000011)</f>
        <v>1</v>
      </c>
      <c r="AG549" s="34">
        <f>SUM(DB_SOFProject[[#This Row],[Plan01]:[Plan12]])/valUnits2</f>
        <v>4.8026399999999994</v>
      </c>
      <c r="AH549" s="34">
        <f>SUMPRODUCT(DB_SOFProject[[#This Row],[Act01]:[Act12]],$Q$3:$AB$3)/valUnits2</f>
        <v>4.8026399999999994</v>
      </c>
    </row>
    <row r="550" spans="2:34" x14ac:dyDescent="0.2">
      <c r="B550" t="s">
        <v>486</v>
      </c>
      <c r="C550" t="s">
        <v>858</v>
      </c>
      <c r="D550" t="s">
        <v>942</v>
      </c>
      <c r="E550">
        <v>0</v>
      </c>
      <c r="F550">
        <v>0</v>
      </c>
      <c r="G550">
        <v>0</v>
      </c>
      <c r="H550">
        <v>255.96</v>
      </c>
      <c r="I550">
        <v>630.76</v>
      </c>
      <c r="J550">
        <v>1416.6660000000002</v>
      </c>
      <c r="K550">
        <v>1416.6660000000002</v>
      </c>
      <c r="L550">
        <v>1499.999</v>
      </c>
      <c r="M550">
        <v>1416.6660000000002</v>
      </c>
      <c r="N550">
        <v>1416.6660000000002</v>
      </c>
      <c r="O550">
        <v>1416.6660000000002</v>
      </c>
      <c r="P550">
        <v>1416.6660000000002</v>
      </c>
      <c r="Q550">
        <v>0</v>
      </c>
      <c r="R550">
        <v>0</v>
      </c>
      <c r="S550">
        <v>0</v>
      </c>
      <c r="T550">
        <v>255.96</v>
      </c>
      <c r="U550">
        <v>630.76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f>SUMPRODUCT(DB_SOFProject[[#This Row],[Plan01]:[Plan12]],$E$4:$P$4)/valUnits2</f>
        <v>2.3033860000000006</v>
      </c>
      <c r="AD550">
        <f>SUMPRODUCT(DB_SOFProject[[#This Row],[Act01]:[Act12]],$Q$4:$AB$4)/valUnits2</f>
        <v>0.88672000000000006</v>
      </c>
      <c r="AE550">
        <f>DB_SOFProject[[#This Row],[Actual]]-DB_SOFProject[[#This Row],[Plan]]</f>
        <v>-1.4166660000000006</v>
      </c>
      <c r="AF550" s="32">
        <f>IF(DB_SOFProject[[#This Row],[Plan]]&lt;&gt;0,DB_SOFProject[[#This Row],[Actual]]/DB_SOFProject[[#This Row],[Plan]],1.000011000011)</f>
        <v>0.38496370126413887</v>
      </c>
      <c r="AG550" s="34">
        <f>SUM(DB_SOFProject[[#This Row],[Plan01]:[Plan12]])/valUnits2</f>
        <v>10.886715000000001</v>
      </c>
      <c r="AH550" s="34">
        <f>SUMPRODUCT(DB_SOFProject[[#This Row],[Act01]:[Act12]],$Q$3:$AB$3)/valUnits2</f>
        <v>0.88672000000000006</v>
      </c>
    </row>
    <row r="551" spans="2:34" x14ac:dyDescent="0.2">
      <c r="B551" t="s">
        <v>486</v>
      </c>
      <c r="C551" t="s">
        <v>869</v>
      </c>
      <c r="D551" t="s">
        <v>970</v>
      </c>
      <c r="E551">
        <v>6657.1099999999969</v>
      </c>
      <c r="F551">
        <v>136997.63</v>
      </c>
      <c r="G551">
        <v>87911.99</v>
      </c>
      <c r="H551">
        <v>5121.0699999999943</v>
      </c>
      <c r="I551">
        <v>156116.84</v>
      </c>
      <c r="J551">
        <v>5042.5</v>
      </c>
      <c r="K551">
        <v>5042.5</v>
      </c>
      <c r="L551">
        <v>5042.5</v>
      </c>
      <c r="M551">
        <v>5042.5</v>
      </c>
      <c r="N551">
        <v>5042.5</v>
      </c>
      <c r="O551">
        <v>5042.5</v>
      </c>
      <c r="P551">
        <v>5042.5</v>
      </c>
      <c r="Q551">
        <v>6657.1100000000006</v>
      </c>
      <c r="R551">
        <v>136997.63</v>
      </c>
      <c r="S551">
        <v>87911.990000000034</v>
      </c>
      <c r="T551">
        <v>5121.0700000000006</v>
      </c>
      <c r="U551">
        <v>156116.84</v>
      </c>
      <c r="V551">
        <v>9420.43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f>SUMPRODUCT(DB_SOFProject[[#This Row],[Plan01]:[Plan12]],$E$4:$P$4)/valUnits2</f>
        <v>397.84714000000002</v>
      </c>
      <c r="AD551">
        <f>SUMPRODUCT(DB_SOFProject[[#This Row],[Act01]:[Act12]],$Q$4:$AB$4)/valUnits2</f>
        <v>402.22507000000002</v>
      </c>
      <c r="AE551">
        <f>DB_SOFProject[[#This Row],[Actual]]-DB_SOFProject[[#This Row],[Plan]]</f>
        <v>4.3779299999999921</v>
      </c>
      <c r="AF551" s="32">
        <f>IF(DB_SOFProject[[#This Row],[Plan]]&lt;&gt;0,DB_SOFProject[[#This Row],[Actual]]/DB_SOFProject[[#This Row],[Plan]],1.000011000011)</f>
        <v>1.0110040504501301</v>
      </c>
      <c r="AG551" s="34">
        <f>SUM(DB_SOFProject[[#This Row],[Plan01]:[Plan12]])/valUnits2</f>
        <v>428.10214000000002</v>
      </c>
      <c r="AH551" s="34">
        <f>SUMPRODUCT(DB_SOFProject[[#This Row],[Act01]:[Act12]],$Q$3:$AB$3)/valUnits2</f>
        <v>402.22507000000002</v>
      </c>
    </row>
    <row r="552" spans="2:34" x14ac:dyDescent="0.2">
      <c r="B552" t="s">
        <v>486</v>
      </c>
      <c r="C552" t="s">
        <v>870</v>
      </c>
      <c r="D552" t="s">
        <v>942</v>
      </c>
      <c r="E552">
        <v>0</v>
      </c>
      <c r="H552">
        <v>0</v>
      </c>
      <c r="K552">
        <v>0</v>
      </c>
      <c r="N552">
        <v>0</v>
      </c>
      <c r="Q552">
        <v>0</v>
      </c>
      <c r="T552">
        <v>0</v>
      </c>
      <c r="W552">
        <v>0</v>
      </c>
      <c r="Z552">
        <v>0</v>
      </c>
      <c r="AC552">
        <f>SUMPRODUCT(DB_SOFProject[[#This Row],[Plan01]:[Plan12]],$E$4:$P$4)/valUnits2</f>
        <v>0</v>
      </c>
      <c r="AD552">
        <f>SUMPRODUCT(DB_SOFProject[[#This Row],[Act01]:[Act12]],$Q$4:$AB$4)/valUnits2</f>
        <v>0</v>
      </c>
      <c r="AE552">
        <f>DB_SOFProject[[#This Row],[Actual]]-DB_SOFProject[[#This Row],[Plan]]</f>
        <v>0</v>
      </c>
      <c r="AF552" s="32">
        <f>IF(DB_SOFProject[[#This Row],[Plan]]&lt;&gt;0,DB_SOFProject[[#This Row],[Actual]]/DB_SOFProject[[#This Row],[Plan]],1.000011000011)</f>
        <v>1.0000110000110001</v>
      </c>
      <c r="AG552" s="34">
        <f>SUM(DB_SOFProject[[#This Row],[Plan01]:[Plan12]])/valUnits2</f>
        <v>0</v>
      </c>
      <c r="AH552" s="34">
        <f>SUMPRODUCT(DB_SOFProject[[#This Row],[Act01]:[Act12]],$Q$3:$AB$3)/valUnits2</f>
        <v>0</v>
      </c>
    </row>
    <row r="553" spans="2:34" x14ac:dyDescent="0.2">
      <c r="B553" t="s">
        <v>486</v>
      </c>
      <c r="C553" t="s">
        <v>872</v>
      </c>
      <c r="D553" t="s">
        <v>942</v>
      </c>
      <c r="F553">
        <v>509.88800000000003</v>
      </c>
      <c r="G553">
        <v>22256.657999999999</v>
      </c>
      <c r="H553">
        <v>10177.259</v>
      </c>
      <c r="I553">
        <v>-32305.672999999992</v>
      </c>
      <c r="J553">
        <v>16657.032999999999</v>
      </c>
      <c r="K553">
        <v>16657.032999999999</v>
      </c>
      <c r="L553">
        <v>16657.032999999999</v>
      </c>
      <c r="M553">
        <v>19804.550999999999</v>
      </c>
      <c r="N553">
        <v>27419.517</v>
      </c>
      <c r="O553">
        <v>19804.550999999999</v>
      </c>
      <c r="P553">
        <v>16657.032999999999</v>
      </c>
      <c r="R553">
        <v>515.74</v>
      </c>
      <c r="S553">
        <v>22178.149999999994</v>
      </c>
      <c r="T553">
        <v>10021.840000000002</v>
      </c>
      <c r="U553">
        <v>-32182.62</v>
      </c>
      <c r="V553">
        <v>1446.1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f>SUMPRODUCT(DB_SOFProject[[#This Row],[Plan01]:[Plan12]],$E$4:$P$4)/valUnits2</f>
        <v>17.295165000000008</v>
      </c>
      <c r="AD553">
        <f>SUMPRODUCT(DB_SOFProject[[#This Row],[Act01]:[Act12]],$Q$4:$AB$4)/valUnits2</f>
        <v>1.9792099999999968</v>
      </c>
      <c r="AE553">
        <f>DB_SOFProject[[#This Row],[Actual]]-DB_SOFProject[[#This Row],[Plan]]</f>
        <v>-15.315955000000011</v>
      </c>
      <c r="AF553" s="32">
        <f>IF(DB_SOFProject[[#This Row],[Plan]]&lt;&gt;0,DB_SOFProject[[#This Row],[Actual]]/DB_SOFProject[[#This Row],[Plan]],1.000011000011)</f>
        <v>0.11443718519019598</v>
      </c>
      <c r="AG553" s="34">
        <f>SUM(DB_SOFProject[[#This Row],[Plan01]:[Plan12]])/valUnits2</f>
        <v>134.294883</v>
      </c>
      <c r="AH553" s="34">
        <f>SUMPRODUCT(DB_SOFProject[[#This Row],[Act01]:[Act12]],$Q$3:$AB$3)/valUnits2</f>
        <v>1.9792099999999968</v>
      </c>
    </row>
    <row r="554" spans="2:34" x14ac:dyDescent="0.2">
      <c r="B554" t="s">
        <v>486</v>
      </c>
      <c r="C554" t="s">
        <v>884</v>
      </c>
      <c r="D554" t="s">
        <v>942</v>
      </c>
      <c r="E554">
        <v>5025.0829999999996</v>
      </c>
      <c r="F554">
        <v>5025.0829999999996</v>
      </c>
      <c r="G554">
        <v>5025.0829999999996</v>
      </c>
      <c r="H554">
        <v>5025.0829999999996</v>
      </c>
      <c r="I554">
        <v>5025.0829999999996</v>
      </c>
      <c r="J554">
        <v>5025.0829999999996</v>
      </c>
      <c r="K554">
        <v>5025.0829999999996</v>
      </c>
      <c r="L554">
        <v>5025.0829999999996</v>
      </c>
      <c r="M554">
        <v>5025.0829999999996</v>
      </c>
      <c r="N554">
        <v>5025.0829999999996</v>
      </c>
      <c r="O554">
        <v>5025.0829999999996</v>
      </c>
      <c r="P554">
        <v>5025.0829999999996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f>SUMPRODUCT(DB_SOFProject[[#This Row],[Plan01]:[Plan12]],$E$4:$P$4)/valUnits2</f>
        <v>30.150497999999995</v>
      </c>
      <c r="AD554">
        <f>SUMPRODUCT(DB_SOFProject[[#This Row],[Act01]:[Act12]],$Q$4:$AB$4)/valUnits2</f>
        <v>0</v>
      </c>
      <c r="AE554">
        <f>DB_SOFProject[[#This Row],[Actual]]-DB_SOFProject[[#This Row],[Plan]]</f>
        <v>-30.150497999999995</v>
      </c>
      <c r="AF554" s="32">
        <f>IF(DB_SOFProject[[#This Row],[Plan]]&lt;&gt;0,DB_SOFProject[[#This Row],[Actual]]/DB_SOFProject[[#This Row],[Plan]],1.000011000011)</f>
        <v>0</v>
      </c>
      <c r="AG554" s="34">
        <f>SUM(DB_SOFProject[[#This Row],[Plan01]:[Plan12]])/valUnits2</f>
        <v>60.300995999999991</v>
      </c>
      <c r="AH554" s="34">
        <f>SUMPRODUCT(DB_SOFProject[[#This Row],[Act01]:[Act12]],$Q$3:$AB$3)/valUnits2</f>
        <v>0</v>
      </c>
    </row>
    <row r="555" spans="2:34" x14ac:dyDescent="0.2">
      <c r="B555" t="s">
        <v>486</v>
      </c>
      <c r="C555" t="s">
        <v>884</v>
      </c>
      <c r="D555" t="s">
        <v>981</v>
      </c>
      <c r="E555">
        <v>16331.869999999999</v>
      </c>
      <c r="F555">
        <v>16937.14</v>
      </c>
      <c r="G555">
        <v>15001.25</v>
      </c>
      <c r="H555">
        <v>15001.25</v>
      </c>
      <c r="I555">
        <v>11734.74</v>
      </c>
      <c r="J555">
        <v>15001.25</v>
      </c>
      <c r="K555">
        <v>8506.25</v>
      </c>
      <c r="L555">
        <v>8506.25</v>
      </c>
      <c r="M555">
        <v>8506.25</v>
      </c>
      <c r="N555">
        <v>8506.25</v>
      </c>
      <c r="O555">
        <v>8506.25</v>
      </c>
      <c r="P555">
        <v>8506.25</v>
      </c>
      <c r="Q555">
        <v>1330.6200000000001</v>
      </c>
      <c r="R555">
        <v>1935.8899999999999</v>
      </c>
      <c r="S555">
        <v>0</v>
      </c>
      <c r="T555">
        <v>0</v>
      </c>
      <c r="U555">
        <v>-3266.5099999999998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f>SUMPRODUCT(DB_SOFProject[[#This Row],[Plan01]:[Plan12]],$E$4:$P$4)/valUnits2</f>
        <v>90.007499999999993</v>
      </c>
      <c r="AD555">
        <f>SUMPRODUCT(DB_SOFProject[[#This Row],[Act01]:[Act12]],$Q$4:$AB$4)/valUnits2</f>
        <v>4.5474735088646413E-16</v>
      </c>
      <c r="AE555">
        <f>DB_SOFProject[[#This Row],[Actual]]-DB_SOFProject[[#This Row],[Plan]]</f>
        <v>-90.007499999999993</v>
      </c>
      <c r="AF555" s="32">
        <f>IF(DB_SOFProject[[#This Row],[Plan]]&lt;&gt;0,DB_SOFProject[[#This Row],[Actual]]/DB_SOFProject[[#This Row],[Plan]],1.000011000011)</f>
        <v>5.0523273159066099E-18</v>
      </c>
      <c r="AG555" s="34">
        <f>SUM(DB_SOFProject[[#This Row],[Plan01]:[Plan12]])/valUnits2</f>
        <v>141.04499999999999</v>
      </c>
      <c r="AH555" s="34">
        <f>SUMPRODUCT(DB_SOFProject[[#This Row],[Act01]:[Act12]],$Q$3:$AB$3)/valUnits2</f>
        <v>4.5474735088646413E-16</v>
      </c>
    </row>
    <row r="556" spans="2:34" x14ac:dyDescent="0.2">
      <c r="B556" t="s">
        <v>486</v>
      </c>
      <c r="C556" t="s">
        <v>904</v>
      </c>
      <c r="D556" t="s">
        <v>942</v>
      </c>
      <c r="E556">
        <v>3365.3399999999997</v>
      </c>
      <c r="F556">
        <v>13206.280999999999</v>
      </c>
      <c r="G556">
        <v>21975.558000000005</v>
      </c>
      <c r="H556">
        <v>8719.4790000000012</v>
      </c>
      <c r="I556">
        <v>17431.623000000003</v>
      </c>
      <c r="J556">
        <v>7114.1509999999998</v>
      </c>
      <c r="K556">
        <v>5317.8080000000009</v>
      </c>
      <c r="L556">
        <v>5317.8080000000009</v>
      </c>
      <c r="M556">
        <v>5514.2970000000005</v>
      </c>
      <c r="N556">
        <v>4806.4210000000003</v>
      </c>
      <c r="O556">
        <v>3567.027</v>
      </c>
      <c r="P556">
        <v>3370.538</v>
      </c>
      <c r="Q556">
        <v>3365.28</v>
      </c>
      <c r="R556">
        <v>13193.47</v>
      </c>
      <c r="S556">
        <v>21827.269999999993</v>
      </c>
      <c r="T556">
        <v>8761.7099999999973</v>
      </c>
      <c r="U556">
        <v>17471.509999999998</v>
      </c>
      <c r="V556">
        <v>-3405.7599999999998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f>SUMPRODUCT(DB_SOFProject[[#This Row],[Plan01]:[Plan12]],$E$4:$P$4)/valUnits2</f>
        <v>71.812432000000001</v>
      </c>
      <c r="AD556">
        <f>SUMPRODUCT(DB_SOFProject[[#This Row],[Act01]:[Act12]],$Q$4:$AB$4)/valUnits2</f>
        <v>61.21347999999999</v>
      </c>
      <c r="AE556">
        <f>DB_SOFProject[[#This Row],[Actual]]-DB_SOFProject[[#This Row],[Plan]]</f>
        <v>-10.598952000000011</v>
      </c>
      <c r="AF556" s="32">
        <f>IF(DB_SOFProject[[#This Row],[Plan]]&lt;&gt;0,DB_SOFProject[[#This Row],[Actual]]/DB_SOFProject[[#This Row],[Plan]],1.000011000011)</f>
        <v>0.85240783935572584</v>
      </c>
      <c r="AG556" s="34">
        <f>SUM(DB_SOFProject[[#This Row],[Plan01]:[Plan12]])/valUnits2</f>
        <v>99.70633100000002</v>
      </c>
      <c r="AH556" s="34">
        <f>SUMPRODUCT(DB_SOFProject[[#This Row],[Act01]:[Act12]],$Q$3:$AB$3)/valUnits2</f>
        <v>61.21347999999999</v>
      </c>
    </row>
    <row r="557" spans="2:34" x14ac:dyDescent="0.2">
      <c r="B557" t="s">
        <v>486</v>
      </c>
      <c r="C557" t="s">
        <v>905</v>
      </c>
      <c r="D557" t="s">
        <v>942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f>SUMPRODUCT(DB_SOFProject[[#This Row],[Plan01]:[Plan12]],$E$4:$P$4)/valUnits2</f>
        <v>0</v>
      </c>
      <c r="AD557">
        <f>SUMPRODUCT(DB_SOFProject[[#This Row],[Act01]:[Act12]],$Q$4:$AB$4)/valUnits2</f>
        <v>0</v>
      </c>
      <c r="AE557">
        <f>DB_SOFProject[[#This Row],[Actual]]-DB_SOFProject[[#This Row],[Plan]]</f>
        <v>0</v>
      </c>
      <c r="AF557" s="32">
        <f>IF(DB_SOFProject[[#This Row],[Plan]]&lt;&gt;0,DB_SOFProject[[#This Row],[Actual]]/DB_SOFProject[[#This Row],[Plan]],1.000011000011)</f>
        <v>1.0000110000110001</v>
      </c>
      <c r="AG557" s="34">
        <f>SUM(DB_SOFProject[[#This Row],[Plan01]:[Plan12]])/valUnits2</f>
        <v>0</v>
      </c>
      <c r="AH557" s="34">
        <f>SUMPRODUCT(DB_SOFProject[[#This Row],[Act01]:[Act12]],$Q$3:$AB$3)/valUnits2</f>
        <v>0</v>
      </c>
    </row>
    <row r="558" spans="2:34" x14ac:dyDescent="0.2">
      <c r="B558" t="s">
        <v>486</v>
      </c>
      <c r="C558" t="s">
        <v>908</v>
      </c>
      <c r="D558" t="s">
        <v>981</v>
      </c>
      <c r="E558">
        <v>23436.929</v>
      </c>
      <c r="F558">
        <v>165.84599999999949</v>
      </c>
      <c r="G558">
        <v>507.72200000000004</v>
      </c>
      <c r="H558">
        <v>5520.0909999999994</v>
      </c>
      <c r="I558">
        <v>8047.4319999999989</v>
      </c>
      <c r="J558">
        <v>27771.098000000005</v>
      </c>
      <c r="K558">
        <v>32519.343999999997</v>
      </c>
      <c r="L558">
        <v>10722.264999999998</v>
      </c>
      <c r="M558">
        <v>10813.645</v>
      </c>
      <c r="N558">
        <v>10722.264999999999</v>
      </c>
      <c r="O558">
        <v>10722.264999999999</v>
      </c>
      <c r="P558">
        <v>68897.528999999995</v>
      </c>
      <c r="Q558">
        <v>23911.99</v>
      </c>
      <c r="R558">
        <v>171.54000000000011</v>
      </c>
      <c r="S558">
        <v>501.67000000000007</v>
      </c>
      <c r="T558">
        <v>5446.8499999999985</v>
      </c>
      <c r="U558">
        <v>8159.2399999999989</v>
      </c>
      <c r="V558">
        <v>38301.560000000012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f>SUMPRODUCT(DB_SOFProject[[#This Row],[Plan01]:[Plan12]],$E$4:$P$4)/valUnits2</f>
        <v>65.449117999999999</v>
      </c>
      <c r="AD558">
        <f>SUMPRODUCT(DB_SOFProject[[#This Row],[Act01]:[Act12]],$Q$4:$AB$4)/valUnits2</f>
        <v>76.492850000000004</v>
      </c>
      <c r="AE558">
        <f>DB_SOFProject[[#This Row],[Actual]]-DB_SOFProject[[#This Row],[Plan]]</f>
        <v>11.043732000000006</v>
      </c>
      <c r="AF558" s="32">
        <f>IF(DB_SOFProject[[#This Row],[Plan]]&lt;&gt;0,DB_SOFProject[[#This Row],[Actual]]/DB_SOFProject[[#This Row],[Plan]],1.000011000011)</f>
        <v>1.1687376749675986</v>
      </c>
      <c r="AG558" s="34">
        <f>SUM(DB_SOFProject[[#This Row],[Plan01]:[Plan12]])/valUnits2</f>
        <v>209.846431</v>
      </c>
      <c r="AH558" s="34">
        <f>SUMPRODUCT(DB_SOFProject[[#This Row],[Act01]:[Act12]],$Q$3:$AB$3)/valUnits2</f>
        <v>76.492850000000004</v>
      </c>
    </row>
    <row r="559" spans="2:34" x14ac:dyDescent="0.2">
      <c r="B559" t="s">
        <v>486</v>
      </c>
      <c r="C559" t="s">
        <v>352</v>
      </c>
      <c r="D559" t="s">
        <v>942</v>
      </c>
      <c r="H559">
        <v>0</v>
      </c>
      <c r="I559">
        <v>0</v>
      </c>
      <c r="T559">
        <v>0</v>
      </c>
      <c r="U559">
        <v>0</v>
      </c>
      <c r="AC559">
        <f>SUMPRODUCT(DB_SOFProject[[#This Row],[Plan01]:[Plan12]],$E$4:$P$4)/valUnits2</f>
        <v>0</v>
      </c>
      <c r="AD559">
        <f>SUMPRODUCT(DB_SOFProject[[#This Row],[Act01]:[Act12]],$Q$4:$AB$4)/valUnits2</f>
        <v>0</v>
      </c>
      <c r="AE559">
        <f>DB_SOFProject[[#This Row],[Actual]]-DB_SOFProject[[#This Row],[Plan]]</f>
        <v>0</v>
      </c>
      <c r="AF559" s="32">
        <f>IF(DB_SOFProject[[#This Row],[Plan]]&lt;&gt;0,DB_SOFProject[[#This Row],[Actual]]/DB_SOFProject[[#This Row],[Plan]],1.000011000011)</f>
        <v>1.0000110000110001</v>
      </c>
      <c r="AG559" s="34">
        <f>SUM(DB_SOFProject[[#This Row],[Plan01]:[Plan12]])/valUnits2</f>
        <v>0</v>
      </c>
      <c r="AH559" s="34">
        <f>SUMPRODUCT(DB_SOFProject[[#This Row],[Act01]:[Act12]],$Q$3:$AB$3)/valUnits2</f>
        <v>0</v>
      </c>
    </row>
    <row r="560" spans="2:34" x14ac:dyDescent="0.2">
      <c r="B560" t="s">
        <v>486</v>
      </c>
      <c r="C560" t="s">
        <v>909</v>
      </c>
      <c r="D560" t="s">
        <v>970</v>
      </c>
      <c r="E560">
        <v>7561.5900000000038</v>
      </c>
      <c r="F560">
        <v>-12364.119999999994</v>
      </c>
      <c r="G560">
        <v>196305.82000000004</v>
      </c>
      <c r="H560">
        <v>60318.259999999987</v>
      </c>
      <c r="I560">
        <v>10084.1</v>
      </c>
      <c r="J560">
        <v>80681</v>
      </c>
      <c r="K560">
        <v>80681</v>
      </c>
      <c r="L560">
        <v>80681</v>
      </c>
      <c r="M560">
        <v>80681</v>
      </c>
      <c r="N560">
        <v>80681</v>
      </c>
      <c r="O560">
        <v>80681</v>
      </c>
      <c r="P560">
        <v>80681</v>
      </c>
      <c r="Q560">
        <v>7561.59</v>
      </c>
      <c r="R560">
        <v>-12364.119999999999</v>
      </c>
      <c r="S560">
        <v>196305.82</v>
      </c>
      <c r="T560">
        <v>60318.259999999995</v>
      </c>
      <c r="U560">
        <v>10084.100000000004</v>
      </c>
      <c r="V560">
        <v>81911.770000000019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f>SUMPRODUCT(DB_SOFProject[[#This Row],[Plan01]:[Plan12]],$E$4:$P$4)/valUnits2</f>
        <v>342.58665000000002</v>
      </c>
      <c r="AD560">
        <f>SUMPRODUCT(DB_SOFProject[[#This Row],[Act01]:[Act12]],$Q$4:$AB$4)/valUnits2</f>
        <v>343.81742000000003</v>
      </c>
      <c r="AE560">
        <f>DB_SOFProject[[#This Row],[Actual]]-DB_SOFProject[[#This Row],[Plan]]</f>
        <v>1.2307700000000068</v>
      </c>
      <c r="AF560" s="32">
        <f>IF(DB_SOFProject[[#This Row],[Plan]]&lt;&gt;0,DB_SOFProject[[#This Row],[Actual]]/DB_SOFProject[[#This Row],[Plan]],1.000011000011)</f>
        <v>1.0035925801545391</v>
      </c>
      <c r="AG560" s="34">
        <f>SUM(DB_SOFProject[[#This Row],[Plan01]:[Plan12]])/valUnits2</f>
        <v>826.67264999999998</v>
      </c>
      <c r="AH560" s="34">
        <f>SUMPRODUCT(DB_SOFProject[[#This Row],[Act01]:[Act12]],$Q$3:$AB$3)/valUnits2</f>
        <v>343.81742000000003</v>
      </c>
    </row>
    <row r="561" spans="2:34" x14ac:dyDescent="0.2">
      <c r="B561" t="s">
        <v>486</v>
      </c>
      <c r="C561" t="s">
        <v>914</v>
      </c>
      <c r="D561" t="s">
        <v>981</v>
      </c>
      <c r="G561">
        <v>559.72</v>
      </c>
      <c r="S561">
        <v>559.72</v>
      </c>
      <c r="AC561">
        <f>SUMPRODUCT(DB_SOFProject[[#This Row],[Plan01]:[Plan12]],$E$4:$P$4)/valUnits2</f>
        <v>0.55972</v>
      </c>
      <c r="AD561">
        <f>SUMPRODUCT(DB_SOFProject[[#This Row],[Act01]:[Act12]],$Q$4:$AB$4)/valUnits2</f>
        <v>0.55972</v>
      </c>
      <c r="AE561">
        <f>DB_SOFProject[[#This Row],[Actual]]-DB_SOFProject[[#This Row],[Plan]]</f>
        <v>0</v>
      </c>
      <c r="AF561" s="32">
        <f>IF(DB_SOFProject[[#This Row],[Plan]]&lt;&gt;0,DB_SOFProject[[#This Row],[Actual]]/DB_SOFProject[[#This Row],[Plan]],1.000011000011)</f>
        <v>1</v>
      </c>
      <c r="AG561" s="34">
        <f>SUM(DB_SOFProject[[#This Row],[Plan01]:[Plan12]])/valUnits2</f>
        <v>0.55972</v>
      </c>
      <c r="AH561" s="34">
        <f>SUMPRODUCT(DB_SOFProject[[#This Row],[Act01]:[Act12]],$Q$3:$AB$3)/valUnits2</f>
        <v>0.55972</v>
      </c>
    </row>
    <row r="562" spans="2:34" x14ac:dyDescent="0.2">
      <c r="B562" t="s">
        <v>486</v>
      </c>
      <c r="C562" t="s">
        <v>917</v>
      </c>
      <c r="D562" t="s">
        <v>970</v>
      </c>
      <c r="E562">
        <v>12.03</v>
      </c>
      <c r="F562">
        <v>35635.363000000005</v>
      </c>
      <c r="G562">
        <v>1484.577</v>
      </c>
      <c r="H562">
        <v>562.78399999999999</v>
      </c>
      <c r="I562">
        <v>435.65499999999997</v>
      </c>
      <c r="J562">
        <v>10713.347999999998</v>
      </c>
      <c r="K562">
        <v>4214.2910000000002</v>
      </c>
      <c r="L562">
        <v>4214.2910000000002</v>
      </c>
      <c r="M562">
        <v>4214.2910000000002</v>
      </c>
      <c r="N562">
        <v>4214.2910000000002</v>
      </c>
      <c r="O562">
        <v>4214.2910000000002</v>
      </c>
      <c r="P562">
        <v>4214.2910000000002</v>
      </c>
      <c r="Q562">
        <v>12.02</v>
      </c>
      <c r="R562">
        <v>34787.82</v>
      </c>
      <c r="S562">
        <v>1474.94</v>
      </c>
      <c r="T562">
        <v>565.65</v>
      </c>
      <c r="U562">
        <v>437.77</v>
      </c>
      <c r="V562">
        <v>17375.8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f>SUMPRODUCT(DB_SOFProject[[#This Row],[Plan01]:[Plan12]],$E$4:$P$4)/valUnits2</f>
        <v>48.843756999999997</v>
      </c>
      <c r="AD562">
        <f>SUMPRODUCT(DB_SOFProject[[#This Row],[Act01]:[Act12]],$Q$4:$AB$4)/valUnits2</f>
        <v>54.654000000000003</v>
      </c>
      <c r="AE562">
        <f>DB_SOFProject[[#This Row],[Actual]]-DB_SOFProject[[#This Row],[Plan]]</f>
        <v>5.8102430000000069</v>
      </c>
      <c r="AF562" s="32">
        <f>IF(DB_SOFProject[[#This Row],[Plan]]&lt;&gt;0,DB_SOFProject[[#This Row],[Actual]]/DB_SOFProject[[#This Row],[Plan]],1.000011000011)</f>
        <v>1.1189556937645073</v>
      </c>
      <c r="AG562" s="34">
        <f>SUM(DB_SOFProject[[#This Row],[Plan01]:[Plan12]])/valUnits2</f>
        <v>74.129502999999985</v>
      </c>
      <c r="AH562" s="34">
        <f>SUMPRODUCT(DB_SOFProject[[#This Row],[Act01]:[Act12]],$Q$3:$AB$3)/valUnits2</f>
        <v>54.654000000000003</v>
      </c>
    </row>
    <row r="563" spans="2:34" x14ac:dyDescent="0.2">
      <c r="B563" t="s">
        <v>486</v>
      </c>
      <c r="C563" t="s">
        <v>920</v>
      </c>
      <c r="D563" t="s">
        <v>981</v>
      </c>
      <c r="I563">
        <v>774.19</v>
      </c>
      <c r="U563">
        <v>774.19</v>
      </c>
      <c r="AC563">
        <f>SUMPRODUCT(DB_SOFProject[[#This Row],[Plan01]:[Plan12]],$E$4:$P$4)/valUnits2</f>
        <v>0.77419000000000004</v>
      </c>
      <c r="AD563">
        <f>SUMPRODUCT(DB_SOFProject[[#This Row],[Act01]:[Act12]],$Q$4:$AB$4)/valUnits2</f>
        <v>0.77419000000000004</v>
      </c>
      <c r="AE563">
        <f>DB_SOFProject[[#This Row],[Actual]]-DB_SOFProject[[#This Row],[Plan]]</f>
        <v>0</v>
      </c>
      <c r="AF563" s="32">
        <f>IF(DB_SOFProject[[#This Row],[Plan]]&lt;&gt;0,DB_SOFProject[[#This Row],[Actual]]/DB_SOFProject[[#This Row],[Plan]],1.000011000011)</f>
        <v>1</v>
      </c>
      <c r="AG563" s="34">
        <f>SUM(DB_SOFProject[[#This Row],[Plan01]:[Plan12]])/valUnits2</f>
        <v>0.77419000000000004</v>
      </c>
      <c r="AH563" s="34">
        <f>SUMPRODUCT(DB_SOFProject[[#This Row],[Act01]:[Act12]],$Q$3:$AB$3)/valUnits2</f>
        <v>0.77419000000000004</v>
      </c>
    </row>
    <row r="564" spans="2:34" x14ac:dyDescent="0.2">
      <c r="B564" t="s">
        <v>486</v>
      </c>
      <c r="C564" t="s">
        <v>921</v>
      </c>
      <c r="D564" t="s">
        <v>970</v>
      </c>
      <c r="E564">
        <v>3501.5160000000001</v>
      </c>
      <c r="F564">
        <v>4336.1219999999994</v>
      </c>
      <c r="G564">
        <v>3894.692</v>
      </c>
      <c r="H564">
        <v>10573.312000000002</v>
      </c>
      <c r="I564">
        <v>4979.51</v>
      </c>
      <c r="Q564">
        <v>3501.2799999999997</v>
      </c>
      <c r="R564">
        <v>4329.84</v>
      </c>
      <c r="S564">
        <v>3869.04</v>
      </c>
      <c r="T564">
        <v>10434.459999999999</v>
      </c>
      <c r="U564">
        <v>4997.68</v>
      </c>
      <c r="AC564">
        <f>SUMPRODUCT(DB_SOFProject[[#This Row],[Plan01]:[Plan12]],$E$4:$P$4)/valUnits2</f>
        <v>27.285152000000004</v>
      </c>
      <c r="AD564">
        <f>SUMPRODUCT(DB_SOFProject[[#This Row],[Act01]:[Act12]],$Q$4:$AB$4)/valUnits2</f>
        <v>27.132300000000001</v>
      </c>
      <c r="AE564">
        <f>DB_SOFProject[[#This Row],[Actual]]-DB_SOFProject[[#This Row],[Plan]]</f>
        <v>-0.15285200000000287</v>
      </c>
      <c r="AF564" s="32">
        <f>IF(DB_SOFProject[[#This Row],[Plan]]&lt;&gt;0,DB_SOFProject[[#This Row],[Actual]]/DB_SOFProject[[#This Row],[Plan]],1.000011000011)</f>
        <v>0.99439797879813885</v>
      </c>
      <c r="AG564" s="34">
        <f>SUM(DB_SOFProject[[#This Row],[Plan01]:[Plan12]])/valUnits2</f>
        <v>27.285152000000004</v>
      </c>
      <c r="AH564" s="34">
        <f>SUMPRODUCT(DB_SOFProject[[#This Row],[Act01]:[Act12]],$Q$3:$AB$3)/valUnits2</f>
        <v>27.132300000000001</v>
      </c>
    </row>
    <row r="565" spans="2:34" x14ac:dyDescent="0.2">
      <c r="B565" t="s">
        <v>486</v>
      </c>
      <c r="C565" t="s">
        <v>924</v>
      </c>
      <c r="D565" t="s">
        <v>993</v>
      </c>
      <c r="E565">
        <v>1237.7170000000001</v>
      </c>
      <c r="F565">
        <v>35113.851999999999</v>
      </c>
      <c r="G565">
        <v>1396.4089999999999</v>
      </c>
      <c r="H565">
        <v>39902.920999999995</v>
      </c>
      <c r="I565">
        <v>1930.5280000000002</v>
      </c>
      <c r="J565">
        <v>18191.547999999999</v>
      </c>
      <c r="K565">
        <v>15011.754000000001</v>
      </c>
      <c r="L565">
        <v>12982.258</v>
      </c>
      <c r="M565">
        <v>15554.333000000001</v>
      </c>
      <c r="N565">
        <v>11717.338000000002</v>
      </c>
      <c r="O565">
        <v>14066.043</v>
      </c>
      <c r="P565">
        <v>11475.655999999999</v>
      </c>
      <c r="Q565">
        <v>1218.6500000000001</v>
      </c>
      <c r="R565">
        <v>36087.75</v>
      </c>
      <c r="S565">
        <v>1409.0500000000006</v>
      </c>
      <c r="T565">
        <v>39763.08</v>
      </c>
      <c r="U565">
        <v>1917.3400000000013</v>
      </c>
      <c r="V565">
        <v>1392.9900000000021</v>
      </c>
      <c r="W565">
        <v>37226.519999999997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f>SUMPRODUCT(DB_SOFProject[[#This Row],[Plan01]:[Plan12]],$E$4:$P$4)/valUnits2</f>
        <v>97.772974999999988</v>
      </c>
      <c r="AD565">
        <f>SUMPRODUCT(DB_SOFProject[[#This Row],[Act01]:[Act12]],$Q$4:$AB$4)/valUnits2</f>
        <v>81.78886</v>
      </c>
      <c r="AE565">
        <f>DB_SOFProject[[#This Row],[Actual]]-DB_SOFProject[[#This Row],[Plan]]</f>
        <v>-15.984114999999989</v>
      </c>
      <c r="AF565" s="32">
        <f>IF(DB_SOFProject[[#This Row],[Plan]]&lt;&gt;0,DB_SOFProject[[#This Row],[Actual]]/DB_SOFProject[[#This Row],[Plan]],1.000011000011)</f>
        <v>0.83651806646979909</v>
      </c>
      <c r="AG565" s="34">
        <f>SUM(DB_SOFProject[[#This Row],[Plan01]:[Plan12]])/valUnits2</f>
        <v>178.58035699999999</v>
      </c>
      <c r="AH565" s="34">
        <f>SUMPRODUCT(DB_SOFProject[[#This Row],[Act01]:[Act12]],$Q$3:$AB$3)/valUnits2</f>
        <v>81.78886</v>
      </c>
    </row>
    <row r="566" spans="2:34" x14ac:dyDescent="0.2">
      <c r="B566" t="s">
        <v>486</v>
      </c>
      <c r="C566" t="s">
        <v>933</v>
      </c>
      <c r="D566" t="s">
        <v>970</v>
      </c>
      <c r="E566">
        <v>0</v>
      </c>
      <c r="F566">
        <v>11.280000000000001</v>
      </c>
      <c r="G566">
        <v>0</v>
      </c>
      <c r="H566">
        <v>1087.1799999999998</v>
      </c>
      <c r="I566">
        <v>1039.8500000000001</v>
      </c>
      <c r="J566">
        <v>15428.250999999998</v>
      </c>
      <c r="K566">
        <v>15428.250999999998</v>
      </c>
      <c r="L566">
        <v>15428.250999999998</v>
      </c>
      <c r="M566">
        <v>15428.250999999998</v>
      </c>
      <c r="N566">
        <v>15428.250999999998</v>
      </c>
      <c r="O566">
        <v>15428.250999999998</v>
      </c>
      <c r="P566">
        <v>15428.250999999998</v>
      </c>
      <c r="Q566">
        <v>0</v>
      </c>
      <c r="R566">
        <v>11.280000000000001</v>
      </c>
      <c r="S566">
        <v>0</v>
      </c>
      <c r="T566">
        <v>1087.18</v>
      </c>
      <c r="U566">
        <v>1039.8500000000001</v>
      </c>
      <c r="V566">
        <v>1159.47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f>SUMPRODUCT(DB_SOFProject[[#This Row],[Plan01]:[Plan12]],$E$4:$P$4)/valUnits2</f>
        <v>17.566560999999997</v>
      </c>
      <c r="AD566">
        <f>SUMPRODUCT(DB_SOFProject[[#This Row],[Act01]:[Act12]],$Q$4:$AB$4)/valUnits2</f>
        <v>3.2977800000000008</v>
      </c>
      <c r="AE566">
        <f>DB_SOFProject[[#This Row],[Actual]]-DB_SOFProject[[#This Row],[Plan]]</f>
        <v>-14.268780999999995</v>
      </c>
      <c r="AF566" s="32">
        <f>IF(DB_SOFProject[[#This Row],[Plan]]&lt;&gt;0,DB_SOFProject[[#This Row],[Actual]]/DB_SOFProject[[#This Row],[Plan]],1.000011000011)</f>
        <v>0.18773054099775144</v>
      </c>
      <c r="AG566" s="34">
        <f>SUM(DB_SOFProject[[#This Row],[Plan01]:[Plan12]])/valUnits2</f>
        <v>110.136067</v>
      </c>
      <c r="AH566" s="34">
        <f>SUMPRODUCT(DB_SOFProject[[#This Row],[Act01]:[Act12]],$Q$3:$AB$3)/valUnits2</f>
        <v>3.2977800000000008</v>
      </c>
    </row>
    <row r="567" spans="2:34" x14ac:dyDescent="0.2">
      <c r="B567" t="s">
        <v>486</v>
      </c>
      <c r="C567" t="s">
        <v>935</v>
      </c>
      <c r="D567" t="s">
        <v>981</v>
      </c>
      <c r="E567">
        <v>206122.92199999985</v>
      </c>
      <c r="F567">
        <v>466811.75699999993</v>
      </c>
      <c r="G567">
        <v>258729.29500000007</v>
      </c>
      <c r="H567">
        <v>379156.32899999985</v>
      </c>
      <c r="I567">
        <v>204923.70900000021</v>
      </c>
      <c r="J567">
        <v>268840.46800000017</v>
      </c>
      <c r="K567">
        <v>268840.46800000017</v>
      </c>
      <c r="L567">
        <v>215962.99899999992</v>
      </c>
      <c r="M567">
        <v>215962.99900000001</v>
      </c>
      <c r="N567">
        <v>215962.99900000004</v>
      </c>
      <c r="O567">
        <v>215962.99900000004</v>
      </c>
      <c r="P567">
        <v>228875.01800000001</v>
      </c>
      <c r="Q567">
        <v>209143.62</v>
      </c>
      <c r="R567">
        <v>483719.53000000009</v>
      </c>
      <c r="S567">
        <v>258212.7399999999</v>
      </c>
      <c r="T567">
        <v>374190.04000000021</v>
      </c>
      <c r="U567">
        <v>204641.57000000012</v>
      </c>
      <c r="V567">
        <v>411393.24999999983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f>SUMPRODUCT(DB_SOFProject[[#This Row],[Plan01]:[Plan12]],$E$4:$P$4)/valUnits2</f>
        <v>1784.58448</v>
      </c>
      <c r="AD567">
        <f>SUMPRODUCT(DB_SOFProject[[#This Row],[Act01]:[Act12]],$Q$4:$AB$4)/valUnits2</f>
        <v>1941.3007500000001</v>
      </c>
      <c r="AE567">
        <f>DB_SOFProject[[#This Row],[Actual]]-DB_SOFProject[[#This Row],[Plan]]</f>
        <v>156.71627000000012</v>
      </c>
      <c r="AF567" s="32">
        <f>IF(DB_SOFProject[[#This Row],[Plan]]&lt;&gt;0,DB_SOFProject[[#This Row],[Actual]]/DB_SOFProject[[#This Row],[Plan]],1.000011000011)</f>
        <v>1.0878166720356104</v>
      </c>
      <c r="AG567" s="34">
        <f>SUM(DB_SOFProject[[#This Row],[Plan01]:[Plan12]])/valUnits2</f>
        <v>3146.1519619999999</v>
      </c>
      <c r="AH567" s="34">
        <f>SUMPRODUCT(DB_SOFProject[[#This Row],[Act01]:[Act12]],$Q$3:$AB$3)/valUnits2</f>
        <v>1941.3007500000001</v>
      </c>
    </row>
    <row r="568" spans="2:34" x14ac:dyDescent="0.2">
      <c r="B568" t="s">
        <v>487</v>
      </c>
      <c r="C568" t="s">
        <v>843</v>
      </c>
      <c r="D568" t="s">
        <v>983</v>
      </c>
      <c r="H568">
        <v>460.18400000000003</v>
      </c>
      <c r="I568">
        <v>418.95699999999999</v>
      </c>
      <c r="J568">
        <v>24559.218000000001</v>
      </c>
      <c r="K568">
        <v>24559.218000000001</v>
      </c>
      <c r="L568">
        <v>24559.217999999997</v>
      </c>
      <c r="M568">
        <v>24559.217999999997</v>
      </c>
      <c r="N568">
        <v>24559.217999999997</v>
      </c>
      <c r="O568">
        <v>24559.217999999997</v>
      </c>
      <c r="P568">
        <v>24559.217999999993</v>
      </c>
      <c r="T568">
        <v>445.75</v>
      </c>
      <c r="U568">
        <v>413.97999999999996</v>
      </c>
      <c r="V568">
        <v>88187.769999999975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f>SUMPRODUCT(DB_SOFProject[[#This Row],[Plan01]:[Plan12]],$E$4:$P$4)/valUnits2</f>
        <v>25.438359000000002</v>
      </c>
      <c r="AD568">
        <f>SUMPRODUCT(DB_SOFProject[[#This Row],[Act01]:[Act12]],$Q$4:$AB$4)/valUnits2</f>
        <v>89.047499999999971</v>
      </c>
      <c r="AE568">
        <f>DB_SOFProject[[#This Row],[Actual]]-DB_SOFProject[[#This Row],[Plan]]</f>
        <v>63.609140999999966</v>
      </c>
      <c r="AF568" s="32">
        <f>IF(DB_SOFProject[[#This Row],[Plan]]&lt;&gt;0,DB_SOFProject[[#This Row],[Actual]]/DB_SOFProject[[#This Row],[Plan]],1.000011000011)</f>
        <v>3.500520611412079</v>
      </c>
      <c r="AG568" s="34">
        <f>SUM(DB_SOFProject[[#This Row],[Plan01]:[Plan12]])/valUnits2</f>
        <v>172.793667</v>
      </c>
      <c r="AH568" s="34">
        <f>SUMPRODUCT(DB_SOFProject[[#This Row],[Act01]:[Act12]],$Q$3:$AB$3)/valUnits2</f>
        <v>89.047499999999971</v>
      </c>
    </row>
    <row r="569" spans="2:34" x14ac:dyDescent="0.2">
      <c r="B569" t="s">
        <v>487</v>
      </c>
      <c r="C569" t="s">
        <v>844</v>
      </c>
      <c r="D569" t="s">
        <v>943</v>
      </c>
      <c r="E569">
        <v>0</v>
      </c>
      <c r="F569">
        <v>0</v>
      </c>
      <c r="G569">
        <v>47542.697999999997</v>
      </c>
      <c r="Q569">
        <v>0</v>
      </c>
      <c r="R569">
        <v>0</v>
      </c>
      <c r="S569">
        <v>47549.440000000002</v>
      </c>
      <c r="AC569">
        <f>SUMPRODUCT(DB_SOFProject[[#This Row],[Plan01]:[Plan12]],$E$4:$P$4)/valUnits2</f>
        <v>47.542697999999994</v>
      </c>
      <c r="AD569">
        <f>SUMPRODUCT(DB_SOFProject[[#This Row],[Act01]:[Act12]],$Q$4:$AB$4)/valUnits2</f>
        <v>47.549440000000004</v>
      </c>
      <c r="AE569">
        <f>DB_SOFProject[[#This Row],[Actual]]-DB_SOFProject[[#This Row],[Plan]]</f>
        <v>6.7420000000097957E-3</v>
      </c>
      <c r="AF569" s="32">
        <f>IF(DB_SOFProject[[#This Row],[Plan]]&lt;&gt;0,DB_SOFProject[[#This Row],[Actual]]/DB_SOFProject[[#This Row],[Plan]],1.000011000011)</f>
        <v>1.0001418093689174</v>
      </c>
      <c r="AG569" s="34">
        <f>SUM(DB_SOFProject[[#This Row],[Plan01]:[Plan12]])/valUnits2</f>
        <v>47.542697999999994</v>
      </c>
      <c r="AH569" s="34">
        <f>SUMPRODUCT(DB_SOFProject[[#This Row],[Act01]:[Act12]],$Q$3:$AB$3)/valUnits2</f>
        <v>47.549440000000004</v>
      </c>
    </row>
    <row r="570" spans="2:34" x14ac:dyDescent="0.2">
      <c r="B570" t="s">
        <v>487</v>
      </c>
      <c r="C570" t="s">
        <v>845</v>
      </c>
      <c r="D570" t="s">
        <v>943</v>
      </c>
      <c r="J570">
        <v>0</v>
      </c>
      <c r="V570">
        <v>580.27</v>
      </c>
      <c r="AC570">
        <f>SUMPRODUCT(DB_SOFProject[[#This Row],[Plan01]:[Plan12]],$E$4:$P$4)/valUnits2</f>
        <v>0</v>
      </c>
      <c r="AD570">
        <f>SUMPRODUCT(DB_SOFProject[[#This Row],[Act01]:[Act12]],$Q$4:$AB$4)/valUnits2</f>
        <v>0.58026999999999995</v>
      </c>
      <c r="AE570">
        <f>DB_SOFProject[[#This Row],[Actual]]-DB_SOFProject[[#This Row],[Plan]]</f>
        <v>0.58026999999999995</v>
      </c>
      <c r="AF570" s="32">
        <f>IF(DB_SOFProject[[#This Row],[Plan]]&lt;&gt;0,DB_SOFProject[[#This Row],[Actual]]/DB_SOFProject[[#This Row],[Plan]],1.000011000011)</f>
        <v>1.0000110000110001</v>
      </c>
      <c r="AG570" s="34">
        <f>SUM(DB_SOFProject[[#This Row],[Plan01]:[Plan12]])/valUnits2</f>
        <v>0</v>
      </c>
      <c r="AH570" s="34">
        <f>SUMPRODUCT(DB_SOFProject[[#This Row],[Act01]:[Act12]],$Q$3:$AB$3)/valUnits2</f>
        <v>0.58026999999999995</v>
      </c>
    </row>
    <row r="571" spans="2:34" x14ac:dyDescent="0.2">
      <c r="B571" t="s">
        <v>487</v>
      </c>
      <c r="C571" t="s">
        <v>845</v>
      </c>
      <c r="D571" t="s">
        <v>983</v>
      </c>
      <c r="I571">
        <v>6959.3499999999995</v>
      </c>
      <c r="J571">
        <v>0</v>
      </c>
      <c r="U571">
        <v>6959.35</v>
      </c>
      <c r="V571">
        <v>12265.57</v>
      </c>
      <c r="AC571">
        <f>SUMPRODUCT(DB_SOFProject[[#This Row],[Plan01]:[Plan12]],$E$4:$P$4)/valUnits2</f>
        <v>6.9593499999999997</v>
      </c>
      <c r="AD571">
        <f>SUMPRODUCT(DB_SOFProject[[#This Row],[Act01]:[Act12]],$Q$4:$AB$4)/valUnits2</f>
        <v>19.224919999999997</v>
      </c>
      <c r="AE571">
        <f>DB_SOFProject[[#This Row],[Actual]]-DB_SOFProject[[#This Row],[Plan]]</f>
        <v>12.265569999999997</v>
      </c>
      <c r="AF571" s="32">
        <f>IF(DB_SOFProject[[#This Row],[Plan]]&lt;&gt;0,DB_SOFProject[[#This Row],[Actual]]/DB_SOFProject[[#This Row],[Plan]],1.000011000011)</f>
        <v>2.7624591377068257</v>
      </c>
      <c r="AG571" s="34">
        <f>SUM(DB_SOFProject[[#This Row],[Plan01]:[Plan12]])/valUnits2</f>
        <v>6.9593499999999997</v>
      </c>
      <c r="AH571" s="34">
        <f>SUMPRODUCT(DB_SOFProject[[#This Row],[Act01]:[Act12]],$Q$3:$AB$3)/valUnits2</f>
        <v>19.224919999999997</v>
      </c>
    </row>
    <row r="572" spans="2:34" x14ac:dyDescent="0.2">
      <c r="B572" t="s">
        <v>487</v>
      </c>
      <c r="C572" t="s">
        <v>353</v>
      </c>
      <c r="D572" t="s">
        <v>943</v>
      </c>
      <c r="E572">
        <v>65548.173999999999</v>
      </c>
      <c r="F572">
        <v>1503.0729999999849</v>
      </c>
      <c r="G572">
        <v>171218.26500000004</v>
      </c>
      <c r="H572">
        <v>178249.39300000007</v>
      </c>
      <c r="I572">
        <v>12185.548000000046</v>
      </c>
      <c r="J572">
        <v>90653.274999999994</v>
      </c>
      <c r="Q572">
        <v>63977.509999999987</v>
      </c>
      <c r="R572">
        <v>1543.0999999999767</v>
      </c>
      <c r="S572">
        <v>174578.84999999998</v>
      </c>
      <c r="T572">
        <v>178260.62999999998</v>
      </c>
      <c r="U572">
        <v>12215.610000000015</v>
      </c>
      <c r="V572">
        <v>56348.23</v>
      </c>
      <c r="AC572">
        <f>SUMPRODUCT(DB_SOFProject[[#This Row],[Plan01]:[Plan12]],$E$4:$P$4)/valUnits2</f>
        <v>519.35772800000018</v>
      </c>
      <c r="AD572">
        <f>SUMPRODUCT(DB_SOFProject[[#This Row],[Act01]:[Act12]],$Q$4:$AB$4)/valUnits2</f>
        <v>486.92392999999993</v>
      </c>
      <c r="AE572">
        <f>DB_SOFProject[[#This Row],[Actual]]-DB_SOFProject[[#This Row],[Plan]]</f>
        <v>-32.433798000000252</v>
      </c>
      <c r="AF572" s="32">
        <f>IF(DB_SOFProject[[#This Row],[Plan]]&lt;&gt;0,DB_SOFProject[[#This Row],[Actual]]/DB_SOFProject[[#This Row],[Plan]],1.000011000011)</f>
        <v>0.93755017736060287</v>
      </c>
      <c r="AG572" s="34">
        <f>SUM(DB_SOFProject[[#This Row],[Plan01]:[Plan12]])/valUnits2</f>
        <v>519.35772800000018</v>
      </c>
      <c r="AH572" s="34">
        <f>SUMPRODUCT(DB_SOFProject[[#This Row],[Act01]:[Act12]],$Q$3:$AB$3)/valUnits2</f>
        <v>486.92392999999993</v>
      </c>
    </row>
    <row r="573" spans="2:34" x14ac:dyDescent="0.2">
      <c r="B573" t="s">
        <v>487</v>
      </c>
      <c r="C573" t="s">
        <v>854</v>
      </c>
      <c r="D573" t="s">
        <v>940</v>
      </c>
      <c r="E573">
        <v>10.851000000000001</v>
      </c>
      <c r="F573">
        <v>387.96699999999998</v>
      </c>
      <c r="G573">
        <v>140.29400000000001</v>
      </c>
      <c r="H573">
        <v>9715.5190000000002</v>
      </c>
      <c r="I573">
        <v>1785.4860000000001</v>
      </c>
      <c r="J573">
        <v>1880.8790000000001</v>
      </c>
      <c r="K573">
        <v>1880.8790000000001</v>
      </c>
      <c r="L573">
        <v>1880.8790000000001</v>
      </c>
      <c r="M573">
        <v>1880.8790000000001</v>
      </c>
      <c r="N573">
        <v>1880.8790000000001</v>
      </c>
      <c r="O573">
        <v>1880.8790000000001</v>
      </c>
      <c r="P573">
        <v>1880.8790000000001</v>
      </c>
      <c r="Q573">
        <v>10.9</v>
      </c>
      <c r="R573">
        <v>395.52</v>
      </c>
      <c r="S573">
        <v>139.77000000000001</v>
      </c>
      <c r="T573">
        <v>9751.92</v>
      </c>
      <c r="U573">
        <v>1809.73</v>
      </c>
      <c r="V573">
        <v>-250.13000000000008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f>SUMPRODUCT(DB_SOFProject[[#This Row],[Plan01]:[Plan12]],$E$4:$P$4)/valUnits2</f>
        <v>13.920996000000001</v>
      </c>
      <c r="AD573">
        <f>SUMPRODUCT(DB_SOFProject[[#This Row],[Act01]:[Act12]],$Q$4:$AB$4)/valUnits2</f>
        <v>11.857710000000001</v>
      </c>
      <c r="AE573">
        <f>DB_SOFProject[[#This Row],[Actual]]-DB_SOFProject[[#This Row],[Plan]]</f>
        <v>-2.0632859999999997</v>
      </c>
      <c r="AF573" s="32">
        <f>IF(DB_SOFProject[[#This Row],[Plan]]&lt;&gt;0,DB_SOFProject[[#This Row],[Actual]]/DB_SOFProject[[#This Row],[Plan]],1.000011000011)</f>
        <v>0.85178603599914837</v>
      </c>
      <c r="AG573" s="34">
        <f>SUM(DB_SOFProject[[#This Row],[Plan01]:[Plan12]])/valUnits2</f>
        <v>25.206270000000004</v>
      </c>
      <c r="AH573" s="34">
        <f>SUMPRODUCT(DB_SOFProject[[#This Row],[Act01]:[Act12]],$Q$3:$AB$3)/valUnits2</f>
        <v>11.857710000000001</v>
      </c>
    </row>
    <row r="574" spans="2:34" x14ac:dyDescent="0.2">
      <c r="B574" t="s">
        <v>487</v>
      </c>
      <c r="C574" t="s">
        <v>364</v>
      </c>
      <c r="D574" t="s">
        <v>983</v>
      </c>
      <c r="E574">
        <v>11.88</v>
      </c>
      <c r="F574">
        <v>9.1999999999999993</v>
      </c>
      <c r="G574">
        <v>7.83</v>
      </c>
      <c r="H574">
        <v>0</v>
      </c>
      <c r="I574">
        <v>72.399999999999991</v>
      </c>
      <c r="J574">
        <v>3505.6389999999997</v>
      </c>
      <c r="K574">
        <v>3505.6389999999997</v>
      </c>
      <c r="L574">
        <v>1749.9290000000001</v>
      </c>
      <c r="Q574">
        <v>11.88</v>
      </c>
      <c r="R574">
        <v>9.1999999999999993</v>
      </c>
      <c r="S574">
        <v>7.83</v>
      </c>
      <c r="T574">
        <v>0</v>
      </c>
      <c r="U574">
        <v>72.400000000000006</v>
      </c>
      <c r="V574">
        <v>0</v>
      </c>
      <c r="W574">
        <v>0</v>
      </c>
      <c r="X574">
        <v>0</v>
      </c>
      <c r="AC574">
        <f>SUMPRODUCT(DB_SOFProject[[#This Row],[Plan01]:[Plan12]],$E$4:$P$4)/valUnits2</f>
        <v>3.6069489999999997</v>
      </c>
      <c r="AD574">
        <f>SUMPRODUCT(DB_SOFProject[[#This Row],[Act01]:[Act12]],$Q$4:$AB$4)/valUnits2</f>
        <v>0.10131</v>
      </c>
      <c r="AE574">
        <f>DB_SOFProject[[#This Row],[Actual]]-DB_SOFProject[[#This Row],[Plan]]</f>
        <v>-3.5056389999999999</v>
      </c>
      <c r="AF574" s="32">
        <f>IF(DB_SOFProject[[#This Row],[Plan]]&lt;&gt;0,DB_SOFProject[[#This Row],[Actual]]/DB_SOFProject[[#This Row],[Plan]],1.000011000011)</f>
        <v>2.8087450085931352E-2</v>
      </c>
      <c r="AG574" s="34">
        <f>SUM(DB_SOFProject[[#This Row],[Plan01]:[Plan12]])/valUnits2</f>
        <v>8.8625170000000004</v>
      </c>
      <c r="AH574" s="34">
        <f>SUMPRODUCT(DB_SOFProject[[#This Row],[Act01]:[Act12]],$Q$3:$AB$3)/valUnits2</f>
        <v>0.10131</v>
      </c>
    </row>
    <row r="575" spans="2:34" x14ac:dyDescent="0.2">
      <c r="B575" t="s">
        <v>487</v>
      </c>
      <c r="C575" t="s">
        <v>364</v>
      </c>
      <c r="D575" t="s">
        <v>994</v>
      </c>
      <c r="E575">
        <v>49.540000000000006</v>
      </c>
      <c r="Q575">
        <v>49.54</v>
      </c>
      <c r="AC575">
        <f>SUMPRODUCT(DB_SOFProject[[#This Row],[Plan01]:[Plan12]],$E$4:$P$4)/valUnits2</f>
        <v>4.9540000000000008E-2</v>
      </c>
      <c r="AD575">
        <f>SUMPRODUCT(DB_SOFProject[[#This Row],[Act01]:[Act12]],$Q$4:$AB$4)/valUnits2</f>
        <v>4.9540000000000001E-2</v>
      </c>
      <c r="AE575">
        <f>DB_SOFProject[[#This Row],[Actual]]-DB_SOFProject[[#This Row],[Plan]]</f>
        <v>0</v>
      </c>
      <c r="AF575" s="32">
        <f>IF(DB_SOFProject[[#This Row],[Plan]]&lt;&gt;0,DB_SOFProject[[#This Row],[Actual]]/DB_SOFProject[[#This Row],[Plan]],1.000011000011)</f>
        <v>0.99999999999999989</v>
      </c>
      <c r="AG575" s="34">
        <f>SUM(DB_SOFProject[[#This Row],[Plan01]:[Plan12]])/valUnits2</f>
        <v>4.9540000000000008E-2</v>
      </c>
      <c r="AH575" s="34">
        <f>SUMPRODUCT(DB_SOFProject[[#This Row],[Act01]:[Act12]],$Q$3:$AB$3)/valUnits2</f>
        <v>4.9540000000000001E-2</v>
      </c>
    </row>
    <row r="576" spans="2:34" x14ac:dyDescent="0.2">
      <c r="B576" t="s">
        <v>487</v>
      </c>
      <c r="C576" t="s">
        <v>864</v>
      </c>
      <c r="D576" t="s">
        <v>943</v>
      </c>
      <c r="E576">
        <v>0</v>
      </c>
      <c r="G576">
        <v>22651.826999999997</v>
      </c>
      <c r="H576">
        <v>-63.133000000000003</v>
      </c>
      <c r="Q576">
        <v>0</v>
      </c>
      <c r="S576">
        <v>23984.86</v>
      </c>
      <c r="T576">
        <v>-65.539999999999992</v>
      </c>
      <c r="AC576">
        <f>SUMPRODUCT(DB_SOFProject[[#This Row],[Plan01]:[Plan12]],$E$4:$P$4)/valUnits2</f>
        <v>22.588693999999997</v>
      </c>
      <c r="AD576">
        <f>SUMPRODUCT(DB_SOFProject[[#This Row],[Act01]:[Act12]],$Q$4:$AB$4)/valUnits2</f>
        <v>23.919319999999999</v>
      </c>
      <c r="AE576">
        <f>DB_SOFProject[[#This Row],[Actual]]-DB_SOFProject[[#This Row],[Plan]]</f>
        <v>1.3306260000000023</v>
      </c>
      <c r="AF576" s="32">
        <f>IF(DB_SOFProject[[#This Row],[Plan]]&lt;&gt;0,DB_SOFProject[[#This Row],[Actual]]/DB_SOFProject[[#This Row],[Plan]],1.000011000011)</f>
        <v>1.0589067256389415</v>
      </c>
      <c r="AG576" s="34">
        <f>SUM(DB_SOFProject[[#This Row],[Plan01]:[Plan12]])/valUnits2</f>
        <v>22.588693999999997</v>
      </c>
      <c r="AH576" s="34">
        <f>SUMPRODUCT(DB_SOFProject[[#This Row],[Act01]:[Act12]],$Q$3:$AB$3)/valUnits2</f>
        <v>23.919319999999999</v>
      </c>
    </row>
    <row r="577" spans="2:34" x14ac:dyDescent="0.2">
      <c r="B577" t="s">
        <v>487</v>
      </c>
      <c r="C577" t="s">
        <v>355</v>
      </c>
      <c r="D577" t="s">
        <v>985</v>
      </c>
      <c r="E577">
        <v>12091.820000000002</v>
      </c>
      <c r="F577">
        <v>8769.2499999999982</v>
      </c>
      <c r="G577">
        <v>349.80899999999895</v>
      </c>
      <c r="H577">
        <v>1522.309</v>
      </c>
      <c r="I577">
        <v>599.36400000000049</v>
      </c>
      <c r="J577">
        <v>10359.532999999999</v>
      </c>
      <c r="Q577">
        <v>12206.119999999999</v>
      </c>
      <c r="R577">
        <v>8939.9599999999991</v>
      </c>
      <c r="S577">
        <v>345.81</v>
      </c>
      <c r="T577">
        <v>1538.4500000000003</v>
      </c>
      <c r="U577">
        <v>641.72999999999956</v>
      </c>
      <c r="V577">
        <v>0</v>
      </c>
      <c r="AC577">
        <f>SUMPRODUCT(DB_SOFProject[[#This Row],[Plan01]:[Plan12]],$E$4:$P$4)/valUnits2</f>
        <v>33.692084999999999</v>
      </c>
      <c r="AD577">
        <f>SUMPRODUCT(DB_SOFProject[[#This Row],[Act01]:[Act12]],$Q$4:$AB$4)/valUnits2</f>
        <v>23.672069999999998</v>
      </c>
      <c r="AE577">
        <f>DB_SOFProject[[#This Row],[Actual]]-DB_SOFProject[[#This Row],[Plan]]</f>
        <v>-10.020015000000001</v>
      </c>
      <c r="AF577" s="32">
        <f>IF(DB_SOFProject[[#This Row],[Plan]]&lt;&gt;0,DB_SOFProject[[#This Row],[Actual]]/DB_SOFProject[[#This Row],[Plan]],1.000011000011)</f>
        <v>0.70260032883094048</v>
      </c>
      <c r="AG577" s="34">
        <f>SUM(DB_SOFProject[[#This Row],[Plan01]:[Plan12]])/valUnits2</f>
        <v>33.692084999999999</v>
      </c>
      <c r="AH577" s="34">
        <f>SUMPRODUCT(DB_SOFProject[[#This Row],[Act01]:[Act12]],$Q$3:$AB$3)/valUnits2</f>
        <v>23.672069999999998</v>
      </c>
    </row>
    <row r="578" spans="2:34" x14ac:dyDescent="0.2">
      <c r="B578" t="s">
        <v>487</v>
      </c>
      <c r="C578" t="s">
        <v>866</v>
      </c>
      <c r="D578" t="s">
        <v>978</v>
      </c>
      <c r="H578">
        <v>65.539999999999992</v>
      </c>
      <c r="I578">
        <v>2562.48</v>
      </c>
      <c r="J578">
        <v>0</v>
      </c>
      <c r="T578">
        <v>65.539999999999992</v>
      </c>
      <c r="U578">
        <v>2562.48</v>
      </c>
      <c r="V578">
        <v>-2398.81</v>
      </c>
      <c r="AC578">
        <f>SUMPRODUCT(DB_SOFProject[[#This Row],[Plan01]:[Plan12]],$E$4:$P$4)/valUnits2</f>
        <v>2.6280199999999998</v>
      </c>
      <c r="AD578">
        <f>SUMPRODUCT(DB_SOFProject[[#This Row],[Act01]:[Act12]],$Q$4:$AB$4)/valUnits2</f>
        <v>0.22921000000000002</v>
      </c>
      <c r="AE578">
        <f>DB_SOFProject[[#This Row],[Actual]]-DB_SOFProject[[#This Row],[Plan]]</f>
        <v>-2.3988099999999997</v>
      </c>
      <c r="AF578" s="32">
        <f>IF(DB_SOFProject[[#This Row],[Plan]]&lt;&gt;0,DB_SOFProject[[#This Row],[Actual]]/DB_SOFProject[[#This Row],[Plan]],1.000011000011)</f>
        <v>8.7217753289548797E-2</v>
      </c>
      <c r="AG578" s="34">
        <f>SUM(DB_SOFProject[[#This Row],[Plan01]:[Plan12]])/valUnits2</f>
        <v>2.6280199999999998</v>
      </c>
      <c r="AH578" s="34">
        <f>SUMPRODUCT(DB_SOFProject[[#This Row],[Act01]:[Act12]],$Q$3:$AB$3)/valUnits2</f>
        <v>0.22921000000000002</v>
      </c>
    </row>
    <row r="579" spans="2:34" x14ac:dyDescent="0.2">
      <c r="B579" t="s">
        <v>487</v>
      </c>
      <c r="C579" t="s">
        <v>867</v>
      </c>
      <c r="D579" t="s">
        <v>943</v>
      </c>
      <c r="I579">
        <v>103.25999999999999</v>
      </c>
      <c r="J579">
        <v>0</v>
      </c>
      <c r="U579">
        <v>103.25999999999999</v>
      </c>
      <c r="V579">
        <v>43629.989999999991</v>
      </c>
      <c r="AC579">
        <f>SUMPRODUCT(DB_SOFProject[[#This Row],[Plan01]:[Plan12]],$E$4:$P$4)/valUnits2</f>
        <v>0.10325999999999999</v>
      </c>
      <c r="AD579">
        <f>SUMPRODUCT(DB_SOFProject[[#This Row],[Act01]:[Act12]],$Q$4:$AB$4)/valUnits2</f>
        <v>43.733249999999991</v>
      </c>
      <c r="AE579">
        <f>DB_SOFProject[[#This Row],[Actual]]-DB_SOFProject[[#This Row],[Plan]]</f>
        <v>43.629989999999992</v>
      </c>
      <c r="AF579" s="32">
        <f>IF(DB_SOFProject[[#This Row],[Plan]]&lt;&gt;0,DB_SOFProject[[#This Row],[Actual]]/DB_SOFProject[[#This Row],[Plan]],1.000011000011)</f>
        <v>423.52556653108655</v>
      </c>
      <c r="AG579" s="34">
        <f>SUM(DB_SOFProject[[#This Row],[Plan01]:[Plan12]])/valUnits2</f>
        <v>0.10325999999999999</v>
      </c>
      <c r="AH579" s="34">
        <f>SUMPRODUCT(DB_SOFProject[[#This Row],[Act01]:[Act12]],$Q$3:$AB$3)/valUnits2</f>
        <v>43.733249999999991</v>
      </c>
    </row>
    <row r="580" spans="2:34" x14ac:dyDescent="0.2">
      <c r="B580" t="s">
        <v>487</v>
      </c>
      <c r="C580" t="s">
        <v>869</v>
      </c>
      <c r="D580" t="s">
        <v>983</v>
      </c>
      <c r="E580">
        <v>5424.07</v>
      </c>
      <c r="F580">
        <v>21944.58</v>
      </c>
      <c r="G580">
        <v>19597.27</v>
      </c>
      <c r="H580">
        <v>6234.47</v>
      </c>
      <c r="I580">
        <v>27362.36</v>
      </c>
      <c r="J580">
        <v>3393.5</v>
      </c>
      <c r="K580">
        <v>3394.5</v>
      </c>
      <c r="L580">
        <v>3395.5</v>
      </c>
      <c r="M580">
        <v>3396.5</v>
      </c>
      <c r="N580">
        <v>18625.5</v>
      </c>
      <c r="O580">
        <v>3398.5</v>
      </c>
      <c r="P580">
        <v>3399.5</v>
      </c>
      <c r="Q580">
        <v>5424.0700000000015</v>
      </c>
      <c r="R580">
        <v>21944.580000000005</v>
      </c>
      <c r="S580">
        <v>19597.269999999997</v>
      </c>
      <c r="T580">
        <v>6234.4699999999993</v>
      </c>
      <c r="U580">
        <v>27362.36</v>
      </c>
      <c r="V580">
        <v>6033.5099999999993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f>SUMPRODUCT(DB_SOFProject[[#This Row],[Plan01]:[Plan12]],$E$4:$P$4)/valUnits2</f>
        <v>83.956249999999997</v>
      </c>
      <c r="AD580">
        <f>SUMPRODUCT(DB_SOFProject[[#This Row],[Act01]:[Act12]],$Q$4:$AB$4)/valUnits2</f>
        <v>86.596260000000001</v>
      </c>
      <c r="AE580">
        <f>DB_SOFProject[[#This Row],[Actual]]-DB_SOFProject[[#This Row],[Plan]]</f>
        <v>2.6400100000000037</v>
      </c>
      <c r="AF580" s="32">
        <f>IF(DB_SOFProject[[#This Row],[Plan]]&lt;&gt;0,DB_SOFProject[[#This Row],[Actual]]/DB_SOFProject[[#This Row],[Plan]],1.000011000011)</f>
        <v>1.0314450681158343</v>
      </c>
      <c r="AG580" s="34">
        <f>SUM(DB_SOFProject[[#This Row],[Plan01]:[Plan12]])/valUnits2</f>
        <v>119.56625</v>
      </c>
      <c r="AH580" s="34">
        <f>SUMPRODUCT(DB_SOFProject[[#This Row],[Act01]:[Act12]],$Q$3:$AB$3)/valUnits2</f>
        <v>86.596260000000001</v>
      </c>
    </row>
    <row r="581" spans="2:34" x14ac:dyDescent="0.2">
      <c r="B581" t="s">
        <v>487</v>
      </c>
      <c r="C581" t="s">
        <v>884</v>
      </c>
      <c r="D581" t="s">
        <v>983</v>
      </c>
      <c r="E581">
        <v>3275.7400000000002</v>
      </c>
      <c r="F581">
        <v>5080.12</v>
      </c>
      <c r="G581">
        <v>3130.75</v>
      </c>
      <c r="H581">
        <v>2347</v>
      </c>
      <c r="I581">
        <v>-2098.6099999999997</v>
      </c>
      <c r="J581">
        <v>2347</v>
      </c>
      <c r="K581">
        <v>2347</v>
      </c>
      <c r="L581">
        <v>2347</v>
      </c>
      <c r="M581">
        <v>2347</v>
      </c>
      <c r="N581">
        <v>2347</v>
      </c>
      <c r="O581">
        <v>2347</v>
      </c>
      <c r="P581">
        <v>2350</v>
      </c>
      <c r="Q581">
        <v>928.74</v>
      </c>
      <c r="R581">
        <v>2733.12</v>
      </c>
      <c r="S581">
        <v>783.75</v>
      </c>
      <c r="T581">
        <v>0</v>
      </c>
      <c r="U581">
        <v>-4445.6099999999997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f>SUMPRODUCT(DB_SOFProject[[#This Row],[Plan01]:[Plan12]],$E$4:$P$4)/valUnits2</f>
        <v>14.082000000000001</v>
      </c>
      <c r="AD581">
        <f>SUMPRODUCT(DB_SOFProject[[#This Row],[Act01]:[Act12]],$Q$4:$AB$4)/valUnits2</f>
        <v>0</v>
      </c>
      <c r="AE581">
        <f>DB_SOFProject[[#This Row],[Actual]]-DB_SOFProject[[#This Row],[Plan]]</f>
        <v>-14.082000000000001</v>
      </c>
      <c r="AF581" s="32">
        <f>IF(DB_SOFProject[[#This Row],[Plan]]&lt;&gt;0,DB_SOFProject[[#This Row],[Actual]]/DB_SOFProject[[#This Row],[Plan]],1.000011000011)</f>
        <v>0</v>
      </c>
      <c r="AG581" s="34">
        <f>SUM(DB_SOFProject[[#This Row],[Plan01]:[Plan12]])/valUnits2</f>
        <v>28.167000000000002</v>
      </c>
      <c r="AH581" s="34">
        <f>SUMPRODUCT(DB_SOFProject[[#This Row],[Act01]:[Act12]],$Q$3:$AB$3)/valUnits2</f>
        <v>0</v>
      </c>
    </row>
    <row r="582" spans="2:34" x14ac:dyDescent="0.2">
      <c r="B582" t="s">
        <v>487</v>
      </c>
      <c r="C582" t="s">
        <v>893</v>
      </c>
      <c r="D582" t="s">
        <v>943</v>
      </c>
      <c r="E582">
        <v>437.839</v>
      </c>
      <c r="F582">
        <v>0</v>
      </c>
      <c r="G582">
        <v>1069.7939999999999</v>
      </c>
      <c r="Q582">
        <v>436.6</v>
      </c>
      <c r="R582">
        <v>0</v>
      </c>
      <c r="S582">
        <v>1110.4899999999998</v>
      </c>
      <c r="AC582">
        <f>SUMPRODUCT(DB_SOFProject[[#This Row],[Plan01]:[Plan12]],$E$4:$P$4)/valUnits2</f>
        <v>1.5076329999999998</v>
      </c>
      <c r="AD582">
        <f>SUMPRODUCT(DB_SOFProject[[#This Row],[Act01]:[Act12]],$Q$4:$AB$4)/valUnits2</f>
        <v>1.5470899999999996</v>
      </c>
      <c r="AE582">
        <f>DB_SOFProject[[#This Row],[Actual]]-DB_SOFProject[[#This Row],[Plan]]</f>
        <v>3.9456999999999853E-2</v>
      </c>
      <c r="AF582" s="32">
        <f>IF(DB_SOFProject[[#This Row],[Plan]]&lt;&gt;0,DB_SOFProject[[#This Row],[Actual]]/DB_SOFProject[[#This Row],[Plan]],1.000011000011)</f>
        <v>1.0261714886845803</v>
      </c>
      <c r="AG582" s="34">
        <f>SUM(DB_SOFProject[[#This Row],[Plan01]:[Plan12]])/valUnits2</f>
        <v>1.5076329999999998</v>
      </c>
      <c r="AH582" s="34">
        <f>SUMPRODUCT(DB_SOFProject[[#This Row],[Act01]:[Act12]],$Q$3:$AB$3)/valUnits2</f>
        <v>1.5470899999999996</v>
      </c>
    </row>
    <row r="583" spans="2:34" x14ac:dyDescent="0.2">
      <c r="B583" t="s">
        <v>487</v>
      </c>
      <c r="C583" t="s">
        <v>901</v>
      </c>
      <c r="D583" t="s">
        <v>940</v>
      </c>
      <c r="G583">
        <v>-48.728999999999999</v>
      </c>
      <c r="S583">
        <v>71.91</v>
      </c>
      <c r="AC583">
        <f>SUMPRODUCT(DB_SOFProject[[#This Row],[Plan01]:[Plan12]],$E$4:$P$4)/valUnits2</f>
        <v>-4.8729000000000001E-2</v>
      </c>
      <c r="AD583">
        <f>SUMPRODUCT(DB_SOFProject[[#This Row],[Act01]:[Act12]],$Q$4:$AB$4)/valUnits2</f>
        <v>7.1910000000000002E-2</v>
      </c>
      <c r="AE583">
        <f>DB_SOFProject[[#This Row],[Actual]]-DB_SOFProject[[#This Row],[Plan]]</f>
        <v>0.120639</v>
      </c>
      <c r="AF583" s="32">
        <f>IF(DB_SOFProject[[#This Row],[Plan]]&lt;&gt;0,DB_SOFProject[[#This Row],[Actual]]/DB_SOFProject[[#This Row],[Plan]],1.000011000011)</f>
        <v>-1.4757126146647788</v>
      </c>
      <c r="AG583" s="34">
        <f>SUM(DB_SOFProject[[#This Row],[Plan01]:[Plan12]])/valUnits2</f>
        <v>-4.8729000000000001E-2</v>
      </c>
      <c r="AH583" s="34">
        <f>SUMPRODUCT(DB_SOFProject[[#This Row],[Act01]:[Act12]],$Q$3:$AB$3)/valUnits2</f>
        <v>7.1910000000000002E-2</v>
      </c>
    </row>
    <row r="584" spans="2:34" x14ac:dyDescent="0.2">
      <c r="B584" t="s">
        <v>487</v>
      </c>
      <c r="C584" t="s">
        <v>907</v>
      </c>
      <c r="D584" t="s">
        <v>983</v>
      </c>
      <c r="E584">
        <v>-188.38499999999999</v>
      </c>
      <c r="F584">
        <v>135.77099999999999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-182.6</v>
      </c>
      <c r="R584">
        <v>216.58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f>SUMPRODUCT(DB_SOFProject[[#This Row],[Plan01]:[Plan12]],$E$4:$P$4)/valUnits2</f>
        <v>-5.2614000000000001E-2</v>
      </c>
      <c r="AD584">
        <f>SUMPRODUCT(DB_SOFProject[[#This Row],[Act01]:[Act12]],$Q$4:$AB$4)/valUnits2</f>
        <v>3.3980000000000017E-2</v>
      </c>
      <c r="AE584">
        <f>DB_SOFProject[[#This Row],[Actual]]-DB_SOFProject[[#This Row],[Plan]]</f>
        <v>8.6594000000000018E-2</v>
      </c>
      <c r="AF584" s="32">
        <f>IF(DB_SOFProject[[#This Row],[Plan]]&lt;&gt;0,DB_SOFProject[[#This Row],[Actual]]/DB_SOFProject[[#This Row],[Plan]],1.000011000011)</f>
        <v>-0.64583570912684873</v>
      </c>
      <c r="AG584" s="34">
        <f>SUM(DB_SOFProject[[#This Row],[Plan01]:[Plan12]])/valUnits2</f>
        <v>-5.2614000000000001E-2</v>
      </c>
      <c r="AH584" s="34">
        <f>SUMPRODUCT(DB_SOFProject[[#This Row],[Act01]:[Act12]],$Q$3:$AB$3)/valUnits2</f>
        <v>3.3980000000000017E-2</v>
      </c>
    </row>
    <row r="585" spans="2:34" x14ac:dyDescent="0.2">
      <c r="B585" t="s">
        <v>487</v>
      </c>
      <c r="C585" t="s">
        <v>909</v>
      </c>
      <c r="D585" t="s">
        <v>983</v>
      </c>
      <c r="E585">
        <v>15917.770000000002</v>
      </c>
      <c r="F585">
        <v>265642.05000000005</v>
      </c>
      <c r="G585">
        <v>18729.619999999988</v>
      </c>
      <c r="H585">
        <v>246894.31</v>
      </c>
      <c r="I585">
        <v>145953.11000000002</v>
      </c>
      <c r="J585">
        <v>62522.002</v>
      </c>
      <c r="K585">
        <v>68147.002000000008</v>
      </c>
      <c r="L585">
        <v>62522.002</v>
      </c>
      <c r="M585">
        <v>62522.002</v>
      </c>
      <c r="N585">
        <v>68147.002000000008</v>
      </c>
      <c r="O585">
        <v>62522.002</v>
      </c>
      <c r="P585">
        <v>62522.002</v>
      </c>
      <c r="Q585">
        <v>15917.770000000002</v>
      </c>
      <c r="R585">
        <v>265642.0500000001</v>
      </c>
      <c r="S585">
        <v>18729.620000000003</v>
      </c>
      <c r="T585">
        <v>246894.31</v>
      </c>
      <c r="U585">
        <v>146005.81999999995</v>
      </c>
      <c r="V585">
        <v>173156.93999999994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f>SUMPRODUCT(DB_SOFProject[[#This Row],[Plan01]:[Plan12]],$E$4:$P$4)/valUnits2</f>
        <v>755.658862</v>
      </c>
      <c r="AD585">
        <f>SUMPRODUCT(DB_SOFProject[[#This Row],[Act01]:[Act12]],$Q$4:$AB$4)/valUnits2</f>
        <v>866.34650999999997</v>
      </c>
      <c r="AE585">
        <f>DB_SOFProject[[#This Row],[Actual]]-DB_SOFProject[[#This Row],[Plan]]</f>
        <v>110.68764799999997</v>
      </c>
      <c r="AF585" s="32">
        <f>IF(DB_SOFProject[[#This Row],[Plan]]&lt;&gt;0,DB_SOFProject[[#This Row],[Actual]]/DB_SOFProject[[#This Row],[Plan]],1.000011000011)</f>
        <v>1.1464783297942716</v>
      </c>
      <c r="AG585" s="34">
        <f>SUM(DB_SOFProject[[#This Row],[Plan01]:[Plan12]])/valUnits2</f>
        <v>1142.040874</v>
      </c>
      <c r="AH585" s="34">
        <f>SUMPRODUCT(DB_SOFProject[[#This Row],[Act01]:[Act12]],$Q$3:$AB$3)/valUnits2</f>
        <v>866.34650999999997</v>
      </c>
    </row>
    <row r="586" spans="2:34" x14ac:dyDescent="0.2">
      <c r="B586" t="s">
        <v>487</v>
      </c>
      <c r="C586" t="s">
        <v>913</v>
      </c>
      <c r="D586" t="s">
        <v>978</v>
      </c>
      <c r="E586">
        <v>0</v>
      </c>
      <c r="H586">
        <v>0</v>
      </c>
      <c r="K586">
        <v>0</v>
      </c>
      <c r="N586">
        <v>0</v>
      </c>
      <c r="Q586">
        <v>0</v>
      </c>
      <c r="T586">
        <v>0</v>
      </c>
      <c r="W586">
        <v>0</v>
      </c>
      <c r="Z586">
        <v>0</v>
      </c>
      <c r="AC586">
        <f>SUMPRODUCT(DB_SOFProject[[#This Row],[Plan01]:[Plan12]],$E$4:$P$4)/valUnits2</f>
        <v>0</v>
      </c>
      <c r="AD586">
        <f>SUMPRODUCT(DB_SOFProject[[#This Row],[Act01]:[Act12]],$Q$4:$AB$4)/valUnits2</f>
        <v>0</v>
      </c>
      <c r="AE586">
        <f>DB_SOFProject[[#This Row],[Actual]]-DB_SOFProject[[#This Row],[Plan]]</f>
        <v>0</v>
      </c>
      <c r="AF586" s="32">
        <f>IF(DB_SOFProject[[#This Row],[Plan]]&lt;&gt;0,DB_SOFProject[[#This Row],[Actual]]/DB_SOFProject[[#This Row],[Plan]],1.000011000011)</f>
        <v>1.0000110000110001</v>
      </c>
      <c r="AG586" s="34">
        <f>SUM(DB_SOFProject[[#This Row],[Plan01]:[Plan12]])/valUnits2</f>
        <v>0</v>
      </c>
      <c r="AH586" s="34">
        <f>SUMPRODUCT(DB_SOFProject[[#This Row],[Act01]:[Act12]],$Q$3:$AB$3)/valUnits2</f>
        <v>0</v>
      </c>
    </row>
    <row r="587" spans="2:34" x14ac:dyDescent="0.2">
      <c r="B587" t="s">
        <v>487</v>
      </c>
      <c r="C587" t="s">
        <v>913</v>
      </c>
      <c r="D587" t="s">
        <v>983</v>
      </c>
      <c r="E587">
        <v>4672.3689999999997</v>
      </c>
      <c r="F587">
        <v>-1181.952</v>
      </c>
      <c r="G587">
        <v>19503.228000000003</v>
      </c>
      <c r="H587">
        <v>1871.2379999999994</v>
      </c>
      <c r="I587">
        <v>18889.756999999998</v>
      </c>
      <c r="J587">
        <v>12202.069000000001</v>
      </c>
      <c r="K587">
        <v>5217.0229999999992</v>
      </c>
      <c r="L587">
        <v>5354.4849999999988</v>
      </c>
      <c r="M587">
        <v>7272.579999999999</v>
      </c>
      <c r="N587">
        <v>6224.0209999999997</v>
      </c>
      <c r="O587">
        <v>5073.1639999999998</v>
      </c>
      <c r="P587">
        <v>5073.1639999999998</v>
      </c>
      <c r="Q587">
        <v>4584.72</v>
      </c>
      <c r="R587">
        <v>-1181.2900000000002</v>
      </c>
      <c r="S587">
        <v>19867.890000000003</v>
      </c>
      <c r="T587">
        <v>1845.9999999999989</v>
      </c>
      <c r="U587">
        <v>18923.690000000002</v>
      </c>
      <c r="V587">
        <v>1175.1700000000014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f>SUMPRODUCT(DB_SOFProject[[#This Row],[Plan01]:[Plan12]],$E$4:$P$4)/valUnits2</f>
        <v>55.956709000000004</v>
      </c>
      <c r="AD587">
        <f>SUMPRODUCT(DB_SOFProject[[#This Row],[Act01]:[Act12]],$Q$4:$AB$4)/valUnits2</f>
        <v>45.216180000000008</v>
      </c>
      <c r="AE587">
        <f>DB_SOFProject[[#This Row],[Actual]]-DB_SOFProject[[#This Row],[Plan]]</f>
        <v>-10.740528999999995</v>
      </c>
      <c r="AF587" s="32">
        <f>IF(DB_SOFProject[[#This Row],[Plan]]&lt;&gt;0,DB_SOFProject[[#This Row],[Actual]]/DB_SOFProject[[#This Row],[Plan]],1.000011000011)</f>
        <v>0.80805645664401038</v>
      </c>
      <c r="AG587" s="34">
        <f>SUM(DB_SOFProject[[#This Row],[Plan01]:[Plan12]])/valUnits2</f>
        <v>90.171146000000007</v>
      </c>
      <c r="AH587" s="34">
        <f>SUMPRODUCT(DB_SOFProject[[#This Row],[Act01]:[Act12]],$Q$3:$AB$3)/valUnits2</f>
        <v>45.216180000000008</v>
      </c>
    </row>
    <row r="588" spans="2:34" x14ac:dyDescent="0.2">
      <c r="B588" t="s">
        <v>487</v>
      </c>
      <c r="C588" t="s">
        <v>917</v>
      </c>
      <c r="D588" t="s">
        <v>983</v>
      </c>
      <c r="E588">
        <v>563.91</v>
      </c>
      <c r="F588">
        <v>572.15499999999997</v>
      </c>
      <c r="G588">
        <v>760.29500000000007</v>
      </c>
      <c r="H588">
        <v>640.08000000000004</v>
      </c>
      <c r="I588">
        <v>577.91100000000006</v>
      </c>
      <c r="J588">
        <v>44093.161</v>
      </c>
      <c r="K588">
        <v>31785.089</v>
      </c>
      <c r="L588">
        <v>31785.089</v>
      </c>
      <c r="M588">
        <v>31785.089</v>
      </c>
      <c r="N588">
        <v>31785.089</v>
      </c>
      <c r="O588">
        <v>31785.089</v>
      </c>
      <c r="P588">
        <v>31785.089</v>
      </c>
      <c r="Q588">
        <v>563.91</v>
      </c>
      <c r="R588">
        <v>572.16</v>
      </c>
      <c r="S588">
        <v>755.20999999999992</v>
      </c>
      <c r="T588">
        <v>643.59999999999991</v>
      </c>
      <c r="U588">
        <v>580.65</v>
      </c>
      <c r="V588">
        <v>534812.2899999998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f>SUMPRODUCT(DB_SOFProject[[#This Row],[Plan01]:[Plan12]],$E$4:$P$4)/valUnits2</f>
        <v>47.207512000000001</v>
      </c>
      <c r="AD588">
        <f>SUMPRODUCT(DB_SOFProject[[#This Row],[Act01]:[Act12]],$Q$4:$AB$4)/valUnits2</f>
        <v>537.92781999999988</v>
      </c>
      <c r="AE588">
        <f>DB_SOFProject[[#This Row],[Actual]]-DB_SOFProject[[#This Row],[Plan]]</f>
        <v>490.72030799999987</v>
      </c>
      <c r="AF588" s="32">
        <f>IF(DB_SOFProject[[#This Row],[Plan]]&lt;&gt;0,DB_SOFProject[[#This Row],[Actual]]/DB_SOFProject[[#This Row],[Plan]],1.000011000011)</f>
        <v>11.394962310235707</v>
      </c>
      <c r="AG588" s="34">
        <f>SUM(DB_SOFProject[[#This Row],[Plan01]:[Plan12]])/valUnits2</f>
        <v>237.91804600000003</v>
      </c>
      <c r="AH588" s="34">
        <f>SUMPRODUCT(DB_SOFProject[[#This Row],[Act01]:[Act12]],$Q$3:$AB$3)/valUnits2</f>
        <v>537.92781999999988</v>
      </c>
    </row>
    <row r="589" spans="2:34" x14ac:dyDescent="0.2">
      <c r="B589" t="s">
        <v>487</v>
      </c>
      <c r="C589" t="s">
        <v>356</v>
      </c>
      <c r="D589" t="s">
        <v>985</v>
      </c>
      <c r="E589">
        <v>21143.756000000001</v>
      </c>
      <c r="F589">
        <v>10724.469000000001</v>
      </c>
      <c r="G589">
        <v>7770.45</v>
      </c>
      <c r="H589">
        <v>18903.404000000002</v>
      </c>
      <c r="I589">
        <v>7165.6389999999992</v>
      </c>
      <c r="J589">
        <v>24140.097000000002</v>
      </c>
      <c r="Q589">
        <v>21345.439999999995</v>
      </c>
      <c r="R589">
        <v>10899.11</v>
      </c>
      <c r="S589">
        <v>7758.5899999999965</v>
      </c>
      <c r="T589">
        <v>19018.170000000002</v>
      </c>
      <c r="U589">
        <v>7388.9699999999948</v>
      </c>
      <c r="V589">
        <v>15887.609999999999</v>
      </c>
      <c r="AC589">
        <f>SUMPRODUCT(DB_SOFProject[[#This Row],[Plan01]:[Plan12]],$E$4:$P$4)/valUnits2</f>
        <v>89.847814999999997</v>
      </c>
      <c r="AD589">
        <f>SUMPRODUCT(DB_SOFProject[[#This Row],[Act01]:[Act12]],$Q$4:$AB$4)/valUnits2</f>
        <v>82.297889999999995</v>
      </c>
      <c r="AE589">
        <f>DB_SOFProject[[#This Row],[Actual]]-DB_SOFProject[[#This Row],[Plan]]</f>
        <v>-7.5499250000000018</v>
      </c>
      <c r="AF589" s="32">
        <f>IF(DB_SOFProject[[#This Row],[Plan]]&lt;&gt;0,DB_SOFProject[[#This Row],[Actual]]/DB_SOFProject[[#This Row],[Plan]],1.000011000011)</f>
        <v>0.91596985413613008</v>
      </c>
      <c r="AG589" s="34">
        <f>SUM(DB_SOFProject[[#This Row],[Plan01]:[Plan12]])/valUnits2</f>
        <v>89.847814999999997</v>
      </c>
      <c r="AH589" s="34">
        <f>SUMPRODUCT(DB_SOFProject[[#This Row],[Act01]:[Act12]],$Q$3:$AB$3)/valUnits2</f>
        <v>82.297889999999995</v>
      </c>
    </row>
    <row r="590" spans="2:34" x14ac:dyDescent="0.2">
      <c r="B590" t="s">
        <v>487</v>
      </c>
      <c r="C590" t="s">
        <v>929</v>
      </c>
      <c r="D590" t="s">
        <v>943</v>
      </c>
      <c r="E590">
        <v>100429.58600000002</v>
      </c>
      <c r="F590">
        <v>4660.8649999999934</v>
      </c>
      <c r="G590">
        <v>4463.3589999999995</v>
      </c>
      <c r="H590">
        <v>7926.9449999999988</v>
      </c>
      <c r="I590">
        <v>29293.170999999991</v>
      </c>
      <c r="J590">
        <v>0</v>
      </c>
      <c r="Q590">
        <v>97391.64</v>
      </c>
      <c r="R590">
        <v>4769.920000000001</v>
      </c>
      <c r="S590">
        <v>4504.579999999999</v>
      </c>
      <c r="T590">
        <v>7863.3499999999976</v>
      </c>
      <c r="U590">
        <v>28966.140000000003</v>
      </c>
      <c r="V590">
        <v>5481.8099999999995</v>
      </c>
      <c r="AC590">
        <f>SUMPRODUCT(DB_SOFProject[[#This Row],[Plan01]:[Plan12]],$E$4:$P$4)/valUnits2</f>
        <v>146.77392600000002</v>
      </c>
      <c r="AD590">
        <f>SUMPRODUCT(DB_SOFProject[[#This Row],[Act01]:[Act12]],$Q$4:$AB$4)/valUnits2</f>
        <v>148.97744</v>
      </c>
      <c r="AE590">
        <f>DB_SOFProject[[#This Row],[Actual]]-DB_SOFProject[[#This Row],[Plan]]</f>
        <v>2.2035139999999842</v>
      </c>
      <c r="AF590" s="32">
        <f>IF(DB_SOFProject[[#This Row],[Plan]]&lt;&gt;0,DB_SOFProject[[#This Row],[Actual]]/DB_SOFProject[[#This Row],[Plan]],1.000011000011)</f>
        <v>1.01501297989399</v>
      </c>
      <c r="AG590" s="34">
        <f>SUM(DB_SOFProject[[#This Row],[Plan01]:[Plan12]])/valUnits2</f>
        <v>146.77392600000002</v>
      </c>
      <c r="AH590" s="34">
        <f>SUMPRODUCT(DB_SOFProject[[#This Row],[Act01]:[Act12]],$Q$3:$AB$3)/valUnits2</f>
        <v>148.97744</v>
      </c>
    </row>
    <row r="591" spans="2:34" x14ac:dyDescent="0.2">
      <c r="B591" t="s">
        <v>487</v>
      </c>
      <c r="C591" t="s">
        <v>933</v>
      </c>
      <c r="D591" t="s">
        <v>983</v>
      </c>
      <c r="E591">
        <v>5769.2499999999982</v>
      </c>
      <c r="F591">
        <v>18081.419999999998</v>
      </c>
      <c r="G591">
        <v>11407.939999999999</v>
      </c>
      <c r="H591">
        <v>1311.41</v>
      </c>
      <c r="I591">
        <v>21406.23</v>
      </c>
      <c r="J591">
        <v>11339.251</v>
      </c>
      <c r="K591">
        <v>11339.251</v>
      </c>
      <c r="L591">
        <v>11339.251</v>
      </c>
      <c r="M591">
        <v>11339.251</v>
      </c>
      <c r="N591">
        <v>11339.251</v>
      </c>
      <c r="O591">
        <v>11339.251</v>
      </c>
      <c r="P591">
        <v>11339.251</v>
      </c>
      <c r="Q591">
        <v>5769.25</v>
      </c>
      <c r="R591">
        <v>18081.419999999998</v>
      </c>
      <c r="S591">
        <v>11407.940000000002</v>
      </c>
      <c r="T591">
        <v>1311.41</v>
      </c>
      <c r="U591">
        <v>21406.230000000003</v>
      </c>
      <c r="V591">
        <v>17613.559999999998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f>SUMPRODUCT(DB_SOFProject[[#This Row],[Plan01]:[Plan12]],$E$4:$P$4)/valUnits2</f>
        <v>69.315500999999998</v>
      </c>
      <c r="AD591">
        <f>SUMPRODUCT(DB_SOFProject[[#This Row],[Act01]:[Act12]],$Q$4:$AB$4)/valUnits2</f>
        <v>75.58981</v>
      </c>
      <c r="AE591">
        <f>DB_SOFProject[[#This Row],[Actual]]-DB_SOFProject[[#This Row],[Plan]]</f>
        <v>6.2743090000000024</v>
      </c>
      <c r="AF591" s="32">
        <f>IF(DB_SOFProject[[#This Row],[Plan]]&lt;&gt;0,DB_SOFProject[[#This Row],[Actual]]/DB_SOFProject[[#This Row],[Plan]],1.000011000011)</f>
        <v>1.0905181223461113</v>
      </c>
      <c r="AG591" s="34">
        <f>SUM(DB_SOFProject[[#This Row],[Plan01]:[Plan12]])/valUnits2</f>
        <v>137.35100700000001</v>
      </c>
      <c r="AH591" s="34">
        <f>SUMPRODUCT(DB_SOFProject[[#This Row],[Act01]:[Act12]],$Q$3:$AB$3)/valUnits2</f>
        <v>75.58981</v>
      </c>
    </row>
    <row r="592" spans="2:34" x14ac:dyDescent="0.2">
      <c r="B592" t="s">
        <v>487</v>
      </c>
      <c r="C592" t="s">
        <v>936</v>
      </c>
      <c r="D592" t="s">
        <v>940</v>
      </c>
      <c r="G592">
        <v>664</v>
      </c>
      <c r="S592">
        <v>638.44000000000005</v>
      </c>
      <c r="AC592">
        <f>SUMPRODUCT(DB_SOFProject[[#This Row],[Plan01]:[Plan12]],$E$4:$P$4)/valUnits2</f>
        <v>0.66400000000000003</v>
      </c>
      <c r="AD592">
        <f>SUMPRODUCT(DB_SOFProject[[#This Row],[Act01]:[Act12]],$Q$4:$AB$4)/valUnits2</f>
        <v>0.63844000000000001</v>
      </c>
      <c r="AE592">
        <f>DB_SOFProject[[#This Row],[Actual]]-DB_SOFProject[[#This Row],[Plan]]</f>
        <v>-2.5560000000000027E-2</v>
      </c>
      <c r="AF592" s="32">
        <f>IF(DB_SOFProject[[#This Row],[Plan]]&lt;&gt;0,DB_SOFProject[[#This Row],[Actual]]/DB_SOFProject[[#This Row],[Plan]],1.000011000011)</f>
        <v>0.96150602409638553</v>
      </c>
      <c r="AG592" s="34">
        <f>SUM(DB_SOFProject[[#This Row],[Plan01]:[Plan12]])/valUnits2</f>
        <v>0.66400000000000003</v>
      </c>
      <c r="AH592" s="34">
        <f>SUMPRODUCT(DB_SOFProject[[#This Row],[Act01]:[Act12]],$Q$3:$AB$3)/valUnits2</f>
        <v>0.63844000000000001</v>
      </c>
    </row>
    <row r="593" spans="2:34" x14ac:dyDescent="0.2">
      <c r="B593" t="s">
        <v>488</v>
      </c>
      <c r="C593" t="s">
        <v>842</v>
      </c>
      <c r="D593" t="s">
        <v>968</v>
      </c>
      <c r="H593">
        <v>0</v>
      </c>
      <c r="I593">
        <v>0</v>
      </c>
      <c r="J593">
        <v>5609.5990000000002</v>
      </c>
      <c r="K593">
        <v>5609.5990000000002</v>
      </c>
      <c r="L593">
        <v>5609.5990000000002</v>
      </c>
      <c r="M593">
        <v>5609.5990000000002</v>
      </c>
      <c r="N593">
        <v>5609.5990000000002</v>
      </c>
      <c r="O593">
        <v>5609.5990000000002</v>
      </c>
      <c r="P593">
        <v>5609.5990000000002</v>
      </c>
      <c r="T593">
        <v>0</v>
      </c>
      <c r="U593">
        <v>0</v>
      </c>
      <c r="V593">
        <v>1.74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f>SUMPRODUCT(DB_SOFProject[[#This Row],[Plan01]:[Plan12]],$E$4:$P$4)/valUnits2</f>
        <v>5.6095990000000002</v>
      </c>
      <c r="AD593">
        <f>SUMPRODUCT(DB_SOFProject[[#This Row],[Act01]:[Act12]],$Q$4:$AB$4)/valUnits2</f>
        <v>1.74E-3</v>
      </c>
      <c r="AE593">
        <f>DB_SOFProject[[#This Row],[Actual]]-DB_SOFProject[[#This Row],[Plan]]</f>
        <v>-5.6078590000000004</v>
      </c>
      <c r="AF593" s="32">
        <f>IF(DB_SOFProject[[#This Row],[Plan]]&lt;&gt;0,DB_SOFProject[[#This Row],[Actual]]/DB_SOFProject[[#This Row],[Plan]],1.000011000011)</f>
        <v>3.1018259950488437E-4</v>
      </c>
      <c r="AG593" s="34">
        <f>SUM(DB_SOFProject[[#This Row],[Plan01]:[Plan12]])/valUnits2</f>
        <v>39.267193000000006</v>
      </c>
      <c r="AH593" s="34">
        <f>SUMPRODUCT(DB_SOFProject[[#This Row],[Act01]:[Act12]],$Q$3:$AB$3)/valUnits2</f>
        <v>1.74E-3</v>
      </c>
    </row>
    <row r="594" spans="2:34" x14ac:dyDescent="0.2">
      <c r="B594" t="s">
        <v>488</v>
      </c>
      <c r="C594" t="s">
        <v>842</v>
      </c>
      <c r="D594" t="s">
        <v>974</v>
      </c>
      <c r="H594">
        <v>903.11699999999996</v>
      </c>
      <c r="I594">
        <v>747.60800000000006</v>
      </c>
      <c r="J594">
        <v>0</v>
      </c>
      <c r="T594">
        <v>896.43999999999994</v>
      </c>
      <c r="U594">
        <v>738.78</v>
      </c>
      <c r="V594">
        <v>1351.62</v>
      </c>
      <c r="AC594">
        <f>SUMPRODUCT(DB_SOFProject[[#This Row],[Plan01]:[Plan12]],$E$4:$P$4)/valUnits2</f>
        <v>1.650725</v>
      </c>
      <c r="AD594">
        <f>SUMPRODUCT(DB_SOFProject[[#This Row],[Act01]:[Act12]],$Q$4:$AB$4)/valUnits2</f>
        <v>2.9868399999999995</v>
      </c>
      <c r="AE594">
        <f>DB_SOFProject[[#This Row],[Actual]]-DB_SOFProject[[#This Row],[Plan]]</f>
        <v>1.3361149999999995</v>
      </c>
      <c r="AF594" s="32">
        <f>IF(DB_SOFProject[[#This Row],[Plan]]&lt;&gt;0,DB_SOFProject[[#This Row],[Actual]]/DB_SOFProject[[#This Row],[Plan]],1.000011000011)</f>
        <v>1.809411016371594</v>
      </c>
      <c r="AG594" s="34">
        <f>SUM(DB_SOFProject[[#This Row],[Plan01]:[Plan12]])/valUnits2</f>
        <v>1.650725</v>
      </c>
      <c r="AH594" s="34">
        <f>SUMPRODUCT(DB_SOFProject[[#This Row],[Act01]:[Act12]],$Q$3:$AB$3)/valUnits2</f>
        <v>2.9868399999999995</v>
      </c>
    </row>
    <row r="595" spans="2:34" x14ac:dyDescent="0.2">
      <c r="B595" t="s">
        <v>488</v>
      </c>
      <c r="C595" t="s">
        <v>842</v>
      </c>
      <c r="D595" t="s">
        <v>995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f>SUMPRODUCT(DB_SOFProject[[#This Row],[Plan01]:[Plan12]],$E$4:$P$4)/valUnits2</f>
        <v>0</v>
      </c>
      <c r="AD595">
        <f>SUMPRODUCT(DB_SOFProject[[#This Row],[Act01]:[Act12]],$Q$4:$AB$4)/valUnits2</f>
        <v>0</v>
      </c>
      <c r="AE595">
        <f>DB_SOFProject[[#This Row],[Actual]]-DB_SOFProject[[#This Row],[Plan]]</f>
        <v>0</v>
      </c>
      <c r="AF595" s="32">
        <f>IF(DB_SOFProject[[#This Row],[Plan]]&lt;&gt;0,DB_SOFProject[[#This Row],[Actual]]/DB_SOFProject[[#This Row],[Plan]],1.000011000011)</f>
        <v>1.0000110000110001</v>
      </c>
      <c r="AG595" s="34">
        <f>SUM(DB_SOFProject[[#This Row],[Plan01]:[Plan12]])/valUnits2</f>
        <v>0</v>
      </c>
      <c r="AH595" s="34">
        <f>SUMPRODUCT(DB_SOFProject[[#This Row],[Act01]:[Act12]],$Q$3:$AB$3)/valUnits2</f>
        <v>0</v>
      </c>
    </row>
    <row r="596" spans="2:34" x14ac:dyDescent="0.2">
      <c r="B596" t="s">
        <v>488</v>
      </c>
      <c r="C596" t="s">
        <v>843</v>
      </c>
      <c r="D596" t="s">
        <v>968</v>
      </c>
      <c r="J596">
        <v>0</v>
      </c>
      <c r="V596">
        <v>1.92</v>
      </c>
      <c r="AC596">
        <f>SUMPRODUCT(DB_SOFProject[[#This Row],[Plan01]:[Plan12]],$E$4:$P$4)/valUnits2</f>
        <v>0</v>
      </c>
      <c r="AD596">
        <f>SUMPRODUCT(DB_SOFProject[[#This Row],[Act01]:[Act12]],$Q$4:$AB$4)/valUnits2</f>
        <v>1.9199999999999998E-3</v>
      </c>
      <c r="AE596">
        <f>DB_SOFProject[[#This Row],[Actual]]-DB_SOFProject[[#This Row],[Plan]]</f>
        <v>1.9199999999999998E-3</v>
      </c>
      <c r="AF596" s="32">
        <f>IF(DB_SOFProject[[#This Row],[Plan]]&lt;&gt;0,DB_SOFProject[[#This Row],[Actual]]/DB_SOFProject[[#This Row],[Plan]],1.000011000011)</f>
        <v>1.0000110000110001</v>
      </c>
      <c r="AG596" s="34">
        <f>SUM(DB_SOFProject[[#This Row],[Plan01]:[Plan12]])/valUnits2</f>
        <v>0</v>
      </c>
      <c r="AH596" s="34">
        <f>SUMPRODUCT(DB_SOFProject[[#This Row],[Act01]:[Act12]],$Q$3:$AB$3)/valUnits2</f>
        <v>1.9199999999999998E-3</v>
      </c>
    </row>
    <row r="597" spans="2:34" x14ac:dyDescent="0.2">
      <c r="B597" t="s">
        <v>488</v>
      </c>
      <c r="C597" t="s">
        <v>843</v>
      </c>
      <c r="D597" t="s">
        <v>974</v>
      </c>
      <c r="F597">
        <v>4458.7359999999999</v>
      </c>
      <c r="G597">
        <v>2390.5330000000004</v>
      </c>
      <c r="H597">
        <v>5272.5519999999997</v>
      </c>
      <c r="I597">
        <v>506.59300000000002</v>
      </c>
      <c r="J597">
        <v>1759.4940000000001</v>
      </c>
      <c r="K597">
        <v>1759.4940000000001</v>
      </c>
      <c r="L597">
        <v>1759.4940000000001</v>
      </c>
      <c r="M597">
        <v>1759.4940000000001</v>
      </c>
      <c r="N597">
        <v>1759.4940000000001</v>
      </c>
      <c r="O597">
        <v>1759.4940000000001</v>
      </c>
      <c r="P597">
        <v>1759.4940000000001</v>
      </c>
      <c r="R597">
        <v>4481.1400000000003</v>
      </c>
      <c r="S597">
        <v>2420.54</v>
      </c>
      <c r="T597">
        <v>5263.23</v>
      </c>
      <c r="U597">
        <v>509.59</v>
      </c>
      <c r="V597">
        <v>-12671.15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f>SUMPRODUCT(DB_SOFProject[[#This Row],[Plan01]:[Plan12]],$E$4:$P$4)/valUnits2</f>
        <v>14.387908000000001</v>
      </c>
      <c r="AD597">
        <f>SUMPRODUCT(DB_SOFProject[[#This Row],[Act01]:[Act12]],$Q$4:$AB$4)/valUnits2</f>
        <v>3.350000000000364E-3</v>
      </c>
      <c r="AE597">
        <f>DB_SOFProject[[#This Row],[Actual]]-DB_SOFProject[[#This Row],[Plan]]</f>
        <v>-14.384558</v>
      </c>
      <c r="AF597" s="32">
        <f>IF(DB_SOFProject[[#This Row],[Plan]]&lt;&gt;0,DB_SOFProject[[#This Row],[Actual]]/DB_SOFProject[[#This Row],[Plan]],1.000011000011)</f>
        <v>2.3283440511298541E-4</v>
      </c>
      <c r="AG597" s="34">
        <f>SUM(DB_SOFProject[[#This Row],[Plan01]:[Plan12]])/valUnits2</f>
        <v>24.944871999999997</v>
      </c>
      <c r="AH597" s="34">
        <f>SUMPRODUCT(DB_SOFProject[[#This Row],[Act01]:[Act12]],$Q$3:$AB$3)/valUnits2</f>
        <v>3.350000000000364E-3</v>
      </c>
    </row>
    <row r="598" spans="2:34" x14ac:dyDescent="0.2">
      <c r="B598" t="s">
        <v>488</v>
      </c>
      <c r="C598" t="s">
        <v>845</v>
      </c>
      <c r="D598" t="s">
        <v>968</v>
      </c>
      <c r="I598">
        <v>222.23000000000002</v>
      </c>
      <c r="U598">
        <v>222.23</v>
      </c>
      <c r="AC598">
        <f>SUMPRODUCT(DB_SOFProject[[#This Row],[Plan01]:[Plan12]],$E$4:$P$4)/valUnits2</f>
        <v>0.22223000000000001</v>
      </c>
      <c r="AD598">
        <f>SUMPRODUCT(DB_SOFProject[[#This Row],[Act01]:[Act12]],$Q$4:$AB$4)/valUnits2</f>
        <v>0.22222999999999998</v>
      </c>
      <c r="AE598">
        <f>DB_SOFProject[[#This Row],[Actual]]-DB_SOFProject[[#This Row],[Plan]]</f>
        <v>0</v>
      </c>
      <c r="AF598" s="32">
        <f>IF(DB_SOFProject[[#This Row],[Plan]]&lt;&gt;0,DB_SOFProject[[#This Row],[Actual]]/DB_SOFProject[[#This Row],[Plan]],1.000011000011)</f>
        <v>0.99999999999999989</v>
      </c>
      <c r="AG598" s="34">
        <f>SUM(DB_SOFProject[[#This Row],[Plan01]:[Plan12]])/valUnits2</f>
        <v>0.22223000000000001</v>
      </c>
      <c r="AH598" s="34">
        <f>SUMPRODUCT(DB_SOFProject[[#This Row],[Act01]:[Act12]],$Q$3:$AB$3)/valUnits2</f>
        <v>0.22222999999999998</v>
      </c>
    </row>
    <row r="599" spans="2:34" x14ac:dyDescent="0.2">
      <c r="B599" t="s">
        <v>488</v>
      </c>
      <c r="C599" t="s">
        <v>357</v>
      </c>
      <c r="D599" t="s">
        <v>968</v>
      </c>
      <c r="J599">
        <v>0</v>
      </c>
      <c r="V599">
        <v>0.21</v>
      </c>
      <c r="AC599">
        <f>SUMPRODUCT(DB_SOFProject[[#This Row],[Plan01]:[Plan12]],$E$4:$P$4)/valUnits2</f>
        <v>0</v>
      </c>
      <c r="AD599">
        <f>SUMPRODUCT(DB_SOFProject[[#This Row],[Act01]:[Act12]],$Q$4:$AB$4)/valUnits2</f>
        <v>2.0999999999999998E-4</v>
      </c>
      <c r="AE599">
        <f>DB_SOFProject[[#This Row],[Actual]]-DB_SOFProject[[#This Row],[Plan]]</f>
        <v>2.0999999999999998E-4</v>
      </c>
      <c r="AF599" s="32">
        <f>IF(DB_SOFProject[[#This Row],[Plan]]&lt;&gt;0,DB_SOFProject[[#This Row],[Actual]]/DB_SOFProject[[#This Row],[Plan]],1.000011000011)</f>
        <v>1.0000110000110001</v>
      </c>
      <c r="AG599" s="34">
        <f>SUM(DB_SOFProject[[#This Row],[Plan01]:[Plan12]])/valUnits2</f>
        <v>0</v>
      </c>
      <c r="AH599" s="34">
        <f>SUMPRODUCT(DB_SOFProject[[#This Row],[Act01]:[Act12]],$Q$3:$AB$3)/valUnits2</f>
        <v>2.0999999999999998E-4</v>
      </c>
    </row>
    <row r="600" spans="2:34" x14ac:dyDescent="0.2">
      <c r="B600" t="s">
        <v>488</v>
      </c>
      <c r="C600" t="s">
        <v>846</v>
      </c>
      <c r="D600" t="s">
        <v>968</v>
      </c>
      <c r="J600">
        <v>0</v>
      </c>
      <c r="V600">
        <v>0.15</v>
      </c>
      <c r="AC600">
        <f>SUMPRODUCT(DB_SOFProject[[#This Row],[Plan01]:[Plan12]],$E$4:$P$4)/valUnits2</f>
        <v>0</v>
      </c>
      <c r="AD600">
        <f>SUMPRODUCT(DB_SOFProject[[#This Row],[Act01]:[Act12]],$Q$4:$AB$4)/valUnits2</f>
        <v>1.4999999999999999E-4</v>
      </c>
      <c r="AE600">
        <f>DB_SOFProject[[#This Row],[Actual]]-DB_SOFProject[[#This Row],[Plan]]</f>
        <v>1.4999999999999999E-4</v>
      </c>
      <c r="AF600" s="32">
        <f>IF(DB_SOFProject[[#This Row],[Plan]]&lt;&gt;0,DB_SOFProject[[#This Row],[Actual]]/DB_SOFProject[[#This Row],[Plan]],1.000011000011)</f>
        <v>1.0000110000110001</v>
      </c>
      <c r="AG600" s="34">
        <f>SUM(DB_SOFProject[[#This Row],[Plan01]:[Plan12]])/valUnits2</f>
        <v>0</v>
      </c>
      <c r="AH600" s="34">
        <f>SUMPRODUCT(DB_SOFProject[[#This Row],[Act01]:[Act12]],$Q$3:$AB$3)/valUnits2</f>
        <v>1.4999999999999999E-4</v>
      </c>
    </row>
    <row r="601" spans="2:34" x14ac:dyDescent="0.2">
      <c r="B601" t="s">
        <v>488</v>
      </c>
      <c r="C601" t="s">
        <v>847</v>
      </c>
      <c r="D601" t="s">
        <v>968</v>
      </c>
      <c r="J601">
        <v>0</v>
      </c>
      <c r="V601">
        <v>0.6</v>
      </c>
      <c r="AC601">
        <f>SUMPRODUCT(DB_SOFProject[[#This Row],[Plan01]:[Plan12]],$E$4:$P$4)/valUnits2</f>
        <v>0</v>
      </c>
      <c r="AD601">
        <f>SUMPRODUCT(DB_SOFProject[[#This Row],[Act01]:[Act12]],$Q$4:$AB$4)/valUnits2</f>
        <v>5.9999999999999995E-4</v>
      </c>
      <c r="AE601">
        <f>DB_SOFProject[[#This Row],[Actual]]-DB_SOFProject[[#This Row],[Plan]]</f>
        <v>5.9999999999999995E-4</v>
      </c>
      <c r="AF601" s="32">
        <f>IF(DB_SOFProject[[#This Row],[Plan]]&lt;&gt;0,DB_SOFProject[[#This Row],[Actual]]/DB_SOFProject[[#This Row],[Plan]],1.000011000011)</f>
        <v>1.0000110000110001</v>
      </c>
      <c r="AG601" s="34">
        <f>SUM(DB_SOFProject[[#This Row],[Plan01]:[Plan12]])/valUnits2</f>
        <v>0</v>
      </c>
      <c r="AH601" s="34">
        <f>SUMPRODUCT(DB_SOFProject[[#This Row],[Act01]:[Act12]],$Q$3:$AB$3)/valUnits2</f>
        <v>5.9999999999999995E-4</v>
      </c>
    </row>
    <row r="602" spans="2:34" x14ac:dyDescent="0.2">
      <c r="B602" t="s">
        <v>488</v>
      </c>
      <c r="C602" t="s">
        <v>848</v>
      </c>
      <c r="D602" t="s">
        <v>968</v>
      </c>
      <c r="H602">
        <v>93.325999999999993</v>
      </c>
      <c r="T602">
        <v>92.75</v>
      </c>
      <c r="AC602">
        <f>SUMPRODUCT(DB_SOFProject[[#This Row],[Plan01]:[Plan12]],$E$4:$P$4)/valUnits2</f>
        <v>9.3325999999999992E-2</v>
      </c>
      <c r="AD602">
        <f>SUMPRODUCT(DB_SOFProject[[#This Row],[Act01]:[Act12]],$Q$4:$AB$4)/valUnits2</f>
        <v>9.2749999999999999E-2</v>
      </c>
      <c r="AE602">
        <f>DB_SOFProject[[#This Row],[Actual]]-DB_SOFProject[[#This Row],[Plan]]</f>
        <v>-5.7599999999999318E-4</v>
      </c>
      <c r="AF602" s="32">
        <f>IF(DB_SOFProject[[#This Row],[Plan]]&lt;&gt;0,DB_SOFProject[[#This Row],[Actual]]/DB_SOFProject[[#This Row],[Plan]],1.000011000011)</f>
        <v>0.9938280864925102</v>
      </c>
      <c r="AG602" s="34">
        <f>SUM(DB_SOFProject[[#This Row],[Plan01]:[Plan12]])/valUnits2</f>
        <v>9.3325999999999992E-2</v>
      </c>
      <c r="AH602" s="34">
        <f>SUMPRODUCT(DB_SOFProject[[#This Row],[Act01]:[Act12]],$Q$3:$AB$3)/valUnits2</f>
        <v>9.2749999999999999E-2</v>
      </c>
    </row>
    <row r="603" spans="2:34" x14ac:dyDescent="0.2">
      <c r="B603" t="s">
        <v>488</v>
      </c>
      <c r="C603" t="s">
        <v>849</v>
      </c>
      <c r="D603" t="s">
        <v>968</v>
      </c>
      <c r="J603">
        <v>0</v>
      </c>
      <c r="V603">
        <v>4.3600000000000003</v>
      </c>
      <c r="AC603">
        <f>SUMPRODUCT(DB_SOFProject[[#This Row],[Plan01]:[Plan12]],$E$4:$P$4)/valUnits2</f>
        <v>0</v>
      </c>
      <c r="AD603">
        <f>SUMPRODUCT(DB_SOFProject[[#This Row],[Act01]:[Act12]],$Q$4:$AB$4)/valUnits2</f>
        <v>4.3600000000000002E-3</v>
      </c>
      <c r="AE603">
        <f>DB_SOFProject[[#This Row],[Actual]]-DB_SOFProject[[#This Row],[Plan]]</f>
        <v>4.3600000000000002E-3</v>
      </c>
      <c r="AF603" s="32">
        <f>IF(DB_SOFProject[[#This Row],[Plan]]&lt;&gt;0,DB_SOFProject[[#This Row],[Actual]]/DB_SOFProject[[#This Row],[Plan]],1.000011000011)</f>
        <v>1.0000110000110001</v>
      </c>
      <c r="AG603" s="34">
        <f>SUM(DB_SOFProject[[#This Row],[Plan01]:[Plan12]])/valUnits2</f>
        <v>0</v>
      </c>
      <c r="AH603" s="34">
        <f>SUMPRODUCT(DB_SOFProject[[#This Row],[Act01]:[Act12]],$Q$3:$AB$3)/valUnits2</f>
        <v>4.3600000000000002E-3</v>
      </c>
    </row>
    <row r="604" spans="2:34" x14ac:dyDescent="0.2">
      <c r="B604" t="s">
        <v>488</v>
      </c>
      <c r="C604" t="s">
        <v>366</v>
      </c>
      <c r="D604" t="s">
        <v>968</v>
      </c>
      <c r="J604">
        <v>0</v>
      </c>
      <c r="V604">
        <v>0.36</v>
      </c>
      <c r="AC604">
        <f>SUMPRODUCT(DB_SOFProject[[#This Row],[Plan01]:[Plan12]],$E$4:$P$4)/valUnits2</f>
        <v>0</v>
      </c>
      <c r="AD604">
        <f>SUMPRODUCT(DB_SOFProject[[#This Row],[Act01]:[Act12]],$Q$4:$AB$4)/valUnits2</f>
        <v>3.5999999999999997E-4</v>
      </c>
      <c r="AE604">
        <f>DB_SOFProject[[#This Row],[Actual]]-DB_SOFProject[[#This Row],[Plan]]</f>
        <v>3.5999999999999997E-4</v>
      </c>
      <c r="AF604" s="32">
        <f>IF(DB_SOFProject[[#This Row],[Plan]]&lt;&gt;0,DB_SOFProject[[#This Row],[Actual]]/DB_SOFProject[[#This Row],[Plan]],1.000011000011)</f>
        <v>1.0000110000110001</v>
      </c>
      <c r="AG604" s="34">
        <f>SUM(DB_SOFProject[[#This Row],[Plan01]:[Plan12]])/valUnits2</f>
        <v>0</v>
      </c>
      <c r="AH604" s="34">
        <f>SUMPRODUCT(DB_SOFProject[[#This Row],[Act01]:[Act12]],$Q$3:$AB$3)/valUnits2</f>
        <v>3.5999999999999997E-4</v>
      </c>
    </row>
    <row r="605" spans="2:34" x14ac:dyDescent="0.2">
      <c r="B605" t="s">
        <v>488</v>
      </c>
      <c r="C605" t="s">
        <v>353</v>
      </c>
      <c r="D605" t="s">
        <v>968</v>
      </c>
      <c r="J605">
        <v>0</v>
      </c>
      <c r="V605">
        <v>1.23</v>
      </c>
      <c r="AC605">
        <f>SUMPRODUCT(DB_SOFProject[[#This Row],[Plan01]:[Plan12]],$E$4:$P$4)/valUnits2</f>
        <v>0</v>
      </c>
      <c r="AD605">
        <f>SUMPRODUCT(DB_SOFProject[[#This Row],[Act01]:[Act12]],$Q$4:$AB$4)/valUnits2</f>
        <v>1.23E-3</v>
      </c>
      <c r="AE605">
        <f>DB_SOFProject[[#This Row],[Actual]]-DB_SOFProject[[#This Row],[Plan]]</f>
        <v>1.23E-3</v>
      </c>
      <c r="AF605" s="32">
        <f>IF(DB_SOFProject[[#This Row],[Plan]]&lt;&gt;0,DB_SOFProject[[#This Row],[Actual]]/DB_SOFProject[[#This Row],[Plan]],1.000011000011)</f>
        <v>1.0000110000110001</v>
      </c>
      <c r="AG605" s="34">
        <f>SUM(DB_SOFProject[[#This Row],[Plan01]:[Plan12]])/valUnits2</f>
        <v>0</v>
      </c>
      <c r="AH605" s="34">
        <f>SUMPRODUCT(DB_SOFProject[[#This Row],[Act01]:[Act12]],$Q$3:$AB$3)/valUnits2</f>
        <v>1.23E-3</v>
      </c>
    </row>
    <row r="606" spans="2:34" x14ac:dyDescent="0.2">
      <c r="B606" t="s">
        <v>488</v>
      </c>
      <c r="C606" t="s">
        <v>353</v>
      </c>
      <c r="D606" t="s">
        <v>974</v>
      </c>
      <c r="G606">
        <v>0</v>
      </c>
      <c r="H606">
        <v>0</v>
      </c>
      <c r="S606">
        <v>0</v>
      </c>
      <c r="T606">
        <v>0</v>
      </c>
      <c r="AC606">
        <f>SUMPRODUCT(DB_SOFProject[[#This Row],[Plan01]:[Plan12]],$E$4:$P$4)/valUnits2</f>
        <v>0</v>
      </c>
      <c r="AD606">
        <f>SUMPRODUCT(DB_SOFProject[[#This Row],[Act01]:[Act12]],$Q$4:$AB$4)/valUnits2</f>
        <v>0</v>
      </c>
      <c r="AE606">
        <f>DB_SOFProject[[#This Row],[Actual]]-DB_SOFProject[[#This Row],[Plan]]</f>
        <v>0</v>
      </c>
      <c r="AF606" s="32">
        <f>IF(DB_SOFProject[[#This Row],[Plan]]&lt;&gt;0,DB_SOFProject[[#This Row],[Actual]]/DB_SOFProject[[#This Row],[Plan]],1.000011000011)</f>
        <v>1.0000110000110001</v>
      </c>
      <c r="AG606" s="34">
        <f>SUM(DB_SOFProject[[#This Row],[Plan01]:[Plan12]])/valUnits2</f>
        <v>0</v>
      </c>
      <c r="AH606" s="34">
        <f>SUMPRODUCT(DB_SOFProject[[#This Row],[Act01]:[Act12]],$Q$3:$AB$3)/valUnits2</f>
        <v>0</v>
      </c>
    </row>
    <row r="607" spans="2:34" x14ac:dyDescent="0.2">
      <c r="B607" t="s">
        <v>488</v>
      </c>
      <c r="C607" t="s">
        <v>850</v>
      </c>
      <c r="D607" t="s">
        <v>941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f>SUMPRODUCT(DB_SOFProject[[#This Row],[Plan01]:[Plan12]],$E$4:$P$4)/valUnits2</f>
        <v>0</v>
      </c>
      <c r="AD607">
        <f>SUMPRODUCT(DB_SOFProject[[#This Row],[Act01]:[Act12]],$Q$4:$AB$4)/valUnits2</f>
        <v>0</v>
      </c>
      <c r="AE607">
        <f>DB_SOFProject[[#This Row],[Actual]]-DB_SOFProject[[#This Row],[Plan]]</f>
        <v>0</v>
      </c>
      <c r="AF607" s="32">
        <f>IF(DB_SOFProject[[#This Row],[Plan]]&lt;&gt;0,DB_SOFProject[[#This Row],[Actual]]/DB_SOFProject[[#This Row],[Plan]],1.000011000011)</f>
        <v>1.0000110000110001</v>
      </c>
      <c r="AG607" s="34">
        <f>SUM(DB_SOFProject[[#This Row],[Plan01]:[Plan12]])/valUnits2</f>
        <v>0</v>
      </c>
      <c r="AH607" s="34">
        <f>SUMPRODUCT(DB_SOFProject[[#This Row],[Act01]:[Act12]],$Q$3:$AB$3)/valUnits2</f>
        <v>0</v>
      </c>
    </row>
    <row r="608" spans="2:34" x14ac:dyDescent="0.2">
      <c r="B608" t="s">
        <v>488</v>
      </c>
      <c r="C608" t="s">
        <v>850</v>
      </c>
      <c r="D608" t="s">
        <v>968</v>
      </c>
      <c r="J608">
        <v>0</v>
      </c>
      <c r="V608">
        <v>0.55000000000000004</v>
      </c>
      <c r="AC608">
        <f>SUMPRODUCT(DB_SOFProject[[#This Row],[Plan01]:[Plan12]],$E$4:$P$4)/valUnits2</f>
        <v>0</v>
      </c>
      <c r="AD608">
        <f>SUMPRODUCT(DB_SOFProject[[#This Row],[Act01]:[Act12]],$Q$4:$AB$4)/valUnits2</f>
        <v>5.5000000000000003E-4</v>
      </c>
      <c r="AE608">
        <f>DB_SOFProject[[#This Row],[Actual]]-DB_SOFProject[[#This Row],[Plan]]</f>
        <v>5.5000000000000003E-4</v>
      </c>
      <c r="AF608" s="32">
        <f>IF(DB_SOFProject[[#This Row],[Plan]]&lt;&gt;0,DB_SOFProject[[#This Row],[Actual]]/DB_SOFProject[[#This Row],[Plan]],1.000011000011)</f>
        <v>1.0000110000110001</v>
      </c>
      <c r="AG608" s="34">
        <f>SUM(DB_SOFProject[[#This Row],[Plan01]:[Plan12]])/valUnits2</f>
        <v>0</v>
      </c>
      <c r="AH608" s="34">
        <f>SUMPRODUCT(DB_SOFProject[[#This Row],[Act01]:[Act12]],$Q$3:$AB$3)/valUnits2</f>
        <v>5.5000000000000003E-4</v>
      </c>
    </row>
    <row r="609" spans="2:34" x14ac:dyDescent="0.2">
      <c r="B609" t="s">
        <v>488</v>
      </c>
      <c r="C609" t="s">
        <v>852</v>
      </c>
      <c r="D609" t="s">
        <v>974</v>
      </c>
      <c r="E609">
        <v>-201.078</v>
      </c>
      <c r="F609">
        <v>268.34199999999998</v>
      </c>
      <c r="Q609">
        <v>-202.13</v>
      </c>
      <c r="R609">
        <v>279.02</v>
      </c>
      <c r="AC609">
        <f>SUMPRODUCT(DB_SOFProject[[#This Row],[Plan01]:[Plan12]],$E$4:$P$4)/valUnits2</f>
        <v>6.7263999999999977E-2</v>
      </c>
      <c r="AD609">
        <f>SUMPRODUCT(DB_SOFProject[[#This Row],[Act01]:[Act12]],$Q$4:$AB$4)/valUnits2</f>
        <v>7.6889999999999986E-2</v>
      </c>
      <c r="AE609">
        <f>DB_SOFProject[[#This Row],[Actual]]-DB_SOFProject[[#This Row],[Plan]]</f>
        <v>9.6260000000000095E-3</v>
      </c>
      <c r="AF609" s="32">
        <f>IF(DB_SOFProject[[#This Row],[Plan]]&lt;&gt;0,DB_SOFProject[[#This Row],[Actual]]/DB_SOFProject[[#This Row],[Plan]],1.000011000011)</f>
        <v>1.1431077545195054</v>
      </c>
      <c r="AG609" s="34">
        <f>SUM(DB_SOFProject[[#This Row],[Plan01]:[Plan12]])/valUnits2</f>
        <v>6.7263999999999977E-2</v>
      </c>
      <c r="AH609" s="34">
        <f>SUMPRODUCT(DB_SOFProject[[#This Row],[Act01]:[Act12]],$Q$3:$AB$3)/valUnits2</f>
        <v>7.6889999999999986E-2</v>
      </c>
    </row>
    <row r="610" spans="2:34" x14ac:dyDescent="0.2">
      <c r="B610" t="s">
        <v>488</v>
      </c>
      <c r="C610" t="s">
        <v>853</v>
      </c>
      <c r="D610" t="s">
        <v>968</v>
      </c>
      <c r="J610">
        <v>0</v>
      </c>
      <c r="V610">
        <v>0.02</v>
      </c>
      <c r="AC610">
        <f>SUMPRODUCT(DB_SOFProject[[#This Row],[Plan01]:[Plan12]],$E$4:$P$4)/valUnits2</f>
        <v>0</v>
      </c>
      <c r="AD610">
        <f>SUMPRODUCT(DB_SOFProject[[#This Row],[Act01]:[Act12]],$Q$4:$AB$4)/valUnits2</f>
        <v>2.0000000000000002E-5</v>
      </c>
      <c r="AE610">
        <f>DB_SOFProject[[#This Row],[Actual]]-DB_SOFProject[[#This Row],[Plan]]</f>
        <v>2.0000000000000002E-5</v>
      </c>
      <c r="AF610" s="32">
        <f>IF(DB_SOFProject[[#This Row],[Plan]]&lt;&gt;0,DB_SOFProject[[#This Row],[Actual]]/DB_SOFProject[[#This Row],[Plan]],1.000011000011)</f>
        <v>1.0000110000110001</v>
      </c>
      <c r="AG610" s="34">
        <f>SUM(DB_SOFProject[[#This Row],[Plan01]:[Plan12]])/valUnits2</f>
        <v>0</v>
      </c>
      <c r="AH610" s="34">
        <f>SUMPRODUCT(DB_SOFProject[[#This Row],[Act01]:[Act12]],$Q$3:$AB$3)/valUnits2</f>
        <v>2.0000000000000002E-5</v>
      </c>
    </row>
    <row r="611" spans="2:34" x14ac:dyDescent="0.2">
      <c r="B611" t="s">
        <v>488</v>
      </c>
      <c r="C611" t="s">
        <v>853</v>
      </c>
      <c r="D611" t="s">
        <v>974</v>
      </c>
      <c r="H611">
        <v>441.58699999999999</v>
      </c>
      <c r="I611">
        <v>437.142</v>
      </c>
      <c r="J611">
        <v>0</v>
      </c>
      <c r="T611">
        <v>434.99</v>
      </c>
      <c r="U611">
        <v>436.28000000000003</v>
      </c>
      <c r="V611">
        <v>726.67</v>
      </c>
      <c r="AC611">
        <f>SUMPRODUCT(DB_SOFProject[[#This Row],[Plan01]:[Plan12]],$E$4:$P$4)/valUnits2</f>
        <v>0.87872900000000009</v>
      </c>
      <c r="AD611">
        <f>SUMPRODUCT(DB_SOFProject[[#This Row],[Act01]:[Act12]],$Q$4:$AB$4)/valUnits2</f>
        <v>1.5979400000000001</v>
      </c>
      <c r="AE611">
        <f>DB_SOFProject[[#This Row],[Actual]]-DB_SOFProject[[#This Row],[Plan]]</f>
        <v>0.71921100000000004</v>
      </c>
      <c r="AF611" s="32">
        <f>IF(DB_SOFProject[[#This Row],[Plan]]&lt;&gt;0,DB_SOFProject[[#This Row],[Actual]]/DB_SOFProject[[#This Row],[Plan]],1.000011000011)</f>
        <v>1.8184673545541343</v>
      </c>
      <c r="AG611" s="34">
        <f>SUM(DB_SOFProject[[#This Row],[Plan01]:[Plan12]])/valUnits2</f>
        <v>0.87872900000000009</v>
      </c>
      <c r="AH611" s="34">
        <f>SUMPRODUCT(DB_SOFProject[[#This Row],[Act01]:[Act12]],$Q$3:$AB$3)/valUnits2</f>
        <v>1.5979400000000001</v>
      </c>
    </row>
    <row r="612" spans="2:34" x14ac:dyDescent="0.2">
      <c r="B612" t="s">
        <v>488</v>
      </c>
      <c r="C612" t="s">
        <v>854</v>
      </c>
      <c r="D612" t="s">
        <v>968</v>
      </c>
      <c r="J612">
        <v>0</v>
      </c>
      <c r="V612">
        <v>0.56000000000000005</v>
      </c>
      <c r="AC612">
        <f>SUMPRODUCT(DB_SOFProject[[#This Row],[Plan01]:[Plan12]],$E$4:$P$4)/valUnits2</f>
        <v>0</v>
      </c>
      <c r="AD612">
        <f>SUMPRODUCT(DB_SOFProject[[#This Row],[Act01]:[Act12]],$Q$4:$AB$4)/valUnits2</f>
        <v>5.6000000000000006E-4</v>
      </c>
      <c r="AE612">
        <f>DB_SOFProject[[#This Row],[Actual]]-DB_SOFProject[[#This Row],[Plan]]</f>
        <v>5.6000000000000006E-4</v>
      </c>
      <c r="AF612" s="32">
        <f>IF(DB_SOFProject[[#This Row],[Plan]]&lt;&gt;0,DB_SOFProject[[#This Row],[Actual]]/DB_SOFProject[[#This Row],[Plan]],1.000011000011)</f>
        <v>1.0000110000110001</v>
      </c>
      <c r="AG612" s="34">
        <f>SUM(DB_SOFProject[[#This Row],[Plan01]:[Plan12]])/valUnits2</f>
        <v>0</v>
      </c>
      <c r="AH612" s="34">
        <f>SUMPRODUCT(DB_SOFProject[[#This Row],[Act01]:[Act12]],$Q$3:$AB$3)/valUnits2</f>
        <v>5.6000000000000006E-4</v>
      </c>
    </row>
    <row r="613" spans="2:34" x14ac:dyDescent="0.2">
      <c r="B613" t="s">
        <v>488</v>
      </c>
      <c r="C613" t="s">
        <v>855</v>
      </c>
      <c r="D613" t="s">
        <v>941</v>
      </c>
      <c r="J613">
        <v>0</v>
      </c>
      <c r="V613">
        <v>0</v>
      </c>
      <c r="AC613">
        <f>SUMPRODUCT(DB_SOFProject[[#This Row],[Plan01]:[Plan12]],$E$4:$P$4)/valUnits2</f>
        <v>0</v>
      </c>
      <c r="AD613">
        <f>SUMPRODUCT(DB_SOFProject[[#This Row],[Act01]:[Act12]],$Q$4:$AB$4)/valUnits2</f>
        <v>0</v>
      </c>
      <c r="AE613">
        <f>DB_SOFProject[[#This Row],[Actual]]-DB_SOFProject[[#This Row],[Plan]]</f>
        <v>0</v>
      </c>
      <c r="AF613" s="32">
        <f>IF(DB_SOFProject[[#This Row],[Plan]]&lt;&gt;0,DB_SOFProject[[#This Row],[Actual]]/DB_SOFProject[[#This Row],[Plan]],1.000011000011)</f>
        <v>1.0000110000110001</v>
      </c>
      <c r="AG613" s="34">
        <f>SUM(DB_SOFProject[[#This Row],[Plan01]:[Plan12]])/valUnits2</f>
        <v>0</v>
      </c>
      <c r="AH613" s="34">
        <f>SUMPRODUCT(DB_SOFProject[[#This Row],[Act01]:[Act12]],$Q$3:$AB$3)/valUnits2</f>
        <v>0</v>
      </c>
    </row>
    <row r="614" spans="2:34" x14ac:dyDescent="0.2">
      <c r="B614" t="s">
        <v>488</v>
      </c>
      <c r="C614" t="s">
        <v>855</v>
      </c>
      <c r="D614" t="s">
        <v>968</v>
      </c>
      <c r="J614">
        <v>0</v>
      </c>
      <c r="V614">
        <v>1.45</v>
      </c>
      <c r="AC614">
        <f>SUMPRODUCT(DB_SOFProject[[#This Row],[Plan01]:[Plan12]],$E$4:$P$4)/valUnits2</f>
        <v>0</v>
      </c>
      <c r="AD614">
        <f>SUMPRODUCT(DB_SOFProject[[#This Row],[Act01]:[Act12]],$Q$4:$AB$4)/valUnits2</f>
        <v>1.4499999999999999E-3</v>
      </c>
      <c r="AE614">
        <f>DB_SOFProject[[#This Row],[Actual]]-DB_SOFProject[[#This Row],[Plan]]</f>
        <v>1.4499999999999999E-3</v>
      </c>
      <c r="AF614" s="32">
        <f>IF(DB_SOFProject[[#This Row],[Plan]]&lt;&gt;0,DB_SOFProject[[#This Row],[Actual]]/DB_SOFProject[[#This Row],[Plan]],1.000011000011)</f>
        <v>1.0000110000110001</v>
      </c>
      <c r="AG614" s="34">
        <f>SUM(DB_SOFProject[[#This Row],[Plan01]:[Plan12]])/valUnits2</f>
        <v>0</v>
      </c>
      <c r="AH614" s="34">
        <f>SUMPRODUCT(DB_SOFProject[[#This Row],[Act01]:[Act12]],$Q$3:$AB$3)/valUnits2</f>
        <v>1.4499999999999999E-3</v>
      </c>
    </row>
    <row r="615" spans="2:34" x14ac:dyDescent="0.2">
      <c r="B615" t="s">
        <v>488</v>
      </c>
      <c r="C615" t="s">
        <v>855</v>
      </c>
      <c r="D615" t="s">
        <v>974</v>
      </c>
      <c r="J615">
        <v>0</v>
      </c>
      <c r="V615">
        <v>9.1038288019262836E-15</v>
      </c>
      <c r="AC615">
        <f>SUMPRODUCT(DB_SOFProject[[#This Row],[Plan01]:[Plan12]],$E$4:$P$4)/valUnits2</f>
        <v>0</v>
      </c>
      <c r="AD615">
        <f>SUMPRODUCT(DB_SOFProject[[#This Row],[Act01]:[Act12]],$Q$4:$AB$4)/valUnits2</f>
        <v>9.103828801926284E-18</v>
      </c>
      <c r="AE615">
        <f>DB_SOFProject[[#This Row],[Actual]]-DB_SOFProject[[#This Row],[Plan]]</f>
        <v>9.103828801926284E-18</v>
      </c>
      <c r="AF615" s="32">
        <f>IF(DB_SOFProject[[#This Row],[Plan]]&lt;&gt;0,DB_SOFProject[[#This Row],[Actual]]/DB_SOFProject[[#This Row],[Plan]],1.000011000011)</f>
        <v>1.0000110000110001</v>
      </c>
      <c r="AG615" s="34">
        <f>SUM(DB_SOFProject[[#This Row],[Plan01]:[Plan12]])/valUnits2</f>
        <v>0</v>
      </c>
      <c r="AH615" s="34">
        <f>SUMPRODUCT(DB_SOFProject[[#This Row],[Act01]:[Act12]],$Q$3:$AB$3)/valUnits2</f>
        <v>9.103828801926284E-18</v>
      </c>
    </row>
    <row r="616" spans="2:34" x14ac:dyDescent="0.2">
      <c r="B616" t="s">
        <v>488</v>
      </c>
      <c r="C616" t="s">
        <v>367</v>
      </c>
      <c r="D616" t="s">
        <v>941</v>
      </c>
      <c r="E616">
        <v>0</v>
      </c>
      <c r="H616">
        <v>0</v>
      </c>
      <c r="K616">
        <v>0</v>
      </c>
      <c r="N616">
        <v>0</v>
      </c>
      <c r="Q616">
        <v>0</v>
      </c>
      <c r="T616">
        <v>0</v>
      </c>
      <c r="W616">
        <v>0</v>
      </c>
      <c r="Z616">
        <v>0</v>
      </c>
      <c r="AC616">
        <f>SUMPRODUCT(DB_SOFProject[[#This Row],[Plan01]:[Plan12]],$E$4:$P$4)/valUnits2</f>
        <v>0</v>
      </c>
      <c r="AD616">
        <f>SUMPRODUCT(DB_SOFProject[[#This Row],[Act01]:[Act12]],$Q$4:$AB$4)/valUnits2</f>
        <v>0</v>
      </c>
      <c r="AE616">
        <f>DB_SOFProject[[#This Row],[Actual]]-DB_SOFProject[[#This Row],[Plan]]</f>
        <v>0</v>
      </c>
      <c r="AF616" s="32">
        <f>IF(DB_SOFProject[[#This Row],[Plan]]&lt;&gt;0,DB_SOFProject[[#This Row],[Actual]]/DB_SOFProject[[#This Row],[Plan]],1.000011000011)</f>
        <v>1.0000110000110001</v>
      </c>
      <c r="AG616" s="34">
        <f>SUM(DB_SOFProject[[#This Row],[Plan01]:[Plan12]])/valUnits2</f>
        <v>0</v>
      </c>
      <c r="AH616" s="34">
        <f>SUMPRODUCT(DB_SOFProject[[#This Row],[Act01]:[Act12]],$Q$3:$AB$3)/valUnits2</f>
        <v>0</v>
      </c>
    </row>
    <row r="617" spans="2:34" x14ac:dyDescent="0.2">
      <c r="B617" t="s">
        <v>488</v>
      </c>
      <c r="C617" t="s">
        <v>367</v>
      </c>
      <c r="D617" t="s">
        <v>968</v>
      </c>
      <c r="J617">
        <v>0</v>
      </c>
      <c r="V617">
        <v>0.69</v>
      </c>
      <c r="AC617">
        <f>SUMPRODUCT(DB_SOFProject[[#This Row],[Plan01]:[Plan12]],$E$4:$P$4)/valUnits2</f>
        <v>0</v>
      </c>
      <c r="AD617">
        <f>SUMPRODUCT(DB_SOFProject[[#This Row],[Act01]:[Act12]],$Q$4:$AB$4)/valUnits2</f>
        <v>6.8999999999999997E-4</v>
      </c>
      <c r="AE617">
        <f>DB_SOFProject[[#This Row],[Actual]]-DB_SOFProject[[#This Row],[Plan]]</f>
        <v>6.8999999999999997E-4</v>
      </c>
      <c r="AF617" s="32">
        <f>IF(DB_SOFProject[[#This Row],[Plan]]&lt;&gt;0,DB_SOFProject[[#This Row],[Actual]]/DB_SOFProject[[#This Row],[Plan]],1.000011000011)</f>
        <v>1.0000110000110001</v>
      </c>
      <c r="AG617" s="34">
        <f>SUM(DB_SOFProject[[#This Row],[Plan01]:[Plan12]])/valUnits2</f>
        <v>0</v>
      </c>
      <c r="AH617" s="34">
        <f>SUMPRODUCT(DB_SOFProject[[#This Row],[Act01]:[Act12]],$Q$3:$AB$3)/valUnits2</f>
        <v>6.8999999999999997E-4</v>
      </c>
    </row>
    <row r="618" spans="2:34" x14ac:dyDescent="0.2">
      <c r="B618" t="s">
        <v>488</v>
      </c>
      <c r="C618" t="s">
        <v>367</v>
      </c>
      <c r="D618" t="s">
        <v>974</v>
      </c>
      <c r="F618">
        <v>1844.6279999999999</v>
      </c>
      <c r="G618">
        <v>2216.7730000000001</v>
      </c>
      <c r="I618">
        <v>152.49199999999999</v>
      </c>
      <c r="R618">
        <v>1883.31</v>
      </c>
      <c r="S618">
        <v>2236.8399999999997</v>
      </c>
      <c r="U618">
        <v>153.27000000000001</v>
      </c>
      <c r="AC618">
        <f>SUMPRODUCT(DB_SOFProject[[#This Row],[Plan01]:[Plan12]],$E$4:$P$4)/valUnits2</f>
        <v>4.2138929999999997</v>
      </c>
      <c r="AD618">
        <f>SUMPRODUCT(DB_SOFProject[[#This Row],[Act01]:[Act12]],$Q$4:$AB$4)/valUnits2</f>
        <v>4.2734199999999998</v>
      </c>
      <c r="AE618">
        <f>DB_SOFProject[[#This Row],[Actual]]-DB_SOFProject[[#This Row],[Plan]]</f>
        <v>5.9527000000000108E-2</v>
      </c>
      <c r="AF618" s="32">
        <f>IF(DB_SOFProject[[#This Row],[Plan]]&lt;&gt;0,DB_SOFProject[[#This Row],[Actual]]/DB_SOFProject[[#This Row],[Plan]],1.000011000011)</f>
        <v>1.0141263672333398</v>
      </c>
      <c r="AG618" s="34">
        <f>SUM(DB_SOFProject[[#This Row],[Plan01]:[Plan12]])/valUnits2</f>
        <v>4.2138929999999997</v>
      </c>
      <c r="AH618" s="34">
        <f>SUMPRODUCT(DB_SOFProject[[#This Row],[Act01]:[Act12]],$Q$3:$AB$3)/valUnits2</f>
        <v>4.2734199999999998</v>
      </c>
    </row>
    <row r="619" spans="2:34" x14ac:dyDescent="0.2">
      <c r="B619" t="s">
        <v>488</v>
      </c>
      <c r="C619" t="s">
        <v>856</v>
      </c>
      <c r="D619" t="s">
        <v>968</v>
      </c>
      <c r="H619">
        <v>328.69400000000002</v>
      </c>
      <c r="I619">
        <v>433.00200000000001</v>
      </c>
      <c r="J619">
        <v>0</v>
      </c>
      <c r="T619">
        <v>318.71999999999997</v>
      </c>
      <c r="U619">
        <v>414.07</v>
      </c>
      <c r="V619">
        <v>17.920000000000002</v>
      </c>
      <c r="AC619">
        <f>SUMPRODUCT(DB_SOFProject[[#This Row],[Plan01]:[Plan12]],$E$4:$P$4)/valUnits2</f>
        <v>0.76169600000000004</v>
      </c>
      <c r="AD619">
        <f>SUMPRODUCT(DB_SOFProject[[#This Row],[Act01]:[Act12]],$Q$4:$AB$4)/valUnits2</f>
        <v>0.75070999999999988</v>
      </c>
      <c r="AE619">
        <f>DB_SOFProject[[#This Row],[Actual]]-DB_SOFProject[[#This Row],[Plan]]</f>
        <v>-1.0986000000000162E-2</v>
      </c>
      <c r="AF619" s="32">
        <f>IF(DB_SOFProject[[#This Row],[Plan]]&lt;&gt;0,DB_SOFProject[[#This Row],[Actual]]/DB_SOFProject[[#This Row],[Plan]],1.000011000011)</f>
        <v>0.98557692307692291</v>
      </c>
      <c r="AG619" s="34">
        <f>SUM(DB_SOFProject[[#This Row],[Plan01]:[Plan12]])/valUnits2</f>
        <v>0.76169600000000004</v>
      </c>
      <c r="AH619" s="34">
        <f>SUMPRODUCT(DB_SOFProject[[#This Row],[Act01]:[Act12]],$Q$3:$AB$3)/valUnits2</f>
        <v>0.75070999999999988</v>
      </c>
    </row>
    <row r="620" spans="2:34" x14ac:dyDescent="0.2">
      <c r="B620" t="s">
        <v>488</v>
      </c>
      <c r="C620" t="s">
        <v>856</v>
      </c>
      <c r="D620" t="s">
        <v>974</v>
      </c>
      <c r="E620">
        <v>3311.8880000000004</v>
      </c>
      <c r="F620">
        <v>3356.1280000000002</v>
      </c>
      <c r="G620">
        <v>2629.1320000000005</v>
      </c>
      <c r="H620">
        <v>11687.894000000002</v>
      </c>
      <c r="I620">
        <v>1847.1709999999998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3131.25</v>
      </c>
      <c r="R620">
        <v>3245.46</v>
      </c>
      <c r="S620">
        <v>2539.64</v>
      </c>
      <c r="T620">
        <v>11344.93</v>
      </c>
      <c r="U620">
        <v>1807.8700000000001</v>
      </c>
      <c r="V620">
        <v>817.74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f>SUMPRODUCT(DB_SOFProject[[#This Row],[Plan01]:[Plan12]],$E$4:$P$4)/valUnits2</f>
        <v>22.832212999999999</v>
      </c>
      <c r="AD620">
        <f>SUMPRODUCT(DB_SOFProject[[#This Row],[Act01]:[Act12]],$Q$4:$AB$4)/valUnits2</f>
        <v>22.886890000000001</v>
      </c>
      <c r="AE620">
        <f>DB_SOFProject[[#This Row],[Actual]]-DB_SOFProject[[#This Row],[Plan]]</f>
        <v>5.4677000000001641E-2</v>
      </c>
      <c r="AF620" s="32">
        <f>IF(DB_SOFProject[[#This Row],[Plan]]&lt;&gt;0,DB_SOFProject[[#This Row],[Actual]]/DB_SOFProject[[#This Row],[Plan]],1.000011000011)</f>
        <v>1.0023947306378056</v>
      </c>
      <c r="AG620" s="34">
        <f>SUM(DB_SOFProject[[#This Row],[Plan01]:[Plan12]])/valUnits2</f>
        <v>22.832212999999999</v>
      </c>
      <c r="AH620" s="34">
        <f>SUMPRODUCT(DB_SOFProject[[#This Row],[Act01]:[Act12]],$Q$3:$AB$3)/valUnits2</f>
        <v>22.886890000000001</v>
      </c>
    </row>
    <row r="621" spans="2:34" x14ac:dyDescent="0.2">
      <c r="B621" t="s">
        <v>488</v>
      </c>
      <c r="C621" t="s">
        <v>857</v>
      </c>
      <c r="D621" t="s">
        <v>974</v>
      </c>
      <c r="E621">
        <v>0</v>
      </c>
      <c r="F621">
        <v>5789.56</v>
      </c>
      <c r="G621">
        <v>582</v>
      </c>
      <c r="I621">
        <v>-6953.56</v>
      </c>
      <c r="Q621">
        <v>0</v>
      </c>
      <c r="R621">
        <v>5789.56</v>
      </c>
      <c r="S621">
        <v>582</v>
      </c>
      <c r="U621">
        <v>-6953.5599999999995</v>
      </c>
      <c r="AC621">
        <f>SUMPRODUCT(DB_SOFProject[[#This Row],[Plan01]:[Plan12]],$E$4:$P$4)/valUnits2</f>
        <v>-0.58199999999999996</v>
      </c>
      <c r="AD621">
        <f>SUMPRODUCT(DB_SOFProject[[#This Row],[Act01]:[Act12]],$Q$4:$AB$4)/valUnits2</f>
        <v>-0.58199999999999907</v>
      </c>
      <c r="AE621">
        <f>DB_SOFProject[[#This Row],[Actual]]-DB_SOFProject[[#This Row],[Plan]]</f>
        <v>8.8817841970012523E-16</v>
      </c>
      <c r="AF621" s="32">
        <f>IF(DB_SOFProject[[#This Row],[Plan]]&lt;&gt;0,DB_SOFProject[[#This Row],[Actual]]/DB_SOFProject[[#This Row],[Plan]],1.000011000011)</f>
        <v>0.99999999999999845</v>
      </c>
      <c r="AG621" s="34">
        <f>SUM(DB_SOFProject[[#This Row],[Plan01]:[Plan12]])/valUnits2</f>
        <v>-0.58199999999999996</v>
      </c>
      <c r="AH621" s="34">
        <f>SUMPRODUCT(DB_SOFProject[[#This Row],[Act01]:[Act12]],$Q$3:$AB$3)/valUnits2</f>
        <v>-0.58199999999999907</v>
      </c>
    </row>
    <row r="622" spans="2:34" x14ac:dyDescent="0.2">
      <c r="B622" t="s">
        <v>488</v>
      </c>
      <c r="C622" t="s">
        <v>858</v>
      </c>
      <c r="D622" t="s">
        <v>941</v>
      </c>
      <c r="H622">
        <v>295.89</v>
      </c>
      <c r="T622">
        <v>295.89</v>
      </c>
      <c r="AC622">
        <f>SUMPRODUCT(DB_SOFProject[[#This Row],[Plan01]:[Plan12]],$E$4:$P$4)/valUnits2</f>
        <v>0.29588999999999999</v>
      </c>
      <c r="AD622">
        <f>SUMPRODUCT(DB_SOFProject[[#This Row],[Act01]:[Act12]],$Q$4:$AB$4)/valUnits2</f>
        <v>0.29588999999999999</v>
      </c>
      <c r="AE622">
        <f>DB_SOFProject[[#This Row],[Actual]]-DB_SOFProject[[#This Row],[Plan]]</f>
        <v>0</v>
      </c>
      <c r="AF622" s="32">
        <f>IF(DB_SOFProject[[#This Row],[Plan]]&lt;&gt;0,DB_SOFProject[[#This Row],[Actual]]/DB_SOFProject[[#This Row],[Plan]],1.000011000011)</f>
        <v>1</v>
      </c>
      <c r="AG622" s="34">
        <f>SUM(DB_SOFProject[[#This Row],[Plan01]:[Plan12]])/valUnits2</f>
        <v>0.29588999999999999</v>
      </c>
      <c r="AH622" s="34">
        <f>SUMPRODUCT(DB_SOFProject[[#This Row],[Act01]:[Act12]],$Q$3:$AB$3)/valUnits2</f>
        <v>0.29588999999999999</v>
      </c>
    </row>
    <row r="623" spans="2:34" x14ac:dyDescent="0.2">
      <c r="B623" t="s">
        <v>488</v>
      </c>
      <c r="C623" t="s">
        <v>858</v>
      </c>
      <c r="D623" t="s">
        <v>968</v>
      </c>
      <c r="F623">
        <v>483.41999999999996</v>
      </c>
      <c r="G623">
        <v>427.71000000000004</v>
      </c>
      <c r="H623">
        <v>91.45999999999998</v>
      </c>
      <c r="I623">
        <v>975.93999999999994</v>
      </c>
      <c r="J623">
        <v>0</v>
      </c>
      <c r="R623">
        <v>483.41999999999996</v>
      </c>
      <c r="S623">
        <v>427.71000000000004</v>
      </c>
      <c r="T623">
        <v>91.599999999999923</v>
      </c>
      <c r="U623">
        <v>975.94</v>
      </c>
      <c r="V623">
        <v>40.75</v>
      </c>
      <c r="AC623">
        <f>SUMPRODUCT(DB_SOFProject[[#This Row],[Plan01]:[Plan12]],$E$4:$P$4)/valUnits2</f>
        <v>1.9785299999999997</v>
      </c>
      <c r="AD623">
        <f>SUMPRODUCT(DB_SOFProject[[#This Row],[Act01]:[Act12]],$Q$4:$AB$4)/valUnits2</f>
        <v>2.0194200000000002</v>
      </c>
      <c r="AE623">
        <f>DB_SOFProject[[#This Row],[Actual]]-DB_SOFProject[[#This Row],[Plan]]</f>
        <v>4.0890000000000537E-2</v>
      </c>
      <c r="AF623" s="32">
        <f>IF(DB_SOFProject[[#This Row],[Plan]]&lt;&gt;0,DB_SOFProject[[#This Row],[Actual]]/DB_SOFProject[[#This Row],[Plan]],1.000011000011)</f>
        <v>1.0206668587284502</v>
      </c>
      <c r="AG623" s="34">
        <f>SUM(DB_SOFProject[[#This Row],[Plan01]:[Plan12]])/valUnits2</f>
        <v>1.9785299999999997</v>
      </c>
      <c r="AH623" s="34">
        <f>SUMPRODUCT(DB_SOFProject[[#This Row],[Act01]:[Act12]],$Q$3:$AB$3)/valUnits2</f>
        <v>2.0194200000000002</v>
      </c>
    </row>
    <row r="624" spans="2:34" x14ac:dyDescent="0.2">
      <c r="B624" t="s">
        <v>488</v>
      </c>
      <c r="C624" t="s">
        <v>858</v>
      </c>
      <c r="D624" t="s">
        <v>974</v>
      </c>
      <c r="F624">
        <v>4251.2199999999993</v>
      </c>
      <c r="G624">
        <v>2086.1999999999998</v>
      </c>
      <c r="H624">
        <v>4197.08</v>
      </c>
      <c r="I624">
        <v>2309.3800000000006</v>
      </c>
      <c r="J624">
        <v>0</v>
      </c>
      <c r="R624">
        <v>4251.2199999999993</v>
      </c>
      <c r="S624">
        <v>2086.1999999999998</v>
      </c>
      <c r="T624">
        <v>4197.08</v>
      </c>
      <c r="U624">
        <v>2309.38</v>
      </c>
      <c r="V624">
        <v>4054.87</v>
      </c>
      <c r="AC624">
        <f>SUMPRODUCT(DB_SOFProject[[#This Row],[Plan01]:[Plan12]],$E$4:$P$4)/valUnits2</f>
        <v>12.84388</v>
      </c>
      <c r="AD624">
        <f>SUMPRODUCT(DB_SOFProject[[#This Row],[Act01]:[Act12]],$Q$4:$AB$4)/valUnits2</f>
        <v>16.89875</v>
      </c>
      <c r="AE624">
        <f>DB_SOFProject[[#This Row],[Actual]]-DB_SOFProject[[#This Row],[Plan]]</f>
        <v>4.0548699999999993</v>
      </c>
      <c r="AF624" s="32">
        <f>IF(DB_SOFProject[[#This Row],[Plan]]&lt;&gt;0,DB_SOFProject[[#This Row],[Actual]]/DB_SOFProject[[#This Row],[Plan]],1.000011000011)</f>
        <v>1.315704444451365</v>
      </c>
      <c r="AG624" s="34">
        <f>SUM(DB_SOFProject[[#This Row],[Plan01]:[Plan12]])/valUnits2</f>
        <v>12.84388</v>
      </c>
      <c r="AH624" s="34">
        <f>SUMPRODUCT(DB_SOFProject[[#This Row],[Act01]:[Act12]],$Q$3:$AB$3)/valUnits2</f>
        <v>16.89875</v>
      </c>
    </row>
    <row r="625" spans="2:34" x14ac:dyDescent="0.2">
      <c r="B625" t="s">
        <v>488</v>
      </c>
      <c r="C625" t="s">
        <v>859</v>
      </c>
      <c r="D625" t="s">
        <v>941</v>
      </c>
      <c r="H625">
        <v>0</v>
      </c>
      <c r="I625">
        <v>0</v>
      </c>
      <c r="J625">
        <v>260.86</v>
      </c>
      <c r="K625">
        <v>260.86</v>
      </c>
      <c r="L625">
        <v>260.86</v>
      </c>
      <c r="M625">
        <v>260.86</v>
      </c>
      <c r="N625">
        <v>260.86</v>
      </c>
      <c r="O625">
        <v>260.86</v>
      </c>
      <c r="P625">
        <v>260.86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f>SUMPRODUCT(DB_SOFProject[[#This Row],[Plan01]:[Plan12]],$E$4:$P$4)/valUnits2</f>
        <v>0.26086000000000004</v>
      </c>
      <c r="AD625">
        <f>SUMPRODUCT(DB_SOFProject[[#This Row],[Act01]:[Act12]],$Q$4:$AB$4)/valUnits2</f>
        <v>0</v>
      </c>
      <c r="AE625">
        <f>DB_SOFProject[[#This Row],[Actual]]-DB_SOFProject[[#This Row],[Plan]]</f>
        <v>-0.26086000000000004</v>
      </c>
      <c r="AF625" s="32">
        <f>IF(DB_SOFProject[[#This Row],[Plan]]&lt;&gt;0,DB_SOFProject[[#This Row],[Actual]]/DB_SOFProject[[#This Row],[Plan]],1.000011000011)</f>
        <v>0</v>
      </c>
      <c r="AG625" s="34">
        <f>SUM(DB_SOFProject[[#This Row],[Plan01]:[Plan12]])/valUnits2</f>
        <v>1.8260200000000004</v>
      </c>
      <c r="AH625" s="34">
        <f>SUMPRODUCT(DB_SOFProject[[#This Row],[Act01]:[Act12]],$Q$3:$AB$3)/valUnits2</f>
        <v>0</v>
      </c>
    </row>
    <row r="626" spans="2:34" x14ac:dyDescent="0.2">
      <c r="B626" t="s">
        <v>488</v>
      </c>
      <c r="C626" t="s">
        <v>859</v>
      </c>
      <c r="D626" t="s">
        <v>968</v>
      </c>
      <c r="J626">
        <v>0</v>
      </c>
      <c r="V626">
        <v>1.77</v>
      </c>
      <c r="AC626">
        <f>SUMPRODUCT(DB_SOFProject[[#This Row],[Plan01]:[Plan12]],$E$4:$P$4)/valUnits2</f>
        <v>0</v>
      </c>
      <c r="AD626">
        <f>SUMPRODUCT(DB_SOFProject[[#This Row],[Act01]:[Act12]],$Q$4:$AB$4)/valUnits2</f>
        <v>1.7700000000000001E-3</v>
      </c>
      <c r="AE626">
        <f>DB_SOFProject[[#This Row],[Actual]]-DB_SOFProject[[#This Row],[Plan]]</f>
        <v>1.7700000000000001E-3</v>
      </c>
      <c r="AF626" s="32">
        <f>IF(DB_SOFProject[[#This Row],[Plan]]&lt;&gt;0,DB_SOFProject[[#This Row],[Actual]]/DB_SOFProject[[#This Row],[Plan]],1.000011000011)</f>
        <v>1.0000110000110001</v>
      </c>
      <c r="AG626" s="34">
        <f>SUM(DB_SOFProject[[#This Row],[Plan01]:[Plan12]])/valUnits2</f>
        <v>0</v>
      </c>
      <c r="AH626" s="34">
        <f>SUMPRODUCT(DB_SOFProject[[#This Row],[Act01]:[Act12]],$Q$3:$AB$3)/valUnits2</f>
        <v>1.7700000000000001E-3</v>
      </c>
    </row>
    <row r="627" spans="2:34" x14ac:dyDescent="0.2">
      <c r="B627" t="s">
        <v>488</v>
      </c>
      <c r="C627" t="s">
        <v>860</v>
      </c>
      <c r="D627" t="s">
        <v>968</v>
      </c>
      <c r="G627">
        <v>5.26</v>
      </c>
      <c r="I627">
        <v>639.91999999999996</v>
      </c>
      <c r="J627">
        <v>0</v>
      </c>
      <c r="S627">
        <v>5.26</v>
      </c>
      <c r="U627">
        <v>639.91999999999996</v>
      </c>
      <c r="V627">
        <v>3.68</v>
      </c>
      <c r="AC627">
        <f>SUMPRODUCT(DB_SOFProject[[#This Row],[Plan01]:[Plan12]],$E$4:$P$4)/valUnits2</f>
        <v>0.64517999999999998</v>
      </c>
      <c r="AD627">
        <f>SUMPRODUCT(DB_SOFProject[[#This Row],[Act01]:[Act12]],$Q$4:$AB$4)/valUnits2</f>
        <v>0.64885999999999988</v>
      </c>
      <c r="AE627">
        <f>DB_SOFProject[[#This Row],[Actual]]-DB_SOFProject[[#This Row],[Plan]]</f>
        <v>3.6799999999999056E-3</v>
      </c>
      <c r="AF627" s="32">
        <f>IF(DB_SOFProject[[#This Row],[Plan]]&lt;&gt;0,DB_SOFProject[[#This Row],[Actual]]/DB_SOFProject[[#This Row],[Plan]],1.000011000011)</f>
        <v>1.0057038345887968</v>
      </c>
      <c r="AG627" s="34">
        <f>SUM(DB_SOFProject[[#This Row],[Plan01]:[Plan12]])/valUnits2</f>
        <v>0.64517999999999998</v>
      </c>
      <c r="AH627" s="34">
        <f>SUMPRODUCT(DB_SOFProject[[#This Row],[Act01]:[Act12]],$Q$3:$AB$3)/valUnits2</f>
        <v>0.64885999999999988</v>
      </c>
    </row>
    <row r="628" spans="2:34" x14ac:dyDescent="0.2">
      <c r="B628" t="s">
        <v>488</v>
      </c>
      <c r="C628" t="s">
        <v>860</v>
      </c>
      <c r="D628" t="s">
        <v>974</v>
      </c>
      <c r="F628">
        <v>34.010000000000005</v>
      </c>
      <c r="G628">
        <v>1.7300000000000004</v>
      </c>
      <c r="I628">
        <v>1.43</v>
      </c>
      <c r="J628">
        <v>0</v>
      </c>
      <c r="R628">
        <v>34.010000000000005</v>
      </c>
      <c r="S628">
        <v>1.7300000000000004</v>
      </c>
      <c r="U628">
        <v>1.43</v>
      </c>
      <c r="V628">
        <v>23.52</v>
      </c>
      <c r="AC628">
        <f>SUMPRODUCT(DB_SOFProject[[#This Row],[Plan01]:[Plan12]],$E$4:$P$4)/valUnits2</f>
        <v>3.7170000000000009E-2</v>
      </c>
      <c r="AD628">
        <f>SUMPRODUCT(DB_SOFProject[[#This Row],[Act01]:[Act12]],$Q$4:$AB$4)/valUnits2</f>
        <v>6.0690000000000015E-2</v>
      </c>
      <c r="AE628">
        <f>DB_SOFProject[[#This Row],[Actual]]-DB_SOFProject[[#This Row],[Plan]]</f>
        <v>2.3520000000000006E-2</v>
      </c>
      <c r="AF628" s="32">
        <f>IF(DB_SOFProject[[#This Row],[Plan]]&lt;&gt;0,DB_SOFProject[[#This Row],[Actual]]/DB_SOFProject[[#This Row],[Plan]],1.000011000011)</f>
        <v>1.6327683615819208</v>
      </c>
      <c r="AG628" s="34">
        <f>SUM(DB_SOFProject[[#This Row],[Plan01]:[Plan12]])/valUnits2</f>
        <v>3.7170000000000009E-2</v>
      </c>
      <c r="AH628" s="34">
        <f>SUMPRODUCT(DB_SOFProject[[#This Row],[Act01]:[Act12]],$Q$3:$AB$3)/valUnits2</f>
        <v>6.0690000000000015E-2</v>
      </c>
    </row>
    <row r="629" spans="2:34" x14ac:dyDescent="0.2">
      <c r="B629" t="s">
        <v>488</v>
      </c>
      <c r="C629" t="s">
        <v>862</v>
      </c>
      <c r="D629" t="s">
        <v>968</v>
      </c>
      <c r="J629">
        <v>0</v>
      </c>
      <c r="V629">
        <v>1.1000000000000001</v>
      </c>
      <c r="AC629">
        <f>SUMPRODUCT(DB_SOFProject[[#This Row],[Plan01]:[Plan12]],$E$4:$P$4)/valUnits2</f>
        <v>0</v>
      </c>
      <c r="AD629">
        <f>SUMPRODUCT(DB_SOFProject[[#This Row],[Act01]:[Act12]],$Q$4:$AB$4)/valUnits2</f>
        <v>1.1000000000000001E-3</v>
      </c>
      <c r="AE629">
        <f>DB_SOFProject[[#This Row],[Actual]]-DB_SOFProject[[#This Row],[Plan]]</f>
        <v>1.1000000000000001E-3</v>
      </c>
      <c r="AF629" s="32">
        <f>IF(DB_SOFProject[[#This Row],[Plan]]&lt;&gt;0,DB_SOFProject[[#This Row],[Actual]]/DB_SOFProject[[#This Row],[Plan]],1.000011000011)</f>
        <v>1.0000110000110001</v>
      </c>
      <c r="AG629" s="34">
        <f>SUM(DB_SOFProject[[#This Row],[Plan01]:[Plan12]])/valUnits2</f>
        <v>0</v>
      </c>
      <c r="AH629" s="34">
        <f>SUMPRODUCT(DB_SOFProject[[#This Row],[Act01]:[Act12]],$Q$3:$AB$3)/valUnits2</f>
        <v>1.1000000000000001E-3</v>
      </c>
    </row>
    <row r="630" spans="2:34" x14ac:dyDescent="0.2">
      <c r="B630" t="s">
        <v>488</v>
      </c>
      <c r="C630" t="s">
        <v>862</v>
      </c>
      <c r="D630" t="s">
        <v>974</v>
      </c>
      <c r="F630">
        <v>1317.3430000000001</v>
      </c>
      <c r="G630">
        <v>656.83400000000006</v>
      </c>
      <c r="H630">
        <v>1510.954</v>
      </c>
      <c r="I630">
        <v>178.346</v>
      </c>
      <c r="J630">
        <v>1025.2429999999999</v>
      </c>
      <c r="K630">
        <v>1025.2429999999999</v>
      </c>
      <c r="L630">
        <v>1025.2429999999999</v>
      </c>
      <c r="M630">
        <v>1025.2429999999999</v>
      </c>
      <c r="N630">
        <v>1025.2429999999999</v>
      </c>
      <c r="O630">
        <v>1025.2429999999999</v>
      </c>
      <c r="P630">
        <v>1025.2429999999999</v>
      </c>
      <c r="R630">
        <v>1322.56</v>
      </c>
      <c r="S630">
        <v>665.1</v>
      </c>
      <c r="T630">
        <v>1518.5700000000002</v>
      </c>
      <c r="U630">
        <v>179.4</v>
      </c>
      <c r="V630">
        <v>-3682.2799999999997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f>SUMPRODUCT(DB_SOFProject[[#This Row],[Plan01]:[Plan12]],$E$4:$P$4)/valUnits2</f>
        <v>4.68872</v>
      </c>
      <c r="AD630">
        <f>SUMPRODUCT(DB_SOFProject[[#This Row],[Act01]:[Act12]],$Q$4:$AB$4)/valUnits2</f>
        <v>3.350000000000364E-3</v>
      </c>
      <c r="AE630">
        <f>DB_SOFProject[[#This Row],[Actual]]-DB_SOFProject[[#This Row],[Plan]]</f>
        <v>-4.6853699999999998</v>
      </c>
      <c r="AF630" s="32">
        <f>IF(DB_SOFProject[[#This Row],[Plan]]&lt;&gt;0,DB_SOFProject[[#This Row],[Actual]]/DB_SOFProject[[#This Row],[Plan]],1.000011000011)</f>
        <v>7.1448071115365471E-4</v>
      </c>
      <c r="AG630" s="34">
        <f>SUM(DB_SOFProject[[#This Row],[Plan01]:[Plan12]])/valUnits2</f>
        <v>10.840178000000002</v>
      </c>
      <c r="AH630" s="34">
        <f>SUMPRODUCT(DB_SOFProject[[#This Row],[Act01]:[Act12]],$Q$3:$AB$3)/valUnits2</f>
        <v>3.350000000000364E-3</v>
      </c>
    </row>
    <row r="631" spans="2:34" x14ac:dyDescent="0.2">
      <c r="B631" t="s">
        <v>488</v>
      </c>
      <c r="C631" t="s">
        <v>865</v>
      </c>
      <c r="D631" t="s">
        <v>941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f>SUMPRODUCT(DB_SOFProject[[#This Row],[Plan01]:[Plan12]],$E$4:$P$4)/valUnits2</f>
        <v>0</v>
      </c>
      <c r="AD631">
        <f>SUMPRODUCT(DB_SOFProject[[#This Row],[Act01]:[Act12]],$Q$4:$AB$4)/valUnits2</f>
        <v>0</v>
      </c>
      <c r="AE631">
        <f>DB_SOFProject[[#This Row],[Actual]]-DB_SOFProject[[#This Row],[Plan]]</f>
        <v>0</v>
      </c>
      <c r="AF631" s="32">
        <f>IF(DB_SOFProject[[#This Row],[Plan]]&lt;&gt;0,DB_SOFProject[[#This Row],[Actual]]/DB_SOFProject[[#This Row],[Plan]],1.000011000011)</f>
        <v>1.0000110000110001</v>
      </c>
      <c r="AG631" s="34">
        <f>SUM(DB_SOFProject[[#This Row],[Plan01]:[Plan12]])/valUnits2</f>
        <v>0</v>
      </c>
      <c r="AH631" s="34">
        <f>SUMPRODUCT(DB_SOFProject[[#This Row],[Act01]:[Act12]],$Q$3:$AB$3)/valUnits2</f>
        <v>0</v>
      </c>
    </row>
    <row r="632" spans="2:34" x14ac:dyDescent="0.2">
      <c r="B632" t="s">
        <v>488</v>
      </c>
      <c r="C632" t="s">
        <v>355</v>
      </c>
      <c r="D632" t="s">
        <v>941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AC632">
        <f>SUMPRODUCT(DB_SOFProject[[#This Row],[Plan01]:[Plan12]],$E$4:$P$4)/valUnits2</f>
        <v>0</v>
      </c>
      <c r="AD632">
        <f>SUMPRODUCT(DB_SOFProject[[#This Row],[Act01]:[Act12]],$Q$4:$AB$4)/valUnits2</f>
        <v>0</v>
      </c>
      <c r="AE632">
        <f>DB_SOFProject[[#This Row],[Actual]]-DB_SOFProject[[#This Row],[Plan]]</f>
        <v>0</v>
      </c>
      <c r="AF632" s="32">
        <f>IF(DB_SOFProject[[#This Row],[Plan]]&lt;&gt;0,DB_SOFProject[[#This Row],[Actual]]/DB_SOFProject[[#This Row],[Plan]],1.000011000011)</f>
        <v>1.0000110000110001</v>
      </c>
      <c r="AG632" s="34">
        <f>SUM(DB_SOFProject[[#This Row],[Plan01]:[Plan12]])/valUnits2</f>
        <v>0</v>
      </c>
      <c r="AH632" s="34">
        <f>SUMPRODUCT(DB_SOFProject[[#This Row],[Act01]:[Act12]],$Q$3:$AB$3)/valUnits2</f>
        <v>0</v>
      </c>
    </row>
    <row r="633" spans="2:34" x14ac:dyDescent="0.2">
      <c r="B633" t="s">
        <v>488</v>
      </c>
      <c r="C633" t="s">
        <v>866</v>
      </c>
      <c r="D633" t="s">
        <v>968</v>
      </c>
      <c r="F633">
        <v>102565.81999999999</v>
      </c>
      <c r="G633">
        <v>78583.39</v>
      </c>
      <c r="H633">
        <v>-158244.90000000002</v>
      </c>
      <c r="I633">
        <v>7174.8699999999972</v>
      </c>
      <c r="J633">
        <v>0</v>
      </c>
      <c r="R633">
        <v>102565.82</v>
      </c>
      <c r="S633">
        <v>78827.949999999968</v>
      </c>
      <c r="T633">
        <v>-158424.49</v>
      </c>
      <c r="U633">
        <v>7364.0999999999976</v>
      </c>
      <c r="V633">
        <v>-1611.8500000000001</v>
      </c>
      <c r="AC633">
        <f>SUMPRODUCT(DB_SOFProject[[#This Row],[Plan01]:[Plan12]],$E$4:$P$4)/valUnits2</f>
        <v>30.079179999999965</v>
      </c>
      <c r="AD633">
        <f>SUMPRODUCT(DB_SOFProject[[#This Row],[Act01]:[Act12]],$Q$4:$AB$4)/valUnits2</f>
        <v>28.721529999999969</v>
      </c>
      <c r="AE633">
        <f>DB_SOFProject[[#This Row],[Actual]]-DB_SOFProject[[#This Row],[Plan]]</f>
        <v>-1.357649999999996</v>
      </c>
      <c r="AF633" s="32">
        <f>IF(DB_SOFProject[[#This Row],[Plan]]&lt;&gt;0,DB_SOFProject[[#This Row],[Actual]]/DB_SOFProject[[#This Row],[Plan]],1.000011000011)</f>
        <v>0.95486412860988901</v>
      </c>
      <c r="AG633" s="34">
        <f>SUM(DB_SOFProject[[#This Row],[Plan01]:[Plan12]])/valUnits2</f>
        <v>30.079179999999965</v>
      </c>
      <c r="AH633" s="34">
        <f>SUMPRODUCT(DB_SOFProject[[#This Row],[Act01]:[Act12]],$Q$3:$AB$3)/valUnits2</f>
        <v>28.721529999999969</v>
      </c>
    </row>
    <row r="634" spans="2:34" x14ac:dyDescent="0.2">
      <c r="B634" t="s">
        <v>488</v>
      </c>
      <c r="C634" t="s">
        <v>866</v>
      </c>
      <c r="D634" t="s">
        <v>974</v>
      </c>
      <c r="E634">
        <v>231.53</v>
      </c>
      <c r="F634">
        <v>8854.83</v>
      </c>
      <c r="G634">
        <v>5756.85</v>
      </c>
      <c r="H634">
        <v>-3838.9599999999996</v>
      </c>
      <c r="I634">
        <v>4016.15</v>
      </c>
      <c r="J634">
        <v>5555.5560000000005</v>
      </c>
      <c r="K634">
        <v>5555.5560000000005</v>
      </c>
      <c r="L634">
        <v>5555.5560000000005</v>
      </c>
      <c r="M634">
        <v>5555.5560000000005</v>
      </c>
      <c r="Q634">
        <v>231.53</v>
      </c>
      <c r="R634">
        <v>8854.83</v>
      </c>
      <c r="S634">
        <v>5756.85</v>
      </c>
      <c r="T634">
        <v>-3838.9600000000005</v>
      </c>
      <c r="U634">
        <v>4016.1500000000005</v>
      </c>
      <c r="V634">
        <v>6442.48</v>
      </c>
      <c r="W634">
        <v>0</v>
      </c>
      <c r="X634">
        <v>0</v>
      </c>
      <c r="Y634">
        <v>0</v>
      </c>
      <c r="AC634">
        <f>SUMPRODUCT(DB_SOFProject[[#This Row],[Plan01]:[Plan12]],$E$4:$P$4)/valUnits2</f>
        <v>20.575956000000001</v>
      </c>
      <c r="AD634">
        <f>SUMPRODUCT(DB_SOFProject[[#This Row],[Act01]:[Act12]],$Q$4:$AB$4)/valUnits2</f>
        <v>21.462880000000002</v>
      </c>
      <c r="AE634">
        <f>DB_SOFProject[[#This Row],[Actual]]-DB_SOFProject[[#This Row],[Plan]]</f>
        <v>0.88692400000000049</v>
      </c>
      <c r="AF634" s="32">
        <f>IF(DB_SOFProject[[#This Row],[Plan]]&lt;&gt;0,DB_SOFProject[[#This Row],[Actual]]/DB_SOFProject[[#This Row],[Plan]],1.000011000011)</f>
        <v>1.04310487444666</v>
      </c>
      <c r="AG634" s="34">
        <f>SUM(DB_SOFProject[[#This Row],[Plan01]:[Plan12]])/valUnits2</f>
        <v>37.242624000000006</v>
      </c>
      <c r="AH634" s="34">
        <f>SUMPRODUCT(DB_SOFProject[[#This Row],[Act01]:[Act12]],$Q$3:$AB$3)/valUnits2</f>
        <v>21.462880000000002</v>
      </c>
    </row>
    <row r="635" spans="2:34" x14ac:dyDescent="0.2">
      <c r="B635" t="s">
        <v>488</v>
      </c>
      <c r="C635" t="s">
        <v>868</v>
      </c>
      <c r="D635" t="s">
        <v>968</v>
      </c>
      <c r="J635">
        <v>0</v>
      </c>
      <c r="V635">
        <v>0.14000000000000001</v>
      </c>
      <c r="AC635">
        <f>SUMPRODUCT(DB_SOFProject[[#This Row],[Plan01]:[Plan12]],$E$4:$P$4)/valUnits2</f>
        <v>0</v>
      </c>
      <c r="AD635">
        <f>SUMPRODUCT(DB_SOFProject[[#This Row],[Act01]:[Act12]],$Q$4:$AB$4)/valUnits2</f>
        <v>1.4000000000000001E-4</v>
      </c>
      <c r="AE635">
        <f>DB_SOFProject[[#This Row],[Actual]]-DB_SOFProject[[#This Row],[Plan]]</f>
        <v>1.4000000000000001E-4</v>
      </c>
      <c r="AF635" s="32">
        <f>IF(DB_SOFProject[[#This Row],[Plan]]&lt;&gt;0,DB_SOFProject[[#This Row],[Actual]]/DB_SOFProject[[#This Row],[Plan]],1.000011000011)</f>
        <v>1.0000110000110001</v>
      </c>
      <c r="AG635" s="34">
        <f>SUM(DB_SOFProject[[#This Row],[Plan01]:[Plan12]])/valUnits2</f>
        <v>0</v>
      </c>
      <c r="AH635" s="34">
        <f>SUMPRODUCT(DB_SOFProject[[#This Row],[Act01]:[Act12]],$Q$3:$AB$3)/valUnits2</f>
        <v>1.4000000000000001E-4</v>
      </c>
    </row>
    <row r="636" spans="2:34" x14ac:dyDescent="0.2">
      <c r="B636" t="s">
        <v>488</v>
      </c>
      <c r="C636" t="s">
        <v>869</v>
      </c>
      <c r="D636" t="s">
        <v>968</v>
      </c>
      <c r="E636">
        <v>0</v>
      </c>
      <c r="F636">
        <v>0</v>
      </c>
      <c r="G636">
        <v>0</v>
      </c>
      <c r="H636">
        <v>10.68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10.68</v>
      </c>
      <c r="U636">
        <v>0</v>
      </c>
      <c r="V636">
        <v>1.91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f>SUMPRODUCT(DB_SOFProject[[#This Row],[Plan01]:[Plan12]],$E$4:$P$4)/valUnits2</f>
        <v>1.068E-2</v>
      </c>
      <c r="AD636">
        <f>SUMPRODUCT(DB_SOFProject[[#This Row],[Act01]:[Act12]],$Q$4:$AB$4)/valUnits2</f>
        <v>1.259E-2</v>
      </c>
      <c r="AE636">
        <f>DB_SOFProject[[#This Row],[Actual]]-DB_SOFProject[[#This Row],[Plan]]</f>
        <v>1.9100000000000002E-3</v>
      </c>
      <c r="AF636" s="32">
        <f>IF(DB_SOFProject[[#This Row],[Plan]]&lt;&gt;0,DB_SOFProject[[#This Row],[Actual]]/DB_SOFProject[[#This Row],[Plan]],1.000011000011)</f>
        <v>1.1788389513108615</v>
      </c>
      <c r="AG636" s="34">
        <f>SUM(DB_SOFProject[[#This Row],[Plan01]:[Plan12]])/valUnits2</f>
        <v>1.068E-2</v>
      </c>
      <c r="AH636" s="34">
        <f>SUMPRODUCT(DB_SOFProject[[#This Row],[Act01]:[Act12]],$Q$3:$AB$3)/valUnits2</f>
        <v>1.259E-2</v>
      </c>
    </row>
    <row r="637" spans="2:34" x14ac:dyDescent="0.2">
      <c r="B637" t="s">
        <v>488</v>
      </c>
      <c r="C637" t="s">
        <v>869</v>
      </c>
      <c r="D637" t="s">
        <v>974</v>
      </c>
      <c r="E637">
        <v>906.89</v>
      </c>
      <c r="F637">
        <v>5202.9599999999991</v>
      </c>
      <c r="G637">
        <v>5569.579999999999</v>
      </c>
      <c r="H637">
        <v>4192.67</v>
      </c>
      <c r="I637">
        <v>2468.5900000000006</v>
      </c>
      <c r="J637">
        <v>0</v>
      </c>
      <c r="Q637">
        <v>906.89</v>
      </c>
      <c r="R637">
        <v>5202.9599999999991</v>
      </c>
      <c r="S637">
        <v>5569.579999999999</v>
      </c>
      <c r="T637">
        <v>4192.67</v>
      </c>
      <c r="U637">
        <v>2468.59</v>
      </c>
      <c r="V637">
        <v>4342.3100000000004</v>
      </c>
      <c r="AC637">
        <f>SUMPRODUCT(DB_SOFProject[[#This Row],[Plan01]:[Plan12]],$E$4:$P$4)/valUnits2</f>
        <v>18.340689999999999</v>
      </c>
      <c r="AD637">
        <f>SUMPRODUCT(DB_SOFProject[[#This Row],[Act01]:[Act12]],$Q$4:$AB$4)/valUnits2</f>
        <v>22.683</v>
      </c>
      <c r="AE637">
        <f>DB_SOFProject[[#This Row],[Actual]]-DB_SOFProject[[#This Row],[Plan]]</f>
        <v>4.3423100000000012</v>
      </c>
      <c r="AF637" s="32">
        <f>IF(DB_SOFProject[[#This Row],[Plan]]&lt;&gt;0,DB_SOFProject[[#This Row],[Actual]]/DB_SOFProject[[#This Row],[Plan]],1.000011000011)</f>
        <v>1.2367582680913314</v>
      </c>
      <c r="AG637" s="34">
        <f>SUM(DB_SOFProject[[#This Row],[Plan01]:[Plan12]])/valUnits2</f>
        <v>18.340689999999999</v>
      </c>
      <c r="AH637" s="34">
        <f>SUMPRODUCT(DB_SOFProject[[#This Row],[Act01]:[Act12]],$Q$3:$AB$3)/valUnits2</f>
        <v>22.683</v>
      </c>
    </row>
    <row r="638" spans="2:34" x14ac:dyDescent="0.2">
      <c r="B638" t="s">
        <v>488</v>
      </c>
      <c r="C638" t="s">
        <v>872</v>
      </c>
      <c r="D638" t="s">
        <v>968</v>
      </c>
      <c r="J638">
        <v>0</v>
      </c>
      <c r="V638">
        <v>0.77</v>
      </c>
      <c r="AC638">
        <f>SUMPRODUCT(DB_SOFProject[[#This Row],[Plan01]:[Plan12]],$E$4:$P$4)/valUnits2</f>
        <v>0</v>
      </c>
      <c r="AD638">
        <f>SUMPRODUCT(DB_SOFProject[[#This Row],[Act01]:[Act12]],$Q$4:$AB$4)/valUnits2</f>
        <v>7.7000000000000007E-4</v>
      </c>
      <c r="AE638">
        <f>DB_SOFProject[[#This Row],[Actual]]-DB_SOFProject[[#This Row],[Plan]]</f>
        <v>7.7000000000000007E-4</v>
      </c>
      <c r="AF638" s="32">
        <f>IF(DB_SOFProject[[#This Row],[Plan]]&lt;&gt;0,DB_SOFProject[[#This Row],[Actual]]/DB_SOFProject[[#This Row],[Plan]],1.000011000011)</f>
        <v>1.0000110000110001</v>
      </c>
      <c r="AG638" s="34">
        <f>SUM(DB_SOFProject[[#This Row],[Plan01]:[Plan12]])/valUnits2</f>
        <v>0</v>
      </c>
      <c r="AH638" s="34">
        <f>SUMPRODUCT(DB_SOFProject[[#This Row],[Act01]:[Act12]],$Q$3:$AB$3)/valUnits2</f>
        <v>7.7000000000000007E-4</v>
      </c>
    </row>
    <row r="639" spans="2:34" x14ac:dyDescent="0.2">
      <c r="B639" t="s">
        <v>488</v>
      </c>
      <c r="C639" t="s">
        <v>872</v>
      </c>
      <c r="D639" t="s">
        <v>974</v>
      </c>
      <c r="I639">
        <v>88.274000000000001</v>
      </c>
      <c r="U639">
        <v>88.1</v>
      </c>
      <c r="AC639">
        <f>SUMPRODUCT(DB_SOFProject[[#This Row],[Plan01]:[Plan12]],$E$4:$P$4)/valUnits2</f>
        <v>8.8274000000000005E-2</v>
      </c>
      <c r="AD639">
        <f>SUMPRODUCT(DB_SOFProject[[#This Row],[Act01]:[Act12]],$Q$4:$AB$4)/valUnits2</f>
        <v>8.8099999999999998E-2</v>
      </c>
      <c r="AE639">
        <f>DB_SOFProject[[#This Row],[Actual]]-DB_SOFProject[[#This Row],[Plan]]</f>
        <v>-1.7400000000000748E-4</v>
      </c>
      <c r="AF639" s="32">
        <f>IF(DB_SOFProject[[#This Row],[Plan]]&lt;&gt;0,DB_SOFProject[[#This Row],[Actual]]/DB_SOFProject[[#This Row],[Plan]],1.000011000011)</f>
        <v>0.99802886467136409</v>
      </c>
      <c r="AG639" s="34">
        <f>SUM(DB_SOFProject[[#This Row],[Plan01]:[Plan12]])/valUnits2</f>
        <v>8.8274000000000005E-2</v>
      </c>
      <c r="AH639" s="34">
        <f>SUMPRODUCT(DB_SOFProject[[#This Row],[Act01]:[Act12]],$Q$3:$AB$3)/valUnits2</f>
        <v>8.8099999999999998E-2</v>
      </c>
    </row>
    <row r="640" spans="2:34" x14ac:dyDescent="0.2">
      <c r="B640" t="s">
        <v>488</v>
      </c>
      <c r="C640" t="s">
        <v>874</v>
      </c>
      <c r="D640" t="s">
        <v>968</v>
      </c>
      <c r="H640">
        <v>5.4349999999999996</v>
      </c>
      <c r="J640">
        <v>0</v>
      </c>
      <c r="T640">
        <v>5.33</v>
      </c>
      <c r="V640">
        <v>2.5499999999999998</v>
      </c>
      <c r="AC640">
        <f>SUMPRODUCT(DB_SOFProject[[#This Row],[Plan01]:[Plan12]],$E$4:$P$4)/valUnits2</f>
        <v>5.4349999999999997E-3</v>
      </c>
      <c r="AD640">
        <f>SUMPRODUCT(DB_SOFProject[[#This Row],[Act01]:[Act12]],$Q$4:$AB$4)/valUnits2</f>
        <v>7.8799999999999999E-3</v>
      </c>
      <c r="AE640">
        <f>DB_SOFProject[[#This Row],[Actual]]-DB_SOFProject[[#This Row],[Plan]]</f>
        <v>2.4450000000000001E-3</v>
      </c>
      <c r="AF640" s="32">
        <f>IF(DB_SOFProject[[#This Row],[Plan]]&lt;&gt;0,DB_SOFProject[[#This Row],[Actual]]/DB_SOFProject[[#This Row],[Plan]],1.000011000011)</f>
        <v>1.4498620055197793</v>
      </c>
      <c r="AG640" s="34">
        <f>SUM(DB_SOFProject[[#This Row],[Plan01]:[Plan12]])/valUnits2</f>
        <v>5.4349999999999997E-3</v>
      </c>
      <c r="AH640" s="34">
        <f>SUMPRODUCT(DB_SOFProject[[#This Row],[Act01]:[Act12]],$Q$3:$AB$3)/valUnits2</f>
        <v>7.8799999999999999E-3</v>
      </c>
    </row>
    <row r="641" spans="2:34" x14ac:dyDescent="0.2">
      <c r="B641" t="s">
        <v>488</v>
      </c>
      <c r="C641" t="s">
        <v>874</v>
      </c>
      <c r="D641" t="s">
        <v>974</v>
      </c>
      <c r="E641">
        <v>0</v>
      </c>
      <c r="F641">
        <v>2045.9449999999999</v>
      </c>
      <c r="G641">
        <v>1033.742</v>
      </c>
      <c r="H641">
        <v>2123.2020000000002</v>
      </c>
      <c r="I641">
        <v>1121.423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2086.1999999999998</v>
      </c>
      <c r="S641">
        <v>1043.0999999999999</v>
      </c>
      <c r="T641">
        <v>2098.52</v>
      </c>
      <c r="U641">
        <v>1108.18</v>
      </c>
      <c r="V641">
        <v>2027.44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f>SUMPRODUCT(DB_SOFProject[[#This Row],[Plan01]:[Plan12]],$E$4:$P$4)/valUnits2</f>
        <v>6.3243119999999999</v>
      </c>
      <c r="AD641">
        <f>SUMPRODUCT(DB_SOFProject[[#This Row],[Act01]:[Act12]],$Q$4:$AB$4)/valUnits2</f>
        <v>8.3634400000000007</v>
      </c>
      <c r="AE641">
        <f>DB_SOFProject[[#This Row],[Actual]]-DB_SOFProject[[#This Row],[Plan]]</f>
        <v>2.0391280000000007</v>
      </c>
      <c r="AF641" s="32">
        <f>IF(DB_SOFProject[[#This Row],[Plan]]&lt;&gt;0,DB_SOFProject[[#This Row],[Actual]]/DB_SOFProject[[#This Row],[Plan]],1.000011000011)</f>
        <v>1.3224268505412131</v>
      </c>
      <c r="AG641" s="34">
        <f>SUM(DB_SOFProject[[#This Row],[Plan01]:[Plan12]])/valUnits2</f>
        <v>6.3243119999999999</v>
      </c>
      <c r="AH641" s="34">
        <f>SUMPRODUCT(DB_SOFProject[[#This Row],[Act01]:[Act12]],$Q$3:$AB$3)/valUnits2</f>
        <v>8.3634400000000007</v>
      </c>
    </row>
    <row r="642" spans="2:34" x14ac:dyDescent="0.2">
      <c r="B642" t="s">
        <v>488</v>
      </c>
      <c r="C642" t="s">
        <v>874</v>
      </c>
      <c r="D642" t="s">
        <v>995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371.988</v>
      </c>
      <c r="K642">
        <v>371.988</v>
      </c>
      <c r="L642">
        <v>371.988</v>
      </c>
      <c r="M642">
        <v>371.988</v>
      </c>
      <c r="N642">
        <v>371.988</v>
      </c>
      <c r="O642">
        <v>371.988</v>
      </c>
      <c r="P642">
        <v>371.988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f>SUMPRODUCT(DB_SOFProject[[#This Row],[Plan01]:[Plan12]],$E$4:$P$4)/valUnits2</f>
        <v>0.37198799999999999</v>
      </c>
      <c r="AD642">
        <f>SUMPRODUCT(DB_SOFProject[[#This Row],[Act01]:[Act12]],$Q$4:$AB$4)/valUnits2</f>
        <v>0</v>
      </c>
      <c r="AE642">
        <f>DB_SOFProject[[#This Row],[Actual]]-DB_SOFProject[[#This Row],[Plan]]</f>
        <v>-0.37198799999999999</v>
      </c>
      <c r="AF642" s="32">
        <f>IF(DB_SOFProject[[#This Row],[Plan]]&lt;&gt;0,DB_SOFProject[[#This Row],[Actual]]/DB_SOFProject[[#This Row],[Plan]],1.000011000011)</f>
        <v>0</v>
      </c>
      <c r="AG642" s="34">
        <f>SUM(DB_SOFProject[[#This Row],[Plan01]:[Plan12]])/valUnits2</f>
        <v>2.6039159999999999</v>
      </c>
      <c r="AH642" s="34">
        <f>SUMPRODUCT(DB_SOFProject[[#This Row],[Act01]:[Act12]],$Q$3:$AB$3)/valUnits2</f>
        <v>0</v>
      </c>
    </row>
    <row r="643" spans="2:34" x14ac:dyDescent="0.2">
      <c r="B643" t="s">
        <v>488</v>
      </c>
      <c r="C643" t="s">
        <v>875</v>
      </c>
      <c r="D643" t="s">
        <v>968</v>
      </c>
      <c r="G643">
        <v>10.256</v>
      </c>
      <c r="J643">
        <v>0</v>
      </c>
      <c r="S643">
        <v>10.32</v>
      </c>
      <c r="V643">
        <v>0.85</v>
      </c>
      <c r="AC643">
        <f>SUMPRODUCT(DB_SOFProject[[#This Row],[Plan01]:[Plan12]],$E$4:$P$4)/valUnits2</f>
        <v>1.0255999999999999E-2</v>
      </c>
      <c r="AD643">
        <f>SUMPRODUCT(DB_SOFProject[[#This Row],[Act01]:[Act12]],$Q$4:$AB$4)/valUnits2</f>
        <v>1.1169999999999999E-2</v>
      </c>
      <c r="AE643">
        <f>DB_SOFProject[[#This Row],[Actual]]-DB_SOFProject[[#This Row],[Plan]]</f>
        <v>9.1399999999999988E-4</v>
      </c>
      <c r="AF643" s="32">
        <f>IF(DB_SOFProject[[#This Row],[Plan]]&lt;&gt;0,DB_SOFProject[[#This Row],[Actual]]/DB_SOFProject[[#This Row],[Plan]],1.000011000011)</f>
        <v>1.0891185647425896</v>
      </c>
      <c r="AG643" s="34">
        <f>SUM(DB_SOFProject[[#This Row],[Plan01]:[Plan12]])/valUnits2</f>
        <v>1.0255999999999999E-2</v>
      </c>
      <c r="AH643" s="34">
        <f>SUMPRODUCT(DB_SOFProject[[#This Row],[Act01]:[Act12]],$Q$3:$AB$3)/valUnits2</f>
        <v>1.1169999999999999E-2</v>
      </c>
    </row>
    <row r="644" spans="2:34" x14ac:dyDescent="0.2">
      <c r="B644" t="s">
        <v>488</v>
      </c>
      <c r="C644" t="s">
        <v>876</v>
      </c>
      <c r="D644" t="s">
        <v>968</v>
      </c>
      <c r="J644">
        <v>0</v>
      </c>
      <c r="V644">
        <v>0.91</v>
      </c>
      <c r="AC644">
        <f>SUMPRODUCT(DB_SOFProject[[#This Row],[Plan01]:[Plan12]],$E$4:$P$4)/valUnits2</f>
        <v>0</v>
      </c>
      <c r="AD644">
        <f>SUMPRODUCT(DB_SOFProject[[#This Row],[Act01]:[Act12]],$Q$4:$AB$4)/valUnits2</f>
        <v>9.1E-4</v>
      </c>
      <c r="AE644">
        <f>DB_SOFProject[[#This Row],[Actual]]-DB_SOFProject[[#This Row],[Plan]]</f>
        <v>9.1E-4</v>
      </c>
      <c r="AF644" s="32">
        <f>IF(DB_SOFProject[[#This Row],[Plan]]&lt;&gt;0,DB_SOFProject[[#This Row],[Actual]]/DB_SOFProject[[#This Row],[Plan]],1.000011000011)</f>
        <v>1.0000110000110001</v>
      </c>
      <c r="AG644" s="34">
        <f>SUM(DB_SOFProject[[#This Row],[Plan01]:[Plan12]])/valUnits2</f>
        <v>0</v>
      </c>
      <c r="AH644" s="34">
        <f>SUMPRODUCT(DB_SOFProject[[#This Row],[Act01]:[Act12]],$Q$3:$AB$3)/valUnits2</f>
        <v>9.1E-4</v>
      </c>
    </row>
    <row r="645" spans="2:34" x14ac:dyDescent="0.2">
      <c r="B645" t="s">
        <v>488</v>
      </c>
      <c r="C645" t="s">
        <v>876</v>
      </c>
      <c r="D645" t="s">
        <v>974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142.07999999999998</v>
      </c>
      <c r="K645">
        <v>142.07999999999998</v>
      </c>
      <c r="L645">
        <v>142.07999999999998</v>
      </c>
      <c r="M645">
        <v>142.07999999999998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AC645">
        <f>SUMPRODUCT(DB_SOFProject[[#This Row],[Plan01]:[Plan12]],$E$4:$P$4)/valUnits2</f>
        <v>0.14207999999999998</v>
      </c>
      <c r="AD645">
        <f>SUMPRODUCT(DB_SOFProject[[#This Row],[Act01]:[Act12]],$Q$4:$AB$4)/valUnits2</f>
        <v>0</v>
      </c>
      <c r="AE645">
        <f>DB_SOFProject[[#This Row],[Actual]]-DB_SOFProject[[#This Row],[Plan]]</f>
        <v>-0.14207999999999998</v>
      </c>
      <c r="AF645" s="32">
        <f>IF(DB_SOFProject[[#This Row],[Plan]]&lt;&gt;0,DB_SOFProject[[#This Row],[Actual]]/DB_SOFProject[[#This Row],[Plan]],1.000011000011)</f>
        <v>0</v>
      </c>
      <c r="AG645" s="34">
        <f>SUM(DB_SOFProject[[#This Row],[Plan01]:[Plan12]])/valUnits2</f>
        <v>0.56831999999999994</v>
      </c>
      <c r="AH645" s="34">
        <f>SUMPRODUCT(DB_SOFProject[[#This Row],[Act01]:[Act12]],$Q$3:$AB$3)/valUnits2</f>
        <v>0</v>
      </c>
    </row>
    <row r="646" spans="2:34" x14ac:dyDescent="0.2">
      <c r="B646" t="s">
        <v>488</v>
      </c>
      <c r="C646" t="s">
        <v>362</v>
      </c>
      <c r="D646" t="s">
        <v>941</v>
      </c>
      <c r="E646">
        <v>0</v>
      </c>
      <c r="Q646">
        <v>0</v>
      </c>
      <c r="AC646">
        <f>SUMPRODUCT(DB_SOFProject[[#This Row],[Plan01]:[Plan12]],$E$4:$P$4)/valUnits2</f>
        <v>0</v>
      </c>
      <c r="AD646">
        <f>SUMPRODUCT(DB_SOFProject[[#This Row],[Act01]:[Act12]],$Q$4:$AB$4)/valUnits2</f>
        <v>0</v>
      </c>
      <c r="AE646">
        <f>DB_SOFProject[[#This Row],[Actual]]-DB_SOFProject[[#This Row],[Plan]]</f>
        <v>0</v>
      </c>
      <c r="AF646" s="32">
        <f>IF(DB_SOFProject[[#This Row],[Plan]]&lt;&gt;0,DB_SOFProject[[#This Row],[Actual]]/DB_SOFProject[[#This Row],[Plan]],1.000011000011)</f>
        <v>1.0000110000110001</v>
      </c>
      <c r="AG646" s="34">
        <f>SUM(DB_SOFProject[[#This Row],[Plan01]:[Plan12]])/valUnits2</f>
        <v>0</v>
      </c>
      <c r="AH646" s="34">
        <f>SUMPRODUCT(DB_SOFProject[[#This Row],[Act01]:[Act12]],$Q$3:$AB$3)/valUnits2</f>
        <v>0</v>
      </c>
    </row>
    <row r="647" spans="2:34" x14ac:dyDescent="0.2">
      <c r="B647" t="s">
        <v>488</v>
      </c>
      <c r="C647" t="s">
        <v>362</v>
      </c>
      <c r="D647" t="s">
        <v>968</v>
      </c>
      <c r="J647">
        <v>0</v>
      </c>
      <c r="V647">
        <v>0.59</v>
      </c>
      <c r="AC647">
        <f>SUMPRODUCT(DB_SOFProject[[#This Row],[Plan01]:[Plan12]],$E$4:$P$4)/valUnits2</f>
        <v>0</v>
      </c>
      <c r="AD647">
        <f>SUMPRODUCT(DB_SOFProject[[#This Row],[Act01]:[Act12]],$Q$4:$AB$4)/valUnits2</f>
        <v>5.8999999999999992E-4</v>
      </c>
      <c r="AE647">
        <f>DB_SOFProject[[#This Row],[Actual]]-DB_SOFProject[[#This Row],[Plan]]</f>
        <v>5.8999999999999992E-4</v>
      </c>
      <c r="AF647" s="32">
        <f>IF(DB_SOFProject[[#This Row],[Plan]]&lt;&gt;0,DB_SOFProject[[#This Row],[Actual]]/DB_SOFProject[[#This Row],[Plan]],1.000011000011)</f>
        <v>1.0000110000110001</v>
      </c>
      <c r="AG647" s="34">
        <f>SUM(DB_SOFProject[[#This Row],[Plan01]:[Plan12]])/valUnits2</f>
        <v>0</v>
      </c>
      <c r="AH647" s="34">
        <f>SUMPRODUCT(DB_SOFProject[[#This Row],[Act01]:[Act12]],$Q$3:$AB$3)/valUnits2</f>
        <v>5.8999999999999992E-4</v>
      </c>
    </row>
    <row r="648" spans="2:34" x14ac:dyDescent="0.2">
      <c r="B648" t="s">
        <v>488</v>
      </c>
      <c r="C648" t="s">
        <v>877</v>
      </c>
      <c r="D648" t="s">
        <v>968</v>
      </c>
      <c r="J648">
        <v>0</v>
      </c>
      <c r="V648">
        <v>2.35</v>
      </c>
      <c r="AC648">
        <f>SUMPRODUCT(DB_SOFProject[[#This Row],[Plan01]:[Plan12]],$E$4:$P$4)/valUnits2</f>
        <v>0</v>
      </c>
      <c r="AD648">
        <f>SUMPRODUCT(DB_SOFProject[[#This Row],[Act01]:[Act12]],$Q$4:$AB$4)/valUnits2</f>
        <v>2.3500000000000001E-3</v>
      </c>
      <c r="AE648">
        <f>DB_SOFProject[[#This Row],[Actual]]-DB_SOFProject[[#This Row],[Plan]]</f>
        <v>2.3500000000000001E-3</v>
      </c>
      <c r="AF648" s="32">
        <f>IF(DB_SOFProject[[#This Row],[Plan]]&lt;&gt;0,DB_SOFProject[[#This Row],[Actual]]/DB_SOFProject[[#This Row],[Plan]],1.000011000011)</f>
        <v>1.0000110000110001</v>
      </c>
      <c r="AG648" s="34">
        <f>SUM(DB_SOFProject[[#This Row],[Plan01]:[Plan12]])/valUnits2</f>
        <v>0</v>
      </c>
      <c r="AH648" s="34">
        <f>SUMPRODUCT(DB_SOFProject[[#This Row],[Act01]:[Act12]],$Q$3:$AB$3)/valUnits2</f>
        <v>2.3500000000000001E-3</v>
      </c>
    </row>
    <row r="649" spans="2:34" x14ac:dyDescent="0.2">
      <c r="B649" t="s">
        <v>488</v>
      </c>
      <c r="C649" t="s">
        <v>877</v>
      </c>
      <c r="D649" t="s">
        <v>974</v>
      </c>
      <c r="I649">
        <v>294.43900000000002</v>
      </c>
      <c r="J649">
        <v>0</v>
      </c>
      <c r="U649">
        <v>290.87</v>
      </c>
      <c r="V649">
        <v>290.68</v>
      </c>
      <c r="AC649">
        <f>SUMPRODUCT(DB_SOFProject[[#This Row],[Plan01]:[Plan12]],$E$4:$P$4)/valUnits2</f>
        <v>0.29443900000000001</v>
      </c>
      <c r="AD649">
        <f>SUMPRODUCT(DB_SOFProject[[#This Row],[Act01]:[Act12]],$Q$4:$AB$4)/valUnits2</f>
        <v>0.5815499999999999</v>
      </c>
      <c r="AE649">
        <f>DB_SOFProject[[#This Row],[Actual]]-DB_SOFProject[[#This Row],[Plan]]</f>
        <v>0.28711099999999989</v>
      </c>
      <c r="AF649" s="32">
        <f>IF(DB_SOFProject[[#This Row],[Plan]]&lt;&gt;0,DB_SOFProject[[#This Row],[Actual]]/DB_SOFProject[[#This Row],[Plan]],1.000011000011)</f>
        <v>1.9751119926368446</v>
      </c>
      <c r="AG649" s="34">
        <f>SUM(DB_SOFProject[[#This Row],[Plan01]:[Plan12]])/valUnits2</f>
        <v>0.29443900000000001</v>
      </c>
      <c r="AH649" s="34">
        <f>SUMPRODUCT(DB_SOFProject[[#This Row],[Act01]:[Act12]],$Q$3:$AB$3)/valUnits2</f>
        <v>0.5815499999999999</v>
      </c>
    </row>
    <row r="650" spans="2:34" x14ac:dyDescent="0.2">
      <c r="B650" t="s">
        <v>488</v>
      </c>
      <c r="C650" t="s">
        <v>878</v>
      </c>
      <c r="D650" t="s">
        <v>941</v>
      </c>
      <c r="E650">
        <v>0</v>
      </c>
      <c r="F650">
        <v>0</v>
      </c>
      <c r="Q650">
        <v>0</v>
      </c>
      <c r="R650">
        <v>0</v>
      </c>
      <c r="AC650">
        <f>SUMPRODUCT(DB_SOFProject[[#This Row],[Plan01]:[Plan12]],$E$4:$P$4)/valUnits2</f>
        <v>0</v>
      </c>
      <c r="AD650">
        <f>SUMPRODUCT(DB_SOFProject[[#This Row],[Act01]:[Act12]],$Q$4:$AB$4)/valUnits2</f>
        <v>0</v>
      </c>
      <c r="AE650">
        <f>DB_SOFProject[[#This Row],[Actual]]-DB_SOFProject[[#This Row],[Plan]]</f>
        <v>0</v>
      </c>
      <c r="AF650" s="32">
        <f>IF(DB_SOFProject[[#This Row],[Plan]]&lt;&gt;0,DB_SOFProject[[#This Row],[Actual]]/DB_SOFProject[[#This Row],[Plan]],1.000011000011)</f>
        <v>1.0000110000110001</v>
      </c>
      <c r="AG650" s="34">
        <f>SUM(DB_SOFProject[[#This Row],[Plan01]:[Plan12]])/valUnits2</f>
        <v>0</v>
      </c>
      <c r="AH650" s="34">
        <f>SUMPRODUCT(DB_SOFProject[[#This Row],[Act01]:[Act12]],$Q$3:$AB$3)/valUnits2</f>
        <v>0</v>
      </c>
    </row>
    <row r="651" spans="2:34" x14ac:dyDescent="0.2">
      <c r="B651" t="s">
        <v>488</v>
      </c>
      <c r="C651" t="s">
        <v>881</v>
      </c>
      <c r="D651" t="s">
        <v>968</v>
      </c>
      <c r="J651">
        <v>0</v>
      </c>
      <c r="V651">
        <v>1.1599999999999999</v>
      </c>
      <c r="AC651">
        <f>SUMPRODUCT(DB_SOFProject[[#This Row],[Plan01]:[Plan12]],$E$4:$P$4)/valUnits2</f>
        <v>0</v>
      </c>
      <c r="AD651">
        <f>SUMPRODUCT(DB_SOFProject[[#This Row],[Act01]:[Act12]],$Q$4:$AB$4)/valUnits2</f>
        <v>1.16E-3</v>
      </c>
      <c r="AE651">
        <f>DB_SOFProject[[#This Row],[Actual]]-DB_SOFProject[[#This Row],[Plan]]</f>
        <v>1.16E-3</v>
      </c>
      <c r="AF651" s="32">
        <f>IF(DB_SOFProject[[#This Row],[Plan]]&lt;&gt;0,DB_SOFProject[[#This Row],[Actual]]/DB_SOFProject[[#This Row],[Plan]],1.000011000011)</f>
        <v>1.0000110000110001</v>
      </c>
      <c r="AG651" s="34">
        <f>SUM(DB_SOFProject[[#This Row],[Plan01]:[Plan12]])/valUnits2</f>
        <v>0</v>
      </c>
      <c r="AH651" s="34">
        <f>SUMPRODUCT(DB_SOFProject[[#This Row],[Act01]:[Act12]],$Q$3:$AB$3)/valUnits2</f>
        <v>1.16E-3</v>
      </c>
    </row>
    <row r="652" spans="2:34" x14ac:dyDescent="0.2">
      <c r="B652" t="s">
        <v>488</v>
      </c>
      <c r="C652" t="s">
        <v>883</v>
      </c>
      <c r="D652" t="s">
        <v>941</v>
      </c>
      <c r="E652">
        <v>0</v>
      </c>
      <c r="Q652">
        <v>0</v>
      </c>
      <c r="AC652">
        <f>SUMPRODUCT(DB_SOFProject[[#This Row],[Plan01]:[Plan12]],$E$4:$P$4)/valUnits2</f>
        <v>0</v>
      </c>
      <c r="AD652">
        <f>SUMPRODUCT(DB_SOFProject[[#This Row],[Act01]:[Act12]],$Q$4:$AB$4)/valUnits2</f>
        <v>0</v>
      </c>
      <c r="AE652">
        <f>DB_SOFProject[[#This Row],[Actual]]-DB_SOFProject[[#This Row],[Plan]]</f>
        <v>0</v>
      </c>
      <c r="AF652" s="32">
        <f>IF(DB_SOFProject[[#This Row],[Plan]]&lt;&gt;0,DB_SOFProject[[#This Row],[Actual]]/DB_SOFProject[[#This Row],[Plan]],1.000011000011)</f>
        <v>1.0000110000110001</v>
      </c>
      <c r="AG652" s="34">
        <f>SUM(DB_SOFProject[[#This Row],[Plan01]:[Plan12]])/valUnits2</f>
        <v>0</v>
      </c>
      <c r="AH652" s="34">
        <f>SUMPRODUCT(DB_SOFProject[[#This Row],[Act01]:[Act12]],$Q$3:$AB$3)/valUnits2</f>
        <v>0</v>
      </c>
    </row>
    <row r="653" spans="2:34" x14ac:dyDescent="0.2">
      <c r="B653" t="s">
        <v>488</v>
      </c>
      <c r="C653" t="s">
        <v>883</v>
      </c>
      <c r="D653" t="s">
        <v>974</v>
      </c>
      <c r="E653">
        <v>1227.6289999999999</v>
      </c>
      <c r="H653">
        <v>3255.2069999999999</v>
      </c>
      <c r="Q653">
        <v>1252.51</v>
      </c>
      <c r="T653">
        <v>3212.95</v>
      </c>
      <c r="AC653">
        <f>SUMPRODUCT(DB_SOFProject[[#This Row],[Plan01]:[Plan12]],$E$4:$P$4)/valUnits2</f>
        <v>4.4828359999999989</v>
      </c>
      <c r="AD653">
        <f>SUMPRODUCT(DB_SOFProject[[#This Row],[Act01]:[Act12]],$Q$4:$AB$4)/valUnits2</f>
        <v>4.4654600000000002</v>
      </c>
      <c r="AE653">
        <f>DB_SOFProject[[#This Row],[Actual]]-DB_SOFProject[[#This Row],[Plan]]</f>
        <v>-1.7375999999998726E-2</v>
      </c>
      <c r="AF653" s="32">
        <f>IF(DB_SOFProject[[#This Row],[Plan]]&lt;&gt;0,DB_SOFProject[[#This Row],[Actual]]/DB_SOFProject[[#This Row],[Plan]],1.000011000011)</f>
        <v>0.99612388229237059</v>
      </c>
      <c r="AG653" s="34">
        <f>SUM(DB_SOFProject[[#This Row],[Plan01]:[Plan12]])/valUnits2</f>
        <v>4.4828359999999989</v>
      </c>
      <c r="AH653" s="34">
        <f>SUMPRODUCT(DB_SOFProject[[#This Row],[Act01]:[Act12]],$Q$3:$AB$3)/valUnits2</f>
        <v>4.4654600000000002</v>
      </c>
    </row>
    <row r="654" spans="2:34" x14ac:dyDescent="0.2">
      <c r="B654" t="s">
        <v>488</v>
      </c>
      <c r="C654" t="s">
        <v>884</v>
      </c>
      <c r="D654" t="s">
        <v>968</v>
      </c>
      <c r="E654">
        <v>1194.347</v>
      </c>
      <c r="F654">
        <v>1195.8869999999999</v>
      </c>
      <c r="G654">
        <v>1249.077</v>
      </c>
      <c r="H654">
        <v>1166.6669999999999</v>
      </c>
      <c r="I654">
        <v>944.4369999999999</v>
      </c>
      <c r="J654">
        <v>1166.6669999999999</v>
      </c>
      <c r="K654">
        <v>1166.6669999999999</v>
      </c>
      <c r="L654">
        <v>1166.6669999999999</v>
      </c>
      <c r="M654">
        <v>1166.6669999999999</v>
      </c>
      <c r="N654">
        <v>1166.6669999999999</v>
      </c>
      <c r="O654">
        <v>1166.6669999999999</v>
      </c>
      <c r="P654">
        <v>1166.6669999999999</v>
      </c>
      <c r="Q654">
        <v>27.68</v>
      </c>
      <c r="R654">
        <v>29.22</v>
      </c>
      <c r="S654">
        <v>82.41</v>
      </c>
      <c r="T654">
        <v>0</v>
      </c>
      <c r="U654">
        <v>-222.23000000000002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f>SUMPRODUCT(DB_SOFProject[[#This Row],[Plan01]:[Plan12]],$E$4:$P$4)/valUnits2</f>
        <v>6.9170819999999988</v>
      </c>
      <c r="AD654">
        <f>SUMPRODUCT(DB_SOFProject[[#This Row],[Act01]:[Act12]],$Q$4:$AB$4)/valUnits2</f>
        <v>-8.2920000000000021E-2</v>
      </c>
      <c r="AE654">
        <f>DB_SOFProject[[#This Row],[Actual]]-DB_SOFProject[[#This Row],[Plan]]</f>
        <v>-7.0000019999999985</v>
      </c>
      <c r="AF654" s="32">
        <f>IF(DB_SOFProject[[#This Row],[Plan]]&lt;&gt;0,DB_SOFProject[[#This Row],[Actual]]/DB_SOFProject[[#This Row],[Plan]],1.000011000011)</f>
        <v>-1.198771389438495E-2</v>
      </c>
      <c r="AG654" s="34">
        <f>SUM(DB_SOFProject[[#This Row],[Plan01]:[Plan12]])/valUnits2</f>
        <v>13.917083999999996</v>
      </c>
      <c r="AH654" s="34">
        <f>SUMPRODUCT(DB_SOFProject[[#This Row],[Act01]:[Act12]],$Q$3:$AB$3)/valUnits2</f>
        <v>-8.2920000000000021E-2</v>
      </c>
    </row>
    <row r="655" spans="2:34" x14ac:dyDescent="0.2">
      <c r="B655" t="s">
        <v>488</v>
      </c>
      <c r="C655" t="s">
        <v>884</v>
      </c>
      <c r="D655" t="s">
        <v>974</v>
      </c>
      <c r="E655">
        <v>1075</v>
      </c>
      <c r="F655">
        <v>1075</v>
      </c>
      <c r="G655">
        <v>1075</v>
      </c>
      <c r="H655">
        <v>1075</v>
      </c>
      <c r="I655">
        <v>1075</v>
      </c>
      <c r="J655">
        <v>1075</v>
      </c>
      <c r="K655">
        <v>1075</v>
      </c>
      <c r="L655">
        <v>1075</v>
      </c>
      <c r="M655">
        <v>1075</v>
      </c>
      <c r="N655">
        <v>1075</v>
      </c>
      <c r="O655">
        <v>1075</v>
      </c>
      <c r="P655">
        <v>1075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f>SUMPRODUCT(DB_SOFProject[[#This Row],[Plan01]:[Plan12]],$E$4:$P$4)/valUnits2</f>
        <v>6.45</v>
      </c>
      <c r="AD655">
        <f>SUMPRODUCT(DB_SOFProject[[#This Row],[Act01]:[Act12]],$Q$4:$AB$4)/valUnits2</f>
        <v>0</v>
      </c>
      <c r="AE655">
        <f>DB_SOFProject[[#This Row],[Actual]]-DB_SOFProject[[#This Row],[Plan]]</f>
        <v>-6.45</v>
      </c>
      <c r="AF655" s="32">
        <f>IF(DB_SOFProject[[#This Row],[Plan]]&lt;&gt;0,DB_SOFProject[[#This Row],[Actual]]/DB_SOFProject[[#This Row],[Plan]],1.000011000011)</f>
        <v>0</v>
      </c>
      <c r="AG655" s="34">
        <f>SUM(DB_SOFProject[[#This Row],[Plan01]:[Plan12]])/valUnits2</f>
        <v>12.9</v>
      </c>
      <c r="AH655" s="34">
        <f>SUMPRODUCT(DB_SOFProject[[#This Row],[Act01]:[Act12]],$Q$3:$AB$3)/valUnits2</f>
        <v>0</v>
      </c>
    </row>
    <row r="656" spans="2:34" x14ac:dyDescent="0.2">
      <c r="B656" t="s">
        <v>488</v>
      </c>
      <c r="C656" t="s">
        <v>885</v>
      </c>
      <c r="D656" t="s">
        <v>941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7.8800000000000008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f>SUMPRODUCT(DB_SOFProject[[#This Row],[Plan01]:[Plan12]],$E$4:$P$4)/valUnits2</f>
        <v>0</v>
      </c>
      <c r="AD656">
        <f>SUMPRODUCT(DB_SOFProject[[#This Row],[Act01]:[Act12]],$Q$4:$AB$4)/valUnits2</f>
        <v>7.8800000000000016E-3</v>
      </c>
      <c r="AE656">
        <f>DB_SOFProject[[#This Row],[Actual]]-DB_SOFProject[[#This Row],[Plan]]</f>
        <v>7.8800000000000016E-3</v>
      </c>
      <c r="AF656" s="32">
        <f>IF(DB_SOFProject[[#This Row],[Plan]]&lt;&gt;0,DB_SOFProject[[#This Row],[Actual]]/DB_SOFProject[[#This Row],[Plan]],1.000011000011)</f>
        <v>1.0000110000110001</v>
      </c>
      <c r="AG656" s="34">
        <f>SUM(DB_SOFProject[[#This Row],[Plan01]:[Plan12]])/valUnits2</f>
        <v>0</v>
      </c>
      <c r="AH656" s="34">
        <f>SUMPRODUCT(DB_SOFProject[[#This Row],[Act01]:[Act12]],$Q$3:$AB$3)/valUnits2</f>
        <v>7.8800000000000016E-3</v>
      </c>
    </row>
    <row r="657" spans="2:34" x14ac:dyDescent="0.2">
      <c r="B657" t="s">
        <v>488</v>
      </c>
      <c r="C657" t="s">
        <v>885</v>
      </c>
      <c r="D657" t="s">
        <v>968</v>
      </c>
      <c r="J657">
        <v>0</v>
      </c>
      <c r="V657">
        <v>1.19</v>
      </c>
      <c r="AC657">
        <f>SUMPRODUCT(DB_SOFProject[[#This Row],[Plan01]:[Plan12]],$E$4:$P$4)/valUnits2</f>
        <v>0</v>
      </c>
      <c r="AD657">
        <f>SUMPRODUCT(DB_SOFProject[[#This Row],[Act01]:[Act12]],$Q$4:$AB$4)/valUnits2</f>
        <v>1.1899999999999999E-3</v>
      </c>
      <c r="AE657">
        <f>DB_SOFProject[[#This Row],[Actual]]-DB_SOFProject[[#This Row],[Plan]]</f>
        <v>1.1899999999999999E-3</v>
      </c>
      <c r="AF657" s="32">
        <f>IF(DB_SOFProject[[#This Row],[Plan]]&lt;&gt;0,DB_SOFProject[[#This Row],[Actual]]/DB_SOFProject[[#This Row],[Plan]],1.000011000011)</f>
        <v>1.0000110000110001</v>
      </c>
      <c r="AG657" s="34">
        <f>SUM(DB_SOFProject[[#This Row],[Plan01]:[Plan12]])/valUnits2</f>
        <v>0</v>
      </c>
      <c r="AH657" s="34">
        <f>SUMPRODUCT(DB_SOFProject[[#This Row],[Act01]:[Act12]],$Q$3:$AB$3)/valUnits2</f>
        <v>1.1899999999999999E-3</v>
      </c>
    </row>
    <row r="658" spans="2:34" x14ac:dyDescent="0.2">
      <c r="B658" t="s">
        <v>488</v>
      </c>
      <c r="C658" t="s">
        <v>885</v>
      </c>
      <c r="D658" t="s">
        <v>974</v>
      </c>
      <c r="G658">
        <v>531.928</v>
      </c>
      <c r="H658">
        <v>1.2789999999999999</v>
      </c>
      <c r="S658">
        <v>508.89</v>
      </c>
      <c r="T658">
        <v>1.29</v>
      </c>
      <c r="AC658">
        <f>SUMPRODUCT(DB_SOFProject[[#This Row],[Plan01]:[Plan12]],$E$4:$P$4)/valUnits2</f>
        <v>0.53320699999999999</v>
      </c>
      <c r="AD658">
        <f>SUMPRODUCT(DB_SOFProject[[#This Row],[Act01]:[Act12]],$Q$4:$AB$4)/valUnits2</f>
        <v>0.51017999999999997</v>
      </c>
      <c r="AE658">
        <f>DB_SOFProject[[#This Row],[Actual]]-DB_SOFProject[[#This Row],[Plan]]</f>
        <v>-2.302700000000002E-2</v>
      </c>
      <c r="AF658" s="32">
        <f>IF(DB_SOFProject[[#This Row],[Plan]]&lt;&gt;0,DB_SOFProject[[#This Row],[Actual]]/DB_SOFProject[[#This Row],[Plan]],1.000011000011)</f>
        <v>0.95681414535067988</v>
      </c>
      <c r="AG658" s="34">
        <f>SUM(DB_SOFProject[[#This Row],[Plan01]:[Plan12]])/valUnits2</f>
        <v>0.53320699999999999</v>
      </c>
      <c r="AH658" s="34">
        <f>SUMPRODUCT(DB_SOFProject[[#This Row],[Act01]:[Act12]],$Q$3:$AB$3)/valUnits2</f>
        <v>0.51017999999999997</v>
      </c>
    </row>
    <row r="659" spans="2:34" x14ac:dyDescent="0.2">
      <c r="B659" t="s">
        <v>488</v>
      </c>
      <c r="C659" t="s">
        <v>361</v>
      </c>
      <c r="D659" t="s">
        <v>968</v>
      </c>
      <c r="J659">
        <v>0</v>
      </c>
      <c r="V659">
        <v>0.23</v>
      </c>
      <c r="AC659">
        <f>SUMPRODUCT(DB_SOFProject[[#This Row],[Plan01]:[Plan12]],$E$4:$P$4)/valUnits2</f>
        <v>0</v>
      </c>
      <c r="AD659">
        <f>SUMPRODUCT(DB_SOFProject[[#This Row],[Act01]:[Act12]],$Q$4:$AB$4)/valUnits2</f>
        <v>2.3000000000000001E-4</v>
      </c>
      <c r="AE659">
        <f>DB_SOFProject[[#This Row],[Actual]]-DB_SOFProject[[#This Row],[Plan]]</f>
        <v>2.3000000000000001E-4</v>
      </c>
      <c r="AF659" s="32">
        <f>IF(DB_SOFProject[[#This Row],[Plan]]&lt;&gt;0,DB_SOFProject[[#This Row],[Actual]]/DB_SOFProject[[#This Row],[Plan]],1.000011000011)</f>
        <v>1.0000110000110001</v>
      </c>
      <c r="AG659" s="34">
        <f>SUM(DB_SOFProject[[#This Row],[Plan01]:[Plan12]])/valUnits2</f>
        <v>0</v>
      </c>
      <c r="AH659" s="34">
        <f>SUMPRODUCT(DB_SOFProject[[#This Row],[Act01]:[Act12]],$Q$3:$AB$3)/valUnits2</f>
        <v>2.3000000000000001E-4</v>
      </c>
    </row>
    <row r="660" spans="2:34" x14ac:dyDescent="0.2">
      <c r="B660" t="s">
        <v>488</v>
      </c>
      <c r="C660" t="s">
        <v>358</v>
      </c>
      <c r="D660" t="s">
        <v>968</v>
      </c>
      <c r="J660">
        <v>0</v>
      </c>
      <c r="V660">
        <v>0.86</v>
      </c>
      <c r="AC660">
        <f>SUMPRODUCT(DB_SOFProject[[#This Row],[Plan01]:[Plan12]],$E$4:$P$4)/valUnits2</f>
        <v>0</v>
      </c>
      <c r="AD660">
        <f>SUMPRODUCT(DB_SOFProject[[#This Row],[Act01]:[Act12]],$Q$4:$AB$4)/valUnits2</f>
        <v>8.5999999999999998E-4</v>
      </c>
      <c r="AE660">
        <f>DB_SOFProject[[#This Row],[Actual]]-DB_SOFProject[[#This Row],[Plan]]</f>
        <v>8.5999999999999998E-4</v>
      </c>
      <c r="AF660" s="32">
        <f>IF(DB_SOFProject[[#This Row],[Plan]]&lt;&gt;0,DB_SOFProject[[#This Row],[Actual]]/DB_SOFProject[[#This Row],[Plan]],1.000011000011)</f>
        <v>1.0000110000110001</v>
      </c>
      <c r="AG660" s="34">
        <f>SUM(DB_SOFProject[[#This Row],[Plan01]:[Plan12]])/valUnits2</f>
        <v>0</v>
      </c>
      <c r="AH660" s="34">
        <f>SUMPRODUCT(DB_SOFProject[[#This Row],[Act01]:[Act12]],$Q$3:$AB$3)/valUnits2</f>
        <v>8.5999999999999998E-4</v>
      </c>
    </row>
    <row r="661" spans="2:34" x14ac:dyDescent="0.2">
      <c r="B661" t="s">
        <v>488</v>
      </c>
      <c r="C661" t="s">
        <v>890</v>
      </c>
      <c r="D661" t="s">
        <v>968</v>
      </c>
      <c r="J661">
        <v>0</v>
      </c>
      <c r="V661">
        <v>1.27</v>
      </c>
      <c r="AC661">
        <f>SUMPRODUCT(DB_SOFProject[[#This Row],[Plan01]:[Plan12]],$E$4:$P$4)/valUnits2</f>
        <v>0</v>
      </c>
      <c r="AD661">
        <f>SUMPRODUCT(DB_SOFProject[[#This Row],[Act01]:[Act12]],$Q$4:$AB$4)/valUnits2</f>
        <v>1.2700000000000001E-3</v>
      </c>
      <c r="AE661">
        <f>DB_SOFProject[[#This Row],[Actual]]-DB_SOFProject[[#This Row],[Plan]]</f>
        <v>1.2700000000000001E-3</v>
      </c>
      <c r="AF661" s="32">
        <f>IF(DB_SOFProject[[#This Row],[Plan]]&lt;&gt;0,DB_SOFProject[[#This Row],[Actual]]/DB_SOFProject[[#This Row],[Plan]],1.000011000011)</f>
        <v>1.0000110000110001</v>
      </c>
      <c r="AG661" s="34">
        <f>SUM(DB_SOFProject[[#This Row],[Plan01]:[Plan12]])/valUnits2</f>
        <v>0</v>
      </c>
      <c r="AH661" s="34">
        <f>SUMPRODUCT(DB_SOFProject[[#This Row],[Act01]:[Act12]],$Q$3:$AB$3)/valUnits2</f>
        <v>1.2700000000000001E-3</v>
      </c>
    </row>
    <row r="662" spans="2:34" x14ac:dyDescent="0.2">
      <c r="B662" t="s">
        <v>488</v>
      </c>
      <c r="C662" t="s">
        <v>890</v>
      </c>
      <c r="D662" t="s">
        <v>974</v>
      </c>
      <c r="F662">
        <v>0</v>
      </c>
      <c r="G662">
        <v>0</v>
      </c>
      <c r="H662">
        <v>0</v>
      </c>
      <c r="I662">
        <v>0</v>
      </c>
      <c r="J662">
        <v>534.71100000000001</v>
      </c>
      <c r="K662">
        <v>534.71100000000001</v>
      </c>
      <c r="L662">
        <v>534.71100000000001</v>
      </c>
      <c r="M662">
        <v>534.71100000000001</v>
      </c>
      <c r="N662">
        <v>534.71100000000001</v>
      </c>
      <c r="O662">
        <v>534.71100000000001</v>
      </c>
      <c r="P662">
        <v>534.71100000000001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f>SUMPRODUCT(DB_SOFProject[[#This Row],[Plan01]:[Plan12]],$E$4:$P$4)/valUnits2</f>
        <v>0.53471100000000005</v>
      </c>
      <c r="AD662">
        <f>SUMPRODUCT(DB_SOFProject[[#This Row],[Act01]:[Act12]],$Q$4:$AB$4)/valUnits2</f>
        <v>0</v>
      </c>
      <c r="AE662">
        <f>DB_SOFProject[[#This Row],[Actual]]-DB_SOFProject[[#This Row],[Plan]]</f>
        <v>-0.53471100000000005</v>
      </c>
      <c r="AF662" s="32">
        <f>IF(DB_SOFProject[[#This Row],[Plan]]&lt;&gt;0,DB_SOFProject[[#This Row],[Actual]]/DB_SOFProject[[#This Row],[Plan]],1.000011000011)</f>
        <v>0</v>
      </c>
      <c r="AG662" s="34">
        <f>SUM(DB_SOFProject[[#This Row],[Plan01]:[Plan12]])/valUnits2</f>
        <v>3.7429770000000007</v>
      </c>
      <c r="AH662" s="34">
        <f>SUMPRODUCT(DB_SOFProject[[#This Row],[Act01]:[Act12]],$Q$3:$AB$3)/valUnits2</f>
        <v>0</v>
      </c>
    </row>
    <row r="663" spans="2:34" x14ac:dyDescent="0.2">
      <c r="B663" t="s">
        <v>488</v>
      </c>
      <c r="C663" t="s">
        <v>891</v>
      </c>
      <c r="D663" t="s">
        <v>941</v>
      </c>
      <c r="J663">
        <v>0</v>
      </c>
      <c r="V663">
        <v>122</v>
      </c>
      <c r="AC663">
        <f>SUMPRODUCT(DB_SOFProject[[#This Row],[Plan01]:[Plan12]],$E$4:$P$4)/valUnits2</f>
        <v>0</v>
      </c>
      <c r="AD663">
        <f>SUMPRODUCT(DB_SOFProject[[#This Row],[Act01]:[Act12]],$Q$4:$AB$4)/valUnits2</f>
        <v>0.122</v>
      </c>
      <c r="AE663">
        <f>DB_SOFProject[[#This Row],[Actual]]-DB_SOFProject[[#This Row],[Plan]]</f>
        <v>0.122</v>
      </c>
      <c r="AF663" s="32">
        <f>IF(DB_SOFProject[[#This Row],[Plan]]&lt;&gt;0,DB_SOFProject[[#This Row],[Actual]]/DB_SOFProject[[#This Row],[Plan]],1.000011000011)</f>
        <v>1.0000110000110001</v>
      </c>
      <c r="AG663" s="34">
        <f>SUM(DB_SOFProject[[#This Row],[Plan01]:[Plan12]])/valUnits2</f>
        <v>0</v>
      </c>
      <c r="AH663" s="34">
        <f>SUMPRODUCT(DB_SOFProject[[#This Row],[Act01]:[Act12]],$Q$3:$AB$3)/valUnits2</f>
        <v>0.122</v>
      </c>
    </row>
    <row r="664" spans="2:34" x14ac:dyDescent="0.2">
      <c r="B664" t="s">
        <v>488</v>
      </c>
      <c r="C664" t="s">
        <v>891</v>
      </c>
      <c r="D664" t="s">
        <v>968</v>
      </c>
      <c r="J664">
        <v>0</v>
      </c>
      <c r="V664">
        <v>0.91</v>
      </c>
      <c r="AC664">
        <f>SUMPRODUCT(DB_SOFProject[[#This Row],[Plan01]:[Plan12]],$E$4:$P$4)/valUnits2</f>
        <v>0</v>
      </c>
      <c r="AD664">
        <f>SUMPRODUCT(DB_SOFProject[[#This Row],[Act01]:[Act12]],$Q$4:$AB$4)/valUnits2</f>
        <v>9.1E-4</v>
      </c>
      <c r="AE664">
        <f>DB_SOFProject[[#This Row],[Actual]]-DB_SOFProject[[#This Row],[Plan]]</f>
        <v>9.1E-4</v>
      </c>
      <c r="AF664" s="32">
        <f>IF(DB_SOFProject[[#This Row],[Plan]]&lt;&gt;0,DB_SOFProject[[#This Row],[Actual]]/DB_SOFProject[[#This Row],[Plan]],1.000011000011)</f>
        <v>1.0000110000110001</v>
      </c>
      <c r="AG664" s="34">
        <f>SUM(DB_SOFProject[[#This Row],[Plan01]:[Plan12]])/valUnits2</f>
        <v>0</v>
      </c>
      <c r="AH664" s="34">
        <f>SUMPRODUCT(DB_SOFProject[[#This Row],[Act01]:[Act12]],$Q$3:$AB$3)/valUnits2</f>
        <v>9.1E-4</v>
      </c>
    </row>
    <row r="665" spans="2:34" x14ac:dyDescent="0.2">
      <c r="B665" t="s">
        <v>488</v>
      </c>
      <c r="C665" t="s">
        <v>891</v>
      </c>
      <c r="D665" t="s">
        <v>974</v>
      </c>
      <c r="J665">
        <v>0</v>
      </c>
      <c r="V665">
        <v>238.58</v>
      </c>
      <c r="AC665">
        <f>SUMPRODUCT(DB_SOFProject[[#This Row],[Plan01]:[Plan12]],$E$4:$P$4)/valUnits2</f>
        <v>0</v>
      </c>
      <c r="AD665">
        <f>SUMPRODUCT(DB_SOFProject[[#This Row],[Act01]:[Act12]],$Q$4:$AB$4)/valUnits2</f>
        <v>0.23858000000000001</v>
      </c>
      <c r="AE665">
        <f>DB_SOFProject[[#This Row],[Actual]]-DB_SOFProject[[#This Row],[Plan]]</f>
        <v>0.23858000000000001</v>
      </c>
      <c r="AF665" s="32">
        <f>IF(DB_SOFProject[[#This Row],[Plan]]&lt;&gt;0,DB_SOFProject[[#This Row],[Actual]]/DB_SOFProject[[#This Row],[Plan]],1.000011000011)</f>
        <v>1.0000110000110001</v>
      </c>
      <c r="AG665" s="34">
        <f>SUM(DB_SOFProject[[#This Row],[Plan01]:[Plan12]])/valUnits2</f>
        <v>0</v>
      </c>
      <c r="AH665" s="34">
        <f>SUMPRODUCT(DB_SOFProject[[#This Row],[Act01]:[Act12]],$Q$3:$AB$3)/valUnits2</f>
        <v>0.23858000000000001</v>
      </c>
    </row>
    <row r="666" spans="2:34" x14ac:dyDescent="0.2">
      <c r="B666" t="s">
        <v>488</v>
      </c>
      <c r="C666" t="s">
        <v>368</v>
      </c>
      <c r="D666" t="s">
        <v>968</v>
      </c>
      <c r="J666">
        <v>0</v>
      </c>
      <c r="V666">
        <v>10.37</v>
      </c>
      <c r="AC666">
        <f>SUMPRODUCT(DB_SOFProject[[#This Row],[Plan01]:[Plan12]],$E$4:$P$4)/valUnits2</f>
        <v>0</v>
      </c>
      <c r="AD666">
        <f>SUMPRODUCT(DB_SOFProject[[#This Row],[Act01]:[Act12]],$Q$4:$AB$4)/valUnits2</f>
        <v>1.0369999999999999E-2</v>
      </c>
      <c r="AE666">
        <f>DB_SOFProject[[#This Row],[Actual]]-DB_SOFProject[[#This Row],[Plan]]</f>
        <v>1.0369999999999999E-2</v>
      </c>
      <c r="AF666" s="32">
        <f>IF(DB_SOFProject[[#This Row],[Plan]]&lt;&gt;0,DB_SOFProject[[#This Row],[Actual]]/DB_SOFProject[[#This Row],[Plan]],1.000011000011)</f>
        <v>1.0000110000110001</v>
      </c>
      <c r="AG666" s="34">
        <f>SUM(DB_SOFProject[[#This Row],[Plan01]:[Plan12]])/valUnits2</f>
        <v>0</v>
      </c>
      <c r="AH666" s="34">
        <f>SUMPRODUCT(DB_SOFProject[[#This Row],[Act01]:[Act12]],$Q$3:$AB$3)/valUnits2</f>
        <v>1.0369999999999999E-2</v>
      </c>
    </row>
    <row r="667" spans="2:34" x14ac:dyDescent="0.2">
      <c r="B667" t="s">
        <v>488</v>
      </c>
      <c r="C667" t="s">
        <v>892</v>
      </c>
      <c r="D667" t="s">
        <v>968</v>
      </c>
      <c r="J667">
        <v>0</v>
      </c>
      <c r="V667">
        <v>0.31</v>
      </c>
      <c r="AC667">
        <f>SUMPRODUCT(DB_SOFProject[[#This Row],[Plan01]:[Plan12]],$E$4:$P$4)/valUnits2</f>
        <v>0</v>
      </c>
      <c r="AD667">
        <f>SUMPRODUCT(DB_SOFProject[[#This Row],[Act01]:[Act12]],$Q$4:$AB$4)/valUnits2</f>
        <v>3.1E-4</v>
      </c>
      <c r="AE667">
        <f>DB_SOFProject[[#This Row],[Actual]]-DB_SOFProject[[#This Row],[Plan]]</f>
        <v>3.1E-4</v>
      </c>
      <c r="AF667" s="32">
        <f>IF(DB_SOFProject[[#This Row],[Plan]]&lt;&gt;0,DB_SOFProject[[#This Row],[Actual]]/DB_SOFProject[[#This Row],[Plan]],1.000011000011)</f>
        <v>1.0000110000110001</v>
      </c>
      <c r="AG667" s="34">
        <f>SUM(DB_SOFProject[[#This Row],[Plan01]:[Plan12]])/valUnits2</f>
        <v>0</v>
      </c>
      <c r="AH667" s="34">
        <f>SUMPRODUCT(DB_SOFProject[[#This Row],[Act01]:[Act12]],$Q$3:$AB$3)/valUnits2</f>
        <v>3.1E-4</v>
      </c>
    </row>
    <row r="668" spans="2:34" x14ac:dyDescent="0.2">
      <c r="B668" t="s">
        <v>488</v>
      </c>
      <c r="C668" t="s">
        <v>895</v>
      </c>
      <c r="D668" t="s">
        <v>968</v>
      </c>
      <c r="J668">
        <v>0</v>
      </c>
      <c r="V668">
        <v>1.05</v>
      </c>
      <c r="AC668">
        <f>SUMPRODUCT(DB_SOFProject[[#This Row],[Plan01]:[Plan12]],$E$4:$P$4)/valUnits2</f>
        <v>0</v>
      </c>
      <c r="AD668">
        <f>SUMPRODUCT(DB_SOFProject[[#This Row],[Act01]:[Act12]],$Q$4:$AB$4)/valUnits2</f>
        <v>1.0500000000000002E-3</v>
      </c>
      <c r="AE668">
        <f>DB_SOFProject[[#This Row],[Actual]]-DB_SOFProject[[#This Row],[Plan]]</f>
        <v>1.0500000000000002E-3</v>
      </c>
      <c r="AF668" s="32">
        <f>IF(DB_SOFProject[[#This Row],[Plan]]&lt;&gt;0,DB_SOFProject[[#This Row],[Actual]]/DB_SOFProject[[#This Row],[Plan]],1.000011000011)</f>
        <v>1.0000110000110001</v>
      </c>
      <c r="AG668" s="34">
        <f>SUM(DB_SOFProject[[#This Row],[Plan01]:[Plan12]])/valUnits2</f>
        <v>0</v>
      </c>
      <c r="AH668" s="34">
        <f>SUMPRODUCT(DB_SOFProject[[#This Row],[Act01]:[Act12]],$Q$3:$AB$3)/valUnits2</f>
        <v>1.0500000000000002E-3</v>
      </c>
    </row>
    <row r="669" spans="2:34" x14ac:dyDescent="0.2">
      <c r="B669" t="s">
        <v>488</v>
      </c>
      <c r="C669" t="s">
        <v>895</v>
      </c>
      <c r="D669" t="s">
        <v>974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31.491</v>
      </c>
      <c r="K669">
        <v>31.491</v>
      </c>
      <c r="L669">
        <v>31.491</v>
      </c>
      <c r="M669">
        <v>31.491</v>
      </c>
      <c r="N669">
        <v>31.491</v>
      </c>
      <c r="O669">
        <v>31.491</v>
      </c>
      <c r="P669">
        <v>31.491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f>SUMPRODUCT(DB_SOFProject[[#This Row],[Plan01]:[Plan12]],$E$4:$P$4)/valUnits2</f>
        <v>3.1490999999999998E-2</v>
      </c>
      <c r="AD669">
        <f>SUMPRODUCT(DB_SOFProject[[#This Row],[Act01]:[Act12]],$Q$4:$AB$4)/valUnits2</f>
        <v>0</v>
      </c>
      <c r="AE669">
        <f>DB_SOFProject[[#This Row],[Actual]]-DB_SOFProject[[#This Row],[Plan]]</f>
        <v>-3.1490999999999998E-2</v>
      </c>
      <c r="AF669" s="32">
        <f>IF(DB_SOFProject[[#This Row],[Plan]]&lt;&gt;0,DB_SOFProject[[#This Row],[Actual]]/DB_SOFProject[[#This Row],[Plan]],1.000011000011)</f>
        <v>0</v>
      </c>
      <c r="AG669" s="34">
        <f>SUM(DB_SOFProject[[#This Row],[Plan01]:[Plan12]])/valUnits2</f>
        <v>0.22043699999999997</v>
      </c>
      <c r="AH669" s="34">
        <f>SUMPRODUCT(DB_SOFProject[[#This Row],[Act01]:[Act12]],$Q$3:$AB$3)/valUnits2</f>
        <v>0</v>
      </c>
    </row>
    <row r="670" spans="2:34" x14ac:dyDescent="0.2">
      <c r="B670" t="s">
        <v>488</v>
      </c>
      <c r="C670" t="s">
        <v>896</v>
      </c>
      <c r="D670" t="s">
        <v>941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f>SUMPRODUCT(DB_SOFProject[[#This Row],[Plan01]:[Plan12]],$E$4:$P$4)/valUnits2</f>
        <v>0</v>
      </c>
      <c r="AD670">
        <f>SUMPRODUCT(DB_SOFProject[[#This Row],[Act01]:[Act12]],$Q$4:$AB$4)/valUnits2</f>
        <v>0</v>
      </c>
      <c r="AE670">
        <f>DB_SOFProject[[#This Row],[Actual]]-DB_SOFProject[[#This Row],[Plan]]</f>
        <v>0</v>
      </c>
      <c r="AF670" s="32">
        <f>IF(DB_SOFProject[[#This Row],[Plan]]&lt;&gt;0,DB_SOFProject[[#This Row],[Actual]]/DB_SOFProject[[#This Row],[Plan]],1.000011000011)</f>
        <v>1.0000110000110001</v>
      </c>
      <c r="AG670" s="34">
        <f>SUM(DB_SOFProject[[#This Row],[Plan01]:[Plan12]])/valUnits2</f>
        <v>0</v>
      </c>
      <c r="AH670" s="34">
        <f>SUMPRODUCT(DB_SOFProject[[#This Row],[Act01]:[Act12]],$Q$3:$AB$3)/valUnits2</f>
        <v>0</v>
      </c>
    </row>
    <row r="671" spans="2:34" x14ac:dyDescent="0.2">
      <c r="B671" t="s">
        <v>488</v>
      </c>
      <c r="C671" t="s">
        <v>896</v>
      </c>
      <c r="D671" t="s">
        <v>968</v>
      </c>
      <c r="I671">
        <v>177.86799999999999</v>
      </c>
      <c r="J671">
        <v>0</v>
      </c>
      <c r="U671">
        <v>178.73</v>
      </c>
      <c r="V671">
        <v>37.35</v>
      </c>
      <c r="AC671">
        <f>SUMPRODUCT(DB_SOFProject[[#This Row],[Plan01]:[Plan12]],$E$4:$P$4)/valUnits2</f>
        <v>0.177868</v>
      </c>
      <c r="AD671">
        <f>SUMPRODUCT(DB_SOFProject[[#This Row],[Act01]:[Act12]],$Q$4:$AB$4)/valUnits2</f>
        <v>0.21607999999999999</v>
      </c>
      <c r="AE671">
        <f>DB_SOFProject[[#This Row],[Actual]]-DB_SOFProject[[#This Row],[Plan]]</f>
        <v>3.8211999999999996E-2</v>
      </c>
      <c r="AF671" s="32">
        <f>IF(DB_SOFProject[[#This Row],[Plan]]&lt;&gt;0,DB_SOFProject[[#This Row],[Actual]]/DB_SOFProject[[#This Row],[Plan]],1.000011000011)</f>
        <v>1.2148334720129534</v>
      </c>
      <c r="AG671" s="34">
        <f>SUM(DB_SOFProject[[#This Row],[Plan01]:[Plan12]])/valUnits2</f>
        <v>0.177868</v>
      </c>
      <c r="AH671" s="34">
        <f>SUMPRODUCT(DB_SOFProject[[#This Row],[Act01]:[Act12]],$Q$3:$AB$3)/valUnits2</f>
        <v>0.21607999999999999</v>
      </c>
    </row>
    <row r="672" spans="2:34" x14ac:dyDescent="0.2">
      <c r="B672" t="s">
        <v>488</v>
      </c>
      <c r="C672" t="s">
        <v>896</v>
      </c>
      <c r="D672" t="s">
        <v>974</v>
      </c>
      <c r="E672">
        <v>0</v>
      </c>
      <c r="F672">
        <v>11.265000000000001</v>
      </c>
      <c r="G672">
        <v>0</v>
      </c>
      <c r="H672">
        <v>0</v>
      </c>
      <c r="I672">
        <v>0</v>
      </c>
      <c r="J672">
        <v>1070.2049999999999</v>
      </c>
      <c r="K672">
        <v>1070.2049999999999</v>
      </c>
      <c r="L672">
        <v>1070.2049999999999</v>
      </c>
      <c r="M672">
        <v>1070.2049999999999</v>
      </c>
      <c r="N672">
        <v>1070.2049999999999</v>
      </c>
      <c r="O672">
        <v>1070.2049999999999</v>
      </c>
      <c r="P672">
        <v>1070.2049999999999</v>
      </c>
      <c r="Q672">
        <v>0</v>
      </c>
      <c r="R672">
        <v>11.27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f>SUMPRODUCT(DB_SOFProject[[#This Row],[Plan01]:[Plan12]],$E$4:$P$4)/valUnits2</f>
        <v>1.0814699999999999</v>
      </c>
      <c r="AD672">
        <f>SUMPRODUCT(DB_SOFProject[[#This Row],[Act01]:[Act12]],$Q$4:$AB$4)/valUnits2</f>
        <v>1.1269999999999999E-2</v>
      </c>
      <c r="AE672">
        <f>DB_SOFProject[[#This Row],[Actual]]-DB_SOFProject[[#This Row],[Plan]]</f>
        <v>-1.0702</v>
      </c>
      <c r="AF672" s="32">
        <f>IF(DB_SOFProject[[#This Row],[Plan]]&lt;&gt;0,DB_SOFProject[[#This Row],[Actual]]/DB_SOFProject[[#This Row],[Plan]],1.000011000011)</f>
        <v>1.0421001044874105E-2</v>
      </c>
      <c r="AG672" s="34">
        <f>SUM(DB_SOFProject[[#This Row],[Plan01]:[Plan12]])/valUnits2</f>
        <v>7.5026999999999999</v>
      </c>
      <c r="AH672" s="34">
        <f>SUMPRODUCT(DB_SOFProject[[#This Row],[Act01]:[Act12]],$Q$3:$AB$3)/valUnits2</f>
        <v>1.1269999999999999E-2</v>
      </c>
    </row>
    <row r="673" spans="2:34" x14ac:dyDescent="0.2">
      <c r="B673" t="s">
        <v>488</v>
      </c>
      <c r="C673" t="s">
        <v>897</v>
      </c>
      <c r="D673" t="s">
        <v>974</v>
      </c>
      <c r="J673">
        <v>0</v>
      </c>
      <c r="V673">
        <v>2165.89</v>
      </c>
      <c r="AC673">
        <f>SUMPRODUCT(DB_SOFProject[[#This Row],[Plan01]:[Plan12]],$E$4:$P$4)/valUnits2</f>
        <v>0</v>
      </c>
      <c r="AD673">
        <f>SUMPRODUCT(DB_SOFProject[[#This Row],[Act01]:[Act12]],$Q$4:$AB$4)/valUnits2</f>
        <v>2.1658900000000001</v>
      </c>
      <c r="AE673">
        <f>DB_SOFProject[[#This Row],[Actual]]-DB_SOFProject[[#This Row],[Plan]]</f>
        <v>2.1658900000000001</v>
      </c>
      <c r="AF673" s="32">
        <f>IF(DB_SOFProject[[#This Row],[Plan]]&lt;&gt;0,DB_SOFProject[[#This Row],[Actual]]/DB_SOFProject[[#This Row],[Plan]],1.000011000011)</f>
        <v>1.0000110000110001</v>
      </c>
      <c r="AG673" s="34">
        <f>SUM(DB_SOFProject[[#This Row],[Plan01]:[Plan12]])/valUnits2</f>
        <v>0</v>
      </c>
      <c r="AH673" s="34">
        <f>SUMPRODUCT(DB_SOFProject[[#This Row],[Act01]:[Act12]],$Q$3:$AB$3)/valUnits2</f>
        <v>2.1658900000000001</v>
      </c>
    </row>
    <row r="674" spans="2:34" x14ac:dyDescent="0.2">
      <c r="B674" t="s">
        <v>488</v>
      </c>
      <c r="C674" t="s">
        <v>899</v>
      </c>
      <c r="D674" t="s">
        <v>941</v>
      </c>
      <c r="F674">
        <v>150.49</v>
      </c>
      <c r="G674">
        <v>1065.2560000000001</v>
      </c>
      <c r="R674">
        <v>150.01</v>
      </c>
      <c r="S674">
        <v>1057.58</v>
      </c>
      <c r="AC674">
        <f>SUMPRODUCT(DB_SOFProject[[#This Row],[Plan01]:[Plan12]],$E$4:$P$4)/valUnits2</f>
        <v>1.215746</v>
      </c>
      <c r="AD674">
        <f>SUMPRODUCT(DB_SOFProject[[#This Row],[Act01]:[Act12]],$Q$4:$AB$4)/valUnits2</f>
        <v>1.2075899999999999</v>
      </c>
      <c r="AE674">
        <f>DB_SOFProject[[#This Row],[Actual]]-DB_SOFProject[[#This Row],[Plan]]</f>
        <v>-8.1560000000000521E-3</v>
      </c>
      <c r="AF674" s="32">
        <f>IF(DB_SOFProject[[#This Row],[Plan]]&lt;&gt;0,DB_SOFProject[[#This Row],[Actual]]/DB_SOFProject[[#This Row],[Plan]],1.000011000011)</f>
        <v>0.99329136184696465</v>
      </c>
      <c r="AG674" s="34">
        <f>SUM(DB_SOFProject[[#This Row],[Plan01]:[Plan12]])/valUnits2</f>
        <v>1.215746</v>
      </c>
      <c r="AH674" s="34">
        <f>SUMPRODUCT(DB_SOFProject[[#This Row],[Act01]:[Act12]],$Q$3:$AB$3)/valUnits2</f>
        <v>1.2075899999999999</v>
      </c>
    </row>
    <row r="675" spans="2:34" x14ac:dyDescent="0.2">
      <c r="B675" t="s">
        <v>488</v>
      </c>
      <c r="C675" t="s">
        <v>903</v>
      </c>
      <c r="D675" t="s">
        <v>968</v>
      </c>
      <c r="J675">
        <v>0</v>
      </c>
      <c r="V675">
        <v>0.17</v>
      </c>
      <c r="AC675">
        <f>SUMPRODUCT(DB_SOFProject[[#This Row],[Plan01]:[Plan12]],$E$4:$P$4)/valUnits2</f>
        <v>0</v>
      </c>
      <c r="AD675">
        <f>SUMPRODUCT(DB_SOFProject[[#This Row],[Act01]:[Act12]],$Q$4:$AB$4)/valUnits2</f>
        <v>1.7000000000000001E-4</v>
      </c>
      <c r="AE675">
        <f>DB_SOFProject[[#This Row],[Actual]]-DB_SOFProject[[#This Row],[Plan]]</f>
        <v>1.7000000000000001E-4</v>
      </c>
      <c r="AF675" s="32">
        <f>IF(DB_SOFProject[[#This Row],[Plan]]&lt;&gt;0,DB_SOFProject[[#This Row],[Actual]]/DB_SOFProject[[#This Row],[Plan]],1.000011000011)</f>
        <v>1.0000110000110001</v>
      </c>
      <c r="AG675" s="34">
        <f>SUM(DB_SOFProject[[#This Row],[Plan01]:[Plan12]])/valUnits2</f>
        <v>0</v>
      </c>
      <c r="AH675" s="34">
        <f>SUMPRODUCT(DB_SOFProject[[#This Row],[Act01]:[Act12]],$Q$3:$AB$3)/valUnits2</f>
        <v>1.7000000000000001E-4</v>
      </c>
    </row>
    <row r="676" spans="2:34" x14ac:dyDescent="0.2">
      <c r="B676" t="s">
        <v>488</v>
      </c>
      <c r="C676" t="s">
        <v>365</v>
      </c>
      <c r="D676" t="s">
        <v>968</v>
      </c>
      <c r="J676">
        <v>0</v>
      </c>
      <c r="V676">
        <v>0.13</v>
      </c>
      <c r="AC676">
        <f>SUMPRODUCT(DB_SOFProject[[#This Row],[Plan01]:[Plan12]],$E$4:$P$4)/valUnits2</f>
        <v>0</v>
      </c>
      <c r="AD676">
        <f>SUMPRODUCT(DB_SOFProject[[#This Row],[Act01]:[Act12]],$Q$4:$AB$4)/valUnits2</f>
        <v>1.3000000000000002E-4</v>
      </c>
      <c r="AE676">
        <f>DB_SOFProject[[#This Row],[Actual]]-DB_SOFProject[[#This Row],[Plan]]</f>
        <v>1.3000000000000002E-4</v>
      </c>
      <c r="AF676" s="32">
        <f>IF(DB_SOFProject[[#This Row],[Plan]]&lt;&gt;0,DB_SOFProject[[#This Row],[Actual]]/DB_SOFProject[[#This Row],[Plan]],1.000011000011)</f>
        <v>1.0000110000110001</v>
      </c>
      <c r="AG676" s="34">
        <f>SUM(DB_SOFProject[[#This Row],[Plan01]:[Plan12]])/valUnits2</f>
        <v>0</v>
      </c>
      <c r="AH676" s="34">
        <f>SUMPRODUCT(DB_SOFProject[[#This Row],[Act01]:[Act12]],$Q$3:$AB$3)/valUnits2</f>
        <v>1.3000000000000002E-4</v>
      </c>
    </row>
    <row r="677" spans="2:34" x14ac:dyDescent="0.2">
      <c r="B677" t="s">
        <v>488</v>
      </c>
      <c r="C677" t="s">
        <v>365</v>
      </c>
      <c r="D677" t="s">
        <v>974</v>
      </c>
      <c r="H677">
        <v>0</v>
      </c>
      <c r="I677">
        <v>0</v>
      </c>
      <c r="J677">
        <v>104.051</v>
      </c>
      <c r="K677">
        <v>104.051</v>
      </c>
      <c r="L677">
        <v>104.051</v>
      </c>
      <c r="T677">
        <v>0</v>
      </c>
      <c r="U677">
        <v>0</v>
      </c>
      <c r="V677">
        <v>0</v>
      </c>
      <c r="W677">
        <v>0</v>
      </c>
      <c r="X677">
        <v>0</v>
      </c>
      <c r="AC677">
        <f>SUMPRODUCT(DB_SOFProject[[#This Row],[Plan01]:[Plan12]],$E$4:$P$4)/valUnits2</f>
        <v>0.104051</v>
      </c>
      <c r="AD677">
        <f>SUMPRODUCT(DB_SOFProject[[#This Row],[Act01]:[Act12]],$Q$4:$AB$4)/valUnits2</f>
        <v>0</v>
      </c>
      <c r="AE677">
        <f>DB_SOFProject[[#This Row],[Actual]]-DB_SOFProject[[#This Row],[Plan]]</f>
        <v>-0.104051</v>
      </c>
      <c r="AF677" s="32">
        <f>IF(DB_SOFProject[[#This Row],[Plan]]&lt;&gt;0,DB_SOFProject[[#This Row],[Actual]]/DB_SOFProject[[#This Row],[Plan]],1.000011000011)</f>
        <v>0</v>
      </c>
      <c r="AG677" s="34">
        <f>SUM(DB_SOFProject[[#This Row],[Plan01]:[Plan12]])/valUnits2</f>
        <v>0.31215300000000001</v>
      </c>
      <c r="AH677" s="34">
        <f>SUMPRODUCT(DB_SOFProject[[#This Row],[Act01]:[Act12]],$Q$3:$AB$3)/valUnits2</f>
        <v>0</v>
      </c>
    </row>
    <row r="678" spans="2:34" x14ac:dyDescent="0.2">
      <c r="B678" t="s">
        <v>488</v>
      </c>
      <c r="C678" t="s">
        <v>904</v>
      </c>
      <c r="D678" t="s">
        <v>968</v>
      </c>
      <c r="G678">
        <v>2.3330000000000002</v>
      </c>
      <c r="I678">
        <v>305.137</v>
      </c>
      <c r="J678">
        <v>0</v>
      </c>
      <c r="S678">
        <v>2.31</v>
      </c>
      <c r="U678">
        <v>301.14</v>
      </c>
      <c r="V678">
        <v>0.36</v>
      </c>
      <c r="AC678">
        <f>SUMPRODUCT(DB_SOFProject[[#This Row],[Plan01]:[Plan12]],$E$4:$P$4)/valUnits2</f>
        <v>0.30747000000000002</v>
      </c>
      <c r="AD678">
        <f>SUMPRODUCT(DB_SOFProject[[#This Row],[Act01]:[Act12]],$Q$4:$AB$4)/valUnits2</f>
        <v>0.30381000000000002</v>
      </c>
      <c r="AE678">
        <f>DB_SOFProject[[#This Row],[Actual]]-DB_SOFProject[[#This Row],[Plan]]</f>
        <v>-3.6599999999999966E-3</v>
      </c>
      <c r="AF678" s="32">
        <f>IF(DB_SOFProject[[#This Row],[Plan]]&lt;&gt;0,DB_SOFProject[[#This Row],[Actual]]/DB_SOFProject[[#This Row],[Plan]],1.000011000011)</f>
        <v>0.98809639964874618</v>
      </c>
      <c r="AG678" s="34">
        <f>SUM(DB_SOFProject[[#This Row],[Plan01]:[Plan12]])/valUnits2</f>
        <v>0.30747000000000002</v>
      </c>
      <c r="AH678" s="34">
        <f>SUMPRODUCT(DB_SOFProject[[#This Row],[Act01]:[Act12]],$Q$3:$AB$3)/valUnits2</f>
        <v>0.30381000000000002</v>
      </c>
    </row>
    <row r="679" spans="2:34" x14ac:dyDescent="0.2">
      <c r="B679" t="s">
        <v>488</v>
      </c>
      <c r="C679" t="s">
        <v>904</v>
      </c>
      <c r="D679" t="s">
        <v>974</v>
      </c>
      <c r="F679">
        <v>5.5940000000000003</v>
      </c>
      <c r="G679">
        <v>6.359</v>
      </c>
      <c r="I679">
        <v>5.2140000000000004</v>
      </c>
      <c r="J679">
        <v>0</v>
      </c>
      <c r="R679">
        <v>5.58</v>
      </c>
      <c r="S679">
        <v>6.3100000000000005</v>
      </c>
      <c r="U679">
        <v>5.24</v>
      </c>
      <c r="V679">
        <v>21.380000000000003</v>
      </c>
      <c r="AC679">
        <f>SUMPRODUCT(DB_SOFProject[[#This Row],[Plan01]:[Plan12]],$E$4:$P$4)/valUnits2</f>
        <v>1.7167000000000002E-2</v>
      </c>
      <c r="AD679">
        <f>SUMPRODUCT(DB_SOFProject[[#This Row],[Act01]:[Act12]],$Q$4:$AB$4)/valUnits2</f>
        <v>3.8510000000000003E-2</v>
      </c>
      <c r="AE679">
        <f>DB_SOFProject[[#This Row],[Actual]]-DB_SOFProject[[#This Row],[Plan]]</f>
        <v>2.1343000000000001E-2</v>
      </c>
      <c r="AF679" s="32">
        <f>IF(DB_SOFProject[[#This Row],[Plan]]&lt;&gt;0,DB_SOFProject[[#This Row],[Actual]]/DB_SOFProject[[#This Row],[Plan]],1.000011000011)</f>
        <v>2.2432574124774276</v>
      </c>
      <c r="AG679" s="34">
        <f>SUM(DB_SOFProject[[#This Row],[Plan01]:[Plan12]])/valUnits2</f>
        <v>1.7167000000000002E-2</v>
      </c>
      <c r="AH679" s="34">
        <f>SUMPRODUCT(DB_SOFProject[[#This Row],[Act01]:[Act12]],$Q$3:$AB$3)/valUnits2</f>
        <v>3.8510000000000003E-2</v>
      </c>
    </row>
    <row r="680" spans="2:34" x14ac:dyDescent="0.2">
      <c r="B680" t="s">
        <v>488</v>
      </c>
      <c r="C680" t="s">
        <v>908</v>
      </c>
      <c r="D680" t="s">
        <v>941</v>
      </c>
      <c r="G680">
        <v>0</v>
      </c>
      <c r="H680">
        <v>0</v>
      </c>
      <c r="I680">
        <v>0</v>
      </c>
      <c r="J680">
        <v>34.979999999999997</v>
      </c>
      <c r="K680">
        <v>34.979999999999997</v>
      </c>
      <c r="L680">
        <v>34.979999999999997</v>
      </c>
      <c r="M680">
        <v>34.979999999999997</v>
      </c>
      <c r="N680">
        <v>34.979999999999997</v>
      </c>
      <c r="O680">
        <v>34.979999999999997</v>
      </c>
      <c r="P680">
        <v>34.979999999999997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f>SUMPRODUCT(DB_SOFProject[[#This Row],[Plan01]:[Plan12]],$E$4:$P$4)/valUnits2</f>
        <v>3.4979999999999997E-2</v>
      </c>
      <c r="AD680">
        <f>SUMPRODUCT(DB_SOFProject[[#This Row],[Act01]:[Act12]],$Q$4:$AB$4)/valUnits2</f>
        <v>0</v>
      </c>
      <c r="AE680">
        <f>DB_SOFProject[[#This Row],[Actual]]-DB_SOFProject[[#This Row],[Plan]]</f>
        <v>-3.4979999999999997E-2</v>
      </c>
      <c r="AF680" s="32">
        <f>IF(DB_SOFProject[[#This Row],[Plan]]&lt;&gt;0,DB_SOFProject[[#This Row],[Actual]]/DB_SOFProject[[#This Row],[Plan]],1.000011000011)</f>
        <v>0</v>
      </c>
      <c r="AG680" s="34">
        <f>SUM(DB_SOFProject[[#This Row],[Plan01]:[Plan12]])/valUnits2</f>
        <v>0.24485999999999997</v>
      </c>
      <c r="AH680" s="34">
        <f>SUMPRODUCT(DB_SOFProject[[#This Row],[Act01]:[Act12]],$Q$3:$AB$3)/valUnits2</f>
        <v>0</v>
      </c>
    </row>
    <row r="681" spans="2:34" x14ac:dyDescent="0.2">
      <c r="B681" t="s">
        <v>488</v>
      </c>
      <c r="C681" t="s">
        <v>908</v>
      </c>
      <c r="D681" t="s">
        <v>968</v>
      </c>
      <c r="J681">
        <v>0</v>
      </c>
      <c r="V681">
        <v>0.57999999999999996</v>
      </c>
      <c r="AC681">
        <f>SUMPRODUCT(DB_SOFProject[[#This Row],[Plan01]:[Plan12]],$E$4:$P$4)/valUnits2</f>
        <v>0</v>
      </c>
      <c r="AD681">
        <f>SUMPRODUCT(DB_SOFProject[[#This Row],[Act01]:[Act12]],$Q$4:$AB$4)/valUnits2</f>
        <v>5.8E-4</v>
      </c>
      <c r="AE681">
        <f>DB_SOFProject[[#This Row],[Actual]]-DB_SOFProject[[#This Row],[Plan]]</f>
        <v>5.8E-4</v>
      </c>
      <c r="AF681" s="32">
        <f>IF(DB_SOFProject[[#This Row],[Plan]]&lt;&gt;0,DB_SOFProject[[#This Row],[Actual]]/DB_SOFProject[[#This Row],[Plan]],1.000011000011)</f>
        <v>1.0000110000110001</v>
      </c>
      <c r="AG681" s="34">
        <f>SUM(DB_SOFProject[[#This Row],[Plan01]:[Plan12]])/valUnits2</f>
        <v>0</v>
      </c>
      <c r="AH681" s="34">
        <f>SUMPRODUCT(DB_SOFProject[[#This Row],[Act01]:[Act12]],$Q$3:$AB$3)/valUnits2</f>
        <v>5.8E-4</v>
      </c>
    </row>
    <row r="682" spans="2:34" x14ac:dyDescent="0.2">
      <c r="B682" t="s">
        <v>488</v>
      </c>
      <c r="C682" t="s">
        <v>909</v>
      </c>
      <c r="D682" t="s">
        <v>941</v>
      </c>
      <c r="E682">
        <v>198.06</v>
      </c>
      <c r="G682">
        <v>401.48</v>
      </c>
      <c r="H682">
        <v>51.7</v>
      </c>
      <c r="I682">
        <v>183.57</v>
      </c>
      <c r="J682">
        <v>0</v>
      </c>
      <c r="Q682">
        <v>198.06000000000003</v>
      </c>
      <c r="S682">
        <v>401.48</v>
      </c>
      <c r="T682">
        <v>51.7</v>
      </c>
      <c r="U682">
        <v>183.57</v>
      </c>
      <c r="V682">
        <v>482.42</v>
      </c>
      <c r="AC682">
        <f>SUMPRODUCT(DB_SOFProject[[#This Row],[Plan01]:[Plan12]],$E$4:$P$4)/valUnits2</f>
        <v>0.83480999999999994</v>
      </c>
      <c r="AD682">
        <f>SUMPRODUCT(DB_SOFProject[[#This Row],[Act01]:[Act12]],$Q$4:$AB$4)/valUnits2</f>
        <v>1.3172300000000003</v>
      </c>
      <c r="AE682">
        <f>DB_SOFProject[[#This Row],[Actual]]-DB_SOFProject[[#This Row],[Plan]]</f>
        <v>0.4824200000000004</v>
      </c>
      <c r="AF682" s="32">
        <f>IF(DB_SOFProject[[#This Row],[Plan]]&lt;&gt;0,DB_SOFProject[[#This Row],[Actual]]/DB_SOFProject[[#This Row],[Plan]],1.000011000011)</f>
        <v>1.5778799966459438</v>
      </c>
      <c r="AG682" s="34">
        <f>SUM(DB_SOFProject[[#This Row],[Plan01]:[Plan12]])/valUnits2</f>
        <v>0.83480999999999994</v>
      </c>
      <c r="AH682" s="34">
        <f>SUMPRODUCT(DB_SOFProject[[#This Row],[Act01]:[Act12]],$Q$3:$AB$3)/valUnits2</f>
        <v>1.3172300000000003</v>
      </c>
    </row>
    <row r="683" spans="2:34" x14ac:dyDescent="0.2">
      <c r="B683" t="s">
        <v>488</v>
      </c>
      <c r="C683" t="s">
        <v>909</v>
      </c>
      <c r="D683" t="s">
        <v>968</v>
      </c>
      <c r="G683">
        <v>19.89</v>
      </c>
      <c r="I683">
        <v>1524.52</v>
      </c>
      <c r="J683">
        <v>0</v>
      </c>
      <c r="S683">
        <v>19.89</v>
      </c>
      <c r="U683">
        <v>1524.52</v>
      </c>
      <c r="V683">
        <v>9.99</v>
      </c>
      <c r="AC683">
        <f>SUMPRODUCT(DB_SOFProject[[#This Row],[Plan01]:[Plan12]],$E$4:$P$4)/valUnits2</f>
        <v>1.5444100000000001</v>
      </c>
      <c r="AD683">
        <f>SUMPRODUCT(DB_SOFProject[[#This Row],[Act01]:[Act12]],$Q$4:$AB$4)/valUnits2</f>
        <v>1.5544</v>
      </c>
      <c r="AE683">
        <f>DB_SOFProject[[#This Row],[Actual]]-DB_SOFProject[[#This Row],[Plan]]</f>
        <v>9.9899999999999434E-3</v>
      </c>
      <c r="AF683" s="32">
        <f>IF(DB_SOFProject[[#This Row],[Plan]]&lt;&gt;0,DB_SOFProject[[#This Row],[Actual]]/DB_SOFProject[[#This Row],[Plan]],1.000011000011)</f>
        <v>1.0064684895850196</v>
      </c>
      <c r="AG683" s="34">
        <f>SUM(DB_SOFProject[[#This Row],[Plan01]:[Plan12]])/valUnits2</f>
        <v>1.5444100000000001</v>
      </c>
      <c r="AH683" s="34">
        <f>SUMPRODUCT(DB_SOFProject[[#This Row],[Act01]:[Act12]],$Q$3:$AB$3)/valUnits2</f>
        <v>1.5544</v>
      </c>
    </row>
    <row r="684" spans="2:34" x14ac:dyDescent="0.2">
      <c r="B684" t="s">
        <v>488</v>
      </c>
      <c r="C684" t="s">
        <v>909</v>
      </c>
      <c r="D684" t="s">
        <v>974</v>
      </c>
      <c r="E684">
        <v>906.88</v>
      </c>
      <c r="F684">
        <v>1819.4399999999998</v>
      </c>
      <c r="G684">
        <v>1482.35</v>
      </c>
      <c r="H684">
        <v>166.64000000000001</v>
      </c>
      <c r="I684">
        <v>125.44</v>
      </c>
      <c r="J684">
        <v>0</v>
      </c>
      <c r="Q684">
        <v>906.88</v>
      </c>
      <c r="R684">
        <v>1819.4399999999998</v>
      </c>
      <c r="S684">
        <v>1482.35</v>
      </c>
      <c r="T684">
        <v>166.64000000000001</v>
      </c>
      <c r="U684">
        <v>125.44</v>
      </c>
      <c r="V684">
        <v>-321.82</v>
      </c>
      <c r="AC684">
        <f>SUMPRODUCT(DB_SOFProject[[#This Row],[Plan01]:[Plan12]],$E$4:$P$4)/valUnits2</f>
        <v>4.50075</v>
      </c>
      <c r="AD684">
        <f>SUMPRODUCT(DB_SOFProject[[#This Row],[Act01]:[Act12]],$Q$4:$AB$4)/valUnits2</f>
        <v>4.1789300000000003</v>
      </c>
      <c r="AE684">
        <f>DB_SOFProject[[#This Row],[Actual]]-DB_SOFProject[[#This Row],[Plan]]</f>
        <v>-0.32181999999999977</v>
      </c>
      <c r="AF684" s="32">
        <f>IF(DB_SOFProject[[#This Row],[Plan]]&lt;&gt;0,DB_SOFProject[[#This Row],[Actual]]/DB_SOFProject[[#This Row],[Plan]],1.000011000011)</f>
        <v>0.92849636171749161</v>
      </c>
      <c r="AG684" s="34">
        <f>SUM(DB_SOFProject[[#This Row],[Plan01]:[Plan12]])/valUnits2</f>
        <v>4.50075</v>
      </c>
      <c r="AH684" s="34">
        <f>SUMPRODUCT(DB_SOFProject[[#This Row],[Act01]:[Act12]],$Q$3:$AB$3)/valUnits2</f>
        <v>4.1789300000000003</v>
      </c>
    </row>
    <row r="685" spans="2:34" x14ac:dyDescent="0.2">
      <c r="B685" t="s">
        <v>488</v>
      </c>
      <c r="C685" t="s">
        <v>909</v>
      </c>
      <c r="D685" t="s">
        <v>995</v>
      </c>
      <c r="G685">
        <v>0</v>
      </c>
      <c r="H685">
        <v>0</v>
      </c>
      <c r="I685">
        <v>0</v>
      </c>
      <c r="J685">
        <v>250</v>
      </c>
      <c r="K685">
        <v>250</v>
      </c>
      <c r="L685">
        <v>250</v>
      </c>
      <c r="M685">
        <v>250</v>
      </c>
      <c r="N685">
        <v>250</v>
      </c>
      <c r="O685">
        <v>250</v>
      </c>
      <c r="P685">
        <v>250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f>SUMPRODUCT(DB_SOFProject[[#This Row],[Plan01]:[Plan12]],$E$4:$P$4)/valUnits2</f>
        <v>0.25</v>
      </c>
      <c r="AD685">
        <f>SUMPRODUCT(DB_SOFProject[[#This Row],[Act01]:[Act12]],$Q$4:$AB$4)/valUnits2</f>
        <v>0</v>
      </c>
      <c r="AE685">
        <f>DB_SOFProject[[#This Row],[Actual]]-DB_SOFProject[[#This Row],[Plan]]</f>
        <v>-0.25</v>
      </c>
      <c r="AF685" s="32">
        <f>IF(DB_SOFProject[[#This Row],[Plan]]&lt;&gt;0,DB_SOFProject[[#This Row],[Actual]]/DB_SOFProject[[#This Row],[Plan]],1.000011000011)</f>
        <v>0</v>
      </c>
      <c r="AG685" s="34">
        <f>SUM(DB_SOFProject[[#This Row],[Plan01]:[Plan12]])/valUnits2</f>
        <v>1.75</v>
      </c>
      <c r="AH685" s="34">
        <f>SUMPRODUCT(DB_SOFProject[[#This Row],[Act01]:[Act12]],$Q$3:$AB$3)/valUnits2</f>
        <v>0</v>
      </c>
    </row>
    <row r="686" spans="2:34" x14ac:dyDescent="0.2">
      <c r="B686" t="s">
        <v>488</v>
      </c>
      <c r="C686" t="s">
        <v>354</v>
      </c>
      <c r="D686" t="s">
        <v>968</v>
      </c>
      <c r="J686">
        <v>0</v>
      </c>
      <c r="V686">
        <v>0.17</v>
      </c>
      <c r="AC686">
        <f>SUMPRODUCT(DB_SOFProject[[#This Row],[Plan01]:[Plan12]],$E$4:$P$4)/valUnits2</f>
        <v>0</v>
      </c>
      <c r="AD686">
        <f>SUMPRODUCT(DB_SOFProject[[#This Row],[Act01]:[Act12]],$Q$4:$AB$4)/valUnits2</f>
        <v>1.7000000000000001E-4</v>
      </c>
      <c r="AE686">
        <f>DB_SOFProject[[#This Row],[Actual]]-DB_SOFProject[[#This Row],[Plan]]</f>
        <v>1.7000000000000001E-4</v>
      </c>
      <c r="AF686" s="32">
        <f>IF(DB_SOFProject[[#This Row],[Plan]]&lt;&gt;0,DB_SOFProject[[#This Row],[Actual]]/DB_SOFProject[[#This Row],[Plan]],1.000011000011)</f>
        <v>1.0000110000110001</v>
      </c>
      <c r="AG686" s="34">
        <f>SUM(DB_SOFProject[[#This Row],[Plan01]:[Plan12]])/valUnits2</f>
        <v>0</v>
      </c>
      <c r="AH686" s="34">
        <f>SUMPRODUCT(DB_SOFProject[[#This Row],[Act01]:[Act12]],$Q$3:$AB$3)/valUnits2</f>
        <v>1.7000000000000001E-4</v>
      </c>
    </row>
    <row r="687" spans="2:34" x14ac:dyDescent="0.2">
      <c r="B687" t="s">
        <v>488</v>
      </c>
      <c r="C687" t="s">
        <v>911</v>
      </c>
      <c r="D687" t="s">
        <v>968</v>
      </c>
      <c r="J687">
        <v>0</v>
      </c>
      <c r="V687">
        <v>6.2</v>
      </c>
      <c r="AC687">
        <f>SUMPRODUCT(DB_SOFProject[[#This Row],[Plan01]:[Plan12]],$E$4:$P$4)/valUnits2</f>
        <v>0</v>
      </c>
      <c r="AD687">
        <f>SUMPRODUCT(DB_SOFProject[[#This Row],[Act01]:[Act12]],$Q$4:$AB$4)/valUnits2</f>
        <v>6.1999999999999998E-3</v>
      </c>
      <c r="AE687">
        <f>DB_SOFProject[[#This Row],[Actual]]-DB_SOFProject[[#This Row],[Plan]]</f>
        <v>6.1999999999999998E-3</v>
      </c>
      <c r="AF687" s="32">
        <f>IF(DB_SOFProject[[#This Row],[Plan]]&lt;&gt;0,DB_SOFProject[[#This Row],[Actual]]/DB_SOFProject[[#This Row],[Plan]],1.000011000011)</f>
        <v>1.0000110000110001</v>
      </c>
      <c r="AG687" s="34">
        <f>SUM(DB_SOFProject[[#This Row],[Plan01]:[Plan12]])/valUnits2</f>
        <v>0</v>
      </c>
      <c r="AH687" s="34">
        <f>SUMPRODUCT(DB_SOFProject[[#This Row],[Act01]:[Act12]],$Q$3:$AB$3)/valUnits2</f>
        <v>6.1999999999999998E-3</v>
      </c>
    </row>
    <row r="688" spans="2:34" x14ac:dyDescent="0.2">
      <c r="B688" t="s">
        <v>488</v>
      </c>
      <c r="C688" t="s">
        <v>911</v>
      </c>
      <c r="D688" t="s">
        <v>974</v>
      </c>
      <c r="E688">
        <v>186.72399999999999</v>
      </c>
      <c r="F688">
        <v>1891.0430000000001</v>
      </c>
      <c r="G688">
        <v>2075.7509999999997</v>
      </c>
      <c r="H688">
        <v>2139.8609999999999</v>
      </c>
      <c r="I688">
        <v>2092.701</v>
      </c>
      <c r="J688">
        <v>775.13099999999997</v>
      </c>
      <c r="K688">
        <v>775.13099999999997</v>
      </c>
      <c r="L688">
        <v>775.13099999999997</v>
      </c>
      <c r="M688">
        <v>775.13099999999997</v>
      </c>
      <c r="N688">
        <v>775.13099999999997</v>
      </c>
      <c r="Q688">
        <v>0</v>
      </c>
      <c r="R688">
        <v>1593.38</v>
      </c>
      <c r="S688">
        <v>1300.6199999999999</v>
      </c>
      <c r="T688">
        <v>1364.73</v>
      </c>
      <c r="U688">
        <v>1317.57</v>
      </c>
      <c r="V688">
        <v>1348.2</v>
      </c>
      <c r="W688">
        <v>0</v>
      </c>
      <c r="X688">
        <v>0</v>
      </c>
      <c r="Y688">
        <v>0</v>
      </c>
      <c r="Z688">
        <v>0</v>
      </c>
      <c r="AC688">
        <f>SUMPRODUCT(DB_SOFProject[[#This Row],[Plan01]:[Plan12]],$E$4:$P$4)/valUnits2</f>
        <v>9.1612109999999998</v>
      </c>
      <c r="AD688">
        <f>SUMPRODUCT(DB_SOFProject[[#This Row],[Act01]:[Act12]],$Q$4:$AB$4)/valUnits2</f>
        <v>6.9244999999999992</v>
      </c>
      <c r="AE688">
        <f>DB_SOFProject[[#This Row],[Actual]]-DB_SOFProject[[#This Row],[Plan]]</f>
        <v>-2.2367110000000006</v>
      </c>
      <c r="AF688" s="32">
        <f>IF(DB_SOFProject[[#This Row],[Plan]]&lt;&gt;0,DB_SOFProject[[#This Row],[Actual]]/DB_SOFProject[[#This Row],[Plan]],1.000011000011)</f>
        <v>0.75584985434785856</v>
      </c>
      <c r="AG688" s="34">
        <f>SUM(DB_SOFProject[[#This Row],[Plan01]:[Plan12]])/valUnits2</f>
        <v>12.261734999999996</v>
      </c>
      <c r="AH688" s="34">
        <f>SUMPRODUCT(DB_SOFProject[[#This Row],[Act01]:[Act12]],$Q$3:$AB$3)/valUnits2</f>
        <v>6.9244999999999992</v>
      </c>
    </row>
    <row r="689" spans="2:34" x14ac:dyDescent="0.2">
      <c r="B689" t="s">
        <v>488</v>
      </c>
      <c r="C689" t="s">
        <v>915</v>
      </c>
      <c r="D689" t="s">
        <v>968</v>
      </c>
      <c r="J689">
        <v>0</v>
      </c>
      <c r="V689">
        <v>0.28999999999999998</v>
      </c>
      <c r="AC689">
        <f>SUMPRODUCT(DB_SOFProject[[#This Row],[Plan01]:[Plan12]],$E$4:$P$4)/valUnits2</f>
        <v>0</v>
      </c>
      <c r="AD689">
        <f>SUMPRODUCT(DB_SOFProject[[#This Row],[Act01]:[Act12]],$Q$4:$AB$4)/valUnits2</f>
        <v>2.9E-4</v>
      </c>
      <c r="AE689">
        <f>DB_SOFProject[[#This Row],[Actual]]-DB_SOFProject[[#This Row],[Plan]]</f>
        <v>2.9E-4</v>
      </c>
      <c r="AF689" s="32">
        <f>IF(DB_SOFProject[[#This Row],[Plan]]&lt;&gt;0,DB_SOFProject[[#This Row],[Actual]]/DB_SOFProject[[#This Row],[Plan]],1.000011000011)</f>
        <v>1.0000110000110001</v>
      </c>
      <c r="AG689" s="34">
        <f>SUM(DB_SOFProject[[#This Row],[Plan01]:[Plan12]])/valUnits2</f>
        <v>0</v>
      </c>
      <c r="AH689" s="34">
        <f>SUMPRODUCT(DB_SOFProject[[#This Row],[Act01]:[Act12]],$Q$3:$AB$3)/valUnits2</f>
        <v>2.9E-4</v>
      </c>
    </row>
    <row r="690" spans="2:34" x14ac:dyDescent="0.2">
      <c r="B690" t="s">
        <v>488</v>
      </c>
      <c r="C690" t="s">
        <v>915</v>
      </c>
      <c r="D690" t="s">
        <v>974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575.25400000000002</v>
      </c>
      <c r="K690">
        <v>575.25400000000002</v>
      </c>
      <c r="L690">
        <v>575.25400000000002</v>
      </c>
      <c r="M690">
        <v>575.25400000000002</v>
      </c>
      <c r="N690">
        <v>575.25400000000002</v>
      </c>
      <c r="O690">
        <v>575.25400000000002</v>
      </c>
      <c r="P690">
        <v>575.25400000000002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f>SUMPRODUCT(DB_SOFProject[[#This Row],[Plan01]:[Plan12]],$E$4:$P$4)/valUnits2</f>
        <v>0.57525400000000004</v>
      </c>
      <c r="AD690">
        <f>SUMPRODUCT(DB_SOFProject[[#This Row],[Act01]:[Act12]],$Q$4:$AB$4)/valUnits2</f>
        <v>0</v>
      </c>
      <c r="AE690">
        <f>DB_SOFProject[[#This Row],[Actual]]-DB_SOFProject[[#This Row],[Plan]]</f>
        <v>-0.57525400000000004</v>
      </c>
      <c r="AF690" s="32">
        <f>IF(DB_SOFProject[[#This Row],[Plan]]&lt;&gt;0,DB_SOFProject[[#This Row],[Actual]]/DB_SOFProject[[#This Row],[Plan]],1.000011000011)</f>
        <v>0</v>
      </c>
      <c r="AG690" s="34">
        <f>SUM(DB_SOFProject[[#This Row],[Plan01]:[Plan12]])/valUnits2</f>
        <v>4.0267780000000002</v>
      </c>
      <c r="AH690" s="34">
        <f>SUMPRODUCT(DB_SOFProject[[#This Row],[Act01]:[Act12]],$Q$3:$AB$3)/valUnits2</f>
        <v>0</v>
      </c>
    </row>
    <row r="691" spans="2:34" x14ac:dyDescent="0.2">
      <c r="B691" t="s">
        <v>488</v>
      </c>
      <c r="C691" t="s">
        <v>917</v>
      </c>
      <c r="D691" t="s">
        <v>968</v>
      </c>
      <c r="J691">
        <v>0</v>
      </c>
      <c r="V691">
        <v>1.23</v>
      </c>
      <c r="AC691">
        <f>SUMPRODUCT(DB_SOFProject[[#This Row],[Plan01]:[Plan12]],$E$4:$P$4)/valUnits2</f>
        <v>0</v>
      </c>
      <c r="AD691">
        <f>SUMPRODUCT(DB_SOFProject[[#This Row],[Act01]:[Act12]],$Q$4:$AB$4)/valUnits2</f>
        <v>1.23E-3</v>
      </c>
      <c r="AE691">
        <f>DB_SOFProject[[#This Row],[Actual]]-DB_SOFProject[[#This Row],[Plan]]</f>
        <v>1.23E-3</v>
      </c>
      <c r="AF691" s="32">
        <f>IF(DB_SOFProject[[#This Row],[Plan]]&lt;&gt;0,DB_SOFProject[[#This Row],[Actual]]/DB_SOFProject[[#This Row],[Plan]],1.000011000011)</f>
        <v>1.0000110000110001</v>
      </c>
      <c r="AG691" s="34">
        <f>SUM(DB_SOFProject[[#This Row],[Plan01]:[Plan12]])/valUnits2</f>
        <v>0</v>
      </c>
      <c r="AH691" s="34">
        <f>SUMPRODUCT(DB_SOFProject[[#This Row],[Act01]:[Act12]],$Q$3:$AB$3)/valUnits2</f>
        <v>1.23E-3</v>
      </c>
    </row>
    <row r="692" spans="2:34" x14ac:dyDescent="0.2">
      <c r="B692" t="s">
        <v>488</v>
      </c>
      <c r="C692" t="s">
        <v>917</v>
      </c>
      <c r="D692" t="s">
        <v>974</v>
      </c>
      <c r="J692">
        <v>0</v>
      </c>
      <c r="V692">
        <v>462.84</v>
      </c>
      <c r="AC692">
        <f>SUMPRODUCT(DB_SOFProject[[#This Row],[Plan01]:[Plan12]],$E$4:$P$4)/valUnits2</f>
        <v>0</v>
      </c>
      <c r="AD692">
        <f>SUMPRODUCT(DB_SOFProject[[#This Row],[Act01]:[Act12]],$Q$4:$AB$4)/valUnits2</f>
        <v>0.46283999999999997</v>
      </c>
      <c r="AE692">
        <f>DB_SOFProject[[#This Row],[Actual]]-DB_SOFProject[[#This Row],[Plan]]</f>
        <v>0.46283999999999997</v>
      </c>
      <c r="AF692" s="32">
        <f>IF(DB_SOFProject[[#This Row],[Plan]]&lt;&gt;0,DB_SOFProject[[#This Row],[Actual]]/DB_SOFProject[[#This Row],[Plan]],1.000011000011)</f>
        <v>1.0000110000110001</v>
      </c>
      <c r="AG692" s="34">
        <f>SUM(DB_SOFProject[[#This Row],[Plan01]:[Plan12]])/valUnits2</f>
        <v>0</v>
      </c>
      <c r="AH692" s="34">
        <f>SUMPRODUCT(DB_SOFProject[[#This Row],[Act01]:[Act12]],$Q$3:$AB$3)/valUnits2</f>
        <v>0.46283999999999997</v>
      </c>
    </row>
    <row r="693" spans="2:34" x14ac:dyDescent="0.2">
      <c r="B693" t="s">
        <v>488</v>
      </c>
      <c r="C693" t="s">
        <v>918</v>
      </c>
      <c r="D693" t="s">
        <v>941</v>
      </c>
      <c r="E693">
        <v>0</v>
      </c>
      <c r="H693">
        <v>0</v>
      </c>
      <c r="I693">
        <v>115.01900000000001</v>
      </c>
      <c r="K693">
        <v>0</v>
      </c>
      <c r="N693">
        <v>0</v>
      </c>
      <c r="Q693">
        <v>0</v>
      </c>
      <c r="T693">
        <v>0</v>
      </c>
      <c r="U693">
        <v>114.08</v>
      </c>
      <c r="W693">
        <v>0</v>
      </c>
      <c r="Z693">
        <v>0</v>
      </c>
      <c r="AC693">
        <f>SUMPRODUCT(DB_SOFProject[[#This Row],[Plan01]:[Plan12]],$E$4:$P$4)/valUnits2</f>
        <v>0.11501900000000001</v>
      </c>
      <c r="AD693">
        <f>SUMPRODUCT(DB_SOFProject[[#This Row],[Act01]:[Act12]],$Q$4:$AB$4)/valUnits2</f>
        <v>0.11408</v>
      </c>
      <c r="AE693">
        <f>DB_SOFProject[[#This Row],[Actual]]-DB_SOFProject[[#This Row],[Plan]]</f>
        <v>-9.3900000000000927E-4</v>
      </c>
      <c r="AF693" s="32">
        <f>IF(DB_SOFProject[[#This Row],[Plan]]&lt;&gt;0,DB_SOFProject[[#This Row],[Actual]]/DB_SOFProject[[#This Row],[Plan]],1.000011000011)</f>
        <v>0.99183613142176497</v>
      </c>
      <c r="AG693" s="34">
        <f>SUM(DB_SOFProject[[#This Row],[Plan01]:[Plan12]])/valUnits2</f>
        <v>0.11501900000000001</v>
      </c>
      <c r="AH693" s="34">
        <f>SUMPRODUCT(DB_SOFProject[[#This Row],[Act01]:[Act12]],$Q$3:$AB$3)/valUnits2</f>
        <v>0.11408</v>
      </c>
    </row>
    <row r="694" spans="2:34" x14ac:dyDescent="0.2">
      <c r="B694" t="s">
        <v>488</v>
      </c>
      <c r="C694" t="s">
        <v>918</v>
      </c>
      <c r="D694" t="s">
        <v>968</v>
      </c>
      <c r="J694">
        <v>0</v>
      </c>
      <c r="V694">
        <v>0.53</v>
      </c>
      <c r="AC694">
        <f>SUMPRODUCT(DB_SOFProject[[#This Row],[Plan01]:[Plan12]],$E$4:$P$4)/valUnits2</f>
        <v>0</v>
      </c>
      <c r="AD694">
        <f>SUMPRODUCT(DB_SOFProject[[#This Row],[Act01]:[Act12]],$Q$4:$AB$4)/valUnits2</f>
        <v>5.2999999999999998E-4</v>
      </c>
      <c r="AE694">
        <f>DB_SOFProject[[#This Row],[Actual]]-DB_SOFProject[[#This Row],[Plan]]</f>
        <v>5.2999999999999998E-4</v>
      </c>
      <c r="AF694" s="32">
        <f>IF(DB_SOFProject[[#This Row],[Plan]]&lt;&gt;0,DB_SOFProject[[#This Row],[Actual]]/DB_SOFProject[[#This Row],[Plan]],1.000011000011)</f>
        <v>1.0000110000110001</v>
      </c>
      <c r="AG694" s="34">
        <f>SUM(DB_SOFProject[[#This Row],[Plan01]:[Plan12]])/valUnits2</f>
        <v>0</v>
      </c>
      <c r="AH694" s="34">
        <f>SUMPRODUCT(DB_SOFProject[[#This Row],[Act01]:[Act12]],$Q$3:$AB$3)/valUnits2</f>
        <v>5.2999999999999998E-4</v>
      </c>
    </row>
    <row r="695" spans="2:34" x14ac:dyDescent="0.2">
      <c r="B695" t="s">
        <v>488</v>
      </c>
      <c r="C695" t="s">
        <v>356</v>
      </c>
      <c r="D695" t="s">
        <v>941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AC695">
        <f>SUMPRODUCT(DB_SOFProject[[#This Row],[Plan01]:[Plan12]],$E$4:$P$4)/valUnits2</f>
        <v>0</v>
      </c>
      <c r="AD695">
        <f>SUMPRODUCT(DB_SOFProject[[#This Row],[Act01]:[Act12]],$Q$4:$AB$4)/valUnits2</f>
        <v>0</v>
      </c>
      <c r="AE695">
        <f>DB_SOFProject[[#This Row],[Actual]]-DB_SOFProject[[#This Row],[Plan]]</f>
        <v>0</v>
      </c>
      <c r="AF695" s="32">
        <f>IF(DB_SOFProject[[#This Row],[Plan]]&lt;&gt;0,DB_SOFProject[[#This Row],[Actual]]/DB_SOFProject[[#This Row],[Plan]],1.000011000011)</f>
        <v>1.0000110000110001</v>
      </c>
      <c r="AG695" s="34">
        <f>SUM(DB_SOFProject[[#This Row],[Plan01]:[Plan12]])/valUnits2</f>
        <v>0</v>
      </c>
      <c r="AH695" s="34">
        <f>SUMPRODUCT(DB_SOFProject[[#This Row],[Act01]:[Act12]],$Q$3:$AB$3)/valUnits2</f>
        <v>0</v>
      </c>
    </row>
    <row r="696" spans="2:34" x14ac:dyDescent="0.2">
      <c r="B696" t="s">
        <v>488</v>
      </c>
      <c r="C696" t="s">
        <v>356</v>
      </c>
      <c r="D696" t="s">
        <v>968</v>
      </c>
      <c r="J696">
        <v>0</v>
      </c>
      <c r="V696">
        <v>0.4</v>
      </c>
      <c r="AC696">
        <f>SUMPRODUCT(DB_SOFProject[[#This Row],[Plan01]:[Plan12]],$E$4:$P$4)/valUnits2</f>
        <v>0</v>
      </c>
      <c r="AD696">
        <f>SUMPRODUCT(DB_SOFProject[[#This Row],[Act01]:[Act12]],$Q$4:$AB$4)/valUnits2</f>
        <v>4.0000000000000002E-4</v>
      </c>
      <c r="AE696">
        <f>DB_SOFProject[[#This Row],[Actual]]-DB_SOFProject[[#This Row],[Plan]]</f>
        <v>4.0000000000000002E-4</v>
      </c>
      <c r="AF696" s="32">
        <f>IF(DB_SOFProject[[#This Row],[Plan]]&lt;&gt;0,DB_SOFProject[[#This Row],[Actual]]/DB_SOFProject[[#This Row],[Plan]],1.000011000011)</f>
        <v>1.0000110000110001</v>
      </c>
      <c r="AG696" s="34">
        <f>SUM(DB_SOFProject[[#This Row],[Plan01]:[Plan12]])/valUnits2</f>
        <v>0</v>
      </c>
      <c r="AH696" s="34">
        <f>SUMPRODUCT(DB_SOFProject[[#This Row],[Act01]:[Act12]],$Q$3:$AB$3)/valUnits2</f>
        <v>4.0000000000000002E-4</v>
      </c>
    </row>
    <row r="697" spans="2:34" x14ac:dyDescent="0.2">
      <c r="B697" t="s">
        <v>488</v>
      </c>
      <c r="C697" t="s">
        <v>356</v>
      </c>
      <c r="D697" t="s">
        <v>974</v>
      </c>
      <c r="F697">
        <v>22.425999999999998</v>
      </c>
      <c r="R697">
        <v>22.52</v>
      </c>
      <c r="AC697">
        <f>SUMPRODUCT(DB_SOFProject[[#This Row],[Plan01]:[Plan12]],$E$4:$P$4)/valUnits2</f>
        <v>2.2425999999999998E-2</v>
      </c>
      <c r="AD697">
        <f>SUMPRODUCT(DB_SOFProject[[#This Row],[Act01]:[Act12]],$Q$4:$AB$4)/valUnits2</f>
        <v>2.2519999999999998E-2</v>
      </c>
      <c r="AE697">
        <f>DB_SOFProject[[#This Row],[Actual]]-DB_SOFProject[[#This Row],[Plan]]</f>
        <v>9.4000000000000333E-5</v>
      </c>
      <c r="AF697" s="32">
        <f>IF(DB_SOFProject[[#This Row],[Plan]]&lt;&gt;0,DB_SOFProject[[#This Row],[Actual]]/DB_SOFProject[[#This Row],[Plan]],1.000011000011)</f>
        <v>1.0041915633639527</v>
      </c>
      <c r="AG697" s="34">
        <f>SUM(DB_SOFProject[[#This Row],[Plan01]:[Plan12]])/valUnits2</f>
        <v>2.2425999999999998E-2</v>
      </c>
      <c r="AH697" s="34">
        <f>SUMPRODUCT(DB_SOFProject[[#This Row],[Act01]:[Act12]],$Q$3:$AB$3)/valUnits2</f>
        <v>2.2519999999999998E-2</v>
      </c>
    </row>
    <row r="698" spans="2:34" x14ac:dyDescent="0.2">
      <c r="B698" t="s">
        <v>488</v>
      </c>
      <c r="C698" t="s">
        <v>919</v>
      </c>
      <c r="D698" t="s">
        <v>968</v>
      </c>
      <c r="J698">
        <v>0</v>
      </c>
      <c r="V698">
        <v>12.23</v>
      </c>
      <c r="AC698">
        <f>SUMPRODUCT(DB_SOFProject[[#This Row],[Plan01]:[Plan12]],$E$4:$P$4)/valUnits2</f>
        <v>0</v>
      </c>
      <c r="AD698">
        <f>SUMPRODUCT(DB_SOFProject[[#This Row],[Act01]:[Act12]],$Q$4:$AB$4)/valUnits2</f>
        <v>1.2230000000000001E-2</v>
      </c>
      <c r="AE698">
        <f>DB_SOFProject[[#This Row],[Actual]]-DB_SOFProject[[#This Row],[Plan]]</f>
        <v>1.2230000000000001E-2</v>
      </c>
      <c r="AF698" s="32">
        <f>IF(DB_SOFProject[[#This Row],[Plan]]&lt;&gt;0,DB_SOFProject[[#This Row],[Actual]]/DB_SOFProject[[#This Row],[Plan]],1.000011000011)</f>
        <v>1.0000110000110001</v>
      </c>
      <c r="AG698" s="34">
        <f>SUM(DB_SOFProject[[#This Row],[Plan01]:[Plan12]])/valUnits2</f>
        <v>0</v>
      </c>
      <c r="AH698" s="34">
        <f>SUMPRODUCT(DB_SOFProject[[#This Row],[Act01]:[Act12]],$Q$3:$AB$3)/valUnits2</f>
        <v>1.2230000000000001E-2</v>
      </c>
    </row>
    <row r="699" spans="2:34" x14ac:dyDescent="0.2">
      <c r="B699" t="s">
        <v>488</v>
      </c>
      <c r="C699" t="s">
        <v>919</v>
      </c>
      <c r="D699" t="s">
        <v>974</v>
      </c>
      <c r="E699">
        <v>0</v>
      </c>
      <c r="F699">
        <v>807.78099999999995</v>
      </c>
      <c r="G699">
        <v>1252.502</v>
      </c>
      <c r="H699">
        <v>538.79200000000003</v>
      </c>
      <c r="I699">
        <v>731.83799999999997</v>
      </c>
      <c r="J699">
        <v>1275.838</v>
      </c>
      <c r="K699">
        <v>1275.838</v>
      </c>
      <c r="L699">
        <v>1275.838</v>
      </c>
      <c r="M699">
        <v>1275.838</v>
      </c>
      <c r="N699">
        <v>1275.838</v>
      </c>
      <c r="O699">
        <v>1275.838</v>
      </c>
      <c r="P699">
        <v>1275.838</v>
      </c>
      <c r="Q699">
        <v>0</v>
      </c>
      <c r="R699">
        <v>824.72</v>
      </c>
      <c r="S699">
        <v>1263.8400000000001</v>
      </c>
      <c r="T699">
        <v>535.72</v>
      </c>
      <c r="U699">
        <v>729.76</v>
      </c>
      <c r="V699">
        <v>613.68000000000006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f>SUMPRODUCT(DB_SOFProject[[#This Row],[Plan01]:[Plan12]],$E$4:$P$4)/valUnits2</f>
        <v>4.6067509999999992</v>
      </c>
      <c r="AD699">
        <f>SUMPRODUCT(DB_SOFProject[[#This Row],[Act01]:[Act12]],$Q$4:$AB$4)/valUnits2</f>
        <v>3.9677200000000012</v>
      </c>
      <c r="AE699">
        <f>DB_SOFProject[[#This Row],[Actual]]-DB_SOFProject[[#This Row],[Plan]]</f>
        <v>-0.63903099999999791</v>
      </c>
      <c r="AF699" s="32">
        <f>IF(DB_SOFProject[[#This Row],[Plan]]&lt;&gt;0,DB_SOFProject[[#This Row],[Actual]]/DB_SOFProject[[#This Row],[Plan]],1.000011000011)</f>
        <v>0.86128379849486159</v>
      </c>
      <c r="AG699" s="34">
        <f>SUM(DB_SOFProject[[#This Row],[Plan01]:[Plan12]])/valUnits2</f>
        <v>12.261778999999999</v>
      </c>
      <c r="AH699" s="34">
        <f>SUMPRODUCT(DB_SOFProject[[#This Row],[Act01]:[Act12]],$Q$3:$AB$3)/valUnits2</f>
        <v>3.9677200000000012</v>
      </c>
    </row>
    <row r="700" spans="2:34" x14ac:dyDescent="0.2">
      <c r="B700" t="s">
        <v>488</v>
      </c>
      <c r="C700" t="s">
        <v>919</v>
      </c>
      <c r="D700" t="s">
        <v>995</v>
      </c>
      <c r="F700">
        <v>0</v>
      </c>
      <c r="G700">
        <v>0</v>
      </c>
      <c r="H700">
        <v>0</v>
      </c>
      <c r="I700">
        <v>0</v>
      </c>
      <c r="J700">
        <v>641.51</v>
      </c>
      <c r="K700">
        <v>641.51</v>
      </c>
      <c r="L700">
        <v>641.51</v>
      </c>
      <c r="M700">
        <v>641.51</v>
      </c>
      <c r="N700">
        <v>641.51</v>
      </c>
      <c r="O700">
        <v>641.51</v>
      </c>
      <c r="P700">
        <v>641.51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f>SUMPRODUCT(DB_SOFProject[[#This Row],[Plan01]:[Plan12]],$E$4:$P$4)/valUnits2</f>
        <v>0.64151000000000002</v>
      </c>
      <c r="AD700">
        <f>SUMPRODUCT(DB_SOFProject[[#This Row],[Act01]:[Act12]],$Q$4:$AB$4)/valUnits2</f>
        <v>0</v>
      </c>
      <c r="AE700">
        <f>DB_SOFProject[[#This Row],[Actual]]-DB_SOFProject[[#This Row],[Plan]]</f>
        <v>-0.64151000000000002</v>
      </c>
      <c r="AF700" s="32">
        <f>IF(DB_SOFProject[[#This Row],[Plan]]&lt;&gt;0,DB_SOFProject[[#This Row],[Actual]]/DB_SOFProject[[#This Row],[Plan]],1.000011000011)</f>
        <v>0</v>
      </c>
      <c r="AG700" s="34">
        <f>SUM(DB_SOFProject[[#This Row],[Plan01]:[Plan12]])/valUnits2</f>
        <v>4.4905700000000008</v>
      </c>
      <c r="AH700" s="34">
        <f>SUMPRODUCT(DB_SOFProject[[#This Row],[Act01]:[Act12]],$Q$3:$AB$3)/valUnits2</f>
        <v>0</v>
      </c>
    </row>
    <row r="701" spans="2:34" x14ac:dyDescent="0.2">
      <c r="B701" t="s">
        <v>488</v>
      </c>
      <c r="C701" t="s">
        <v>921</v>
      </c>
      <c r="D701" t="s">
        <v>941</v>
      </c>
      <c r="E701">
        <v>164.34799999999998</v>
      </c>
      <c r="F701">
        <v>220.59700000000001</v>
      </c>
      <c r="Q701">
        <v>164.36</v>
      </c>
      <c r="R701">
        <v>219.38</v>
      </c>
      <c r="AC701">
        <f>SUMPRODUCT(DB_SOFProject[[#This Row],[Plan01]:[Plan12]],$E$4:$P$4)/valUnits2</f>
        <v>0.38494499999999998</v>
      </c>
      <c r="AD701">
        <f>SUMPRODUCT(DB_SOFProject[[#This Row],[Act01]:[Act12]],$Q$4:$AB$4)/valUnits2</f>
        <v>0.38374000000000003</v>
      </c>
      <c r="AE701">
        <f>DB_SOFProject[[#This Row],[Actual]]-DB_SOFProject[[#This Row],[Plan]]</f>
        <v>-1.2049999999999561E-3</v>
      </c>
      <c r="AF701" s="32">
        <f>IF(DB_SOFProject[[#This Row],[Plan]]&lt;&gt;0,DB_SOFProject[[#This Row],[Actual]]/DB_SOFProject[[#This Row],[Plan]],1.000011000011)</f>
        <v>0.99686968268194165</v>
      </c>
      <c r="AG701" s="34">
        <f>SUM(DB_SOFProject[[#This Row],[Plan01]:[Plan12]])/valUnits2</f>
        <v>0.38494499999999998</v>
      </c>
      <c r="AH701" s="34">
        <f>SUMPRODUCT(DB_SOFProject[[#This Row],[Act01]:[Act12]],$Q$3:$AB$3)/valUnits2</f>
        <v>0.38374000000000003</v>
      </c>
    </row>
    <row r="702" spans="2:34" x14ac:dyDescent="0.2">
      <c r="B702" t="s">
        <v>488</v>
      </c>
      <c r="C702" t="s">
        <v>921</v>
      </c>
      <c r="D702" t="s">
        <v>968</v>
      </c>
      <c r="G702">
        <v>0.218</v>
      </c>
      <c r="I702">
        <v>266.995</v>
      </c>
      <c r="S702">
        <v>0.22</v>
      </c>
      <c r="U702">
        <v>263.5</v>
      </c>
      <c r="AC702">
        <f>SUMPRODUCT(DB_SOFProject[[#This Row],[Plan01]:[Plan12]],$E$4:$P$4)/valUnits2</f>
        <v>0.26721300000000003</v>
      </c>
      <c r="AD702">
        <f>SUMPRODUCT(DB_SOFProject[[#This Row],[Act01]:[Act12]],$Q$4:$AB$4)/valUnits2</f>
        <v>0.26372000000000001</v>
      </c>
      <c r="AE702">
        <f>DB_SOFProject[[#This Row],[Actual]]-DB_SOFProject[[#This Row],[Plan]]</f>
        <v>-3.4930000000000239E-3</v>
      </c>
      <c r="AF702" s="32">
        <f>IF(DB_SOFProject[[#This Row],[Plan]]&lt;&gt;0,DB_SOFProject[[#This Row],[Actual]]/DB_SOFProject[[#This Row],[Plan]],1.000011000011)</f>
        <v>0.98692803119608696</v>
      </c>
      <c r="AG702" s="34">
        <f>SUM(DB_SOFProject[[#This Row],[Plan01]:[Plan12]])/valUnits2</f>
        <v>0.26721300000000003</v>
      </c>
      <c r="AH702" s="34">
        <f>SUMPRODUCT(DB_SOFProject[[#This Row],[Act01]:[Act12]],$Q$3:$AB$3)/valUnits2</f>
        <v>0.26372000000000001</v>
      </c>
    </row>
    <row r="703" spans="2:34" x14ac:dyDescent="0.2">
      <c r="B703" t="s">
        <v>488</v>
      </c>
      <c r="C703" t="s">
        <v>921</v>
      </c>
      <c r="D703" t="s">
        <v>974</v>
      </c>
      <c r="F703">
        <v>1.0169999999999999</v>
      </c>
      <c r="G703">
        <v>1.1539999999999999</v>
      </c>
      <c r="R703">
        <v>1.01</v>
      </c>
      <c r="S703">
        <v>1.1499999999999999</v>
      </c>
      <c r="AC703">
        <f>SUMPRODUCT(DB_SOFProject[[#This Row],[Plan01]:[Plan12]],$E$4:$P$4)/valUnits2</f>
        <v>2.1709999999999998E-3</v>
      </c>
      <c r="AD703">
        <f>SUMPRODUCT(DB_SOFProject[[#This Row],[Act01]:[Act12]],$Q$4:$AB$4)/valUnits2</f>
        <v>2.16E-3</v>
      </c>
      <c r="AE703">
        <f>DB_SOFProject[[#This Row],[Actual]]-DB_SOFProject[[#This Row],[Plan]]</f>
        <v>-1.0999999999999725E-5</v>
      </c>
      <c r="AF703" s="32">
        <f>IF(DB_SOFProject[[#This Row],[Plan]]&lt;&gt;0,DB_SOFProject[[#This Row],[Actual]]/DB_SOFProject[[#This Row],[Plan]],1.000011000011)</f>
        <v>0.99493321050207295</v>
      </c>
      <c r="AG703" s="34">
        <f>SUM(DB_SOFProject[[#This Row],[Plan01]:[Plan12]])/valUnits2</f>
        <v>2.1709999999999998E-3</v>
      </c>
      <c r="AH703" s="34">
        <f>SUMPRODUCT(DB_SOFProject[[#This Row],[Act01]:[Act12]],$Q$3:$AB$3)/valUnits2</f>
        <v>2.16E-3</v>
      </c>
    </row>
    <row r="704" spans="2:34" x14ac:dyDescent="0.2">
      <c r="B704" t="s">
        <v>488</v>
      </c>
      <c r="C704" t="s">
        <v>922</v>
      </c>
      <c r="D704" t="s">
        <v>968</v>
      </c>
      <c r="G704">
        <v>0.50900000000000001</v>
      </c>
      <c r="J704">
        <v>0</v>
      </c>
      <c r="S704">
        <v>0.53</v>
      </c>
      <c r="V704">
        <v>0.39</v>
      </c>
      <c r="AC704">
        <f>SUMPRODUCT(DB_SOFProject[[#This Row],[Plan01]:[Plan12]],$E$4:$P$4)/valUnits2</f>
        <v>5.0900000000000001E-4</v>
      </c>
      <c r="AD704">
        <f>SUMPRODUCT(DB_SOFProject[[#This Row],[Act01]:[Act12]],$Q$4:$AB$4)/valUnits2</f>
        <v>9.2000000000000003E-4</v>
      </c>
      <c r="AE704">
        <f>DB_SOFProject[[#This Row],[Actual]]-DB_SOFProject[[#This Row],[Plan]]</f>
        <v>4.1100000000000002E-4</v>
      </c>
      <c r="AF704" s="32">
        <f>IF(DB_SOFProject[[#This Row],[Plan]]&lt;&gt;0,DB_SOFProject[[#This Row],[Actual]]/DB_SOFProject[[#This Row],[Plan]],1.000011000011)</f>
        <v>1.8074656188605107</v>
      </c>
      <c r="AG704" s="34">
        <f>SUM(DB_SOFProject[[#This Row],[Plan01]:[Plan12]])/valUnits2</f>
        <v>5.0900000000000001E-4</v>
      </c>
      <c r="AH704" s="34">
        <f>SUMPRODUCT(DB_SOFProject[[#This Row],[Act01]:[Act12]],$Q$3:$AB$3)/valUnits2</f>
        <v>9.2000000000000003E-4</v>
      </c>
    </row>
    <row r="705" spans="2:34" x14ac:dyDescent="0.2">
      <c r="B705" t="s">
        <v>488</v>
      </c>
      <c r="C705" t="s">
        <v>922</v>
      </c>
      <c r="D705" t="s">
        <v>974</v>
      </c>
      <c r="F705">
        <v>2.448</v>
      </c>
      <c r="G705">
        <v>2.835</v>
      </c>
      <c r="I705">
        <v>2.4</v>
      </c>
      <c r="J705">
        <v>0</v>
      </c>
      <c r="R705">
        <v>2.5299999999999998</v>
      </c>
      <c r="S705">
        <v>2.8600000000000003</v>
      </c>
      <c r="U705">
        <v>2.38</v>
      </c>
      <c r="V705">
        <v>8.56</v>
      </c>
      <c r="AC705">
        <f>SUMPRODUCT(DB_SOFProject[[#This Row],[Plan01]:[Plan12]],$E$4:$P$4)/valUnits2</f>
        <v>7.6829999999999997E-3</v>
      </c>
      <c r="AD705">
        <f>SUMPRODUCT(DB_SOFProject[[#This Row],[Act01]:[Act12]],$Q$4:$AB$4)/valUnits2</f>
        <v>1.6330000000000001E-2</v>
      </c>
      <c r="AE705">
        <f>DB_SOFProject[[#This Row],[Actual]]-DB_SOFProject[[#This Row],[Plan]]</f>
        <v>8.6470000000000019E-3</v>
      </c>
      <c r="AF705" s="32">
        <f>IF(DB_SOFProject[[#This Row],[Plan]]&lt;&gt;0,DB_SOFProject[[#This Row],[Actual]]/DB_SOFProject[[#This Row],[Plan]],1.000011000011)</f>
        <v>2.125471820903293</v>
      </c>
      <c r="AG705" s="34">
        <f>SUM(DB_SOFProject[[#This Row],[Plan01]:[Plan12]])/valUnits2</f>
        <v>7.6829999999999997E-3</v>
      </c>
      <c r="AH705" s="34">
        <f>SUMPRODUCT(DB_SOFProject[[#This Row],[Act01]:[Act12]],$Q$3:$AB$3)/valUnits2</f>
        <v>1.6330000000000001E-2</v>
      </c>
    </row>
    <row r="706" spans="2:34" x14ac:dyDescent="0.2">
      <c r="B706" t="s">
        <v>488</v>
      </c>
      <c r="C706" t="s">
        <v>924</v>
      </c>
      <c r="D706" t="s">
        <v>968</v>
      </c>
      <c r="J706">
        <v>0</v>
      </c>
      <c r="V706">
        <v>0.53</v>
      </c>
      <c r="AC706">
        <f>SUMPRODUCT(DB_SOFProject[[#This Row],[Plan01]:[Plan12]],$E$4:$P$4)/valUnits2</f>
        <v>0</v>
      </c>
      <c r="AD706">
        <f>SUMPRODUCT(DB_SOFProject[[#This Row],[Act01]:[Act12]],$Q$4:$AB$4)/valUnits2</f>
        <v>5.2999999999999998E-4</v>
      </c>
      <c r="AE706">
        <f>DB_SOFProject[[#This Row],[Actual]]-DB_SOFProject[[#This Row],[Plan]]</f>
        <v>5.2999999999999998E-4</v>
      </c>
      <c r="AF706" s="32">
        <f>IF(DB_SOFProject[[#This Row],[Plan]]&lt;&gt;0,DB_SOFProject[[#This Row],[Actual]]/DB_SOFProject[[#This Row],[Plan]],1.000011000011)</f>
        <v>1.0000110000110001</v>
      </c>
      <c r="AG706" s="34">
        <f>SUM(DB_SOFProject[[#This Row],[Plan01]:[Plan12]])/valUnits2</f>
        <v>0</v>
      </c>
      <c r="AH706" s="34">
        <f>SUMPRODUCT(DB_SOFProject[[#This Row],[Act01]:[Act12]],$Q$3:$AB$3)/valUnits2</f>
        <v>5.2999999999999998E-4</v>
      </c>
    </row>
    <row r="707" spans="2:34" x14ac:dyDescent="0.2">
      <c r="B707" t="s">
        <v>488</v>
      </c>
      <c r="C707" t="s">
        <v>927</v>
      </c>
      <c r="D707" t="s">
        <v>968</v>
      </c>
      <c r="G707">
        <v>2.29</v>
      </c>
      <c r="J707">
        <v>0</v>
      </c>
      <c r="S707">
        <v>2.29</v>
      </c>
      <c r="V707">
        <v>7.85</v>
      </c>
      <c r="AC707" s="34">
        <f>SUMPRODUCT(DB_SOFProject[[#This Row],[Plan01]:[Plan12]],$E$4:$P$4)/valUnits2</f>
        <v>2.2899999999999999E-3</v>
      </c>
      <c r="AD707" s="34">
        <f>SUMPRODUCT(DB_SOFProject[[#This Row],[Act01]:[Act12]],$Q$4:$AB$4)/valUnits2</f>
        <v>1.014E-2</v>
      </c>
      <c r="AE707" s="34">
        <f>DB_SOFProject[[#This Row],[Actual]]-DB_SOFProject[[#This Row],[Plan]]</f>
        <v>7.8499999999999993E-3</v>
      </c>
      <c r="AF707" s="32">
        <f>IF(DB_SOFProject[[#This Row],[Plan]]&lt;&gt;0,DB_SOFProject[[#This Row],[Actual]]/DB_SOFProject[[#This Row],[Plan]],1.000011000011)</f>
        <v>4.427947598253275</v>
      </c>
      <c r="AG707" s="34">
        <f>SUM(DB_SOFProject[[#This Row],[Plan01]:[Plan12]])/valUnits2</f>
        <v>2.2899999999999999E-3</v>
      </c>
      <c r="AH707" s="34">
        <f>SUMPRODUCT(DB_SOFProject[[#This Row],[Act01]:[Act12]],$Q$3:$AB$3)/valUnits2</f>
        <v>1.014E-2</v>
      </c>
    </row>
    <row r="708" spans="2:34" x14ac:dyDescent="0.2">
      <c r="B708" t="s">
        <v>488</v>
      </c>
      <c r="C708" t="s">
        <v>927</v>
      </c>
      <c r="D708" t="s">
        <v>974</v>
      </c>
      <c r="E708">
        <v>0</v>
      </c>
      <c r="F708">
        <v>2484.96</v>
      </c>
      <c r="G708">
        <v>3791.55</v>
      </c>
      <c r="H708">
        <v>2410.69</v>
      </c>
      <c r="I708">
        <v>3283.81</v>
      </c>
      <c r="J708">
        <v>3474</v>
      </c>
      <c r="K708">
        <v>3474</v>
      </c>
      <c r="L708">
        <v>3474</v>
      </c>
      <c r="M708">
        <v>3474</v>
      </c>
      <c r="N708">
        <v>3474</v>
      </c>
      <c r="O708">
        <v>3474</v>
      </c>
      <c r="P708">
        <v>3474</v>
      </c>
      <c r="Q708">
        <v>0</v>
      </c>
      <c r="R708">
        <v>2484.9600000000005</v>
      </c>
      <c r="S708">
        <v>3816.0399999999995</v>
      </c>
      <c r="T708">
        <v>2410.69</v>
      </c>
      <c r="U708">
        <v>3283.81</v>
      </c>
      <c r="V708">
        <v>2761.48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 s="34">
        <f>SUMPRODUCT(DB_SOFProject[[#This Row],[Plan01]:[Plan12]],$E$4:$P$4)/valUnits2</f>
        <v>15.44501</v>
      </c>
      <c r="AD708" s="34">
        <f>SUMPRODUCT(DB_SOFProject[[#This Row],[Act01]:[Act12]],$Q$4:$AB$4)/valUnits2</f>
        <v>14.75698</v>
      </c>
      <c r="AE708" s="34">
        <f>DB_SOFProject[[#This Row],[Actual]]-DB_SOFProject[[#This Row],[Plan]]</f>
        <v>-0.68802999999999948</v>
      </c>
      <c r="AF708" s="32">
        <f>IF(DB_SOFProject[[#This Row],[Plan]]&lt;&gt;0,DB_SOFProject[[#This Row],[Actual]]/DB_SOFProject[[#This Row],[Plan]],1.000011000011)</f>
        <v>0.95545292622018374</v>
      </c>
      <c r="AG708" s="34">
        <f>SUM(DB_SOFProject[[#This Row],[Plan01]:[Plan12]])/valUnits2</f>
        <v>36.289010000000005</v>
      </c>
      <c r="AH708" s="34">
        <f>SUMPRODUCT(DB_SOFProject[[#This Row],[Act01]:[Act12]],$Q$3:$AB$3)/valUnits2</f>
        <v>14.75698</v>
      </c>
    </row>
    <row r="709" spans="2:34" x14ac:dyDescent="0.2">
      <c r="B709" t="s">
        <v>488</v>
      </c>
      <c r="C709" t="s">
        <v>359</v>
      </c>
      <c r="D709" t="s">
        <v>941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AC709" s="34">
        <f>SUMPRODUCT(DB_SOFProject[[#This Row],[Plan01]:[Plan12]],$E$4:$P$4)/valUnits2</f>
        <v>0</v>
      </c>
      <c r="AD709" s="34">
        <f>SUMPRODUCT(DB_SOFProject[[#This Row],[Act01]:[Act12]],$Q$4:$AB$4)/valUnits2</f>
        <v>0</v>
      </c>
      <c r="AE709" s="34">
        <f>DB_SOFProject[[#This Row],[Actual]]-DB_SOFProject[[#This Row],[Plan]]</f>
        <v>0</v>
      </c>
      <c r="AF709" s="32">
        <f>IF(DB_SOFProject[[#This Row],[Plan]]&lt;&gt;0,DB_SOFProject[[#This Row],[Actual]]/DB_SOFProject[[#This Row],[Plan]],1.000011000011)</f>
        <v>1.0000110000110001</v>
      </c>
      <c r="AG709" s="34">
        <f>SUM(DB_SOFProject[[#This Row],[Plan01]:[Plan12]])/valUnits2</f>
        <v>0</v>
      </c>
      <c r="AH709" s="34">
        <f>SUMPRODUCT(DB_SOFProject[[#This Row],[Act01]:[Act12]],$Q$3:$AB$3)/valUnits2</f>
        <v>0</v>
      </c>
    </row>
    <row r="710" spans="2:34" x14ac:dyDescent="0.2">
      <c r="B710" t="s">
        <v>488</v>
      </c>
      <c r="C710" t="s">
        <v>359</v>
      </c>
      <c r="D710" t="s">
        <v>968</v>
      </c>
      <c r="J710">
        <v>0</v>
      </c>
      <c r="V710">
        <v>0.05</v>
      </c>
      <c r="AC710" s="34">
        <f>SUMPRODUCT(DB_SOFProject[[#This Row],[Plan01]:[Plan12]],$E$4:$P$4)/valUnits2</f>
        <v>0</v>
      </c>
      <c r="AD710" s="34">
        <f>SUMPRODUCT(DB_SOFProject[[#This Row],[Act01]:[Act12]],$Q$4:$AB$4)/valUnits2</f>
        <v>5.0000000000000002E-5</v>
      </c>
      <c r="AE710" s="34">
        <f>DB_SOFProject[[#This Row],[Actual]]-DB_SOFProject[[#This Row],[Plan]]</f>
        <v>5.0000000000000002E-5</v>
      </c>
      <c r="AF710" s="32">
        <f>IF(DB_SOFProject[[#This Row],[Plan]]&lt;&gt;0,DB_SOFProject[[#This Row],[Actual]]/DB_SOFProject[[#This Row],[Plan]],1.000011000011)</f>
        <v>1.0000110000110001</v>
      </c>
      <c r="AG710" s="34">
        <f>SUM(DB_SOFProject[[#This Row],[Plan01]:[Plan12]])/valUnits2</f>
        <v>0</v>
      </c>
      <c r="AH710" s="34">
        <f>SUMPRODUCT(DB_SOFProject[[#This Row],[Act01]:[Act12]],$Q$3:$AB$3)/valUnits2</f>
        <v>5.0000000000000002E-5</v>
      </c>
    </row>
    <row r="711" spans="2:34" x14ac:dyDescent="0.2">
      <c r="B711" t="s">
        <v>488</v>
      </c>
      <c r="C711" t="s">
        <v>360</v>
      </c>
      <c r="D711" t="s">
        <v>941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AC711" s="34">
        <f>SUMPRODUCT(DB_SOFProject[[#This Row],[Plan01]:[Plan12]],$E$4:$P$4)/valUnits2</f>
        <v>0</v>
      </c>
      <c r="AD711" s="34">
        <f>SUMPRODUCT(DB_SOFProject[[#This Row],[Act01]:[Act12]],$Q$4:$AB$4)/valUnits2</f>
        <v>0</v>
      </c>
      <c r="AE711" s="34">
        <f>DB_SOFProject[[#This Row],[Actual]]-DB_SOFProject[[#This Row],[Plan]]</f>
        <v>0</v>
      </c>
      <c r="AF711" s="32">
        <f>IF(DB_SOFProject[[#This Row],[Plan]]&lt;&gt;0,DB_SOFProject[[#This Row],[Actual]]/DB_SOFProject[[#This Row],[Plan]],1.000011000011)</f>
        <v>1.0000110000110001</v>
      </c>
      <c r="AG711" s="34">
        <f>SUM(DB_SOFProject[[#This Row],[Plan01]:[Plan12]])/valUnits2</f>
        <v>0</v>
      </c>
      <c r="AH711" s="34">
        <f>SUMPRODUCT(DB_SOFProject[[#This Row],[Act01]:[Act12]],$Q$3:$AB$3)/valUnits2</f>
        <v>0</v>
      </c>
    </row>
    <row r="712" spans="2:34" x14ac:dyDescent="0.2">
      <c r="B712" t="s">
        <v>488</v>
      </c>
      <c r="C712" t="s">
        <v>360</v>
      </c>
      <c r="D712" t="s">
        <v>968</v>
      </c>
      <c r="J712">
        <v>0</v>
      </c>
      <c r="V712">
        <v>4.32</v>
      </c>
      <c r="AC712" s="34">
        <f>SUMPRODUCT(DB_SOFProject[[#This Row],[Plan01]:[Plan12]],$E$4:$P$4)/valUnits2</f>
        <v>0</v>
      </c>
      <c r="AD712" s="34">
        <f>SUMPRODUCT(DB_SOFProject[[#This Row],[Act01]:[Act12]],$Q$4:$AB$4)/valUnits2</f>
        <v>4.3200000000000001E-3</v>
      </c>
      <c r="AE712" s="34">
        <f>DB_SOFProject[[#This Row],[Actual]]-DB_SOFProject[[#This Row],[Plan]]</f>
        <v>4.3200000000000001E-3</v>
      </c>
      <c r="AF712" s="32">
        <f>IF(DB_SOFProject[[#This Row],[Plan]]&lt;&gt;0,DB_SOFProject[[#This Row],[Actual]]/DB_SOFProject[[#This Row],[Plan]],1.000011000011)</f>
        <v>1.0000110000110001</v>
      </c>
      <c r="AG712" s="34">
        <f>SUM(DB_SOFProject[[#This Row],[Plan01]:[Plan12]])/valUnits2</f>
        <v>0</v>
      </c>
      <c r="AH712" s="34">
        <f>SUMPRODUCT(DB_SOFProject[[#This Row],[Act01]:[Act12]],$Q$3:$AB$3)/valUnits2</f>
        <v>4.3200000000000001E-3</v>
      </c>
    </row>
    <row r="713" spans="2:34" x14ac:dyDescent="0.2">
      <c r="B713" t="s">
        <v>488</v>
      </c>
      <c r="C713" t="s">
        <v>928</v>
      </c>
      <c r="D713" t="s">
        <v>941</v>
      </c>
      <c r="E713">
        <v>0</v>
      </c>
      <c r="Q713">
        <v>0</v>
      </c>
      <c r="AC713" s="34">
        <f>SUMPRODUCT(DB_SOFProject[[#This Row],[Plan01]:[Plan12]],$E$4:$P$4)/valUnits2</f>
        <v>0</v>
      </c>
      <c r="AD713" s="34">
        <f>SUMPRODUCT(DB_SOFProject[[#This Row],[Act01]:[Act12]],$Q$4:$AB$4)/valUnits2</f>
        <v>0</v>
      </c>
      <c r="AE713" s="34">
        <f>DB_SOFProject[[#This Row],[Actual]]-DB_SOFProject[[#This Row],[Plan]]</f>
        <v>0</v>
      </c>
      <c r="AF713" s="32">
        <f>IF(DB_SOFProject[[#This Row],[Plan]]&lt;&gt;0,DB_SOFProject[[#This Row],[Actual]]/DB_SOFProject[[#This Row],[Plan]],1.000011000011)</f>
        <v>1.0000110000110001</v>
      </c>
      <c r="AG713" s="34">
        <f>SUM(DB_SOFProject[[#This Row],[Plan01]:[Plan12]])/valUnits2</f>
        <v>0</v>
      </c>
      <c r="AH713" s="34">
        <f>SUMPRODUCT(DB_SOFProject[[#This Row],[Act01]:[Act12]],$Q$3:$AB$3)/valUnits2</f>
        <v>0</v>
      </c>
    </row>
    <row r="714" spans="2:34" x14ac:dyDescent="0.2">
      <c r="B714" t="s">
        <v>488</v>
      </c>
      <c r="C714" t="s">
        <v>929</v>
      </c>
      <c r="D714" t="s">
        <v>968</v>
      </c>
      <c r="H714">
        <v>0.30599999999999999</v>
      </c>
      <c r="T714">
        <v>0.3</v>
      </c>
      <c r="AC714" s="34">
        <f>SUMPRODUCT(DB_SOFProject[[#This Row],[Plan01]:[Plan12]],$E$4:$P$4)/valUnits2</f>
        <v>3.0600000000000001E-4</v>
      </c>
      <c r="AD714" s="34">
        <f>SUMPRODUCT(DB_SOFProject[[#This Row],[Act01]:[Act12]],$Q$4:$AB$4)/valUnits2</f>
        <v>2.9999999999999997E-4</v>
      </c>
      <c r="AE714" s="34">
        <f>DB_SOFProject[[#This Row],[Actual]]-DB_SOFProject[[#This Row],[Plan]]</f>
        <v>-6.0000000000000374E-6</v>
      </c>
      <c r="AF714" s="32">
        <f>IF(DB_SOFProject[[#This Row],[Plan]]&lt;&gt;0,DB_SOFProject[[#This Row],[Actual]]/DB_SOFProject[[#This Row],[Plan]],1.000011000011)</f>
        <v>0.98039215686274495</v>
      </c>
      <c r="AG714" s="34">
        <f>SUM(DB_SOFProject[[#This Row],[Plan01]:[Plan12]])/valUnits2</f>
        <v>3.0600000000000001E-4</v>
      </c>
      <c r="AH714" s="34">
        <f>SUMPRODUCT(DB_SOFProject[[#This Row],[Act01]:[Act12]],$Q$3:$AB$3)/valUnits2</f>
        <v>2.9999999999999997E-4</v>
      </c>
    </row>
    <row r="715" spans="2:34" x14ac:dyDescent="0.2">
      <c r="B715" t="s">
        <v>488</v>
      </c>
      <c r="C715" t="s">
        <v>929</v>
      </c>
      <c r="D715" t="s">
        <v>974</v>
      </c>
      <c r="F715">
        <v>113.663</v>
      </c>
      <c r="G715">
        <v>57.43</v>
      </c>
      <c r="H715">
        <v>117.279</v>
      </c>
      <c r="I715">
        <v>62.041000000000004</v>
      </c>
      <c r="J715">
        <v>0</v>
      </c>
      <c r="R715">
        <v>115.9</v>
      </c>
      <c r="S715">
        <v>57.95</v>
      </c>
      <c r="T715">
        <v>116.07</v>
      </c>
      <c r="U715">
        <v>61.309999999999995</v>
      </c>
      <c r="V715">
        <v>41.99</v>
      </c>
      <c r="AC715" s="34">
        <f>SUMPRODUCT(DB_SOFProject[[#This Row],[Plan01]:[Plan12]],$E$4:$P$4)/valUnits2</f>
        <v>0.35041299999999997</v>
      </c>
      <c r="AD715" s="34">
        <f>SUMPRODUCT(DB_SOFProject[[#This Row],[Act01]:[Act12]],$Q$4:$AB$4)/valUnits2</f>
        <v>0.39322000000000001</v>
      </c>
      <c r="AE715" s="34">
        <f>DB_SOFProject[[#This Row],[Actual]]-DB_SOFProject[[#This Row],[Plan]]</f>
        <v>4.2807000000000039E-2</v>
      </c>
      <c r="AF715" s="32">
        <f>IF(DB_SOFProject[[#This Row],[Plan]]&lt;&gt;0,DB_SOFProject[[#This Row],[Actual]]/DB_SOFProject[[#This Row],[Plan]],1.000011000011)</f>
        <v>1.1221615636406186</v>
      </c>
      <c r="AG715" s="34">
        <f>SUM(DB_SOFProject[[#This Row],[Plan01]:[Plan12]])/valUnits2</f>
        <v>0.35041299999999997</v>
      </c>
      <c r="AH715" s="34">
        <f>SUMPRODUCT(DB_SOFProject[[#This Row],[Act01]:[Act12]],$Q$3:$AB$3)/valUnits2</f>
        <v>0.39322000000000001</v>
      </c>
    </row>
    <row r="716" spans="2:34" x14ac:dyDescent="0.2">
      <c r="B716" t="s">
        <v>488</v>
      </c>
      <c r="C716" t="s">
        <v>930</v>
      </c>
      <c r="D716" t="s">
        <v>968</v>
      </c>
      <c r="G716">
        <v>3.36</v>
      </c>
      <c r="I716">
        <v>621.1</v>
      </c>
      <c r="J716">
        <v>0</v>
      </c>
      <c r="S716">
        <v>3.36</v>
      </c>
      <c r="U716">
        <v>621.1</v>
      </c>
      <c r="V716">
        <v>1.55</v>
      </c>
      <c r="AC716" s="34">
        <f>SUMPRODUCT(DB_SOFProject[[#This Row],[Plan01]:[Plan12]],$E$4:$P$4)/valUnits2</f>
        <v>0.62446000000000002</v>
      </c>
      <c r="AD716" s="34">
        <f>SUMPRODUCT(DB_SOFProject[[#This Row],[Act01]:[Act12]],$Q$4:$AB$4)/valUnits2</f>
        <v>0.62600999999999996</v>
      </c>
      <c r="AE716" s="34">
        <f>DB_SOFProject[[#This Row],[Actual]]-DB_SOFProject[[#This Row],[Plan]]</f>
        <v>1.5499999999999403E-3</v>
      </c>
      <c r="AF716" s="32">
        <f>IF(DB_SOFProject[[#This Row],[Plan]]&lt;&gt;0,DB_SOFProject[[#This Row],[Actual]]/DB_SOFProject[[#This Row],[Plan]],1.000011000011)</f>
        <v>1.0024821445729108</v>
      </c>
      <c r="AG716" s="34">
        <f>SUM(DB_SOFProject[[#This Row],[Plan01]:[Plan12]])/valUnits2</f>
        <v>0.62446000000000002</v>
      </c>
      <c r="AH716" s="34">
        <f>SUMPRODUCT(DB_SOFProject[[#This Row],[Act01]:[Act12]],$Q$3:$AB$3)/valUnits2</f>
        <v>0.62600999999999996</v>
      </c>
    </row>
    <row r="717" spans="2:34" x14ac:dyDescent="0.2">
      <c r="B717" t="s">
        <v>488</v>
      </c>
      <c r="C717" t="s">
        <v>930</v>
      </c>
      <c r="D717" t="s">
        <v>974</v>
      </c>
      <c r="F717">
        <v>371.23</v>
      </c>
      <c r="G717">
        <v>509.96000000000004</v>
      </c>
      <c r="H717">
        <v>267.85000000000002</v>
      </c>
      <c r="I717">
        <v>369.64</v>
      </c>
      <c r="J717">
        <v>0</v>
      </c>
      <c r="R717">
        <v>371.23</v>
      </c>
      <c r="S717">
        <v>509.96000000000004</v>
      </c>
      <c r="T717">
        <v>267.84999999999997</v>
      </c>
      <c r="U717">
        <v>369.64000000000004</v>
      </c>
      <c r="V717">
        <v>328.21000000000004</v>
      </c>
      <c r="AC717" s="34">
        <f>SUMPRODUCT(DB_SOFProject[[#This Row],[Plan01]:[Plan12]],$E$4:$P$4)/valUnits2</f>
        <v>1.5186799999999998</v>
      </c>
      <c r="AD717" s="34">
        <f>SUMPRODUCT(DB_SOFProject[[#This Row],[Act01]:[Act12]],$Q$4:$AB$4)/valUnits2</f>
        <v>1.8468900000000001</v>
      </c>
      <c r="AE717" s="34">
        <f>DB_SOFProject[[#This Row],[Actual]]-DB_SOFProject[[#This Row],[Plan]]</f>
        <v>0.32821000000000033</v>
      </c>
      <c r="AF717" s="32">
        <f>IF(DB_SOFProject[[#This Row],[Plan]]&lt;&gt;0,DB_SOFProject[[#This Row],[Actual]]/DB_SOFProject[[#This Row],[Plan]],1.000011000011)</f>
        <v>1.2161153106645246</v>
      </c>
      <c r="AG717" s="34">
        <f>SUM(DB_SOFProject[[#This Row],[Plan01]:[Plan12]])/valUnits2</f>
        <v>1.5186799999999998</v>
      </c>
      <c r="AH717" s="34">
        <f>SUMPRODUCT(DB_SOFProject[[#This Row],[Act01]:[Act12]],$Q$3:$AB$3)/valUnits2</f>
        <v>1.8468900000000001</v>
      </c>
    </row>
    <row r="718" spans="2:34" x14ac:dyDescent="0.2">
      <c r="B718" t="s">
        <v>488</v>
      </c>
      <c r="C718" t="s">
        <v>933</v>
      </c>
      <c r="D718" t="s">
        <v>941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AC718" s="34">
        <f>SUMPRODUCT(DB_SOFProject[[#This Row],[Plan01]:[Plan12]],$E$4:$P$4)/valUnits2</f>
        <v>0</v>
      </c>
      <c r="AD718" s="34">
        <f>SUMPRODUCT(DB_SOFProject[[#This Row],[Act01]:[Act12]],$Q$4:$AB$4)/valUnits2</f>
        <v>0</v>
      </c>
      <c r="AE718" s="34">
        <f>DB_SOFProject[[#This Row],[Actual]]-DB_SOFProject[[#This Row],[Plan]]</f>
        <v>0</v>
      </c>
      <c r="AF718" s="32">
        <f>IF(DB_SOFProject[[#This Row],[Plan]]&lt;&gt;0,DB_SOFProject[[#This Row],[Actual]]/DB_SOFProject[[#This Row],[Plan]],1.000011000011)</f>
        <v>1.0000110000110001</v>
      </c>
      <c r="AG718" s="34">
        <f>SUM(DB_SOFProject[[#This Row],[Plan01]:[Plan12]])/valUnits2</f>
        <v>0</v>
      </c>
      <c r="AH718" s="34">
        <f>SUMPRODUCT(DB_SOFProject[[#This Row],[Act01]:[Act12]],$Q$3:$AB$3)/valUnits2</f>
        <v>0</v>
      </c>
    </row>
    <row r="719" spans="2:34" x14ac:dyDescent="0.2">
      <c r="B719" t="s">
        <v>488</v>
      </c>
      <c r="C719" t="s">
        <v>933</v>
      </c>
      <c r="D719" t="s">
        <v>974</v>
      </c>
      <c r="I719">
        <v>706.89</v>
      </c>
      <c r="U719">
        <v>706.89</v>
      </c>
      <c r="AC719" s="34">
        <f>SUMPRODUCT(DB_SOFProject[[#This Row],[Plan01]:[Plan12]],$E$4:$P$4)/valUnits2</f>
        <v>0.70689000000000002</v>
      </c>
      <c r="AD719" s="34">
        <f>SUMPRODUCT(DB_SOFProject[[#This Row],[Act01]:[Act12]],$Q$4:$AB$4)/valUnits2</f>
        <v>0.70689000000000002</v>
      </c>
      <c r="AE719" s="34">
        <f>DB_SOFProject[[#This Row],[Actual]]-DB_SOFProject[[#This Row],[Plan]]</f>
        <v>0</v>
      </c>
      <c r="AF719" s="32">
        <f>IF(DB_SOFProject[[#This Row],[Plan]]&lt;&gt;0,DB_SOFProject[[#This Row],[Actual]]/DB_SOFProject[[#This Row],[Plan]],1.000011000011)</f>
        <v>1</v>
      </c>
      <c r="AG719" s="34">
        <f>SUM(DB_SOFProject[[#This Row],[Plan01]:[Plan12]])/valUnits2</f>
        <v>0.70689000000000002</v>
      </c>
      <c r="AH719" s="34">
        <f>SUMPRODUCT(DB_SOFProject[[#This Row],[Act01]:[Act12]],$Q$3:$AB$3)/valUnits2</f>
        <v>0.70689000000000002</v>
      </c>
    </row>
    <row r="720" spans="2:34" x14ac:dyDescent="0.2">
      <c r="B720" t="s">
        <v>488</v>
      </c>
      <c r="C720" t="s">
        <v>935</v>
      </c>
      <c r="D720" t="s">
        <v>941</v>
      </c>
      <c r="E720">
        <v>0</v>
      </c>
      <c r="H720">
        <v>0</v>
      </c>
      <c r="K720">
        <v>0</v>
      </c>
      <c r="N720">
        <v>0</v>
      </c>
      <c r="Q720">
        <v>0</v>
      </c>
      <c r="T720">
        <v>0</v>
      </c>
      <c r="W720">
        <v>0</v>
      </c>
      <c r="Z720">
        <v>0</v>
      </c>
      <c r="AC720" s="34">
        <f>SUMPRODUCT(DB_SOFProject[[#This Row],[Plan01]:[Plan12]],$E$4:$P$4)/valUnits2</f>
        <v>0</v>
      </c>
      <c r="AD720" s="34">
        <f>SUMPRODUCT(DB_SOFProject[[#This Row],[Act01]:[Act12]],$Q$4:$AB$4)/valUnits2</f>
        <v>0</v>
      </c>
      <c r="AE720" s="34">
        <f>DB_SOFProject[[#This Row],[Actual]]-DB_SOFProject[[#This Row],[Plan]]</f>
        <v>0</v>
      </c>
      <c r="AF720" s="32">
        <f>IF(DB_SOFProject[[#This Row],[Plan]]&lt;&gt;0,DB_SOFProject[[#This Row],[Actual]]/DB_SOFProject[[#This Row],[Plan]],1.000011000011)</f>
        <v>1.0000110000110001</v>
      </c>
      <c r="AG720" s="34">
        <f>SUM(DB_SOFProject[[#This Row],[Plan01]:[Plan12]])/valUnits2</f>
        <v>0</v>
      </c>
      <c r="AH720" s="34">
        <f>SUMPRODUCT(DB_SOFProject[[#This Row],[Act01]:[Act12]],$Q$3:$AB$3)/valUnits2</f>
        <v>0</v>
      </c>
    </row>
    <row r="721" spans="2:34" x14ac:dyDescent="0.2">
      <c r="B721" t="s">
        <v>488</v>
      </c>
      <c r="C721" t="s">
        <v>935</v>
      </c>
      <c r="D721" t="s">
        <v>968</v>
      </c>
      <c r="H721">
        <v>0.95899999999999996</v>
      </c>
      <c r="J721">
        <v>0</v>
      </c>
      <c r="T721">
        <v>0.94</v>
      </c>
      <c r="V721">
        <v>7.78</v>
      </c>
      <c r="AC721" s="34">
        <f>SUMPRODUCT(DB_SOFProject[[#This Row],[Plan01]:[Plan12]],$E$4:$P$4)/valUnits2</f>
        <v>9.59E-4</v>
      </c>
      <c r="AD721" s="34">
        <f>SUMPRODUCT(DB_SOFProject[[#This Row],[Act01]:[Act12]],$Q$4:$AB$4)/valUnits2</f>
        <v>8.7200000000000003E-3</v>
      </c>
      <c r="AE721" s="34">
        <f>DB_SOFProject[[#This Row],[Actual]]-DB_SOFProject[[#This Row],[Plan]]</f>
        <v>7.7610000000000005E-3</v>
      </c>
      <c r="AF721" s="32">
        <f>IF(DB_SOFProject[[#This Row],[Plan]]&lt;&gt;0,DB_SOFProject[[#This Row],[Actual]]/DB_SOFProject[[#This Row],[Plan]],1.000011000011)</f>
        <v>9.0928050052137639</v>
      </c>
      <c r="AG721" s="34">
        <f>SUM(DB_SOFProject[[#This Row],[Plan01]:[Plan12]])/valUnits2</f>
        <v>9.59E-4</v>
      </c>
      <c r="AH721" s="34">
        <f>SUMPRODUCT(DB_SOFProject[[#This Row],[Act01]:[Act12]],$Q$3:$AB$3)/valUnits2</f>
        <v>8.7200000000000003E-3</v>
      </c>
    </row>
    <row r="722" spans="2:34" x14ac:dyDescent="0.2">
      <c r="B722" t="s">
        <v>488</v>
      </c>
      <c r="C722" t="s">
        <v>935</v>
      </c>
      <c r="D722" t="s">
        <v>974</v>
      </c>
      <c r="E722">
        <v>0</v>
      </c>
      <c r="F722">
        <v>397.07</v>
      </c>
      <c r="G722">
        <v>183.23400000000001</v>
      </c>
      <c r="H722">
        <v>372.88799999999998</v>
      </c>
      <c r="I722">
        <v>193.87599999999998</v>
      </c>
      <c r="J722">
        <v>316.44100000000003</v>
      </c>
      <c r="K722">
        <v>316.44100000000003</v>
      </c>
      <c r="L722">
        <v>316.44100000000003</v>
      </c>
      <c r="M722">
        <v>316.44100000000003</v>
      </c>
      <c r="N722">
        <v>316.44100000000003</v>
      </c>
      <c r="O722">
        <v>316.44100000000003</v>
      </c>
      <c r="P722">
        <v>316.44100000000003</v>
      </c>
      <c r="Q722">
        <v>0</v>
      </c>
      <c r="R722">
        <v>409.45000000000005</v>
      </c>
      <c r="S722">
        <v>182.21</v>
      </c>
      <c r="T722">
        <v>366.51</v>
      </c>
      <c r="U722">
        <v>193.57</v>
      </c>
      <c r="V722">
        <v>353.98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 s="34">
        <f>SUMPRODUCT(DB_SOFProject[[#This Row],[Plan01]:[Plan12]],$E$4:$P$4)/valUnits2</f>
        <v>1.4635089999999999</v>
      </c>
      <c r="AD722" s="34">
        <f>SUMPRODUCT(DB_SOFProject[[#This Row],[Act01]:[Act12]],$Q$4:$AB$4)/valUnits2</f>
        <v>1.5057199999999999</v>
      </c>
      <c r="AE722" s="34">
        <f>DB_SOFProject[[#This Row],[Actual]]-DB_SOFProject[[#This Row],[Plan]]</f>
        <v>4.2210999999999999E-2</v>
      </c>
      <c r="AF722" s="32">
        <f>IF(DB_SOFProject[[#This Row],[Plan]]&lt;&gt;0,DB_SOFProject[[#This Row],[Actual]]/DB_SOFProject[[#This Row],[Plan]],1.000011000011)</f>
        <v>1.0288423234841739</v>
      </c>
      <c r="AG722" s="34">
        <f>SUM(DB_SOFProject[[#This Row],[Plan01]:[Plan12]])/valUnits2</f>
        <v>3.3621549999999996</v>
      </c>
      <c r="AH722" s="34">
        <f>SUMPRODUCT(DB_SOFProject[[#This Row],[Act01]:[Act12]],$Q$3:$AB$3)/valUnits2</f>
        <v>1.5057199999999999</v>
      </c>
    </row>
    <row r="723" spans="2:34" x14ac:dyDescent="0.2">
      <c r="B723" t="s">
        <v>488</v>
      </c>
      <c r="C723" t="s">
        <v>935</v>
      </c>
      <c r="D723" t="s">
        <v>995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 s="34">
        <f>SUMPRODUCT(DB_SOFProject[[#This Row],[Plan01]:[Plan12]],$E$4:$P$4)/valUnits2</f>
        <v>0</v>
      </c>
      <c r="AD723" s="34">
        <f>SUMPRODUCT(DB_SOFProject[[#This Row],[Act01]:[Act12]],$Q$4:$AB$4)/valUnits2</f>
        <v>0</v>
      </c>
      <c r="AE723" s="34">
        <f>DB_SOFProject[[#This Row],[Actual]]-DB_SOFProject[[#This Row],[Plan]]</f>
        <v>0</v>
      </c>
      <c r="AF723" s="32">
        <f>IF(DB_SOFProject[[#This Row],[Plan]]&lt;&gt;0,DB_SOFProject[[#This Row],[Actual]]/DB_SOFProject[[#This Row],[Plan]],1.000011000011)</f>
        <v>1.0000110000110001</v>
      </c>
      <c r="AG723" s="34">
        <f>SUM(DB_SOFProject[[#This Row],[Plan01]:[Plan12]])/valUnits2</f>
        <v>0</v>
      </c>
      <c r="AH723" s="34">
        <f>SUMPRODUCT(DB_SOFProject[[#This Row],[Act01]:[Act12]],$Q$3:$AB$3)/valUnits2</f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AH1204"/>
  <sheetViews>
    <sheetView workbookViewId="0">
      <selection activeCell="H9" sqref="H9"/>
    </sheetView>
  </sheetViews>
  <sheetFormatPr defaultRowHeight="12.75" x14ac:dyDescent="0.2"/>
  <cols>
    <col min="2" max="2" width="11.85546875" customWidth="1"/>
    <col min="3" max="3" width="18.42578125" customWidth="1"/>
    <col min="4" max="4" width="19.5703125" customWidth="1"/>
    <col min="5" max="7" width="13.140625" bestFit="1" customWidth="1"/>
    <col min="8" max="8" width="12" customWidth="1"/>
    <col min="9" max="9" width="13.140625" bestFit="1" customWidth="1"/>
    <col min="10" max="10" width="12" bestFit="1" customWidth="1"/>
    <col min="11" max="11" width="12" customWidth="1"/>
    <col min="12" max="12" width="11" bestFit="1" customWidth="1"/>
    <col min="13" max="13" width="12" bestFit="1" customWidth="1"/>
    <col min="14" max="14" width="12" customWidth="1"/>
    <col min="15" max="15" width="11" bestFit="1" customWidth="1"/>
    <col min="16" max="16" width="12" bestFit="1" customWidth="1"/>
    <col min="17" max="18" width="13.140625" customWidth="1"/>
    <col min="19" max="19" width="13.140625" bestFit="1" customWidth="1"/>
    <col min="20" max="20" width="11" customWidth="1"/>
    <col min="21" max="22" width="13.140625" bestFit="1" customWidth="1"/>
    <col min="23" max="23" width="9" customWidth="1"/>
    <col min="24" max="28" width="8.140625" customWidth="1"/>
    <col min="29" max="29" width="12" customWidth="1"/>
    <col min="30" max="32" width="13.140625" bestFit="1" customWidth="1"/>
    <col min="33" max="33" width="12.42578125" customWidth="1"/>
    <col min="34" max="34" width="13.140625" bestFit="1" customWidth="1"/>
  </cols>
  <sheetData>
    <row r="2" spans="2:34" x14ac:dyDescent="0.2">
      <c r="D2" t="s">
        <v>35</v>
      </c>
      <c r="E2" t="s">
        <v>111</v>
      </c>
      <c r="F2" t="s">
        <v>31</v>
      </c>
      <c r="G2" t="s">
        <v>30</v>
      </c>
    </row>
    <row r="3" spans="2:34" x14ac:dyDescent="0.2">
      <c r="B3" t="str">
        <f>valTheme2</f>
        <v>Show All</v>
      </c>
      <c r="C3" s="297" t="s">
        <v>140</v>
      </c>
      <c r="D3" s="449">
        <f>IF(valTheme2="Show All", SUMPRODUCT((DB_ThemeSOFAcct[SOFFull]=valSOF)*(DB_ThemeSOFAcct[Account Category]=C3)*DB_ThemeSOFAcct[Plan]),SUMPRODUCT((DB_ThemeSOFAcct[Theme(T)]=valTheme2)*(DB_ThemeSOFAcct[SOFFull]=valSOF)*(DB_ThemeSOFAcct[Account Category]=C3)*DB_ThemeSOFAcct[Plan]))</f>
        <v>336.3703549999999</v>
      </c>
      <c r="E3" s="449">
        <f>IF(valTheme2="Show All", SUMPRODUCT((DB_ThemeSOFAcct[SOFFull]=valSOF)*(DB_ThemeSOFAcct[Account Category]=C3)*DB_ThemeSOFAcct[Actuals]),SUMPRODUCT((DB_ThemeSOFAcct[Theme(T)]=valTheme2)*(DB_ThemeSOFAcct[SOFFull]=valSOF)*(DB_ThemeSOFAcct[Account Category]=C3)*DB_ThemeSOFAcct[Actuals]))</f>
        <v>179.34365</v>
      </c>
      <c r="F3" s="449">
        <f>E3-D3</f>
        <v>-157.02670499999991</v>
      </c>
      <c r="G3" s="32">
        <f>IF(D3&lt;&gt;0,E3/D3,1.000011000011)</f>
        <v>0.53317317455041502</v>
      </c>
      <c r="Q3">
        <f>Selections!$G$9</f>
        <v>1</v>
      </c>
      <c r="R3">
        <f>Selections!$G$10</f>
        <v>1</v>
      </c>
      <c r="S3">
        <f>Selections!$G$11</f>
        <v>1</v>
      </c>
      <c r="T3">
        <f>Selections!$G$12</f>
        <v>1</v>
      </c>
      <c r="U3">
        <f>Selections!$G$13</f>
        <v>1</v>
      </c>
      <c r="V3">
        <f>Selections!$G$14</f>
        <v>1</v>
      </c>
      <c r="W3">
        <f>Selections!$G$15</f>
        <v>0</v>
      </c>
      <c r="X3">
        <f>Selections!$G$16</f>
        <v>0</v>
      </c>
      <c r="Y3">
        <f>Selections!$G$17</f>
        <v>0</v>
      </c>
      <c r="Z3">
        <f>Selections!$G$18</f>
        <v>0</v>
      </c>
      <c r="AA3">
        <f>Selections!$G$19</f>
        <v>0</v>
      </c>
      <c r="AB3">
        <f>Selections!$G$20</f>
        <v>0</v>
      </c>
    </row>
    <row r="4" spans="2:34" x14ac:dyDescent="0.2">
      <c r="B4" t="str">
        <f>valSOF</f>
        <v>76952288 - SOF 11</v>
      </c>
      <c r="C4" s="295" t="s">
        <v>141</v>
      </c>
      <c r="D4" s="449">
        <f>IF(valTheme2="Show All", SUMPRODUCT((DB_ThemeSOFAcct[SOFFull]=valSOF)*(DB_ThemeSOFAcct[Account Category]=C4)*DB_ThemeSOFAcct[Plan]),SUMPRODUCT((DB_ThemeSOFAcct[Theme(T)]=valTheme2)*(DB_ThemeSOFAcct[SOFFull]=valSOF)*(DB_ThemeSOFAcct[Account Category]=C4)*DB_ThemeSOFAcct[Plan]))</f>
        <v>37.825425000000003</v>
      </c>
      <c r="E4" s="449">
        <f>IF(valTheme2="Show All", SUMPRODUCT((DB_ThemeSOFAcct[SOFFull]=valSOF)*(DB_ThemeSOFAcct[Account Category]=C4)*DB_ThemeSOFAcct[Actuals]),SUMPRODUCT((DB_ThemeSOFAcct[Theme(T)]=valTheme2)*(DB_ThemeSOFAcct[SOFFull]=valSOF)*(DB_ThemeSOFAcct[Account Category]=C4)*DB_ThemeSOFAcct[Actuals]))</f>
        <v>18.849859999999989</v>
      </c>
      <c r="F4" s="449">
        <f t="shared" ref="F4:F10" si="0">E4-D4</f>
        <v>-18.975565000000014</v>
      </c>
      <c r="G4" s="32">
        <f t="shared" ref="G4:G10" si="1">IF(D4&lt;&gt;0,E4/D4,1.000011000011)</f>
        <v>0.49833835310508706</v>
      </c>
    </row>
    <row r="5" spans="2:34" x14ac:dyDescent="0.2">
      <c r="C5" s="297" t="s">
        <v>237</v>
      </c>
      <c r="D5" s="449">
        <f>IF(valTheme2="Show All", SUMPRODUCT((DB_ThemeSOFAcct[SOFFull]=valSOF)*(DB_ThemeSOFAcct[Account Category]=C5)*DB_ThemeSOFAcct[Plan]),SUMPRODUCT((DB_ThemeSOFAcct[Theme(T)]=valTheme2)*(DB_ThemeSOFAcct[SOFFull]=valSOF)*(DB_ThemeSOFAcct[Account Category]=C5)*DB_ThemeSOFAcct[Plan]))</f>
        <v>20.808150000000001</v>
      </c>
      <c r="E5" s="449">
        <f>IF(valTheme2="Show All", SUMPRODUCT((DB_ThemeSOFAcct[SOFFull]=valSOF)*(DB_ThemeSOFAcct[Account Category]=C5)*DB_ThemeSOFAcct[Actuals]),SUMPRODUCT((DB_ThemeSOFAcct[Theme(T)]=valTheme2)*(DB_ThemeSOFAcct[SOFFull]=valSOF)*(DB_ThemeSOFAcct[Account Category]=C5)*DB_ThemeSOFAcct[Actuals]))</f>
        <v>19.452700000000004</v>
      </c>
      <c r="F5" s="449">
        <f t="shared" si="0"/>
        <v>-1.3554499999999976</v>
      </c>
      <c r="G5" s="32">
        <f t="shared" si="1"/>
        <v>0.93485965835501972</v>
      </c>
    </row>
    <row r="6" spans="2:34" x14ac:dyDescent="0.2">
      <c r="C6" s="295" t="s">
        <v>236</v>
      </c>
      <c r="D6" s="449">
        <f>IF(valTheme2="Show All", SUMPRODUCT((DB_ThemeSOFAcct[SOFFull]=valSOF)*(DB_ThemeSOFAcct[Account Category]=C6)*DB_ThemeSOFAcct[Plan]),SUMPRODUCT((DB_ThemeSOFAcct[Theme(T)]=valTheme2)*(DB_ThemeSOFAcct[SOFFull]=valSOF)*(DB_ThemeSOFAcct[Account Category]=C6)*DB_ThemeSOFAcct[Plan]))</f>
        <v>35.129480000000008</v>
      </c>
      <c r="E6" s="449">
        <f>IF(valTheme2="Show All", SUMPRODUCT((DB_ThemeSOFAcct[SOFFull]=valSOF)*(DB_ThemeSOFAcct[Account Category]=C6)*DB_ThemeSOFAcct[Actuals]),SUMPRODUCT((DB_ThemeSOFAcct[Theme(T)]=valTheme2)*(DB_ThemeSOFAcct[SOFFull]=valSOF)*(DB_ThemeSOFAcct[Account Category]=C6)*DB_ThemeSOFAcct[Actuals]))</f>
        <v>36.451650000000001</v>
      </c>
      <c r="F6" s="449">
        <f t="shared" si="0"/>
        <v>1.3221699999999927</v>
      </c>
      <c r="G6" s="32">
        <f t="shared" si="1"/>
        <v>1.0376370501356693</v>
      </c>
    </row>
    <row r="7" spans="2:34" x14ac:dyDescent="0.2">
      <c r="C7" s="297" t="s">
        <v>142</v>
      </c>
      <c r="D7" s="449">
        <f>IF(valTheme2="Show All", SUMPRODUCT((DB_ThemeSOFAcct[SOFFull]=valSOF)*(DB_ThemeSOFAcct[Account Category]=C7)*DB_ThemeSOFAcct[Plan]),SUMPRODUCT((DB_ThemeSOFAcct[Theme(T)]=valTheme2)*(DB_ThemeSOFAcct[SOFFull]=valSOF)*(DB_ThemeSOFAcct[Account Category]=C7)*DB_ThemeSOFAcct[Plan]))</f>
        <v>1617.8083490000004</v>
      </c>
      <c r="E7" s="449">
        <f>IF(valTheme2="Show All", SUMPRODUCT((DB_ThemeSOFAcct[SOFFull]=valSOF)*(DB_ThemeSOFAcct[Account Category]=C7)*DB_ThemeSOFAcct[Actuals]),SUMPRODUCT((DB_ThemeSOFAcct[Theme(T)]=valTheme2)*(DB_ThemeSOFAcct[SOFFull]=valSOF)*(DB_ThemeSOFAcct[Account Category]=C7)*DB_ThemeSOFAcct[Actuals]))</f>
        <v>583.41790000000003</v>
      </c>
      <c r="F7" s="449">
        <f t="shared" si="0"/>
        <v>-1034.3904490000004</v>
      </c>
      <c r="G7" s="32">
        <f t="shared" si="1"/>
        <v>0.36062238173058153</v>
      </c>
    </row>
    <row r="8" spans="2:34" x14ac:dyDescent="0.2">
      <c r="C8" s="295" t="s">
        <v>235</v>
      </c>
      <c r="D8" s="449">
        <f>IF(valTheme2="Show All", SUMPRODUCT((DB_ThemeSOFAcct[SOFFull]=valSOF)*(DB_ThemeSOFAcct[Account Category]=C8)*DB_ThemeSOFAcct[Plan]),SUMPRODUCT((DB_ThemeSOFAcct[Theme(T)]=valTheme2)*(DB_ThemeSOFAcct[SOFFull]=valSOF)*(DB_ThemeSOFAcct[Account Category]=C8)*DB_ThemeSOFAcct[Plan]))</f>
        <v>13.229623999999998</v>
      </c>
      <c r="E8" s="449">
        <f>IF(valTheme2="Show All", SUMPRODUCT((DB_ThemeSOFAcct[SOFFull]=valSOF)*(DB_ThemeSOFAcct[Account Category]=C8)*DB_ThemeSOFAcct[Actuals]),SUMPRODUCT((DB_ThemeSOFAcct[Theme(T)]=valTheme2)*(DB_ThemeSOFAcct[SOFFull]=valSOF)*(DB_ThemeSOFAcct[Account Category]=C8)*DB_ThemeSOFAcct[Actuals]))</f>
        <v>11.639810000000001</v>
      </c>
      <c r="F8" s="449">
        <f t="shared" si="0"/>
        <v>-1.589813999999997</v>
      </c>
      <c r="G8" s="32">
        <f t="shared" si="1"/>
        <v>0.87982923777727939</v>
      </c>
    </row>
    <row r="9" spans="2:34" x14ac:dyDescent="0.2">
      <c r="C9" s="297" t="s">
        <v>143</v>
      </c>
      <c r="D9" s="449">
        <f>IF(valTheme2="Show All", SUMPRODUCT((DB_ThemeSOFAcct[SOFFull]=valSOF)*(DB_ThemeSOFAcct[Account Category]=C9)*DB_ThemeSOFAcct[Plan]),SUMPRODUCT((DB_ThemeSOFAcct[Theme(T)]=valTheme2)*(DB_ThemeSOFAcct[SOFFull]=valSOF)*(DB_ThemeSOFAcct[Account Category]=C9)*DB_ThemeSOFAcct[Plan]))</f>
        <v>44.645513999999999</v>
      </c>
      <c r="E9" s="449">
        <f>IF(valTheme2="Show All", SUMPRODUCT((DB_ThemeSOFAcct[SOFFull]=valSOF)*(DB_ThemeSOFAcct[Account Category]=C9)*DB_ThemeSOFAcct[Actuals]),SUMPRODUCT((DB_ThemeSOFAcct[Theme(T)]=valTheme2)*(DB_ThemeSOFAcct[SOFFull]=valSOF)*(DB_ThemeSOFAcct[Account Category]=C9)*DB_ThemeSOFAcct[Actuals]))</f>
        <v>25.121120000000005</v>
      </c>
      <c r="F9" s="449">
        <f t="shared" si="0"/>
        <v>-19.524393999999994</v>
      </c>
      <c r="G9" s="32">
        <f t="shared" si="1"/>
        <v>0.56267960091130331</v>
      </c>
    </row>
    <row r="10" spans="2:34" x14ac:dyDescent="0.2">
      <c r="C10" s="295" t="s">
        <v>144</v>
      </c>
      <c r="D10" s="449">
        <f>IF(valTheme2="Show All", SUMPRODUCT((DB_ThemeSOFAcct[SOFFull]=valSOF)*(DB_ThemeSOFAcct[Account Category]=C10)*DB_ThemeSOFAcct[Plan]),SUMPRODUCT((DB_ThemeSOFAcct[Theme(T)]=valTheme2)*(DB_ThemeSOFAcct[SOFFull]=valSOF)*(DB_ThemeSOFAcct[Account Category]=C10)*DB_ThemeSOFAcct[Plan]))</f>
        <v>0</v>
      </c>
      <c r="E10" s="449">
        <f>IF(valTheme2="Show All", SUMPRODUCT((DB_ThemeSOFAcct[SOFFull]=valSOF)*(DB_ThemeSOFAcct[Account Category]=C10)*DB_ThemeSOFAcct[Actuals]),SUMPRODUCT((DB_ThemeSOFAcct[Theme(T)]=valTheme2)*(DB_ThemeSOFAcct[SOFFull]=valSOF)*(DB_ThemeSOFAcct[Account Category]=C10)*DB_ThemeSOFAcct[Actuals]))</f>
        <v>0</v>
      </c>
      <c r="F10" s="449">
        <f t="shared" si="0"/>
        <v>0</v>
      </c>
      <c r="G10" s="32">
        <f t="shared" si="1"/>
        <v>1.0000110000110001</v>
      </c>
    </row>
    <row r="14" spans="2:34" x14ac:dyDescent="0.2">
      <c r="E14">
        <f>Selections!$F$9</f>
        <v>1</v>
      </c>
      <c r="F14">
        <f>Selections!$F$10</f>
        <v>1</v>
      </c>
      <c r="G14">
        <f>Selections!$F$11</f>
        <v>1</v>
      </c>
      <c r="H14">
        <f>Selections!$F$12</f>
        <v>1</v>
      </c>
      <c r="I14">
        <f>Selections!$F$13</f>
        <v>1</v>
      </c>
      <c r="J14">
        <f>Selections!$F$14</f>
        <v>1</v>
      </c>
      <c r="K14">
        <f>Selections!$F$15</f>
        <v>0</v>
      </c>
      <c r="L14">
        <f>Selections!$F$16</f>
        <v>0</v>
      </c>
      <c r="M14">
        <f>Selections!$F$17</f>
        <v>0</v>
      </c>
      <c r="N14">
        <f>Selections!$F$18</f>
        <v>0</v>
      </c>
      <c r="O14">
        <f>Selections!$F$19</f>
        <v>0</v>
      </c>
      <c r="P14">
        <f>Selections!$F$20</f>
        <v>0</v>
      </c>
      <c r="Q14">
        <f>Selections!$F$9</f>
        <v>1</v>
      </c>
      <c r="R14">
        <f>Selections!$F$10</f>
        <v>1</v>
      </c>
      <c r="S14">
        <f>Selections!$F$11</f>
        <v>1</v>
      </c>
      <c r="T14">
        <f>Selections!$F$12</f>
        <v>1</v>
      </c>
      <c r="U14">
        <f>Selections!$F$13</f>
        <v>1</v>
      </c>
      <c r="V14">
        <f>Selections!$F$14</f>
        <v>1</v>
      </c>
      <c r="W14">
        <f>Selections!$F$15</f>
        <v>0</v>
      </c>
      <c r="X14">
        <f>Selections!$F$16</f>
        <v>0</v>
      </c>
      <c r="Y14">
        <f>Selections!$F$17</f>
        <v>0</v>
      </c>
      <c r="Z14">
        <f>Selections!$F$18</f>
        <v>0</v>
      </c>
      <c r="AA14">
        <f>Selections!$F$19</f>
        <v>0</v>
      </c>
      <c r="AB14">
        <f>Selections!$F$20</f>
        <v>0</v>
      </c>
    </row>
    <row r="15" spans="2:34" x14ac:dyDescent="0.2">
      <c r="B15" t="s">
        <v>43</v>
      </c>
      <c r="C15" t="s">
        <v>44</v>
      </c>
      <c r="D15" t="s">
        <v>206</v>
      </c>
      <c r="E15" t="s">
        <v>45</v>
      </c>
      <c r="F15" t="s">
        <v>46</v>
      </c>
      <c r="G15" t="s">
        <v>47</v>
      </c>
      <c r="H15" t="s">
        <v>48</v>
      </c>
      <c r="I15" t="s">
        <v>49</v>
      </c>
      <c r="J15" t="s">
        <v>50</v>
      </c>
      <c r="K15" t="s">
        <v>51</v>
      </c>
      <c r="L15" t="s">
        <v>52</v>
      </c>
      <c r="M15" t="s">
        <v>53</v>
      </c>
      <c r="N15" t="s">
        <v>54</v>
      </c>
      <c r="O15" t="s">
        <v>55</v>
      </c>
      <c r="P15" t="s">
        <v>56</v>
      </c>
      <c r="Q15" t="s">
        <v>57</v>
      </c>
      <c r="R15" t="s">
        <v>58</v>
      </c>
      <c r="S15" t="s">
        <v>59</v>
      </c>
      <c r="T15" t="s">
        <v>60</v>
      </c>
      <c r="U15" t="s">
        <v>61</v>
      </c>
      <c r="V15" t="s">
        <v>62</v>
      </c>
      <c r="W15" t="s">
        <v>63</v>
      </c>
      <c r="X15" t="s">
        <v>64</v>
      </c>
      <c r="Y15" t="s">
        <v>65</v>
      </c>
      <c r="Z15" t="s">
        <v>66</v>
      </c>
      <c r="AA15" t="s">
        <v>67</v>
      </c>
      <c r="AB15" t="s">
        <v>68</v>
      </c>
      <c r="AC15" t="s">
        <v>35</v>
      </c>
      <c r="AD15" t="s">
        <v>111</v>
      </c>
      <c r="AE15" t="s">
        <v>31</v>
      </c>
      <c r="AF15" t="s">
        <v>30</v>
      </c>
      <c r="AG15" t="s">
        <v>274</v>
      </c>
      <c r="AH15" t="s">
        <v>275</v>
      </c>
    </row>
    <row r="16" spans="2:34" x14ac:dyDescent="0.2">
      <c r="B16" t="s">
        <v>342</v>
      </c>
      <c r="C16" t="s">
        <v>841</v>
      </c>
      <c r="D16" t="s">
        <v>143</v>
      </c>
      <c r="E16">
        <v>27.76</v>
      </c>
      <c r="F16">
        <v>28.33</v>
      </c>
      <c r="H16">
        <v>32.56</v>
      </c>
      <c r="Q16">
        <v>27.76</v>
      </c>
      <c r="R16">
        <v>28.330000000000002</v>
      </c>
      <c r="T16">
        <v>32.56</v>
      </c>
      <c r="AC16">
        <f>SUMPRODUCT(DB_ThemeSOFAcct[[#This Row],[Plan01]:[Plan12]],$E$14:$P$14)/valUnits2</f>
        <v>8.8650000000000007E-2</v>
      </c>
      <c r="AD16">
        <f>SUMPRODUCT(DB_ThemeSOFAcct[[#This Row],[Act01]:[Act12]],$Q$14:$AB$14)/valUnits2</f>
        <v>8.8650000000000007E-2</v>
      </c>
      <c r="AE16">
        <f>DB_ThemeSOFAcct[[#This Row],[Actuals]]-DB_ThemeSOFAcct[[#This Row],[Plan]]</f>
        <v>0</v>
      </c>
      <c r="AF16">
        <f>IF(DB_ThemeSOFAcct[[#This Row],[Plan]]&lt;&gt;0,DB_ThemeSOFAcct[[#This Row],[Actuals]]/DB_ThemeSOFAcct[[#This Row],[Plan]],1.000011000011)</f>
        <v>1</v>
      </c>
      <c r="AG16" s="34">
        <f>SUM(DB_ThemeSOFAcct[[#This Row],[Plan01]:[Plan12]])/valUnits2</f>
        <v>8.8650000000000007E-2</v>
      </c>
      <c r="AH16" s="34">
        <f>SUMPRODUCT(DB_ThemeSOFAcct[[#This Row],[Act01]:[Act12]],$Q$3:$AB$3)/valUnits2</f>
        <v>8.8650000000000007E-2</v>
      </c>
    </row>
    <row r="17" spans="2:34" x14ac:dyDescent="0.2">
      <c r="B17" t="s">
        <v>342</v>
      </c>
      <c r="C17" t="s">
        <v>841</v>
      </c>
      <c r="D17" t="s">
        <v>235</v>
      </c>
      <c r="E17">
        <v>26.99</v>
      </c>
      <c r="F17">
        <v>12.04</v>
      </c>
      <c r="H17">
        <v>18.510000000000002</v>
      </c>
      <c r="Q17">
        <v>26.99</v>
      </c>
      <c r="R17">
        <v>12.04</v>
      </c>
      <c r="T17">
        <v>18.510000000000002</v>
      </c>
      <c r="AC17">
        <f>SUMPRODUCT(DB_ThemeSOFAcct[[#This Row],[Plan01]:[Plan12]],$E$14:$P$14)/valUnits2</f>
        <v>5.7540000000000008E-2</v>
      </c>
      <c r="AD17">
        <f>SUMPRODUCT(DB_ThemeSOFAcct[[#This Row],[Act01]:[Act12]],$Q$14:$AB$14)/valUnits2</f>
        <v>5.7540000000000008E-2</v>
      </c>
      <c r="AE17">
        <f>DB_ThemeSOFAcct[[#This Row],[Actuals]]-DB_ThemeSOFAcct[[#This Row],[Plan]]</f>
        <v>0</v>
      </c>
      <c r="AF17">
        <f>IF(DB_ThemeSOFAcct[[#This Row],[Plan]]&lt;&gt;0,DB_ThemeSOFAcct[[#This Row],[Actuals]]/DB_ThemeSOFAcct[[#This Row],[Plan]],1.000011000011)</f>
        <v>1</v>
      </c>
      <c r="AG17" s="34">
        <f>SUM(DB_ThemeSOFAcct[[#This Row],[Plan01]:[Plan12]])/valUnits2</f>
        <v>5.7540000000000008E-2</v>
      </c>
      <c r="AH17" s="34">
        <f>SUMPRODUCT(DB_ThemeSOFAcct[[#This Row],[Act01]:[Act12]],$Q$3:$AB$3)/valUnits2</f>
        <v>5.7540000000000008E-2</v>
      </c>
    </row>
    <row r="18" spans="2:34" x14ac:dyDescent="0.2">
      <c r="B18" t="s">
        <v>342</v>
      </c>
      <c r="C18" t="s">
        <v>841</v>
      </c>
      <c r="D18" t="s">
        <v>140</v>
      </c>
      <c r="F18">
        <v>1684.6299999999999</v>
      </c>
      <c r="G18">
        <v>1490.24</v>
      </c>
      <c r="H18">
        <v>51.28</v>
      </c>
      <c r="I18">
        <v>1635.31</v>
      </c>
      <c r="R18">
        <v>1684.6299999999999</v>
      </c>
      <c r="S18">
        <v>1490.24</v>
      </c>
      <c r="T18">
        <v>51.28</v>
      </c>
      <c r="U18">
        <v>1635.31</v>
      </c>
      <c r="AC18">
        <f>SUMPRODUCT(DB_ThemeSOFAcct[[#This Row],[Plan01]:[Plan12]],$E$14:$P$14)/valUnits2</f>
        <v>4.8614600000000001</v>
      </c>
      <c r="AD18">
        <f>SUMPRODUCT(DB_ThemeSOFAcct[[#This Row],[Act01]:[Act12]],$Q$14:$AB$14)/valUnits2</f>
        <v>4.8614600000000001</v>
      </c>
      <c r="AE18">
        <f>DB_ThemeSOFAcct[[#This Row],[Actuals]]-DB_ThemeSOFAcct[[#This Row],[Plan]]</f>
        <v>0</v>
      </c>
      <c r="AF18">
        <f>IF(DB_ThemeSOFAcct[[#This Row],[Plan]]&lt;&gt;0,DB_ThemeSOFAcct[[#This Row],[Actuals]]/DB_ThemeSOFAcct[[#This Row],[Plan]],1.000011000011)</f>
        <v>1</v>
      </c>
      <c r="AG18" s="34">
        <f>SUM(DB_ThemeSOFAcct[[#This Row],[Plan01]:[Plan12]])/valUnits2</f>
        <v>4.8614600000000001</v>
      </c>
      <c r="AH18" s="34">
        <f>SUMPRODUCT(DB_ThemeSOFAcct[[#This Row],[Act01]:[Act12]],$Q$3:$AB$3)/valUnits2</f>
        <v>4.8614600000000001</v>
      </c>
    </row>
    <row r="19" spans="2:34" x14ac:dyDescent="0.2">
      <c r="B19" t="s">
        <v>342</v>
      </c>
      <c r="C19" t="s">
        <v>841</v>
      </c>
      <c r="D19" t="s">
        <v>236</v>
      </c>
      <c r="E19">
        <v>34.94</v>
      </c>
      <c r="F19">
        <v>1143.21</v>
      </c>
      <c r="G19">
        <v>1145.48</v>
      </c>
      <c r="H19">
        <v>1146.3499999999999</v>
      </c>
      <c r="Q19">
        <v>34.94</v>
      </c>
      <c r="R19">
        <v>1143.21</v>
      </c>
      <c r="S19">
        <v>1145.48</v>
      </c>
      <c r="T19">
        <v>1146.3499999999999</v>
      </c>
      <c r="AC19">
        <f>SUMPRODUCT(DB_ThemeSOFAcct[[#This Row],[Plan01]:[Plan12]],$E$14:$P$14)/valUnits2</f>
        <v>3.4699800000000001</v>
      </c>
      <c r="AD19">
        <f>SUMPRODUCT(DB_ThemeSOFAcct[[#This Row],[Act01]:[Act12]],$Q$14:$AB$14)/valUnits2</f>
        <v>3.4699800000000001</v>
      </c>
      <c r="AE19">
        <f>DB_ThemeSOFAcct[[#This Row],[Actuals]]-DB_ThemeSOFAcct[[#This Row],[Plan]]</f>
        <v>0</v>
      </c>
      <c r="AF19">
        <f>IF(DB_ThemeSOFAcct[[#This Row],[Plan]]&lt;&gt;0,DB_ThemeSOFAcct[[#This Row],[Actuals]]/DB_ThemeSOFAcct[[#This Row],[Plan]],1.000011000011)</f>
        <v>1</v>
      </c>
      <c r="AG19" s="34">
        <f>SUM(DB_ThemeSOFAcct[[#This Row],[Plan01]:[Plan12]])/valUnits2</f>
        <v>3.4699800000000001</v>
      </c>
      <c r="AH19" s="34">
        <f>SUMPRODUCT(DB_ThemeSOFAcct[[#This Row],[Act01]:[Act12]],$Q$3:$AB$3)/valUnits2</f>
        <v>3.4699800000000001</v>
      </c>
    </row>
    <row r="20" spans="2:34" x14ac:dyDescent="0.2">
      <c r="B20" t="s">
        <v>342</v>
      </c>
      <c r="C20" t="s">
        <v>841</v>
      </c>
      <c r="D20" t="s">
        <v>237</v>
      </c>
      <c r="E20">
        <v>38.01</v>
      </c>
      <c r="F20">
        <v>56.76</v>
      </c>
      <c r="H20">
        <v>75.45</v>
      </c>
      <c r="Q20">
        <v>38.01</v>
      </c>
      <c r="R20">
        <v>56.76</v>
      </c>
      <c r="T20">
        <v>75.45</v>
      </c>
      <c r="AC20">
        <f>SUMPRODUCT(DB_ThemeSOFAcct[[#This Row],[Plan01]:[Plan12]],$E$14:$P$14)/valUnits2</f>
        <v>0.17022000000000001</v>
      </c>
      <c r="AD20">
        <f>SUMPRODUCT(DB_ThemeSOFAcct[[#This Row],[Act01]:[Act12]],$Q$14:$AB$14)/valUnits2</f>
        <v>0.17022000000000001</v>
      </c>
      <c r="AE20">
        <f>DB_ThemeSOFAcct[[#This Row],[Actuals]]-DB_ThemeSOFAcct[[#This Row],[Plan]]</f>
        <v>0</v>
      </c>
      <c r="AF20">
        <f>IF(DB_ThemeSOFAcct[[#This Row],[Plan]]&lt;&gt;0,DB_ThemeSOFAcct[[#This Row],[Actuals]]/DB_ThemeSOFAcct[[#This Row],[Plan]],1.000011000011)</f>
        <v>1</v>
      </c>
      <c r="AG20" s="34">
        <f>SUM(DB_ThemeSOFAcct[[#This Row],[Plan01]:[Plan12]])/valUnits2</f>
        <v>0.17022000000000001</v>
      </c>
      <c r="AH20" s="34">
        <f>SUMPRODUCT(DB_ThemeSOFAcct[[#This Row],[Act01]:[Act12]],$Q$3:$AB$3)/valUnits2</f>
        <v>0.17022000000000001</v>
      </c>
    </row>
    <row r="21" spans="2:34" x14ac:dyDescent="0.2">
      <c r="B21" t="s">
        <v>342</v>
      </c>
      <c r="C21" t="s">
        <v>841</v>
      </c>
      <c r="D21" t="s">
        <v>141</v>
      </c>
      <c r="E21">
        <v>114.78999999999999</v>
      </c>
      <c r="F21">
        <v>97.93</v>
      </c>
      <c r="G21">
        <v>0</v>
      </c>
      <c r="H21">
        <v>208.10000000000002</v>
      </c>
      <c r="Q21">
        <v>114.78999999999999</v>
      </c>
      <c r="R21">
        <v>97.929999999999993</v>
      </c>
      <c r="S21">
        <v>0</v>
      </c>
      <c r="T21">
        <v>208.10000000000002</v>
      </c>
      <c r="AC21">
        <f>SUMPRODUCT(DB_ThemeSOFAcct[[#This Row],[Plan01]:[Plan12]],$E$14:$P$14)/valUnits2</f>
        <v>0.42082000000000003</v>
      </c>
      <c r="AD21">
        <f>SUMPRODUCT(DB_ThemeSOFAcct[[#This Row],[Act01]:[Act12]],$Q$14:$AB$14)/valUnits2</f>
        <v>0.42081999999999997</v>
      </c>
      <c r="AE21">
        <f>DB_ThemeSOFAcct[[#This Row],[Actuals]]-DB_ThemeSOFAcct[[#This Row],[Plan]]</f>
        <v>0</v>
      </c>
      <c r="AF21">
        <f>IF(DB_ThemeSOFAcct[[#This Row],[Plan]]&lt;&gt;0,DB_ThemeSOFAcct[[#This Row],[Actuals]]/DB_ThemeSOFAcct[[#This Row],[Plan]],1.000011000011)</f>
        <v>0.99999999999999989</v>
      </c>
      <c r="AG21" s="34">
        <f>SUM(DB_ThemeSOFAcct[[#This Row],[Plan01]:[Plan12]])/valUnits2</f>
        <v>0.42082000000000003</v>
      </c>
      <c r="AH21" s="34">
        <f>SUMPRODUCT(DB_ThemeSOFAcct[[#This Row],[Act01]:[Act12]],$Q$3:$AB$3)/valUnits2</f>
        <v>0.42081999999999997</v>
      </c>
    </row>
    <row r="22" spans="2:34" x14ac:dyDescent="0.2">
      <c r="B22" t="s">
        <v>342</v>
      </c>
      <c r="C22" t="s">
        <v>845</v>
      </c>
      <c r="D22" t="s">
        <v>143</v>
      </c>
      <c r="I22">
        <v>0</v>
      </c>
      <c r="U22">
        <v>0.98</v>
      </c>
      <c r="AC22">
        <f>SUMPRODUCT(DB_ThemeSOFAcct[[#This Row],[Plan01]:[Plan12]],$E$14:$P$14)/valUnits2</f>
        <v>0</v>
      </c>
      <c r="AD22">
        <f>SUMPRODUCT(DB_ThemeSOFAcct[[#This Row],[Act01]:[Act12]],$Q$14:$AB$14)/valUnits2</f>
        <v>9.7999999999999997E-4</v>
      </c>
      <c r="AE22">
        <f>DB_ThemeSOFAcct[[#This Row],[Actuals]]-DB_ThemeSOFAcct[[#This Row],[Plan]]</f>
        <v>9.7999999999999997E-4</v>
      </c>
      <c r="AF22">
        <f>IF(DB_ThemeSOFAcct[[#This Row],[Plan]]&lt;&gt;0,DB_ThemeSOFAcct[[#This Row],[Actuals]]/DB_ThemeSOFAcct[[#This Row],[Plan]],1.000011000011)</f>
        <v>1.0000110000110001</v>
      </c>
      <c r="AG22" s="34">
        <f>SUM(DB_ThemeSOFAcct[[#This Row],[Plan01]:[Plan12]])/valUnits2</f>
        <v>0</v>
      </c>
      <c r="AH22" s="34">
        <f>SUMPRODUCT(DB_ThemeSOFAcct[[#This Row],[Act01]:[Act12]],$Q$3:$AB$3)/valUnits2</f>
        <v>9.7999999999999997E-4</v>
      </c>
    </row>
    <row r="23" spans="2:34" x14ac:dyDescent="0.2">
      <c r="B23" t="s">
        <v>342</v>
      </c>
      <c r="C23" t="s">
        <v>845</v>
      </c>
      <c r="D23" t="s">
        <v>237</v>
      </c>
      <c r="I23">
        <v>151.71</v>
      </c>
      <c r="U23">
        <v>151.70999999999998</v>
      </c>
      <c r="AC23">
        <f>SUMPRODUCT(DB_ThemeSOFAcct[[#This Row],[Plan01]:[Plan12]],$E$14:$P$14)/valUnits2</f>
        <v>0.15171000000000001</v>
      </c>
      <c r="AD23">
        <f>SUMPRODUCT(DB_ThemeSOFAcct[[#This Row],[Act01]:[Act12]],$Q$14:$AB$14)/valUnits2</f>
        <v>0.15170999999999998</v>
      </c>
      <c r="AE23">
        <f>DB_ThemeSOFAcct[[#This Row],[Actuals]]-DB_ThemeSOFAcct[[#This Row],[Plan]]</f>
        <v>0</v>
      </c>
      <c r="AF23">
        <f>IF(DB_ThemeSOFAcct[[#This Row],[Plan]]&lt;&gt;0,DB_ThemeSOFAcct[[#This Row],[Actuals]]/DB_ThemeSOFAcct[[#This Row],[Plan]],1.000011000011)</f>
        <v>0.99999999999999978</v>
      </c>
      <c r="AG23" s="34">
        <f>SUM(DB_ThemeSOFAcct[[#This Row],[Plan01]:[Plan12]])/valUnits2</f>
        <v>0.15171000000000001</v>
      </c>
      <c r="AH23" s="34">
        <f>SUMPRODUCT(DB_ThemeSOFAcct[[#This Row],[Act01]:[Act12]],$Q$3:$AB$3)/valUnits2</f>
        <v>0.15170999999999998</v>
      </c>
    </row>
    <row r="24" spans="2:34" x14ac:dyDescent="0.2">
      <c r="B24" t="s">
        <v>342</v>
      </c>
      <c r="C24" t="s">
        <v>845</v>
      </c>
      <c r="D24" t="s">
        <v>141</v>
      </c>
      <c r="J24">
        <v>0</v>
      </c>
      <c r="V24">
        <v>203.47</v>
      </c>
      <c r="AC24">
        <f>SUMPRODUCT(DB_ThemeSOFAcct[[#This Row],[Plan01]:[Plan12]],$E$14:$P$14)/valUnits2</f>
        <v>0</v>
      </c>
      <c r="AD24">
        <f>SUMPRODUCT(DB_ThemeSOFAcct[[#This Row],[Act01]:[Act12]],$Q$14:$AB$14)/valUnits2</f>
        <v>0.20347000000000001</v>
      </c>
      <c r="AE24">
        <f>DB_ThemeSOFAcct[[#This Row],[Actuals]]-DB_ThemeSOFAcct[[#This Row],[Plan]]</f>
        <v>0.20347000000000001</v>
      </c>
      <c r="AF24">
        <f>IF(DB_ThemeSOFAcct[[#This Row],[Plan]]&lt;&gt;0,DB_ThemeSOFAcct[[#This Row],[Actuals]]/DB_ThemeSOFAcct[[#This Row],[Plan]],1.000011000011)</f>
        <v>1.0000110000110001</v>
      </c>
      <c r="AG24" s="34">
        <f>SUM(DB_ThemeSOFAcct[[#This Row],[Plan01]:[Plan12]])/valUnits2</f>
        <v>0</v>
      </c>
      <c r="AH24" s="34">
        <f>SUMPRODUCT(DB_ThemeSOFAcct[[#This Row],[Act01]:[Act12]],$Q$3:$AB$3)/valUnits2</f>
        <v>0.20347000000000001</v>
      </c>
    </row>
    <row r="25" spans="2:34" x14ac:dyDescent="0.2">
      <c r="B25" t="s">
        <v>342</v>
      </c>
      <c r="C25" t="s">
        <v>847</v>
      </c>
      <c r="D25" t="s">
        <v>143</v>
      </c>
      <c r="J25">
        <v>0</v>
      </c>
      <c r="V25">
        <v>48.65</v>
      </c>
      <c r="AC25">
        <f>SUMPRODUCT(DB_ThemeSOFAcct[[#This Row],[Plan01]:[Plan12]],$E$14:$P$14)/valUnits2</f>
        <v>0</v>
      </c>
      <c r="AD25">
        <f>SUMPRODUCT(DB_ThemeSOFAcct[[#This Row],[Act01]:[Act12]],$Q$14:$AB$14)/valUnits2</f>
        <v>4.8649999999999999E-2</v>
      </c>
      <c r="AE25">
        <f>DB_ThemeSOFAcct[[#This Row],[Actuals]]-DB_ThemeSOFAcct[[#This Row],[Plan]]</f>
        <v>4.8649999999999999E-2</v>
      </c>
      <c r="AF25">
        <f>IF(DB_ThemeSOFAcct[[#This Row],[Plan]]&lt;&gt;0,DB_ThemeSOFAcct[[#This Row],[Actuals]]/DB_ThemeSOFAcct[[#This Row],[Plan]],1.000011000011)</f>
        <v>1.0000110000110001</v>
      </c>
      <c r="AG25" s="34">
        <f>SUM(DB_ThemeSOFAcct[[#This Row],[Plan01]:[Plan12]])/valUnits2</f>
        <v>0</v>
      </c>
      <c r="AH25" s="34">
        <f>SUMPRODUCT(DB_ThemeSOFAcct[[#This Row],[Act01]:[Act12]],$Q$3:$AB$3)/valUnits2</f>
        <v>4.8649999999999999E-2</v>
      </c>
    </row>
    <row r="26" spans="2:34" x14ac:dyDescent="0.2">
      <c r="B26" t="s">
        <v>342</v>
      </c>
      <c r="C26" t="s">
        <v>847</v>
      </c>
      <c r="D26" t="s">
        <v>235</v>
      </c>
      <c r="J26">
        <v>0</v>
      </c>
      <c r="V26">
        <v>82.55</v>
      </c>
      <c r="AC26">
        <f>SUMPRODUCT(DB_ThemeSOFAcct[[#This Row],[Plan01]:[Plan12]],$E$14:$P$14)/valUnits2</f>
        <v>0</v>
      </c>
      <c r="AD26">
        <f>SUMPRODUCT(DB_ThemeSOFAcct[[#This Row],[Act01]:[Act12]],$Q$14:$AB$14)/valUnits2</f>
        <v>8.2549999999999998E-2</v>
      </c>
      <c r="AE26">
        <f>DB_ThemeSOFAcct[[#This Row],[Actuals]]-DB_ThemeSOFAcct[[#This Row],[Plan]]</f>
        <v>8.2549999999999998E-2</v>
      </c>
      <c r="AF26">
        <f>IF(DB_ThemeSOFAcct[[#This Row],[Plan]]&lt;&gt;0,DB_ThemeSOFAcct[[#This Row],[Actuals]]/DB_ThemeSOFAcct[[#This Row],[Plan]],1.000011000011)</f>
        <v>1.0000110000110001</v>
      </c>
      <c r="AG26" s="34">
        <f>SUM(DB_ThemeSOFAcct[[#This Row],[Plan01]:[Plan12]])/valUnits2</f>
        <v>0</v>
      </c>
      <c r="AH26" s="34">
        <f>SUMPRODUCT(DB_ThemeSOFAcct[[#This Row],[Act01]:[Act12]],$Q$3:$AB$3)/valUnits2</f>
        <v>8.2549999999999998E-2</v>
      </c>
    </row>
    <row r="27" spans="2:34" x14ac:dyDescent="0.2">
      <c r="B27" t="s">
        <v>342</v>
      </c>
      <c r="C27" t="s">
        <v>847</v>
      </c>
      <c r="D27" t="s">
        <v>140</v>
      </c>
      <c r="I27">
        <v>9318.1869999999999</v>
      </c>
      <c r="J27">
        <v>0</v>
      </c>
      <c r="U27">
        <v>9526.64</v>
      </c>
      <c r="V27">
        <v>-1530.45</v>
      </c>
      <c r="AC27">
        <f>SUMPRODUCT(DB_ThemeSOFAcct[[#This Row],[Plan01]:[Plan12]],$E$14:$P$14)/valUnits2</f>
        <v>9.318187</v>
      </c>
      <c r="AD27">
        <f>SUMPRODUCT(DB_ThemeSOFAcct[[#This Row],[Act01]:[Act12]],$Q$14:$AB$14)/valUnits2</f>
        <v>7.9961899999999995</v>
      </c>
      <c r="AE27">
        <f>DB_ThemeSOFAcct[[#This Row],[Actuals]]-DB_ThemeSOFAcct[[#This Row],[Plan]]</f>
        <v>-1.3219970000000005</v>
      </c>
      <c r="AF27">
        <f>IF(DB_ThemeSOFAcct[[#This Row],[Plan]]&lt;&gt;0,DB_ThemeSOFAcct[[#This Row],[Actuals]]/DB_ThemeSOFAcct[[#This Row],[Plan]],1.000011000011)</f>
        <v>0.85812723011461345</v>
      </c>
      <c r="AG27" s="34">
        <f>SUM(DB_ThemeSOFAcct[[#This Row],[Plan01]:[Plan12]])/valUnits2</f>
        <v>9.318187</v>
      </c>
      <c r="AH27" s="34">
        <f>SUMPRODUCT(DB_ThemeSOFAcct[[#This Row],[Act01]:[Act12]],$Q$3:$AB$3)/valUnits2</f>
        <v>7.9961899999999995</v>
      </c>
    </row>
    <row r="28" spans="2:34" x14ac:dyDescent="0.2">
      <c r="B28" t="s">
        <v>342</v>
      </c>
      <c r="C28" t="s">
        <v>847</v>
      </c>
      <c r="D28" t="s">
        <v>237</v>
      </c>
      <c r="J28">
        <v>0</v>
      </c>
      <c r="V28">
        <v>1579.78</v>
      </c>
      <c r="AC28">
        <f>SUMPRODUCT(DB_ThemeSOFAcct[[#This Row],[Plan01]:[Plan12]],$E$14:$P$14)/valUnits2</f>
        <v>0</v>
      </c>
      <c r="AD28">
        <f>SUMPRODUCT(DB_ThemeSOFAcct[[#This Row],[Act01]:[Act12]],$Q$14:$AB$14)/valUnits2</f>
        <v>1.57978</v>
      </c>
      <c r="AE28">
        <f>DB_ThemeSOFAcct[[#This Row],[Actuals]]-DB_ThemeSOFAcct[[#This Row],[Plan]]</f>
        <v>1.57978</v>
      </c>
      <c r="AF28">
        <f>IF(DB_ThemeSOFAcct[[#This Row],[Plan]]&lt;&gt;0,DB_ThemeSOFAcct[[#This Row],[Actuals]]/DB_ThemeSOFAcct[[#This Row],[Plan]],1.000011000011)</f>
        <v>1.0000110000110001</v>
      </c>
      <c r="AG28" s="34">
        <f>SUM(DB_ThemeSOFAcct[[#This Row],[Plan01]:[Plan12]])/valUnits2</f>
        <v>0</v>
      </c>
      <c r="AH28" s="34">
        <f>SUMPRODUCT(DB_ThemeSOFAcct[[#This Row],[Act01]:[Act12]],$Q$3:$AB$3)/valUnits2</f>
        <v>1.57978</v>
      </c>
    </row>
    <row r="29" spans="2:34" x14ac:dyDescent="0.2">
      <c r="B29" t="s">
        <v>342</v>
      </c>
      <c r="C29" t="s">
        <v>847</v>
      </c>
      <c r="D29" t="s">
        <v>141</v>
      </c>
      <c r="J29">
        <v>0</v>
      </c>
      <c r="V29">
        <v>80.69</v>
      </c>
      <c r="AC29">
        <f>SUMPRODUCT(DB_ThemeSOFAcct[[#This Row],[Plan01]:[Plan12]],$E$14:$P$14)/valUnits2</f>
        <v>0</v>
      </c>
      <c r="AD29">
        <f>SUMPRODUCT(DB_ThemeSOFAcct[[#This Row],[Act01]:[Act12]],$Q$14:$AB$14)/valUnits2</f>
        <v>8.0689999999999998E-2</v>
      </c>
      <c r="AE29">
        <f>DB_ThemeSOFAcct[[#This Row],[Actuals]]-DB_ThemeSOFAcct[[#This Row],[Plan]]</f>
        <v>8.0689999999999998E-2</v>
      </c>
      <c r="AF29">
        <f>IF(DB_ThemeSOFAcct[[#This Row],[Plan]]&lt;&gt;0,DB_ThemeSOFAcct[[#This Row],[Actuals]]/DB_ThemeSOFAcct[[#This Row],[Plan]],1.000011000011)</f>
        <v>1.0000110000110001</v>
      </c>
      <c r="AG29" s="34">
        <f>SUM(DB_ThemeSOFAcct[[#This Row],[Plan01]:[Plan12]])/valUnits2</f>
        <v>0</v>
      </c>
      <c r="AH29" s="34">
        <f>SUMPRODUCT(DB_ThemeSOFAcct[[#This Row],[Act01]:[Act12]],$Q$3:$AB$3)/valUnits2</f>
        <v>8.0689999999999998E-2</v>
      </c>
    </row>
    <row r="30" spans="2:34" x14ac:dyDescent="0.2">
      <c r="B30" t="s">
        <v>342</v>
      </c>
      <c r="C30" t="s">
        <v>849</v>
      </c>
      <c r="D30" t="s">
        <v>141</v>
      </c>
      <c r="J30">
        <v>0</v>
      </c>
      <c r="V30">
        <v>2522.2399999999998</v>
      </c>
      <c r="AC30">
        <f>SUMPRODUCT(DB_ThemeSOFAcct[[#This Row],[Plan01]:[Plan12]],$E$14:$P$14)/valUnits2</f>
        <v>0</v>
      </c>
      <c r="AD30">
        <f>SUMPRODUCT(DB_ThemeSOFAcct[[#This Row],[Act01]:[Act12]],$Q$14:$AB$14)/valUnits2</f>
        <v>2.5222399999999996</v>
      </c>
      <c r="AE30">
        <f>DB_ThemeSOFAcct[[#This Row],[Actuals]]-DB_ThemeSOFAcct[[#This Row],[Plan]]</f>
        <v>2.5222399999999996</v>
      </c>
      <c r="AF30">
        <f>IF(DB_ThemeSOFAcct[[#This Row],[Plan]]&lt;&gt;0,DB_ThemeSOFAcct[[#This Row],[Actuals]]/DB_ThemeSOFAcct[[#This Row],[Plan]],1.000011000011)</f>
        <v>1.0000110000110001</v>
      </c>
      <c r="AG30" s="34">
        <f>SUM(DB_ThemeSOFAcct[[#This Row],[Plan01]:[Plan12]])/valUnits2</f>
        <v>0</v>
      </c>
      <c r="AH30" s="34">
        <f>SUMPRODUCT(DB_ThemeSOFAcct[[#This Row],[Act01]:[Act12]],$Q$3:$AB$3)/valUnits2</f>
        <v>2.5222399999999996</v>
      </c>
    </row>
    <row r="31" spans="2:34" x14ac:dyDescent="0.2">
      <c r="B31" t="s">
        <v>342</v>
      </c>
      <c r="C31" t="s">
        <v>852</v>
      </c>
      <c r="D31" t="s">
        <v>237</v>
      </c>
      <c r="E31">
        <v>-1037.548</v>
      </c>
      <c r="Q31">
        <v>-1061.6500000000001</v>
      </c>
      <c r="AC31">
        <f>SUMPRODUCT(DB_ThemeSOFAcct[[#This Row],[Plan01]:[Plan12]],$E$14:$P$14)/valUnits2</f>
        <v>-1.0375479999999999</v>
      </c>
      <c r="AD31">
        <f>SUMPRODUCT(DB_ThemeSOFAcct[[#This Row],[Act01]:[Act12]],$Q$14:$AB$14)/valUnits2</f>
        <v>-1.06165</v>
      </c>
      <c r="AE31">
        <f>DB_ThemeSOFAcct[[#This Row],[Actuals]]-DB_ThemeSOFAcct[[#This Row],[Plan]]</f>
        <v>-2.4102000000000068E-2</v>
      </c>
      <c r="AF31">
        <f>IF(DB_ThemeSOFAcct[[#This Row],[Plan]]&lt;&gt;0,DB_ThemeSOFAcct[[#This Row],[Actuals]]/DB_ThemeSOFAcct[[#This Row],[Plan]],1.000011000011)</f>
        <v>1.0232297686468481</v>
      </c>
      <c r="AG31" s="34">
        <f>SUM(DB_ThemeSOFAcct[[#This Row],[Plan01]:[Plan12]])/valUnits2</f>
        <v>-1.0375479999999999</v>
      </c>
      <c r="AH31" s="34">
        <f>SUMPRODUCT(DB_ThemeSOFAcct[[#This Row],[Act01]:[Act12]],$Q$3:$AB$3)/valUnits2</f>
        <v>-1.06165</v>
      </c>
    </row>
    <row r="32" spans="2:34" x14ac:dyDescent="0.2">
      <c r="B32" t="s">
        <v>342</v>
      </c>
      <c r="C32" t="s">
        <v>855</v>
      </c>
      <c r="D32" t="s">
        <v>143</v>
      </c>
      <c r="J32">
        <v>0</v>
      </c>
      <c r="V32">
        <v>0</v>
      </c>
      <c r="AC32">
        <f>SUMPRODUCT(DB_ThemeSOFAcct[[#This Row],[Plan01]:[Plan12]],$E$14:$P$14)/valUnits2</f>
        <v>0</v>
      </c>
      <c r="AD32">
        <f>SUMPRODUCT(DB_ThemeSOFAcct[[#This Row],[Act01]:[Act12]],$Q$14:$AB$14)/valUnits2</f>
        <v>0</v>
      </c>
      <c r="AE32">
        <f>DB_ThemeSOFAcct[[#This Row],[Actuals]]-DB_ThemeSOFAcct[[#This Row],[Plan]]</f>
        <v>0</v>
      </c>
      <c r="AF32">
        <f>IF(DB_ThemeSOFAcct[[#This Row],[Plan]]&lt;&gt;0,DB_ThemeSOFAcct[[#This Row],[Actuals]]/DB_ThemeSOFAcct[[#This Row],[Plan]],1.000011000011)</f>
        <v>1.0000110000110001</v>
      </c>
      <c r="AG32" s="34">
        <f>SUM(DB_ThemeSOFAcct[[#This Row],[Plan01]:[Plan12]])/valUnits2</f>
        <v>0</v>
      </c>
      <c r="AH32" s="34">
        <f>SUMPRODUCT(DB_ThemeSOFAcct[[#This Row],[Act01]:[Act12]],$Q$3:$AB$3)/valUnits2</f>
        <v>0</v>
      </c>
    </row>
    <row r="33" spans="2:34" x14ac:dyDescent="0.2">
      <c r="B33" t="s">
        <v>342</v>
      </c>
      <c r="C33" t="s">
        <v>855</v>
      </c>
      <c r="D33" t="s">
        <v>235</v>
      </c>
      <c r="E33">
        <v>71.230999999999995</v>
      </c>
      <c r="G33">
        <v>129.21</v>
      </c>
      <c r="J33">
        <v>0</v>
      </c>
      <c r="Q33">
        <v>69.510000000000005</v>
      </c>
      <c r="S33">
        <v>131.76</v>
      </c>
      <c r="V33">
        <v>0</v>
      </c>
      <c r="AC33">
        <f>SUMPRODUCT(DB_ThemeSOFAcct[[#This Row],[Plan01]:[Plan12]],$E$14:$P$14)/valUnits2</f>
        <v>0.20044100000000001</v>
      </c>
      <c r="AD33">
        <f>SUMPRODUCT(DB_ThemeSOFAcct[[#This Row],[Act01]:[Act12]],$Q$14:$AB$14)/valUnits2</f>
        <v>0.20126999999999998</v>
      </c>
      <c r="AE33">
        <f>DB_ThemeSOFAcct[[#This Row],[Actuals]]-DB_ThemeSOFAcct[[#This Row],[Plan]]</f>
        <v>8.2899999999996865E-4</v>
      </c>
      <c r="AF33">
        <f>IF(DB_ThemeSOFAcct[[#This Row],[Plan]]&lt;&gt;0,DB_ThemeSOFAcct[[#This Row],[Actuals]]/DB_ThemeSOFAcct[[#This Row],[Plan]],1.000011000011)</f>
        <v>1.0041358803837537</v>
      </c>
      <c r="AG33" s="34">
        <f>SUM(DB_ThemeSOFAcct[[#This Row],[Plan01]:[Plan12]])/valUnits2</f>
        <v>0.20044100000000001</v>
      </c>
      <c r="AH33" s="34">
        <f>SUMPRODUCT(DB_ThemeSOFAcct[[#This Row],[Act01]:[Act12]],$Q$3:$AB$3)/valUnits2</f>
        <v>0.20126999999999998</v>
      </c>
    </row>
    <row r="34" spans="2:34" x14ac:dyDescent="0.2">
      <c r="B34" t="s">
        <v>342</v>
      </c>
      <c r="C34" t="s">
        <v>855</v>
      </c>
      <c r="D34" t="s">
        <v>144</v>
      </c>
      <c r="E34">
        <v>0</v>
      </c>
      <c r="Q34">
        <v>-1604.2</v>
      </c>
      <c r="AC34">
        <f>SUMPRODUCT(DB_ThemeSOFAcct[[#This Row],[Plan01]:[Plan12]],$E$14:$P$14)/valUnits2</f>
        <v>0</v>
      </c>
      <c r="AD34">
        <f>SUMPRODUCT(DB_ThemeSOFAcct[[#This Row],[Act01]:[Act12]],$Q$14:$AB$14)/valUnits2</f>
        <v>-1.6042000000000001</v>
      </c>
      <c r="AE34">
        <f>DB_ThemeSOFAcct[[#This Row],[Actuals]]-DB_ThemeSOFAcct[[#This Row],[Plan]]</f>
        <v>-1.6042000000000001</v>
      </c>
      <c r="AF34">
        <f>IF(DB_ThemeSOFAcct[[#This Row],[Plan]]&lt;&gt;0,DB_ThemeSOFAcct[[#This Row],[Actuals]]/DB_ThemeSOFAcct[[#This Row],[Plan]],1.000011000011)</f>
        <v>1.0000110000110001</v>
      </c>
      <c r="AG34" s="34">
        <f>SUM(DB_ThemeSOFAcct[[#This Row],[Plan01]:[Plan12]])/valUnits2</f>
        <v>0</v>
      </c>
      <c r="AH34" s="34">
        <f>SUMPRODUCT(DB_ThemeSOFAcct[[#This Row],[Act01]:[Act12]],$Q$3:$AB$3)/valUnits2</f>
        <v>-1.6042000000000001</v>
      </c>
    </row>
    <row r="35" spans="2:34" x14ac:dyDescent="0.2">
      <c r="B35" t="s">
        <v>342</v>
      </c>
      <c r="C35" t="s">
        <v>855</v>
      </c>
      <c r="D35" t="s">
        <v>142</v>
      </c>
      <c r="E35">
        <v>36.653999999999542</v>
      </c>
      <c r="F35">
        <v>25831.118000000002</v>
      </c>
      <c r="G35">
        <v>421.18000000000472</v>
      </c>
      <c r="H35">
        <v>8581.9040000000023</v>
      </c>
      <c r="I35">
        <v>27587.022999999997</v>
      </c>
      <c r="J35">
        <v>0</v>
      </c>
      <c r="Q35">
        <v>36.469999999999345</v>
      </c>
      <c r="R35">
        <v>26704.5</v>
      </c>
      <c r="S35">
        <v>432.13000000000466</v>
      </c>
      <c r="T35">
        <v>8553.02</v>
      </c>
      <c r="U35">
        <v>27274.399999999994</v>
      </c>
      <c r="V35">
        <v>10462.230000000003</v>
      </c>
      <c r="AC35">
        <f>SUMPRODUCT(DB_ThemeSOFAcct[[#This Row],[Plan01]:[Plan12]],$E$14:$P$14)/valUnits2</f>
        <v>62.457878999999998</v>
      </c>
      <c r="AD35">
        <f>SUMPRODUCT(DB_ThemeSOFAcct[[#This Row],[Act01]:[Act12]],$Q$14:$AB$14)/valUnits2</f>
        <v>73.46275</v>
      </c>
      <c r="AE35">
        <f>DB_ThemeSOFAcct[[#This Row],[Actuals]]-DB_ThemeSOFAcct[[#This Row],[Plan]]</f>
        <v>11.004871000000001</v>
      </c>
      <c r="AF35">
        <f>IF(DB_ThemeSOFAcct[[#This Row],[Plan]]&lt;&gt;0,DB_ThemeSOFAcct[[#This Row],[Actuals]]/DB_ThemeSOFAcct[[#This Row],[Plan]],1.000011000011)</f>
        <v>1.1761966812865996</v>
      </c>
      <c r="AG35" s="34">
        <f>SUM(DB_ThemeSOFAcct[[#This Row],[Plan01]:[Plan12]])/valUnits2</f>
        <v>62.457878999999998</v>
      </c>
      <c r="AH35" s="34">
        <f>SUMPRODUCT(DB_ThemeSOFAcct[[#This Row],[Act01]:[Act12]],$Q$3:$AB$3)/valUnits2</f>
        <v>73.46275</v>
      </c>
    </row>
    <row r="36" spans="2:34" x14ac:dyDescent="0.2">
      <c r="B36" t="s">
        <v>342</v>
      </c>
      <c r="C36" t="s">
        <v>855</v>
      </c>
      <c r="D36" t="s">
        <v>140</v>
      </c>
      <c r="E36">
        <v>1158.0150000000001</v>
      </c>
      <c r="F36">
        <v>4788.3389999999999</v>
      </c>
      <c r="G36">
        <v>3466.9979999999996</v>
      </c>
      <c r="H36">
        <v>6117.1489999999994</v>
      </c>
      <c r="I36">
        <v>4882.0820000000003</v>
      </c>
      <c r="J36">
        <v>8482.8649999999998</v>
      </c>
      <c r="K36">
        <v>8482.8649999999998</v>
      </c>
      <c r="L36">
        <v>8482.8649999999998</v>
      </c>
      <c r="M36">
        <v>8482.8650000000016</v>
      </c>
      <c r="N36">
        <v>8482.8649999999998</v>
      </c>
      <c r="O36">
        <v>8482.8650000000016</v>
      </c>
      <c r="P36">
        <v>8482.8649999999998</v>
      </c>
      <c r="Q36">
        <v>1140.8899999999999</v>
      </c>
      <c r="R36">
        <v>4884.17</v>
      </c>
      <c r="S36">
        <v>3498.8399999999997</v>
      </c>
      <c r="T36">
        <v>6085.7300000000005</v>
      </c>
      <c r="U36">
        <v>4830.51</v>
      </c>
      <c r="V36">
        <v>5835.0300000000025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f>SUMPRODUCT(DB_ThemeSOFAcct[[#This Row],[Plan01]:[Plan12]],$E$14:$P$14)/valUnits2</f>
        <v>28.895447999999998</v>
      </c>
      <c r="AD36">
        <f>SUMPRODUCT(DB_ThemeSOFAcct[[#This Row],[Act01]:[Act12]],$Q$14:$AB$14)/valUnits2</f>
        <v>26.275170000000003</v>
      </c>
      <c r="AE36">
        <f>DB_ThemeSOFAcct[[#This Row],[Actuals]]-DB_ThemeSOFAcct[[#This Row],[Plan]]</f>
        <v>-2.6202779999999954</v>
      </c>
      <c r="AF36">
        <f>IF(DB_ThemeSOFAcct[[#This Row],[Plan]]&lt;&gt;0,DB_ThemeSOFAcct[[#This Row],[Actuals]]/DB_ThemeSOFAcct[[#This Row],[Plan]],1.000011000011)</f>
        <v>0.9093186580806778</v>
      </c>
      <c r="AG36" s="34">
        <f>SUM(DB_ThemeSOFAcct[[#This Row],[Plan01]:[Plan12]])/valUnits2</f>
        <v>79.792637999999997</v>
      </c>
      <c r="AH36" s="34">
        <f>SUMPRODUCT(DB_ThemeSOFAcct[[#This Row],[Act01]:[Act12]],$Q$3:$AB$3)/valUnits2</f>
        <v>26.275170000000003</v>
      </c>
    </row>
    <row r="37" spans="2:34" x14ac:dyDescent="0.2">
      <c r="B37" t="s">
        <v>342</v>
      </c>
      <c r="C37" t="s">
        <v>855</v>
      </c>
      <c r="D37" t="s">
        <v>236</v>
      </c>
      <c r="E37">
        <v>22955.148000000001</v>
      </c>
      <c r="F37">
        <v>2494.194</v>
      </c>
      <c r="G37">
        <v>8291.3960000000006</v>
      </c>
      <c r="J37">
        <v>0</v>
      </c>
      <c r="Q37">
        <v>24162.82</v>
      </c>
      <c r="R37">
        <v>2557.77</v>
      </c>
      <c r="S37">
        <v>8366.4500000000007</v>
      </c>
      <c r="V37">
        <v>1300.1500000000042</v>
      </c>
      <c r="AC37">
        <f>SUMPRODUCT(DB_ThemeSOFAcct[[#This Row],[Plan01]:[Plan12]],$E$14:$P$14)/valUnits2</f>
        <v>33.740738</v>
      </c>
      <c r="AD37">
        <f>SUMPRODUCT(DB_ThemeSOFAcct[[#This Row],[Act01]:[Act12]],$Q$14:$AB$14)/valUnits2</f>
        <v>36.387190000000004</v>
      </c>
      <c r="AE37">
        <f>DB_ThemeSOFAcct[[#This Row],[Actuals]]-DB_ThemeSOFAcct[[#This Row],[Plan]]</f>
        <v>2.6464520000000036</v>
      </c>
      <c r="AF37">
        <f>IF(DB_ThemeSOFAcct[[#This Row],[Plan]]&lt;&gt;0,DB_ThemeSOFAcct[[#This Row],[Actuals]]/DB_ThemeSOFAcct[[#This Row],[Plan]],1.000011000011)</f>
        <v>1.0784349174579406</v>
      </c>
      <c r="AG37" s="34">
        <f>SUM(DB_ThemeSOFAcct[[#This Row],[Plan01]:[Plan12]])/valUnits2</f>
        <v>33.740738</v>
      </c>
      <c r="AH37" s="34">
        <f>SUMPRODUCT(DB_ThemeSOFAcct[[#This Row],[Act01]:[Act12]],$Q$3:$AB$3)/valUnits2</f>
        <v>36.387190000000004</v>
      </c>
    </row>
    <row r="38" spans="2:34" x14ac:dyDescent="0.2">
      <c r="B38" t="s">
        <v>342</v>
      </c>
      <c r="C38" t="s">
        <v>855</v>
      </c>
      <c r="D38" t="s">
        <v>237</v>
      </c>
      <c r="G38">
        <v>292.452</v>
      </c>
      <c r="I38">
        <v>100.636</v>
      </c>
      <c r="J38">
        <v>0</v>
      </c>
      <c r="S38">
        <v>297.29000000000002</v>
      </c>
      <c r="U38">
        <v>101.15</v>
      </c>
      <c r="V38">
        <v>228.19</v>
      </c>
      <c r="AC38">
        <f>SUMPRODUCT(DB_ThemeSOFAcct[[#This Row],[Plan01]:[Plan12]],$E$14:$P$14)/valUnits2</f>
        <v>0.39308799999999999</v>
      </c>
      <c r="AD38">
        <f>SUMPRODUCT(DB_ThemeSOFAcct[[#This Row],[Act01]:[Act12]],$Q$14:$AB$14)/valUnits2</f>
        <v>0.62663000000000013</v>
      </c>
      <c r="AE38">
        <f>DB_ThemeSOFAcct[[#This Row],[Actuals]]-DB_ThemeSOFAcct[[#This Row],[Plan]]</f>
        <v>0.23354200000000014</v>
      </c>
      <c r="AF38">
        <f>IF(DB_ThemeSOFAcct[[#This Row],[Plan]]&lt;&gt;0,DB_ThemeSOFAcct[[#This Row],[Actuals]]/DB_ThemeSOFAcct[[#This Row],[Plan]],1.000011000011)</f>
        <v>1.5941214181048522</v>
      </c>
      <c r="AG38" s="34">
        <f>SUM(DB_ThemeSOFAcct[[#This Row],[Plan01]:[Plan12]])/valUnits2</f>
        <v>0.39308799999999999</v>
      </c>
      <c r="AH38" s="34">
        <f>SUMPRODUCT(DB_ThemeSOFAcct[[#This Row],[Act01]:[Act12]],$Q$3:$AB$3)/valUnits2</f>
        <v>0.62663000000000013</v>
      </c>
    </row>
    <row r="39" spans="2:34" x14ac:dyDescent="0.2">
      <c r="B39" t="s">
        <v>342</v>
      </c>
      <c r="C39" t="s">
        <v>855</v>
      </c>
      <c r="D39" t="s">
        <v>141</v>
      </c>
      <c r="E39">
        <v>35.180999999999997</v>
      </c>
      <c r="F39">
        <v>648.31899999999996</v>
      </c>
      <c r="G39">
        <v>72.99199999999999</v>
      </c>
      <c r="H39">
        <v>89.18</v>
      </c>
      <c r="I39">
        <v>66.902999999999992</v>
      </c>
      <c r="J39">
        <v>15149.835000000003</v>
      </c>
      <c r="K39">
        <v>15149.835000000003</v>
      </c>
      <c r="L39">
        <v>15149.835000000003</v>
      </c>
      <c r="M39">
        <v>15149.835000000003</v>
      </c>
      <c r="N39">
        <v>15149.834999999999</v>
      </c>
      <c r="O39">
        <v>15149.834999999999</v>
      </c>
      <c r="P39">
        <v>15149.835000000003</v>
      </c>
      <c r="Q39">
        <v>34.33</v>
      </c>
      <c r="R39">
        <v>648.14</v>
      </c>
      <c r="S39">
        <v>74.290000000000006</v>
      </c>
      <c r="T39">
        <v>88.88</v>
      </c>
      <c r="U39">
        <v>66.47</v>
      </c>
      <c r="V39">
        <v>20.259999999999973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f>SUMPRODUCT(DB_ThemeSOFAcct[[#This Row],[Plan01]:[Plan12]],$E$14:$P$14)/valUnits2</f>
        <v>16.062410000000003</v>
      </c>
      <c r="AD39">
        <f>SUMPRODUCT(DB_ThemeSOFAcct[[#This Row],[Act01]:[Act12]],$Q$14:$AB$14)/valUnits2</f>
        <v>0.93237000000000003</v>
      </c>
      <c r="AE39">
        <f>DB_ThemeSOFAcct[[#This Row],[Actuals]]-DB_ThemeSOFAcct[[#This Row],[Plan]]</f>
        <v>-15.130040000000003</v>
      </c>
      <c r="AF39">
        <f>IF(DB_ThemeSOFAcct[[#This Row],[Plan]]&lt;&gt;0,DB_ThemeSOFAcct[[#This Row],[Actuals]]/DB_ThemeSOFAcct[[#This Row],[Plan]],1.000011000011)</f>
        <v>5.8046706565204088E-2</v>
      </c>
      <c r="AG39" s="34">
        <f>SUM(DB_ThemeSOFAcct[[#This Row],[Plan01]:[Plan12]])/valUnits2</f>
        <v>106.96142</v>
      </c>
      <c r="AH39" s="34">
        <f>SUMPRODUCT(DB_ThemeSOFAcct[[#This Row],[Act01]:[Act12]],$Q$3:$AB$3)/valUnits2</f>
        <v>0.93237000000000003</v>
      </c>
    </row>
    <row r="40" spans="2:34" x14ac:dyDescent="0.2">
      <c r="B40" t="s">
        <v>342</v>
      </c>
      <c r="C40" t="s">
        <v>367</v>
      </c>
      <c r="D40" t="s">
        <v>143</v>
      </c>
      <c r="E40">
        <v>45.075000000000003</v>
      </c>
      <c r="F40">
        <v>15.377000000000001</v>
      </c>
      <c r="G40">
        <v>7.4820000000000002</v>
      </c>
      <c r="H40">
        <v>7.8630000000000004</v>
      </c>
      <c r="I40">
        <v>10.273999999999999</v>
      </c>
      <c r="J40">
        <v>0</v>
      </c>
      <c r="Q40">
        <v>43.849999999999994</v>
      </c>
      <c r="R40">
        <v>13.32</v>
      </c>
      <c r="S40">
        <v>7.63</v>
      </c>
      <c r="T40">
        <v>7.71</v>
      </c>
      <c r="U40">
        <v>7.74</v>
      </c>
      <c r="V40">
        <v>7.74</v>
      </c>
      <c r="AC40">
        <f>SUMPRODUCT(DB_ThemeSOFAcct[[#This Row],[Plan01]:[Plan12]],$E$14:$P$14)/valUnits2</f>
        <v>8.6071000000000009E-2</v>
      </c>
      <c r="AD40">
        <f>SUMPRODUCT(DB_ThemeSOFAcct[[#This Row],[Act01]:[Act12]],$Q$14:$AB$14)/valUnits2</f>
        <v>8.7989999999999985E-2</v>
      </c>
      <c r="AE40">
        <f>DB_ThemeSOFAcct[[#This Row],[Actuals]]-DB_ThemeSOFAcct[[#This Row],[Plan]]</f>
        <v>1.9189999999999763E-3</v>
      </c>
      <c r="AF40">
        <f>IF(DB_ThemeSOFAcct[[#This Row],[Plan]]&lt;&gt;0,DB_ThemeSOFAcct[[#This Row],[Actuals]]/DB_ThemeSOFAcct[[#This Row],[Plan]],1.000011000011)</f>
        <v>1.0222955466998174</v>
      </c>
      <c r="AG40" s="34">
        <f>SUM(DB_ThemeSOFAcct[[#This Row],[Plan01]:[Plan12]])/valUnits2</f>
        <v>8.6071000000000009E-2</v>
      </c>
      <c r="AH40" s="34">
        <f>SUMPRODUCT(DB_ThemeSOFAcct[[#This Row],[Act01]:[Act12]],$Q$3:$AB$3)/valUnits2</f>
        <v>8.7989999999999985E-2</v>
      </c>
    </row>
    <row r="41" spans="2:34" x14ac:dyDescent="0.2">
      <c r="B41" t="s">
        <v>342</v>
      </c>
      <c r="C41" t="s">
        <v>367</v>
      </c>
      <c r="D41" t="s">
        <v>235</v>
      </c>
      <c r="E41">
        <v>397.01800000000003</v>
      </c>
      <c r="F41">
        <v>322.55199999999996</v>
      </c>
      <c r="G41">
        <v>165.76599999999999</v>
      </c>
      <c r="H41">
        <v>196.53400000000002</v>
      </c>
      <c r="I41">
        <v>76.825000000000003</v>
      </c>
      <c r="J41">
        <v>0</v>
      </c>
      <c r="Q41">
        <v>389.55</v>
      </c>
      <c r="R41">
        <v>332.13</v>
      </c>
      <c r="S41">
        <v>168.07999999999998</v>
      </c>
      <c r="T41">
        <v>193.04</v>
      </c>
      <c r="U41">
        <v>79.509999999999991</v>
      </c>
      <c r="V41">
        <v>317.97000000000003</v>
      </c>
      <c r="AC41">
        <f>SUMPRODUCT(DB_ThemeSOFAcct[[#This Row],[Plan01]:[Plan12]],$E$14:$P$14)/valUnits2</f>
        <v>1.158695</v>
      </c>
      <c r="AD41">
        <f>SUMPRODUCT(DB_ThemeSOFAcct[[#This Row],[Act01]:[Act12]],$Q$14:$AB$14)/valUnits2</f>
        <v>1.48028</v>
      </c>
      <c r="AE41">
        <f>DB_ThemeSOFAcct[[#This Row],[Actuals]]-DB_ThemeSOFAcct[[#This Row],[Plan]]</f>
        <v>0.32158500000000001</v>
      </c>
      <c r="AF41">
        <f>IF(DB_ThemeSOFAcct[[#This Row],[Plan]]&lt;&gt;0,DB_ThemeSOFAcct[[#This Row],[Actuals]]/DB_ThemeSOFAcct[[#This Row],[Plan]],1.000011000011)</f>
        <v>1.2775406815425976</v>
      </c>
      <c r="AG41" s="34">
        <f>SUM(DB_ThemeSOFAcct[[#This Row],[Plan01]:[Plan12]])/valUnits2</f>
        <v>1.158695</v>
      </c>
      <c r="AH41" s="34">
        <f>SUMPRODUCT(DB_ThemeSOFAcct[[#This Row],[Act01]:[Act12]],$Q$3:$AB$3)/valUnits2</f>
        <v>1.48028</v>
      </c>
    </row>
    <row r="42" spans="2:34" x14ac:dyDescent="0.2">
      <c r="B42" t="s">
        <v>342</v>
      </c>
      <c r="C42" t="s">
        <v>367</v>
      </c>
      <c r="D42" t="s">
        <v>142</v>
      </c>
      <c r="E42">
        <v>1.9999999999527063E-3</v>
      </c>
      <c r="F42">
        <v>56430.153999999995</v>
      </c>
      <c r="G42">
        <v>16012.276000000002</v>
      </c>
      <c r="H42">
        <v>27423.359</v>
      </c>
      <c r="I42">
        <v>65007.615000000005</v>
      </c>
      <c r="J42">
        <v>0</v>
      </c>
      <c r="Q42">
        <v>0</v>
      </c>
      <c r="R42">
        <v>57868.539999999994</v>
      </c>
      <c r="S42">
        <v>16277.2</v>
      </c>
      <c r="T42">
        <v>27176.57</v>
      </c>
      <c r="U42">
        <v>64591.22</v>
      </c>
      <c r="V42">
        <v>-1.0000000000218279E-2</v>
      </c>
      <c r="AC42">
        <f>SUMPRODUCT(DB_ThemeSOFAcct[[#This Row],[Plan01]:[Plan12]],$E$14:$P$14)/valUnits2</f>
        <v>164.87340600000002</v>
      </c>
      <c r="AD42">
        <f>SUMPRODUCT(DB_ThemeSOFAcct[[#This Row],[Act01]:[Act12]],$Q$14:$AB$14)/valUnits2</f>
        <v>165.91351999999998</v>
      </c>
      <c r="AE42">
        <f>DB_ThemeSOFAcct[[#This Row],[Actuals]]-DB_ThemeSOFAcct[[#This Row],[Plan]]</f>
        <v>1.04011399999996</v>
      </c>
      <c r="AF42">
        <f>IF(DB_ThemeSOFAcct[[#This Row],[Plan]]&lt;&gt;0,DB_ThemeSOFAcct[[#This Row],[Actuals]]/DB_ThemeSOFAcct[[#This Row],[Plan]],1.000011000011)</f>
        <v>1.0063085613698062</v>
      </c>
      <c r="AG42" s="34">
        <f>SUM(DB_ThemeSOFAcct[[#This Row],[Plan01]:[Plan12]])/valUnits2</f>
        <v>164.87340600000002</v>
      </c>
      <c r="AH42" s="34">
        <f>SUMPRODUCT(DB_ThemeSOFAcct[[#This Row],[Act01]:[Act12]],$Q$3:$AB$3)/valUnits2</f>
        <v>165.91351999999998</v>
      </c>
    </row>
    <row r="43" spans="2:34" x14ac:dyDescent="0.2">
      <c r="B43" t="s">
        <v>342</v>
      </c>
      <c r="C43" t="s">
        <v>367</v>
      </c>
      <c r="D43" t="s">
        <v>140</v>
      </c>
      <c r="E43">
        <v>1087.451</v>
      </c>
      <c r="F43">
        <v>4224.5330000000004</v>
      </c>
      <c r="G43">
        <v>7192.5339999999997</v>
      </c>
      <c r="H43">
        <v>4741.8789999999999</v>
      </c>
      <c r="I43">
        <v>8045.835</v>
      </c>
      <c r="J43">
        <v>6602.0379999999996</v>
      </c>
      <c r="K43">
        <v>6565.7649999999994</v>
      </c>
      <c r="L43">
        <v>6444.9750000000004</v>
      </c>
      <c r="M43">
        <v>6444.9749999999995</v>
      </c>
      <c r="N43">
        <v>0</v>
      </c>
      <c r="Q43">
        <v>1071.3700000000001</v>
      </c>
      <c r="R43">
        <v>4313.12</v>
      </c>
      <c r="S43">
        <v>7257.6399999999994</v>
      </c>
      <c r="T43">
        <v>4730.51</v>
      </c>
      <c r="U43">
        <v>8053.02</v>
      </c>
      <c r="V43">
        <v>4425.41</v>
      </c>
      <c r="W43">
        <v>0</v>
      </c>
      <c r="X43">
        <v>0</v>
      </c>
      <c r="Y43">
        <v>0</v>
      </c>
      <c r="Z43">
        <v>0</v>
      </c>
      <c r="AC43">
        <f>SUMPRODUCT(DB_ThemeSOFAcct[[#This Row],[Plan01]:[Plan12]],$E$14:$P$14)/valUnits2</f>
        <v>31.894269999999999</v>
      </c>
      <c r="AD43">
        <f>SUMPRODUCT(DB_ThemeSOFAcct[[#This Row],[Act01]:[Act12]],$Q$14:$AB$14)/valUnits2</f>
        <v>29.85107</v>
      </c>
      <c r="AE43">
        <f>DB_ThemeSOFAcct[[#This Row],[Actuals]]-DB_ThemeSOFAcct[[#This Row],[Plan]]</f>
        <v>-2.0431999999999988</v>
      </c>
      <c r="AF43">
        <f>IF(DB_ThemeSOFAcct[[#This Row],[Plan]]&lt;&gt;0,DB_ThemeSOFAcct[[#This Row],[Actuals]]/DB_ThemeSOFAcct[[#This Row],[Plan]],1.000011000011)</f>
        <v>0.93593833625914624</v>
      </c>
      <c r="AG43" s="34">
        <f>SUM(DB_ThemeSOFAcct[[#This Row],[Plan01]:[Plan12]])/valUnits2</f>
        <v>51.349985000000004</v>
      </c>
      <c r="AH43" s="34">
        <f>SUMPRODUCT(DB_ThemeSOFAcct[[#This Row],[Act01]:[Act12]],$Q$3:$AB$3)/valUnits2</f>
        <v>29.85107</v>
      </c>
    </row>
    <row r="44" spans="2:34" x14ac:dyDescent="0.2">
      <c r="B44" t="s">
        <v>342</v>
      </c>
      <c r="C44" t="s">
        <v>367</v>
      </c>
      <c r="D44" t="s">
        <v>236</v>
      </c>
      <c r="G44">
        <v>850.13499999999999</v>
      </c>
      <c r="H44">
        <v>172.57900000000001</v>
      </c>
      <c r="S44">
        <v>864.2</v>
      </c>
      <c r="T44">
        <v>172.35</v>
      </c>
      <c r="AC44">
        <f>SUMPRODUCT(DB_ThemeSOFAcct[[#This Row],[Plan01]:[Plan12]],$E$14:$P$14)/valUnits2</f>
        <v>1.0227139999999999</v>
      </c>
      <c r="AD44">
        <f>SUMPRODUCT(DB_ThemeSOFAcct[[#This Row],[Act01]:[Act12]],$Q$14:$AB$14)/valUnits2</f>
        <v>1.0365499999999999</v>
      </c>
      <c r="AE44">
        <f>DB_ThemeSOFAcct[[#This Row],[Actuals]]-DB_ThemeSOFAcct[[#This Row],[Plan]]</f>
        <v>1.3835999999999959E-2</v>
      </c>
      <c r="AF44">
        <f>IF(DB_ThemeSOFAcct[[#This Row],[Plan]]&lt;&gt;0,DB_ThemeSOFAcct[[#This Row],[Actuals]]/DB_ThemeSOFAcct[[#This Row],[Plan]],1.000011000011)</f>
        <v>1.0135287089059111</v>
      </c>
      <c r="AG44" s="34">
        <f>SUM(DB_ThemeSOFAcct[[#This Row],[Plan01]:[Plan12]])/valUnits2</f>
        <v>1.0227139999999999</v>
      </c>
      <c r="AH44" s="34">
        <f>SUMPRODUCT(DB_ThemeSOFAcct[[#This Row],[Act01]:[Act12]],$Q$3:$AB$3)/valUnits2</f>
        <v>1.0365499999999999</v>
      </c>
    </row>
    <row r="45" spans="2:34" x14ac:dyDescent="0.2">
      <c r="B45" t="s">
        <v>342</v>
      </c>
      <c r="C45" t="s">
        <v>367</v>
      </c>
      <c r="D45" t="s">
        <v>237</v>
      </c>
      <c r="E45">
        <v>3.3639999999999999</v>
      </c>
      <c r="G45">
        <v>625.33000000000004</v>
      </c>
      <c r="H45">
        <v>7.82</v>
      </c>
      <c r="K45">
        <v>0</v>
      </c>
      <c r="N45">
        <v>0</v>
      </c>
      <c r="Q45">
        <v>3.26</v>
      </c>
      <c r="S45">
        <v>637.66999999999996</v>
      </c>
      <c r="T45">
        <v>7.67</v>
      </c>
      <c r="W45">
        <v>0</v>
      </c>
      <c r="Z45">
        <v>0</v>
      </c>
      <c r="AC45">
        <f>SUMPRODUCT(DB_ThemeSOFAcct[[#This Row],[Plan01]:[Plan12]],$E$14:$P$14)/valUnits2</f>
        <v>0.63651400000000014</v>
      </c>
      <c r="AD45">
        <f>SUMPRODUCT(DB_ThemeSOFAcct[[#This Row],[Act01]:[Act12]],$Q$14:$AB$14)/valUnits2</f>
        <v>0.64859999999999995</v>
      </c>
      <c r="AE45">
        <f>DB_ThemeSOFAcct[[#This Row],[Actuals]]-DB_ThemeSOFAcct[[#This Row],[Plan]]</f>
        <v>1.2085999999999819E-2</v>
      </c>
      <c r="AF45">
        <f>IF(DB_ThemeSOFAcct[[#This Row],[Plan]]&lt;&gt;0,DB_ThemeSOFAcct[[#This Row],[Actuals]]/DB_ThemeSOFAcct[[#This Row],[Plan]],1.000011000011)</f>
        <v>1.0189877991685961</v>
      </c>
      <c r="AG45" s="34">
        <f>SUM(DB_ThemeSOFAcct[[#This Row],[Plan01]:[Plan12]])/valUnits2</f>
        <v>0.63651400000000014</v>
      </c>
      <c r="AH45" s="34">
        <f>SUMPRODUCT(DB_ThemeSOFAcct[[#This Row],[Act01]:[Act12]],$Q$3:$AB$3)/valUnits2</f>
        <v>0.64859999999999995</v>
      </c>
    </row>
    <row r="46" spans="2:34" x14ac:dyDescent="0.2">
      <c r="B46" t="s">
        <v>342</v>
      </c>
      <c r="C46" t="s">
        <v>367</v>
      </c>
      <c r="D46" t="s">
        <v>141</v>
      </c>
      <c r="E46">
        <v>376.83200000000005</v>
      </c>
      <c r="F46">
        <v>1582.3719999999998</v>
      </c>
      <c r="G46">
        <v>740.45</v>
      </c>
      <c r="H46">
        <v>1176.6079999999999</v>
      </c>
      <c r="I46">
        <v>467.63299999999998</v>
      </c>
      <c r="J46">
        <v>1528.248</v>
      </c>
      <c r="K46">
        <v>935.05499999999995</v>
      </c>
      <c r="L46">
        <v>781.79899999999998</v>
      </c>
      <c r="M46">
        <v>893.96900000000005</v>
      </c>
      <c r="Q46">
        <v>369.95</v>
      </c>
      <c r="R46">
        <v>1605.3500000000001</v>
      </c>
      <c r="S46">
        <v>754.49</v>
      </c>
      <c r="T46">
        <v>1161.33</v>
      </c>
      <c r="U46">
        <v>468.23</v>
      </c>
      <c r="V46">
        <v>1095.6500000000001</v>
      </c>
      <c r="W46">
        <v>0</v>
      </c>
      <c r="X46">
        <v>0</v>
      </c>
      <c r="Y46">
        <v>0</v>
      </c>
      <c r="AC46">
        <f>SUMPRODUCT(DB_ThemeSOFAcct[[#This Row],[Plan01]:[Plan12]],$E$14:$P$14)/valUnits2</f>
        <v>5.8721430000000003</v>
      </c>
      <c r="AD46">
        <f>SUMPRODUCT(DB_ThemeSOFAcct[[#This Row],[Act01]:[Act12]],$Q$14:$AB$14)/valUnits2</f>
        <v>5.4550000000000001</v>
      </c>
      <c r="AE46">
        <f>DB_ThemeSOFAcct[[#This Row],[Actuals]]-DB_ThemeSOFAcct[[#This Row],[Plan]]</f>
        <v>-0.41714300000000026</v>
      </c>
      <c r="AF46">
        <f>IF(DB_ThemeSOFAcct[[#This Row],[Plan]]&lt;&gt;0,DB_ThemeSOFAcct[[#This Row],[Actuals]]/DB_ThemeSOFAcct[[#This Row],[Plan]],1.000011000011)</f>
        <v>0.92896239073196951</v>
      </c>
      <c r="AG46" s="34">
        <f>SUM(DB_ThemeSOFAcct[[#This Row],[Plan01]:[Plan12]])/valUnits2</f>
        <v>8.4829660000000011</v>
      </c>
      <c r="AH46" s="34">
        <f>SUMPRODUCT(DB_ThemeSOFAcct[[#This Row],[Act01]:[Act12]],$Q$3:$AB$3)/valUnits2</f>
        <v>5.4550000000000001</v>
      </c>
    </row>
    <row r="47" spans="2:34" x14ac:dyDescent="0.2">
      <c r="B47" t="s">
        <v>342</v>
      </c>
      <c r="C47" t="s">
        <v>858</v>
      </c>
      <c r="D47" t="s">
        <v>143</v>
      </c>
      <c r="E47">
        <v>509.92999999999995</v>
      </c>
      <c r="F47">
        <v>2168.7200000000003</v>
      </c>
      <c r="G47">
        <v>391.04999999999995</v>
      </c>
      <c r="H47">
        <v>4994.03</v>
      </c>
      <c r="I47">
        <v>5485.8100000000013</v>
      </c>
      <c r="J47">
        <v>1060.4169999999999</v>
      </c>
      <c r="K47">
        <v>1060.4169999999999</v>
      </c>
      <c r="L47">
        <v>1687.5</v>
      </c>
      <c r="M47">
        <v>1060.4169999999999</v>
      </c>
      <c r="N47">
        <v>1060.4169999999999</v>
      </c>
      <c r="O47">
        <v>1060.4169999999999</v>
      </c>
      <c r="P47">
        <v>1060.4169999999999</v>
      </c>
      <c r="Q47">
        <v>509.93</v>
      </c>
      <c r="R47">
        <v>2173.84</v>
      </c>
      <c r="S47">
        <v>564.28000000000009</v>
      </c>
      <c r="T47">
        <v>4626.6000000000004</v>
      </c>
      <c r="U47">
        <v>6537.880000000001</v>
      </c>
      <c r="V47">
        <v>2158.63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f>SUMPRODUCT(DB_ThemeSOFAcct[[#This Row],[Plan01]:[Plan12]],$E$14:$P$14)/valUnits2</f>
        <v>14.609957</v>
      </c>
      <c r="AD47">
        <f>SUMPRODUCT(DB_ThemeSOFAcct[[#This Row],[Act01]:[Act12]],$Q$14:$AB$14)/valUnits2</f>
        <v>16.571160000000003</v>
      </c>
      <c r="AE47">
        <f>DB_ThemeSOFAcct[[#This Row],[Actuals]]-DB_ThemeSOFAcct[[#This Row],[Plan]]</f>
        <v>1.9612030000000029</v>
      </c>
      <c r="AF47">
        <f>IF(DB_ThemeSOFAcct[[#This Row],[Plan]]&lt;&gt;0,DB_ThemeSOFAcct[[#This Row],[Actuals]]/DB_ThemeSOFAcct[[#This Row],[Plan]],1.000011000011)</f>
        <v>1.1342374245180875</v>
      </c>
      <c r="AG47" s="34">
        <f>SUM(DB_ThemeSOFAcct[[#This Row],[Plan01]:[Plan12]])/valUnits2</f>
        <v>21.599542000000007</v>
      </c>
      <c r="AH47" s="34">
        <f>SUMPRODUCT(DB_ThemeSOFAcct[[#This Row],[Act01]:[Act12]],$Q$3:$AB$3)/valUnits2</f>
        <v>16.571160000000003</v>
      </c>
    </row>
    <row r="48" spans="2:34" x14ac:dyDescent="0.2">
      <c r="B48" t="s">
        <v>342</v>
      </c>
      <c r="C48" t="s">
        <v>858</v>
      </c>
      <c r="D48" t="s">
        <v>235</v>
      </c>
      <c r="E48">
        <v>383.30999999999995</v>
      </c>
      <c r="F48">
        <v>2186.19</v>
      </c>
      <c r="G48">
        <v>4691.2099999999991</v>
      </c>
      <c r="H48">
        <v>10355.419999999998</v>
      </c>
      <c r="I48">
        <v>7025.43</v>
      </c>
      <c r="J48">
        <v>875</v>
      </c>
      <c r="K48">
        <v>875</v>
      </c>
      <c r="L48">
        <v>1600</v>
      </c>
      <c r="M48">
        <v>875</v>
      </c>
      <c r="N48">
        <v>875</v>
      </c>
      <c r="O48">
        <v>875</v>
      </c>
      <c r="P48">
        <v>1077</v>
      </c>
      <c r="Q48">
        <v>383.30999999999995</v>
      </c>
      <c r="R48">
        <v>2209.6799999999998</v>
      </c>
      <c r="S48">
        <v>4711.59</v>
      </c>
      <c r="T48">
        <v>11092.269999999997</v>
      </c>
      <c r="U48">
        <v>7346.2399999999971</v>
      </c>
      <c r="V48">
        <v>3935.4799999999996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f>SUMPRODUCT(DB_ThemeSOFAcct[[#This Row],[Plan01]:[Plan12]],$E$14:$P$14)/valUnits2</f>
        <v>25.516559999999998</v>
      </c>
      <c r="AD48">
        <f>SUMPRODUCT(DB_ThemeSOFAcct[[#This Row],[Act01]:[Act12]],$Q$14:$AB$14)/valUnits2</f>
        <v>29.678569999999997</v>
      </c>
      <c r="AE48">
        <f>DB_ThemeSOFAcct[[#This Row],[Actuals]]-DB_ThemeSOFAcct[[#This Row],[Plan]]</f>
        <v>4.1620099999999987</v>
      </c>
      <c r="AF48">
        <f>IF(DB_ThemeSOFAcct[[#This Row],[Plan]]&lt;&gt;0,DB_ThemeSOFAcct[[#This Row],[Actuals]]/DB_ThemeSOFAcct[[#This Row],[Plan]],1.000011000011)</f>
        <v>1.1631101527792147</v>
      </c>
      <c r="AG48" s="34">
        <f>SUM(DB_ThemeSOFAcct[[#This Row],[Plan01]:[Plan12]])/valUnits2</f>
        <v>31.693559999999998</v>
      </c>
      <c r="AH48" s="34">
        <f>SUMPRODUCT(DB_ThemeSOFAcct[[#This Row],[Act01]:[Act12]],$Q$3:$AB$3)/valUnits2</f>
        <v>29.678569999999997</v>
      </c>
    </row>
    <row r="49" spans="2:34" x14ac:dyDescent="0.2">
      <c r="B49" t="s">
        <v>342</v>
      </c>
      <c r="C49" t="s">
        <v>858</v>
      </c>
      <c r="D49" t="s">
        <v>142</v>
      </c>
      <c r="I49">
        <v>0</v>
      </c>
      <c r="J49">
        <v>55000.001000000004</v>
      </c>
      <c r="K49">
        <v>109999.999</v>
      </c>
      <c r="L49">
        <v>88333.331000000006</v>
      </c>
      <c r="M49">
        <v>88333.331000000006</v>
      </c>
      <c r="N49">
        <v>109999.999</v>
      </c>
      <c r="O49">
        <v>55000.001000000004</v>
      </c>
      <c r="P49">
        <v>98333.331000000006</v>
      </c>
      <c r="U49">
        <v>0</v>
      </c>
      <c r="V49">
        <v>138058.36000000002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f>SUMPRODUCT(DB_ThemeSOFAcct[[#This Row],[Plan01]:[Plan12]],$E$14:$P$14)/valUnits2</f>
        <v>55.000001000000005</v>
      </c>
      <c r="AD49">
        <f>SUMPRODUCT(DB_ThemeSOFAcct[[#This Row],[Act01]:[Act12]],$Q$14:$AB$14)/valUnits2</f>
        <v>138.05836000000002</v>
      </c>
      <c r="AE49">
        <f>DB_ThemeSOFAcct[[#This Row],[Actuals]]-DB_ThemeSOFAcct[[#This Row],[Plan]]</f>
        <v>83.058359000000024</v>
      </c>
      <c r="AF49">
        <f>IF(DB_ThemeSOFAcct[[#This Row],[Plan]]&lt;&gt;0,DB_ThemeSOFAcct[[#This Row],[Actuals]]/DB_ThemeSOFAcct[[#This Row],[Plan]],1.000011000011)</f>
        <v>2.5101519543608739</v>
      </c>
      <c r="AG49" s="34">
        <f>SUM(DB_ThemeSOFAcct[[#This Row],[Plan01]:[Plan12]])/valUnits2</f>
        <v>604.99999300000002</v>
      </c>
      <c r="AH49" s="34">
        <f>SUMPRODUCT(DB_ThemeSOFAcct[[#This Row],[Act01]:[Act12]],$Q$3:$AB$3)/valUnits2</f>
        <v>138.05836000000002</v>
      </c>
    </row>
    <row r="50" spans="2:34" x14ac:dyDescent="0.2">
      <c r="B50" t="s">
        <v>342</v>
      </c>
      <c r="C50" t="s">
        <v>858</v>
      </c>
      <c r="D50" t="s">
        <v>140</v>
      </c>
      <c r="E50">
        <v>25925.800000000003</v>
      </c>
      <c r="F50">
        <v>31589.449999999997</v>
      </c>
      <c r="G50">
        <v>33495.93</v>
      </c>
      <c r="H50">
        <v>31020.82</v>
      </c>
      <c r="I50">
        <v>34869.589999999997</v>
      </c>
      <c r="J50">
        <v>40001.858</v>
      </c>
      <c r="K50">
        <v>40001.858</v>
      </c>
      <c r="L50">
        <v>40001.858</v>
      </c>
      <c r="M50">
        <v>40001.858</v>
      </c>
      <c r="N50">
        <v>84594.904999999999</v>
      </c>
      <c r="O50">
        <v>40001.858</v>
      </c>
      <c r="P50">
        <v>40001.858</v>
      </c>
      <c r="Q50">
        <v>25925.8</v>
      </c>
      <c r="R50">
        <v>31589.449999999997</v>
      </c>
      <c r="S50">
        <v>33495.93</v>
      </c>
      <c r="T50">
        <v>31020.819999999992</v>
      </c>
      <c r="U50">
        <v>34869.589999999997</v>
      </c>
      <c r="V50">
        <v>42032.09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f>SUMPRODUCT(DB_ThemeSOFAcct[[#This Row],[Plan01]:[Plan12]],$E$14:$P$14)/valUnits2</f>
        <v>196.903448</v>
      </c>
      <c r="AD50">
        <f>SUMPRODUCT(DB_ThemeSOFAcct[[#This Row],[Act01]:[Act12]],$Q$14:$AB$14)/valUnits2</f>
        <v>198.93367999999995</v>
      </c>
      <c r="AE50">
        <f>DB_ThemeSOFAcct[[#This Row],[Actuals]]-DB_ThemeSOFAcct[[#This Row],[Plan]]</f>
        <v>2.0302319999999554</v>
      </c>
      <c r="AF50">
        <f>IF(DB_ThemeSOFAcct[[#This Row],[Plan]]&lt;&gt;0,DB_ThemeSOFAcct[[#This Row],[Actuals]]/DB_ThemeSOFAcct[[#This Row],[Plan]],1.000011000011)</f>
        <v>1.0103107996361747</v>
      </c>
      <c r="AG50" s="34">
        <f>SUM(DB_ThemeSOFAcct[[#This Row],[Plan01]:[Plan12]])/valUnits2</f>
        <v>481.50764300000003</v>
      </c>
      <c r="AH50" s="34">
        <f>SUMPRODUCT(DB_ThemeSOFAcct[[#This Row],[Act01]:[Act12]],$Q$3:$AB$3)/valUnits2</f>
        <v>198.93367999999995</v>
      </c>
    </row>
    <row r="51" spans="2:34" x14ac:dyDescent="0.2">
      <c r="B51" t="s">
        <v>342</v>
      </c>
      <c r="C51" t="s">
        <v>858</v>
      </c>
      <c r="D51" t="s">
        <v>236</v>
      </c>
      <c r="E51">
        <v>7650.94</v>
      </c>
      <c r="F51">
        <v>1440.5700000000002</v>
      </c>
      <c r="G51">
        <v>22458.059999999994</v>
      </c>
      <c r="H51">
        <v>29226.449999999997</v>
      </c>
      <c r="I51">
        <v>18547.390000000003</v>
      </c>
      <c r="J51">
        <v>31822.500999999997</v>
      </c>
      <c r="K51">
        <v>50422.501000000004</v>
      </c>
      <c r="L51">
        <v>34026.001000000004</v>
      </c>
      <c r="M51">
        <v>24475.000999999997</v>
      </c>
      <c r="N51">
        <v>20875.000999999997</v>
      </c>
      <c r="O51">
        <v>18875.000999999997</v>
      </c>
      <c r="P51">
        <v>18875.000999999997</v>
      </c>
      <c r="Q51">
        <v>7650.94</v>
      </c>
      <c r="R51">
        <v>1440.5700000000002</v>
      </c>
      <c r="S51">
        <v>22458.059999999994</v>
      </c>
      <c r="T51">
        <v>29226.449999999997</v>
      </c>
      <c r="U51">
        <v>18547.390000000003</v>
      </c>
      <c r="V51">
        <v>17410.86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f>SUMPRODUCT(DB_ThemeSOFAcct[[#This Row],[Plan01]:[Plan12]],$E$14:$P$14)/valUnits2</f>
        <v>111.145911</v>
      </c>
      <c r="AD51">
        <f>SUMPRODUCT(DB_ThemeSOFAcct[[#This Row],[Act01]:[Act12]],$Q$14:$AB$14)/valUnits2</f>
        <v>96.734269999999995</v>
      </c>
      <c r="AE51">
        <f>DB_ThemeSOFAcct[[#This Row],[Actuals]]-DB_ThemeSOFAcct[[#This Row],[Plan]]</f>
        <v>-14.411641000000003</v>
      </c>
      <c r="AF51">
        <f>IF(DB_ThemeSOFAcct[[#This Row],[Plan]]&lt;&gt;0,DB_ThemeSOFAcct[[#This Row],[Actuals]]/DB_ThemeSOFAcct[[#This Row],[Plan]],1.000011000011)</f>
        <v>0.87033584168472011</v>
      </c>
      <c r="AG51" s="34">
        <f>SUM(DB_ThemeSOFAcct[[#This Row],[Plan01]:[Plan12]])/valUnits2</f>
        <v>278.69441699999993</v>
      </c>
      <c r="AH51" s="34">
        <f>SUMPRODUCT(DB_ThemeSOFAcct[[#This Row],[Act01]:[Act12]],$Q$3:$AB$3)/valUnits2</f>
        <v>96.734269999999995</v>
      </c>
    </row>
    <row r="52" spans="2:34" x14ac:dyDescent="0.2">
      <c r="B52" t="s">
        <v>342</v>
      </c>
      <c r="C52" t="s">
        <v>858</v>
      </c>
      <c r="D52" t="s">
        <v>237</v>
      </c>
      <c r="E52">
        <v>62.63</v>
      </c>
      <c r="F52">
        <v>4610.5200000000004</v>
      </c>
      <c r="G52">
        <v>9516.6400000000012</v>
      </c>
      <c r="H52">
        <v>20009.739999999998</v>
      </c>
      <c r="I52">
        <v>11123.97</v>
      </c>
      <c r="J52">
        <v>0</v>
      </c>
      <c r="Q52">
        <v>62.63</v>
      </c>
      <c r="R52">
        <v>4610.5199999999995</v>
      </c>
      <c r="S52">
        <v>9516.6400000000012</v>
      </c>
      <c r="T52">
        <v>20009.740000000002</v>
      </c>
      <c r="U52">
        <v>11123.97</v>
      </c>
      <c r="V52">
        <v>9558.59</v>
      </c>
      <c r="AC52">
        <f>SUMPRODUCT(DB_ThemeSOFAcct[[#This Row],[Plan01]:[Plan12]],$E$14:$P$14)/valUnits2</f>
        <v>45.323500000000003</v>
      </c>
      <c r="AD52">
        <f>SUMPRODUCT(DB_ThemeSOFAcct[[#This Row],[Act01]:[Act12]],$Q$14:$AB$14)/valUnits2</f>
        <v>54.882089999999998</v>
      </c>
      <c r="AE52">
        <f>DB_ThemeSOFAcct[[#This Row],[Actuals]]-DB_ThemeSOFAcct[[#This Row],[Plan]]</f>
        <v>9.5585899999999953</v>
      </c>
      <c r="AF52">
        <f>IF(DB_ThemeSOFAcct[[#This Row],[Plan]]&lt;&gt;0,DB_ThemeSOFAcct[[#This Row],[Actuals]]/DB_ThemeSOFAcct[[#This Row],[Plan]],1.000011000011)</f>
        <v>1.2108969960395819</v>
      </c>
      <c r="AG52" s="34">
        <f>SUM(DB_ThemeSOFAcct[[#This Row],[Plan01]:[Plan12]])/valUnits2</f>
        <v>45.323500000000003</v>
      </c>
      <c r="AH52" s="34">
        <f>SUMPRODUCT(DB_ThemeSOFAcct[[#This Row],[Act01]:[Act12]],$Q$3:$AB$3)/valUnits2</f>
        <v>54.882089999999998</v>
      </c>
    </row>
    <row r="53" spans="2:34" x14ac:dyDescent="0.2">
      <c r="B53" t="s">
        <v>342</v>
      </c>
      <c r="C53" t="s">
        <v>858</v>
      </c>
      <c r="D53" t="s">
        <v>141</v>
      </c>
      <c r="E53">
        <v>858.4799999999999</v>
      </c>
      <c r="F53">
        <v>3939.1100000000006</v>
      </c>
      <c r="G53">
        <v>3227.6800000000003</v>
      </c>
      <c r="H53">
        <v>16008.789999999999</v>
      </c>
      <c r="I53">
        <v>5269.6200000000008</v>
      </c>
      <c r="J53">
        <v>12375</v>
      </c>
      <c r="K53">
        <v>12375</v>
      </c>
      <c r="L53">
        <v>17750</v>
      </c>
      <c r="M53">
        <v>12375</v>
      </c>
      <c r="N53">
        <v>12375</v>
      </c>
      <c r="O53">
        <v>12375</v>
      </c>
      <c r="P53">
        <v>12375</v>
      </c>
      <c r="Q53">
        <v>858.48000000000013</v>
      </c>
      <c r="R53">
        <v>3939.1099999999997</v>
      </c>
      <c r="S53">
        <v>3227.6800000000003</v>
      </c>
      <c r="T53">
        <v>16008.79</v>
      </c>
      <c r="U53">
        <v>5269.6200000000017</v>
      </c>
      <c r="V53">
        <v>2598.0900000000011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f>SUMPRODUCT(DB_ThemeSOFAcct[[#This Row],[Plan01]:[Plan12]],$E$14:$P$14)/valUnits2</f>
        <v>41.67868</v>
      </c>
      <c r="AD53">
        <f>SUMPRODUCT(DB_ThemeSOFAcct[[#This Row],[Act01]:[Act12]],$Q$14:$AB$14)/valUnits2</f>
        <v>31.901770000000003</v>
      </c>
      <c r="AE53">
        <f>DB_ThemeSOFAcct[[#This Row],[Actuals]]-DB_ThemeSOFAcct[[#This Row],[Plan]]</f>
        <v>-9.7769099999999973</v>
      </c>
      <c r="AF53">
        <f>IF(DB_ThemeSOFAcct[[#This Row],[Plan]]&lt;&gt;0,DB_ThemeSOFAcct[[#This Row],[Actuals]]/DB_ThemeSOFAcct[[#This Row],[Plan]],1.000011000011)</f>
        <v>0.76542179358847262</v>
      </c>
      <c r="AG53" s="34">
        <f>SUM(DB_ThemeSOFAcct[[#This Row],[Plan01]:[Plan12]])/valUnits2</f>
        <v>121.30368</v>
      </c>
      <c r="AH53" s="34">
        <f>SUMPRODUCT(DB_ThemeSOFAcct[[#This Row],[Act01]:[Act12]],$Q$3:$AB$3)/valUnits2</f>
        <v>31.901770000000003</v>
      </c>
    </row>
    <row r="54" spans="2:34" x14ac:dyDescent="0.2">
      <c r="B54" t="s">
        <v>342</v>
      </c>
      <c r="C54" t="s">
        <v>861</v>
      </c>
      <c r="D54" t="s">
        <v>142</v>
      </c>
      <c r="G54">
        <v>0</v>
      </c>
      <c r="S54">
        <v>-4.5474735088646412E-12</v>
      </c>
      <c r="AC54">
        <f>SUMPRODUCT(DB_ThemeSOFAcct[[#This Row],[Plan01]:[Plan12]],$E$14:$P$14)/valUnits2</f>
        <v>0</v>
      </c>
      <c r="AD54">
        <f>SUMPRODUCT(DB_ThemeSOFAcct[[#This Row],[Act01]:[Act12]],$Q$14:$AB$14)/valUnits2</f>
        <v>-4.5474735088646413E-15</v>
      </c>
      <c r="AE54">
        <f>DB_ThemeSOFAcct[[#This Row],[Actuals]]-DB_ThemeSOFAcct[[#This Row],[Plan]]</f>
        <v>-4.5474735088646413E-15</v>
      </c>
      <c r="AF54">
        <f>IF(DB_ThemeSOFAcct[[#This Row],[Plan]]&lt;&gt;0,DB_ThemeSOFAcct[[#This Row],[Actuals]]/DB_ThemeSOFAcct[[#This Row],[Plan]],1.000011000011)</f>
        <v>1.0000110000110001</v>
      </c>
      <c r="AG54" s="34">
        <f>SUM(DB_ThemeSOFAcct[[#This Row],[Plan01]:[Plan12]])/valUnits2</f>
        <v>0</v>
      </c>
      <c r="AH54" s="34">
        <f>SUMPRODUCT(DB_ThemeSOFAcct[[#This Row],[Act01]:[Act12]],$Q$3:$AB$3)/valUnits2</f>
        <v>-4.5474735088646413E-15</v>
      </c>
    </row>
    <row r="55" spans="2:34" x14ac:dyDescent="0.2">
      <c r="B55" t="s">
        <v>342</v>
      </c>
      <c r="C55" t="s">
        <v>874</v>
      </c>
      <c r="D55" t="s">
        <v>143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f>SUMPRODUCT(DB_ThemeSOFAcct[[#This Row],[Plan01]:[Plan12]],$E$14:$P$14)/valUnits2</f>
        <v>0</v>
      </c>
      <c r="AD55">
        <f>SUMPRODUCT(DB_ThemeSOFAcct[[#This Row],[Act01]:[Act12]],$Q$14:$AB$14)/valUnits2</f>
        <v>0</v>
      </c>
      <c r="AE55">
        <f>DB_ThemeSOFAcct[[#This Row],[Actuals]]-DB_ThemeSOFAcct[[#This Row],[Plan]]</f>
        <v>0</v>
      </c>
      <c r="AF55">
        <f>IF(DB_ThemeSOFAcct[[#This Row],[Plan]]&lt;&gt;0,DB_ThemeSOFAcct[[#This Row],[Actuals]]/DB_ThemeSOFAcct[[#This Row],[Plan]],1.000011000011)</f>
        <v>1.0000110000110001</v>
      </c>
      <c r="AG55" s="34">
        <f>SUM(DB_ThemeSOFAcct[[#This Row],[Plan01]:[Plan12]])/valUnits2</f>
        <v>0</v>
      </c>
      <c r="AH55" s="34">
        <f>SUMPRODUCT(DB_ThemeSOFAcct[[#This Row],[Act01]:[Act12]],$Q$3:$AB$3)/valUnits2</f>
        <v>0</v>
      </c>
    </row>
    <row r="56" spans="2:34" x14ac:dyDescent="0.2">
      <c r="B56" t="s">
        <v>342</v>
      </c>
      <c r="C56" t="s">
        <v>874</v>
      </c>
      <c r="D56" t="s">
        <v>235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f>SUMPRODUCT(DB_ThemeSOFAcct[[#This Row],[Plan01]:[Plan12]],$E$14:$P$14)/valUnits2</f>
        <v>0</v>
      </c>
      <c r="AD56">
        <f>SUMPRODUCT(DB_ThemeSOFAcct[[#This Row],[Act01]:[Act12]],$Q$14:$AB$14)/valUnits2</f>
        <v>0</v>
      </c>
      <c r="AE56">
        <f>DB_ThemeSOFAcct[[#This Row],[Actuals]]-DB_ThemeSOFAcct[[#This Row],[Plan]]</f>
        <v>0</v>
      </c>
      <c r="AF56">
        <f>IF(DB_ThemeSOFAcct[[#This Row],[Plan]]&lt;&gt;0,DB_ThemeSOFAcct[[#This Row],[Actuals]]/DB_ThemeSOFAcct[[#This Row],[Plan]],1.000011000011)</f>
        <v>1.0000110000110001</v>
      </c>
      <c r="AG56" s="34">
        <f>SUM(DB_ThemeSOFAcct[[#This Row],[Plan01]:[Plan12]])/valUnits2</f>
        <v>0</v>
      </c>
      <c r="AH56" s="34">
        <f>SUMPRODUCT(DB_ThemeSOFAcct[[#This Row],[Act01]:[Act12]],$Q$3:$AB$3)/valUnits2</f>
        <v>0</v>
      </c>
    </row>
    <row r="57" spans="2:34" x14ac:dyDescent="0.2">
      <c r="B57" t="s">
        <v>342</v>
      </c>
      <c r="C57" t="s">
        <v>874</v>
      </c>
      <c r="D57" t="s">
        <v>142</v>
      </c>
      <c r="E57">
        <v>198.92199999999912</v>
      </c>
      <c r="F57">
        <v>175174.62</v>
      </c>
      <c r="G57">
        <v>9.1999999997142368E-2</v>
      </c>
      <c r="H57">
        <v>175665.03700000001</v>
      </c>
      <c r="I57">
        <v>-5.5000000011887096E-2</v>
      </c>
      <c r="J57">
        <v>62512.703999999998</v>
      </c>
      <c r="K57">
        <v>89701.734000000011</v>
      </c>
      <c r="L57">
        <v>63247.881000000008</v>
      </c>
      <c r="M57">
        <v>62902.442999999999</v>
      </c>
      <c r="N57">
        <v>69907.059000000023</v>
      </c>
      <c r="O57">
        <v>58077.871999999988</v>
      </c>
      <c r="P57">
        <v>64245.859999999993</v>
      </c>
      <c r="Q57">
        <v>195.97999999999774</v>
      </c>
      <c r="R57">
        <v>180674.97</v>
      </c>
      <c r="S57">
        <v>8.9999999989231583E-2</v>
      </c>
      <c r="T57">
        <v>175073.76</v>
      </c>
      <c r="U57">
        <v>-5.0000000010186341E-2</v>
      </c>
      <c r="V57">
        <v>230.15000000001191</v>
      </c>
      <c r="W57">
        <v>53578.559999999998</v>
      </c>
      <c r="X57">
        <v>0</v>
      </c>
      <c r="Y57">
        <v>0</v>
      </c>
      <c r="Z57">
        <v>0</v>
      </c>
      <c r="AA57">
        <v>0</v>
      </c>
      <c r="AB57">
        <v>0</v>
      </c>
      <c r="AC57">
        <f>SUMPRODUCT(DB_ThemeSOFAcct[[#This Row],[Plan01]:[Plan12]],$E$14:$P$14)/valUnits2</f>
        <v>413.55131999999998</v>
      </c>
      <c r="AD57">
        <f>SUMPRODUCT(DB_ThemeSOFAcct[[#This Row],[Act01]:[Act12]],$Q$14:$AB$14)/valUnits2</f>
        <v>356.17490000000009</v>
      </c>
      <c r="AE57">
        <f>DB_ThemeSOFAcct[[#This Row],[Actuals]]-DB_ThemeSOFAcct[[#This Row],[Plan]]</f>
        <v>-57.376419999999882</v>
      </c>
      <c r="AF57">
        <f>IF(DB_ThemeSOFAcct[[#This Row],[Plan]]&lt;&gt;0,DB_ThemeSOFAcct[[#This Row],[Actuals]]/DB_ThemeSOFAcct[[#This Row],[Plan]],1.000011000011)</f>
        <v>0.86125925072612541</v>
      </c>
      <c r="AG57" s="34">
        <f>SUM(DB_ThemeSOFAcct[[#This Row],[Plan01]:[Plan12]])/valUnits2</f>
        <v>821.63416899999993</v>
      </c>
      <c r="AH57" s="34">
        <f>SUMPRODUCT(DB_ThemeSOFAcct[[#This Row],[Act01]:[Act12]],$Q$3:$AB$3)/valUnits2</f>
        <v>356.17490000000009</v>
      </c>
    </row>
    <row r="58" spans="2:34" x14ac:dyDescent="0.2">
      <c r="B58" t="s">
        <v>342</v>
      </c>
      <c r="C58" t="s">
        <v>874</v>
      </c>
      <c r="D58" t="s">
        <v>140</v>
      </c>
      <c r="E58">
        <v>2312.3849999999998</v>
      </c>
      <c r="F58">
        <v>2535.9899999999998</v>
      </c>
      <c r="G58">
        <v>3428.7019999999998</v>
      </c>
      <c r="H58">
        <v>2674.058</v>
      </c>
      <c r="I58">
        <v>2924.6529999999998</v>
      </c>
      <c r="J58">
        <v>3430.91</v>
      </c>
      <c r="K58">
        <v>3430.9099999999994</v>
      </c>
      <c r="L58">
        <v>3430.91</v>
      </c>
      <c r="M58">
        <v>3430.91</v>
      </c>
      <c r="N58">
        <v>3430.9099999999994</v>
      </c>
      <c r="O58">
        <v>3430.9100000000003</v>
      </c>
      <c r="P58">
        <v>3430.9099999999994</v>
      </c>
      <c r="Q58">
        <v>2278.19</v>
      </c>
      <c r="R58">
        <v>2589.4499999999998</v>
      </c>
      <c r="S58">
        <v>3459.7400000000002</v>
      </c>
      <c r="T58">
        <v>2658.8099999999995</v>
      </c>
      <c r="U58">
        <v>2889.2000000000003</v>
      </c>
      <c r="V58">
        <v>3348.82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f>SUMPRODUCT(DB_ThemeSOFAcct[[#This Row],[Plan01]:[Plan12]],$E$14:$P$14)/valUnits2</f>
        <v>17.306697999999997</v>
      </c>
      <c r="AD58">
        <f>SUMPRODUCT(DB_ThemeSOFAcct[[#This Row],[Act01]:[Act12]],$Q$14:$AB$14)/valUnits2</f>
        <v>17.224209999999999</v>
      </c>
      <c r="AE58">
        <f>DB_ThemeSOFAcct[[#This Row],[Actuals]]-DB_ThemeSOFAcct[[#This Row],[Plan]]</f>
        <v>-8.2487999999997896E-2</v>
      </c>
      <c r="AF58">
        <f>IF(DB_ThemeSOFAcct[[#This Row],[Plan]]&lt;&gt;0,DB_ThemeSOFAcct[[#This Row],[Actuals]]/DB_ThemeSOFAcct[[#This Row],[Plan]],1.000011000011)</f>
        <v>0.99523375285106386</v>
      </c>
      <c r="AG58" s="34">
        <f>SUM(DB_ThemeSOFAcct[[#This Row],[Plan01]:[Plan12]])/valUnits2</f>
        <v>37.892157999999995</v>
      </c>
      <c r="AH58" s="34">
        <f>SUMPRODUCT(DB_ThemeSOFAcct[[#This Row],[Act01]:[Act12]],$Q$3:$AB$3)/valUnits2</f>
        <v>17.224209999999999</v>
      </c>
    </row>
    <row r="59" spans="2:34" x14ac:dyDescent="0.2">
      <c r="B59" t="s">
        <v>342</v>
      </c>
      <c r="C59" t="s">
        <v>874</v>
      </c>
      <c r="D59" t="s">
        <v>236</v>
      </c>
      <c r="E59">
        <v>1346.229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1326.32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f>SUMPRODUCT(DB_ThemeSOFAcct[[#This Row],[Plan01]:[Plan12]],$E$14:$P$14)/valUnits2</f>
        <v>1.3462290000000001</v>
      </c>
      <c r="AD59">
        <f>SUMPRODUCT(DB_ThemeSOFAcct[[#This Row],[Act01]:[Act12]],$Q$14:$AB$14)/valUnits2</f>
        <v>1.3263199999999999</v>
      </c>
      <c r="AE59">
        <f>DB_ThemeSOFAcct[[#This Row],[Actuals]]-DB_ThemeSOFAcct[[#This Row],[Plan]]</f>
        <v>-1.9909000000000177E-2</v>
      </c>
      <c r="AF59">
        <f>IF(DB_ThemeSOFAcct[[#This Row],[Plan]]&lt;&gt;0,DB_ThemeSOFAcct[[#This Row],[Actuals]]/DB_ThemeSOFAcct[[#This Row],[Plan]],1.000011000011)</f>
        <v>0.98521128277581294</v>
      </c>
      <c r="AG59" s="34">
        <f>SUM(DB_ThemeSOFAcct[[#This Row],[Plan01]:[Plan12]])/valUnits2</f>
        <v>1.3462290000000001</v>
      </c>
      <c r="AH59" s="34">
        <f>SUMPRODUCT(DB_ThemeSOFAcct[[#This Row],[Act01]:[Act12]],$Q$3:$AB$3)/valUnits2</f>
        <v>1.3263199999999999</v>
      </c>
    </row>
    <row r="60" spans="2:34" x14ac:dyDescent="0.2">
      <c r="B60" t="s">
        <v>342</v>
      </c>
      <c r="C60" t="s">
        <v>874</v>
      </c>
      <c r="D60" t="s">
        <v>237</v>
      </c>
      <c r="F60">
        <v>61.493000000000002</v>
      </c>
      <c r="G60">
        <v>383.33000000000004</v>
      </c>
      <c r="H60">
        <v>30.945</v>
      </c>
      <c r="I60">
        <v>1406.6079999999999</v>
      </c>
      <c r="J60">
        <v>0</v>
      </c>
      <c r="R60">
        <v>63.06</v>
      </c>
      <c r="S60">
        <v>390.51</v>
      </c>
      <c r="T60">
        <v>30.84</v>
      </c>
      <c r="U60">
        <v>1402.33</v>
      </c>
      <c r="V60">
        <v>682.37</v>
      </c>
      <c r="AC60">
        <f>SUMPRODUCT(DB_ThemeSOFAcct[[#This Row],[Plan01]:[Plan12]],$E$14:$P$14)/valUnits2</f>
        <v>1.882376</v>
      </c>
      <c r="AD60">
        <f>SUMPRODUCT(DB_ThemeSOFAcct[[#This Row],[Act01]:[Act12]],$Q$14:$AB$14)/valUnits2</f>
        <v>2.5691099999999998</v>
      </c>
      <c r="AE60">
        <f>DB_ThemeSOFAcct[[#This Row],[Actuals]]-DB_ThemeSOFAcct[[#This Row],[Plan]]</f>
        <v>0.68673399999999973</v>
      </c>
      <c r="AF60">
        <f>IF(DB_ThemeSOFAcct[[#This Row],[Plan]]&lt;&gt;0,DB_ThemeSOFAcct[[#This Row],[Actuals]]/DB_ThemeSOFAcct[[#This Row],[Plan]],1.000011000011)</f>
        <v>1.3648229684186368</v>
      </c>
      <c r="AG60" s="34">
        <f>SUM(DB_ThemeSOFAcct[[#This Row],[Plan01]:[Plan12]])/valUnits2</f>
        <v>1.882376</v>
      </c>
      <c r="AH60" s="34">
        <f>SUMPRODUCT(DB_ThemeSOFAcct[[#This Row],[Act01]:[Act12]],$Q$3:$AB$3)/valUnits2</f>
        <v>2.5691099999999998</v>
      </c>
    </row>
    <row r="61" spans="2:34" x14ac:dyDescent="0.2">
      <c r="B61" t="s">
        <v>342</v>
      </c>
      <c r="C61" t="s">
        <v>874</v>
      </c>
      <c r="D61" t="s">
        <v>141</v>
      </c>
      <c r="E61">
        <v>773.93499999999995</v>
      </c>
      <c r="F61">
        <v>180.149</v>
      </c>
      <c r="G61">
        <v>971.73699999999997</v>
      </c>
      <c r="H61">
        <v>11.962</v>
      </c>
      <c r="I61">
        <v>2355.0619999999999</v>
      </c>
      <c r="J61">
        <v>326.07500000000005</v>
      </c>
      <c r="K61">
        <v>326.07500000000005</v>
      </c>
      <c r="L61">
        <v>326.07500000000005</v>
      </c>
      <c r="M61">
        <v>326.07500000000005</v>
      </c>
      <c r="N61">
        <v>326.07500000000005</v>
      </c>
      <c r="O61">
        <v>326.07500000000005</v>
      </c>
      <c r="P61">
        <v>326.07500000000005</v>
      </c>
      <c r="Q61">
        <v>750</v>
      </c>
      <c r="R61">
        <v>184.74</v>
      </c>
      <c r="S61">
        <v>982.25</v>
      </c>
      <c r="T61">
        <v>11.96</v>
      </c>
      <c r="U61">
        <v>2361.2399999999998</v>
      </c>
      <c r="V61">
        <v>331.33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f>SUMPRODUCT(DB_ThemeSOFAcct[[#This Row],[Plan01]:[Plan12]],$E$14:$P$14)/valUnits2</f>
        <v>4.6189199999999992</v>
      </c>
      <c r="AD61">
        <f>SUMPRODUCT(DB_ThemeSOFAcct[[#This Row],[Act01]:[Act12]],$Q$14:$AB$14)/valUnits2</f>
        <v>4.6215199999999994</v>
      </c>
      <c r="AE61">
        <f>DB_ThemeSOFAcct[[#This Row],[Actuals]]-DB_ThemeSOFAcct[[#This Row],[Plan]]</f>
        <v>2.6000000000001577E-3</v>
      </c>
      <c r="AF61">
        <f>IF(DB_ThemeSOFAcct[[#This Row],[Plan]]&lt;&gt;0,DB_ThemeSOFAcct[[#This Row],[Actuals]]/DB_ThemeSOFAcct[[#This Row],[Plan]],1.000011000011)</f>
        <v>1.0005629021502862</v>
      </c>
      <c r="AG61" s="34">
        <f>SUM(DB_ThemeSOFAcct[[#This Row],[Plan01]:[Plan12]])/valUnits2</f>
        <v>6.5753699999999977</v>
      </c>
      <c r="AH61" s="34">
        <f>SUMPRODUCT(DB_ThemeSOFAcct[[#This Row],[Act01]:[Act12]],$Q$3:$AB$3)/valUnits2</f>
        <v>4.6215199999999994</v>
      </c>
    </row>
    <row r="62" spans="2:34" x14ac:dyDescent="0.2">
      <c r="B62" t="s">
        <v>342</v>
      </c>
      <c r="C62" t="s">
        <v>877</v>
      </c>
      <c r="D62" t="s">
        <v>143</v>
      </c>
      <c r="E62">
        <v>0</v>
      </c>
      <c r="Q62">
        <v>-82.43</v>
      </c>
      <c r="AC62">
        <f>SUMPRODUCT(DB_ThemeSOFAcct[[#This Row],[Plan01]:[Plan12]],$E$14:$P$14)/valUnits2</f>
        <v>0</v>
      </c>
      <c r="AD62">
        <f>SUMPRODUCT(DB_ThemeSOFAcct[[#This Row],[Act01]:[Act12]],$Q$14:$AB$14)/valUnits2</f>
        <v>-8.2430000000000003E-2</v>
      </c>
      <c r="AE62">
        <f>DB_ThemeSOFAcct[[#This Row],[Actuals]]-DB_ThemeSOFAcct[[#This Row],[Plan]]</f>
        <v>-8.2430000000000003E-2</v>
      </c>
      <c r="AF62">
        <f>IF(DB_ThemeSOFAcct[[#This Row],[Plan]]&lt;&gt;0,DB_ThemeSOFAcct[[#This Row],[Actuals]]/DB_ThemeSOFAcct[[#This Row],[Plan]],1.000011000011)</f>
        <v>1.0000110000110001</v>
      </c>
      <c r="AG62" s="34">
        <f>SUM(DB_ThemeSOFAcct[[#This Row],[Plan01]:[Plan12]])/valUnits2</f>
        <v>0</v>
      </c>
      <c r="AH62" s="34">
        <f>SUMPRODUCT(DB_ThemeSOFAcct[[#This Row],[Act01]:[Act12]],$Q$3:$AB$3)/valUnits2</f>
        <v>-8.2430000000000003E-2</v>
      </c>
    </row>
    <row r="63" spans="2:34" x14ac:dyDescent="0.2">
      <c r="B63" t="s">
        <v>342</v>
      </c>
      <c r="C63" t="s">
        <v>877</v>
      </c>
      <c r="D63" t="s">
        <v>235</v>
      </c>
      <c r="E63">
        <v>-3087.3579999999997</v>
      </c>
      <c r="F63">
        <v>57.567999999999998</v>
      </c>
      <c r="G63">
        <v>12.464</v>
      </c>
      <c r="H63">
        <v>161.203</v>
      </c>
      <c r="J63">
        <v>0</v>
      </c>
      <c r="Q63">
        <v>-2876.93</v>
      </c>
      <c r="R63">
        <v>59.21</v>
      </c>
      <c r="S63">
        <v>12.71</v>
      </c>
      <c r="T63">
        <v>160.66</v>
      </c>
      <c r="V63">
        <v>118.92</v>
      </c>
      <c r="AC63">
        <f>SUMPRODUCT(DB_ThemeSOFAcct[[#This Row],[Plan01]:[Plan12]],$E$14:$P$14)/valUnits2</f>
        <v>-2.8561229999999997</v>
      </c>
      <c r="AD63">
        <f>SUMPRODUCT(DB_ThemeSOFAcct[[#This Row],[Act01]:[Act12]],$Q$14:$AB$14)/valUnits2</f>
        <v>-2.5254299999999996</v>
      </c>
      <c r="AE63">
        <f>DB_ThemeSOFAcct[[#This Row],[Actuals]]-DB_ThemeSOFAcct[[#This Row],[Plan]]</f>
        <v>0.33069300000000013</v>
      </c>
      <c r="AF63">
        <f>IF(DB_ThemeSOFAcct[[#This Row],[Plan]]&lt;&gt;0,DB_ThemeSOFAcct[[#This Row],[Actuals]]/DB_ThemeSOFAcct[[#This Row],[Plan]],1.000011000011)</f>
        <v>0.88421612094437108</v>
      </c>
      <c r="AG63" s="34">
        <f>SUM(DB_ThemeSOFAcct[[#This Row],[Plan01]:[Plan12]])/valUnits2</f>
        <v>-2.8561229999999997</v>
      </c>
      <c r="AH63" s="34">
        <f>SUMPRODUCT(DB_ThemeSOFAcct[[#This Row],[Act01]:[Act12]],$Q$3:$AB$3)/valUnits2</f>
        <v>-2.5254299999999996</v>
      </c>
    </row>
    <row r="64" spans="2:34" x14ac:dyDescent="0.2">
      <c r="B64" t="s">
        <v>342</v>
      </c>
      <c r="C64" t="s">
        <v>877</v>
      </c>
      <c r="D64" t="s">
        <v>144</v>
      </c>
      <c r="E64">
        <v>0</v>
      </c>
      <c r="Q64">
        <v>-15193.47</v>
      </c>
      <c r="AC64">
        <f>SUMPRODUCT(DB_ThemeSOFAcct[[#This Row],[Plan01]:[Plan12]],$E$14:$P$14)/valUnits2</f>
        <v>0</v>
      </c>
      <c r="AD64">
        <f>SUMPRODUCT(DB_ThemeSOFAcct[[#This Row],[Act01]:[Act12]],$Q$14:$AB$14)/valUnits2</f>
        <v>-15.19347</v>
      </c>
      <c r="AE64">
        <f>DB_ThemeSOFAcct[[#This Row],[Actuals]]-DB_ThemeSOFAcct[[#This Row],[Plan]]</f>
        <v>-15.19347</v>
      </c>
      <c r="AF64">
        <f>IF(DB_ThemeSOFAcct[[#This Row],[Plan]]&lt;&gt;0,DB_ThemeSOFAcct[[#This Row],[Actuals]]/DB_ThemeSOFAcct[[#This Row],[Plan]],1.000011000011)</f>
        <v>1.0000110000110001</v>
      </c>
      <c r="AG64" s="34">
        <f>SUM(DB_ThemeSOFAcct[[#This Row],[Plan01]:[Plan12]])/valUnits2</f>
        <v>0</v>
      </c>
      <c r="AH64" s="34">
        <f>SUMPRODUCT(DB_ThemeSOFAcct[[#This Row],[Act01]:[Act12]],$Q$3:$AB$3)/valUnits2</f>
        <v>-15.19347</v>
      </c>
    </row>
    <row r="65" spans="2:34" x14ac:dyDescent="0.2">
      <c r="B65" t="s">
        <v>342</v>
      </c>
      <c r="C65" t="s">
        <v>877</v>
      </c>
      <c r="D65" t="s">
        <v>142</v>
      </c>
      <c r="E65">
        <v>200236.035</v>
      </c>
      <c r="F65">
        <v>82434.867000000013</v>
      </c>
      <c r="G65">
        <v>1993.9289999999994</v>
      </c>
      <c r="H65">
        <v>80368.12</v>
      </c>
      <c r="I65">
        <v>-1.0000000002264642E-2</v>
      </c>
      <c r="J65">
        <v>86545.19</v>
      </c>
      <c r="K65">
        <v>62232.278999999995</v>
      </c>
      <c r="L65">
        <v>61282.248999999996</v>
      </c>
      <c r="M65">
        <v>54476.692999999992</v>
      </c>
      <c r="N65">
        <v>50688.668999999994</v>
      </c>
      <c r="O65">
        <v>54018.597999999991</v>
      </c>
      <c r="P65">
        <v>50688.668999999994</v>
      </c>
      <c r="Q65">
        <v>194085.16</v>
      </c>
      <c r="R65">
        <v>85222.090000000011</v>
      </c>
      <c r="S65">
        <v>2012.5000000000014</v>
      </c>
      <c r="T65">
        <v>80380.849999999991</v>
      </c>
      <c r="U65">
        <v>-9.9999999981470467E-3</v>
      </c>
      <c r="V65">
        <v>-9.4928509497549385E-12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f>SUMPRODUCT(DB_ThemeSOFAcct[[#This Row],[Plan01]:[Plan12]],$E$14:$P$14)/valUnits2</f>
        <v>451.57813099999998</v>
      </c>
      <c r="AD65">
        <f>SUMPRODUCT(DB_ThemeSOFAcct[[#This Row],[Act01]:[Act12]],$Q$14:$AB$14)/valUnits2</f>
        <v>361.70058999999998</v>
      </c>
      <c r="AE65">
        <f>DB_ThemeSOFAcct[[#This Row],[Actuals]]-DB_ThemeSOFAcct[[#This Row],[Plan]]</f>
        <v>-89.877541000000008</v>
      </c>
      <c r="AF65">
        <f>IF(DB_ThemeSOFAcct[[#This Row],[Plan]]&lt;&gt;0,DB_ThemeSOFAcct[[#This Row],[Actuals]]/DB_ThemeSOFAcct[[#This Row],[Plan]],1.000011000011)</f>
        <v>0.80097012049505112</v>
      </c>
      <c r="AG65" s="34">
        <f>SUM(DB_ThemeSOFAcct[[#This Row],[Plan01]:[Plan12]])/valUnits2</f>
        <v>784.96528799999999</v>
      </c>
      <c r="AH65" s="34">
        <f>SUMPRODUCT(DB_ThemeSOFAcct[[#This Row],[Act01]:[Act12]],$Q$3:$AB$3)/valUnits2</f>
        <v>361.70058999999998</v>
      </c>
    </row>
    <row r="66" spans="2:34" x14ac:dyDescent="0.2">
      <c r="B66" t="s">
        <v>342</v>
      </c>
      <c r="C66" t="s">
        <v>877</v>
      </c>
      <c r="D66" t="s">
        <v>140</v>
      </c>
      <c r="E66">
        <v>6059.4019999999991</v>
      </c>
      <c r="F66">
        <v>9087.7860000000001</v>
      </c>
      <c r="G66">
        <v>10773.454</v>
      </c>
      <c r="H66">
        <v>6915.3770000000004</v>
      </c>
      <c r="I66">
        <v>6651.2160000000003</v>
      </c>
      <c r="J66">
        <v>7398.9709999999995</v>
      </c>
      <c r="K66">
        <v>7398.9709999999995</v>
      </c>
      <c r="L66">
        <v>7398.9709999999995</v>
      </c>
      <c r="M66">
        <v>7398.9709999999995</v>
      </c>
      <c r="N66">
        <v>7398.9709999999995</v>
      </c>
      <c r="O66">
        <v>7398.9709999999995</v>
      </c>
      <c r="P66">
        <v>7398.9709999999995</v>
      </c>
      <c r="Q66">
        <v>5969.2199999999993</v>
      </c>
      <c r="R66">
        <v>9277.369999999999</v>
      </c>
      <c r="S66">
        <v>10872.43</v>
      </c>
      <c r="T66">
        <v>6884.5300000000007</v>
      </c>
      <c r="U66">
        <v>6572.1100000000006</v>
      </c>
      <c r="V66">
        <v>8116.97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f>SUMPRODUCT(DB_ThemeSOFAcct[[#This Row],[Plan01]:[Plan12]],$E$14:$P$14)/valUnits2</f>
        <v>46.886206000000001</v>
      </c>
      <c r="AD66">
        <f>SUMPRODUCT(DB_ThemeSOFAcct[[#This Row],[Act01]:[Act12]],$Q$14:$AB$14)/valUnits2</f>
        <v>47.692629999999994</v>
      </c>
      <c r="AE66">
        <f>DB_ThemeSOFAcct[[#This Row],[Actuals]]-DB_ThemeSOFAcct[[#This Row],[Plan]]</f>
        <v>0.8064239999999927</v>
      </c>
      <c r="AF66">
        <f>IF(DB_ThemeSOFAcct[[#This Row],[Plan]]&lt;&gt;0,DB_ThemeSOFAcct[[#This Row],[Actuals]]/DB_ThemeSOFAcct[[#This Row],[Plan]],1.000011000011)</f>
        <v>1.0171996002406336</v>
      </c>
      <c r="AG66" s="34">
        <f>SUM(DB_ThemeSOFAcct[[#This Row],[Plan01]:[Plan12]])/valUnits2</f>
        <v>91.280032000000006</v>
      </c>
      <c r="AH66" s="34">
        <f>SUMPRODUCT(DB_ThemeSOFAcct[[#This Row],[Act01]:[Act12]],$Q$3:$AB$3)/valUnits2</f>
        <v>47.692629999999994</v>
      </c>
    </row>
    <row r="67" spans="2:34" x14ac:dyDescent="0.2">
      <c r="B67" t="s">
        <v>342</v>
      </c>
      <c r="C67" t="s">
        <v>877</v>
      </c>
      <c r="D67" t="s">
        <v>236</v>
      </c>
      <c r="E67">
        <v>29280.874</v>
      </c>
      <c r="F67">
        <v>14133.773999999999</v>
      </c>
      <c r="G67">
        <v>46987.364999999998</v>
      </c>
      <c r="J67">
        <v>0</v>
      </c>
      <c r="Q67">
        <v>44041.070000000007</v>
      </c>
      <c r="R67">
        <v>14494.04</v>
      </c>
      <c r="S67">
        <v>47412.729999999996</v>
      </c>
      <c r="V67">
        <v>4450.0300000000061</v>
      </c>
      <c r="AC67">
        <f>SUMPRODUCT(DB_ThemeSOFAcct[[#This Row],[Plan01]:[Plan12]],$E$14:$P$14)/valUnits2</f>
        <v>90.402013000000011</v>
      </c>
      <c r="AD67">
        <f>SUMPRODUCT(DB_ThemeSOFAcct[[#This Row],[Act01]:[Act12]],$Q$14:$AB$14)/valUnits2</f>
        <v>110.39787</v>
      </c>
      <c r="AE67">
        <f>DB_ThemeSOFAcct[[#This Row],[Actuals]]-DB_ThemeSOFAcct[[#This Row],[Plan]]</f>
        <v>19.995856999999987</v>
      </c>
      <c r="AF67">
        <f>IF(DB_ThemeSOFAcct[[#This Row],[Plan]]&lt;&gt;0,DB_ThemeSOFAcct[[#This Row],[Actuals]]/DB_ThemeSOFAcct[[#This Row],[Plan]],1.000011000011)</f>
        <v>1.2211881830551714</v>
      </c>
      <c r="AG67" s="34">
        <f>SUM(DB_ThemeSOFAcct[[#This Row],[Plan01]:[Plan12]])/valUnits2</f>
        <v>90.402013000000011</v>
      </c>
      <c r="AH67" s="34">
        <f>SUMPRODUCT(DB_ThemeSOFAcct[[#This Row],[Act01]:[Act12]],$Q$3:$AB$3)/valUnits2</f>
        <v>110.39787</v>
      </c>
    </row>
    <row r="68" spans="2:34" x14ac:dyDescent="0.2">
      <c r="B68" t="s">
        <v>342</v>
      </c>
      <c r="C68" t="s">
        <v>877</v>
      </c>
      <c r="D68" t="s">
        <v>237</v>
      </c>
      <c r="E68">
        <v>-172148.28</v>
      </c>
      <c r="J68">
        <v>0</v>
      </c>
      <c r="Q68">
        <v>-166886.32</v>
      </c>
      <c r="V68">
        <v>-1.8189894035458565E-12</v>
      </c>
      <c r="AC68">
        <f>SUMPRODUCT(DB_ThemeSOFAcct[[#This Row],[Plan01]:[Plan12]],$E$14:$P$14)/valUnits2</f>
        <v>-172.14828</v>
      </c>
      <c r="AD68">
        <f>SUMPRODUCT(DB_ThemeSOFAcct[[#This Row],[Act01]:[Act12]],$Q$14:$AB$14)/valUnits2</f>
        <v>-166.88632000000001</v>
      </c>
      <c r="AE68">
        <f>DB_ThemeSOFAcct[[#This Row],[Actuals]]-DB_ThemeSOFAcct[[#This Row],[Plan]]</f>
        <v>5.2619599999999878</v>
      </c>
      <c r="AF68">
        <f>IF(DB_ThemeSOFAcct[[#This Row],[Plan]]&lt;&gt;0,DB_ThemeSOFAcct[[#This Row],[Actuals]]/DB_ThemeSOFAcct[[#This Row],[Plan]],1.000011000011)</f>
        <v>0.9694335604166362</v>
      </c>
      <c r="AG68" s="34">
        <f>SUM(DB_ThemeSOFAcct[[#This Row],[Plan01]:[Plan12]])/valUnits2</f>
        <v>-172.14828</v>
      </c>
      <c r="AH68" s="34">
        <f>SUMPRODUCT(DB_ThemeSOFAcct[[#This Row],[Act01]:[Act12]],$Q$3:$AB$3)/valUnits2</f>
        <v>-166.88632000000001</v>
      </c>
    </row>
    <row r="69" spans="2:34" x14ac:dyDescent="0.2">
      <c r="B69" t="s">
        <v>342</v>
      </c>
      <c r="C69" t="s">
        <v>877</v>
      </c>
      <c r="D69" t="s">
        <v>141</v>
      </c>
      <c r="E69">
        <v>59.230999999999987</v>
      </c>
      <c r="F69">
        <v>137.46200000000002</v>
      </c>
      <c r="G69">
        <v>205.06900000000002</v>
      </c>
      <c r="H69">
        <v>1.3160000000000001</v>
      </c>
      <c r="I69">
        <v>2026.575</v>
      </c>
      <c r="J69">
        <v>1720.7260000000001</v>
      </c>
      <c r="K69">
        <v>1720.7260000000001</v>
      </c>
      <c r="L69">
        <v>1720.7260000000001</v>
      </c>
      <c r="M69">
        <v>1720.7260000000001</v>
      </c>
      <c r="N69">
        <v>1720.7260000000001</v>
      </c>
      <c r="O69">
        <v>1720.7260000000003</v>
      </c>
      <c r="P69">
        <v>1720.7260000000003</v>
      </c>
      <c r="Q69">
        <v>57.939999999999976</v>
      </c>
      <c r="R69">
        <v>141.13</v>
      </c>
      <c r="S69">
        <v>208.86</v>
      </c>
      <c r="T69">
        <v>1.29</v>
      </c>
      <c r="U69">
        <v>2010</v>
      </c>
      <c r="V69">
        <v>550.6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f>SUMPRODUCT(DB_ThemeSOFAcct[[#This Row],[Plan01]:[Plan12]],$E$14:$P$14)/valUnits2</f>
        <v>4.1503790000000009</v>
      </c>
      <c r="AD69">
        <f>SUMPRODUCT(DB_ThemeSOFAcct[[#This Row],[Act01]:[Act12]],$Q$14:$AB$14)/valUnits2</f>
        <v>2.9698199999999999</v>
      </c>
      <c r="AE69">
        <f>DB_ThemeSOFAcct[[#This Row],[Actuals]]-DB_ThemeSOFAcct[[#This Row],[Plan]]</f>
        <v>-1.180559000000001</v>
      </c>
      <c r="AF69">
        <f>IF(DB_ThemeSOFAcct[[#This Row],[Plan]]&lt;&gt;0,DB_ThemeSOFAcct[[#This Row],[Actuals]]/DB_ThemeSOFAcct[[#This Row],[Plan]],1.000011000011)</f>
        <v>0.71555392893034575</v>
      </c>
      <c r="AG69" s="34">
        <f>SUM(DB_ThemeSOFAcct[[#This Row],[Plan01]:[Plan12]])/valUnits2</f>
        <v>14.474735000000004</v>
      </c>
      <c r="AH69" s="34">
        <f>SUMPRODUCT(DB_ThemeSOFAcct[[#This Row],[Act01]:[Act12]],$Q$3:$AB$3)/valUnits2</f>
        <v>2.9698199999999999</v>
      </c>
    </row>
    <row r="70" spans="2:34" x14ac:dyDescent="0.2">
      <c r="B70" t="s">
        <v>342</v>
      </c>
      <c r="C70" t="s">
        <v>878</v>
      </c>
      <c r="D70" t="s">
        <v>143</v>
      </c>
      <c r="E70">
        <v>212.71999999999997</v>
      </c>
      <c r="F70">
        <v>115.054</v>
      </c>
      <c r="G70">
        <v>77.683000000000007</v>
      </c>
      <c r="Q70">
        <v>109.88</v>
      </c>
      <c r="R70">
        <v>33.43</v>
      </c>
      <c r="S70">
        <v>79.849999999999994</v>
      </c>
      <c r="AC70">
        <f>SUMPRODUCT(DB_ThemeSOFAcct[[#This Row],[Plan01]:[Plan12]],$E$14:$P$14)/valUnits2</f>
        <v>0.40545700000000001</v>
      </c>
      <c r="AD70">
        <f>SUMPRODUCT(DB_ThemeSOFAcct[[#This Row],[Act01]:[Act12]],$Q$14:$AB$14)/valUnits2</f>
        <v>0.22316</v>
      </c>
      <c r="AE70">
        <f>DB_ThemeSOFAcct[[#This Row],[Actuals]]-DB_ThemeSOFAcct[[#This Row],[Plan]]</f>
        <v>-0.18229700000000001</v>
      </c>
      <c r="AF70">
        <f>IF(DB_ThemeSOFAcct[[#This Row],[Plan]]&lt;&gt;0,DB_ThemeSOFAcct[[#This Row],[Actuals]]/DB_ThemeSOFAcct[[#This Row],[Plan]],1.000011000011)</f>
        <v>0.55039128686889116</v>
      </c>
      <c r="AG70" s="34">
        <f>SUM(DB_ThemeSOFAcct[[#This Row],[Plan01]:[Plan12]])/valUnits2</f>
        <v>0.40545700000000001</v>
      </c>
      <c r="AH70" s="34">
        <f>SUMPRODUCT(DB_ThemeSOFAcct[[#This Row],[Act01]:[Act12]],$Q$3:$AB$3)/valUnits2</f>
        <v>0.22316</v>
      </c>
    </row>
    <row r="71" spans="2:34" x14ac:dyDescent="0.2">
      <c r="B71" t="s">
        <v>342</v>
      </c>
      <c r="C71" t="s">
        <v>878</v>
      </c>
      <c r="D71" t="s">
        <v>235</v>
      </c>
      <c r="E71">
        <v>344.327</v>
      </c>
      <c r="F71">
        <v>162.15199999999999</v>
      </c>
      <c r="Q71">
        <v>457.53</v>
      </c>
      <c r="R71">
        <v>243.61</v>
      </c>
      <c r="AC71">
        <f>SUMPRODUCT(DB_ThemeSOFAcct[[#This Row],[Plan01]:[Plan12]],$E$14:$P$14)/valUnits2</f>
        <v>0.50647900000000001</v>
      </c>
      <c r="AD71">
        <f>SUMPRODUCT(DB_ThemeSOFAcct[[#This Row],[Act01]:[Act12]],$Q$14:$AB$14)/valUnits2</f>
        <v>0.70113999999999999</v>
      </c>
      <c r="AE71">
        <f>DB_ThemeSOFAcct[[#This Row],[Actuals]]-DB_ThemeSOFAcct[[#This Row],[Plan]]</f>
        <v>0.19466099999999997</v>
      </c>
      <c r="AF71">
        <f>IF(DB_ThemeSOFAcct[[#This Row],[Plan]]&lt;&gt;0,DB_ThemeSOFAcct[[#This Row],[Actuals]]/DB_ThemeSOFAcct[[#This Row],[Plan]],1.000011000011)</f>
        <v>1.3843417002481839</v>
      </c>
      <c r="AG71" s="34">
        <f>SUM(DB_ThemeSOFAcct[[#This Row],[Plan01]:[Plan12]])/valUnits2</f>
        <v>0.50647900000000001</v>
      </c>
      <c r="AH71" s="34">
        <f>SUMPRODUCT(DB_ThemeSOFAcct[[#This Row],[Act01]:[Act12]],$Q$3:$AB$3)/valUnits2</f>
        <v>0.70113999999999999</v>
      </c>
    </row>
    <row r="72" spans="2:34" x14ac:dyDescent="0.2">
      <c r="B72" t="s">
        <v>342</v>
      </c>
      <c r="C72" t="s">
        <v>878</v>
      </c>
      <c r="D72" t="s">
        <v>142</v>
      </c>
      <c r="E72">
        <v>51.123999999999796</v>
      </c>
      <c r="F72">
        <v>5858.848</v>
      </c>
      <c r="G72">
        <v>8023.5099999999993</v>
      </c>
      <c r="H72">
        <v>8689.89</v>
      </c>
      <c r="I72">
        <v>8689.89</v>
      </c>
      <c r="J72">
        <v>8689.89</v>
      </c>
      <c r="K72">
        <v>8689.89</v>
      </c>
      <c r="L72">
        <v>8689.89</v>
      </c>
      <c r="M72">
        <v>8689.89</v>
      </c>
      <c r="N72">
        <v>8689.89</v>
      </c>
      <c r="O72">
        <v>8689.89</v>
      </c>
      <c r="P72">
        <v>8689.89</v>
      </c>
      <c r="Q72">
        <v>51.090000000000984</v>
      </c>
      <c r="R72">
        <v>5841.63</v>
      </c>
      <c r="S72">
        <v>-773.37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f>SUMPRODUCT(DB_ThemeSOFAcct[[#This Row],[Plan01]:[Plan12]],$E$14:$P$14)/valUnits2</f>
        <v>40.003152</v>
      </c>
      <c r="AD72">
        <f>SUMPRODUCT(DB_ThemeSOFAcct[[#This Row],[Act01]:[Act12]],$Q$14:$AB$14)/valUnits2</f>
        <v>5.1193500000000016</v>
      </c>
      <c r="AE72">
        <f>DB_ThemeSOFAcct[[#This Row],[Actuals]]-DB_ThemeSOFAcct[[#This Row],[Plan]]</f>
        <v>-34.883801999999996</v>
      </c>
      <c r="AF72">
        <f>IF(DB_ThemeSOFAcct[[#This Row],[Plan]]&lt;&gt;0,DB_ThemeSOFAcct[[#This Row],[Actuals]]/DB_ThemeSOFAcct[[#This Row],[Plan]],1.000011000011)</f>
        <v>0.12797366567514484</v>
      </c>
      <c r="AG72" s="34">
        <f>SUM(DB_ThemeSOFAcct[[#This Row],[Plan01]:[Plan12]])/valUnits2</f>
        <v>92.142492000000004</v>
      </c>
      <c r="AH72" s="34">
        <f>SUMPRODUCT(DB_ThemeSOFAcct[[#This Row],[Act01]:[Act12]],$Q$3:$AB$3)/valUnits2</f>
        <v>5.1193500000000016</v>
      </c>
    </row>
    <row r="73" spans="2:34" x14ac:dyDescent="0.2">
      <c r="B73" t="s">
        <v>342</v>
      </c>
      <c r="C73" t="s">
        <v>878</v>
      </c>
      <c r="D73" t="s">
        <v>140</v>
      </c>
      <c r="E73">
        <v>69.070999999999998</v>
      </c>
      <c r="F73">
        <v>222.785</v>
      </c>
      <c r="G73">
        <v>2691.45</v>
      </c>
      <c r="H73">
        <v>2691.45</v>
      </c>
      <c r="I73">
        <v>2691.45</v>
      </c>
      <c r="J73">
        <v>2691.45</v>
      </c>
      <c r="K73">
        <v>2691.45</v>
      </c>
      <c r="L73">
        <v>2691.45</v>
      </c>
      <c r="M73">
        <v>2691.45</v>
      </c>
      <c r="N73">
        <v>2691.45</v>
      </c>
      <c r="O73">
        <v>2691.45</v>
      </c>
      <c r="P73">
        <v>2691.45</v>
      </c>
      <c r="Q73">
        <v>70.42</v>
      </c>
      <c r="R73">
        <v>222.59</v>
      </c>
      <c r="S73">
        <v>0</v>
      </c>
      <c r="T73">
        <v>0</v>
      </c>
      <c r="U73">
        <v>0</v>
      </c>
      <c r="V73">
        <v>4060.3999999999996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f>SUMPRODUCT(DB_ThemeSOFAcct[[#This Row],[Plan01]:[Plan12]],$E$14:$P$14)/valUnits2</f>
        <v>11.057656</v>
      </c>
      <c r="AD73">
        <f>SUMPRODUCT(DB_ThemeSOFAcct[[#This Row],[Act01]:[Act12]],$Q$14:$AB$14)/valUnits2</f>
        <v>4.3534100000000002</v>
      </c>
      <c r="AE73">
        <f>DB_ThemeSOFAcct[[#This Row],[Actuals]]-DB_ThemeSOFAcct[[#This Row],[Plan]]</f>
        <v>-6.7042459999999995</v>
      </c>
      <c r="AF73">
        <f>IF(DB_ThemeSOFAcct[[#This Row],[Plan]]&lt;&gt;0,DB_ThemeSOFAcct[[#This Row],[Actuals]]/DB_ThemeSOFAcct[[#This Row],[Plan]],1.000011000011)</f>
        <v>0.39370097966512979</v>
      </c>
      <c r="AG73" s="34">
        <f>SUM(DB_ThemeSOFAcct[[#This Row],[Plan01]:[Plan12]])/valUnits2</f>
        <v>27.206356000000003</v>
      </c>
      <c r="AH73" s="34">
        <f>SUMPRODUCT(DB_ThemeSOFAcct[[#This Row],[Act01]:[Act12]],$Q$3:$AB$3)/valUnits2</f>
        <v>4.3534100000000002</v>
      </c>
    </row>
    <row r="74" spans="2:34" x14ac:dyDescent="0.2">
      <c r="B74" t="s">
        <v>342</v>
      </c>
      <c r="C74" t="s">
        <v>878</v>
      </c>
      <c r="D74" t="s">
        <v>236</v>
      </c>
      <c r="E74">
        <v>382.27</v>
      </c>
      <c r="Q74">
        <v>382.02</v>
      </c>
      <c r="AC74">
        <f>SUMPRODUCT(DB_ThemeSOFAcct[[#This Row],[Plan01]:[Plan12]],$E$14:$P$14)/valUnits2</f>
        <v>0.38227</v>
      </c>
      <c r="AD74">
        <f>SUMPRODUCT(DB_ThemeSOFAcct[[#This Row],[Act01]:[Act12]],$Q$14:$AB$14)/valUnits2</f>
        <v>0.38201999999999997</v>
      </c>
      <c r="AE74">
        <f>DB_ThemeSOFAcct[[#This Row],[Actuals]]-DB_ThemeSOFAcct[[#This Row],[Plan]]</f>
        <v>-2.5000000000002798E-4</v>
      </c>
      <c r="AF74">
        <f>IF(DB_ThemeSOFAcct[[#This Row],[Plan]]&lt;&gt;0,DB_ThemeSOFAcct[[#This Row],[Actuals]]/DB_ThemeSOFAcct[[#This Row],[Plan]],1.000011000011)</f>
        <v>0.99934601198106043</v>
      </c>
      <c r="AG74" s="34">
        <f>SUM(DB_ThemeSOFAcct[[#This Row],[Plan01]:[Plan12]])/valUnits2</f>
        <v>0.38227</v>
      </c>
      <c r="AH74" s="34">
        <f>SUMPRODUCT(DB_ThemeSOFAcct[[#This Row],[Act01]:[Act12]],$Q$3:$AB$3)/valUnits2</f>
        <v>0.38201999999999997</v>
      </c>
    </row>
    <row r="75" spans="2:34" x14ac:dyDescent="0.2">
      <c r="B75" t="s">
        <v>342</v>
      </c>
      <c r="C75" t="s">
        <v>878</v>
      </c>
      <c r="D75" t="s">
        <v>237</v>
      </c>
      <c r="E75">
        <v>3246.2090000000003</v>
      </c>
      <c r="F75">
        <v>1826.134</v>
      </c>
      <c r="J75">
        <v>0</v>
      </c>
      <c r="Q75">
        <v>3311.5299999999997</v>
      </c>
      <c r="R75">
        <v>1820.81</v>
      </c>
      <c r="V75">
        <v>0</v>
      </c>
      <c r="AC75">
        <f>SUMPRODUCT(DB_ThemeSOFAcct[[#This Row],[Plan01]:[Plan12]],$E$14:$P$14)/valUnits2</f>
        <v>5.0723430000000009</v>
      </c>
      <c r="AD75">
        <f>SUMPRODUCT(DB_ThemeSOFAcct[[#This Row],[Act01]:[Act12]],$Q$14:$AB$14)/valUnits2</f>
        <v>5.1323400000000001</v>
      </c>
      <c r="AE75">
        <f>DB_ThemeSOFAcct[[#This Row],[Actuals]]-DB_ThemeSOFAcct[[#This Row],[Plan]]</f>
        <v>5.999699999999919E-2</v>
      </c>
      <c r="AF75">
        <f>IF(DB_ThemeSOFAcct[[#This Row],[Plan]]&lt;&gt;0,DB_ThemeSOFAcct[[#This Row],[Actuals]]/DB_ThemeSOFAcct[[#This Row],[Plan]],1.000011000011)</f>
        <v>1.0118282616140113</v>
      </c>
      <c r="AG75" s="34">
        <f>SUM(DB_ThemeSOFAcct[[#This Row],[Plan01]:[Plan12]])/valUnits2</f>
        <v>5.0723430000000009</v>
      </c>
      <c r="AH75" s="34">
        <f>SUMPRODUCT(DB_ThemeSOFAcct[[#This Row],[Act01]:[Act12]],$Q$3:$AB$3)/valUnits2</f>
        <v>5.1323400000000001</v>
      </c>
    </row>
    <row r="76" spans="2:34" x14ac:dyDescent="0.2">
      <c r="B76" t="s">
        <v>342</v>
      </c>
      <c r="C76" t="s">
        <v>878</v>
      </c>
      <c r="D76" t="s">
        <v>141</v>
      </c>
      <c r="E76">
        <v>301.93799999999999</v>
      </c>
      <c r="F76">
        <v>1101.8499999999999</v>
      </c>
      <c r="G76">
        <v>357.66500000000002</v>
      </c>
      <c r="H76">
        <v>355.779</v>
      </c>
      <c r="I76">
        <v>355.779</v>
      </c>
      <c r="J76">
        <v>355.77899999999994</v>
      </c>
      <c r="K76">
        <v>355.779</v>
      </c>
      <c r="L76">
        <v>355.779</v>
      </c>
      <c r="M76">
        <v>355.779</v>
      </c>
      <c r="N76">
        <v>355.77899999999994</v>
      </c>
      <c r="O76">
        <v>355.77899999999994</v>
      </c>
      <c r="P76">
        <v>355.779</v>
      </c>
      <c r="Q76">
        <v>307.71000000000004</v>
      </c>
      <c r="R76">
        <v>1099.69</v>
      </c>
      <c r="S76">
        <v>-1.5799999999999841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f>SUMPRODUCT(DB_ThemeSOFAcct[[#This Row],[Plan01]:[Plan12]],$E$14:$P$14)/valUnits2</f>
        <v>2.8287900000000001</v>
      </c>
      <c r="AD76">
        <f>SUMPRODUCT(DB_ThemeSOFAcct[[#This Row],[Act01]:[Act12]],$Q$14:$AB$14)/valUnits2</f>
        <v>1.4058200000000001</v>
      </c>
      <c r="AE76">
        <f>DB_ThemeSOFAcct[[#This Row],[Actuals]]-DB_ThemeSOFAcct[[#This Row],[Plan]]</f>
        <v>-1.4229700000000001</v>
      </c>
      <c r="AF76">
        <f>IF(DB_ThemeSOFAcct[[#This Row],[Plan]]&lt;&gt;0,DB_ThemeSOFAcct[[#This Row],[Actuals]]/DB_ThemeSOFAcct[[#This Row],[Plan]],1.000011000011)</f>
        <v>0.49696866858268024</v>
      </c>
      <c r="AG76" s="34">
        <f>SUM(DB_ThemeSOFAcct[[#This Row],[Plan01]:[Plan12]])/valUnits2</f>
        <v>4.9634640000000001</v>
      </c>
      <c r="AH76" s="34">
        <f>SUMPRODUCT(DB_ThemeSOFAcct[[#This Row],[Act01]:[Act12]],$Q$3:$AB$3)/valUnits2</f>
        <v>1.4058200000000001</v>
      </c>
    </row>
    <row r="77" spans="2:34" x14ac:dyDescent="0.2">
      <c r="B77" t="s">
        <v>342</v>
      </c>
      <c r="C77" t="s">
        <v>880</v>
      </c>
      <c r="D77" t="s">
        <v>142</v>
      </c>
      <c r="G77">
        <v>1740.1639999999998</v>
      </c>
      <c r="S77">
        <v>1719.5</v>
      </c>
      <c r="AC77">
        <f>SUMPRODUCT(DB_ThemeSOFAcct[[#This Row],[Plan01]:[Plan12]],$E$14:$P$14)/valUnits2</f>
        <v>1.7401639999999998</v>
      </c>
      <c r="AD77">
        <f>SUMPRODUCT(DB_ThemeSOFAcct[[#This Row],[Act01]:[Act12]],$Q$14:$AB$14)/valUnits2</f>
        <v>1.7195</v>
      </c>
      <c r="AE77">
        <f>DB_ThemeSOFAcct[[#This Row],[Actuals]]-DB_ThemeSOFAcct[[#This Row],[Plan]]</f>
        <v>-2.0663999999999794E-2</v>
      </c>
      <c r="AF77">
        <f>IF(DB_ThemeSOFAcct[[#This Row],[Plan]]&lt;&gt;0,DB_ThemeSOFAcct[[#This Row],[Actuals]]/DB_ThemeSOFAcct[[#This Row],[Plan]],1.000011000011)</f>
        <v>0.98812525715967015</v>
      </c>
      <c r="AG77" s="34">
        <f>SUM(DB_ThemeSOFAcct[[#This Row],[Plan01]:[Plan12]])/valUnits2</f>
        <v>1.7401639999999998</v>
      </c>
      <c r="AH77" s="34">
        <f>SUMPRODUCT(DB_ThemeSOFAcct[[#This Row],[Act01]:[Act12]],$Q$3:$AB$3)/valUnits2</f>
        <v>1.7195</v>
      </c>
    </row>
    <row r="78" spans="2:34" x14ac:dyDescent="0.2">
      <c r="B78" t="s">
        <v>342</v>
      </c>
      <c r="C78" t="s">
        <v>881</v>
      </c>
      <c r="D78" t="s">
        <v>143</v>
      </c>
      <c r="H78">
        <v>1279.49</v>
      </c>
      <c r="I78">
        <v>380.66</v>
      </c>
      <c r="J78">
        <v>0</v>
      </c>
      <c r="T78">
        <v>1244.95</v>
      </c>
      <c r="U78">
        <v>380.66</v>
      </c>
      <c r="V78">
        <v>471.53999999999996</v>
      </c>
      <c r="AC78">
        <f>SUMPRODUCT(DB_ThemeSOFAcct[[#This Row],[Plan01]:[Plan12]],$E$14:$P$14)/valUnits2</f>
        <v>1.66015</v>
      </c>
      <c r="AD78">
        <f>SUMPRODUCT(DB_ThemeSOFAcct[[#This Row],[Act01]:[Act12]],$Q$14:$AB$14)/valUnits2</f>
        <v>2.0971500000000001</v>
      </c>
      <c r="AE78">
        <f>DB_ThemeSOFAcct[[#This Row],[Actuals]]-DB_ThemeSOFAcct[[#This Row],[Plan]]</f>
        <v>0.43700000000000006</v>
      </c>
      <c r="AF78">
        <f>IF(DB_ThemeSOFAcct[[#This Row],[Plan]]&lt;&gt;0,DB_ThemeSOFAcct[[#This Row],[Actuals]]/DB_ThemeSOFAcct[[#This Row],[Plan]],1.000011000011)</f>
        <v>1.2632292262747342</v>
      </c>
      <c r="AG78" s="34">
        <f>SUM(DB_ThemeSOFAcct[[#This Row],[Plan01]:[Plan12]])/valUnits2</f>
        <v>1.66015</v>
      </c>
      <c r="AH78" s="34">
        <f>SUMPRODUCT(DB_ThemeSOFAcct[[#This Row],[Act01]:[Act12]],$Q$3:$AB$3)/valUnits2</f>
        <v>2.0971500000000001</v>
      </c>
    </row>
    <row r="79" spans="2:34" x14ac:dyDescent="0.2">
      <c r="B79" t="s">
        <v>342</v>
      </c>
      <c r="C79" t="s">
        <v>881</v>
      </c>
      <c r="D79" t="s">
        <v>235</v>
      </c>
      <c r="G79">
        <v>0</v>
      </c>
      <c r="H79">
        <v>1894.64</v>
      </c>
      <c r="I79">
        <v>785.24</v>
      </c>
      <c r="J79">
        <v>861.00900000000001</v>
      </c>
      <c r="K79">
        <v>1722.0170000000001</v>
      </c>
      <c r="L79">
        <v>861.00900000000001</v>
      </c>
      <c r="M79">
        <v>861.00900000000001</v>
      </c>
      <c r="N79">
        <v>861.00900000000001</v>
      </c>
      <c r="O79">
        <v>861.00900000000001</v>
      </c>
      <c r="P79">
        <v>1722.0170000000001</v>
      </c>
      <c r="S79">
        <v>0</v>
      </c>
      <c r="T79">
        <v>1929.22</v>
      </c>
      <c r="U79">
        <v>785.24</v>
      </c>
      <c r="V79">
        <v>880.67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f>SUMPRODUCT(DB_ThemeSOFAcct[[#This Row],[Plan01]:[Plan12]],$E$14:$P$14)/valUnits2</f>
        <v>3.540889</v>
      </c>
      <c r="AD79">
        <f>SUMPRODUCT(DB_ThemeSOFAcct[[#This Row],[Act01]:[Act12]],$Q$14:$AB$14)/valUnits2</f>
        <v>3.5951300000000002</v>
      </c>
      <c r="AE79">
        <f>DB_ThemeSOFAcct[[#This Row],[Actuals]]-DB_ThemeSOFAcct[[#This Row],[Plan]]</f>
        <v>5.4241000000000206E-2</v>
      </c>
      <c r="AF79">
        <f>IF(DB_ThemeSOFAcct[[#This Row],[Plan]]&lt;&gt;0,DB_ThemeSOFAcct[[#This Row],[Actuals]]/DB_ThemeSOFAcct[[#This Row],[Plan]],1.000011000011)</f>
        <v>1.0153184694578115</v>
      </c>
      <c r="AG79" s="34">
        <f>SUM(DB_ThemeSOFAcct[[#This Row],[Plan01]:[Plan12]])/valUnits2</f>
        <v>10.428958999999999</v>
      </c>
      <c r="AH79" s="34">
        <f>SUMPRODUCT(DB_ThemeSOFAcct[[#This Row],[Act01]:[Act12]],$Q$3:$AB$3)/valUnits2</f>
        <v>3.5951300000000002</v>
      </c>
    </row>
    <row r="80" spans="2:34" x14ac:dyDescent="0.2">
      <c r="B80" t="s">
        <v>342</v>
      </c>
      <c r="C80" t="s">
        <v>881</v>
      </c>
      <c r="D80" t="s">
        <v>142</v>
      </c>
      <c r="H80">
        <v>91105.19</v>
      </c>
      <c r="I80">
        <v>0</v>
      </c>
      <c r="J80">
        <v>73055.557000000001</v>
      </c>
      <c r="M80">
        <v>73055.557000000001</v>
      </c>
      <c r="P80">
        <v>146111.11300000001</v>
      </c>
      <c r="T80">
        <v>91105.19</v>
      </c>
      <c r="U80">
        <v>0</v>
      </c>
      <c r="V80">
        <v>43454.13</v>
      </c>
      <c r="Y80">
        <v>0</v>
      </c>
      <c r="AB80">
        <v>0</v>
      </c>
      <c r="AC80">
        <f>SUMPRODUCT(DB_ThemeSOFAcct[[#This Row],[Plan01]:[Plan12]],$E$14:$P$14)/valUnits2</f>
        <v>164.16074700000001</v>
      </c>
      <c r="AD80">
        <f>SUMPRODUCT(DB_ThemeSOFAcct[[#This Row],[Act01]:[Act12]],$Q$14:$AB$14)/valUnits2</f>
        <v>134.55932000000001</v>
      </c>
      <c r="AE80">
        <f>DB_ThemeSOFAcct[[#This Row],[Actuals]]-DB_ThemeSOFAcct[[#This Row],[Plan]]</f>
        <v>-29.601427000000001</v>
      </c>
      <c r="AF80">
        <f>IF(DB_ThemeSOFAcct[[#This Row],[Plan]]&lt;&gt;0,DB_ThemeSOFAcct[[#This Row],[Actuals]]/DB_ThemeSOFAcct[[#This Row],[Plan]],1.000011000011)</f>
        <v>0.81968023695701142</v>
      </c>
      <c r="AG80" s="34">
        <f>SUM(DB_ThemeSOFAcct[[#This Row],[Plan01]:[Plan12]])/valUnits2</f>
        <v>383.32741700000003</v>
      </c>
      <c r="AH80" s="34">
        <f>SUMPRODUCT(DB_ThemeSOFAcct[[#This Row],[Act01]:[Act12]],$Q$3:$AB$3)/valUnits2</f>
        <v>134.55932000000001</v>
      </c>
    </row>
    <row r="81" spans="2:34" x14ac:dyDescent="0.2">
      <c r="B81" t="s">
        <v>342</v>
      </c>
      <c r="C81" t="s">
        <v>881</v>
      </c>
      <c r="D81" t="s">
        <v>140</v>
      </c>
      <c r="G81">
        <v>0</v>
      </c>
      <c r="H81">
        <v>21691.329999999998</v>
      </c>
      <c r="I81">
        <v>5663</v>
      </c>
      <c r="J81">
        <v>7272.0709999999999</v>
      </c>
      <c r="K81">
        <v>12847.647000000001</v>
      </c>
      <c r="L81">
        <v>7272.0709999999999</v>
      </c>
      <c r="M81">
        <v>7272.0709999999999</v>
      </c>
      <c r="N81">
        <v>7272.0709999999999</v>
      </c>
      <c r="O81">
        <v>7272.0709999999999</v>
      </c>
      <c r="P81">
        <v>12845.647000000001</v>
      </c>
      <c r="S81">
        <v>0</v>
      </c>
      <c r="T81">
        <v>21691.33</v>
      </c>
      <c r="U81">
        <v>5663</v>
      </c>
      <c r="V81">
        <v>6083.0499999999993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f>SUMPRODUCT(DB_ThemeSOFAcct[[#This Row],[Plan01]:[Plan12]],$E$14:$P$14)/valUnits2</f>
        <v>34.626401000000001</v>
      </c>
      <c r="AD81">
        <f>SUMPRODUCT(DB_ThemeSOFAcct[[#This Row],[Act01]:[Act12]],$Q$14:$AB$14)/valUnits2</f>
        <v>33.437380000000005</v>
      </c>
      <c r="AE81">
        <f>DB_ThemeSOFAcct[[#This Row],[Actuals]]-DB_ThemeSOFAcct[[#This Row],[Plan]]</f>
        <v>-1.1890209999999968</v>
      </c>
      <c r="AF81">
        <f>IF(DB_ThemeSOFAcct[[#This Row],[Plan]]&lt;&gt;0,DB_ThemeSOFAcct[[#This Row],[Actuals]]/DB_ThemeSOFAcct[[#This Row],[Plan]],1.000011000011)</f>
        <v>0.96566143273163163</v>
      </c>
      <c r="AG81" s="34">
        <f>SUM(DB_ThemeSOFAcct[[#This Row],[Plan01]:[Plan12]])/valUnits2</f>
        <v>89.407978999999983</v>
      </c>
      <c r="AH81" s="34">
        <f>SUMPRODUCT(DB_ThemeSOFAcct[[#This Row],[Act01]:[Act12]],$Q$3:$AB$3)/valUnits2</f>
        <v>33.437380000000005</v>
      </c>
    </row>
    <row r="82" spans="2:34" x14ac:dyDescent="0.2">
      <c r="B82" t="s">
        <v>342</v>
      </c>
      <c r="C82" t="s">
        <v>881</v>
      </c>
      <c r="D82" t="s">
        <v>236</v>
      </c>
      <c r="G82">
        <v>0</v>
      </c>
      <c r="H82">
        <v>271.60000000000002</v>
      </c>
      <c r="I82">
        <v>0</v>
      </c>
      <c r="J82">
        <v>2115.0100000000002</v>
      </c>
      <c r="K82">
        <v>3099.02</v>
      </c>
      <c r="L82">
        <v>2117.0100000000002</v>
      </c>
      <c r="M82">
        <v>2115.0100000000002</v>
      </c>
      <c r="N82">
        <v>984.01</v>
      </c>
      <c r="O82">
        <v>984.01</v>
      </c>
      <c r="P82">
        <v>21059.292000000001</v>
      </c>
      <c r="S82">
        <v>0</v>
      </c>
      <c r="T82">
        <v>271.60000000000002</v>
      </c>
      <c r="U82">
        <v>0</v>
      </c>
      <c r="V82">
        <v>82.53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f>SUMPRODUCT(DB_ThemeSOFAcct[[#This Row],[Plan01]:[Plan12]],$E$14:$P$14)/valUnits2</f>
        <v>2.3866100000000001</v>
      </c>
      <c r="AD82">
        <f>SUMPRODUCT(DB_ThemeSOFAcct[[#This Row],[Act01]:[Act12]],$Q$14:$AB$14)/valUnits2</f>
        <v>0.35413</v>
      </c>
      <c r="AE82">
        <f>DB_ThemeSOFAcct[[#This Row],[Actuals]]-DB_ThemeSOFAcct[[#This Row],[Plan]]</f>
        <v>-2.0324800000000001</v>
      </c>
      <c r="AF82">
        <f>IF(DB_ThemeSOFAcct[[#This Row],[Plan]]&lt;&gt;0,DB_ThemeSOFAcct[[#This Row],[Actuals]]/DB_ThemeSOFAcct[[#This Row],[Plan]],1.000011000011)</f>
        <v>0.14838201465677256</v>
      </c>
      <c r="AG82" s="34">
        <f>SUM(DB_ThemeSOFAcct[[#This Row],[Plan01]:[Plan12]])/valUnits2</f>
        <v>32.744962000000001</v>
      </c>
      <c r="AH82" s="34">
        <f>SUMPRODUCT(DB_ThemeSOFAcct[[#This Row],[Act01]:[Act12]],$Q$3:$AB$3)/valUnits2</f>
        <v>0.35413</v>
      </c>
    </row>
    <row r="83" spans="2:34" x14ac:dyDescent="0.2">
      <c r="B83" t="s">
        <v>342</v>
      </c>
      <c r="C83" t="s">
        <v>881</v>
      </c>
      <c r="D83" t="s">
        <v>237</v>
      </c>
      <c r="H83">
        <v>34.07</v>
      </c>
      <c r="I83">
        <v>3001.64</v>
      </c>
      <c r="J83">
        <v>0</v>
      </c>
      <c r="T83">
        <v>34.07</v>
      </c>
      <c r="U83">
        <v>3001.64</v>
      </c>
      <c r="V83">
        <v>1405.21</v>
      </c>
      <c r="AC83">
        <f>SUMPRODUCT(DB_ThemeSOFAcct[[#This Row],[Plan01]:[Plan12]],$E$14:$P$14)/valUnits2</f>
        <v>3.0357099999999999</v>
      </c>
      <c r="AD83">
        <f>SUMPRODUCT(DB_ThemeSOFAcct[[#This Row],[Act01]:[Act12]],$Q$14:$AB$14)/valUnits2</f>
        <v>4.4409200000000002</v>
      </c>
      <c r="AE83">
        <f>DB_ThemeSOFAcct[[#This Row],[Actuals]]-DB_ThemeSOFAcct[[#This Row],[Plan]]</f>
        <v>1.4052100000000003</v>
      </c>
      <c r="AF83">
        <f>IF(DB_ThemeSOFAcct[[#This Row],[Plan]]&lt;&gt;0,DB_ThemeSOFAcct[[#This Row],[Actuals]]/DB_ThemeSOFAcct[[#This Row],[Plan]],1.000011000011)</f>
        <v>1.4628933593788604</v>
      </c>
      <c r="AG83" s="34">
        <f>SUM(DB_ThemeSOFAcct[[#This Row],[Plan01]:[Plan12]])/valUnits2</f>
        <v>3.0357099999999999</v>
      </c>
      <c r="AH83" s="34">
        <f>SUMPRODUCT(DB_ThemeSOFAcct[[#This Row],[Act01]:[Act12]],$Q$3:$AB$3)/valUnits2</f>
        <v>4.4409200000000002</v>
      </c>
    </row>
    <row r="84" spans="2:34" x14ac:dyDescent="0.2">
      <c r="B84" t="s">
        <v>342</v>
      </c>
      <c r="C84" t="s">
        <v>881</v>
      </c>
      <c r="D84" t="s">
        <v>141</v>
      </c>
      <c r="G84">
        <v>0</v>
      </c>
      <c r="H84">
        <v>2467.9499999999998</v>
      </c>
      <c r="I84">
        <v>1161.21</v>
      </c>
      <c r="J84">
        <v>1014.76</v>
      </c>
      <c r="K84">
        <v>1826.5210000000002</v>
      </c>
      <c r="L84">
        <v>1014.7600000000001</v>
      </c>
      <c r="M84">
        <v>1014.76</v>
      </c>
      <c r="N84">
        <v>1014.76</v>
      </c>
      <c r="O84">
        <v>1014.76</v>
      </c>
      <c r="P84">
        <v>1826.521</v>
      </c>
      <c r="S84">
        <v>0</v>
      </c>
      <c r="T84">
        <v>2467.9499999999998</v>
      </c>
      <c r="U84">
        <v>1161.21</v>
      </c>
      <c r="V84">
        <v>1391.34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f>SUMPRODUCT(DB_ThemeSOFAcct[[#This Row],[Plan01]:[Plan12]],$E$14:$P$14)/valUnits2</f>
        <v>4.6439200000000005</v>
      </c>
      <c r="AD84">
        <f>SUMPRODUCT(DB_ThemeSOFAcct[[#This Row],[Act01]:[Act12]],$Q$14:$AB$14)/valUnits2</f>
        <v>5.0205000000000002</v>
      </c>
      <c r="AE84">
        <f>DB_ThemeSOFAcct[[#This Row],[Actuals]]-DB_ThemeSOFAcct[[#This Row],[Plan]]</f>
        <v>0.37657999999999969</v>
      </c>
      <c r="AF84">
        <f>IF(DB_ThemeSOFAcct[[#This Row],[Plan]]&lt;&gt;0,DB_ThemeSOFAcct[[#This Row],[Actuals]]/DB_ThemeSOFAcct[[#This Row],[Plan]],1.000011000011)</f>
        <v>1.0810909748660613</v>
      </c>
      <c r="AG84" s="34">
        <f>SUM(DB_ThemeSOFAcct[[#This Row],[Plan01]:[Plan12]])/valUnits2</f>
        <v>12.356002000000002</v>
      </c>
      <c r="AH84" s="34">
        <f>SUMPRODUCT(DB_ThemeSOFAcct[[#This Row],[Act01]:[Act12]],$Q$3:$AB$3)/valUnits2</f>
        <v>5.0205000000000002</v>
      </c>
    </row>
    <row r="85" spans="2:34" x14ac:dyDescent="0.2">
      <c r="B85" t="s">
        <v>342</v>
      </c>
      <c r="C85" t="s">
        <v>882</v>
      </c>
      <c r="D85" t="s">
        <v>142</v>
      </c>
      <c r="E85">
        <v>2.7000000007774361E-2</v>
      </c>
      <c r="F85">
        <v>3.9999999993597157E-2</v>
      </c>
      <c r="G85">
        <v>1.9999999998844942E-2</v>
      </c>
      <c r="H85">
        <v>0</v>
      </c>
      <c r="I85">
        <v>94027.834000000003</v>
      </c>
      <c r="J85">
        <v>20134.731999999993</v>
      </c>
      <c r="K85">
        <v>28849.497999999981</v>
      </c>
      <c r="L85">
        <v>21370.267999999985</v>
      </c>
      <c r="M85">
        <v>20860.577999999994</v>
      </c>
      <c r="N85">
        <v>26495.36299999999</v>
      </c>
      <c r="O85">
        <v>29139.597999999987</v>
      </c>
      <c r="P85">
        <v>15880.356000000002</v>
      </c>
      <c r="Q85">
        <v>2.0000000011350494E-2</v>
      </c>
      <c r="R85">
        <v>4.0000000004511094E-2</v>
      </c>
      <c r="S85">
        <v>2.0000000000436557E-2</v>
      </c>
      <c r="T85">
        <v>0</v>
      </c>
      <c r="U85">
        <v>93799.74</v>
      </c>
      <c r="V85">
        <v>6.0000000004947651E-2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>SUMPRODUCT(DB_ThemeSOFAcct[[#This Row],[Plan01]:[Plan12]],$E$14:$P$14)/valUnits2</f>
        <v>114.16265299999999</v>
      </c>
      <c r="AD85">
        <f>SUMPRODUCT(DB_ThemeSOFAcct[[#This Row],[Act01]:[Act12]],$Q$14:$AB$14)/valUnits2</f>
        <v>93.79988000000003</v>
      </c>
      <c r="AE85">
        <f>DB_ThemeSOFAcct[[#This Row],[Actuals]]-DB_ThemeSOFAcct[[#This Row],[Plan]]</f>
        <v>-20.362772999999962</v>
      </c>
      <c r="AF85">
        <f>IF(DB_ThemeSOFAcct[[#This Row],[Plan]]&lt;&gt;0,DB_ThemeSOFAcct[[#This Row],[Actuals]]/DB_ThemeSOFAcct[[#This Row],[Plan]],1.000011000011)</f>
        <v>0.82163367384253094</v>
      </c>
      <c r="AG85" s="34">
        <f>SUM(DB_ThemeSOFAcct[[#This Row],[Plan01]:[Plan12]])/valUnits2</f>
        <v>256.75831399999993</v>
      </c>
      <c r="AH85" s="34">
        <f>SUMPRODUCT(DB_ThemeSOFAcct[[#This Row],[Act01]:[Act12]],$Q$3:$AB$3)/valUnits2</f>
        <v>93.79988000000003</v>
      </c>
    </row>
    <row r="86" spans="2:34" x14ac:dyDescent="0.2">
      <c r="B86" t="s">
        <v>342</v>
      </c>
      <c r="C86" t="s">
        <v>882</v>
      </c>
      <c r="D86" t="s">
        <v>140</v>
      </c>
      <c r="E86">
        <v>1953.155</v>
      </c>
      <c r="F86">
        <v>2005.9449999999999</v>
      </c>
      <c r="G86">
        <v>2255.0160000000001</v>
      </c>
      <c r="H86">
        <v>2148.5010000000002</v>
      </c>
      <c r="I86">
        <v>2156.4410000000003</v>
      </c>
      <c r="J86">
        <v>3895.74</v>
      </c>
      <c r="K86">
        <v>3895.74</v>
      </c>
      <c r="L86">
        <v>3895.74</v>
      </c>
      <c r="M86">
        <v>3895.74</v>
      </c>
      <c r="N86">
        <v>3895.74</v>
      </c>
      <c r="O86">
        <v>3895.74</v>
      </c>
      <c r="P86">
        <v>3895.74</v>
      </c>
      <c r="Q86">
        <v>1924.27</v>
      </c>
      <c r="R86">
        <v>2048.0099999999998</v>
      </c>
      <c r="S86">
        <v>2275.4299999999998</v>
      </c>
      <c r="T86">
        <v>2136.25</v>
      </c>
      <c r="U86">
        <v>2130.3000000000002</v>
      </c>
      <c r="V86">
        <v>2407.5699999999997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f>SUMPRODUCT(DB_ThemeSOFAcct[[#This Row],[Plan01]:[Plan12]],$E$14:$P$14)/valUnits2</f>
        <v>14.414798000000001</v>
      </c>
      <c r="AD86">
        <f>SUMPRODUCT(DB_ThemeSOFAcct[[#This Row],[Act01]:[Act12]],$Q$14:$AB$14)/valUnits2</f>
        <v>12.921829999999998</v>
      </c>
      <c r="AE86">
        <f>DB_ThemeSOFAcct[[#This Row],[Actuals]]-DB_ThemeSOFAcct[[#This Row],[Plan]]</f>
        <v>-1.492968000000003</v>
      </c>
      <c r="AF86">
        <f>IF(DB_ThemeSOFAcct[[#This Row],[Plan]]&lt;&gt;0,DB_ThemeSOFAcct[[#This Row],[Actuals]]/DB_ThemeSOFAcct[[#This Row],[Plan]],1.000011000011)</f>
        <v>0.89642810117769234</v>
      </c>
      <c r="AG86" s="34">
        <f>SUM(DB_ThemeSOFAcct[[#This Row],[Plan01]:[Plan12]])/valUnits2</f>
        <v>37.78923799999999</v>
      </c>
      <c r="AH86" s="34">
        <f>SUMPRODUCT(DB_ThemeSOFAcct[[#This Row],[Act01]:[Act12]],$Q$3:$AB$3)/valUnits2</f>
        <v>12.921829999999998</v>
      </c>
    </row>
    <row r="87" spans="2:34" x14ac:dyDescent="0.2">
      <c r="B87" t="s">
        <v>342</v>
      </c>
      <c r="C87" t="s">
        <v>882</v>
      </c>
      <c r="D87" t="s">
        <v>236</v>
      </c>
      <c r="E87">
        <v>6860.5190000000002</v>
      </c>
      <c r="G87">
        <v>1780.1659999999999</v>
      </c>
      <c r="H87">
        <v>453.08600000000001</v>
      </c>
      <c r="I87">
        <v>4354.07</v>
      </c>
      <c r="J87">
        <v>0</v>
      </c>
      <c r="Q87">
        <v>7146.8399999999992</v>
      </c>
      <c r="S87">
        <v>1796.28</v>
      </c>
      <c r="T87">
        <v>451.56</v>
      </c>
      <c r="U87">
        <v>4365.2</v>
      </c>
      <c r="V87">
        <v>6309.2</v>
      </c>
      <c r="AC87">
        <f>SUMPRODUCT(DB_ThemeSOFAcct[[#This Row],[Plan01]:[Plan12]],$E$14:$P$14)/valUnits2</f>
        <v>13.447840999999999</v>
      </c>
      <c r="AD87">
        <f>SUMPRODUCT(DB_ThemeSOFAcct[[#This Row],[Act01]:[Act12]],$Q$14:$AB$14)/valUnits2</f>
        <v>20.06908</v>
      </c>
      <c r="AE87">
        <f>DB_ThemeSOFAcct[[#This Row],[Actuals]]-DB_ThemeSOFAcct[[#This Row],[Plan]]</f>
        <v>6.621239000000001</v>
      </c>
      <c r="AF87">
        <f>IF(DB_ThemeSOFAcct[[#This Row],[Plan]]&lt;&gt;0,DB_ThemeSOFAcct[[#This Row],[Actuals]]/DB_ThemeSOFAcct[[#This Row],[Plan]],1.000011000011)</f>
        <v>1.4923644620723877</v>
      </c>
      <c r="AG87" s="34">
        <f>SUM(DB_ThemeSOFAcct[[#This Row],[Plan01]:[Plan12]])/valUnits2</f>
        <v>13.447840999999999</v>
      </c>
      <c r="AH87" s="34">
        <f>SUMPRODUCT(DB_ThemeSOFAcct[[#This Row],[Act01]:[Act12]],$Q$3:$AB$3)/valUnits2</f>
        <v>20.06908</v>
      </c>
    </row>
    <row r="88" spans="2:34" x14ac:dyDescent="0.2">
      <c r="B88" t="s">
        <v>342</v>
      </c>
      <c r="C88" t="s">
        <v>882</v>
      </c>
      <c r="D88" t="s">
        <v>237</v>
      </c>
      <c r="E88">
        <v>5199.1749999999993</v>
      </c>
      <c r="F88">
        <v>6389.1440000000002</v>
      </c>
      <c r="G88">
        <v>25.05699999999996</v>
      </c>
      <c r="H88">
        <v>13280.396000000001</v>
      </c>
      <c r="I88">
        <v>8352.9639999999999</v>
      </c>
      <c r="J88">
        <v>0</v>
      </c>
      <c r="Q88">
        <v>5121.99</v>
      </c>
      <c r="R88">
        <v>6552</v>
      </c>
      <c r="S88">
        <v>25.470000000000027</v>
      </c>
      <c r="T88">
        <v>13143.31</v>
      </c>
      <c r="U88">
        <v>8380.48</v>
      </c>
      <c r="V88">
        <v>3171.06</v>
      </c>
      <c r="AC88">
        <f>SUMPRODUCT(DB_ThemeSOFAcct[[#This Row],[Plan01]:[Plan12]],$E$14:$P$14)/valUnits2</f>
        <v>33.246736000000006</v>
      </c>
      <c r="AD88">
        <f>SUMPRODUCT(DB_ThemeSOFAcct[[#This Row],[Act01]:[Act12]],$Q$14:$AB$14)/valUnits2</f>
        <v>36.394309999999997</v>
      </c>
      <c r="AE88">
        <f>DB_ThemeSOFAcct[[#This Row],[Actuals]]-DB_ThemeSOFAcct[[#This Row],[Plan]]</f>
        <v>3.1475739999999917</v>
      </c>
      <c r="AF88">
        <f>IF(DB_ThemeSOFAcct[[#This Row],[Plan]]&lt;&gt;0,DB_ThemeSOFAcct[[#This Row],[Actuals]]/DB_ThemeSOFAcct[[#This Row],[Plan]],1.000011000011)</f>
        <v>1.0946731733304584</v>
      </c>
      <c r="AG88" s="34">
        <f>SUM(DB_ThemeSOFAcct[[#This Row],[Plan01]:[Plan12]])/valUnits2</f>
        <v>33.246736000000006</v>
      </c>
      <c r="AH88" s="34">
        <f>SUMPRODUCT(DB_ThemeSOFAcct[[#This Row],[Act01]:[Act12]],$Q$3:$AB$3)/valUnits2</f>
        <v>36.394309999999997</v>
      </c>
    </row>
    <row r="89" spans="2:34" x14ac:dyDescent="0.2">
      <c r="B89" t="s">
        <v>342</v>
      </c>
      <c r="C89" t="s">
        <v>882</v>
      </c>
      <c r="D89" t="s">
        <v>141</v>
      </c>
      <c r="E89">
        <v>1802.9430000000002</v>
      </c>
      <c r="F89">
        <v>2.6030000000000002</v>
      </c>
      <c r="G89">
        <v>0</v>
      </c>
      <c r="H89">
        <v>6.6550000000000002</v>
      </c>
      <c r="I89">
        <v>1054.2750000000001</v>
      </c>
      <c r="J89">
        <v>266.18299999999999</v>
      </c>
      <c r="K89">
        <v>266.18299999999999</v>
      </c>
      <c r="L89">
        <v>266.18299999999999</v>
      </c>
      <c r="M89">
        <v>266.18299999999999</v>
      </c>
      <c r="N89">
        <v>266.18299999999999</v>
      </c>
      <c r="O89">
        <v>266.18299999999999</v>
      </c>
      <c r="P89">
        <v>266.18299999999999</v>
      </c>
      <c r="Q89">
        <v>1763.79</v>
      </c>
      <c r="R89">
        <v>2.67</v>
      </c>
      <c r="S89">
        <v>0</v>
      </c>
      <c r="T89">
        <v>6.63</v>
      </c>
      <c r="U89">
        <v>1056.97</v>
      </c>
      <c r="V89">
        <v>3794.32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f>SUMPRODUCT(DB_ThemeSOFAcct[[#This Row],[Plan01]:[Plan12]],$E$14:$P$14)/valUnits2</f>
        <v>3.1326590000000007</v>
      </c>
      <c r="AD89">
        <f>SUMPRODUCT(DB_ThemeSOFAcct[[#This Row],[Act01]:[Act12]],$Q$14:$AB$14)/valUnits2</f>
        <v>6.6243800000000013</v>
      </c>
      <c r="AE89">
        <f>DB_ThemeSOFAcct[[#This Row],[Actuals]]-DB_ThemeSOFAcct[[#This Row],[Plan]]</f>
        <v>3.4917210000000005</v>
      </c>
      <c r="AF89">
        <f>IF(DB_ThemeSOFAcct[[#This Row],[Plan]]&lt;&gt;0,DB_ThemeSOFAcct[[#This Row],[Actuals]]/DB_ThemeSOFAcct[[#This Row],[Plan]],1.000011000011)</f>
        <v>2.1146189227745502</v>
      </c>
      <c r="AG89" s="34">
        <f>SUM(DB_ThemeSOFAcct[[#This Row],[Plan01]:[Plan12]])/valUnits2</f>
        <v>4.7297570000000002</v>
      </c>
      <c r="AH89" s="34">
        <f>SUMPRODUCT(DB_ThemeSOFAcct[[#This Row],[Act01]:[Act12]],$Q$3:$AB$3)/valUnits2</f>
        <v>6.6243800000000013</v>
      </c>
    </row>
    <row r="90" spans="2:34" x14ac:dyDescent="0.2">
      <c r="B90" t="s">
        <v>342</v>
      </c>
      <c r="C90" t="s">
        <v>884</v>
      </c>
      <c r="D90" t="s">
        <v>143</v>
      </c>
      <c r="G90">
        <v>0</v>
      </c>
      <c r="I90">
        <v>0</v>
      </c>
      <c r="S90">
        <v>0.98</v>
      </c>
      <c r="U90">
        <v>-0.98</v>
      </c>
      <c r="AC90">
        <f>SUMPRODUCT(DB_ThemeSOFAcct[[#This Row],[Plan01]:[Plan12]],$E$14:$P$14)/valUnits2</f>
        <v>0</v>
      </c>
      <c r="AD90">
        <f>SUMPRODUCT(DB_ThemeSOFAcct[[#This Row],[Act01]:[Act12]],$Q$14:$AB$14)/valUnits2</f>
        <v>0</v>
      </c>
      <c r="AE90">
        <f>DB_ThemeSOFAcct[[#This Row],[Actuals]]-DB_ThemeSOFAcct[[#This Row],[Plan]]</f>
        <v>0</v>
      </c>
      <c r="AF90">
        <f>IF(DB_ThemeSOFAcct[[#This Row],[Plan]]&lt;&gt;0,DB_ThemeSOFAcct[[#This Row],[Actuals]]/DB_ThemeSOFAcct[[#This Row],[Plan]],1.000011000011)</f>
        <v>1.0000110000110001</v>
      </c>
      <c r="AG90" s="34">
        <f>SUM(DB_ThemeSOFAcct[[#This Row],[Plan01]:[Plan12]])/valUnits2</f>
        <v>0</v>
      </c>
      <c r="AH90" s="34">
        <f>SUMPRODUCT(DB_ThemeSOFAcct[[#This Row],[Act01]:[Act12]],$Q$3:$AB$3)/valUnits2</f>
        <v>0</v>
      </c>
    </row>
    <row r="91" spans="2:34" x14ac:dyDescent="0.2">
      <c r="B91" t="s">
        <v>342</v>
      </c>
      <c r="C91" t="s">
        <v>884</v>
      </c>
      <c r="D91" t="s">
        <v>235</v>
      </c>
      <c r="E91">
        <v>-72.430000000000007</v>
      </c>
      <c r="Q91">
        <v>-72.430000000000007</v>
      </c>
      <c r="AC91">
        <f>SUMPRODUCT(DB_ThemeSOFAcct[[#This Row],[Plan01]:[Plan12]],$E$14:$P$14)/valUnits2</f>
        <v>-7.2430000000000008E-2</v>
      </c>
      <c r="AD91">
        <f>SUMPRODUCT(DB_ThemeSOFAcct[[#This Row],[Act01]:[Act12]],$Q$14:$AB$14)/valUnits2</f>
        <v>-7.2430000000000008E-2</v>
      </c>
      <c r="AE91">
        <f>DB_ThemeSOFAcct[[#This Row],[Actuals]]-DB_ThemeSOFAcct[[#This Row],[Plan]]</f>
        <v>0</v>
      </c>
      <c r="AF91">
        <f>IF(DB_ThemeSOFAcct[[#This Row],[Plan]]&lt;&gt;0,DB_ThemeSOFAcct[[#This Row],[Actuals]]/DB_ThemeSOFAcct[[#This Row],[Plan]],1.000011000011)</f>
        <v>1</v>
      </c>
      <c r="AG91" s="34">
        <f>SUM(DB_ThemeSOFAcct[[#This Row],[Plan01]:[Plan12]])/valUnits2</f>
        <v>-7.2430000000000008E-2</v>
      </c>
      <c r="AH91" s="34">
        <f>SUMPRODUCT(DB_ThemeSOFAcct[[#This Row],[Act01]:[Act12]],$Q$3:$AB$3)/valUnits2</f>
        <v>-7.2430000000000008E-2</v>
      </c>
    </row>
    <row r="92" spans="2:34" x14ac:dyDescent="0.2">
      <c r="B92" t="s">
        <v>342</v>
      </c>
      <c r="C92" t="s">
        <v>884</v>
      </c>
      <c r="D92" t="s">
        <v>236</v>
      </c>
      <c r="E92">
        <v>15000</v>
      </c>
      <c r="F92">
        <v>15000</v>
      </c>
      <c r="G92">
        <v>15000</v>
      </c>
      <c r="H92">
        <v>15000</v>
      </c>
      <c r="I92">
        <v>15000</v>
      </c>
      <c r="J92">
        <v>15000</v>
      </c>
      <c r="K92">
        <v>15000</v>
      </c>
      <c r="L92">
        <v>15000</v>
      </c>
      <c r="M92">
        <v>15000</v>
      </c>
      <c r="N92">
        <v>15000</v>
      </c>
      <c r="O92">
        <v>15000</v>
      </c>
      <c r="P92">
        <v>15000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f>SUMPRODUCT(DB_ThemeSOFAcct[[#This Row],[Plan01]:[Plan12]],$E$14:$P$14)/valUnits2</f>
        <v>90</v>
      </c>
      <c r="AD92">
        <f>SUMPRODUCT(DB_ThemeSOFAcct[[#This Row],[Act01]:[Act12]],$Q$14:$AB$14)/valUnits2</f>
        <v>0</v>
      </c>
      <c r="AE92">
        <f>DB_ThemeSOFAcct[[#This Row],[Actuals]]-DB_ThemeSOFAcct[[#This Row],[Plan]]</f>
        <v>-90</v>
      </c>
      <c r="AF92">
        <f>IF(DB_ThemeSOFAcct[[#This Row],[Plan]]&lt;&gt;0,DB_ThemeSOFAcct[[#This Row],[Actuals]]/DB_ThemeSOFAcct[[#This Row],[Plan]],1.000011000011)</f>
        <v>0</v>
      </c>
      <c r="AG92" s="34">
        <f>SUM(DB_ThemeSOFAcct[[#This Row],[Plan01]:[Plan12]])/valUnits2</f>
        <v>180</v>
      </c>
      <c r="AH92" s="34">
        <f>SUMPRODUCT(DB_ThemeSOFAcct[[#This Row],[Act01]:[Act12]],$Q$3:$AB$3)/valUnits2</f>
        <v>0</v>
      </c>
    </row>
    <row r="93" spans="2:34" x14ac:dyDescent="0.2">
      <c r="B93" t="s">
        <v>342</v>
      </c>
      <c r="C93" t="s">
        <v>884</v>
      </c>
      <c r="D93" t="s">
        <v>237</v>
      </c>
      <c r="F93">
        <v>151.71</v>
      </c>
      <c r="I93">
        <v>-151.71</v>
      </c>
      <c r="R93">
        <v>151.70999999999998</v>
      </c>
      <c r="U93">
        <v>-151.70999999999998</v>
      </c>
      <c r="AC93">
        <f>SUMPRODUCT(DB_ThemeSOFAcct[[#This Row],[Plan01]:[Plan12]],$E$14:$P$14)/valUnits2</f>
        <v>0</v>
      </c>
      <c r="AD93">
        <f>SUMPRODUCT(DB_ThemeSOFAcct[[#This Row],[Act01]:[Act12]],$Q$14:$AB$14)/valUnits2</f>
        <v>0</v>
      </c>
      <c r="AE93">
        <f>DB_ThemeSOFAcct[[#This Row],[Actuals]]-DB_ThemeSOFAcct[[#This Row],[Plan]]</f>
        <v>0</v>
      </c>
      <c r="AF93">
        <f>IF(DB_ThemeSOFAcct[[#This Row],[Plan]]&lt;&gt;0,DB_ThemeSOFAcct[[#This Row],[Actuals]]/DB_ThemeSOFAcct[[#This Row],[Plan]],1.000011000011)</f>
        <v>1.0000110000110001</v>
      </c>
      <c r="AG93" s="34">
        <f>SUM(DB_ThemeSOFAcct[[#This Row],[Plan01]:[Plan12]])/valUnits2</f>
        <v>0</v>
      </c>
      <c r="AH93" s="34">
        <f>SUMPRODUCT(DB_ThemeSOFAcct[[#This Row],[Act01]:[Act12]],$Q$3:$AB$3)/valUnits2</f>
        <v>0</v>
      </c>
    </row>
    <row r="94" spans="2:34" x14ac:dyDescent="0.2">
      <c r="B94" t="s">
        <v>342</v>
      </c>
      <c r="C94" t="s">
        <v>886</v>
      </c>
      <c r="D94" t="s">
        <v>142</v>
      </c>
      <c r="E94">
        <v>3345.306</v>
      </c>
      <c r="F94">
        <v>-3296.5239999999999</v>
      </c>
      <c r="Q94">
        <v>3325.95</v>
      </c>
      <c r="R94">
        <v>-3324.29</v>
      </c>
      <c r="AC94">
        <f>SUMPRODUCT(DB_ThemeSOFAcct[[#This Row],[Plan01]:[Plan12]],$E$14:$P$14)/valUnits2</f>
        <v>4.8782000000000152E-2</v>
      </c>
      <c r="AD94">
        <f>SUMPRODUCT(DB_ThemeSOFAcct[[#This Row],[Act01]:[Act12]],$Q$14:$AB$14)/valUnits2</f>
        <v>1.6599999999998545E-3</v>
      </c>
      <c r="AE94">
        <f>DB_ThemeSOFAcct[[#This Row],[Actuals]]-DB_ThemeSOFAcct[[#This Row],[Plan]]</f>
        <v>-4.7122000000000296E-2</v>
      </c>
      <c r="AF94">
        <f>IF(DB_ThemeSOFAcct[[#This Row],[Plan]]&lt;&gt;0,DB_ThemeSOFAcct[[#This Row],[Actuals]]/DB_ThemeSOFAcct[[#This Row],[Plan]],1.000011000011)</f>
        <v>3.4028945102698729E-2</v>
      </c>
      <c r="AG94" s="34">
        <f>SUM(DB_ThemeSOFAcct[[#This Row],[Plan01]:[Plan12]])/valUnits2</f>
        <v>4.8782000000000152E-2</v>
      </c>
      <c r="AH94" s="34">
        <f>SUMPRODUCT(DB_ThemeSOFAcct[[#This Row],[Act01]:[Act12]],$Q$3:$AB$3)/valUnits2</f>
        <v>1.6599999999998545E-3</v>
      </c>
    </row>
    <row r="95" spans="2:34" x14ac:dyDescent="0.2">
      <c r="B95" t="s">
        <v>342</v>
      </c>
      <c r="C95" t="s">
        <v>886</v>
      </c>
      <c r="D95" t="s">
        <v>236</v>
      </c>
      <c r="E95">
        <v>2927.5129999999999</v>
      </c>
      <c r="Q95">
        <v>2882.21</v>
      </c>
      <c r="AC95">
        <f>SUMPRODUCT(DB_ThemeSOFAcct[[#This Row],[Plan01]:[Plan12]],$E$14:$P$14)/valUnits2</f>
        <v>2.9275129999999998</v>
      </c>
      <c r="AD95">
        <f>SUMPRODUCT(DB_ThemeSOFAcct[[#This Row],[Act01]:[Act12]],$Q$14:$AB$14)/valUnits2</f>
        <v>2.8822100000000002</v>
      </c>
      <c r="AE95">
        <f>DB_ThemeSOFAcct[[#This Row],[Actuals]]-DB_ThemeSOFAcct[[#This Row],[Plan]]</f>
        <v>-4.5302999999999649E-2</v>
      </c>
      <c r="AF95">
        <f>IF(DB_ThemeSOFAcct[[#This Row],[Plan]]&lt;&gt;0,DB_ThemeSOFAcct[[#This Row],[Actuals]]/DB_ThemeSOFAcct[[#This Row],[Plan]],1.000011000011)</f>
        <v>0.98452509006791789</v>
      </c>
      <c r="AG95" s="34">
        <f>SUM(DB_ThemeSOFAcct[[#This Row],[Plan01]:[Plan12]])/valUnits2</f>
        <v>2.9275129999999998</v>
      </c>
      <c r="AH95" s="34">
        <f>SUMPRODUCT(DB_ThemeSOFAcct[[#This Row],[Act01]:[Act12]],$Q$3:$AB$3)/valUnits2</f>
        <v>2.8822100000000002</v>
      </c>
    </row>
    <row r="96" spans="2:34" x14ac:dyDescent="0.2">
      <c r="B96" t="s">
        <v>342</v>
      </c>
      <c r="C96" t="s">
        <v>889</v>
      </c>
      <c r="D96" t="s">
        <v>142</v>
      </c>
      <c r="G96">
        <v>0</v>
      </c>
      <c r="S96">
        <v>0</v>
      </c>
      <c r="AC96">
        <f>SUMPRODUCT(DB_ThemeSOFAcct[[#This Row],[Plan01]:[Plan12]],$E$14:$P$14)/valUnits2</f>
        <v>0</v>
      </c>
      <c r="AD96">
        <f>SUMPRODUCT(DB_ThemeSOFAcct[[#This Row],[Act01]:[Act12]],$Q$14:$AB$14)/valUnits2</f>
        <v>0</v>
      </c>
      <c r="AE96">
        <f>DB_ThemeSOFAcct[[#This Row],[Actuals]]-DB_ThemeSOFAcct[[#This Row],[Plan]]</f>
        <v>0</v>
      </c>
      <c r="AF96">
        <f>IF(DB_ThemeSOFAcct[[#This Row],[Plan]]&lt;&gt;0,DB_ThemeSOFAcct[[#This Row],[Actuals]]/DB_ThemeSOFAcct[[#This Row],[Plan]],1.000011000011)</f>
        <v>1.0000110000110001</v>
      </c>
      <c r="AG96" s="34">
        <f>SUM(DB_ThemeSOFAcct[[#This Row],[Plan01]:[Plan12]])/valUnits2</f>
        <v>0</v>
      </c>
      <c r="AH96" s="34">
        <f>SUMPRODUCT(DB_ThemeSOFAcct[[#This Row],[Act01]:[Act12]],$Q$3:$AB$3)/valUnits2</f>
        <v>0</v>
      </c>
    </row>
    <row r="97" spans="2:34" x14ac:dyDescent="0.2">
      <c r="B97" t="s">
        <v>342</v>
      </c>
      <c r="C97" t="s">
        <v>890</v>
      </c>
      <c r="D97" t="s">
        <v>143</v>
      </c>
      <c r="I97">
        <v>0</v>
      </c>
      <c r="J97">
        <v>0</v>
      </c>
      <c r="U97">
        <v>23.23</v>
      </c>
      <c r="V97">
        <v>0.28000000000000003</v>
      </c>
      <c r="AC97">
        <f>SUMPRODUCT(DB_ThemeSOFAcct[[#This Row],[Plan01]:[Plan12]],$E$14:$P$14)/valUnits2</f>
        <v>0</v>
      </c>
      <c r="AD97">
        <f>SUMPRODUCT(DB_ThemeSOFAcct[[#This Row],[Act01]:[Act12]],$Q$14:$AB$14)/valUnits2</f>
        <v>2.3510000000000003E-2</v>
      </c>
      <c r="AE97">
        <f>DB_ThemeSOFAcct[[#This Row],[Actuals]]-DB_ThemeSOFAcct[[#This Row],[Plan]]</f>
        <v>2.3510000000000003E-2</v>
      </c>
      <c r="AF97">
        <f>IF(DB_ThemeSOFAcct[[#This Row],[Plan]]&lt;&gt;0,DB_ThemeSOFAcct[[#This Row],[Actuals]]/DB_ThemeSOFAcct[[#This Row],[Plan]],1.000011000011)</f>
        <v>1.0000110000110001</v>
      </c>
      <c r="AG97" s="34">
        <f>SUM(DB_ThemeSOFAcct[[#This Row],[Plan01]:[Plan12]])/valUnits2</f>
        <v>0</v>
      </c>
      <c r="AH97" s="34">
        <f>SUMPRODUCT(DB_ThemeSOFAcct[[#This Row],[Act01]:[Act12]],$Q$3:$AB$3)/valUnits2</f>
        <v>2.3510000000000003E-2</v>
      </c>
    </row>
    <row r="98" spans="2:34" x14ac:dyDescent="0.2">
      <c r="B98" t="s">
        <v>342</v>
      </c>
      <c r="C98" t="s">
        <v>890</v>
      </c>
      <c r="D98" t="s">
        <v>235</v>
      </c>
      <c r="J98">
        <v>0</v>
      </c>
      <c r="V98">
        <v>229.04</v>
      </c>
      <c r="AC98">
        <f>SUMPRODUCT(DB_ThemeSOFAcct[[#This Row],[Plan01]:[Plan12]],$E$14:$P$14)/valUnits2</f>
        <v>0</v>
      </c>
      <c r="AD98">
        <f>SUMPRODUCT(DB_ThemeSOFAcct[[#This Row],[Act01]:[Act12]],$Q$14:$AB$14)/valUnits2</f>
        <v>0.22903999999999999</v>
      </c>
      <c r="AE98">
        <f>DB_ThemeSOFAcct[[#This Row],[Actuals]]-DB_ThemeSOFAcct[[#This Row],[Plan]]</f>
        <v>0.22903999999999999</v>
      </c>
      <c r="AF98">
        <f>IF(DB_ThemeSOFAcct[[#This Row],[Plan]]&lt;&gt;0,DB_ThemeSOFAcct[[#This Row],[Actuals]]/DB_ThemeSOFAcct[[#This Row],[Plan]],1.000011000011)</f>
        <v>1.0000110000110001</v>
      </c>
      <c r="AG98" s="34">
        <f>SUM(DB_ThemeSOFAcct[[#This Row],[Plan01]:[Plan12]])/valUnits2</f>
        <v>0</v>
      </c>
      <c r="AH98" s="34">
        <f>SUMPRODUCT(DB_ThemeSOFAcct[[#This Row],[Act01]:[Act12]],$Q$3:$AB$3)/valUnits2</f>
        <v>0.22903999999999999</v>
      </c>
    </row>
    <row r="99" spans="2:34" x14ac:dyDescent="0.2">
      <c r="B99" t="s">
        <v>342</v>
      </c>
      <c r="C99" t="s">
        <v>890</v>
      </c>
      <c r="D99" t="s">
        <v>142</v>
      </c>
      <c r="E99">
        <v>-3.0553337637684308E-13</v>
      </c>
      <c r="F99">
        <v>2.2000000000184983E-2</v>
      </c>
      <c r="G99">
        <v>46667.481000000007</v>
      </c>
      <c r="H99">
        <v>166178.70199999996</v>
      </c>
      <c r="I99">
        <v>1.2999999998413614E-2</v>
      </c>
      <c r="J99">
        <v>36256.876999999993</v>
      </c>
      <c r="K99">
        <v>32169.314999999995</v>
      </c>
      <c r="L99">
        <v>37928.94</v>
      </c>
      <c r="M99">
        <v>36256.876999999993</v>
      </c>
      <c r="N99">
        <v>32169.314999999995</v>
      </c>
      <c r="O99">
        <v>54834.517000000014</v>
      </c>
      <c r="P99">
        <v>32169.314999999991</v>
      </c>
      <c r="Q99">
        <v>1.1652900866465643E-12</v>
      </c>
      <c r="R99">
        <v>1.9999999999271267E-2</v>
      </c>
      <c r="S99">
        <v>46596.710000000006</v>
      </c>
      <c r="T99">
        <v>164085.49</v>
      </c>
      <c r="U99">
        <v>1.0000000003174137E-2</v>
      </c>
      <c r="V99">
        <v>1.0000000006129994E-2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f>SUMPRODUCT(DB_ThemeSOFAcct[[#This Row],[Plan01]:[Plan12]],$E$14:$P$14)/valUnits2</f>
        <v>249.10309499999997</v>
      </c>
      <c r="AD99">
        <f>SUMPRODUCT(DB_ThemeSOFAcct[[#This Row],[Act01]:[Act12]],$Q$14:$AB$14)/valUnits2</f>
        <v>210.68224000000001</v>
      </c>
      <c r="AE99">
        <f>DB_ThemeSOFAcct[[#This Row],[Actuals]]-DB_ThemeSOFAcct[[#This Row],[Plan]]</f>
        <v>-38.42085499999996</v>
      </c>
      <c r="AF99">
        <f>IF(DB_ThemeSOFAcct[[#This Row],[Plan]]&lt;&gt;0,DB_ThemeSOFAcct[[#This Row],[Actuals]]/DB_ThemeSOFAcct[[#This Row],[Plan]],1.000011000011)</f>
        <v>0.84576323710470169</v>
      </c>
      <c r="AG99" s="34">
        <f>SUM(DB_ThemeSOFAcct[[#This Row],[Plan01]:[Plan12]])/valUnits2</f>
        <v>474.63137399999994</v>
      </c>
      <c r="AH99" s="34">
        <f>SUMPRODUCT(DB_ThemeSOFAcct[[#This Row],[Act01]:[Act12]],$Q$3:$AB$3)/valUnits2</f>
        <v>210.68224000000001</v>
      </c>
    </row>
    <row r="100" spans="2:34" x14ac:dyDescent="0.2">
      <c r="B100" t="s">
        <v>342</v>
      </c>
      <c r="C100" t="s">
        <v>890</v>
      </c>
      <c r="D100" t="s">
        <v>140</v>
      </c>
      <c r="E100">
        <v>1340.6290000000001</v>
      </c>
      <c r="F100">
        <v>1456.8979999999999</v>
      </c>
      <c r="G100">
        <v>1688.357</v>
      </c>
      <c r="H100">
        <v>1482.617</v>
      </c>
      <c r="I100">
        <v>1459.511</v>
      </c>
      <c r="J100">
        <v>1933.232</v>
      </c>
      <c r="K100">
        <v>1933.2320000000002</v>
      </c>
      <c r="L100">
        <v>1933.2319999999997</v>
      </c>
      <c r="M100">
        <v>1933.2320000000002</v>
      </c>
      <c r="N100">
        <v>1933.2320000000002</v>
      </c>
      <c r="O100">
        <v>1933.232</v>
      </c>
      <c r="P100">
        <v>1933.232</v>
      </c>
      <c r="Q100">
        <v>1347.64</v>
      </c>
      <c r="R100">
        <v>1489.3400000000001</v>
      </c>
      <c r="S100">
        <v>1678.9199999999998</v>
      </c>
      <c r="T100">
        <v>1460.47</v>
      </c>
      <c r="U100">
        <v>1456.6299999999999</v>
      </c>
      <c r="V100">
        <v>1863.01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f>SUMPRODUCT(DB_ThemeSOFAcct[[#This Row],[Plan01]:[Plan12]],$E$14:$P$14)/valUnits2</f>
        <v>9.361244000000001</v>
      </c>
      <c r="AD100">
        <f>SUMPRODUCT(DB_ThemeSOFAcct[[#This Row],[Act01]:[Act12]],$Q$14:$AB$14)/valUnits2</f>
        <v>9.2960100000000008</v>
      </c>
      <c r="AE100">
        <f>DB_ThemeSOFAcct[[#This Row],[Actuals]]-DB_ThemeSOFAcct[[#This Row],[Plan]]</f>
        <v>-6.5234000000000236E-2</v>
      </c>
      <c r="AF100">
        <f>IF(DB_ThemeSOFAcct[[#This Row],[Plan]]&lt;&gt;0,DB_ThemeSOFAcct[[#This Row],[Actuals]]/DB_ThemeSOFAcct[[#This Row],[Plan]],1.000011000011)</f>
        <v>0.99303148171332778</v>
      </c>
      <c r="AG100" s="34">
        <f>SUM(DB_ThemeSOFAcct[[#This Row],[Plan01]:[Plan12]])/valUnits2</f>
        <v>20.960636000000001</v>
      </c>
      <c r="AH100" s="34">
        <f>SUMPRODUCT(DB_ThemeSOFAcct[[#This Row],[Act01]:[Act12]],$Q$3:$AB$3)/valUnits2</f>
        <v>9.2960100000000008</v>
      </c>
    </row>
    <row r="101" spans="2:34" x14ac:dyDescent="0.2">
      <c r="B101" t="s">
        <v>342</v>
      </c>
      <c r="C101" t="s">
        <v>890</v>
      </c>
      <c r="D101" t="s">
        <v>236</v>
      </c>
      <c r="I101">
        <v>0</v>
      </c>
      <c r="K101">
        <v>2284.4899999999998</v>
      </c>
      <c r="O101">
        <v>2284.4899999999998</v>
      </c>
      <c r="U101">
        <v>0</v>
      </c>
      <c r="W101">
        <v>0</v>
      </c>
      <c r="AA101">
        <v>0</v>
      </c>
      <c r="AC101">
        <f>SUMPRODUCT(DB_ThemeSOFAcct[[#This Row],[Plan01]:[Plan12]],$E$14:$P$14)/valUnits2</f>
        <v>0</v>
      </c>
      <c r="AD101">
        <f>SUMPRODUCT(DB_ThemeSOFAcct[[#This Row],[Act01]:[Act12]],$Q$14:$AB$14)/valUnits2</f>
        <v>0</v>
      </c>
      <c r="AE101">
        <f>DB_ThemeSOFAcct[[#This Row],[Actuals]]-DB_ThemeSOFAcct[[#This Row],[Plan]]</f>
        <v>0</v>
      </c>
      <c r="AF101">
        <f>IF(DB_ThemeSOFAcct[[#This Row],[Plan]]&lt;&gt;0,DB_ThemeSOFAcct[[#This Row],[Actuals]]/DB_ThemeSOFAcct[[#This Row],[Plan]],1.000011000011)</f>
        <v>1.0000110000110001</v>
      </c>
      <c r="AG101" s="34">
        <f>SUM(DB_ThemeSOFAcct[[#This Row],[Plan01]:[Plan12]])/valUnits2</f>
        <v>4.5689799999999998</v>
      </c>
      <c r="AH101" s="34">
        <f>SUMPRODUCT(DB_ThemeSOFAcct[[#This Row],[Act01]:[Act12]],$Q$3:$AB$3)/valUnits2</f>
        <v>0</v>
      </c>
    </row>
    <row r="102" spans="2:34" x14ac:dyDescent="0.2">
      <c r="B102" t="s">
        <v>342</v>
      </c>
      <c r="C102" t="s">
        <v>890</v>
      </c>
      <c r="D102" t="s">
        <v>237</v>
      </c>
      <c r="E102">
        <v>311.43399999999997</v>
      </c>
      <c r="F102">
        <v>122.251</v>
      </c>
      <c r="G102">
        <v>0</v>
      </c>
      <c r="H102">
        <v>1481.7919999999999</v>
      </c>
      <c r="I102">
        <v>1522.058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307.28000000000003</v>
      </c>
      <c r="R102">
        <v>126.38</v>
      </c>
      <c r="S102">
        <v>0</v>
      </c>
      <c r="T102">
        <v>1460.73</v>
      </c>
      <c r="U102">
        <v>1545.41</v>
      </c>
      <c r="V102">
        <v>1132.42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f>SUMPRODUCT(DB_ThemeSOFAcct[[#This Row],[Plan01]:[Plan12]],$E$14:$P$14)/valUnits2</f>
        <v>3.437535</v>
      </c>
      <c r="AD102">
        <f>SUMPRODUCT(DB_ThemeSOFAcct[[#This Row],[Act01]:[Act12]],$Q$14:$AB$14)/valUnits2</f>
        <v>4.5722200000000006</v>
      </c>
      <c r="AE102">
        <f>DB_ThemeSOFAcct[[#This Row],[Actuals]]-DB_ThemeSOFAcct[[#This Row],[Plan]]</f>
        <v>1.1346850000000006</v>
      </c>
      <c r="AF102">
        <f>IF(DB_ThemeSOFAcct[[#This Row],[Plan]]&lt;&gt;0,DB_ThemeSOFAcct[[#This Row],[Actuals]]/DB_ThemeSOFAcct[[#This Row],[Plan]],1.000011000011)</f>
        <v>1.330086820934187</v>
      </c>
      <c r="AG102" s="34">
        <f>SUM(DB_ThemeSOFAcct[[#This Row],[Plan01]:[Plan12]])/valUnits2</f>
        <v>3.437535</v>
      </c>
      <c r="AH102" s="34">
        <f>SUMPRODUCT(DB_ThemeSOFAcct[[#This Row],[Act01]:[Act12]],$Q$3:$AB$3)/valUnits2</f>
        <v>4.5722200000000006</v>
      </c>
    </row>
    <row r="103" spans="2:34" x14ac:dyDescent="0.2">
      <c r="B103" t="s">
        <v>342</v>
      </c>
      <c r="C103" t="s">
        <v>890</v>
      </c>
      <c r="D103" t="s">
        <v>141</v>
      </c>
      <c r="E103">
        <v>0</v>
      </c>
      <c r="F103">
        <v>0</v>
      </c>
      <c r="G103">
        <v>1529.62</v>
      </c>
      <c r="H103">
        <v>0</v>
      </c>
      <c r="I103">
        <v>248.08799999999999</v>
      </c>
      <c r="J103">
        <v>1086.2760000000001</v>
      </c>
      <c r="K103">
        <v>593.96800000000007</v>
      </c>
      <c r="L103">
        <v>593.96800000000007</v>
      </c>
      <c r="M103">
        <v>1086.2760000000001</v>
      </c>
      <c r="N103">
        <v>593.96800000000007</v>
      </c>
      <c r="O103">
        <v>17839.201000000001</v>
      </c>
      <c r="P103">
        <v>593.96800000000007</v>
      </c>
      <c r="Q103">
        <v>1.67</v>
      </c>
      <c r="R103">
        <v>0</v>
      </c>
      <c r="S103">
        <v>1527.3</v>
      </c>
      <c r="T103">
        <v>0</v>
      </c>
      <c r="U103">
        <v>252.55</v>
      </c>
      <c r="V103">
        <v>664.84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f>SUMPRODUCT(DB_ThemeSOFAcct[[#This Row],[Plan01]:[Plan12]],$E$14:$P$14)/valUnits2</f>
        <v>2.8639839999999999</v>
      </c>
      <c r="AD103">
        <f>SUMPRODUCT(DB_ThemeSOFAcct[[#This Row],[Act01]:[Act12]],$Q$14:$AB$14)/valUnits2</f>
        <v>2.4463600000000003</v>
      </c>
      <c r="AE103">
        <f>DB_ThemeSOFAcct[[#This Row],[Actuals]]-DB_ThemeSOFAcct[[#This Row],[Plan]]</f>
        <v>-0.41762399999999955</v>
      </c>
      <c r="AF103">
        <f>IF(DB_ThemeSOFAcct[[#This Row],[Plan]]&lt;&gt;0,DB_ThemeSOFAcct[[#This Row],[Actuals]]/DB_ThemeSOFAcct[[#This Row],[Plan]],1.000011000011)</f>
        <v>0.85418074961312651</v>
      </c>
      <c r="AG103" s="34">
        <f>SUM(DB_ThemeSOFAcct[[#This Row],[Plan01]:[Plan12]])/valUnits2</f>
        <v>24.165333000000004</v>
      </c>
      <c r="AH103" s="34">
        <f>SUMPRODUCT(DB_ThemeSOFAcct[[#This Row],[Act01]:[Act12]],$Q$3:$AB$3)/valUnits2</f>
        <v>2.4463600000000003</v>
      </c>
    </row>
    <row r="104" spans="2:34" x14ac:dyDescent="0.2">
      <c r="B104" t="s">
        <v>342</v>
      </c>
      <c r="C104" t="s">
        <v>892</v>
      </c>
      <c r="D104" t="s">
        <v>235</v>
      </c>
      <c r="J104">
        <v>0</v>
      </c>
      <c r="V104">
        <v>25.79</v>
      </c>
      <c r="AC104">
        <f>SUMPRODUCT(DB_ThemeSOFAcct[[#This Row],[Plan01]:[Plan12]],$E$14:$P$14)/valUnits2</f>
        <v>0</v>
      </c>
      <c r="AD104">
        <f>SUMPRODUCT(DB_ThemeSOFAcct[[#This Row],[Act01]:[Act12]],$Q$14:$AB$14)/valUnits2</f>
        <v>2.579E-2</v>
      </c>
      <c r="AE104">
        <f>DB_ThemeSOFAcct[[#This Row],[Actuals]]-DB_ThemeSOFAcct[[#This Row],[Plan]]</f>
        <v>2.579E-2</v>
      </c>
      <c r="AF104">
        <f>IF(DB_ThemeSOFAcct[[#This Row],[Plan]]&lt;&gt;0,DB_ThemeSOFAcct[[#This Row],[Actuals]]/DB_ThemeSOFAcct[[#This Row],[Plan]],1.000011000011)</f>
        <v>1.0000110000110001</v>
      </c>
      <c r="AG104" s="34">
        <f>SUM(DB_ThemeSOFAcct[[#This Row],[Plan01]:[Plan12]])/valUnits2</f>
        <v>0</v>
      </c>
      <c r="AH104" s="34">
        <f>SUMPRODUCT(DB_ThemeSOFAcct[[#This Row],[Act01]:[Act12]],$Q$3:$AB$3)/valUnits2</f>
        <v>2.579E-2</v>
      </c>
    </row>
    <row r="105" spans="2:34" x14ac:dyDescent="0.2">
      <c r="B105" t="s">
        <v>342</v>
      </c>
      <c r="C105" t="s">
        <v>892</v>
      </c>
      <c r="D105" t="s">
        <v>142</v>
      </c>
      <c r="E105">
        <v>2950.8040000000001</v>
      </c>
      <c r="F105">
        <v>2854.68</v>
      </c>
      <c r="G105">
        <v>11587.437</v>
      </c>
      <c r="H105">
        <v>4816.9929999999995</v>
      </c>
      <c r="I105">
        <v>10464.579</v>
      </c>
      <c r="J105">
        <v>4817.0039999999999</v>
      </c>
      <c r="K105">
        <v>6497.5559999999996</v>
      </c>
      <c r="L105">
        <v>5240.25</v>
      </c>
      <c r="M105">
        <v>9575.8119999999999</v>
      </c>
      <c r="N105">
        <v>2854.681</v>
      </c>
      <c r="O105">
        <v>2854.681</v>
      </c>
      <c r="P105">
        <v>2854.681</v>
      </c>
      <c r="Q105">
        <v>-4.5474735088646412E-13</v>
      </c>
      <c r="R105">
        <v>0</v>
      </c>
      <c r="S105">
        <v>4175.2000000000007</v>
      </c>
      <c r="T105">
        <v>-1.0000000000218279E-2</v>
      </c>
      <c r="U105">
        <v>1.0000000000218279E-2</v>
      </c>
      <c r="V105">
        <v>28165.059999999998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f>SUMPRODUCT(DB_ThemeSOFAcct[[#This Row],[Plan01]:[Plan12]],$E$14:$P$14)/valUnits2</f>
        <v>37.491497000000003</v>
      </c>
      <c r="AD105">
        <f>SUMPRODUCT(DB_ThemeSOFAcct[[#This Row],[Act01]:[Act12]],$Q$14:$AB$14)/valUnits2</f>
        <v>32.340260000000001</v>
      </c>
      <c r="AE105">
        <f>DB_ThemeSOFAcct[[#This Row],[Actuals]]-DB_ThemeSOFAcct[[#This Row],[Plan]]</f>
        <v>-5.1512370000000018</v>
      </c>
      <c r="AF105">
        <f>IF(DB_ThemeSOFAcct[[#This Row],[Plan]]&lt;&gt;0,DB_ThemeSOFAcct[[#This Row],[Actuals]]/DB_ThemeSOFAcct[[#This Row],[Plan]],1.000011000011)</f>
        <v>0.86260252558066697</v>
      </c>
      <c r="AG105" s="34">
        <f>SUM(DB_ThemeSOFAcct[[#This Row],[Plan01]:[Plan12]])/valUnits2</f>
        <v>67.369157999999999</v>
      </c>
      <c r="AH105" s="34">
        <f>SUMPRODUCT(DB_ThemeSOFAcct[[#This Row],[Act01]:[Act12]],$Q$3:$AB$3)/valUnits2</f>
        <v>32.340260000000001</v>
      </c>
    </row>
    <row r="106" spans="2:34" x14ac:dyDescent="0.2">
      <c r="B106" t="s">
        <v>342</v>
      </c>
      <c r="C106" t="s">
        <v>892</v>
      </c>
      <c r="D106" t="s">
        <v>140</v>
      </c>
      <c r="E106">
        <v>491.584</v>
      </c>
      <c r="F106">
        <v>502.66899999999998</v>
      </c>
      <c r="G106">
        <v>533.74900000000002</v>
      </c>
      <c r="H106">
        <v>509.04500000000002</v>
      </c>
      <c r="I106">
        <v>2015.9410000000003</v>
      </c>
      <c r="J106">
        <v>2044.0860000000002</v>
      </c>
      <c r="K106">
        <v>2044.0860000000002</v>
      </c>
      <c r="L106">
        <v>2044.0860000000002</v>
      </c>
      <c r="M106">
        <v>2044.0860000000002</v>
      </c>
      <c r="N106">
        <v>2044.0860000000002</v>
      </c>
      <c r="O106">
        <v>2044.0860000000002</v>
      </c>
      <c r="P106">
        <v>2044.0860000000002</v>
      </c>
      <c r="Q106">
        <v>206.76</v>
      </c>
      <c r="R106">
        <v>234.95000000000002</v>
      </c>
      <c r="S106">
        <v>263.57</v>
      </c>
      <c r="T106">
        <v>235.14999999999998</v>
      </c>
      <c r="U106">
        <v>1050.9900000000002</v>
      </c>
      <c r="V106">
        <v>902.48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f>SUMPRODUCT(DB_ThemeSOFAcct[[#This Row],[Plan01]:[Plan12]],$E$14:$P$14)/valUnits2</f>
        <v>6.0970740000000001</v>
      </c>
      <c r="AD106">
        <f>SUMPRODUCT(DB_ThemeSOFAcct[[#This Row],[Act01]:[Act12]],$Q$14:$AB$14)/valUnits2</f>
        <v>2.8938999999999999</v>
      </c>
      <c r="AE106">
        <f>DB_ThemeSOFAcct[[#This Row],[Actuals]]-DB_ThemeSOFAcct[[#This Row],[Plan]]</f>
        <v>-3.2031740000000002</v>
      </c>
      <c r="AF106">
        <f>IF(DB_ThemeSOFAcct[[#This Row],[Plan]]&lt;&gt;0,DB_ThemeSOFAcct[[#This Row],[Actuals]]/DB_ThemeSOFAcct[[#This Row],[Plan]],1.000011000011)</f>
        <v>0.47463750644981506</v>
      </c>
      <c r="AG106" s="34">
        <f>SUM(DB_ThemeSOFAcct[[#This Row],[Plan01]:[Plan12]])/valUnits2</f>
        <v>18.36159</v>
      </c>
      <c r="AH106" s="34">
        <f>SUMPRODUCT(DB_ThemeSOFAcct[[#This Row],[Act01]:[Act12]],$Q$3:$AB$3)/valUnits2</f>
        <v>2.8938999999999999</v>
      </c>
    </row>
    <row r="107" spans="2:34" x14ac:dyDescent="0.2">
      <c r="B107" t="s">
        <v>342</v>
      </c>
      <c r="C107" t="s">
        <v>892</v>
      </c>
      <c r="D107" t="s">
        <v>236</v>
      </c>
      <c r="G107">
        <v>4418.0379999999996</v>
      </c>
      <c r="S107">
        <v>4458.03</v>
      </c>
      <c r="AC107">
        <f>SUMPRODUCT(DB_ThemeSOFAcct[[#This Row],[Plan01]:[Plan12]],$E$14:$P$14)/valUnits2</f>
        <v>4.4180379999999992</v>
      </c>
      <c r="AD107">
        <f>SUMPRODUCT(DB_ThemeSOFAcct[[#This Row],[Act01]:[Act12]],$Q$14:$AB$14)/valUnits2</f>
        <v>4.4580299999999999</v>
      </c>
      <c r="AE107">
        <f>DB_ThemeSOFAcct[[#This Row],[Actuals]]-DB_ThemeSOFAcct[[#This Row],[Plan]]</f>
        <v>3.9992000000000694E-2</v>
      </c>
      <c r="AF107">
        <f>IF(DB_ThemeSOFAcct[[#This Row],[Plan]]&lt;&gt;0,DB_ThemeSOFAcct[[#This Row],[Actuals]]/DB_ThemeSOFAcct[[#This Row],[Plan]],1.000011000011)</f>
        <v>1.0090519818978472</v>
      </c>
      <c r="AG107" s="34">
        <f>SUM(DB_ThemeSOFAcct[[#This Row],[Plan01]:[Plan12]])/valUnits2</f>
        <v>4.4180379999999992</v>
      </c>
      <c r="AH107" s="34">
        <f>SUMPRODUCT(DB_ThemeSOFAcct[[#This Row],[Act01]:[Act12]],$Q$3:$AB$3)/valUnits2</f>
        <v>4.4580299999999999</v>
      </c>
    </row>
    <row r="108" spans="2:34" x14ac:dyDescent="0.2">
      <c r="B108" t="s">
        <v>342</v>
      </c>
      <c r="C108" t="s">
        <v>892</v>
      </c>
      <c r="D108" t="s">
        <v>237</v>
      </c>
      <c r="E108">
        <v>594.95299999999997</v>
      </c>
      <c r="G108">
        <v>205.351</v>
      </c>
      <c r="Q108">
        <v>585.16999999999996</v>
      </c>
      <c r="S108">
        <v>207.21</v>
      </c>
      <c r="AC108">
        <f>SUMPRODUCT(DB_ThemeSOFAcct[[#This Row],[Plan01]:[Plan12]],$E$14:$P$14)/valUnits2</f>
        <v>0.80030400000000002</v>
      </c>
      <c r="AD108">
        <f>SUMPRODUCT(DB_ThemeSOFAcct[[#This Row],[Act01]:[Act12]],$Q$14:$AB$14)/valUnits2</f>
        <v>0.79237999999999997</v>
      </c>
      <c r="AE108">
        <f>DB_ThemeSOFAcct[[#This Row],[Actuals]]-DB_ThemeSOFAcct[[#This Row],[Plan]]</f>
        <v>-7.9240000000000421E-3</v>
      </c>
      <c r="AF108">
        <f>IF(DB_ThemeSOFAcct[[#This Row],[Plan]]&lt;&gt;0,DB_ThemeSOFAcct[[#This Row],[Actuals]]/DB_ThemeSOFAcct[[#This Row],[Plan]],1.000011000011)</f>
        <v>0.9900987624702613</v>
      </c>
      <c r="AG108" s="34">
        <f>SUM(DB_ThemeSOFAcct[[#This Row],[Plan01]:[Plan12]])/valUnits2</f>
        <v>0.80030400000000002</v>
      </c>
      <c r="AH108" s="34">
        <f>SUMPRODUCT(DB_ThemeSOFAcct[[#This Row],[Act01]:[Act12]],$Q$3:$AB$3)/valUnits2</f>
        <v>0.79237999999999997</v>
      </c>
    </row>
    <row r="109" spans="2:34" x14ac:dyDescent="0.2">
      <c r="B109" t="s">
        <v>342</v>
      </c>
      <c r="C109" t="s">
        <v>892</v>
      </c>
      <c r="D109" t="s">
        <v>141</v>
      </c>
      <c r="E109">
        <v>1338.742</v>
      </c>
      <c r="F109">
        <v>1295.133</v>
      </c>
      <c r="G109">
        <v>1351.74</v>
      </c>
      <c r="H109">
        <v>1295.133</v>
      </c>
      <c r="I109">
        <v>1295.133</v>
      </c>
      <c r="J109">
        <v>1351.74</v>
      </c>
      <c r="K109">
        <v>1295.133</v>
      </c>
      <c r="L109">
        <v>1295.133</v>
      </c>
      <c r="M109">
        <v>1351.74</v>
      </c>
      <c r="N109">
        <v>1295.133</v>
      </c>
      <c r="O109">
        <v>1351.74</v>
      </c>
      <c r="P109">
        <v>1295.133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31.15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f>SUMPRODUCT(DB_ThemeSOFAcct[[#This Row],[Plan01]:[Plan12]],$E$14:$P$14)/valUnits2</f>
        <v>7.9276209999999994</v>
      </c>
      <c r="AD109">
        <f>SUMPRODUCT(DB_ThemeSOFAcct[[#This Row],[Act01]:[Act12]],$Q$14:$AB$14)/valUnits2</f>
        <v>3.1149999999999997E-2</v>
      </c>
      <c r="AE109">
        <f>DB_ThemeSOFAcct[[#This Row],[Actuals]]-DB_ThemeSOFAcct[[#This Row],[Plan]]</f>
        <v>-7.8964709999999991</v>
      </c>
      <c r="AF109">
        <f>IF(DB_ThemeSOFAcct[[#This Row],[Plan]]&lt;&gt;0,DB_ThemeSOFAcct[[#This Row],[Actuals]]/DB_ThemeSOFAcct[[#This Row],[Plan]],1.000011000011)</f>
        <v>3.9292998492233668E-3</v>
      </c>
      <c r="AG109" s="34">
        <f>SUM(DB_ThemeSOFAcct[[#This Row],[Plan01]:[Plan12]])/valUnits2</f>
        <v>15.811632999999999</v>
      </c>
      <c r="AH109" s="34">
        <f>SUMPRODUCT(DB_ThemeSOFAcct[[#This Row],[Act01]:[Act12]],$Q$3:$AB$3)/valUnits2</f>
        <v>3.1149999999999997E-2</v>
      </c>
    </row>
    <row r="110" spans="2:34" x14ac:dyDescent="0.2">
      <c r="B110" t="s">
        <v>342</v>
      </c>
      <c r="C110" t="s">
        <v>896</v>
      </c>
      <c r="D110" t="s">
        <v>143</v>
      </c>
      <c r="H110">
        <v>65.245000000000005</v>
      </c>
      <c r="J110">
        <v>0</v>
      </c>
      <c r="T110">
        <v>65.540000000000006</v>
      </c>
      <c r="V110">
        <v>-53.93</v>
      </c>
      <c r="AC110">
        <f>SUMPRODUCT(DB_ThemeSOFAcct[[#This Row],[Plan01]:[Plan12]],$E$14:$P$14)/valUnits2</f>
        <v>6.5245000000000011E-2</v>
      </c>
      <c r="AD110">
        <f>SUMPRODUCT(DB_ThemeSOFAcct[[#This Row],[Act01]:[Act12]],$Q$14:$AB$14)/valUnits2</f>
        <v>1.1610000000000006E-2</v>
      </c>
      <c r="AE110">
        <f>DB_ThemeSOFAcct[[#This Row],[Actuals]]-DB_ThemeSOFAcct[[#This Row],[Plan]]</f>
        <v>-5.3635000000000002E-2</v>
      </c>
      <c r="AF110">
        <f>IF(DB_ThemeSOFAcct[[#This Row],[Plan]]&lt;&gt;0,DB_ThemeSOFAcct[[#This Row],[Actuals]]/DB_ThemeSOFAcct[[#This Row],[Plan]],1.000011000011)</f>
        <v>0.17794467008966211</v>
      </c>
      <c r="AG110" s="34">
        <f>SUM(DB_ThemeSOFAcct[[#This Row],[Plan01]:[Plan12]])/valUnits2</f>
        <v>6.5245000000000011E-2</v>
      </c>
      <c r="AH110" s="34">
        <f>SUMPRODUCT(DB_ThemeSOFAcct[[#This Row],[Act01]:[Act12]],$Q$3:$AB$3)/valUnits2</f>
        <v>1.1610000000000006E-2</v>
      </c>
    </row>
    <row r="111" spans="2:34" x14ac:dyDescent="0.2">
      <c r="B111" t="s">
        <v>342</v>
      </c>
      <c r="C111" t="s">
        <v>896</v>
      </c>
      <c r="D111" t="s">
        <v>235</v>
      </c>
      <c r="J111">
        <v>0</v>
      </c>
      <c r="V111">
        <v>702.19999999999993</v>
      </c>
      <c r="AC111">
        <f>SUMPRODUCT(DB_ThemeSOFAcct[[#This Row],[Plan01]:[Plan12]],$E$14:$P$14)/valUnits2</f>
        <v>0</v>
      </c>
      <c r="AD111">
        <f>SUMPRODUCT(DB_ThemeSOFAcct[[#This Row],[Act01]:[Act12]],$Q$14:$AB$14)/valUnits2</f>
        <v>0.70219999999999994</v>
      </c>
      <c r="AE111">
        <f>DB_ThemeSOFAcct[[#This Row],[Actuals]]-DB_ThemeSOFAcct[[#This Row],[Plan]]</f>
        <v>0.70219999999999994</v>
      </c>
      <c r="AF111">
        <f>IF(DB_ThemeSOFAcct[[#This Row],[Plan]]&lt;&gt;0,DB_ThemeSOFAcct[[#This Row],[Actuals]]/DB_ThemeSOFAcct[[#This Row],[Plan]],1.000011000011)</f>
        <v>1.0000110000110001</v>
      </c>
      <c r="AG111" s="34">
        <f>SUM(DB_ThemeSOFAcct[[#This Row],[Plan01]:[Plan12]])/valUnits2</f>
        <v>0</v>
      </c>
      <c r="AH111" s="34">
        <f>SUMPRODUCT(DB_ThemeSOFAcct[[#This Row],[Act01]:[Act12]],$Q$3:$AB$3)/valUnits2</f>
        <v>0.70219999999999994</v>
      </c>
    </row>
    <row r="112" spans="2:34" x14ac:dyDescent="0.2">
      <c r="B112" t="s">
        <v>342</v>
      </c>
      <c r="C112" t="s">
        <v>896</v>
      </c>
      <c r="D112" t="s">
        <v>142</v>
      </c>
      <c r="E112">
        <v>34603.476000000002</v>
      </c>
      <c r="F112">
        <v>-35109.438999999998</v>
      </c>
      <c r="G112">
        <v>129912.05</v>
      </c>
      <c r="H112">
        <v>65078.307000000008</v>
      </c>
      <c r="I112">
        <v>57951.217000000004</v>
      </c>
      <c r="J112">
        <v>41699.067999999999</v>
      </c>
      <c r="K112">
        <v>47946.713000000003</v>
      </c>
      <c r="L112">
        <v>47946.713000000003</v>
      </c>
      <c r="M112">
        <v>47946.713000000003</v>
      </c>
      <c r="N112">
        <v>44482.814999999988</v>
      </c>
      <c r="O112">
        <v>44482.815000000002</v>
      </c>
      <c r="P112">
        <v>44482.814999999995</v>
      </c>
      <c r="Q112">
        <v>34603.47</v>
      </c>
      <c r="R112">
        <v>-34586.120000000003</v>
      </c>
      <c r="S112">
        <v>128969.61</v>
      </c>
      <c r="T112">
        <v>65416.86</v>
      </c>
      <c r="U112">
        <v>58186.16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f>SUMPRODUCT(DB_ThemeSOFAcct[[#This Row],[Plan01]:[Plan12]],$E$14:$P$14)/valUnits2</f>
        <v>294.13467900000001</v>
      </c>
      <c r="AD112">
        <f>SUMPRODUCT(DB_ThemeSOFAcct[[#This Row],[Act01]:[Act12]],$Q$14:$AB$14)/valUnits2</f>
        <v>252.58998</v>
      </c>
      <c r="AE112">
        <f>DB_ThemeSOFAcct[[#This Row],[Actuals]]-DB_ThemeSOFAcct[[#This Row],[Plan]]</f>
        <v>-41.544699000000008</v>
      </c>
      <c r="AF112">
        <f>IF(DB_ThemeSOFAcct[[#This Row],[Plan]]&lt;&gt;0,DB_ThemeSOFAcct[[#This Row],[Actuals]]/DB_ThemeSOFAcct[[#This Row],[Plan]],1.000011000011)</f>
        <v>0.85875620263056429</v>
      </c>
      <c r="AG112" s="34">
        <f>SUM(DB_ThemeSOFAcct[[#This Row],[Plan01]:[Plan12]])/valUnits2</f>
        <v>571.42326299999991</v>
      </c>
      <c r="AH112" s="34">
        <f>SUMPRODUCT(DB_ThemeSOFAcct[[#This Row],[Act01]:[Act12]],$Q$3:$AB$3)/valUnits2</f>
        <v>252.58998</v>
      </c>
    </row>
    <row r="113" spans="2:34" x14ac:dyDescent="0.2">
      <c r="B113" t="s">
        <v>342</v>
      </c>
      <c r="C113" t="s">
        <v>896</v>
      </c>
      <c r="D113" t="s">
        <v>140</v>
      </c>
      <c r="E113">
        <v>1023.4340000000001</v>
      </c>
      <c r="F113">
        <v>4651.018</v>
      </c>
      <c r="G113">
        <v>1768.838</v>
      </c>
      <c r="H113">
        <v>3896.8019999999997</v>
      </c>
      <c r="I113">
        <v>3156.866</v>
      </c>
      <c r="J113">
        <v>1362.3280000000002</v>
      </c>
      <c r="K113">
        <v>1362.3280000000002</v>
      </c>
      <c r="L113">
        <v>1362.3280000000002</v>
      </c>
      <c r="M113">
        <v>1362.3280000000002</v>
      </c>
      <c r="N113">
        <v>1362.3280000000002</v>
      </c>
      <c r="O113">
        <v>1362.3280000000002</v>
      </c>
      <c r="P113">
        <v>1362.3280000000002</v>
      </c>
      <c r="Q113">
        <v>1023.4399999999999</v>
      </c>
      <c r="R113">
        <v>4625.5099999999993</v>
      </c>
      <c r="S113">
        <v>1757.35</v>
      </c>
      <c r="T113">
        <v>3890.2700000000004</v>
      </c>
      <c r="U113">
        <v>3171.87</v>
      </c>
      <c r="V113">
        <v>2470.6099999999997</v>
      </c>
      <c r="W113">
        <v>757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f>SUMPRODUCT(DB_ThemeSOFAcct[[#This Row],[Plan01]:[Plan12]],$E$14:$P$14)/valUnits2</f>
        <v>15.859286000000001</v>
      </c>
      <c r="AD113">
        <f>SUMPRODUCT(DB_ThemeSOFAcct[[#This Row],[Act01]:[Act12]],$Q$14:$AB$14)/valUnits2</f>
        <v>16.939049999999998</v>
      </c>
      <c r="AE113">
        <f>DB_ThemeSOFAcct[[#This Row],[Actuals]]-DB_ThemeSOFAcct[[#This Row],[Plan]]</f>
        <v>1.0797639999999973</v>
      </c>
      <c r="AF113">
        <f>IF(DB_ThemeSOFAcct[[#This Row],[Plan]]&lt;&gt;0,DB_ThemeSOFAcct[[#This Row],[Actuals]]/DB_ThemeSOFAcct[[#This Row],[Plan]],1.000011000011)</f>
        <v>1.0680840234547757</v>
      </c>
      <c r="AG113" s="34">
        <f>SUM(DB_ThemeSOFAcct[[#This Row],[Plan01]:[Plan12]])/valUnits2</f>
        <v>24.033254000000007</v>
      </c>
      <c r="AH113" s="34">
        <f>SUMPRODUCT(DB_ThemeSOFAcct[[#This Row],[Act01]:[Act12]],$Q$3:$AB$3)/valUnits2</f>
        <v>16.939049999999998</v>
      </c>
    </row>
    <row r="114" spans="2:34" x14ac:dyDescent="0.2">
      <c r="B114" t="s">
        <v>342</v>
      </c>
      <c r="C114" t="s">
        <v>896</v>
      </c>
      <c r="D114" t="s">
        <v>236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214.041</v>
      </c>
      <c r="K114">
        <v>214.041</v>
      </c>
      <c r="L114">
        <v>214.041</v>
      </c>
      <c r="M114">
        <v>214.041</v>
      </c>
      <c r="N114">
        <v>214.041</v>
      </c>
      <c r="O114">
        <v>214.041</v>
      </c>
      <c r="P114">
        <v>214.041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f>SUMPRODUCT(DB_ThemeSOFAcct[[#This Row],[Plan01]:[Plan12]],$E$14:$P$14)/valUnits2</f>
        <v>0.21404100000000001</v>
      </c>
      <c r="AD114">
        <f>SUMPRODUCT(DB_ThemeSOFAcct[[#This Row],[Act01]:[Act12]],$Q$14:$AB$14)/valUnits2</f>
        <v>0</v>
      </c>
      <c r="AE114">
        <f>DB_ThemeSOFAcct[[#This Row],[Actuals]]-DB_ThemeSOFAcct[[#This Row],[Plan]]</f>
        <v>-0.21404100000000001</v>
      </c>
      <c r="AF114">
        <f>IF(DB_ThemeSOFAcct[[#This Row],[Plan]]&lt;&gt;0,DB_ThemeSOFAcct[[#This Row],[Actuals]]/DB_ThemeSOFAcct[[#This Row],[Plan]],1.000011000011)</f>
        <v>0</v>
      </c>
      <c r="AG114" s="34">
        <f>SUM(DB_ThemeSOFAcct[[#This Row],[Plan01]:[Plan12]])/valUnits2</f>
        <v>1.4982869999999997</v>
      </c>
      <c r="AH114" s="34">
        <f>SUMPRODUCT(DB_ThemeSOFAcct[[#This Row],[Act01]:[Act12]],$Q$3:$AB$3)/valUnits2</f>
        <v>0</v>
      </c>
    </row>
    <row r="115" spans="2:34" x14ac:dyDescent="0.2">
      <c r="B115" t="s">
        <v>342</v>
      </c>
      <c r="C115" t="s">
        <v>896</v>
      </c>
      <c r="D115" t="s">
        <v>237</v>
      </c>
      <c r="E115">
        <v>234.08500000000001</v>
      </c>
      <c r="F115">
        <v>279.72000000000003</v>
      </c>
      <c r="G115">
        <v>6505.143</v>
      </c>
      <c r="H115">
        <v>466.95099999999979</v>
      </c>
      <c r="I115">
        <v>496.75900000000001</v>
      </c>
      <c r="J115">
        <v>0</v>
      </c>
      <c r="Q115">
        <v>233.97</v>
      </c>
      <c r="R115">
        <v>279.72000000000003</v>
      </c>
      <c r="S115">
        <v>6462.1900000000005</v>
      </c>
      <c r="T115">
        <v>469.57999999999993</v>
      </c>
      <c r="U115">
        <v>499.12</v>
      </c>
      <c r="V115">
        <v>370.97</v>
      </c>
      <c r="AC115">
        <f>SUMPRODUCT(DB_ThemeSOFAcct[[#This Row],[Plan01]:[Plan12]],$E$14:$P$14)/valUnits2</f>
        <v>7.9826580000000007</v>
      </c>
      <c r="AD115">
        <f>SUMPRODUCT(DB_ThemeSOFAcct[[#This Row],[Act01]:[Act12]],$Q$14:$AB$14)/valUnits2</f>
        <v>8.3155500000000018</v>
      </c>
      <c r="AE115">
        <f>DB_ThemeSOFAcct[[#This Row],[Actuals]]-DB_ThemeSOFAcct[[#This Row],[Plan]]</f>
        <v>0.33289200000000108</v>
      </c>
      <c r="AF115">
        <f>IF(DB_ThemeSOFAcct[[#This Row],[Plan]]&lt;&gt;0,DB_ThemeSOFAcct[[#This Row],[Actuals]]/DB_ThemeSOFAcct[[#This Row],[Plan]],1.000011000011)</f>
        <v>1.0417018992921907</v>
      </c>
      <c r="AG115" s="34">
        <f>SUM(DB_ThemeSOFAcct[[#This Row],[Plan01]:[Plan12]])/valUnits2</f>
        <v>7.9826580000000007</v>
      </c>
      <c r="AH115" s="34">
        <f>SUMPRODUCT(DB_ThemeSOFAcct[[#This Row],[Act01]:[Act12]],$Q$3:$AB$3)/valUnits2</f>
        <v>8.3155500000000018</v>
      </c>
    </row>
    <row r="116" spans="2:34" x14ac:dyDescent="0.2">
      <c r="B116" t="s">
        <v>342</v>
      </c>
      <c r="C116" t="s">
        <v>896</v>
      </c>
      <c r="D116" t="s">
        <v>141</v>
      </c>
      <c r="E116">
        <v>14.724</v>
      </c>
      <c r="F116">
        <v>1014.0650000000001</v>
      </c>
      <c r="G116">
        <v>725.88499999999999</v>
      </c>
      <c r="H116">
        <v>414.05099999999993</v>
      </c>
      <c r="I116">
        <v>735.64200000000005</v>
      </c>
      <c r="J116">
        <v>0</v>
      </c>
      <c r="Q116">
        <v>14.709999999999999</v>
      </c>
      <c r="R116">
        <v>1009.1800000000001</v>
      </c>
      <c r="S116">
        <v>721.36000000000013</v>
      </c>
      <c r="T116">
        <v>415.92000000000013</v>
      </c>
      <c r="U116">
        <v>739.21</v>
      </c>
      <c r="V116">
        <v>465.24</v>
      </c>
      <c r="AC116">
        <f>SUMPRODUCT(DB_ThemeSOFAcct[[#This Row],[Plan01]:[Plan12]],$E$14:$P$14)/valUnits2</f>
        <v>2.9043670000000001</v>
      </c>
      <c r="AD116">
        <f>SUMPRODUCT(DB_ThemeSOFAcct[[#This Row],[Act01]:[Act12]],$Q$14:$AB$14)/valUnits2</f>
        <v>3.3656200000000007</v>
      </c>
      <c r="AE116">
        <f>DB_ThemeSOFAcct[[#This Row],[Actuals]]-DB_ThemeSOFAcct[[#This Row],[Plan]]</f>
        <v>0.46125300000000058</v>
      </c>
      <c r="AF116">
        <f>IF(DB_ThemeSOFAcct[[#This Row],[Plan]]&lt;&gt;0,DB_ThemeSOFAcct[[#This Row],[Actuals]]/DB_ThemeSOFAcct[[#This Row],[Plan]],1.000011000011)</f>
        <v>1.1588136072335213</v>
      </c>
      <c r="AG116" s="34">
        <f>SUM(DB_ThemeSOFAcct[[#This Row],[Plan01]:[Plan12]])/valUnits2</f>
        <v>2.9043670000000001</v>
      </c>
      <c r="AH116" s="34">
        <f>SUMPRODUCT(DB_ThemeSOFAcct[[#This Row],[Act01]:[Act12]],$Q$3:$AB$3)/valUnits2</f>
        <v>3.3656200000000007</v>
      </c>
    </row>
    <row r="117" spans="2:34" x14ac:dyDescent="0.2">
      <c r="B117" t="s">
        <v>342</v>
      </c>
      <c r="C117" t="s">
        <v>898</v>
      </c>
      <c r="D117" t="s">
        <v>235</v>
      </c>
      <c r="E117">
        <v>-313.01900000000001</v>
      </c>
      <c r="Q117">
        <v>-320.29000000000002</v>
      </c>
      <c r="AC117">
        <f>SUMPRODUCT(DB_ThemeSOFAcct[[#This Row],[Plan01]:[Plan12]],$E$14:$P$14)/valUnits2</f>
        <v>-0.31301899999999999</v>
      </c>
      <c r="AD117">
        <f>SUMPRODUCT(DB_ThemeSOFAcct[[#This Row],[Act01]:[Act12]],$Q$14:$AB$14)/valUnits2</f>
        <v>-0.32029000000000002</v>
      </c>
      <c r="AE117">
        <f>DB_ThemeSOFAcct[[#This Row],[Actuals]]-DB_ThemeSOFAcct[[#This Row],[Plan]]</f>
        <v>-7.2710000000000274E-3</v>
      </c>
      <c r="AF117">
        <f>IF(DB_ThemeSOFAcct[[#This Row],[Plan]]&lt;&gt;0,DB_ThemeSOFAcct[[#This Row],[Actuals]]/DB_ThemeSOFAcct[[#This Row],[Plan]],1.000011000011)</f>
        <v>1.0232286219047406</v>
      </c>
      <c r="AG117" s="34">
        <f>SUM(DB_ThemeSOFAcct[[#This Row],[Plan01]:[Plan12]])/valUnits2</f>
        <v>-0.31301899999999999</v>
      </c>
      <c r="AH117" s="34">
        <f>SUMPRODUCT(DB_ThemeSOFAcct[[#This Row],[Act01]:[Act12]],$Q$3:$AB$3)/valUnits2</f>
        <v>-0.32029000000000002</v>
      </c>
    </row>
    <row r="118" spans="2:34" x14ac:dyDescent="0.2">
      <c r="B118" t="s">
        <v>342</v>
      </c>
      <c r="C118" t="s">
        <v>898</v>
      </c>
      <c r="D118" t="s">
        <v>142</v>
      </c>
      <c r="E118">
        <v>115.91800000000001</v>
      </c>
      <c r="F118">
        <v>-108.33</v>
      </c>
      <c r="Q118">
        <v>115.59</v>
      </c>
      <c r="R118">
        <v>-115.53</v>
      </c>
      <c r="AC118">
        <f>SUMPRODUCT(DB_ThemeSOFAcct[[#This Row],[Plan01]:[Plan12]],$E$14:$P$14)/valUnits2</f>
        <v>7.5880000000000079E-3</v>
      </c>
      <c r="AD118">
        <f>SUMPRODUCT(DB_ThemeSOFAcct[[#This Row],[Act01]:[Act12]],$Q$14:$AB$14)/valUnits2</f>
        <v>6.0000000000002272E-5</v>
      </c>
      <c r="AE118">
        <f>DB_ThemeSOFAcct[[#This Row],[Actuals]]-DB_ThemeSOFAcct[[#This Row],[Plan]]</f>
        <v>-7.528000000000006E-3</v>
      </c>
      <c r="AF118">
        <f>IF(DB_ThemeSOFAcct[[#This Row],[Plan]]&lt;&gt;0,DB_ThemeSOFAcct[[#This Row],[Actuals]]/DB_ThemeSOFAcct[[#This Row],[Plan]],1.000011000011)</f>
        <v>7.9072219293624419E-3</v>
      </c>
      <c r="AG118" s="34">
        <f>SUM(DB_ThemeSOFAcct[[#This Row],[Plan01]:[Plan12]])/valUnits2</f>
        <v>7.5880000000000079E-3</v>
      </c>
      <c r="AH118" s="34">
        <f>SUMPRODUCT(DB_ThemeSOFAcct[[#This Row],[Act01]:[Act12]],$Q$3:$AB$3)/valUnits2</f>
        <v>6.0000000000002272E-5</v>
      </c>
    </row>
    <row r="119" spans="2:34" x14ac:dyDescent="0.2">
      <c r="B119" t="s">
        <v>342</v>
      </c>
      <c r="C119" t="s">
        <v>899</v>
      </c>
      <c r="D119" t="s">
        <v>235</v>
      </c>
      <c r="E119">
        <v>-12.531000000000001</v>
      </c>
      <c r="Q119">
        <v>-12.53</v>
      </c>
      <c r="AC119">
        <f>SUMPRODUCT(DB_ThemeSOFAcct[[#This Row],[Plan01]:[Plan12]],$E$14:$P$14)/valUnits2</f>
        <v>-1.2531E-2</v>
      </c>
      <c r="AD119">
        <f>SUMPRODUCT(DB_ThemeSOFAcct[[#This Row],[Act01]:[Act12]],$Q$14:$AB$14)/valUnits2</f>
        <v>-1.2529999999999999E-2</v>
      </c>
      <c r="AE119">
        <f>DB_ThemeSOFAcct[[#This Row],[Actuals]]-DB_ThemeSOFAcct[[#This Row],[Plan]]</f>
        <v>1.0000000000010001E-6</v>
      </c>
      <c r="AF119">
        <f>IF(DB_ThemeSOFAcct[[#This Row],[Plan]]&lt;&gt;0,DB_ThemeSOFAcct[[#This Row],[Actuals]]/DB_ThemeSOFAcct[[#This Row],[Plan]],1.000011000011)</f>
        <v>0.99992019790918518</v>
      </c>
      <c r="AG119" s="34">
        <f>SUM(DB_ThemeSOFAcct[[#This Row],[Plan01]:[Plan12]])/valUnits2</f>
        <v>-1.2531E-2</v>
      </c>
      <c r="AH119" s="34">
        <f>SUMPRODUCT(DB_ThemeSOFAcct[[#This Row],[Act01]:[Act12]],$Q$3:$AB$3)/valUnits2</f>
        <v>-1.2529999999999999E-2</v>
      </c>
    </row>
    <row r="120" spans="2:34" x14ac:dyDescent="0.2">
      <c r="B120" t="s">
        <v>342</v>
      </c>
      <c r="C120" t="s">
        <v>899</v>
      </c>
      <c r="D120" t="s">
        <v>141</v>
      </c>
      <c r="F120">
        <v>2.5430000000000001</v>
      </c>
      <c r="H120">
        <v>252.79300000000001</v>
      </c>
      <c r="I120">
        <v>816.20299999999997</v>
      </c>
      <c r="R120">
        <v>2.54</v>
      </c>
      <c r="T120">
        <v>254.21</v>
      </c>
      <c r="U120">
        <v>820.17</v>
      </c>
      <c r="AC120">
        <f>SUMPRODUCT(DB_ThemeSOFAcct[[#This Row],[Plan01]:[Plan12]],$E$14:$P$14)/valUnits2</f>
        <v>1.071539</v>
      </c>
      <c r="AD120">
        <f>SUMPRODUCT(DB_ThemeSOFAcct[[#This Row],[Act01]:[Act12]],$Q$14:$AB$14)/valUnits2</f>
        <v>1.0769200000000001</v>
      </c>
      <c r="AE120">
        <f>DB_ThemeSOFAcct[[#This Row],[Actuals]]-DB_ThemeSOFAcct[[#This Row],[Plan]]</f>
        <v>5.3810000000000802E-3</v>
      </c>
      <c r="AF120">
        <f>IF(DB_ThemeSOFAcct[[#This Row],[Plan]]&lt;&gt;0,DB_ThemeSOFAcct[[#This Row],[Actuals]]/DB_ThemeSOFAcct[[#This Row],[Plan]],1.000011000011)</f>
        <v>1.005021749091727</v>
      </c>
      <c r="AG120" s="34">
        <f>SUM(DB_ThemeSOFAcct[[#This Row],[Plan01]:[Plan12]])/valUnits2</f>
        <v>1.071539</v>
      </c>
      <c r="AH120" s="34">
        <f>SUMPRODUCT(DB_ThemeSOFAcct[[#This Row],[Act01]:[Act12]],$Q$3:$AB$3)/valUnits2</f>
        <v>1.0769200000000001</v>
      </c>
    </row>
    <row r="121" spans="2:34" x14ac:dyDescent="0.2">
      <c r="B121" t="s">
        <v>342</v>
      </c>
      <c r="C121" t="s">
        <v>903</v>
      </c>
      <c r="D121" t="s">
        <v>235</v>
      </c>
      <c r="H121">
        <v>205.54400000000001</v>
      </c>
      <c r="J121">
        <v>0</v>
      </c>
      <c r="T121">
        <v>202.57000000000002</v>
      </c>
      <c r="V121">
        <v>261.76</v>
      </c>
      <c r="AC121">
        <f>SUMPRODUCT(DB_ThemeSOFAcct[[#This Row],[Plan01]:[Plan12]],$E$14:$P$14)/valUnits2</f>
        <v>0.205544</v>
      </c>
      <c r="AD121">
        <f>SUMPRODUCT(DB_ThemeSOFAcct[[#This Row],[Act01]:[Act12]],$Q$14:$AB$14)/valUnits2</f>
        <v>0.46433000000000002</v>
      </c>
      <c r="AE121">
        <f>DB_ThemeSOFAcct[[#This Row],[Actuals]]-DB_ThemeSOFAcct[[#This Row],[Plan]]</f>
        <v>0.25878600000000002</v>
      </c>
      <c r="AF121">
        <f>IF(DB_ThemeSOFAcct[[#This Row],[Plan]]&lt;&gt;0,DB_ThemeSOFAcct[[#This Row],[Actuals]]/DB_ThemeSOFAcct[[#This Row],[Plan]],1.000011000011)</f>
        <v>2.2590296968045771</v>
      </c>
      <c r="AG121" s="34">
        <f>SUM(DB_ThemeSOFAcct[[#This Row],[Plan01]:[Plan12]])/valUnits2</f>
        <v>0.205544</v>
      </c>
      <c r="AH121" s="34">
        <f>SUMPRODUCT(DB_ThemeSOFAcct[[#This Row],[Act01]:[Act12]],$Q$3:$AB$3)/valUnits2</f>
        <v>0.46433000000000002</v>
      </c>
    </row>
    <row r="122" spans="2:34" x14ac:dyDescent="0.2">
      <c r="B122" t="s">
        <v>342</v>
      </c>
      <c r="C122" t="s">
        <v>903</v>
      </c>
      <c r="D122" t="s">
        <v>142</v>
      </c>
      <c r="H122">
        <v>0</v>
      </c>
      <c r="I122">
        <v>8493.384</v>
      </c>
      <c r="J122">
        <v>1182.335</v>
      </c>
      <c r="K122">
        <v>779.42499999999995</v>
      </c>
      <c r="L122">
        <v>1613.8489999999999</v>
      </c>
      <c r="M122">
        <v>577.971</v>
      </c>
      <c r="N122">
        <v>3572.527</v>
      </c>
      <c r="O122">
        <v>2863.0050000000001</v>
      </c>
      <c r="P122">
        <v>2851.402</v>
      </c>
      <c r="T122">
        <v>0</v>
      </c>
      <c r="U122">
        <v>8631.99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f>SUMPRODUCT(DB_ThemeSOFAcct[[#This Row],[Plan01]:[Plan12]],$E$14:$P$14)/valUnits2</f>
        <v>9.6757190000000008</v>
      </c>
      <c r="AD122">
        <f>SUMPRODUCT(DB_ThemeSOFAcct[[#This Row],[Act01]:[Act12]],$Q$14:$AB$14)/valUnits2</f>
        <v>8.6319900000000001</v>
      </c>
      <c r="AE122">
        <f>DB_ThemeSOFAcct[[#This Row],[Actuals]]-DB_ThemeSOFAcct[[#This Row],[Plan]]</f>
        <v>-1.0437290000000008</v>
      </c>
      <c r="AF122">
        <f>IF(DB_ThemeSOFAcct[[#This Row],[Plan]]&lt;&gt;0,DB_ThemeSOFAcct[[#This Row],[Actuals]]/DB_ThemeSOFAcct[[#This Row],[Plan]],1.000011000011)</f>
        <v>0.89212905004785681</v>
      </c>
      <c r="AG122" s="34">
        <f>SUM(DB_ThemeSOFAcct[[#This Row],[Plan01]:[Plan12]])/valUnits2</f>
        <v>21.933898000000003</v>
      </c>
      <c r="AH122" s="34">
        <f>SUMPRODUCT(DB_ThemeSOFAcct[[#This Row],[Act01]:[Act12]],$Q$3:$AB$3)/valUnits2</f>
        <v>8.6319900000000001</v>
      </c>
    </row>
    <row r="123" spans="2:34" x14ac:dyDescent="0.2">
      <c r="B123" t="s">
        <v>342</v>
      </c>
      <c r="C123" t="s">
        <v>903</v>
      </c>
      <c r="D123" t="s">
        <v>140</v>
      </c>
      <c r="H123">
        <v>1722.1670000000001</v>
      </c>
      <c r="I123">
        <v>548.18200000000002</v>
      </c>
      <c r="J123">
        <v>0</v>
      </c>
      <c r="N123">
        <v>4848.0940000000001</v>
      </c>
      <c r="O123">
        <v>4848.0940000000001</v>
      </c>
      <c r="P123">
        <v>4848.0940000000001</v>
      </c>
      <c r="T123">
        <v>1717.23</v>
      </c>
      <c r="U123">
        <v>547.1</v>
      </c>
      <c r="V123">
        <v>546.74</v>
      </c>
      <c r="Z123">
        <v>0</v>
      </c>
      <c r="AA123">
        <v>0</v>
      </c>
      <c r="AB123">
        <v>0</v>
      </c>
      <c r="AC123">
        <f>SUMPRODUCT(DB_ThemeSOFAcct[[#This Row],[Plan01]:[Plan12]],$E$14:$P$14)/valUnits2</f>
        <v>2.270349</v>
      </c>
      <c r="AD123">
        <f>SUMPRODUCT(DB_ThemeSOFAcct[[#This Row],[Act01]:[Act12]],$Q$14:$AB$14)/valUnits2</f>
        <v>2.8110699999999995</v>
      </c>
      <c r="AE123">
        <f>DB_ThemeSOFAcct[[#This Row],[Actuals]]-DB_ThemeSOFAcct[[#This Row],[Plan]]</f>
        <v>0.54072099999999956</v>
      </c>
      <c r="AF123">
        <f>IF(DB_ThemeSOFAcct[[#This Row],[Plan]]&lt;&gt;0,DB_ThemeSOFAcct[[#This Row],[Actuals]]/DB_ThemeSOFAcct[[#This Row],[Plan]],1.000011000011)</f>
        <v>1.2381664669176411</v>
      </c>
      <c r="AG123" s="34">
        <f>SUM(DB_ThemeSOFAcct[[#This Row],[Plan01]:[Plan12]])/valUnits2</f>
        <v>16.814631000000002</v>
      </c>
      <c r="AH123" s="34">
        <f>SUMPRODUCT(DB_ThemeSOFAcct[[#This Row],[Act01]:[Act12]],$Q$3:$AB$3)/valUnits2</f>
        <v>2.8110699999999995</v>
      </c>
    </row>
    <row r="124" spans="2:34" x14ac:dyDescent="0.2">
      <c r="B124" t="s">
        <v>342</v>
      </c>
      <c r="C124" t="s">
        <v>903</v>
      </c>
      <c r="D124" t="s">
        <v>236</v>
      </c>
      <c r="H124">
        <v>10.468</v>
      </c>
      <c r="T124">
        <v>10.26</v>
      </c>
      <c r="AC124">
        <f>SUMPRODUCT(DB_ThemeSOFAcct[[#This Row],[Plan01]:[Plan12]],$E$14:$P$14)/valUnits2</f>
        <v>1.0468E-2</v>
      </c>
      <c r="AD124">
        <f>SUMPRODUCT(DB_ThemeSOFAcct[[#This Row],[Act01]:[Act12]],$Q$14:$AB$14)/valUnits2</f>
        <v>1.026E-2</v>
      </c>
      <c r="AE124">
        <f>DB_ThemeSOFAcct[[#This Row],[Actuals]]-DB_ThemeSOFAcct[[#This Row],[Plan]]</f>
        <v>-2.0799999999999985E-4</v>
      </c>
      <c r="AF124">
        <f>IF(DB_ThemeSOFAcct[[#This Row],[Plan]]&lt;&gt;0,DB_ThemeSOFAcct[[#This Row],[Actuals]]/DB_ThemeSOFAcct[[#This Row],[Plan]],1.000011000011)</f>
        <v>0.98012991975544517</v>
      </c>
      <c r="AG124" s="34">
        <f>SUM(DB_ThemeSOFAcct[[#This Row],[Plan01]:[Plan12]])/valUnits2</f>
        <v>1.0468E-2</v>
      </c>
      <c r="AH124" s="34">
        <f>SUMPRODUCT(DB_ThemeSOFAcct[[#This Row],[Act01]:[Act12]],$Q$3:$AB$3)/valUnits2</f>
        <v>1.026E-2</v>
      </c>
    </row>
    <row r="125" spans="2:34" x14ac:dyDescent="0.2">
      <c r="B125" t="s">
        <v>342</v>
      </c>
      <c r="C125" t="s">
        <v>903</v>
      </c>
      <c r="D125" t="s">
        <v>141</v>
      </c>
      <c r="H125">
        <v>1591.415</v>
      </c>
      <c r="I125">
        <v>4517.2929999999997</v>
      </c>
      <c r="J125">
        <v>383.62699999999995</v>
      </c>
      <c r="K125">
        <v>383.62700000000001</v>
      </c>
      <c r="L125">
        <v>383.62700000000001</v>
      </c>
      <c r="M125">
        <v>383.62700000000001</v>
      </c>
      <c r="N125">
        <v>383.62699999999995</v>
      </c>
      <c r="O125">
        <v>383.62700000000001</v>
      </c>
      <c r="P125">
        <v>383.62700000000001</v>
      </c>
      <c r="T125">
        <v>1560.73</v>
      </c>
      <c r="U125">
        <v>4534.16</v>
      </c>
      <c r="V125">
        <v>967.56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f>SUMPRODUCT(DB_ThemeSOFAcct[[#This Row],[Plan01]:[Plan12]],$E$14:$P$14)/valUnits2</f>
        <v>6.4923349999999989</v>
      </c>
      <c r="AD125">
        <f>SUMPRODUCT(DB_ThemeSOFAcct[[#This Row],[Act01]:[Act12]],$Q$14:$AB$14)/valUnits2</f>
        <v>7.0624499999999992</v>
      </c>
      <c r="AE125">
        <f>DB_ThemeSOFAcct[[#This Row],[Actuals]]-DB_ThemeSOFAcct[[#This Row],[Plan]]</f>
        <v>0.57011500000000037</v>
      </c>
      <c r="AF125">
        <f>IF(DB_ThemeSOFAcct[[#This Row],[Plan]]&lt;&gt;0,DB_ThemeSOFAcct[[#This Row],[Actuals]]/DB_ThemeSOFAcct[[#This Row],[Plan]],1.000011000011)</f>
        <v>1.0878135524429964</v>
      </c>
      <c r="AG125" s="34">
        <f>SUM(DB_ThemeSOFAcct[[#This Row],[Plan01]:[Plan12]])/valUnits2</f>
        <v>8.7940970000000007</v>
      </c>
      <c r="AH125" s="34">
        <f>SUMPRODUCT(DB_ThemeSOFAcct[[#This Row],[Act01]:[Act12]],$Q$3:$AB$3)/valUnits2</f>
        <v>7.0624499999999992</v>
      </c>
    </row>
    <row r="126" spans="2:34" x14ac:dyDescent="0.2">
      <c r="B126" t="s">
        <v>342</v>
      </c>
      <c r="C126" t="s">
        <v>905</v>
      </c>
      <c r="D126" t="s">
        <v>143</v>
      </c>
      <c r="E126">
        <v>1452.68</v>
      </c>
      <c r="F126">
        <v>0</v>
      </c>
      <c r="G126">
        <v>386.24</v>
      </c>
      <c r="H126">
        <v>844.52</v>
      </c>
      <c r="I126">
        <v>-2683.4399999999996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1452.6800000000003</v>
      </c>
      <c r="R126">
        <v>-28.61</v>
      </c>
      <c r="S126">
        <v>386.24</v>
      </c>
      <c r="T126">
        <v>844.52</v>
      </c>
      <c r="U126">
        <v>-2683.44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f>SUMPRODUCT(DB_ThemeSOFAcct[[#This Row],[Plan01]:[Plan12]],$E$14:$P$14)/valUnits2</f>
        <v>4.5474735088646413E-16</v>
      </c>
      <c r="AD126">
        <f>SUMPRODUCT(DB_ThemeSOFAcct[[#This Row],[Act01]:[Act12]],$Q$14:$AB$14)/valUnits2</f>
        <v>-2.8609999999999674E-2</v>
      </c>
      <c r="AE126">
        <f>DB_ThemeSOFAcct[[#This Row],[Actuals]]-DB_ThemeSOFAcct[[#This Row],[Plan]]</f>
        <v>-2.8610000000000128E-2</v>
      </c>
      <c r="AF126">
        <f>IF(DB_ThemeSOFAcct[[#This Row],[Plan]]&lt;&gt;0,DB_ThemeSOFAcct[[#This Row],[Actuals]]/DB_ThemeSOFAcct[[#This Row],[Plan]],1.000011000011)</f>
        <v>-62914055341342</v>
      </c>
      <c r="AG126" s="34">
        <f>SUM(DB_ThemeSOFAcct[[#This Row],[Plan01]:[Plan12]])/valUnits2</f>
        <v>4.5474735088646413E-16</v>
      </c>
      <c r="AH126" s="34">
        <f>SUMPRODUCT(DB_ThemeSOFAcct[[#This Row],[Act01]:[Act12]],$Q$3:$AB$3)/valUnits2</f>
        <v>-2.8609999999999674E-2</v>
      </c>
    </row>
    <row r="127" spans="2:34" x14ac:dyDescent="0.2">
      <c r="B127" t="s">
        <v>342</v>
      </c>
      <c r="C127" t="s">
        <v>905</v>
      </c>
      <c r="D127" t="s">
        <v>235</v>
      </c>
      <c r="E127">
        <v>3060.13</v>
      </c>
      <c r="F127">
        <v>0</v>
      </c>
      <c r="G127">
        <v>158.1</v>
      </c>
      <c r="H127">
        <v>0</v>
      </c>
      <c r="I127">
        <v>-3292.2299999999996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3060.1300000000006</v>
      </c>
      <c r="R127">
        <v>0</v>
      </c>
      <c r="S127">
        <v>158.1</v>
      </c>
      <c r="T127">
        <v>0</v>
      </c>
      <c r="U127">
        <v>-3292.2300000000005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f>SUMPRODUCT(DB_ThemeSOFAcct[[#This Row],[Plan01]:[Plan12]],$E$14:$P$14)/valUnits2</f>
        <v>-7.3999999999999538E-2</v>
      </c>
      <c r="AD127">
        <f>SUMPRODUCT(DB_ThemeSOFAcct[[#This Row],[Act01]:[Act12]],$Q$14:$AB$14)/valUnits2</f>
        <v>-7.3999999999999996E-2</v>
      </c>
      <c r="AE127">
        <f>DB_ThemeSOFAcct[[#This Row],[Actuals]]-DB_ThemeSOFAcct[[#This Row],[Plan]]</f>
        <v>-4.5796699765787707E-16</v>
      </c>
      <c r="AF127">
        <f>IF(DB_ThemeSOFAcct[[#This Row],[Plan]]&lt;&gt;0,DB_ThemeSOFAcct[[#This Row],[Actuals]]/DB_ThemeSOFAcct[[#This Row],[Plan]],1.000011000011)</f>
        <v>1.0000000000000062</v>
      </c>
      <c r="AG127" s="34">
        <f>SUM(DB_ThemeSOFAcct[[#This Row],[Plan01]:[Plan12]])/valUnits2</f>
        <v>-7.3999999999999538E-2</v>
      </c>
      <c r="AH127" s="34">
        <f>SUMPRODUCT(DB_ThemeSOFAcct[[#This Row],[Act01]:[Act12]],$Q$3:$AB$3)/valUnits2</f>
        <v>-7.3999999999999996E-2</v>
      </c>
    </row>
    <row r="128" spans="2:34" x14ac:dyDescent="0.2">
      <c r="B128" t="s">
        <v>342</v>
      </c>
      <c r="C128" t="s">
        <v>905</v>
      </c>
      <c r="D128" t="s">
        <v>142</v>
      </c>
      <c r="E128">
        <v>0</v>
      </c>
      <c r="F128">
        <v>0</v>
      </c>
      <c r="G128">
        <v>-2712.6600000000003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-2712.6600000000003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f>SUMPRODUCT(DB_ThemeSOFAcct[[#This Row],[Plan01]:[Plan12]],$E$14:$P$14)/valUnits2</f>
        <v>-2.7126600000000005</v>
      </c>
      <c r="AD128">
        <f>SUMPRODUCT(DB_ThemeSOFAcct[[#This Row],[Act01]:[Act12]],$Q$14:$AB$14)/valUnits2</f>
        <v>-2.7126600000000005</v>
      </c>
      <c r="AE128">
        <f>DB_ThemeSOFAcct[[#This Row],[Actuals]]-DB_ThemeSOFAcct[[#This Row],[Plan]]</f>
        <v>0</v>
      </c>
      <c r="AF128">
        <f>IF(DB_ThemeSOFAcct[[#This Row],[Plan]]&lt;&gt;0,DB_ThemeSOFAcct[[#This Row],[Actuals]]/DB_ThemeSOFAcct[[#This Row],[Plan]],1.000011000011)</f>
        <v>1</v>
      </c>
      <c r="AG128" s="34">
        <f>SUM(DB_ThemeSOFAcct[[#This Row],[Plan01]:[Plan12]])/valUnits2</f>
        <v>-2.7126600000000005</v>
      </c>
      <c r="AH128" s="34">
        <f>SUMPRODUCT(DB_ThemeSOFAcct[[#This Row],[Act01]:[Act12]],$Q$3:$AB$3)/valUnits2</f>
        <v>-2.7126600000000005</v>
      </c>
    </row>
    <row r="129" spans="2:34" x14ac:dyDescent="0.2">
      <c r="B129" t="s">
        <v>342</v>
      </c>
      <c r="C129" t="s">
        <v>905</v>
      </c>
      <c r="D129" t="s">
        <v>140</v>
      </c>
      <c r="E129">
        <v>0</v>
      </c>
      <c r="F129">
        <v>401.55</v>
      </c>
      <c r="G129">
        <v>0</v>
      </c>
      <c r="H129">
        <v>0</v>
      </c>
      <c r="I129">
        <v>-401.55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401.55</v>
      </c>
      <c r="S129">
        <v>0</v>
      </c>
      <c r="T129">
        <v>0</v>
      </c>
      <c r="U129">
        <v>-401.55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f>SUMPRODUCT(DB_ThemeSOFAcct[[#This Row],[Plan01]:[Plan12]],$E$14:$P$14)/valUnits2</f>
        <v>0</v>
      </c>
      <c r="AD129">
        <f>SUMPRODUCT(DB_ThemeSOFAcct[[#This Row],[Act01]:[Act12]],$Q$14:$AB$14)/valUnits2</f>
        <v>0</v>
      </c>
      <c r="AE129">
        <f>DB_ThemeSOFAcct[[#This Row],[Actuals]]-DB_ThemeSOFAcct[[#This Row],[Plan]]</f>
        <v>0</v>
      </c>
      <c r="AF129">
        <f>IF(DB_ThemeSOFAcct[[#This Row],[Plan]]&lt;&gt;0,DB_ThemeSOFAcct[[#This Row],[Actuals]]/DB_ThemeSOFAcct[[#This Row],[Plan]],1.000011000011)</f>
        <v>1.0000110000110001</v>
      </c>
      <c r="AG129" s="34">
        <f>SUM(DB_ThemeSOFAcct[[#This Row],[Plan01]:[Plan12]])/valUnits2</f>
        <v>0</v>
      </c>
      <c r="AH129" s="34">
        <f>SUMPRODUCT(DB_ThemeSOFAcct[[#This Row],[Act01]:[Act12]],$Q$3:$AB$3)/valUnits2</f>
        <v>0</v>
      </c>
    </row>
    <row r="130" spans="2:34" x14ac:dyDescent="0.2">
      <c r="B130" t="s">
        <v>342</v>
      </c>
      <c r="C130" t="s">
        <v>905</v>
      </c>
      <c r="D130" t="s">
        <v>236</v>
      </c>
      <c r="E130">
        <v>0</v>
      </c>
      <c r="F130">
        <v>0</v>
      </c>
      <c r="G130">
        <v>1603.67</v>
      </c>
      <c r="H130">
        <v>0</v>
      </c>
      <c r="I130">
        <v>-1603.67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1603.67</v>
      </c>
      <c r="T130">
        <v>0</v>
      </c>
      <c r="U130">
        <v>-1603.67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f>SUMPRODUCT(DB_ThemeSOFAcct[[#This Row],[Plan01]:[Plan12]],$E$14:$P$14)/valUnits2</f>
        <v>0</v>
      </c>
      <c r="AD130">
        <f>SUMPRODUCT(DB_ThemeSOFAcct[[#This Row],[Act01]:[Act12]],$Q$14:$AB$14)/valUnits2</f>
        <v>0</v>
      </c>
      <c r="AE130">
        <f>DB_ThemeSOFAcct[[#This Row],[Actuals]]-DB_ThemeSOFAcct[[#This Row],[Plan]]</f>
        <v>0</v>
      </c>
      <c r="AF130">
        <f>IF(DB_ThemeSOFAcct[[#This Row],[Plan]]&lt;&gt;0,DB_ThemeSOFAcct[[#This Row],[Actuals]]/DB_ThemeSOFAcct[[#This Row],[Plan]],1.000011000011)</f>
        <v>1.0000110000110001</v>
      </c>
      <c r="AG130" s="34">
        <f>SUM(DB_ThemeSOFAcct[[#This Row],[Plan01]:[Plan12]])/valUnits2</f>
        <v>0</v>
      </c>
      <c r="AH130" s="34">
        <f>SUMPRODUCT(DB_ThemeSOFAcct[[#This Row],[Act01]:[Act12]],$Q$3:$AB$3)/valUnits2</f>
        <v>0</v>
      </c>
    </row>
    <row r="131" spans="2:34" x14ac:dyDescent="0.2">
      <c r="B131" t="s">
        <v>342</v>
      </c>
      <c r="C131" t="s">
        <v>905</v>
      </c>
      <c r="D131" t="s">
        <v>141</v>
      </c>
      <c r="E131">
        <v>1344.01</v>
      </c>
      <c r="F131">
        <v>205.70999999999998</v>
      </c>
      <c r="G131">
        <v>0</v>
      </c>
      <c r="H131">
        <v>0</v>
      </c>
      <c r="I131">
        <v>-1429.4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1344.0099999999998</v>
      </c>
      <c r="R131">
        <v>205.71</v>
      </c>
      <c r="S131">
        <v>0</v>
      </c>
      <c r="T131">
        <v>0</v>
      </c>
      <c r="U131">
        <v>-1429.3999999999999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f>SUMPRODUCT(DB_ThemeSOFAcct[[#This Row],[Plan01]:[Plan12]],$E$14:$P$14)/valUnits2</f>
        <v>0.12031999999999994</v>
      </c>
      <c r="AD131">
        <f>SUMPRODUCT(DB_ThemeSOFAcct[[#This Row],[Act01]:[Act12]],$Q$14:$AB$14)/valUnits2</f>
        <v>0.12031999999999994</v>
      </c>
      <c r="AE131">
        <f>DB_ThemeSOFAcct[[#This Row],[Actuals]]-DB_ThemeSOFAcct[[#This Row],[Plan]]</f>
        <v>0</v>
      </c>
      <c r="AF131">
        <f>IF(DB_ThemeSOFAcct[[#This Row],[Plan]]&lt;&gt;0,DB_ThemeSOFAcct[[#This Row],[Actuals]]/DB_ThemeSOFAcct[[#This Row],[Plan]],1.000011000011)</f>
        <v>1</v>
      </c>
      <c r="AG131" s="34">
        <f>SUM(DB_ThemeSOFAcct[[#This Row],[Plan01]:[Plan12]])/valUnits2</f>
        <v>0.12031999999999994</v>
      </c>
      <c r="AH131" s="34">
        <f>SUMPRODUCT(DB_ThemeSOFAcct[[#This Row],[Act01]:[Act12]],$Q$3:$AB$3)/valUnits2</f>
        <v>0.12031999999999994</v>
      </c>
    </row>
    <row r="132" spans="2:34" x14ac:dyDescent="0.2">
      <c r="B132" t="s">
        <v>342</v>
      </c>
      <c r="C132" t="s">
        <v>910</v>
      </c>
      <c r="D132" t="s">
        <v>235</v>
      </c>
      <c r="E132">
        <v>161.65</v>
      </c>
      <c r="F132">
        <v>0</v>
      </c>
      <c r="G132">
        <v>0</v>
      </c>
      <c r="Q132">
        <v>161.65</v>
      </c>
      <c r="R132">
        <v>0</v>
      </c>
      <c r="S132">
        <v>0</v>
      </c>
      <c r="AC132">
        <f>SUMPRODUCT(DB_ThemeSOFAcct[[#This Row],[Plan01]:[Plan12]],$E$14:$P$14)/valUnits2</f>
        <v>0.16165000000000002</v>
      </c>
      <c r="AD132">
        <f>SUMPRODUCT(DB_ThemeSOFAcct[[#This Row],[Act01]:[Act12]],$Q$14:$AB$14)/valUnits2</f>
        <v>0.16165000000000002</v>
      </c>
      <c r="AE132">
        <f>DB_ThemeSOFAcct[[#This Row],[Actuals]]-DB_ThemeSOFAcct[[#This Row],[Plan]]</f>
        <v>0</v>
      </c>
      <c r="AF132">
        <f>IF(DB_ThemeSOFAcct[[#This Row],[Plan]]&lt;&gt;0,DB_ThemeSOFAcct[[#This Row],[Actuals]]/DB_ThemeSOFAcct[[#This Row],[Plan]],1.000011000011)</f>
        <v>1</v>
      </c>
      <c r="AG132" s="34">
        <f>SUM(DB_ThemeSOFAcct[[#This Row],[Plan01]:[Plan12]])/valUnits2</f>
        <v>0.16165000000000002</v>
      </c>
      <c r="AH132" s="34">
        <f>SUMPRODUCT(DB_ThemeSOFAcct[[#This Row],[Act01]:[Act12]],$Q$3:$AB$3)/valUnits2</f>
        <v>0.16165000000000002</v>
      </c>
    </row>
    <row r="133" spans="2:34" x14ac:dyDescent="0.2">
      <c r="B133" t="s">
        <v>342</v>
      </c>
      <c r="C133" t="s">
        <v>910</v>
      </c>
      <c r="D133" t="s">
        <v>142</v>
      </c>
      <c r="E133">
        <v>767.18000000001439</v>
      </c>
      <c r="F133">
        <v>-5.0899999999987386</v>
      </c>
      <c r="G133">
        <v>0</v>
      </c>
      <c r="I133">
        <v>-81984.28</v>
      </c>
      <c r="Q133">
        <v>767.17999999999665</v>
      </c>
      <c r="R133">
        <v>5.0000000001773515E-2</v>
      </c>
      <c r="S133">
        <v>0</v>
      </c>
      <c r="U133">
        <v>-81984.28</v>
      </c>
      <c r="AC133">
        <f>SUMPRODUCT(DB_ThemeSOFAcct[[#This Row],[Plan01]:[Plan12]],$E$14:$P$14)/valUnits2</f>
        <v>-81.222189999999983</v>
      </c>
      <c r="AD133">
        <f>SUMPRODUCT(DB_ThemeSOFAcct[[#This Row],[Act01]:[Act12]],$Q$14:$AB$14)/valUnits2</f>
        <v>-81.21705</v>
      </c>
      <c r="AE133">
        <f>DB_ThemeSOFAcct[[#This Row],[Actuals]]-DB_ThemeSOFAcct[[#This Row],[Plan]]</f>
        <v>5.139999999983047E-3</v>
      </c>
      <c r="AF133">
        <f>IF(DB_ThemeSOFAcct[[#This Row],[Plan]]&lt;&gt;0,DB_ThemeSOFAcct[[#This Row],[Actuals]]/DB_ThemeSOFAcct[[#This Row],[Plan]],1.000011000011)</f>
        <v>0.99993671680116014</v>
      </c>
      <c r="AG133" s="34">
        <f>SUM(DB_ThemeSOFAcct[[#This Row],[Plan01]:[Plan12]])/valUnits2</f>
        <v>-81.222189999999983</v>
      </c>
      <c r="AH133" s="34">
        <f>SUMPRODUCT(DB_ThemeSOFAcct[[#This Row],[Act01]:[Act12]],$Q$3:$AB$3)/valUnits2</f>
        <v>-81.21705</v>
      </c>
    </row>
    <row r="134" spans="2:34" x14ac:dyDescent="0.2">
      <c r="B134" t="s">
        <v>342</v>
      </c>
      <c r="C134" t="s">
        <v>910</v>
      </c>
      <c r="D134" t="s">
        <v>140</v>
      </c>
      <c r="E134">
        <v>402.24</v>
      </c>
      <c r="F134">
        <v>381.44</v>
      </c>
      <c r="G134">
        <v>283.69</v>
      </c>
      <c r="Q134">
        <v>402.24</v>
      </c>
      <c r="R134">
        <v>381.44</v>
      </c>
      <c r="S134">
        <v>283.69</v>
      </c>
      <c r="AC134">
        <f>SUMPRODUCT(DB_ThemeSOFAcct[[#This Row],[Plan01]:[Plan12]],$E$14:$P$14)/valUnits2</f>
        <v>1.0673700000000002</v>
      </c>
      <c r="AD134">
        <f>SUMPRODUCT(DB_ThemeSOFAcct[[#This Row],[Act01]:[Act12]],$Q$14:$AB$14)/valUnits2</f>
        <v>1.0673700000000002</v>
      </c>
      <c r="AE134">
        <f>DB_ThemeSOFAcct[[#This Row],[Actuals]]-DB_ThemeSOFAcct[[#This Row],[Plan]]</f>
        <v>0</v>
      </c>
      <c r="AF134">
        <f>IF(DB_ThemeSOFAcct[[#This Row],[Plan]]&lt;&gt;0,DB_ThemeSOFAcct[[#This Row],[Actuals]]/DB_ThemeSOFAcct[[#This Row],[Plan]],1.000011000011)</f>
        <v>1</v>
      </c>
      <c r="AG134" s="34">
        <f>SUM(DB_ThemeSOFAcct[[#This Row],[Plan01]:[Plan12]])/valUnits2</f>
        <v>1.0673700000000002</v>
      </c>
      <c r="AH134" s="34">
        <f>SUMPRODUCT(DB_ThemeSOFAcct[[#This Row],[Act01]:[Act12]],$Q$3:$AB$3)/valUnits2</f>
        <v>1.0673700000000002</v>
      </c>
    </row>
    <row r="135" spans="2:34" x14ac:dyDescent="0.2">
      <c r="B135" t="s">
        <v>342</v>
      </c>
      <c r="C135" t="s">
        <v>910</v>
      </c>
      <c r="D135" t="s">
        <v>236</v>
      </c>
      <c r="E135">
        <v>892.23</v>
      </c>
      <c r="Q135">
        <v>892.23</v>
      </c>
      <c r="AC135">
        <f>SUMPRODUCT(DB_ThemeSOFAcct[[#This Row],[Plan01]:[Plan12]],$E$14:$P$14)/valUnits2</f>
        <v>0.89222999999999997</v>
      </c>
      <c r="AD135">
        <f>SUMPRODUCT(DB_ThemeSOFAcct[[#This Row],[Act01]:[Act12]],$Q$14:$AB$14)/valUnits2</f>
        <v>0.89222999999999997</v>
      </c>
      <c r="AE135">
        <f>DB_ThemeSOFAcct[[#This Row],[Actuals]]-DB_ThemeSOFAcct[[#This Row],[Plan]]</f>
        <v>0</v>
      </c>
      <c r="AF135">
        <f>IF(DB_ThemeSOFAcct[[#This Row],[Plan]]&lt;&gt;0,DB_ThemeSOFAcct[[#This Row],[Actuals]]/DB_ThemeSOFAcct[[#This Row],[Plan]],1.000011000011)</f>
        <v>1</v>
      </c>
      <c r="AG135" s="34">
        <f>SUM(DB_ThemeSOFAcct[[#This Row],[Plan01]:[Plan12]])/valUnits2</f>
        <v>0.89222999999999997</v>
      </c>
      <c r="AH135" s="34">
        <f>SUMPRODUCT(DB_ThemeSOFAcct[[#This Row],[Act01]:[Act12]],$Q$3:$AB$3)/valUnits2</f>
        <v>0.89222999999999997</v>
      </c>
    </row>
    <row r="136" spans="2:34" x14ac:dyDescent="0.2">
      <c r="B136" t="s">
        <v>342</v>
      </c>
      <c r="C136" t="s">
        <v>910</v>
      </c>
      <c r="D136" t="s">
        <v>237</v>
      </c>
      <c r="F136">
        <v>1787</v>
      </c>
      <c r="G136">
        <v>0</v>
      </c>
      <c r="I136">
        <v>341</v>
      </c>
      <c r="R136">
        <v>1787</v>
      </c>
      <c r="S136">
        <v>0</v>
      </c>
      <c r="U136">
        <v>341</v>
      </c>
      <c r="AC136">
        <f>SUMPRODUCT(DB_ThemeSOFAcct[[#This Row],[Plan01]:[Plan12]],$E$14:$P$14)/valUnits2</f>
        <v>2.1280000000000001</v>
      </c>
      <c r="AD136">
        <f>SUMPRODUCT(DB_ThemeSOFAcct[[#This Row],[Act01]:[Act12]],$Q$14:$AB$14)/valUnits2</f>
        <v>2.1280000000000001</v>
      </c>
      <c r="AE136">
        <f>DB_ThemeSOFAcct[[#This Row],[Actuals]]-DB_ThemeSOFAcct[[#This Row],[Plan]]</f>
        <v>0</v>
      </c>
      <c r="AF136">
        <f>IF(DB_ThemeSOFAcct[[#This Row],[Plan]]&lt;&gt;0,DB_ThemeSOFAcct[[#This Row],[Actuals]]/DB_ThemeSOFAcct[[#This Row],[Plan]],1.000011000011)</f>
        <v>1</v>
      </c>
      <c r="AG136" s="34">
        <f>SUM(DB_ThemeSOFAcct[[#This Row],[Plan01]:[Plan12]])/valUnits2</f>
        <v>2.1280000000000001</v>
      </c>
      <c r="AH136" s="34">
        <f>SUMPRODUCT(DB_ThemeSOFAcct[[#This Row],[Act01]:[Act12]],$Q$3:$AB$3)/valUnits2</f>
        <v>2.1280000000000001</v>
      </c>
    </row>
    <row r="137" spans="2:34" x14ac:dyDescent="0.2">
      <c r="B137" t="s">
        <v>342</v>
      </c>
      <c r="C137" t="s">
        <v>910</v>
      </c>
      <c r="D137" t="s">
        <v>141</v>
      </c>
      <c r="E137">
        <v>10041.599999999999</v>
      </c>
      <c r="F137">
        <v>273.63</v>
      </c>
      <c r="G137">
        <v>5119.74</v>
      </c>
      <c r="I137">
        <v>2111</v>
      </c>
      <c r="Q137">
        <v>10041.6</v>
      </c>
      <c r="R137">
        <v>273.63</v>
      </c>
      <c r="S137">
        <v>5119.7400000000007</v>
      </c>
      <c r="U137">
        <v>2111</v>
      </c>
      <c r="AC137">
        <f>SUMPRODUCT(DB_ThemeSOFAcct[[#This Row],[Plan01]:[Plan12]],$E$14:$P$14)/valUnits2</f>
        <v>17.545969999999997</v>
      </c>
      <c r="AD137">
        <f>SUMPRODUCT(DB_ThemeSOFAcct[[#This Row],[Act01]:[Act12]],$Q$14:$AB$14)/valUnits2</f>
        <v>17.545970000000001</v>
      </c>
      <c r="AE137">
        <f>DB_ThemeSOFAcct[[#This Row],[Actuals]]-DB_ThemeSOFAcct[[#This Row],[Plan]]</f>
        <v>0</v>
      </c>
      <c r="AF137">
        <f>IF(DB_ThemeSOFAcct[[#This Row],[Plan]]&lt;&gt;0,DB_ThemeSOFAcct[[#This Row],[Actuals]]/DB_ThemeSOFAcct[[#This Row],[Plan]],1.000011000011)</f>
        <v>1.0000000000000002</v>
      </c>
      <c r="AG137" s="34">
        <f>SUM(DB_ThemeSOFAcct[[#This Row],[Plan01]:[Plan12]])/valUnits2</f>
        <v>17.545969999999997</v>
      </c>
      <c r="AH137" s="34">
        <f>SUMPRODUCT(DB_ThemeSOFAcct[[#This Row],[Act01]:[Act12]],$Q$3:$AB$3)/valUnits2</f>
        <v>17.545970000000001</v>
      </c>
    </row>
    <row r="138" spans="2:34" x14ac:dyDescent="0.2">
      <c r="B138" t="s">
        <v>342</v>
      </c>
      <c r="C138" t="s">
        <v>912</v>
      </c>
      <c r="D138" t="s">
        <v>143</v>
      </c>
      <c r="E138">
        <v>370.74</v>
      </c>
      <c r="F138">
        <v>71.199999999999989</v>
      </c>
      <c r="H138">
        <v>-300.56</v>
      </c>
      <c r="Q138">
        <v>370.74</v>
      </c>
      <c r="R138">
        <v>71.2</v>
      </c>
      <c r="T138">
        <v>-300.56</v>
      </c>
      <c r="AC138">
        <f>SUMPRODUCT(DB_ThemeSOFAcct[[#This Row],[Plan01]:[Plan12]],$E$14:$P$14)/valUnits2</f>
        <v>0.14138000000000001</v>
      </c>
      <c r="AD138">
        <f>SUMPRODUCT(DB_ThemeSOFAcct[[#This Row],[Act01]:[Act12]],$Q$14:$AB$14)/valUnits2</f>
        <v>0.14138000000000001</v>
      </c>
      <c r="AE138">
        <f>DB_ThemeSOFAcct[[#This Row],[Actuals]]-DB_ThemeSOFAcct[[#This Row],[Plan]]</f>
        <v>0</v>
      </c>
      <c r="AF138">
        <f>IF(DB_ThemeSOFAcct[[#This Row],[Plan]]&lt;&gt;0,DB_ThemeSOFAcct[[#This Row],[Actuals]]/DB_ThemeSOFAcct[[#This Row],[Plan]],1.000011000011)</f>
        <v>1</v>
      </c>
      <c r="AG138" s="34">
        <f>SUM(DB_ThemeSOFAcct[[#This Row],[Plan01]:[Plan12]])/valUnits2</f>
        <v>0.14138000000000001</v>
      </c>
      <c r="AH138" s="34">
        <f>SUMPRODUCT(DB_ThemeSOFAcct[[#This Row],[Act01]:[Act12]],$Q$3:$AB$3)/valUnits2</f>
        <v>0.14138000000000001</v>
      </c>
    </row>
    <row r="139" spans="2:34" x14ac:dyDescent="0.2">
      <c r="B139" t="s">
        <v>342</v>
      </c>
      <c r="C139" t="s">
        <v>912</v>
      </c>
      <c r="D139" t="s">
        <v>235</v>
      </c>
      <c r="F139">
        <v>0</v>
      </c>
      <c r="R139">
        <v>0</v>
      </c>
      <c r="AC139">
        <f>SUMPRODUCT(DB_ThemeSOFAcct[[#This Row],[Plan01]:[Plan12]],$E$14:$P$14)/valUnits2</f>
        <v>0</v>
      </c>
      <c r="AD139">
        <f>SUMPRODUCT(DB_ThemeSOFAcct[[#This Row],[Act01]:[Act12]],$Q$14:$AB$14)/valUnits2</f>
        <v>0</v>
      </c>
      <c r="AE139">
        <f>DB_ThemeSOFAcct[[#This Row],[Actuals]]-DB_ThemeSOFAcct[[#This Row],[Plan]]</f>
        <v>0</v>
      </c>
      <c r="AF139">
        <f>IF(DB_ThemeSOFAcct[[#This Row],[Plan]]&lt;&gt;0,DB_ThemeSOFAcct[[#This Row],[Actuals]]/DB_ThemeSOFAcct[[#This Row],[Plan]],1.000011000011)</f>
        <v>1.0000110000110001</v>
      </c>
      <c r="AG139" s="34">
        <f>SUM(DB_ThemeSOFAcct[[#This Row],[Plan01]:[Plan12]])/valUnits2</f>
        <v>0</v>
      </c>
      <c r="AH139" s="34">
        <f>SUMPRODUCT(DB_ThemeSOFAcct[[#This Row],[Act01]:[Act12]],$Q$3:$AB$3)/valUnits2</f>
        <v>0</v>
      </c>
    </row>
    <row r="140" spans="2:34" x14ac:dyDescent="0.2">
      <c r="B140" t="s">
        <v>342</v>
      </c>
      <c r="C140" t="s">
        <v>912</v>
      </c>
      <c r="D140" t="s">
        <v>142</v>
      </c>
      <c r="E140">
        <v>808.28</v>
      </c>
      <c r="F140">
        <v>-3379.1</v>
      </c>
      <c r="Q140">
        <v>808.28</v>
      </c>
      <c r="R140">
        <v>-3379.1</v>
      </c>
      <c r="AC140">
        <f>SUMPRODUCT(DB_ThemeSOFAcct[[#This Row],[Plan01]:[Plan12]],$E$14:$P$14)/valUnits2</f>
        <v>-2.5708199999999999</v>
      </c>
      <c r="AD140">
        <f>SUMPRODUCT(DB_ThemeSOFAcct[[#This Row],[Act01]:[Act12]],$Q$14:$AB$14)/valUnits2</f>
        <v>-2.5708199999999999</v>
      </c>
      <c r="AE140">
        <f>DB_ThemeSOFAcct[[#This Row],[Actuals]]-DB_ThemeSOFAcct[[#This Row],[Plan]]</f>
        <v>0</v>
      </c>
      <c r="AF140">
        <f>IF(DB_ThemeSOFAcct[[#This Row],[Plan]]&lt;&gt;0,DB_ThemeSOFAcct[[#This Row],[Actuals]]/DB_ThemeSOFAcct[[#This Row],[Plan]],1.000011000011)</f>
        <v>1</v>
      </c>
      <c r="AG140" s="34">
        <f>SUM(DB_ThemeSOFAcct[[#This Row],[Plan01]:[Plan12]])/valUnits2</f>
        <v>-2.5708199999999999</v>
      </c>
      <c r="AH140" s="34">
        <f>SUMPRODUCT(DB_ThemeSOFAcct[[#This Row],[Act01]:[Act12]],$Q$3:$AB$3)/valUnits2</f>
        <v>-2.5708199999999999</v>
      </c>
    </row>
    <row r="141" spans="2:34" x14ac:dyDescent="0.2">
      <c r="B141" t="s">
        <v>342</v>
      </c>
      <c r="C141" t="s">
        <v>912</v>
      </c>
      <c r="D141" t="s">
        <v>140</v>
      </c>
      <c r="E141">
        <v>4028.87</v>
      </c>
      <c r="F141">
        <v>-9.2370555648813024E-14</v>
      </c>
      <c r="H141">
        <v>-4028.87</v>
      </c>
      <c r="Q141">
        <v>4028.87</v>
      </c>
      <c r="R141">
        <v>0</v>
      </c>
      <c r="T141">
        <v>-4028.87</v>
      </c>
      <c r="AC141">
        <f>SUMPRODUCT(DB_ThemeSOFAcct[[#This Row],[Plan01]:[Plan12]],$E$14:$P$14)/valUnits2</f>
        <v>0</v>
      </c>
      <c r="AD141">
        <f>SUMPRODUCT(DB_ThemeSOFAcct[[#This Row],[Act01]:[Act12]],$Q$14:$AB$14)/valUnits2</f>
        <v>0</v>
      </c>
      <c r="AE141">
        <f>DB_ThemeSOFAcct[[#This Row],[Actuals]]-DB_ThemeSOFAcct[[#This Row],[Plan]]</f>
        <v>0</v>
      </c>
      <c r="AF141">
        <f>IF(DB_ThemeSOFAcct[[#This Row],[Plan]]&lt;&gt;0,DB_ThemeSOFAcct[[#This Row],[Actuals]]/DB_ThemeSOFAcct[[#This Row],[Plan]],1.000011000011)</f>
        <v>1.0000110000110001</v>
      </c>
      <c r="AG141" s="34">
        <f>SUM(DB_ThemeSOFAcct[[#This Row],[Plan01]:[Plan12]])/valUnits2</f>
        <v>0</v>
      </c>
      <c r="AH141" s="34">
        <f>SUMPRODUCT(DB_ThemeSOFAcct[[#This Row],[Act01]:[Act12]],$Q$3:$AB$3)/valUnits2</f>
        <v>0</v>
      </c>
    </row>
    <row r="142" spans="2:34" x14ac:dyDescent="0.2">
      <c r="B142" t="s">
        <v>342</v>
      </c>
      <c r="C142" t="s">
        <v>912</v>
      </c>
      <c r="D142" t="s">
        <v>236</v>
      </c>
      <c r="E142">
        <v>0</v>
      </c>
      <c r="Q142">
        <v>0</v>
      </c>
      <c r="AC142">
        <f>SUMPRODUCT(DB_ThemeSOFAcct[[#This Row],[Plan01]:[Plan12]],$E$14:$P$14)/valUnits2</f>
        <v>0</v>
      </c>
      <c r="AD142">
        <f>SUMPRODUCT(DB_ThemeSOFAcct[[#This Row],[Act01]:[Act12]],$Q$14:$AB$14)/valUnits2</f>
        <v>0</v>
      </c>
      <c r="AE142">
        <f>DB_ThemeSOFAcct[[#This Row],[Actuals]]-DB_ThemeSOFAcct[[#This Row],[Plan]]</f>
        <v>0</v>
      </c>
      <c r="AF142">
        <f>IF(DB_ThemeSOFAcct[[#This Row],[Plan]]&lt;&gt;0,DB_ThemeSOFAcct[[#This Row],[Actuals]]/DB_ThemeSOFAcct[[#This Row],[Plan]],1.000011000011)</f>
        <v>1.0000110000110001</v>
      </c>
      <c r="AG142" s="34">
        <f>SUM(DB_ThemeSOFAcct[[#This Row],[Plan01]:[Plan12]])/valUnits2</f>
        <v>0</v>
      </c>
      <c r="AH142" s="34">
        <f>SUMPRODUCT(DB_ThemeSOFAcct[[#This Row],[Act01]:[Act12]],$Q$3:$AB$3)/valUnits2</f>
        <v>0</v>
      </c>
    </row>
    <row r="143" spans="2:34" x14ac:dyDescent="0.2">
      <c r="B143" t="s">
        <v>342</v>
      </c>
      <c r="C143" t="s">
        <v>912</v>
      </c>
      <c r="D143" t="s">
        <v>237</v>
      </c>
      <c r="F143">
        <v>0</v>
      </c>
      <c r="R143">
        <v>0</v>
      </c>
      <c r="AC143">
        <f>SUMPRODUCT(DB_ThemeSOFAcct[[#This Row],[Plan01]:[Plan12]],$E$14:$P$14)/valUnits2</f>
        <v>0</v>
      </c>
      <c r="AD143">
        <f>SUMPRODUCT(DB_ThemeSOFAcct[[#This Row],[Act01]:[Act12]],$Q$14:$AB$14)/valUnits2</f>
        <v>0</v>
      </c>
      <c r="AE143">
        <f>DB_ThemeSOFAcct[[#This Row],[Actuals]]-DB_ThemeSOFAcct[[#This Row],[Plan]]</f>
        <v>0</v>
      </c>
      <c r="AF143">
        <f>IF(DB_ThemeSOFAcct[[#This Row],[Plan]]&lt;&gt;0,DB_ThemeSOFAcct[[#This Row],[Actuals]]/DB_ThemeSOFAcct[[#This Row],[Plan]],1.000011000011)</f>
        <v>1.0000110000110001</v>
      </c>
      <c r="AG143" s="34">
        <f>SUM(DB_ThemeSOFAcct[[#This Row],[Plan01]:[Plan12]])/valUnits2</f>
        <v>0</v>
      </c>
      <c r="AH143" s="34">
        <f>SUMPRODUCT(DB_ThemeSOFAcct[[#This Row],[Act01]:[Act12]],$Q$3:$AB$3)/valUnits2</f>
        <v>0</v>
      </c>
    </row>
    <row r="144" spans="2:34" x14ac:dyDescent="0.2">
      <c r="B144" t="s">
        <v>342</v>
      </c>
      <c r="C144" t="s">
        <v>912</v>
      </c>
      <c r="D144" t="s">
        <v>141</v>
      </c>
      <c r="E144">
        <v>0.01</v>
      </c>
      <c r="F144">
        <v>164.77</v>
      </c>
      <c r="Q144">
        <v>0.01</v>
      </c>
      <c r="R144">
        <v>164.77</v>
      </c>
      <c r="AC144">
        <f>SUMPRODUCT(DB_ThemeSOFAcct[[#This Row],[Plan01]:[Plan12]],$E$14:$P$14)/valUnits2</f>
        <v>0.16478000000000001</v>
      </c>
      <c r="AD144">
        <f>SUMPRODUCT(DB_ThemeSOFAcct[[#This Row],[Act01]:[Act12]],$Q$14:$AB$14)/valUnits2</f>
        <v>0.16478000000000001</v>
      </c>
      <c r="AE144">
        <f>DB_ThemeSOFAcct[[#This Row],[Actuals]]-DB_ThemeSOFAcct[[#This Row],[Plan]]</f>
        <v>0</v>
      </c>
      <c r="AF144">
        <f>IF(DB_ThemeSOFAcct[[#This Row],[Plan]]&lt;&gt;0,DB_ThemeSOFAcct[[#This Row],[Actuals]]/DB_ThemeSOFAcct[[#This Row],[Plan]],1.000011000011)</f>
        <v>1</v>
      </c>
      <c r="AG144" s="34">
        <f>SUM(DB_ThemeSOFAcct[[#This Row],[Plan01]:[Plan12]])/valUnits2</f>
        <v>0.16478000000000001</v>
      </c>
      <c r="AH144" s="34">
        <f>SUMPRODUCT(DB_ThemeSOFAcct[[#This Row],[Act01]:[Act12]],$Q$3:$AB$3)/valUnits2</f>
        <v>0.16478000000000001</v>
      </c>
    </row>
    <row r="145" spans="2:34" x14ac:dyDescent="0.2">
      <c r="B145" t="s">
        <v>342</v>
      </c>
      <c r="C145" t="s">
        <v>915</v>
      </c>
      <c r="D145" t="s">
        <v>143</v>
      </c>
      <c r="E145">
        <v>0</v>
      </c>
      <c r="H145">
        <v>0</v>
      </c>
      <c r="K145">
        <v>0</v>
      </c>
      <c r="N145">
        <v>0</v>
      </c>
      <c r="Q145">
        <v>0</v>
      </c>
      <c r="T145">
        <v>0</v>
      </c>
      <c r="W145">
        <v>0</v>
      </c>
      <c r="Z145">
        <v>0</v>
      </c>
      <c r="AC145">
        <f>SUMPRODUCT(DB_ThemeSOFAcct[[#This Row],[Plan01]:[Plan12]],$E$14:$P$14)/valUnits2</f>
        <v>0</v>
      </c>
      <c r="AD145">
        <f>SUMPRODUCT(DB_ThemeSOFAcct[[#This Row],[Act01]:[Act12]],$Q$14:$AB$14)/valUnits2</f>
        <v>0</v>
      </c>
      <c r="AE145">
        <f>DB_ThemeSOFAcct[[#This Row],[Actuals]]-DB_ThemeSOFAcct[[#This Row],[Plan]]</f>
        <v>0</v>
      </c>
      <c r="AF145">
        <f>IF(DB_ThemeSOFAcct[[#This Row],[Plan]]&lt;&gt;0,DB_ThemeSOFAcct[[#This Row],[Actuals]]/DB_ThemeSOFAcct[[#This Row],[Plan]],1.000011000011)</f>
        <v>1.0000110000110001</v>
      </c>
      <c r="AG145" s="34">
        <f>SUM(DB_ThemeSOFAcct[[#This Row],[Plan01]:[Plan12]])/valUnits2</f>
        <v>0</v>
      </c>
      <c r="AH145" s="34">
        <f>SUMPRODUCT(DB_ThemeSOFAcct[[#This Row],[Act01]:[Act12]],$Q$3:$AB$3)/valUnits2</f>
        <v>0</v>
      </c>
    </row>
    <row r="146" spans="2:34" x14ac:dyDescent="0.2">
      <c r="B146" t="s">
        <v>342</v>
      </c>
      <c r="C146" t="s">
        <v>915</v>
      </c>
      <c r="D146" t="s">
        <v>235</v>
      </c>
      <c r="E146">
        <v>0</v>
      </c>
      <c r="F146">
        <v>15.874000000000001</v>
      </c>
      <c r="H146">
        <v>86.254999999999995</v>
      </c>
      <c r="K146">
        <v>0</v>
      </c>
      <c r="N146">
        <v>0</v>
      </c>
      <c r="Q146">
        <v>0</v>
      </c>
      <c r="R146">
        <v>16.27</v>
      </c>
      <c r="T146">
        <v>84.75</v>
      </c>
      <c r="W146">
        <v>0</v>
      </c>
      <c r="Z146">
        <v>0</v>
      </c>
      <c r="AC146">
        <f>SUMPRODUCT(DB_ThemeSOFAcct[[#This Row],[Plan01]:[Plan12]],$E$14:$P$14)/valUnits2</f>
        <v>0.102129</v>
      </c>
      <c r="AD146">
        <f>SUMPRODUCT(DB_ThemeSOFAcct[[#This Row],[Act01]:[Act12]],$Q$14:$AB$14)/valUnits2</f>
        <v>0.10102</v>
      </c>
      <c r="AE146">
        <f>DB_ThemeSOFAcct[[#This Row],[Actuals]]-DB_ThemeSOFAcct[[#This Row],[Plan]]</f>
        <v>-1.1089999999999989E-3</v>
      </c>
      <c r="AF146">
        <f>IF(DB_ThemeSOFAcct[[#This Row],[Plan]]&lt;&gt;0,DB_ThemeSOFAcct[[#This Row],[Actuals]]/DB_ThemeSOFAcct[[#This Row],[Plan]],1.000011000011)</f>
        <v>0.98914118418862418</v>
      </c>
      <c r="AG146" s="34">
        <f>SUM(DB_ThemeSOFAcct[[#This Row],[Plan01]:[Plan12]])/valUnits2</f>
        <v>0.102129</v>
      </c>
      <c r="AH146" s="34">
        <f>SUMPRODUCT(DB_ThemeSOFAcct[[#This Row],[Act01]:[Act12]],$Q$3:$AB$3)/valUnits2</f>
        <v>0.10102</v>
      </c>
    </row>
    <row r="147" spans="2:34" x14ac:dyDescent="0.2">
      <c r="B147" t="s">
        <v>342</v>
      </c>
      <c r="C147" t="s">
        <v>915</v>
      </c>
      <c r="D147" t="s">
        <v>142</v>
      </c>
      <c r="E147">
        <v>130.90499999999963</v>
      </c>
      <c r="F147">
        <v>1.8999999997946659E-2</v>
      </c>
      <c r="G147">
        <v>17592.680000000004</v>
      </c>
      <c r="H147">
        <v>-1.300000000034629E-2</v>
      </c>
      <c r="I147">
        <v>1.0000000000387033E-2</v>
      </c>
      <c r="J147">
        <v>6060.4459999999999</v>
      </c>
      <c r="K147">
        <v>7280.3939999999993</v>
      </c>
      <c r="L147">
        <v>8213.0249999999978</v>
      </c>
      <c r="M147">
        <v>7403.681999999998</v>
      </c>
      <c r="N147">
        <v>6744.128999999999</v>
      </c>
      <c r="O147">
        <v>7056.235999999999</v>
      </c>
      <c r="P147">
        <v>6121.1009999999987</v>
      </c>
      <c r="Q147">
        <v>131.07999999999998</v>
      </c>
      <c r="R147">
        <v>1.9999999999683382E-2</v>
      </c>
      <c r="S147">
        <v>17431.129999999994</v>
      </c>
      <c r="T147">
        <v>-1.0000000000317755E-2</v>
      </c>
      <c r="U147">
        <v>1.0000000000218279E-2</v>
      </c>
      <c r="V147">
        <v>6940.4399999999987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f>SUMPRODUCT(DB_ThemeSOFAcct[[#This Row],[Plan01]:[Plan12]],$E$14:$P$14)/valUnits2</f>
        <v>23.784047000000005</v>
      </c>
      <c r="AD147">
        <f>SUMPRODUCT(DB_ThemeSOFAcct[[#This Row],[Act01]:[Act12]],$Q$14:$AB$14)/valUnits2</f>
        <v>24.502669999999988</v>
      </c>
      <c r="AE147">
        <f>DB_ThemeSOFAcct[[#This Row],[Actuals]]-DB_ThemeSOFAcct[[#This Row],[Plan]]</f>
        <v>0.71862299999998314</v>
      </c>
      <c r="AF147">
        <f>IF(DB_ThemeSOFAcct[[#This Row],[Plan]]&lt;&gt;0,DB_ThemeSOFAcct[[#This Row],[Actuals]]/DB_ThemeSOFAcct[[#This Row],[Plan]],1.000011000011)</f>
        <v>1.0302144962966135</v>
      </c>
      <c r="AG147" s="34">
        <f>SUM(DB_ThemeSOFAcct[[#This Row],[Plan01]:[Plan12]])/valUnits2</f>
        <v>66.602614000000003</v>
      </c>
      <c r="AH147" s="34">
        <f>SUMPRODUCT(DB_ThemeSOFAcct[[#This Row],[Act01]:[Act12]],$Q$3:$AB$3)/valUnits2</f>
        <v>24.502669999999988</v>
      </c>
    </row>
    <row r="148" spans="2:34" x14ac:dyDescent="0.2">
      <c r="B148" t="s">
        <v>342</v>
      </c>
      <c r="C148" t="s">
        <v>915</v>
      </c>
      <c r="D148" t="s">
        <v>140</v>
      </c>
      <c r="E148">
        <v>730.21199999999999</v>
      </c>
      <c r="F148">
        <v>1037.3620000000001</v>
      </c>
      <c r="G148">
        <v>992.84799999999996</v>
      </c>
      <c r="H148">
        <v>1277.7440000000001</v>
      </c>
      <c r="I148">
        <v>890.375</v>
      </c>
      <c r="J148">
        <v>1071.375</v>
      </c>
      <c r="K148">
        <v>1071.375</v>
      </c>
      <c r="L148">
        <v>1071.375</v>
      </c>
      <c r="M148">
        <v>1071.375</v>
      </c>
      <c r="N148">
        <v>1071.375</v>
      </c>
      <c r="O148">
        <v>1071.375</v>
      </c>
      <c r="P148">
        <v>1071.375</v>
      </c>
      <c r="Q148">
        <v>734.44999999999993</v>
      </c>
      <c r="R148">
        <v>1062.3200000000002</v>
      </c>
      <c r="S148">
        <v>978.93</v>
      </c>
      <c r="T148">
        <v>1250.3200000000002</v>
      </c>
      <c r="U148">
        <v>900.41000000000008</v>
      </c>
      <c r="V148">
        <v>1371.39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f>SUMPRODUCT(DB_ThemeSOFAcct[[#This Row],[Plan01]:[Plan12]],$E$14:$P$14)/valUnits2</f>
        <v>5.9999159999999998</v>
      </c>
      <c r="AD148">
        <f>SUMPRODUCT(DB_ThemeSOFAcct[[#This Row],[Act01]:[Act12]],$Q$14:$AB$14)/valUnits2</f>
        <v>6.2978200000000006</v>
      </c>
      <c r="AE148">
        <f>DB_ThemeSOFAcct[[#This Row],[Actuals]]-DB_ThemeSOFAcct[[#This Row],[Plan]]</f>
        <v>0.29790400000000083</v>
      </c>
      <c r="AF148">
        <f>IF(DB_ThemeSOFAcct[[#This Row],[Plan]]&lt;&gt;0,DB_ThemeSOFAcct[[#This Row],[Actuals]]/DB_ThemeSOFAcct[[#This Row],[Plan]],1.000011000011)</f>
        <v>1.0496513617857317</v>
      </c>
      <c r="AG148" s="34">
        <f>SUM(DB_ThemeSOFAcct[[#This Row],[Plan01]:[Plan12]])/valUnits2</f>
        <v>12.428166000000001</v>
      </c>
      <c r="AH148" s="34">
        <f>SUMPRODUCT(DB_ThemeSOFAcct[[#This Row],[Act01]:[Act12]],$Q$3:$AB$3)/valUnits2</f>
        <v>6.2978200000000006</v>
      </c>
    </row>
    <row r="149" spans="2:34" x14ac:dyDescent="0.2">
      <c r="B149" t="s">
        <v>342</v>
      </c>
      <c r="C149" t="s">
        <v>915</v>
      </c>
      <c r="D149" t="s">
        <v>237</v>
      </c>
      <c r="E149">
        <v>0</v>
      </c>
      <c r="H149">
        <v>0</v>
      </c>
      <c r="K149">
        <v>0</v>
      </c>
      <c r="N149">
        <v>0</v>
      </c>
      <c r="Q149">
        <v>0</v>
      </c>
      <c r="T149">
        <v>0</v>
      </c>
      <c r="W149">
        <v>0</v>
      </c>
      <c r="Z149">
        <v>0</v>
      </c>
      <c r="AC149">
        <f>SUMPRODUCT(DB_ThemeSOFAcct[[#This Row],[Plan01]:[Plan12]],$E$14:$P$14)/valUnits2</f>
        <v>0</v>
      </c>
      <c r="AD149">
        <f>SUMPRODUCT(DB_ThemeSOFAcct[[#This Row],[Act01]:[Act12]],$Q$14:$AB$14)/valUnits2</f>
        <v>0</v>
      </c>
      <c r="AE149">
        <f>DB_ThemeSOFAcct[[#This Row],[Actuals]]-DB_ThemeSOFAcct[[#This Row],[Plan]]</f>
        <v>0</v>
      </c>
      <c r="AF149">
        <f>IF(DB_ThemeSOFAcct[[#This Row],[Plan]]&lt;&gt;0,DB_ThemeSOFAcct[[#This Row],[Actuals]]/DB_ThemeSOFAcct[[#This Row],[Plan]],1.000011000011)</f>
        <v>1.0000110000110001</v>
      </c>
      <c r="AG149" s="34">
        <f>SUM(DB_ThemeSOFAcct[[#This Row],[Plan01]:[Plan12]])/valUnits2</f>
        <v>0</v>
      </c>
      <c r="AH149" s="34">
        <f>SUMPRODUCT(DB_ThemeSOFAcct[[#This Row],[Act01]:[Act12]],$Q$3:$AB$3)/valUnits2</f>
        <v>0</v>
      </c>
    </row>
    <row r="150" spans="2:34" x14ac:dyDescent="0.2">
      <c r="B150" t="s">
        <v>342</v>
      </c>
      <c r="C150" t="s">
        <v>915</v>
      </c>
      <c r="D150" t="s">
        <v>141</v>
      </c>
      <c r="E150">
        <v>19.015000000000001</v>
      </c>
      <c r="F150">
        <v>102.32600000000001</v>
      </c>
      <c r="G150">
        <v>66.721000000000004</v>
      </c>
      <c r="H150">
        <v>11.5</v>
      </c>
      <c r="I150">
        <v>35.305999999999997</v>
      </c>
      <c r="J150">
        <v>540.70299999999997</v>
      </c>
      <c r="K150">
        <v>65.927999999999997</v>
      </c>
      <c r="L150">
        <v>540.70299999999997</v>
      </c>
      <c r="M150">
        <v>65.927999999999997</v>
      </c>
      <c r="N150">
        <v>540.70299999999997</v>
      </c>
      <c r="O150">
        <v>65.927999999999997</v>
      </c>
      <c r="P150">
        <v>539.89400000000001</v>
      </c>
      <c r="Q150">
        <v>19.04</v>
      </c>
      <c r="R150">
        <v>104.19000000000001</v>
      </c>
      <c r="S150">
        <v>66.06</v>
      </c>
      <c r="T150">
        <v>11.3</v>
      </c>
      <c r="U150">
        <v>36.910000000000004</v>
      </c>
      <c r="V150">
        <v>59.519999999999996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f>SUMPRODUCT(DB_ThemeSOFAcct[[#This Row],[Plan01]:[Plan12]],$E$14:$P$14)/valUnits2</f>
        <v>0.7755709999999999</v>
      </c>
      <c r="AD150">
        <f>SUMPRODUCT(DB_ThemeSOFAcct[[#This Row],[Act01]:[Act12]],$Q$14:$AB$14)/valUnits2</f>
        <v>0.29702000000000006</v>
      </c>
      <c r="AE150">
        <f>DB_ThemeSOFAcct[[#This Row],[Actuals]]-DB_ThemeSOFAcct[[#This Row],[Plan]]</f>
        <v>-0.47855099999999984</v>
      </c>
      <c r="AF150">
        <f>IF(DB_ThemeSOFAcct[[#This Row],[Plan]]&lt;&gt;0,DB_ThemeSOFAcct[[#This Row],[Actuals]]/DB_ThemeSOFAcct[[#This Row],[Plan]],1.000011000011)</f>
        <v>0.38296945089488921</v>
      </c>
      <c r="AG150" s="34">
        <f>SUM(DB_ThemeSOFAcct[[#This Row],[Plan01]:[Plan12]])/valUnits2</f>
        <v>2.5946549999999999</v>
      </c>
      <c r="AH150" s="34">
        <f>SUMPRODUCT(DB_ThemeSOFAcct[[#This Row],[Act01]:[Act12]],$Q$3:$AB$3)/valUnits2</f>
        <v>0.29702000000000006</v>
      </c>
    </row>
    <row r="151" spans="2:34" x14ac:dyDescent="0.2">
      <c r="B151" t="s">
        <v>342</v>
      </c>
      <c r="C151" t="s">
        <v>363</v>
      </c>
      <c r="D151" t="s">
        <v>144</v>
      </c>
      <c r="J151">
        <v>0</v>
      </c>
      <c r="V151">
        <v>2877.3</v>
      </c>
      <c r="AC151">
        <f>SUMPRODUCT(DB_ThemeSOFAcct[[#This Row],[Plan01]:[Plan12]],$E$14:$P$14)/valUnits2</f>
        <v>0</v>
      </c>
      <c r="AD151">
        <f>SUMPRODUCT(DB_ThemeSOFAcct[[#This Row],[Act01]:[Act12]],$Q$14:$AB$14)/valUnits2</f>
        <v>2.8773</v>
      </c>
      <c r="AE151">
        <f>DB_ThemeSOFAcct[[#This Row],[Actuals]]-DB_ThemeSOFAcct[[#This Row],[Plan]]</f>
        <v>2.8773</v>
      </c>
      <c r="AF151">
        <f>IF(DB_ThemeSOFAcct[[#This Row],[Plan]]&lt;&gt;0,DB_ThemeSOFAcct[[#This Row],[Actuals]]/DB_ThemeSOFAcct[[#This Row],[Plan]],1.000011000011)</f>
        <v>1.0000110000110001</v>
      </c>
      <c r="AG151" s="34">
        <f>SUM(DB_ThemeSOFAcct[[#This Row],[Plan01]:[Plan12]])/valUnits2</f>
        <v>0</v>
      </c>
      <c r="AH151" s="34">
        <f>SUMPRODUCT(DB_ThemeSOFAcct[[#This Row],[Act01]:[Act12]],$Q$3:$AB$3)/valUnits2</f>
        <v>2.8773</v>
      </c>
    </row>
    <row r="152" spans="2:34" x14ac:dyDescent="0.2">
      <c r="B152" t="s">
        <v>342</v>
      </c>
      <c r="C152" t="s">
        <v>919</v>
      </c>
      <c r="D152" t="s">
        <v>143</v>
      </c>
      <c r="E152">
        <v>0</v>
      </c>
      <c r="F152">
        <v>0</v>
      </c>
      <c r="I152">
        <v>0</v>
      </c>
      <c r="K152">
        <v>21060.168000000001</v>
      </c>
      <c r="Q152">
        <v>0</v>
      </c>
      <c r="R152">
        <v>0</v>
      </c>
      <c r="U152">
        <v>0</v>
      </c>
      <c r="W152">
        <v>0</v>
      </c>
      <c r="AC152">
        <f>SUMPRODUCT(DB_ThemeSOFAcct[[#This Row],[Plan01]:[Plan12]],$E$14:$P$14)/valUnits2</f>
        <v>0</v>
      </c>
      <c r="AD152">
        <f>SUMPRODUCT(DB_ThemeSOFAcct[[#This Row],[Act01]:[Act12]],$Q$14:$AB$14)/valUnits2</f>
        <v>0</v>
      </c>
      <c r="AE152">
        <f>DB_ThemeSOFAcct[[#This Row],[Actuals]]-DB_ThemeSOFAcct[[#This Row],[Plan]]</f>
        <v>0</v>
      </c>
      <c r="AF152">
        <f>IF(DB_ThemeSOFAcct[[#This Row],[Plan]]&lt;&gt;0,DB_ThemeSOFAcct[[#This Row],[Actuals]]/DB_ThemeSOFAcct[[#This Row],[Plan]],1.000011000011)</f>
        <v>1.0000110000110001</v>
      </c>
      <c r="AG152" s="34">
        <f>SUM(DB_ThemeSOFAcct[[#This Row],[Plan01]:[Plan12]])/valUnits2</f>
        <v>21.060168000000001</v>
      </c>
      <c r="AH152" s="34">
        <f>SUMPRODUCT(DB_ThemeSOFAcct[[#This Row],[Act01]:[Act12]],$Q$3:$AB$3)/valUnits2</f>
        <v>0</v>
      </c>
    </row>
    <row r="153" spans="2:34" x14ac:dyDescent="0.2">
      <c r="B153" t="s">
        <v>342</v>
      </c>
      <c r="C153" t="s">
        <v>919</v>
      </c>
      <c r="D153" t="s">
        <v>235</v>
      </c>
      <c r="E153">
        <v>190.535</v>
      </c>
      <c r="F153">
        <v>711.55600000000004</v>
      </c>
      <c r="G153">
        <v>224.834</v>
      </c>
      <c r="H153">
        <v>141.99799999999999</v>
      </c>
      <c r="I153">
        <v>215.94900000000001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184.98</v>
      </c>
      <c r="R153">
        <v>729.83</v>
      </c>
      <c r="S153">
        <v>227.69</v>
      </c>
      <c r="T153">
        <v>141.52000000000001</v>
      </c>
      <c r="U153">
        <v>214.23</v>
      </c>
      <c r="V153">
        <v>632.44999999999993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f>SUMPRODUCT(DB_ThemeSOFAcct[[#This Row],[Plan01]:[Plan12]],$E$14:$P$14)/valUnits2</f>
        <v>1.484872</v>
      </c>
      <c r="AD153">
        <f>SUMPRODUCT(DB_ThemeSOFAcct[[#This Row],[Act01]:[Act12]],$Q$14:$AB$14)/valUnits2</f>
        <v>2.1307</v>
      </c>
      <c r="AE153">
        <f>DB_ThemeSOFAcct[[#This Row],[Actuals]]-DB_ThemeSOFAcct[[#This Row],[Plan]]</f>
        <v>0.64582800000000007</v>
      </c>
      <c r="AF153">
        <f>IF(DB_ThemeSOFAcct[[#This Row],[Plan]]&lt;&gt;0,DB_ThemeSOFAcct[[#This Row],[Actuals]]/DB_ThemeSOFAcct[[#This Row],[Plan]],1.000011000011)</f>
        <v>1.4349384997494734</v>
      </c>
      <c r="AG153" s="34">
        <f>SUM(DB_ThemeSOFAcct[[#This Row],[Plan01]:[Plan12]])/valUnits2</f>
        <v>1.484872</v>
      </c>
      <c r="AH153" s="34">
        <f>SUMPRODUCT(DB_ThemeSOFAcct[[#This Row],[Act01]:[Act12]],$Q$3:$AB$3)/valUnits2</f>
        <v>2.1307</v>
      </c>
    </row>
    <row r="154" spans="2:34" x14ac:dyDescent="0.2">
      <c r="B154" t="s">
        <v>342</v>
      </c>
      <c r="C154" t="s">
        <v>919</v>
      </c>
      <c r="D154" t="s">
        <v>142</v>
      </c>
      <c r="E154">
        <v>4.9000000004994604E-2</v>
      </c>
      <c r="F154">
        <v>445591.14199999999</v>
      </c>
      <c r="G154">
        <v>-4.8000000005572474E-2</v>
      </c>
      <c r="H154">
        <v>21558.624999999953</v>
      </c>
      <c r="I154">
        <v>756176.20600000012</v>
      </c>
      <c r="J154">
        <v>200802.35799999992</v>
      </c>
      <c r="K154">
        <v>655788.6190000003</v>
      </c>
      <c r="L154">
        <v>295165.53500000003</v>
      </c>
      <c r="M154">
        <v>532724.10200000007</v>
      </c>
      <c r="N154">
        <v>535673.20199999993</v>
      </c>
      <c r="O154">
        <v>473718.70799999998</v>
      </c>
      <c r="P154">
        <v>539886.42099999997</v>
      </c>
      <c r="Q154">
        <v>5.0000000001176659E-2</v>
      </c>
      <c r="R154">
        <v>459235.49000000005</v>
      </c>
      <c r="S154">
        <v>-5.0000000014051693E-2</v>
      </c>
      <c r="T154">
        <v>21271.390000000025</v>
      </c>
      <c r="U154">
        <v>754320.66</v>
      </c>
      <c r="V154">
        <v>166852.70999999993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f>SUMPRODUCT(DB_ThemeSOFAcct[[#This Row],[Plan01]:[Plan12]],$E$14:$P$14)/valUnits2</f>
        <v>1424.128332</v>
      </c>
      <c r="AD154">
        <f>SUMPRODUCT(DB_ThemeSOFAcct[[#This Row],[Act01]:[Act12]],$Q$14:$AB$14)/valUnits2</f>
        <v>1401.6802499999999</v>
      </c>
      <c r="AE154">
        <f>DB_ThemeSOFAcct[[#This Row],[Actuals]]-DB_ThemeSOFAcct[[#This Row],[Plan]]</f>
        <v>-22.448082000000113</v>
      </c>
      <c r="AF154">
        <f>IF(DB_ThemeSOFAcct[[#This Row],[Plan]]&lt;&gt;0,DB_ThemeSOFAcct[[#This Row],[Actuals]]/DB_ThemeSOFAcct[[#This Row],[Plan]],1.000011000011)</f>
        <v>0.98423731801720793</v>
      </c>
      <c r="AG154" s="34">
        <f>SUM(DB_ThemeSOFAcct[[#This Row],[Plan01]:[Plan12]])/valUnits2</f>
        <v>4457.0849190000008</v>
      </c>
      <c r="AH154" s="34">
        <f>SUMPRODUCT(DB_ThemeSOFAcct[[#This Row],[Act01]:[Act12]],$Q$3:$AB$3)/valUnits2</f>
        <v>1401.6802499999999</v>
      </c>
    </row>
    <row r="155" spans="2:34" x14ac:dyDescent="0.2">
      <c r="B155" t="s">
        <v>342</v>
      </c>
      <c r="C155" t="s">
        <v>919</v>
      </c>
      <c r="D155" t="s">
        <v>140</v>
      </c>
      <c r="E155">
        <v>12152.038</v>
      </c>
      <c r="F155">
        <v>14613.836000000001</v>
      </c>
      <c r="G155">
        <v>17522.576999999994</v>
      </c>
      <c r="H155">
        <v>14085.427999999998</v>
      </c>
      <c r="I155">
        <v>17845.887999999995</v>
      </c>
      <c r="J155">
        <v>19679.816000000003</v>
      </c>
      <c r="K155">
        <v>19679.815999999999</v>
      </c>
      <c r="L155">
        <v>19679.815999999999</v>
      </c>
      <c r="M155">
        <v>19679.816000000003</v>
      </c>
      <c r="N155">
        <v>19679.815999999999</v>
      </c>
      <c r="O155">
        <v>19679.815999999999</v>
      </c>
      <c r="P155">
        <v>19566.342000000001</v>
      </c>
      <c r="Q155">
        <v>11970.32</v>
      </c>
      <c r="R155">
        <v>14919.710000000001</v>
      </c>
      <c r="S155">
        <v>17681.189999999999</v>
      </c>
      <c r="T155">
        <v>14010.35</v>
      </c>
      <c r="U155">
        <v>17643.400000000001</v>
      </c>
      <c r="V155">
        <v>17055.510000000002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f>SUMPRODUCT(DB_ThemeSOFAcct[[#This Row],[Plan01]:[Plan12]],$E$14:$P$14)/valUnits2</f>
        <v>95.899582999999993</v>
      </c>
      <c r="AD155">
        <f>SUMPRODUCT(DB_ThemeSOFAcct[[#This Row],[Act01]:[Act12]],$Q$14:$AB$14)/valUnits2</f>
        <v>93.280480000000011</v>
      </c>
      <c r="AE155">
        <f>DB_ThemeSOFAcct[[#This Row],[Actuals]]-DB_ThemeSOFAcct[[#This Row],[Plan]]</f>
        <v>-2.6191029999999813</v>
      </c>
      <c r="AF155">
        <f>IF(DB_ThemeSOFAcct[[#This Row],[Plan]]&lt;&gt;0,DB_ThemeSOFAcct[[#This Row],[Actuals]]/DB_ThemeSOFAcct[[#This Row],[Plan]],1.000011000011)</f>
        <v>0.97268910960749455</v>
      </c>
      <c r="AG155" s="34">
        <f>SUM(DB_ThemeSOFAcct[[#This Row],[Plan01]:[Plan12]])/valUnits2</f>
        <v>213.86500499999997</v>
      </c>
      <c r="AH155" s="34">
        <f>SUMPRODUCT(DB_ThemeSOFAcct[[#This Row],[Act01]:[Act12]],$Q$3:$AB$3)/valUnits2</f>
        <v>93.280480000000011</v>
      </c>
    </row>
    <row r="156" spans="2:34" x14ac:dyDescent="0.2">
      <c r="B156" t="s">
        <v>342</v>
      </c>
      <c r="C156" t="s">
        <v>919</v>
      </c>
      <c r="D156" t="s">
        <v>236</v>
      </c>
      <c r="E156">
        <v>11521.736000000001</v>
      </c>
      <c r="F156">
        <v>16.036999999999999</v>
      </c>
      <c r="G156">
        <v>64.977999999999994</v>
      </c>
      <c r="H156">
        <v>13162.298999999999</v>
      </c>
      <c r="I156">
        <v>1737.653</v>
      </c>
      <c r="J156">
        <v>20946.424999999999</v>
      </c>
      <c r="K156">
        <v>27280.083000000002</v>
      </c>
      <c r="L156">
        <v>6949.3369999999995</v>
      </c>
      <c r="M156">
        <v>9032.3119999999999</v>
      </c>
      <c r="P156">
        <v>1144.421</v>
      </c>
      <c r="Q156">
        <v>11165.41</v>
      </c>
      <c r="R156">
        <v>16.5</v>
      </c>
      <c r="S156">
        <v>66.260000000000005</v>
      </c>
      <c r="T156">
        <v>13117.050000000001</v>
      </c>
      <c r="U156">
        <v>1742.1000000000001</v>
      </c>
      <c r="V156">
        <v>0</v>
      </c>
      <c r="W156">
        <v>0</v>
      </c>
      <c r="X156">
        <v>0</v>
      </c>
      <c r="Y156">
        <v>0</v>
      </c>
      <c r="AB156">
        <v>0</v>
      </c>
      <c r="AC156">
        <f>SUMPRODUCT(DB_ThemeSOFAcct[[#This Row],[Plan01]:[Plan12]],$E$14:$P$14)/valUnits2</f>
        <v>47.449127999999995</v>
      </c>
      <c r="AD156">
        <f>SUMPRODUCT(DB_ThemeSOFAcct[[#This Row],[Act01]:[Act12]],$Q$14:$AB$14)/valUnits2</f>
        <v>26.107320000000001</v>
      </c>
      <c r="AE156">
        <f>DB_ThemeSOFAcct[[#This Row],[Actuals]]-DB_ThemeSOFAcct[[#This Row],[Plan]]</f>
        <v>-21.341807999999993</v>
      </c>
      <c r="AF156">
        <f>IF(DB_ThemeSOFAcct[[#This Row],[Plan]]&lt;&gt;0,DB_ThemeSOFAcct[[#This Row],[Actuals]]/DB_ThemeSOFAcct[[#This Row],[Plan]],1.000011000011)</f>
        <v>0.55021706615978283</v>
      </c>
      <c r="AG156" s="34">
        <f>SUM(DB_ThemeSOFAcct[[#This Row],[Plan01]:[Plan12]])/valUnits2</f>
        <v>91.855281000000005</v>
      </c>
      <c r="AH156" s="34">
        <f>SUMPRODUCT(DB_ThemeSOFAcct[[#This Row],[Act01]:[Act12]],$Q$3:$AB$3)/valUnits2</f>
        <v>26.107320000000001</v>
      </c>
    </row>
    <row r="157" spans="2:34" x14ac:dyDescent="0.2">
      <c r="B157" t="s">
        <v>342</v>
      </c>
      <c r="C157" t="s">
        <v>919</v>
      </c>
      <c r="D157" t="s">
        <v>237</v>
      </c>
      <c r="G157">
        <v>218.36100000000002</v>
      </c>
      <c r="I157">
        <v>68.918000000000006</v>
      </c>
      <c r="J157">
        <v>0</v>
      </c>
      <c r="P157">
        <v>11026.878000000001</v>
      </c>
      <c r="S157">
        <v>222.67000000000002</v>
      </c>
      <c r="U157">
        <v>69.27</v>
      </c>
      <c r="V157">
        <v>897.87</v>
      </c>
      <c r="AB157">
        <v>0</v>
      </c>
      <c r="AC157">
        <f>SUMPRODUCT(DB_ThemeSOFAcct[[#This Row],[Plan01]:[Plan12]],$E$14:$P$14)/valUnits2</f>
        <v>0.28727900000000001</v>
      </c>
      <c r="AD157">
        <f>SUMPRODUCT(DB_ThemeSOFAcct[[#This Row],[Act01]:[Act12]],$Q$14:$AB$14)/valUnits2</f>
        <v>1.18981</v>
      </c>
      <c r="AE157">
        <f>DB_ThemeSOFAcct[[#This Row],[Actuals]]-DB_ThemeSOFAcct[[#This Row],[Plan]]</f>
        <v>0.90253099999999997</v>
      </c>
      <c r="AF157">
        <f>IF(DB_ThemeSOFAcct[[#This Row],[Plan]]&lt;&gt;0,DB_ThemeSOFAcct[[#This Row],[Actuals]]/DB_ThemeSOFAcct[[#This Row],[Plan]],1.000011000011)</f>
        <v>4.1416532360527567</v>
      </c>
      <c r="AG157" s="34">
        <f>SUM(DB_ThemeSOFAcct[[#This Row],[Plan01]:[Plan12]])/valUnits2</f>
        <v>11.314157000000002</v>
      </c>
      <c r="AH157" s="34">
        <f>SUMPRODUCT(DB_ThemeSOFAcct[[#This Row],[Act01]:[Act12]],$Q$3:$AB$3)/valUnits2</f>
        <v>1.18981</v>
      </c>
    </row>
    <row r="158" spans="2:34" x14ac:dyDescent="0.2">
      <c r="B158" t="s">
        <v>342</v>
      </c>
      <c r="C158" t="s">
        <v>919</v>
      </c>
      <c r="D158" t="s">
        <v>141</v>
      </c>
      <c r="E158">
        <v>1757.671</v>
      </c>
      <c r="F158">
        <v>2970.232</v>
      </c>
      <c r="G158">
        <v>785.61099999999999</v>
      </c>
      <c r="H158">
        <v>1694.83</v>
      </c>
      <c r="I158">
        <v>7529.7879999999996</v>
      </c>
      <c r="J158">
        <v>3696.5389999999998</v>
      </c>
      <c r="K158">
        <v>3696.5389999999998</v>
      </c>
      <c r="L158">
        <v>3696.5389999999998</v>
      </c>
      <c r="M158">
        <v>3696.5389999999998</v>
      </c>
      <c r="N158">
        <v>3696.5389999999998</v>
      </c>
      <c r="O158">
        <v>3696.5389999999998</v>
      </c>
      <c r="P158">
        <v>26451.629000000001</v>
      </c>
      <c r="Q158">
        <v>1711.9999999999998</v>
      </c>
      <c r="R158">
        <v>3052.7799999999997</v>
      </c>
      <c r="S158">
        <v>799.77</v>
      </c>
      <c r="T158">
        <v>1685.56</v>
      </c>
      <c r="U158">
        <v>7538.7499999999991</v>
      </c>
      <c r="V158">
        <v>3414.96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f>SUMPRODUCT(DB_ThemeSOFAcct[[#This Row],[Plan01]:[Plan12]],$E$14:$P$14)/valUnits2</f>
        <v>18.434670999999998</v>
      </c>
      <c r="AD158">
        <f>SUMPRODUCT(DB_ThemeSOFAcct[[#This Row],[Act01]:[Act12]],$Q$14:$AB$14)/valUnits2</f>
        <v>18.203819999999997</v>
      </c>
      <c r="AE158">
        <f>DB_ThemeSOFAcct[[#This Row],[Actuals]]-DB_ThemeSOFAcct[[#This Row],[Plan]]</f>
        <v>-0.23085100000000125</v>
      </c>
      <c r="AF158">
        <f>IF(DB_ThemeSOFAcct[[#This Row],[Plan]]&lt;&gt;0,DB_ThemeSOFAcct[[#This Row],[Actuals]]/DB_ThemeSOFAcct[[#This Row],[Plan]],1.000011000011)</f>
        <v>0.9874773463545945</v>
      </c>
      <c r="AG158" s="34">
        <f>SUM(DB_ThemeSOFAcct[[#This Row],[Plan01]:[Plan12]])/valUnits2</f>
        <v>63.368994999999998</v>
      </c>
      <c r="AH158" s="34">
        <f>SUMPRODUCT(DB_ThemeSOFAcct[[#This Row],[Act01]:[Act12]],$Q$3:$AB$3)/valUnits2</f>
        <v>18.203819999999997</v>
      </c>
    </row>
    <row r="159" spans="2:34" x14ac:dyDescent="0.2">
      <c r="B159" t="s">
        <v>342</v>
      </c>
      <c r="C159" t="s">
        <v>927</v>
      </c>
      <c r="D159" t="s">
        <v>143</v>
      </c>
      <c r="E159">
        <v>71.09</v>
      </c>
      <c r="Q159">
        <v>0</v>
      </c>
      <c r="AC159">
        <f>SUMPRODUCT(DB_ThemeSOFAcct[[#This Row],[Plan01]:[Plan12]],$E$14:$P$14)/valUnits2</f>
        <v>7.109E-2</v>
      </c>
      <c r="AD159">
        <f>SUMPRODUCT(DB_ThemeSOFAcct[[#This Row],[Act01]:[Act12]],$Q$14:$AB$14)/valUnits2</f>
        <v>0</v>
      </c>
      <c r="AE159">
        <f>DB_ThemeSOFAcct[[#This Row],[Actuals]]-DB_ThemeSOFAcct[[#This Row],[Plan]]</f>
        <v>-7.109E-2</v>
      </c>
      <c r="AF159">
        <f>IF(DB_ThemeSOFAcct[[#This Row],[Plan]]&lt;&gt;0,DB_ThemeSOFAcct[[#This Row],[Actuals]]/DB_ThemeSOFAcct[[#This Row],[Plan]],1.000011000011)</f>
        <v>0</v>
      </c>
      <c r="AG159" s="34">
        <f>SUM(DB_ThemeSOFAcct[[#This Row],[Plan01]:[Plan12]])/valUnits2</f>
        <v>7.109E-2</v>
      </c>
      <c r="AH159" s="34">
        <f>SUMPRODUCT(DB_ThemeSOFAcct[[#This Row],[Act01]:[Act12]],$Q$3:$AB$3)/valUnits2</f>
        <v>0</v>
      </c>
    </row>
    <row r="160" spans="2:34" x14ac:dyDescent="0.2">
      <c r="B160" t="s">
        <v>342</v>
      </c>
      <c r="C160" t="s">
        <v>927</v>
      </c>
      <c r="D160" t="s">
        <v>235</v>
      </c>
      <c r="E160">
        <v>298.77000000000004</v>
      </c>
      <c r="F160">
        <v>757.99</v>
      </c>
      <c r="G160">
        <v>201.91</v>
      </c>
      <c r="H160">
        <v>523.91</v>
      </c>
      <c r="I160">
        <v>781.12</v>
      </c>
      <c r="J160">
        <v>0</v>
      </c>
      <c r="Q160">
        <v>369.86</v>
      </c>
      <c r="R160">
        <v>757.99</v>
      </c>
      <c r="S160">
        <v>201.91</v>
      </c>
      <c r="T160">
        <v>523.91</v>
      </c>
      <c r="U160">
        <v>781.12000000000012</v>
      </c>
      <c r="V160">
        <v>1769.75</v>
      </c>
      <c r="AC160">
        <f>SUMPRODUCT(DB_ThemeSOFAcct[[#This Row],[Plan01]:[Plan12]],$E$14:$P$14)/valUnits2</f>
        <v>2.5636999999999999</v>
      </c>
      <c r="AD160">
        <f>SUMPRODUCT(DB_ThemeSOFAcct[[#This Row],[Act01]:[Act12]],$Q$14:$AB$14)/valUnits2</f>
        <v>4.4045399999999999</v>
      </c>
      <c r="AE160">
        <f>DB_ThemeSOFAcct[[#This Row],[Actuals]]-DB_ThemeSOFAcct[[#This Row],[Plan]]</f>
        <v>1.84084</v>
      </c>
      <c r="AF160">
        <f>IF(DB_ThemeSOFAcct[[#This Row],[Plan]]&lt;&gt;0,DB_ThemeSOFAcct[[#This Row],[Actuals]]/DB_ThemeSOFAcct[[#This Row],[Plan]],1.000011000011)</f>
        <v>1.7180403323321762</v>
      </c>
      <c r="AG160" s="34">
        <f>SUM(DB_ThemeSOFAcct[[#This Row],[Plan01]:[Plan12]])/valUnits2</f>
        <v>2.5636999999999999</v>
      </c>
      <c r="AH160" s="34">
        <f>SUMPRODUCT(DB_ThemeSOFAcct[[#This Row],[Act01]:[Act12]],$Q$3:$AB$3)/valUnits2</f>
        <v>4.4045399999999999</v>
      </c>
    </row>
    <row r="161" spans="2:34" x14ac:dyDescent="0.2">
      <c r="B161" t="s">
        <v>342</v>
      </c>
      <c r="C161" t="s">
        <v>927</v>
      </c>
      <c r="D161" t="s">
        <v>142</v>
      </c>
      <c r="E161">
        <v>366626.45000000007</v>
      </c>
      <c r="F161">
        <v>38600.069999999992</v>
      </c>
      <c r="G161">
        <v>21335.449999999972</v>
      </c>
      <c r="H161">
        <v>46972.1</v>
      </c>
      <c r="I161">
        <v>249859.22999999998</v>
      </c>
      <c r="J161">
        <v>252451.99900000001</v>
      </c>
      <c r="K161">
        <v>144687.666</v>
      </c>
      <c r="L161">
        <v>144687.666</v>
      </c>
      <c r="M161">
        <v>144687.666</v>
      </c>
      <c r="N161">
        <v>144687.666</v>
      </c>
      <c r="O161">
        <v>144687.666</v>
      </c>
      <c r="P161">
        <v>144687.666</v>
      </c>
      <c r="Q161">
        <v>366626.45</v>
      </c>
      <c r="R161">
        <v>38663.319999999992</v>
      </c>
      <c r="S161">
        <v>21335.449999999983</v>
      </c>
      <c r="T161">
        <v>46972.100000000006</v>
      </c>
      <c r="U161">
        <v>249859.23</v>
      </c>
      <c r="V161">
        <v>95049.170000000027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f>SUMPRODUCT(DB_ThemeSOFAcct[[#This Row],[Plan01]:[Plan12]],$E$14:$P$14)/valUnits2</f>
        <v>975.84529900000007</v>
      </c>
      <c r="AD161">
        <f>SUMPRODUCT(DB_ThemeSOFAcct[[#This Row],[Act01]:[Act12]],$Q$14:$AB$14)/valUnits2</f>
        <v>818.50572</v>
      </c>
      <c r="AE161">
        <f>DB_ThemeSOFAcct[[#This Row],[Actuals]]-DB_ThemeSOFAcct[[#This Row],[Plan]]</f>
        <v>-157.33957900000007</v>
      </c>
      <c r="AF161">
        <f>IF(DB_ThemeSOFAcct[[#This Row],[Plan]]&lt;&gt;0,DB_ThemeSOFAcct[[#This Row],[Actuals]]/DB_ThemeSOFAcct[[#This Row],[Plan]],1.000011000011)</f>
        <v>0.83876585852159746</v>
      </c>
      <c r="AG161" s="34">
        <f>SUM(DB_ThemeSOFAcct[[#This Row],[Plan01]:[Plan12]])/valUnits2</f>
        <v>1843.9712949999998</v>
      </c>
      <c r="AH161" s="34">
        <f>SUMPRODUCT(DB_ThemeSOFAcct[[#This Row],[Act01]:[Act12]],$Q$3:$AB$3)/valUnits2</f>
        <v>818.50572</v>
      </c>
    </row>
    <row r="162" spans="2:34" x14ac:dyDescent="0.2">
      <c r="B162" t="s">
        <v>342</v>
      </c>
      <c r="C162" t="s">
        <v>927</v>
      </c>
      <c r="D162" t="s">
        <v>140</v>
      </c>
      <c r="E162">
        <v>44722.16</v>
      </c>
      <c r="F162">
        <v>41383.33</v>
      </c>
      <c r="G162">
        <v>32548.99</v>
      </c>
      <c r="H162">
        <v>30811.630000000005</v>
      </c>
      <c r="I162">
        <v>49286.369999999995</v>
      </c>
      <c r="J162">
        <v>26801.082999999999</v>
      </c>
      <c r="K162">
        <v>26801.082999999999</v>
      </c>
      <c r="L162">
        <v>26801.082999999999</v>
      </c>
      <c r="M162">
        <v>26801.082999999999</v>
      </c>
      <c r="N162">
        <v>26801.082999999999</v>
      </c>
      <c r="O162">
        <v>26801.082999999999</v>
      </c>
      <c r="P162">
        <v>26801.082999999999</v>
      </c>
      <c r="Q162">
        <v>44722.16</v>
      </c>
      <c r="R162">
        <v>41383.33</v>
      </c>
      <c r="S162">
        <v>32548.99</v>
      </c>
      <c r="T162">
        <v>30811.63</v>
      </c>
      <c r="U162">
        <v>49286.369999999995</v>
      </c>
      <c r="V162">
        <v>32602.55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f>SUMPRODUCT(DB_ThemeSOFAcct[[#This Row],[Plan01]:[Plan12]],$E$14:$P$14)/valUnits2</f>
        <v>225.55356300000003</v>
      </c>
      <c r="AD162">
        <f>SUMPRODUCT(DB_ThemeSOFAcct[[#This Row],[Act01]:[Act12]],$Q$14:$AB$14)/valUnits2</f>
        <v>231.35503</v>
      </c>
      <c r="AE162">
        <f>DB_ThemeSOFAcct[[#This Row],[Actuals]]-DB_ThemeSOFAcct[[#This Row],[Plan]]</f>
        <v>5.801466999999974</v>
      </c>
      <c r="AF162">
        <f>IF(DB_ThemeSOFAcct[[#This Row],[Plan]]&lt;&gt;0,DB_ThemeSOFAcct[[#This Row],[Actuals]]/DB_ThemeSOFAcct[[#This Row],[Plan]],1.000011000011)</f>
        <v>1.025721016874382</v>
      </c>
      <c r="AG162" s="34">
        <f>SUM(DB_ThemeSOFAcct[[#This Row],[Plan01]:[Plan12]])/valUnits2</f>
        <v>386.36006099999992</v>
      </c>
      <c r="AH162" s="34">
        <f>SUMPRODUCT(DB_ThemeSOFAcct[[#This Row],[Act01]:[Act12]],$Q$3:$AB$3)/valUnits2</f>
        <v>231.35503</v>
      </c>
    </row>
    <row r="163" spans="2:34" x14ac:dyDescent="0.2">
      <c r="B163" t="s">
        <v>342</v>
      </c>
      <c r="C163" t="s">
        <v>927</v>
      </c>
      <c r="D163" t="s">
        <v>236</v>
      </c>
      <c r="E163">
        <v>262.69</v>
      </c>
      <c r="F163">
        <v>1213.1399999999999</v>
      </c>
      <c r="G163">
        <v>598.33000000000004</v>
      </c>
      <c r="H163">
        <v>488.65</v>
      </c>
      <c r="I163">
        <v>4148.8599999999997</v>
      </c>
      <c r="J163">
        <v>0</v>
      </c>
      <c r="Q163">
        <v>262.69</v>
      </c>
      <c r="R163">
        <v>1213.1399999999999</v>
      </c>
      <c r="S163">
        <v>598.33000000000004</v>
      </c>
      <c r="T163">
        <v>488.65</v>
      </c>
      <c r="U163">
        <v>4148.8600000000006</v>
      </c>
      <c r="V163">
        <v>5236.7299999999996</v>
      </c>
      <c r="AC163">
        <f>SUMPRODUCT(DB_ThemeSOFAcct[[#This Row],[Plan01]:[Plan12]],$E$14:$P$14)/valUnits2</f>
        <v>6.7116699999999998</v>
      </c>
      <c r="AD163">
        <f>SUMPRODUCT(DB_ThemeSOFAcct[[#This Row],[Act01]:[Act12]],$Q$14:$AB$14)/valUnits2</f>
        <v>11.948399999999999</v>
      </c>
      <c r="AE163">
        <f>DB_ThemeSOFAcct[[#This Row],[Actuals]]-DB_ThemeSOFAcct[[#This Row],[Plan]]</f>
        <v>5.2367299999999997</v>
      </c>
      <c r="AF163">
        <f>IF(DB_ThemeSOFAcct[[#This Row],[Plan]]&lt;&gt;0,DB_ThemeSOFAcct[[#This Row],[Actuals]]/DB_ThemeSOFAcct[[#This Row],[Plan]],1.000011000011)</f>
        <v>1.7802424731847661</v>
      </c>
      <c r="AG163" s="34">
        <f>SUM(DB_ThemeSOFAcct[[#This Row],[Plan01]:[Plan12]])/valUnits2</f>
        <v>6.7116699999999998</v>
      </c>
      <c r="AH163" s="34">
        <f>SUMPRODUCT(DB_ThemeSOFAcct[[#This Row],[Act01]:[Act12]],$Q$3:$AB$3)/valUnits2</f>
        <v>11.948399999999999</v>
      </c>
    </row>
    <row r="164" spans="2:34" x14ac:dyDescent="0.2">
      <c r="B164" t="s">
        <v>342</v>
      </c>
      <c r="C164" t="s">
        <v>927</v>
      </c>
      <c r="D164" t="s">
        <v>237</v>
      </c>
      <c r="E164">
        <v>6552.14</v>
      </c>
      <c r="F164">
        <v>4352.6899999999996</v>
      </c>
      <c r="G164">
        <v>4125.8599999999997</v>
      </c>
      <c r="H164">
        <v>2415.2500000000005</v>
      </c>
      <c r="I164">
        <v>6444.95</v>
      </c>
      <c r="J164">
        <v>0</v>
      </c>
      <c r="Q164">
        <v>6552.14</v>
      </c>
      <c r="R164">
        <v>4352.6899999999996</v>
      </c>
      <c r="S164">
        <v>4125.8599999999997</v>
      </c>
      <c r="T164">
        <v>2415.2500000000005</v>
      </c>
      <c r="U164">
        <v>6444.95</v>
      </c>
      <c r="V164">
        <v>12195.039999999999</v>
      </c>
      <c r="AC164">
        <f>SUMPRODUCT(DB_ThemeSOFAcct[[#This Row],[Plan01]:[Plan12]],$E$14:$P$14)/valUnits2</f>
        <v>23.890889999999999</v>
      </c>
      <c r="AD164">
        <f>SUMPRODUCT(DB_ThemeSOFAcct[[#This Row],[Act01]:[Act12]],$Q$14:$AB$14)/valUnits2</f>
        <v>36.085929999999998</v>
      </c>
      <c r="AE164">
        <f>DB_ThemeSOFAcct[[#This Row],[Actuals]]-DB_ThemeSOFAcct[[#This Row],[Plan]]</f>
        <v>12.195039999999999</v>
      </c>
      <c r="AF164">
        <f>IF(DB_ThemeSOFAcct[[#This Row],[Plan]]&lt;&gt;0,DB_ThemeSOFAcct[[#This Row],[Actuals]]/DB_ThemeSOFAcct[[#This Row],[Plan]],1.000011000011)</f>
        <v>1.510447287648137</v>
      </c>
      <c r="AG164" s="34">
        <f>SUM(DB_ThemeSOFAcct[[#This Row],[Plan01]:[Plan12]])/valUnits2</f>
        <v>23.890889999999999</v>
      </c>
      <c r="AH164" s="34">
        <f>SUMPRODUCT(DB_ThemeSOFAcct[[#This Row],[Act01]:[Act12]],$Q$3:$AB$3)/valUnits2</f>
        <v>36.085929999999998</v>
      </c>
    </row>
    <row r="165" spans="2:34" x14ac:dyDescent="0.2">
      <c r="B165" t="s">
        <v>342</v>
      </c>
      <c r="C165" t="s">
        <v>927</v>
      </c>
      <c r="D165" t="s">
        <v>141</v>
      </c>
      <c r="E165">
        <v>10835.43</v>
      </c>
      <c r="F165">
        <v>14399.150000000001</v>
      </c>
      <c r="G165">
        <v>5475.6</v>
      </c>
      <c r="H165">
        <v>7871.91</v>
      </c>
      <c r="I165">
        <v>4692.25</v>
      </c>
      <c r="J165">
        <v>1347.5</v>
      </c>
      <c r="K165">
        <v>1347.5</v>
      </c>
      <c r="L165">
        <v>1347.5</v>
      </c>
      <c r="M165">
        <v>1347.5</v>
      </c>
      <c r="N165">
        <v>1347.5</v>
      </c>
      <c r="O165">
        <v>1347.5</v>
      </c>
      <c r="P165">
        <v>1347.5</v>
      </c>
      <c r="Q165">
        <v>10835.43</v>
      </c>
      <c r="R165">
        <v>14399.150000000001</v>
      </c>
      <c r="S165">
        <v>5475.5999999999995</v>
      </c>
      <c r="T165">
        <v>7871.9100000000008</v>
      </c>
      <c r="U165">
        <v>4692.25</v>
      </c>
      <c r="V165">
        <v>5785.1600000000008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f>SUMPRODUCT(DB_ThemeSOFAcct[[#This Row],[Plan01]:[Plan12]],$E$14:$P$14)/valUnits2</f>
        <v>44.621839999999999</v>
      </c>
      <c r="AD165">
        <f>SUMPRODUCT(DB_ThemeSOFAcct[[#This Row],[Act01]:[Act12]],$Q$14:$AB$14)/valUnits2</f>
        <v>49.059500000000007</v>
      </c>
      <c r="AE165">
        <f>DB_ThemeSOFAcct[[#This Row],[Actuals]]-DB_ThemeSOFAcct[[#This Row],[Plan]]</f>
        <v>4.4376600000000082</v>
      </c>
      <c r="AF165">
        <f>IF(DB_ThemeSOFAcct[[#This Row],[Plan]]&lt;&gt;0,DB_ThemeSOFAcct[[#This Row],[Actuals]]/DB_ThemeSOFAcct[[#This Row],[Plan]],1.000011000011)</f>
        <v>1.0994504036588364</v>
      </c>
      <c r="AG165" s="34">
        <f>SUM(DB_ThemeSOFAcct[[#This Row],[Plan01]:[Plan12]])/valUnits2</f>
        <v>52.70684</v>
      </c>
      <c r="AH165" s="34">
        <f>SUMPRODUCT(DB_ThemeSOFAcct[[#This Row],[Act01]:[Act12]],$Q$3:$AB$3)/valUnits2</f>
        <v>49.059500000000007</v>
      </c>
    </row>
    <row r="166" spans="2:34" x14ac:dyDescent="0.2">
      <c r="B166" t="s">
        <v>351</v>
      </c>
      <c r="C166" t="s">
        <v>841</v>
      </c>
      <c r="D166" t="s">
        <v>143</v>
      </c>
      <c r="E166">
        <v>0</v>
      </c>
      <c r="F166">
        <v>0</v>
      </c>
      <c r="G166">
        <v>0</v>
      </c>
      <c r="J166">
        <v>0</v>
      </c>
      <c r="Q166">
        <v>0</v>
      </c>
      <c r="R166">
        <v>0</v>
      </c>
      <c r="S166">
        <v>0</v>
      </c>
      <c r="V166">
        <v>594.06000000000006</v>
      </c>
      <c r="AC166">
        <f>SUMPRODUCT(DB_ThemeSOFAcct[[#This Row],[Plan01]:[Plan12]],$E$14:$P$14)/valUnits2</f>
        <v>0</v>
      </c>
      <c r="AD166">
        <f>SUMPRODUCT(DB_ThemeSOFAcct[[#This Row],[Act01]:[Act12]],$Q$14:$AB$14)/valUnits2</f>
        <v>0.59406000000000003</v>
      </c>
      <c r="AE166">
        <f>DB_ThemeSOFAcct[[#This Row],[Actuals]]-DB_ThemeSOFAcct[[#This Row],[Plan]]</f>
        <v>0.59406000000000003</v>
      </c>
      <c r="AF166">
        <f>IF(DB_ThemeSOFAcct[[#This Row],[Plan]]&lt;&gt;0,DB_ThemeSOFAcct[[#This Row],[Actuals]]/DB_ThemeSOFAcct[[#This Row],[Plan]],1.000011000011)</f>
        <v>1.0000110000110001</v>
      </c>
      <c r="AG166" s="34">
        <f>SUM(DB_ThemeSOFAcct[[#This Row],[Plan01]:[Plan12]])/valUnits2</f>
        <v>0</v>
      </c>
      <c r="AH166" s="34">
        <f>SUMPRODUCT(DB_ThemeSOFAcct[[#This Row],[Act01]:[Act12]],$Q$3:$AB$3)/valUnits2</f>
        <v>0.59406000000000003</v>
      </c>
    </row>
    <row r="167" spans="2:34" x14ac:dyDescent="0.2">
      <c r="B167" t="s">
        <v>351</v>
      </c>
      <c r="C167" t="s">
        <v>841</v>
      </c>
      <c r="D167" t="s">
        <v>235</v>
      </c>
      <c r="J167">
        <v>0</v>
      </c>
      <c r="V167">
        <v>16.75</v>
      </c>
      <c r="AC167">
        <f>SUMPRODUCT(DB_ThemeSOFAcct[[#This Row],[Plan01]:[Plan12]],$E$14:$P$14)/valUnits2</f>
        <v>0</v>
      </c>
      <c r="AD167">
        <f>SUMPRODUCT(DB_ThemeSOFAcct[[#This Row],[Act01]:[Act12]],$Q$14:$AB$14)/valUnits2</f>
        <v>1.6750000000000001E-2</v>
      </c>
      <c r="AE167">
        <f>DB_ThemeSOFAcct[[#This Row],[Actuals]]-DB_ThemeSOFAcct[[#This Row],[Plan]]</f>
        <v>1.6750000000000001E-2</v>
      </c>
      <c r="AF167">
        <f>IF(DB_ThemeSOFAcct[[#This Row],[Plan]]&lt;&gt;0,DB_ThemeSOFAcct[[#This Row],[Actuals]]/DB_ThemeSOFAcct[[#This Row],[Plan]],1.000011000011)</f>
        <v>1.0000110000110001</v>
      </c>
      <c r="AG167" s="34">
        <f>SUM(DB_ThemeSOFAcct[[#This Row],[Plan01]:[Plan12]])/valUnits2</f>
        <v>0</v>
      </c>
      <c r="AH167" s="34">
        <f>SUMPRODUCT(DB_ThemeSOFAcct[[#This Row],[Act01]:[Act12]],$Q$3:$AB$3)/valUnits2</f>
        <v>1.6750000000000001E-2</v>
      </c>
    </row>
    <row r="168" spans="2:34" x14ac:dyDescent="0.2">
      <c r="B168" t="s">
        <v>351</v>
      </c>
      <c r="C168" t="s">
        <v>842</v>
      </c>
      <c r="D168" t="s">
        <v>143</v>
      </c>
      <c r="E168">
        <v>0</v>
      </c>
      <c r="F168">
        <v>0</v>
      </c>
      <c r="G168">
        <v>0</v>
      </c>
      <c r="H168">
        <v>3640.337</v>
      </c>
      <c r="I168">
        <v>2147.7669999999998</v>
      </c>
      <c r="J168">
        <v>2641.3510000000001</v>
      </c>
      <c r="K168">
        <v>2641.3510000000001</v>
      </c>
      <c r="L168">
        <v>2641.3510000000001</v>
      </c>
      <c r="M168">
        <v>2641.3510000000001</v>
      </c>
      <c r="N168">
        <v>2641.3510000000001</v>
      </c>
      <c r="O168">
        <v>2641.3510000000001</v>
      </c>
      <c r="P168">
        <v>2641.3510000000001</v>
      </c>
      <c r="Q168">
        <v>0</v>
      </c>
      <c r="R168">
        <v>0</v>
      </c>
      <c r="S168">
        <v>0</v>
      </c>
      <c r="T168">
        <v>3541.8399999999997</v>
      </c>
      <c r="U168">
        <v>2091.7999999999997</v>
      </c>
      <c r="V168">
        <v>741.63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f>SUMPRODUCT(DB_ThemeSOFAcct[[#This Row],[Plan01]:[Plan12]],$E$14:$P$14)/valUnits2</f>
        <v>8.4294550000000008</v>
      </c>
      <c r="AD168">
        <f>SUMPRODUCT(DB_ThemeSOFAcct[[#This Row],[Act01]:[Act12]],$Q$14:$AB$14)/valUnits2</f>
        <v>6.3752699999999995</v>
      </c>
      <c r="AE168">
        <f>DB_ThemeSOFAcct[[#This Row],[Actuals]]-DB_ThemeSOFAcct[[#This Row],[Plan]]</f>
        <v>-2.0541850000000013</v>
      </c>
      <c r="AF168">
        <f>IF(DB_ThemeSOFAcct[[#This Row],[Plan]]&lt;&gt;0,DB_ThemeSOFAcct[[#This Row],[Actuals]]/DB_ThemeSOFAcct[[#This Row],[Plan]],1.000011000011)</f>
        <v>0.75630868187800981</v>
      </c>
      <c r="AG168" s="34">
        <f>SUM(DB_ThemeSOFAcct[[#This Row],[Plan01]:[Plan12]])/valUnits2</f>
        <v>24.277560999999999</v>
      </c>
      <c r="AH168" s="34">
        <f>SUMPRODUCT(DB_ThemeSOFAcct[[#This Row],[Act01]:[Act12]],$Q$3:$AB$3)/valUnits2</f>
        <v>6.3752699999999995</v>
      </c>
    </row>
    <row r="169" spans="2:34" x14ac:dyDescent="0.2">
      <c r="B169" t="s">
        <v>351</v>
      </c>
      <c r="C169" t="s">
        <v>842</v>
      </c>
      <c r="D169" t="s">
        <v>235</v>
      </c>
      <c r="E169">
        <v>0</v>
      </c>
      <c r="F169">
        <v>0</v>
      </c>
      <c r="G169">
        <v>0</v>
      </c>
      <c r="H169">
        <v>214.804</v>
      </c>
      <c r="I169">
        <v>356.524</v>
      </c>
      <c r="J169">
        <v>1221.4090000000001</v>
      </c>
      <c r="K169">
        <v>1221.4090000000001</v>
      </c>
      <c r="L169">
        <v>1221.4090000000001</v>
      </c>
      <c r="M169">
        <v>1221.4090000000001</v>
      </c>
      <c r="N169">
        <v>1221.4090000000001</v>
      </c>
      <c r="O169">
        <v>1221.4090000000001</v>
      </c>
      <c r="P169">
        <v>1221.4090000000001</v>
      </c>
      <c r="Q169">
        <v>0</v>
      </c>
      <c r="R169">
        <v>0</v>
      </c>
      <c r="S169">
        <v>0</v>
      </c>
      <c r="T169">
        <v>362.45000000000005</v>
      </c>
      <c r="U169">
        <v>435.08</v>
      </c>
      <c r="V169">
        <v>125.1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f>SUMPRODUCT(DB_ThemeSOFAcct[[#This Row],[Plan01]:[Plan12]],$E$14:$P$14)/valUnits2</f>
        <v>1.792737</v>
      </c>
      <c r="AD169">
        <f>SUMPRODUCT(DB_ThemeSOFAcct[[#This Row],[Act01]:[Act12]],$Q$14:$AB$14)/valUnits2</f>
        <v>0.92262999999999995</v>
      </c>
      <c r="AE169">
        <f>DB_ThemeSOFAcct[[#This Row],[Actuals]]-DB_ThemeSOFAcct[[#This Row],[Plan]]</f>
        <v>-0.87010700000000007</v>
      </c>
      <c r="AF169">
        <f>IF(DB_ThemeSOFAcct[[#This Row],[Plan]]&lt;&gt;0,DB_ThemeSOFAcct[[#This Row],[Actuals]]/DB_ThemeSOFAcct[[#This Row],[Plan]],1.000011000011)</f>
        <v>0.51464883025229013</v>
      </c>
      <c r="AG169" s="34">
        <f>SUM(DB_ThemeSOFAcct[[#This Row],[Plan01]:[Plan12]])/valUnits2</f>
        <v>9.1211909999999996</v>
      </c>
      <c r="AH169" s="34">
        <f>SUMPRODUCT(DB_ThemeSOFAcct[[#This Row],[Act01]:[Act12]],$Q$3:$AB$3)/valUnits2</f>
        <v>0.92262999999999995</v>
      </c>
    </row>
    <row r="170" spans="2:34" x14ac:dyDescent="0.2">
      <c r="B170" t="s">
        <v>351</v>
      </c>
      <c r="C170" t="s">
        <v>842</v>
      </c>
      <c r="D170" t="s">
        <v>142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f>SUMPRODUCT(DB_ThemeSOFAcct[[#This Row],[Plan01]:[Plan12]],$E$14:$P$14)/valUnits2</f>
        <v>0</v>
      </c>
      <c r="AD170">
        <f>SUMPRODUCT(DB_ThemeSOFAcct[[#This Row],[Act01]:[Act12]],$Q$14:$AB$14)/valUnits2</f>
        <v>0</v>
      </c>
      <c r="AE170">
        <f>DB_ThemeSOFAcct[[#This Row],[Actuals]]-DB_ThemeSOFAcct[[#This Row],[Plan]]</f>
        <v>0</v>
      </c>
      <c r="AF170">
        <f>IF(DB_ThemeSOFAcct[[#This Row],[Plan]]&lt;&gt;0,DB_ThemeSOFAcct[[#This Row],[Actuals]]/DB_ThemeSOFAcct[[#This Row],[Plan]],1.000011000011)</f>
        <v>1.0000110000110001</v>
      </c>
      <c r="AG170" s="34">
        <f>SUM(DB_ThemeSOFAcct[[#This Row],[Plan01]:[Plan12]])/valUnits2</f>
        <v>0</v>
      </c>
      <c r="AH170" s="34">
        <f>SUMPRODUCT(DB_ThemeSOFAcct[[#This Row],[Act01]:[Act12]],$Q$3:$AB$3)/valUnits2</f>
        <v>0</v>
      </c>
    </row>
    <row r="171" spans="2:34" x14ac:dyDescent="0.2">
      <c r="B171" t="s">
        <v>351</v>
      </c>
      <c r="C171" t="s">
        <v>842</v>
      </c>
      <c r="D171" t="s">
        <v>140</v>
      </c>
      <c r="E171">
        <v>0</v>
      </c>
      <c r="F171">
        <v>0</v>
      </c>
      <c r="G171">
        <v>0</v>
      </c>
      <c r="H171">
        <v>2591.12</v>
      </c>
      <c r="I171">
        <v>12156.208999999999</v>
      </c>
      <c r="J171">
        <v>446.10899999999998</v>
      </c>
      <c r="K171">
        <v>446.10899999999998</v>
      </c>
      <c r="L171">
        <v>446.10899999999998</v>
      </c>
      <c r="M171">
        <v>446.10899999999998</v>
      </c>
      <c r="N171">
        <v>446.10899999999998</v>
      </c>
      <c r="O171">
        <v>446.10899999999998</v>
      </c>
      <c r="P171">
        <v>446.10899999999998</v>
      </c>
      <c r="Q171">
        <v>0</v>
      </c>
      <c r="R171">
        <v>0</v>
      </c>
      <c r="S171">
        <v>0</v>
      </c>
      <c r="T171">
        <v>2582.0299999999997</v>
      </c>
      <c r="U171">
        <v>12123.45</v>
      </c>
      <c r="V171">
        <v>6922.26</v>
      </c>
      <c r="W171">
        <v>3097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f>SUMPRODUCT(DB_ThemeSOFAcct[[#This Row],[Plan01]:[Plan12]],$E$14:$P$14)/valUnits2</f>
        <v>15.193437999999999</v>
      </c>
      <c r="AD171">
        <f>SUMPRODUCT(DB_ThemeSOFAcct[[#This Row],[Act01]:[Act12]],$Q$14:$AB$14)/valUnits2</f>
        <v>21.627739999999999</v>
      </c>
      <c r="AE171">
        <f>DB_ThemeSOFAcct[[#This Row],[Actuals]]-DB_ThemeSOFAcct[[#This Row],[Plan]]</f>
        <v>6.4343020000000006</v>
      </c>
      <c r="AF171">
        <f>IF(DB_ThemeSOFAcct[[#This Row],[Plan]]&lt;&gt;0,DB_ThemeSOFAcct[[#This Row],[Actuals]]/DB_ThemeSOFAcct[[#This Row],[Plan]],1.000011000011)</f>
        <v>1.423492168132058</v>
      </c>
      <c r="AG171" s="34">
        <f>SUM(DB_ThemeSOFAcct[[#This Row],[Plan01]:[Plan12]])/valUnits2</f>
        <v>17.870092</v>
      </c>
      <c r="AH171" s="34">
        <f>SUMPRODUCT(DB_ThemeSOFAcct[[#This Row],[Act01]:[Act12]],$Q$3:$AB$3)/valUnits2</f>
        <v>21.627739999999999</v>
      </c>
    </row>
    <row r="172" spans="2:34" x14ac:dyDescent="0.2">
      <c r="B172" t="s">
        <v>351</v>
      </c>
      <c r="C172" t="s">
        <v>842</v>
      </c>
      <c r="D172" t="s">
        <v>236</v>
      </c>
      <c r="I172">
        <v>319.80600000000004</v>
      </c>
      <c r="J172">
        <v>0</v>
      </c>
      <c r="U172">
        <v>317.86</v>
      </c>
      <c r="V172">
        <v>0.77</v>
      </c>
      <c r="AC172">
        <f>SUMPRODUCT(DB_ThemeSOFAcct[[#This Row],[Plan01]:[Plan12]],$E$14:$P$14)/valUnits2</f>
        <v>0.31980600000000003</v>
      </c>
      <c r="AD172">
        <f>SUMPRODUCT(DB_ThemeSOFAcct[[#This Row],[Act01]:[Act12]],$Q$14:$AB$14)/valUnits2</f>
        <v>0.31862999999999997</v>
      </c>
      <c r="AE172">
        <f>DB_ThemeSOFAcct[[#This Row],[Actuals]]-DB_ThemeSOFAcct[[#This Row],[Plan]]</f>
        <v>-1.1760000000000659E-3</v>
      </c>
      <c r="AF172">
        <f>IF(DB_ThemeSOFAcct[[#This Row],[Plan]]&lt;&gt;0,DB_ThemeSOFAcct[[#This Row],[Actuals]]/DB_ThemeSOFAcct[[#This Row],[Plan]],1.000011000011)</f>
        <v>0.99632277067972441</v>
      </c>
      <c r="AG172" s="34">
        <f>SUM(DB_ThemeSOFAcct[[#This Row],[Plan01]:[Plan12]])/valUnits2</f>
        <v>0.31980600000000003</v>
      </c>
      <c r="AH172" s="34">
        <f>SUMPRODUCT(DB_ThemeSOFAcct[[#This Row],[Act01]:[Act12]],$Q$3:$AB$3)/valUnits2</f>
        <v>0.31862999999999997</v>
      </c>
    </row>
    <row r="173" spans="2:34" x14ac:dyDescent="0.2">
      <c r="B173" t="s">
        <v>351</v>
      </c>
      <c r="C173" t="s">
        <v>842</v>
      </c>
      <c r="D173" t="s">
        <v>237</v>
      </c>
      <c r="H173">
        <v>97.63</v>
      </c>
      <c r="I173">
        <v>38.843000000000004</v>
      </c>
      <c r="T173">
        <v>97.24</v>
      </c>
      <c r="U173">
        <v>38.840000000000003</v>
      </c>
      <c r="AC173">
        <f>SUMPRODUCT(DB_ThemeSOFAcct[[#This Row],[Plan01]:[Plan12]],$E$14:$P$14)/valUnits2</f>
        <v>0.13647300000000001</v>
      </c>
      <c r="AD173">
        <f>SUMPRODUCT(DB_ThemeSOFAcct[[#This Row],[Act01]:[Act12]],$Q$14:$AB$14)/valUnits2</f>
        <v>0.13607999999999998</v>
      </c>
      <c r="AE173">
        <f>DB_ThemeSOFAcct[[#This Row],[Actuals]]-DB_ThemeSOFAcct[[#This Row],[Plan]]</f>
        <v>-3.9300000000003221E-4</v>
      </c>
      <c r="AF173">
        <f>IF(DB_ThemeSOFAcct[[#This Row],[Plan]]&lt;&gt;0,DB_ThemeSOFAcct[[#This Row],[Actuals]]/DB_ThemeSOFAcct[[#This Row],[Plan]],1.000011000011)</f>
        <v>0.99712030951177133</v>
      </c>
      <c r="AG173" s="34">
        <f>SUM(DB_ThemeSOFAcct[[#This Row],[Plan01]:[Plan12]])/valUnits2</f>
        <v>0.13647300000000001</v>
      </c>
      <c r="AH173" s="34">
        <f>SUMPRODUCT(DB_ThemeSOFAcct[[#This Row],[Act01]:[Act12]],$Q$3:$AB$3)/valUnits2</f>
        <v>0.13607999999999998</v>
      </c>
    </row>
    <row r="174" spans="2:34" x14ac:dyDescent="0.2">
      <c r="B174" t="s">
        <v>351</v>
      </c>
      <c r="C174" t="s">
        <v>842</v>
      </c>
      <c r="D174" t="s">
        <v>141</v>
      </c>
      <c r="H174">
        <v>24.474</v>
      </c>
      <c r="I174">
        <v>30.498999999999999</v>
      </c>
      <c r="T174">
        <v>24.97</v>
      </c>
      <c r="U174">
        <v>30.29</v>
      </c>
      <c r="AC174">
        <f>SUMPRODUCT(DB_ThemeSOFAcct[[#This Row],[Plan01]:[Plan12]],$E$14:$P$14)/valUnits2</f>
        <v>5.4973000000000001E-2</v>
      </c>
      <c r="AD174">
        <f>SUMPRODUCT(DB_ThemeSOFAcct[[#This Row],[Act01]:[Act12]],$Q$14:$AB$14)/valUnits2</f>
        <v>5.5259999999999997E-2</v>
      </c>
      <c r="AE174">
        <f>DB_ThemeSOFAcct[[#This Row],[Actuals]]-DB_ThemeSOFAcct[[#This Row],[Plan]]</f>
        <v>2.8699999999999559E-4</v>
      </c>
      <c r="AF174">
        <f>IF(DB_ThemeSOFAcct[[#This Row],[Plan]]&lt;&gt;0,DB_ThemeSOFAcct[[#This Row],[Actuals]]/DB_ThemeSOFAcct[[#This Row],[Plan]],1.000011000011)</f>
        <v>1.0052207447292307</v>
      </c>
      <c r="AG174" s="34">
        <f>SUM(DB_ThemeSOFAcct[[#This Row],[Plan01]:[Plan12]])/valUnits2</f>
        <v>5.4973000000000001E-2</v>
      </c>
      <c r="AH174" s="34">
        <f>SUMPRODUCT(DB_ThemeSOFAcct[[#This Row],[Act01]:[Act12]],$Q$3:$AB$3)/valUnits2</f>
        <v>5.5259999999999997E-2</v>
      </c>
    </row>
    <row r="175" spans="2:34" x14ac:dyDescent="0.2">
      <c r="B175" t="s">
        <v>351</v>
      </c>
      <c r="C175" t="s">
        <v>843</v>
      </c>
      <c r="D175" t="s">
        <v>143</v>
      </c>
      <c r="H175">
        <v>2419.0810000000001</v>
      </c>
      <c r="I175">
        <v>818.81399999999996</v>
      </c>
      <c r="J175">
        <v>1187.6579999999999</v>
      </c>
      <c r="K175">
        <v>1187.6579999999999</v>
      </c>
      <c r="L175">
        <v>1187.6579999999999</v>
      </c>
      <c r="M175">
        <v>1187.6579999999999</v>
      </c>
      <c r="N175">
        <v>1187.6579999999999</v>
      </c>
      <c r="O175">
        <v>1187.6579999999999</v>
      </c>
      <c r="P175">
        <v>1187.6579999999999</v>
      </c>
      <c r="T175">
        <v>2352.0700000000002</v>
      </c>
      <c r="U175">
        <v>796.46999999999991</v>
      </c>
      <c r="V175">
        <v>815.06999999999982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f>SUMPRODUCT(DB_ThemeSOFAcct[[#This Row],[Plan01]:[Plan12]],$E$14:$P$14)/valUnits2</f>
        <v>4.4255529999999998</v>
      </c>
      <c r="AD175">
        <f>SUMPRODUCT(DB_ThemeSOFAcct[[#This Row],[Act01]:[Act12]],$Q$14:$AB$14)/valUnits2</f>
        <v>3.9636099999999996</v>
      </c>
      <c r="AE175">
        <f>DB_ThemeSOFAcct[[#This Row],[Actuals]]-DB_ThemeSOFAcct[[#This Row],[Plan]]</f>
        <v>-0.46194300000000021</v>
      </c>
      <c r="AF175">
        <f>IF(DB_ThemeSOFAcct[[#This Row],[Plan]]&lt;&gt;0,DB_ThemeSOFAcct[[#This Row],[Actuals]]/DB_ThemeSOFAcct[[#This Row],[Plan]],1.000011000011)</f>
        <v>0.89561914635300943</v>
      </c>
      <c r="AG175" s="34">
        <f>SUM(DB_ThemeSOFAcct[[#This Row],[Plan01]:[Plan12]])/valUnits2</f>
        <v>11.551500999999996</v>
      </c>
      <c r="AH175" s="34">
        <f>SUMPRODUCT(DB_ThemeSOFAcct[[#This Row],[Act01]:[Act12]],$Q$3:$AB$3)/valUnits2</f>
        <v>3.9636099999999996</v>
      </c>
    </row>
    <row r="176" spans="2:34" x14ac:dyDescent="0.2">
      <c r="B176" t="s">
        <v>351</v>
      </c>
      <c r="C176" t="s">
        <v>843</v>
      </c>
      <c r="D176" t="s">
        <v>235</v>
      </c>
      <c r="H176">
        <v>125.155</v>
      </c>
      <c r="I176">
        <v>219.15199999999999</v>
      </c>
      <c r="J176">
        <v>0</v>
      </c>
      <c r="T176">
        <v>212.44</v>
      </c>
      <c r="U176">
        <v>248.99</v>
      </c>
      <c r="V176">
        <v>137.47</v>
      </c>
      <c r="AC176">
        <f>SUMPRODUCT(DB_ThemeSOFAcct[[#This Row],[Plan01]:[Plan12]],$E$14:$P$14)/valUnits2</f>
        <v>0.34430700000000003</v>
      </c>
      <c r="AD176">
        <f>SUMPRODUCT(DB_ThemeSOFAcct[[#This Row],[Act01]:[Act12]],$Q$14:$AB$14)/valUnits2</f>
        <v>0.59889999999999999</v>
      </c>
      <c r="AE176">
        <f>DB_ThemeSOFAcct[[#This Row],[Actuals]]-DB_ThemeSOFAcct[[#This Row],[Plan]]</f>
        <v>0.25459299999999996</v>
      </c>
      <c r="AF176">
        <f>IF(DB_ThemeSOFAcct[[#This Row],[Plan]]&lt;&gt;0,DB_ThemeSOFAcct[[#This Row],[Actuals]]/DB_ThemeSOFAcct[[#This Row],[Plan]],1.000011000011)</f>
        <v>1.7394360265693114</v>
      </c>
      <c r="AG176" s="34">
        <f>SUM(DB_ThemeSOFAcct[[#This Row],[Plan01]:[Plan12]])/valUnits2</f>
        <v>0.34430700000000003</v>
      </c>
      <c r="AH176" s="34">
        <f>SUMPRODUCT(DB_ThemeSOFAcct[[#This Row],[Act01]:[Act12]],$Q$3:$AB$3)/valUnits2</f>
        <v>0.59889999999999999</v>
      </c>
    </row>
    <row r="177" spans="2:34" x14ac:dyDescent="0.2">
      <c r="B177" t="s">
        <v>351</v>
      </c>
      <c r="C177" t="s">
        <v>843</v>
      </c>
      <c r="D177" t="s">
        <v>140</v>
      </c>
      <c r="H177">
        <v>7166.2980000000007</v>
      </c>
      <c r="I177">
        <v>9851.9920000000002</v>
      </c>
      <c r="J177">
        <v>4398.7320000000009</v>
      </c>
      <c r="K177">
        <v>4398.7320000000009</v>
      </c>
      <c r="L177">
        <v>4398.7320000000009</v>
      </c>
      <c r="M177">
        <v>4398.7320000000009</v>
      </c>
      <c r="N177">
        <v>4398.7320000000009</v>
      </c>
      <c r="O177">
        <v>4398.7320000000009</v>
      </c>
      <c r="P177">
        <v>4398.7320000000009</v>
      </c>
      <c r="T177">
        <v>7162.87</v>
      </c>
      <c r="U177">
        <v>9894.25</v>
      </c>
      <c r="V177">
        <v>5980.119999999999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f>SUMPRODUCT(DB_ThemeSOFAcct[[#This Row],[Plan01]:[Plan12]],$E$14:$P$14)/valUnits2</f>
        <v>21.417021999999999</v>
      </c>
      <c r="AD177">
        <f>SUMPRODUCT(DB_ThemeSOFAcct[[#This Row],[Act01]:[Act12]],$Q$14:$AB$14)/valUnits2</f>
        <v>23.037239999999997</v>
      </c>
      <c r="AE177">
        <f>DB_ThemeSOFAcct[[#This Row],[Actuals]]-DB_ThemeSOFAcct[[#This Row],[Plan]]</f>
        <v>1.6202179999999977</v>
      </c>
      <c r="AF177">
        <f>IF(DB_ThemeSOFAcct[[#This Row],[Plan]]&lt;&gt;0,DB_ThemeSOFAcct[[#This Row],[Actuals]]/DB_ThemeSOFAcct[[#This Row],[Plan]],1.000011000011)</f>
        <v>1.0756509471765028</v>
      </c>
      <c r="AG177" s="34">
        <f>SUM(DB_ThemeSOFAcct[[#This Row],[Plan01]:[Plan12]])/valUnits2</f>
        <v>47.809414000000011</v>
      </c>
      <c r="AH177" s="34">
        <f>SUMPRODUCT(DB_ThemeSOFAcct[[#This Row],[Act01]:[Act12]],$Q$3:$AB$3)/valUnits2</f>
        <v>23.037239999999997</v>
      </c>
    </row>
    <row r="178" spans="2:34" x14ac:dyDescent="0.2">
      <c r="B178" t="s">
        <v>351</v>
      </c>
      <c r="C178" t="s">
        <v>843</v>
      </c>
      <c r="D178" t="s">
        <v>236</v>
      </c>
      <c r="I178">
        <v>226.07400000000001</v>
      </c>
      <c r="J178">
        <v>0</v>
      </c>
      <c r="U178">
        <v>230.33</v>
      </c>
      <c r="V178">
        <v>0.84</v>
      </c>
      <c r="AC178">
        <f>SUMPRODUCT(DB_ThemeSOFAcct[[#This Row],[Plan01]:[Plan12]],$E$14:$P$14)/valUnits2</f>
        <v>0.22607400000000002</v>
      </c>
      <c r="AD178">
        <f>SUMPRODUCT(DB_ThemeSOFAcct[[#This Row],[Act01]:[Act12]],$Q$14:$AB$14)/valUnits2</f>
        <v>0.23117000000000001</v>
      </c>
      <c r="AE178">
        <f>DB_ThemeSOFAcct[[#This Row],[Actuals]]-DB_ThemeSOFAcct[[#This Row],[Plan]]</f>
        <v>5.0959999999999894E-3</v>
      </c>
      <c r="AF178">
        <f>IF(DB_ThemeSOFAcct[[#This Row],[Plan]]&lt;&gt;0,DB_ThemeSOFAcct[[#This Row],[Actuals]]/DB_ThemeSOFAcct[[#This Row],[Plan]],1.000011000011)</f>
        <v>1.0225412917894141</v>
      </c>
      <c r="AG178" s="34">
        <f>SUM(DB_ThemeSOFAcct[[#This Row],[Plan01]:[Plan12]])/valUnits2</f>
        <v>0.22607400000000002</v>
      </c>
      <c r="AH178" s="34">
        <f>SUMPRODUCT(DB_ThemeSOFAcct[[#This Row],[Act01]:[Act12]],$Q$3:$AB$3)/valUnits2</f>
        <v>0.23117000000000001</v>
      </c>
    </row>
    <row r="179" spans="2:34" x14ac:dyDescent="0.2">
      <c r="B179" t="s">
        <v>351</v>
      </c>
      <c r="C179" t="s">
        <v>843</v>
      </c>
      <c r="D179" t="s">
        <v>237</v>
      </c>
      <c r="H179">
        <v>56.415999999999997</v>
      </c>
      <c r="I179">
        <v>2.3069999999999999</v>
      </c>
      <c r="T179">
        <v>57.02</v>
      </c>
      <c r="U179">
        <v>2.2999999999999998</v>
      </c>
      <c r="AC179">
        <f>SUMPRODUCT(DB_ThemeSOFAcct[[#This Row],[Plan01]:[Plan12]],$E$14:$P$14)/valUnits2</f>
        <v>5.8722999999999997E-2</v>
      </c>
      <c r="AD179">
        <f>SUMPRODUCT(DB_ThemeSOFAcct[[#This Row],[Act01]:[Act12]],$Q$14:$AB$14)/valUnits2</f>
        <v>5.9319999999999998E-2</v>
      </c>
      <c r="AE179">
        <f>DB_ThemeSOFAcct[[#This Row],[Actuals]]-DB_ThemeSOFAcct[[#This Row],[Plan]]</f>
        <v>5.9700000000000031E-4</v>
      </c>
      <c r="AF179">
        <f>IF(DB_ThemeSOFAcct[[#This Row],[Plan]]&lt;&gt;0,DB_ThemeSOFAcct[[#This Row],[Actuals]]/DB_ThemeSOFAcct[[#This Row],[Plan]],1.000011000011)</f>
        <v>1.0101663743337363</v>
      </c>
      <c r="AG179" s="34">
        <f>SUM(DB_ThemeSOFAcct[[#This Row],[Plan01]:[Plan12]])/valUnits2</f>
        <v>5.8722999999999997E-2</v>
      </c>
      <c r="AH179" s="34">
        <f>SUMPRODUCT(DB_ThemeSOFAcct[[#This Row],[Act01]:[Act12]],$Q$3:$AB$3)/valUnits2</f>
        <v>5.9319999999999998E-2</v>
      </c>
    </row>
    <row r="180" spans="2:34" x14ac:dyDescent="0.2">
      <c r="B180" t="s">
        <v>351</v>
      </c>
      <c r="C180" t="s">
        <v>843</v>
      </c>
      <c r="D180" t="s">
        <v>141</v>
      </c>
      <c r="H180">
        <v>14.157</v>
      </c>
      <c r="I180">
        <v>33.276000000000003</v>
      </c>
      <c r="T180">
        <v>14.62</v>
      </c>
      <c r="U180">
        <v>33.29</v>
      </c>
      <c r="AC180">
        <f>SUMPRODUCT(DB_ThemeSOFAcct[[#This Row],[Plan01]:[Plan12]],$E$14:$P$14)/valUnits2</f>
        <v>4.743300000000001E-2</v>
      </c>
      <c r="AD180">
        <f>SUMPRODUCT(DB_ThemeSOFAcct[[#This Row],[Act01]:[Act12]],$Q$14:$AB$14)/valUnits2</f>
        <v>4.7909999999999994E-2</v>
      </c>
      <c r="AE180">
        <f>DB_ThemeSOFAcct[[#This Row],[Actuals]]-DB_ThemeSOFAcct[[#This Row],[Plan]]</f>
        <v>4.7699999999998438E-4</v>
      </c>
      <c r="AF180">
        <f>IF(DB_ThemeSOFAcct[[#This Row],[Plan]]&lt;&gt;0,DB_ThemeSOFAcct[[#This Row],[Actuals]]/DB_ThemeSOFAcct[[#This Row],[Plan]],1.000011000011)</f>
        <v>1.0100562899247356</v>
      </c>
      <c r="AG180" s="34">
        <f>SUM(DB_ThemeSOFAcct[[#This Row],[Plan01]:[Plan12]])/valUnits2</f>
        <v>4.743300000000001E-2</v>
      </c>
      <c r="AH180" s="34">
        <f>SUMPRODUCT(DB_ThemeSOFAcct[[#This Row],[Act01]:[Act12]],$Q$3:$AB$3)/valUnits2</f>
        <v>4.7909999999999994E-2</v>
      </c>
    </row>
    <row r="181" spans="2:34" x14ac:dyDescent="0.2">
      <c r="B181" t="s">
        <v>351</v>
      </c>
      <c r="C181" t="s">
        <v>845</v>
      </c>
      <c r="D181" t="s">
        <v>235</v>
      </c>
      <c r="J181">
        <v>0</v>
      </c>
      <c r="V181">
        <v>49.52</v>
      </c>
      <c r="AC181">
        <f>SUMPRODUCT(DB_ThemeSOFAcct[[#This Row],[Plan01]:[Plan12]],$E$14:$P$14)/valUnits2</f>
        <v>0</v>
      </c>
      <c r="AD181">
        <f>SUMPRODUCT(DB_ThemeSOFAcct[[#This Row],[Act01]:[Act12]],$Q$14:$AB$14)/valUnits2</f>
        <v>4.9520000000000002E-2</v>
      </c>
      <c r="AE181">
        <f>DB_ThemeSOFAcct[[#This Row],[Actuals]]-DB_ThemeSOFAcct[[#This Row],[Plan]]</f>
        <v>4.9520000000000002E-2</v>
      </c>
      <c r="AF181">
        <f>IF(DB_ThemeSOFAcct[[#This Row],[Plan]]&lt;&gt;0,DB_ThemeSOFAcct[[#This Row],[Actuals]]/DB_ThemeSOFAcct[[#This Row],[Plan]],1.000011000011)</f>
        <v>1.0000110000110001</v>
      </c>
      <c r="AG181" s="34">
        <f>SUM(DB_ThemeSOFAcct[[#This Row],[Plan01]:[Plan12]])/valUnits2</f>
        <v>0</v>
      </c>
      <c r="AH181" s="34">
        <f>SUMPRODUCT(DB_ThemeSOFAcct[[#This Row],[Act01]:[Act12]],$Q$3:$AB$3)/valUnits2</f>
        <v>4.9520000000000002E-2</v>
      </c>
    </row>
    <row r="182" spans="2:34" x14ac:dyDescent="0.2">
      <c r="B182" t="s">
        <v>351</v>
      </c>
      <c r="C182" t="s">
        <v>845</v>
      </c>
      <c r="D182" t="s">
        <v>236</v>
      </c>
      <c r="J182">
        <v>0</v>
      </c>
      <c r="V182">
        <v>50.59</v>
      </c>
      <c r="AC182">
        <f>SUMPRODUCT(DB_ThemeSOFAcct[[#This Row],[Plan01]:[Plan12]],$E$14:$P$14)/valUnits2</f>
        <v>0</v>
      </c>
      <c r="AD182">
        <f>SUMPRODUCT(DB_ThemeSOFAcct[[#This Row],[Act01]:[Act12]],$Q$14:$AB$14)/valUnits2</f>
        <v>5.0590000000000003E-2</v>
      </c>
      <c r="AE182">
        <f>DB_ThemeSOFAcct[[#This Row],[Actuals]]-DB_ThemeSOFAcct[[#This Row],[Plan]]</f>
        <v>5.0590000000000003E-2</v>
      </c>
      <c r="AF182">
        <f>IF(DB_ThemeSOFAcct[[#This Row],[Plan]]&lt;&gt;0,DB_ThemeSOFAcct[[#This Row],[Actuals]]/DB_ThemeSOFAcct[[#This Row],[Plan]],1.000011000011)</f>
        <v>1.0000110000110001</v>
      </c>
      <c r="AG182" s="34">
        <f>SUM(DB_ThemeSOFAcct[[#This Row],[Plan01]:[Plan12]])/valUnits2</f>
        <v>0</v>
      </c>
      <c r="AH182" s="34">
        <f>SUMPRODUCT(DB_ThemeSOFAcct[[#This Row],[Act01]:[Act12]],$Q$3:$AB$3)/valUnits2</f>
        <v>5.0590000000000003E-2</v>
      </c>
    </row>
    <row r="183" spans="2:34" x14ac:dyDescent="0.2">
      <c r="B183" t="s">
        <v>351</v>
      </c>
      <c r="C183" t="s">
        <v>845</v>
      </c>
      <c r="D183" t="s">
        <v>141</v>
      </c>
      <c r="J183">
        <v>0</v>
      </c>
      <c r="V183">
        <v>146.98000000000002</v>
      </c>
      <c r="AC183">
        <f>SUMPRODUCT(DB_ThemeSOFAcct[[#This Row],[Plan01]:[Plan12]],$E$14:$P$14)/valUnits2</f>
        <v>0</v>
      </c>
      <c r="AD183">
        <f>SUMPRODUCT(DB_ThemeSOFAcct[[#This Row],[Act01]:[Act12]],$Q$14:$AB$14)/valUnits2</f>
        <v>0.14698000000000003</v>
      </c>
      <c r="AE183">
        <f>DB_ThemeSOFAcct[[#This Row],[Actuals]]-DB_ThemeSOFAcct[[#This Row],[Plan]]</f>
        <v>0.14698000000000003</v>
      </c>
      <c r="AF183">
        <f>IF(DB_ThemeSOFAcct[[#This Row],[Plan]]&lt;&gt;0,DB_ThemeSOFAcct[[#This Row],[Actuals]]/DB_ThemeSOFAcct[[#This Row],[Plan]],1.000011000011)</f>
        <v>1.0000110000110001</v>
      </c>
      <c r="AG183" s="34">
        <f>SUM(DB_ThemeSOFAcct[[#This Row],[Plan01]:[Plan12]])/valUnits2</f>
        <v>0</v>
      </c>
      <c r="AH183" s="34">
        <f>SUMPRODUCT(DB_ThemeSOFAcct[[#This Row],[Act01]:[Act12]],$Q$3:$AB$3)/valUnits2</f>
        <v>0.14698000000000003</v>
      </c>
    </row>
    <row r="184" spans="2:34" x14ac:dyDescent="0.2">
      <c r="B184" t="s">
        <v>351</v>
      </c>
      <c r="C184" t="s">
        <v>357</v>
      </c>
      <c r="D184" t="s">
        <v>143</v>
      </c>
      <c r="H184">
        <v>77.67</v>
      </c>
      <c r="I184">
        <v>92.93</v>
      </c>
      <c r="J184">
        <v>199.572</v>
      </c>
      <c r="T184">
        <v>77.67</v>
      </c>
      <c r="U184">
        <v>90.350000000000009</v>
      </c>
      <c r="V184">
        <v>92.389999999999986</v>
      </c>
      <c r="AC184">
        <f>SUMPRODUCT(DB_ThemeSOFAcct[[#This Row],[Plan01]:[Plan12]],$E$14:$P$14)/valUnits2</f>
        <v>0.370172</v>
      </c>
      <c r="AD184">
        <f>SUMPRODUCT(DB_ThemeSOFAcct[[#This Row],[Act01]:[Act12]],$Q$14:$AB$14)/valUnits2</f>
        <v>0.26040999999999997</v>
      </c>
      <c r="AE184">
        <f>DB_ThemeSOFAcct[[#This Row],[Actuals]]-DB_ThemeSOFAcct[[#This Row],[Plan]]</f>
        <v>-0.10976200000000003</v>
      </c>
      <c r="AF184">
        <f>IF(DB_ThemeSOFAcct[[#This Row],[Plan]]&lt;&gt;0,DB_ThemeSOFAcct[[#This Row],[Actuals]]/DB_ThemeSOFAcct[[#This Row],[Plan]],1.000011000011)</f>
        <v>0.70348378591573635</v>
      </c>
      <c r="AG184" s="34">
        <f>SUM(DB_ThemeSOFAcct[[#This Row],[Plan01]:[Plan12]])/valUnits2</f>
        <v>0.370172</v>
      </c>
      <c r="AH184" s="34">
        <f>SUMPRODUCT(DB_ThemeSOFAcct[[#This Row],[Act01]:[Act12]],$Q$3:$AB$3)/valUnits2</f>
        <v>0.26040999999999997</v>
      </c>
    </row>
    <row r="185" spans="2:34" x14ac:dyDescent="0.2">
      <c r="B185" t="s">
        <v>351</v>
      </c>
      <c r="C185" t="s">
        <v>357</v>
      </c>
      <c r="D185" t="s">
        <v>235</v>
      </c>
      <c r="I185">
        <v>26.62</v>
      </c>
      <c r="J185">
        <v>0</v>
      </c>
      <c r="U185">
        <v>29.619999999999997</v>
      </c>
      <c r="V185">
        <v>15.55</v>
      </c>
      <c r="AC185">
        <f>SUMPRODUCT(DB_ThemeSOFAcct[[#This Row],[Plan01]:[Plan12]],$E$14:$P$14)/valUnits2</f>
        <v>2.6620000000000001E-2</v>
      </c>
      <c r="AD185">
        <f>SUMPRODUCT(DB_ThemeSOFAcct[[#This Row],[Act01]:[Act12]],$Q$14:$AB$14)/valUnits2</f>
        <v>4.5170000000000002E-2</v>
      </c>
      <c r="AE185">
        <f>DB_ThemeSOFAcct[[#This Row],[Actuals]]-DB_ThemeSOFAcct[[#This Row],[Plan]]</f>
        <v>1.8550000000000001E-2</v>
      </c>
      <c r="AF185">
        <f>IF(DB_ThemeSOFAcct[[#This Row],[Plan]]&lt;&gt;0,DB_ThemeSOFAcct[[#This Row],[Actuals]]/DB_ThemeSOFAcct[[#This Row],[Plan]],1.000011000011)</f>
        <v>1.6968444778362133</v>
      </c>
      <c r="AG185" s="34">
        <f>SUM(DB_ThemeSOFAcct[[#This Row],[Plan01]:[Plan12]])/valUnits2</f>
        <v>2.6620000000000001E-2</v>
      </c>
      <c r="AH185" s="34">
        <f>SUMPRODUCT(DB_ThemeSOFAcct[[#This Row],[Act01]:[Act12]],$Q$3:$AB$3)/valUnits2</f>
        <v>4.5170000000000002E-2</v>
      </c>
    </row>
    <row r="186" spans="2:34" x14ac:dyDescent="0.2">
      <c r="B186" t="s">
        <v>351</v>
      </c>
      <c r="C186" t="s">
        <v>357</v>
      </c>
      <c r="D186" t="s">
        <v>140</v>
      </c>
      <c r="F186">
        <v>42.879999999999995</v>
      </c>
      <c r="G186">
        <v>45.81</v>
      </c>
      <c r="H186">
        <v>62.959999999999994</v>
      </c>
      <c r="I186">
        <v>27.900000000000002</v>
      </c>
      <c r="J186">
        <v>262</v>
      </c>
      <c r="R186">
        <v>42.879999999999995</v>
      </c>
      <c r="S186">
        <v>45.81</v>
      </c>
      <c r="T186">
        <v>62.96</v>
      </c>
      <c r="U186">
        <v>27.900000000000002</v>
      </c>
      <c r="V186">
        <v>44.34</v>
      </c>
      <c r="AC186">
        <f>SUMPRODUCT(DB_ThemeSOFAcct[[#This Row],[Plan01]:[Plan12]],$E$14:$P$14)/valUnits2</f>
        <v>0.44154999999999994</v>
      </c>
      <c r="AD186">
        <f>SUMPRODUCT(DB_ThemeSOFAcct[[#This Row],[Act01]:[Act12]],$Q$14:$AB$14)/valUnits2</f>
        <v>0.22389000000000001</v>
      </c>
      <c r="AE186">
        <f>DB_ThemeSOFAcct[[#This Row],[Actuals]]-DB_ThemeSOFAcct[[#This Row],[Plan]]</f>
        <v>-0.21765999999999994</v>
      </c>
      <c r="AF186">
        <f>IF(DB_ThemeSOFAcct[[#This Row],[Plan]]&lt;&gt;0,DB_ThemeSOFAcct[[#This Row],[Actuals]]/DB_ThemeSOFAcct[[#This Row],[Plan]],1.000011000011)</f>
        <v>0.50705469369267364</v>
      </c>
      <c r="AG186" s="34">
        <f>SUM(DB_ThemeSOFAcct[[#This Row],[Plan01]:[Plan12]])/valUnits2</f>
        <v>0.44154999999999994</v>
      </c>
      <c r="AH186" s="34">
        <f>SUMPRODUCT(DB_ThemeSOFAcct[[#This Row],[Act01]:[Act12]],$Q$3:$AB$3)/valUnits2</f>
        <v>0.22389000000000001</v>
      </c>
    </row>
    <row r="187" spans="2:34" x14ac:dyDescent="0.2">
      <c r="B187" t="s">
        <v>351</v>
      </c>
      <c r="C187" t="s">
        <v>357</v>
      </c>
      <c r="D187" t="s">
        <v>236</v>
      </c>
      <c r="I187">
        <v>27.82</v>
      </c>
      <c r="J187">
        <v>0</v>
      </c>
      <c r="U187">
        <v>27.82</v>
      </c>
      <c r="V187">
        <v>0.1</v>
      </c>
      <c r="AC187">
        <f>SUMPRODUCT(DB_ThemeSOFAcct[[#This Row],[Plan01]:[Plan12]],$E$14:$P$14)/valUnits2</f>
        <v>2.7820000000000001E-2</v>
      </c>
      <c r="AD187">
        <f>SUMPRODUCT(DB_ThemeSOFAcct[[#This Row],[Act01]:[Act12]],$Q$14:$AB$14)/valUnits2</f>
        <v>2.792E-2</v>
      </c>
      <c r="AE187">
        <f>DB_ThemeSOFAcct[[#This Row],[Actuals]]-DB_ThemeSOFAcct[[#This Row],[Plan]]</f>
        <v>9.9999999999999395E-5</v>
      </c>
      <c r="AF187">
        <f>IF(DB_ThemeSOFAcct[[#This Row],[Plan]]&lt;&gt;0,DB_ThemeSOFAcct[[#This Row],[Actuals]]/DB_ThemeSOFAcct[[#This Row],[Plan]],1.000011000011)</f>
        <v>1.0035945363048167</v>
      </c>
      <c r="AG187" s="34">
        <f>SUM(DB_ThemeSOFAcct[[#This Row],[Plan01]:[Plan12]])/valUnits2</f>
        <v>2.7820000000000001E-2</v>
      </c>
      <c r="AH187" s="34">
        <f>SUMPRODUCT(DB_ThemeSOFAcct[[#This Row],[Act01]:[Act12]],$Q$3:$AB$3)/valUnits2</f>
        <v>2.792E-2</v>
      </c>
    </row>
    <row r="188" spans="2:34" x14ac:dyDescent="0.2">
      <c r="B188" t="s">
        <v>351</v>
      </c>
      <c r="C188" t="s">
        <v>357</v>
      </c>
      <c r="D188" t="s">
        <v>237</v>
      </c>
      <c r="I188">
        <v>0.28000000000000003</v>
      </c>
      <c r="U188">
        <v>0.28000000000000003</v>
      </c>
      <c r="AC188">
        <f>SUMPRODUCT(DB_ThemeSOFAcct[[#This Row],[Plan01]:[Plan12]],$E$14:$P$14)/valUnits2</f>
        <v>2.8000000000000003E-4</v>
      </c>
      <c r="AD188">
        <f>SUMPRODUCT(DB_ThemeSOFAcct[[#This Row],[Act01]:[Act12]],$Q$14:$AB$14)/valUnits2</f>
        <v>2.8000000000000003E-4</v>
      </c>
      <c r="AE188">
        <f>DB_ThemeSOFAcct[[#This Row],[Actuals]]-DB_ThemeSOFAcct[[#This Row],[Plan]]</f>
        <v>0</v>
      </c>
      <c r="AF188">
        <f>IF(DB_ThemeSOFAcct[[#This Row],[Plan]]&lt;&gt;0,DB_ThemeSOFAcct[[#This Row],[Actuals]]/DB_ThemeSOFAcct[[#This Row],[Plan]],1.000011000011)</f>
        <v>1</v>
      </c>
      <c r="AG188" s="34">
        <f>SUM(DB_ThemeSOFAcct[[#This Row],[Plan01]:[Plan12]])/valUnits2</f>
        <v>2.8000000000000003E-4</v>
      </c>
      <c r="AH188" s="34">
        <f>SUMPRODUCT(DB_ThemeSOFAcct[[#This Row],[Act01]:[Act12]],$Q$3:$AB$3)/valUnits2</f>
        <v>2.8000000000000003E-4</v>
      </c>
    </row>
    <row r="189" spans="2:34" x14ac:dyDescent="0.2">
      <c r="B189" t="s">
        <v>351</v>
      </c>
      <c r="C189" t="s">
        <v>357</v>
      </c>
      <c r="D189" t="s">
        <v>141</v>
      </c>
      <c r="I189">
        <v>3.78</v>
      </c>
      <c r="U189">
        <v>3.78</v>
      </c>
      <c r="AC189">
        <f>SUMPRODUCT(DB_ThemeSOFAcct[[#This Row],[Plan01]:[Plan12]],$E$14:$P$14)/valUnits2</f>
        <v>3.7799999999999999E-3</v>
      </c>
      <c r="AD189">
        <f>SUMPRODUCT(DB_ThemeSOFAcct[[#This Row],[Act01]:[Act12]],$Q$14:$AB$14)/valUnits2</f>
        <v>3.7799999999999999E-3</v>
      </c>
      <c r="AE189">
        <f>DB_ThemeSOFAcct[[#This Row],[Actuals]]-DB_ThemeSOFAcct[[#This Row],[Plan]]</f>
        <v>0</v>
      </c>
      <c r="AF189">
        <f>IF(DB_ThemeSOFAcct[[#This Row],[Plan]]&lt;&gt;0,DB_ThemeSOFAcct[[#This Row],[Actuals]]/DB_ThemeSOFAcct[[#This Row],[Plan]],1.000011000011)</f>
        <v>1</v>
      </c>
      <c r="AG189" s="34">
        <f>SUM(DB_ThemeSOFAcct[[#This Row],[Plan01]:[Plan12]])/valUnits2</f>
        <v>3.7799999999999999E-3</v>
      </c>
      <c r="AH189" s="34">
        <f>SUMPRODUCT(DB_ThemeSOFAcct[[#This Row],[Act01]:[Act12]],$Q$3:$AB$3)/valUnits2</f>
        <v>3.7799999999999999E-3</v>
      </c>
    </row>
    <row r="190" spans="2:34" x14ac:dyDescent="0.2">
      <c r="B190" t="s">
        <v>351</v>
      </c>
      <c r="C190" t="s">
        <v>846</v>
      </c>
      <c r="D190" t="s">
        <v>143</v>
      </c>
      <c r="H190">
        <v>186.43</v>
      </c>
      <c r="I190">
        <v>63.38</v>
      </c>
      <c r="J190">
        <v>0</v>
      </c>
      <c r="T190">
        <v>177.54</v>
      </c>
      <c r="U190">
        <v>62.800000000000004</v>
      </c>
      <c r="V190">
        <v>65.3</v>
      </c>
      <c r="AC190">
        <f>SUMPRODUCT(DB_ThemeSOFAcct[[#This Row],[Plan01]:[Plan12]],$E$14:$P$14)/valUnits2</f>
        <v>0.24981</v>
      </c>
      <c r="AD190">
        <f>SUMPRODUCT(DB_ThemeSOFAcct[[#This Row],[Act01]:[Act12]],$Q$14:$AB$14)/valUnits2</f>
        <v>0.30563999999999997</v>
      </c>
      <c r="AE190">
        <f>DB_ThemeSOFAcct[[#This Row],[Actuals]]-DB_ThemeSOFAcct[[#This Row],[Plan]]</f>
        <v>5.5829999999999963E-2</v>
      </c>
      <c r="AF190">
        <f>IF(DB_ThemeSOFAcct[[#This Row],[Plan]]&lt;&gt;0,DB_ThemeSOFAcct[[#This Row],[Actuals]]/DB_ThemeSOFAcct[[#This Row],[Plan]],1.000011000011)</f>
        <v>1.2234898522877384</v>
      </c>
      <c r="AG190" s="34">
        <f>SUM(DB_ThemeSOFAcct[[#This Row],[Plan01]:[Plan12]])/valUnits2</f>
        <v>0.24981</v>
      </c>
      <c r="AH190" s="34">
        <f>SUMPRODUCT(DB_ThemeSOFAcct[[#This Row],[Act01]:[Act12]],$Q$3:$AB$3)/valUnits2</f>
        <v>0.30563999999999997</v>
      </c>
    </row>
    <row r="191" spans="2:34" x14ac:dyDescent="0.2">
      <c r="B191" t="s">
        <v>351</v>
      </c>
      <c r="C191" t="s">
        <v>846</v>
      </c>
      <c r="D191" t="s">
        <v>235</v>
      </c>
      <c r="H191">
        <v>13.04</v>
      </c>
      <c r="I191">
        <v>4.33</v>
      </c>
      <c r="J191">
        <v>0</v>
      </c>
      <c r="T191">
        <v>21.93</v>
      </c>
      <c r="U191">
        <v>5.22</v>
      </c>
      <c r="V191">
        <v>11.04</v>
      </c>
      <c r="AC191">
        <f>SUMPRODUCT(DB_ThemeSOFAcct[[#This Row],[Plan01]:[Plan12]],$E$14:$P$14)/valUnits2</f>
        <v>1.7369999999999997E-2</v>
      </c>
      <c r="AD191">
        <f>SUMPRODUCT(DB_ThemeSOFAcct[[#This Row],[Act01]:[Act12]],$Q$14:$AB$14)/valUnits2</f>
        <v>3.8189999999999995E-2</v>
      </c>
      <c r="AE191">
        <f>DB_ThemeSOFAcct[[#This Row],[Actuals]]-DB_ThemeSOFAcct[[#This Row],[Plan]]</f>
        <v>2.0819999999999998E-2</v>
      </c>
      <c r="AF191">
        <f>IF(DB_ThemeSOFAcct[[#This Row],[Plan]]&lt;&gt;0,DB_ThemeSOFAcct[[#This Row],[Actuals]]/DB_ThemeSOFAcct[[#This Row],[Plan]],1.000011000011)</f>
        <v>2.1986183074265977</v>
      </c>
      <c r="AG191" s="34">
        <f>SUM(DB_ThemeSOFAcct[[#This Row],[Plan01]:[Plan12]])/valUnits2</f>
        <v>1.7369999999999997E-2</v>
      </c>
      <c r="AH191" s="34">
        <f>SUMPRODUCT(DB_ThemeSOFAcct[[#This Row],[Act01]:[Act12]],$Q$3:$AB$3)/valUnits2</f>
        <v>3.8189999999999995E-2</v>
      </c>
    </row>
    <row r="192" spans="2:34" x14ac:dyDescent="0.2">
      <c r="B192" t="s">
        <v>351</v>
      </c>
      <c r="C192" t="s">
        <v>846</v>
      </c>
      <c r="D192" t="s">
        <v>140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345.84000000000003</v>
      </c>
      <c r="K192">
        <v>345.84000000000003</v>
      </c>
      <c r="L192">
        <v>345.84000000000003</v>
      </c>
      <c r="M192">
        <v>345.84000000000003</v>
      </c>
      <c r="N192">
        <v>345.84000000000003</v>
      </c>
      <c r="O192">
        <v>345.84000000000003</v>
      </c>
      <c r="P192">
        <v>345.84000000000003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f>SUMPRODUCT(DB_ThemeSOFAcct[[#This Row],[Plan01]:[Plan12]],$E$14:$P$14)/valUnits2</f>
        <v>0.34584000000000004</v>
      </c>
      <c r="AD192">
        <f>SUMPRODUCT(DB_ThemeSOFAcct[[#This Row],[Act01]:[Act12]],$Q$14:$AB$14)/valUnits2</f>
        <v>0</v>
      </c>
      <c r="AE192">
        <f>DB_ThemeSOFAcct[[#This Row],[Actuals]]-DB_ThemeSOFAcct[[#This Row],[Plan]]</f>
        <v>-0.34584000000000004</v>
      </c>
      <c r="AF192">
        <f>IF(DB_ThemeSOFAcct[[#This Row],[Plan]]&lt;&gt;0,DB_ThemeSOFAcct[[#This Row],[Actuals]]/DB_ThemeSOFAcct[[#This Row],[Plan]],1.000011000011)</f>
        <v>0</v>
      </c>
      <c r="AG192" s="34">
        <f>SUM(DB_ThemeSOFAcct[[#This Row],[Plan01]:[Plan12]])/valUnits2</f>
        <v>2.4208800000000004</v>
      </c>
      <c r="AH192" s="34">
        <f>SUMPRODUCT(DB_ThemeSOFAcct[[#This Row],[Act01]:[Act12]],$Q$3:$AB$3)/valUnits2</f>
        <v>0</v>
      </c>
    </row>
    <row r="193" spans="2:34" x14ac:dyDescent="0.2">
      <c r="B193" t="s">
        <v>351</v>
      </c>
      <c r="C193" t="s">
        <v>846</v>
      </c>
      <c r="D193" t="s">
        <v>236</v>
      </c>
      <c r="I193">
        <v>0.31</v>
      </c>
      <c r="J193">
        <v>0</v>
      </c>
      <c r="U193">
        <v>0.31000000000000005</v>
      </c>
      <c r="V193">
        <v>6.9999999999999993E-2</v>
      </c>
      <c r="AC193">
        <f>SUMPRODUCT(DB_ThemeSOFAcct[[#This Row],[Plan01]:[Plan12]],$E$14:$P$14)/valUnits2</f>
        <v>3.1E-4</v>
      </c>
      <c r="AD193">
        <f>SUMPRODUCT(DB_ThemeSOFAcct[[#This Row],[Act01]:[Act12]],$Q$14:$AB$14)/valUnits2</f>
        <v>3.8000000000000008E-4</v>
      </c>
      <c r="AE193">
        <f>DB_ThemeSOFAcct[[#This Row],[Actuals]]-DB_ThemeSOFAcct[[#This Row],[Plan]]</f>
        <v>7.0000000000000075E-5</v>
      </c>
      <c r="AF193">
        <f>IF(DB_ThemeSOFAcct[[#This Row],[Plan]]&lt;&gt;0,DB_ThemeSOFAcct[[#This Row],[Actuals]]/DB_ThemeSOFAcct[[#This Row],[Plan]],1.000011000011)</f>
        <v>1.2258064516129035</v>
      </c>
      <c r="AG193" s="34">
        <f>SUM(DB_ThemeSOFAcct[[#This Row],[Plan01]:[Plan12]])/valUnits2</f>
        <v>3.1E-4</v>
      </c>
      <c r="AH193" s="34">
        <f>SUMPRODUCT(DB_ThemeSOFAcct[[#This Row],[Act01]:[Act12]],$Q$3:$AB$3)/valUnits2</f>
        <v>3.8000000000000008E-4</v>
      </c>
    </row>
    <row r="194" spans="2:34" x14ac:dyDescent="0.2">
      <c r="B194" t="s">
        <v>351</v>
      </c>
      <c r="C194" t="s">
        <v>846</v>
      </c>
      <c r="D194" t="s">
        <v>237</v>
      </c>
      <c r="E194">
        <v>0</v>
      </c>
      <c r="F194">
        <v>0</v>
      </c>
      <c r="G194">
        <v>0</v>
      </c>
      <c r="H194">
        <v>5.83</v>
      </c>
      <c r="I194">
        <v>0</v>
      </c>
      <c r="J194">
        <v>12.25</v>
      </c>
      <c r="K194">
        <v>12.25</v>
      </c>
      <c r="L194">
        <v>12.25</v>
      </c>
      <c r="M194">
        <v>12.25</v>
      </c>
      <c r="N194">
        <v>12.25</v>
      </c>
      <c r="O194">
        <v>12.25</v>
      </c>
      <c r="P194">
        <v>12.25</v>
      </c>
      <c r="Q194">
        <v>0</v>
      </c>
      <c r="R194">
        <v>0</v>
      </c>
      <c r="S194">
        <v>0</v>
      </c>
      <c r="T194">
        <v>5.83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f>SUMPRODUCT(DB_ThemeSOFAcct[[#This Row],[Plan01]:[Plan12]],$E$14:$P$14)/valUnits2</f>
        <v>1.8079999999999999E-2</v>
      </c>
      <c r="AD194">
        <f>SUMPRODUCT(DB_ThemeSOFAcct[[#This Row],[Act01]:[Act12]],$Q$14:$AB$14)/valUnits2</f>
        <v>5.8300000000000001E-3</v>
      </c>
      <c r="AE194">
        <f>DB_ThemeSOFAcct[[#This Row],[Actuals]]-DB_ThemeSOFAcct[[#This Row],[Plan]]</f>
        <v>-1.2249999999999999E-2</v>
      </c>
      <c r="AF194">
        <f>IF(DB_ThemeSOFAcct[[#This Row],[Plan]]&lt;&gt;0,DB_ThemeSOFAcct[[#This Row],[Actuals]]/DB_ThemeSOFAcct[[#This Row],[Plan]],1.000011000011)</f>
        <v>0.32245575221238942</v>
      </c>
      <c r="AG194" s="34">
        <f>SUM(DB_ThemeSOFAcct[[#This Row],[Plan01]:[Plan12]])/valUnits2</f>
        <v>9.1579999999999995E-2</v>
      </c>
      <c r="AH194" s="34">
        <f>SUMPRODUCT(DB_ThemeSOFAcct[[#This Row],[Act01]:[Act12]],$Q$3:$AB$3)/valUnits2</f>
        <v>5.8300000000000001E-3</v>
      </c>
    </row>
    <row r="195" spans="2:34" x14ac:dyDescent="0.2">
      <c r="B195" t="s">
        <v>351</v>
      </c>
      <c r="C195" t="s">
        <v>846</v>
      </c>
      <c r="D195" t="s">
        <v>141</v>
      </c>
      <c r="H195">
        <v>1.5</v>
      </c>
      <c r="I195">
        <v>2.67</v>
      </c>
      <c r="T195">
        <v>1.5</v>
      </c>
      <c r="U195">
        <v>2.67</v>
      </c>
      <c r="AC195">
        <f>SUMPRODUCT(DB_ThemeSOFAcct[[#This Row],[Plan01]:[Plan12]],$E$14:$P$14)/valUnits2</f>
        <v>4.1700000000000001E-3</v>
      </c>
      <c r="AD195">
        <f>SUMPRODUCT(DB_ThemeSOFAcct[[#This Row],[Act01]:[Act12]],$Q$14:$AB$14)/valUnits2</f>
        <v>4.1700000000000001E-3</v>
      </c>
      <c r="AE195">
        <f>DB_ThemeSOFAcct[[#This Row],[Actuals]]-DB_ThemeSOFAcct[[#This Row],[Plan]]</f>
        <v>0</v>
      </c>
      <c r="AF195">
        <f>IF(DB_ThemeSOFAcct[[#This Row],[Plan]]&lt;&gt;0,DB_ThemeSOFAcct[[#This Row],[Actuals]]/DB_ThemeSOFAcct[[#This Row],[Plan]],1.000011000011)</f>
        <v>1</v>
      </c>
      <c r="AG195" s="34">
        <f>SUM(DB_ThemeSOFAcct[[#This Row],[Plan01]:[Plan12]])/valUnits2</f>
        <v>4.1700000000000001E-3</v>
      </c>
      <c r="AH195" s="34">
        <f>SUMPRODUCT(DB_ThemeSOFAcct[[#This Row],[Act01]:[Act12]],$Q$3:$AB$3)/valUnits2</f>
        <v>4.1700000000000001E-3</v>
      </c>
    </row>
    <row r="196" spans="2:34" x14ac:dyDescent="0.2">
      <c r="B196" t="s">
        <v>351</v>
      </c>
      <c r="C196" t="s">
        <v>847</v>
      </c>
      <c r="D196" t="s">
        <v>143</v>
      </c>
      <c r="I196">
        <v>149.39699999999999</v>
      </c>
      <c r="J196">
        <v>0</v>
      </c>
      <c r="U196">
        <v>149.57</v>
      </c>
      <c r="V196">
        <v>258.45999999999998</v>
      </c>
      <c r="AC196">
        <f>SUMPRODUCT(DB_ThemeSOFAcct[[#This Row],[Plan01]:[Plan12]],$E$14:$P$14)/valUnits2</f>
        <v>0.149397</v>
      </c>
      <c r="AD196">
        <f>SUMPRODUCT(DB_ThemeSOFAcct[[#This Row],[Act01]:[Act12]],$Q$14:$AB$14)/valUnits2</f>
        <v>0.40802999999999995</v>
      </c>
      <c r="AE196">
        <f>DB_ThemeSOFAcct[[#This Row],[Actuals]]-DB_ThemeSOFAcct[[#This Row],[Plan]]</f>
        <v>0.25863299999999995</v>
      </c>
      <c r="AF196">
        <f>IF(DB_ThemeSOFAcct[[#This Row],[Plan]]&lt;&gt;0,DB_ThemeSOFAcct[[#This Row],[Actuals]]/DB_ThemeSOFAcct[[#This Row],[Plan]],1.000011000011)</f>
        <v>2.7311793409506211</v>
      </c>
      <c r="AG196" s="34">
        <f>SUM(DB_ThemeSOFAcct[[#This Row],[Plan01]:[Plan12]])/valUnits2</f>
        <v>0.149397</v>
      </c>
      <c r="AH196" s="34">
        <f>SUMPRODUCT(DB_ThemeSOFAcct[[#This Row],[Act01]:[Act12]],$Q$3:$AB$3)/valUnits2</f>
        <v>0.40802999999999995</v>
      </c>
    </row>
    <row r="197" spans="2:34" x14ac:dyDescent="0.2">
      <c r="B197" t="s">
        <v>351</v>
      </c>
      <c r="C197" t="s">
        <v>847</v>
      </c>
      <c r="D197" t="s">
        <v>235</v>
      </c>
      <c r="I197">
        <v>10.023999999999999</v>
      </c>
      <c r="J197">
        <v>0</v>
      </c>
      <c r="U197">
        <v>12.45</v>
      </c>
      <c r="V197">
        <v>43.63</v>
      </c>
      <c r="AC197">
        <f>SUMPRODUCT(DB_ThemeSOFAcct[[#This Row],[Plan01]:[Plan12]],$E$14:$P$14)/valUnits2</f>
        <v>1.0024E-2</v>
      </c>
      <c r="AD197">
        <f>SUMPRODUCT(DB_ThemeSOFAcct[[#This Row],[Act01]:[Act12]],$Q$14:$AB$14)/valUnits2</f>
        <v>5.6079999999999998E-2</v>
      </c>
      <c r="AE197">
        <f>DB_ThemeSOFAcct[[#This Row],[Actuals]]-DB_ThemeSOFAcct[[#This Row],[Plan]]</f>
        <v>4.6056E-2</v>
      </c>
      <c r="AF197">
        <f>IF(DB_ThemeSOFAcct[[#This Row],[Plan]]&lt;&gt;0,DB_ThemeSOFAcct[[#This Row],[Actuals]]/DB_ThemeSOFAcct[[#This Row],[Plan]],1.000011000011)</f>
        <v>5.5945730247406225</v>
      </c>
      <c r="AG197" s="34">
        <f>SUM(DB_ThemeSOFAcct[[#This Row],[Plan01]:[Plan12]])/valUnits2</f>
        <v>1.0024E-2</v>
      </c>
      <c r="AH197" s="34">
        <f>SUMPRODUCT(DB_ThemeSOFAcct[[#This Row],[Act01]:[Act12]],$Q$3:$AB$3)/valUnits2</f>
        <v>5.6079999999999998E-2</v>
      </c>
    </row>
    <row r="198" spans="2:34" x14ac:dyDescent="0.2">
      <c r="B198" t="s">
        <v>351</v>
      </c>
      <c r="C198" t="s">
        <v>847</v>
      </c>
      <c r="D198" t="s">
        <v>140</v>
      </c>
      <c r="I198">
        <v>2938.4820000000004</v>
      </c>
      <c r="J198">
        <v>0</v>
      </c>
      <c r="U198">
        <v>3019.16</v>
      </c>
      <c r="V198">
        <v>-1331.33</v>
      </c>
      <c r="AC198">
        <f>SUMPRODUCT(DB_ThemeSOFAcct[[#This Row],[Plan01]:[Plan12]],$E$14:$P$14)/valUnits2</f>
        <v>2.9384820000000005</v>
      </c>
      <c r="AD198">
        <f>SUMPRODUCT(DB_ThemeSOFAcct[[#This Row],[Act01]:[Act12]],$Q$14:$AB$14)/valUnits2</f>
        <v>1.6878299999999999</v>
      </c>
      <c r="AE198">
        <f>DB_ThemeSOFAcct[[#This Row],[Actuals]]-DB_ThemeSOFAcct[[#This Row],[Plan]]</f>
        <v>-1.2506520000000005</v>
      </c>
      <c r="AF198">
        <f>IF(DB_ThemeSOFAcct[[#This Row],[Plan]]&lt;&gt;0,DB_ThemeSOFAcct[[#This Row],[Actuals]]/DB_ThemeSOFAcct[[#This Row],[Plan]],1.000011000011)</f>
        <v>0.57438840870898633</v>
      </c>
      <c r="AG198" s="34">
        <f>SUM(DB_ThemeSOFAcct[[#This Row],[Plan01]:[Plan12]])/valUnits2</f>
        <v>2.9384820000000005</v>
      </c>
      <c r="AH198" s="34">
        <f>SUMPRODUCT(DB_ThemeSOFAcct[[#This Row],[Act01]:[Act12]],$Q$3:$AB$3)/valUnits2</f>
        <v>1.6878299999999999</v>
      </c>
    </row>
    <row r="199" spans="2:34" x14ac:dyDescent="0.2">
      <c r="B199" t="s">
        <v>351</v>
      </c>
      <c r="C199" t="s">
        <v>847</v>
      </c>
      <c r="D199" t="s">
        <v>236</v>
      </c>
      <c r="I199">
        <v>0.72499999999999998</v>
      </c>
      <c r="J199">
        <v>0</v>
      </c>
      <c r="U199">
        <v>0.74</v>
      </c>
      <c r="V199">
        <v>0.27</v>
      </c>
      <c r="AC199">
        <f>SUMPRODUCT(DB_ThemeSOFAcct[[#This Row],[Plan01]:[Plan12]],$E$14:$P$14)/valUnits2</f>
        <v>7.2499999999999995E-4</v>
      </c>
      <c r="AD199">
        <f>SUMPRODUCT(DB_ThemeSOFAcct[[#This Row],[Act01]:[Act12]],$Q$14:$AB$14)/valUnits2</f>
        <v>1.01E-3</v>
      </c>
      <c r="AE199">
        <f>DB_ThemeSOFAcct[[#This Row],[Actuals]]-DB_ThemeSOFAcct[[#This Row],[Plan]]</f>
        <v>2.850000000000001E-4</v>
      </c>
      <c r="AF199">
        <f>IF(DB_ThemeSOFAcct[[#This Row],[Plan]]&lt;&gt;0,DB_ThemeSOFAcct[[#This Row],[Actuals]]/DB_ThemeSOFAcct[[#This Row],[Plan]],1.000011000011)</f>
        <v>1.3931034482758622</v>
      </c>
      <c r="AG199" s="34">
        <f>SUM(DB_ThemeSOFAcct[[#This Row],[Plan01]:[Plan12]])/valUnits2</f>
        <v>7.2499999999999995E-4</v>
      </c>
      <c r="AH199" s="34">
        <f>SUMPRODUCT(DB_ThemeSOFAcct[[#This Row],[Act01]:[Act12]],$Q$3:$AB$3)/valUnits2</f>
        <v>1.01E-3</v>
      </c>
    </row>
    <row r="200" spans="2:34" x14ac:dyDescent="0.2">
      <c r="B200" t="s">
        <v>351</v>
      </c>
      <c r="C200" t="s">
        <v>847</v>
      </c>
      <c r="D200" t="s">
        <v>237</v>
      </c>
      <c r="J200">
        <v>0</v>
      </c>
      <c r="V200">
        <v>67.760000000000005</v>
      </c>
      <c r="AC200">
        <f>SUMPRODUCT(DB_ThemeSOFAcct[[#This Row],[Plan01]:[Plan12]],$E$14:$P$14)/valUnits2</f>
        <v>0</v>
      </c>
      <c r="AD200">
        <f>SUMPRODUCT(DB_ThemeSOFAcct[[#This Row],[Act01]:[Act12]],$Q$14:$AB$14)/valUnits2</f>
        <v>6.7760000000000001E-2</v>
      </c>
      <c r="AE200">
        <f>DB_ThemeSOFAcct[[#This Row],[Actuals]]-DB_ThemeSOFAcct[[#This Row],[Plan]]</f>
        <v>6.7760000000000001E-2</v>
      </c>
      <c r="AF200">
        <f>IF(DB_ThemeSOFAcct[[#This Row],[Plan]]&lt;&gt;0,DB_ThemeSOFAcct[[#This Row],[Actuals]]/DB_ThemeSOFAcct[[#This Row],[Plan]],1.000011000011)</f>
        <v>1.0000110000110001</v>
      </c>
      <c r="AG200" s="34">
        <f>SUM(DB_ThemeSOFAcct[[#This Row],[Plan01]:[Plan12]])/valUnits2</f>
        <v>0</v>
      </c>
      <c r="AH200" s="34">
        <f>SUMPRODUCT(DB_ThemeSOFAcct[[#This Row],[Act01]:[Act12]],$Q$3:$AB$3)/valUnits2</f>
        <v>6.7760000000000001E-2</v>
      </c>
    </row>
    <row r="201" spans="2:34" x14ac:dyDescent="0.2">
      <c r="B201" t="s">
        <v>351</v>
      </c>
      <c r="C201" t="s">
        <v>847</v>
      </c>
      <c r="D201" t="s">
        <v>141</v>
      </c>
      <c r="I201">
        <v>6.2789999999999999</v>
      </c>
      <c r="J201">
        <v>0</v>
      </c>
      <c r="U201">
        <v>6.3699999999999992</v>
      </c>
      <c r="V201">
        <v>10.51</v>
      </c>
      <c r="AC201">
        <f>SUMPRODUCT(DB_ThemeSOFAcct[[#This Row],[Plan01]:[Plan12]],$E$14:$P$14)/valUnits2</f>
        <v>6.2789999999999999E-3</v>
      </c>
      <c r="AD201">
        <f>SUMPRODUCT(DB_ThemeSOFAcct[[#This Row],[Act01]:[Act12]],$Q$14:$AB$14)/valUnits2</f>
        <v>1.6879999999999999E-2</v>
      </c>
      <c r="AE201">
        <f>DB_ThemeSOFAcct[[#This Row],[Actuals]]-DB_ThemeSOFAcct[[#This Row],[Plan]]</f>
        <v>1.0600999999999999E-2</v>
      </c>
      <c r="AF201">
        <f>IF(DB_ThemeSOFAcct[[#This Row],[Plan]]&lt;&gt;0,DB_ThemeSOFAcct[[#This Row],[Actuals]]/DB_ThemeSOFAcct[[#This Row],[Plan]],1.000011000011)</f>
        <v>2.6883261665870362</v>
      </c>
      <c r="AG201" s="34">
        <f>SUM(DB_ThemeSOFAcct[[#This Row],[Plan01]:[Plan12]])/valUnits2</f>
        <v>6.2789999999999999E-3</v>
      </c>
      <c r="AH201" s="34">
        <f>SUMPRODUCT(DB_ThemeSOFAcct[[#This Row],[Act01]:[Act12]],$Q$3:$AB$3)/valUnits2</f>
        <v>1.6879999999999999E-2</v>
      </c>
    </row>
    <row r="202" spans="2:34" x14ac:dyDescent="0.2">
      <c r="B202" t="s">
        <v>351</v>
      </c>
      <c r="C202" t="s">
        <v>848</v>
      </c>
      <c r="D202" t="s">
        <v>141</v>
      </c>
      <c r="H202">
        <v>582.07600000000002</v>
      </c>
      <c r="I202">
        <v>0</v>
      </c>
      <c r="T202">
        <v>576.66999999999996</v>
      </c>
      <c r="U202">
        <v>0</v>
      </c>
      <c r="AC202">
        <f>SUMPRODUCT(DB_ThemeSOFAcct[[#This Row],[Plan01]:[Plan12]],$E$14:$P$14)/valUnits2</f>
        <v>0.58207600000000004</v>
      </c>
      <c r="AD202">
        <f>SUMPRODUCT(DB_ThemeSOFAcct[[#This Row],[Act01]:[Act12]],$Q$14:$AB$14)/valUnits2</f>
        <v>0.5766699999999999</v>
      </c>
      <c r="AE202">
        <f>DB_ThemeSOFAcct[[#This Row],[Actuals]]-DB_ThemeSOFAcct[[#This Row],[Plan]]</f>
        <v>-5.4060000000001329E-3</v>
      </c>
      <c r="AF202">
        <f>IF(DB_ThemeSOFAcct[[#This Row],[Plan]]&lt;&gt;0,DB_ThemeSOFAcct[[#This Row],[Actuals]]/DB_ThemeSOFAcct[[#This Row],[Plan]],1.000011000011)</f>
        <v>0.99071255299995165</v>
      </c>
      <c r="AG202" s="34">
        <f>SUM(DB_ThemeSOFAcct[[#This Row],[Plan01]:[Plan12]])/valUnits2</f>
        <v>0.58207600000000004</v>
      </c>
      <c r="AH202" s="34">
        <f>SUMPRODUCT(DB_ThemeSOFAcct[[#This Row],[Act01]:[Act12]],$Q$3:$AB$3)/valUnits2</f>
        <v>0.5766699999999999</v>
      </c>
    </row>
    <row r="203" spans="2:34" x14ac:dyDescent="0.2">
      <c r="B203" t="s">
        <v>351</v>
      </c>
      <c r="C203" t="s">
        <v>849</v>
      </c>
      <c r="D203" t="s">
        <v>143</v>
      </c>
      <c r="H203">
        <v>10.608000000000001</v>
      </c>
      <c r="I203">
        <v>12.157999999999999</v>
      </c>
      <c r="J203">
        <v>0</v>
      </c>
      <c r="T203">
        <v>10.27</v>
      </c>
      <c r="U203">
        <v>11.940000000000001</v>
      </c>
      <c r="V203">
        <v>1873.95</v>
      </c>
      <c r="AC203">
        <f>SUMPRODUCT(DB_ThemeSOFAcct[[#This Row],[Plan01]:[Plan12]],$E$14:$P$14)/valUnits2</f>
        <v>2.2765999999999998E-2</v>
      </c>
      <c r="AD203">
        <f>SUMPRODUCT(DB_ThemeSOFAcct[[#This Row],[Act01]:[Act12]],$Q$14:$AB$14)/valUnits2</f>
        <v>1.8961600000000001</v>
      </c>
      <c r="AE203">
        <f>DB_ThemeSOFAcct[[#This Row],[Actuals]]-DB_ThemeSOFAcct[[#This Row],[Plan]]</f>
        <v>1.873394</v>
      </c>
      <c r="AF203">
        <f>IF(DB_ThemeSOFAcct[[#This Row],[Plan]]&lt;&gt;0,DB_ThemeSOFAcct[[#This Row],[Actuals]]/DB_ThemeSOFAcct[[#This Row],[Plan]],1.000011000011)</f>
        <v>83.289115347447961</v>
      </c>
      <c r="AG203" s="34">
        <f>SUM(DB_ThemeSOFAcct[[#This Row],[Plan01]:[Plan12]])/valUnits2</f>
        <v>2.2765999999999998E-2</v>
      </c>
      <c r="AH203" s="34">
        <f>SUMPRODUCT(DB_ThemeSOFAcct[[#This Row],[Act01]:[Act12]],$Q$3:$AB$3)/valUnits2</f>
        <v>1.8961600000000001</v>
      </c>
    </row>
    <row r="204" spans="2:34" x14ac:dyDescent="0.2">
      <c r="B204" t="s">
        <v>351</v>
      </c>
      <c r="C204" t="s">
        <v>849</v>
      </c>
      <c r="D204" t="s">
        <v>235</v>
      </c>
      <c r="I204">
        <v>3.528</v>
      </c>
      <c r="J204">
        <v>0</v>
      </c>
      <c r="U204">
        <v>3.91</v>
      </c>
      <c r="V204">
        <v>316.07</v>
      </c>
      <c r="AC204">
        <f>SUMPRODUCT(DB_ThemeSOFAcct[[#This Row],[Plan01]:[Plan12]],$E$14:$P$14)/valUnits2</f>
        <v>3.5279999999999999E-3</v>
      </c>
      <c r="AD204">
        <f>SUMPRODUCT(DB_ThemeSOFAcct[[#This Row],[Act01]:[Act12]],$Q$14:$AB$14)/valUnits2</f>
        <v>0.31998000000000004</v>
      </c>
      <c r="AE204">
        <f>DB_ThemeSOFAcct[[#This Row],[Actuals]]-DB_ThemeSOFAcct[[#This Row],[Plan]]</f>
        <v>0.31645200000000007</v>
      </c>
      <c r="AF204">
        <f>IF(DB_ThemeSOFAcct[[#This Row],[Plan]]&lt;&gt;0,DB_ThemeSOFAcct[[#This Row],[Actuals]]/DB_ThemeSOFAcct[[#This Row],[Plan]],1.000011000011)</f>
        <v>90.697278911564638</v>
      </c>
      <c r="AG204" s="34">
        <f>SUM(DB_ThemeSOFAcct[[#This Row],[Plan01]:[Plan12]])/valUnits2</f>
        <v>3.5279999999999999E-3</v>
      </c>
      <c r="AH204" s="34">
        <f>SUMPRODUCT(DB_ThemeSOFAcct[[#This Row],[Act01]:[Act12]],$Q$3:$AB$3)/valUnits2</f>
        <v>0.31998000000000004</v>
      </c>
    </row>
    <row r="205" spans="2:34" x14ac:dyDescent="0.2">
      <c r="B205" t="s">
        <v>351</v>
      </c>
      <c r="C205" t="s">
        <v>849</v>
      </c>
      <c r="D205" t="s">
        <v>140</v>
      </c>
      <c r="H205">
        <v>0</v>
      </c>
      <c r="I205">
        <v>0</v>
      </c>
      <c r="T205">
        <v>0</v>
      </c>
      <c r="U205">
        <v>0</v>
      </c>
      <c r="AC205">
        <f>SUMPRODUCT(DB_ThemeSOFAcct[[#This Row],[Plan01]:[Plan12]],$E$14:$P$14)/valUnits2</f>
        <v>0</v>
      </c>
      <c r="AD205">
        <f>SUMPRODUCT(DB_ThemeSOFAcct[[#This Row],[Act01]:[Act12]],$Q$14:$AB$14)/valUnits2</f>
        <v>0</v>
      </c>
      <c r="AE205">
        <f>DB_ThemeSOFAcct[[#This Row],[Actuals]]-DB_ThemeSOFAcct[[#This Row],[Plan]]</f>
        <v>0</v>
      </c>
      <c r="AF205">
        <f>IF(DB_ThemeSOFAcct[[#This Row],[Plan]]&lt;&gt;0,DB_ThemeSOFAcct[[#This Row],[Actuals]]/DB_ThemeSOFAcct[[#This Row],[Plan]],1.000011000011)</f>
        <v>1.0000110000110001</v>
      </c>
      <c r="AG205" s="34">
        <f>SUM(DB_ThemeSOFAcct[[#This Row],[Plan01]:[Plan12]])/valUnits2</f>
        <v>0</v>
      </c>
      <c r="AH205" s="34">
        <f>SUMPRODUCT(DB_ThemeSOFAcct[[#This Row],[Act01]:[Act12]],$Q$3:$AB$3)/valUnits2</f>
        <v>0</v>
      </c>
    </row>
    <row r="206" spans="2:34" x14ac:dyDescent="0.2">
      <c r="B206" t="s">
        <v>351</v>
      </c>
      <c r="C206" t="s">
        <v>849</v>
      </c>
      <c r="D206" t="s">
        <v>236</v>
      </c>
      <c r="I206">
        <v>3.6989999999999998</v>
      </c>
      <c r="J206">
        <v>0</v>
      </c>
      <c r="U206">
        <v>3.68</v>
      </c>
      <c r="V206">
        <v>1.9300000000000002</v>
      </c>
      <c r="AC206">
        <f>SUMPRODUCT(DB_ThemeSOFAcct[[#This Row],[Plan01]:[Plan12]],$E$14:$P$14)/valUnits2</f>
        <v>3.699E-3</v>
      </c>
      <c r="AD206">
        <f>SUMPRODUCT(DB_ThemeSOFAcct[[#This Row],[Act01]:[Act12]],$Q$14:$AB$14)/valUnits2</f>
        <v>5.6100000000000004E-3</v>
      </c>
      <c r="AE206">
        <f>DB_ThemeSOFAcct[[#This Row],[Actuals]]-DB_ThemeSOFAcct[[#This Row],[Plan]]</f>
        <v>1.9110000000000004E-3</v>
      </c>
      <c r="AF206">
        <f>IF(DB_ThemeSOFAcct[[#This Row],[Plan]]&lt;&gt;0,DB_ThemeSOFAcct[[#This Row],[Actuals]]/DB_ThemeSOFAcct[[#This Row],[Plan]],1.000011000011)</f>
        <v>1.5166261151662612</v>
      </c>
      <c r="AG206" s="34">
        <f>SUM(DB_ThemeSOFAcct[[#This Row],[Plan01]:[Plan12]])/valUnits2</f>
        <v>3.699E-3</v>
      </c>
      <c r="AH206" s="34">
        <f>SUMPRODUCT(DB_ThemeSOFAcct[[#This Row],[Act01]:[Act12]],$Q$3:$AB$3)/valUnits2</f>
        <v>5.6100000000000004E-3</v>
      </c>
    </row>
    <row r="207" spans="2:34" x14ac:dyDescent="0.2">
      <c r="B207" t="s">
        <v>351</v>
      </c>
      <c r="C207" t="s">
        <v>849</v>
      </c>
      <c r="D207" t="s">
        <v>237</v>
      </c>
      <c r="I207">
        <v>0.04</v>
      </c>
      <c r="U207">
        <v>0.04</v>
      </c>
      <c r="AC207">
        <f>SUMPRODUCT(DB_ThemeSOFAcct[[#This Row],[Plan01]:[Plan12]],$E$14:$P$14)/valUnits2</f>
        <v>4.0000000000000003E-5</v>
      </c>
      <c r="AD207">
        <f>SUMPRODUCT(DB_ThemeSOFAcct[[#This Row],[Act01]:[Act12]],$Q$14:$AB$14)/valUnits2</f>
        <v>4.0000000000000003E-5</v>
      </c>
      <c r="AE207">
        <f>DB_ThemeSOFAcct[[#This Row],[Actuals]]-DB_ThemeSOFAcct[[#This Row],[Plan]]</f>
        <v>0</v>
      </c>
      <c r="AF207">
        <f>IF(DB_ThemeSOFAcct[[#This Row],[Plan]]&lt;&gt;0,DB_ThemeSOFAcct[[#This Row],[Actuals]]/DB_ThemeSOFAcct[[#This Row],[Plan]],1.000011000011)</f>
        <v>1</v>
      </c>
      <c r="AG207" s="34">
        <f>SUM(DB_ThemeSOFAcct[[#This Row],[Plan01]:[Plan12]])/valUnits2</f>
        <v>4.0000000000000003E-5</v>
      </c>
      <c r="AH207" s="34">
        <f>SUMPRODUCT(DB_ThemeSOFAcct[[#This Row],[Act01]:[Act12]],$Q$3:$AB$3)/valUnits2</f>
        <v>4.0000000000000003E-5</v>
      </c>
    </row>
    <row r="208" spans="2:34" x14ac:dyDescent="0.2">
      <c r="B208" t="s">
        <v>351</v>
      </c>
      <c r="C208" t="s">
        <v>849</v>
      </c>
      <c r="D208" t="s">
        <v>141</v>
      </c>
      <c r="I208">
        <v>0.48299999999999998</v>
      </c>
      <c r="U208">
        <v>0.49</v>
      </c>
      <c r="AC208">
        <f>SUMPRODUCT(DB_ThemeSOFAcct[[#This Row],[Plan01]:[Plan12]],$E$14:$P$14)/valUnits2</f>
        <v>4.8299999999999998E-4</v>
      </c>
      <c r="AD208">
        <f>SUMPRODUCT(DB_ThemeSOFAcct[[#This Row],[Act01]:[Act12]],$Q$14:$AB$14)/valUnits2</f>
        <v>4.8999999999999998E-4</v>
      </c>
      <c r="AE208">
        <f>DB_ThemeSOFAcct[[#This Row],[Actuals]]-DB_ThemeSOFAcct[[#This Row],[Plan]]</f>
        <v>7.0000000000000075E-6</v>
      </c>
      <c r="AF208">
        <f>IF(DB_ThemeSOFAcct[[#This Row],[Plan]]&lt;&gt;0,DB_ThemeSOFAcct[[#This Row],[Actuals]]/DB_ThemeSOFAcct[[#This Row],[Plan]],1.000011000011)</f>
        <v>1.0144927536231885</v>
      </c>
      <c r="AG208" s="34">
        <f>SUM(DB_ThemeSOFAcct[[#This Row],[Plan01]:[Plan12]])/valUnits2</f>
        <v>4.8299999999999998E-4</v>
      </c>
      <c r="AH208" s="34">
        <f>SUMPRODUCT(DB_ThemeSOFAcct[[#This Row],[Act01]:[Act12]],$Q$3:$AB$3)/valUnits2</f>
        <v>4.8999999999999998E-4</v>
      </c>
    </row>
    <row r="209" spans="2:34" x14ac:dyDescent="0.2">
      <c r="B209" t="s">
        <v>351</v>
      </c>
      <c r="C209" t="s">
        <v>366</v>
      </c>
      <c r="D209" t="s">
        <v>143</v>
      </c>
      <c r="E209">
        <v>0</v>
      </c>
      <c r="F209">
        <v>0</v>
      </c>
      <c r="G209">
        <v>0</v>
      </c>
      <c r="H209">
        <v>469.16699999999997</v>
      </c>
      <c r="I209">
        <v>146.03200000000001</v>
      </c>
      <c r="J209">
        <v>0</v>
      </c>
      <c r="K209">
        <v>0</v>
      </c>
      <c r="L209">
        <v>0</v>
      </c>
      <c r="Q209">
        <v>0</v>
      </c>
      <c r="R209">
        <v>0</v>
      </c>
      <c r="S209">
        <v>0</v>
      </c>
      <c r="T209">
        <v>455.85</v>
      </c>
      <c r="U209">
        <v>145.35999999999996</v>
      </c>
      <c r="V209">
        <v>151.14000000000001</v>
      </c>
      <c r="W209">
        <v>0</v>
      </c>
      <c r="X209">
        <v>0</v>
      </c>
      <c r="AC209">
        <f>SUMPRODUCT(DB_ThemeSOFAcct[[#This Row],[Plan01]:[Plan12]],$E$14:$P$14)/valUnits2</f>
        <v>0.61519899999999994</v>
      </c>
      <c r="AD209">
        <f>SUMPRODUCT(DB_ThemeSOFAcct[[#This Row],[Act01]:[Act12]],$Q$14:$AB$14)/valUnits2</f>
        <v>0.75235000000000007</v>
      </c>
      <c r="AE209">
        <f>DB_ThemeSOFAcct[[#This Row],[Actuals]]-DB_ThemeSOFAcct[[#This Row],[Plan]]</f>
        <v>0.13715100000000013</v>
      </c>
      <c r="AF209">
        <f>IF(DB_ThemeSOFAcct[[#This Row],[Plan]]&lt;&gt;0,DB_ThemeSOFAcct[[#This Row],[Actuals]]/DB_ThemeSOFAcct[[#This Row],[Plan]],1.000011000011)</f>
        <v>1.2229376185591982</v>
      </c>
      <c r="AG209" s="34">
        <f>SUM(DB_ThemeSOFAcct[[#This Row],[Plan01]:[Plan12]])/valUnits2</f>
        <v>0.61519899999999994</v>
      </c>
      <c r="AH209" s="34">
        <f>SUMPRODUCT(DB_ThemeSOFAcct[[#This Row],[Act01]:[Act12]],$Q$3:$AB$3)/valUnits2</f>
        <v>0.75235000000000007</v>
      </c>
    </row>
    <row r="210" spans="2:34" x14ac:dyDescent="0.2">
      <c r="B210" t="s">
        <v>351</v>
      </c>
      <c r="C210" t="s">
        <v>366</v>
      </c>
      <c r="D210" t="s">
        <v>235</v>
      </c>
      <c r="H210">
        <v>35.357999999999997</v>
      </c>
      <c r="I210">
        <v>9.8919999999999995</v>
      </c>
      <c r="J210">
        <v>0</v>
      </c>
      <c r="T210">
        <v>57.19</v>
      </c>
      <c r="U210">
        <v>12.1</v>
      </c>
      <c r="V210">
        <v>25.53</v>
      </c>
      <c r="AC210">
        <f>SUMPRODUCT(DB_ThemeSOFAcct[[#This Row],[Plan01]:[Plan12]],$E$14:$P$14)/valUnits2</f>
        <v>4.5249999999999999E-2</v>
      </c>
      <c r="AD210">
        <f>SUMPRODUCT(DB_ThemeSOFAcct[[#This Row],[Act01]:[Act12]],$Q$14:$AB$14)/valUnits2</f>
        <v>9.4819999999999988E-2</v>
      </c>
      <c r="AE210">
        <f>DB_ThemeSOFAcct[[#This Row],[Actuals]]-DB_ThemeSOFAcct[[#This Row],[Plan]]</f>
        <v>4.9569999999999989E-2</v>
      </c>
      <c r="AF210">
        <f>IF(DB_ThemeSOFAcct[[#This Row],[Plan]]&lt;&gt;0,DB_ThemeSOFAcct[[#This Row],[Actuals]]/DB_ThemeSOFAcct[[#This Row],[Plan]],1.000011000011)</f>
        <v>2.0954696132596684</v>
      </c>
      <c r="AG210" s="34">
        <f>SUM(DB_ThemeSOFAcct[[#This Row],[Plan01]:[Plan12]])/valUnits2</f>
        <v>4.5249999999999999E-2</v>
      </c>
      <c r="AH210" s="34">
        <f>SUMPRODUCT(DB_ThemeSOFAcct[[#This Row],[Act01]:[Act12]],$Q$3:$AB$3)/valUnits2</f>
        <v>9.4819999999999988E-2</v>
      </c>
    </row>
    <row r="211" spans="2:34" x14ac:dyDescent="0.2">
      <c r="B211" t="s">
        <v>351</v>
      </c>
      <c r="C211" t="s">
        <v>366</v>
      </c>
      <c r="D211" t="s">
        <v>140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AC211">
        <f>SUMPRODUCT(DB_ThemeSOFAcct[[#This Row],[Plan01]:[Plan12]],$E$14:$P$14)/valUnits2</f>
        <v>0</v>
      </c>
      <c r="AD211">
        <f>SUMPRODUCT(DB_ThemeSOFAcct[[#This Row],[Act01]:[Act12]],$Q$14:$AB$14)/valUnits2</f>
        <v>0</v>
      </c>
      <c r="AE211">
        <f>DB_ThemeSOFAcct[[#This Row],[Actuals]]-DB_ThemeSOFAcct[[#This Row],[Plan]]</f>
        <v>0</v>
      </c>
      <c r="AF211">
        <f>IF(DB_ThemeSOFAcct[[#This Row],[Plan]]&lt;&gt;0,DB_ThemeSOFAcct[[#This Row],[Actuals]]/DB_ThemeSOFAcct[[#This Row],[Plan]],1.000011000011)</f>
        <v>1.0000110000110001</v>
      </c>
      <c r="AG211" s="34">
        <f>SUM(DB_ThemeSOFAcct[[#This Row],[Plan01]:[Plan12]])/valUnits2</f>
        <v>0</v>
      </c>
      <c r="AH211" s="34">
        <f>SUMPRODUCT(DB_ThemeSOFAcct[[#This Row],[Act01]:[Act12]],$Q$3:$AB$3)/valUnits2</f>
        <v>0</v>
      </c>
    </row>
    <row r="212" spans="2:34" x14ac:dyDescent="0.2">
      <c r="B212" t="s">
        <v>351</v>
      </c>
      <c r="C212" t="s">
        <v>366</v>
      </c>
      <c r="D212" t="s">
        <v>236</v>
      </c>
      <c r="I212">
        <v>0.71699999999999997</v>
      </c>
      <c r="J212">
        <v>0</v>
      </c>
      <c r="U212">
        <v>0.72</v>
      </c>
      <c r="V212">
        <v>0.16</v>
      </c>
      <c r="AC212">
        <f>SUMPRODUCT(DB_ThemeSOFAcct[[#This Row],[Plan01]:[Plan12]],$E$14:$P$14)/valUnits2</f>
        <v>7.1699999999999997E-4</v>
      </c>
      <c r="AD212">
        <f>SUMPRODUCT(DB_ThemeSOFAcct[[#This Row],[Act01]:[Act12]],$Q$14:$AB$14)/valUnits2</f>
        <v>8.8000000000000003E-4</v>
      </c>
      <c r="AE212">
        <f>DB_ThemeSOFAcct[[#This Row],[Actuals]]-DB_ThemeSOFAcct[[#This Row],[Plan]]</f>
        <v>1.6300000000000006E-4</v>
      </c>
      <c r="AF212">
        <f>IF(DB_ThemeSOFAcct[[#This Row],[Plan]]&lt;&gt;0,DB_ThemeSOFAcct[[#This Row],[Actuals]]/DB_ThemeSOFAcct[[#This Row],[Plan]],1.000011000011)</f>
        <v>1.2273361227336124</v>
      </c>
      <c r="AG212" s="34">
        <f>SUM(DB_ThemeSOFAcct[[#This Row],[Plan01]:[Plan12]])/valUnits2</f>
        <v>7.1699999999999997E-4</v>
      </c>
      <c r="AH212" s="34">
        <f>SUMPRODUCT(DB_ThemeSOFAcct[[#This Row],[Act01]:[Act12]],$Q$3:$AB$3)/valUnits2</f>
        <v>8.8000000000000003E-4</v>
      </c>
    </row>
    <row r="213" spans="2:34" x14ac:dyDescent="0.2">
      <c r="B213" t="s">
        <v>351</v>
      </c>
      <c r="C213" t="s">
        <v>366</v>
      </c>
      <c r="D213" t="s">
        <v>237</v>
      </c>
      <c r="H213">
        <v>15.701999999999998</v>
      </c>
      <c r="T213">
        <v>15.2</v>
      </c>
      <c r="AC213">
        <f>SUMPRODUCT(DB_ThemeSOFAcct[[#This Row],[Plan01]:[Plan12]],$E$14:$P$14)/valUnits2</f>
        <v>1.5701999999999997E-2</v>
      </c>
      <c r="AD213">
        <f>SUMPRODUCT(DB_ThemeSOFAcct[[#This Row],[Act01]:[Act12]],$Q$14:$AB$14)/valUnits2</f>
        <v>1.52E-2</v>
      </c>
      <c r="AE213">
        <f>DB_ThemeSOFAcct[[#This Row],[Actuals]]-DB_ThemeSOFAcct[[#This Row],[Plan]]</f>
        <v>-5.0199999999999724E-4</v>
      </c>
      <c r="AF213">
        <f>IF(DB_ThemeSOFAcct[[#This Row],[Plan]]&lt;&gt;0,DB_ThemeSOFAcct[[#This Row],[Actuals]]/DB_ThemeSOFAcct[[#This Row],[Plan]],1.000011000011)</f>
        <v>0.96802955037574845</v>
      </c>
      <c r="AG213" s="34">
        <f>SUM(DB_ThemeSOFAcct[[#This Row],[Plan01]:[Plan12]])/valUnits2</f>
        <v>1.5701999999999997E-2</v>
      </c>
      <c r="AH213" s="34">
        <f>SUMPRODUCT(DB_ThemeSOFAcct[[#This Row],[Act01]:[Act12]],$Q$3:$AB$3)/valUnits2</f>
        <v>1.52E-2</v>
      </c>
    </row>
    <row r="214" spans="2:34" x14ac:dyDescent="0.2">
      <c r="B214" t="s">
        <v>351</v>
      </c>
      <c r="C214" t="s">
        <v>366</v>
      </c>
      <c r="D214" t="s">
        <v>141</v>
      </c>
      <c r="H214">
        <v>3.859</v>
      </c>
      <c r="I214">
        <v>6.1509999999999998</v>
      </c>
      <c r="T214">
        <v>3.9</v>
      </c>
      <c r="U214">
        <v>6.17</v>
      </c>
      <c r="AC214">
        <f>SUMPRODUCT(DB_ThemeSOFAcct[[#This Row],[Plan01]:[Plan12]],$E$14:$P$14)/valUnits2</f>
        <v>1.001E-2</v>
      </c>
      <c r="AD214">
        <f>SUMPRODUCT(DB_ThemeSOFAcct[[#This Row],[Act01]:[Act12]],$Q$14:$AB$14)/valUnits2</f>
        <v>1.0070000000000001E-2</v>
      </c>
      <c r="AE214">
        <f>DB_ThemeSOFAcct[[#This Row],[Actuals]]-DB_ThemeSOFAcct[[#This Row],[Plan]]</f>
        <v>6.0000000000001025E-5</v>
      </c>
      <c r="AF214">
        <f>IF(DB_ThemeSOFAcct[[#This Row],[Plan]]&lt;&gt;0,DB_ThemeSOFAcct[[#This Row],[Actuals]]/DB_ThemeSOFAcct[[#This Row],[Plan]],1.000011000011)</f>
        <v>1.005994005994006</v>
      </c>
      <c r="AG214" s="34">
        <f>SUM(DB_ThemeSOFAcct[[#This Row],[Plan01]:[Plan12]])/valUnits2</f>
        <v>1.001E-2</v>
      </c>
      <c r="AH214" s="34">
        <f>SUMPRODUCT(DB_ThemeSOFAcct[[#This Row],[Act01]:[Act12]],$Q$3:$AB$3)/valUnits2</f>
        <v>1.0070000000000001E-2</v>
      </c>
    </row>
    <row r="215" spans="2:34" x14ac:dyDescent="0.2">
      <c r="B215" t="s">
        <v>351</v>
      </c>
      <c r="C215" t="s">
        <v>353</v>
      </c>
      <c r="D215" t="s">
        <v>143</v>
      </c>
      <c r="H215">
        <v>441.84699999999998</v>
      </c>
      <c r="I215">
        <v>527.25</v>
      </c>
      <c r="J215">
        <v>0</v>
      </c>
      <c r="T215">
        <v>440.36</v>
      </c>
      <c r="U215">
        <v>512.25</v>
      </c>
      <c r="V215">
        <v>523.63999999999987</v>
      </c>
      <c r="AC215">
        <f>SUMPRODUCT(DB_ThemeSOFAcct[[#This Row],[Plan01]:[Plan12]],$E$14:$P$14)/valUnits2</f>
        <v>0.96909699999999999</v>
      </c>
      <c r="AD215">
        <f>SUMPRODUCT(DB_ThemeSOFAcct[[#This Row],[Act01]:[Act12]],$Q$14:$AB$14)/valUnits2</f>
        <v>1.4762500000000001</v>
      </c>
      <c r="AE215">
        <f>DB_ThemeSOFAcct[[#This Row],[Actuals]]-DB_ThemeSOFAcct[[#This Row],[Plan]]</f>
        <v>0.50715300000000008</v>
      </c>
      <c r="AF215">
        <f>IF(DB_ThemeSOFAcct[[#This Row],[Plan]]&lt;&gt;0,DB_ThemeSOFAcct[[#This Row],[Actuals]]/DB_ThemeSOFAcct[[#This Row],[Plan]],1.000011000011)</f>
        <v>1.523325322439343</v>
      </c>
      <c r="AG215" s="34">
        <f>SUM(DB_ThemeSOFAcct[[#This Row],[Plan01]:[Plan12]])/valUnits2</f>
        <v>0.96909699999999999</v>
      </c>
      <c r="AH215" s="34">
        <f>SUMPRODUCT(DB_ThemeSOFAcct[[#This Row],[Act01]:[Act12]],$Q$3:$AB$3)/valUnits2</f>
        <v>1.4762500000000001</v>
      </c>
    </row>
    <row r="216" spans="2:34" x14ac:dyDescent="0.2">
      <c r="B216" t="s">
        <v>351</v>
      </c>
      <c r="C216" t="s">
        <v>353</v>
      </c>
      <c r="D216" t="s">
        <v>235</v>
      </c>
      <c r="I216">
        <v>152.08500000000001</v>
      </c>
      <c r="J216">
        <v>0</v>
      </c>
      <c r="U216">
        <v>167.58</v>
      </c>
      <c r="V216">
        <v>88.35</v>
      </c>
      <c r="AC216">
        <f>SUMPRODUCT(DB_ThemeSOFAcct[[#This Row],[Plan01]:[Plan12]],$E$14:$P$14)/valUnits2</f>
        <v>0.152085</v>
      </c>
      <c r="AD216">
        <f>SUMPRODUCT(DB_ThemeSOFAcct[[#This Row],[Act01]:[Act12]],$Q$14:$AB$14)/valUnits2</f>
        <v>0.25592999999999999</v>
      </c>
      <c r="AE216">
        <f>DB_ThemeSOFAcct[[#This Row],[Actuals]]-DB_ThemeSOFAcct[[#This Row],[Plan]]</f>
        <v>0.10384499999999999</v>
      </c>
      <c r="AF216">
        <f>IF(DB_ThemeSOFAcct[[#This Row],[Plan]]&lt;&gt;0,DB_ThemeSOFAcct[[#This Row],[Actuals]]/DB_ThemeSOFAcct[[#This Row],[Plan]],1.000011000011)</f>
        <v>1.6828089555182957</v>
      </c>
      <c r="AG216" s="34">
        <f>SUM(DB_ThemeSOFAcct[[#This Row],[Plan01]:[Plan12]])/valUnits2</f>
        <v>0.152085</v>
      </c>
      <c r="AH216" s="34">
        <f>SUMPRODUCT(DB_ThemeSOFAcct[[#This Row],[Act01]:[Act12]],$Q$3:$AB$3)/valUnits2</f>
        <v>0.25592999999999999</v>
      </c>
    </row>
    <row r="217" spans="2:34" x14ac:dyDescent="0.2">
      <c r="B217" t="s">
        <v>351</v>
      </c>
      <c r="C217" t="s">
        <v>353</v>
      </c>
      <c r="D217" t="s">
        <v>140</v>
      </c>
      <c r="G217">
        <v>0</v>
      </c>
      <c r="H217">
        <v>0</v>
      </c>
      <c r="J217">
        <v>0</v>
      </c>
      <c r="S217">
        <v>0</v>
      </c>
      <c r="T217">
        <v>0</v>
      </c>
      <c r="V217">
        <v>664.75</v>
      </c>
      <c r="AC217">
        <f>SUMPRODUCT(DB_ThemeSOFAcct[[#This Row],[Plan01]:[Plan12]],$E$14:$P$14)/valUnits2</f>
        <v>0</v>
      </c>
      <c r="AD217">
        <f>SUMPRODUCT(DB_ThemeSOFAcct[[#This Row],[Act01]:[Act12]],$Q$14:$AB$14)/valUnits2</f>
        <v>0.66474999999999995</v>
      </c>
      <c r="AE217">
        <f>DB_ThemeSOFAcct[[#This Row],[Actuals]]-DB_ThemeSOFAcct[[#This Row],[Plan]]</f>
        <v>0.66474999999999995</v>
      </c>
      <c r="AF217">
        <f>IF(DB_ThemeSOFAcct[[#This Row],[Plan]]&lt;&gt;0,DB_ThemeSOFAcct[[#This Row],[Actuals]]/DB_ThemeSOFAcct[[#This Row],[Plan]],1.000011000011)</f>
        <v>1.0000110000110001</v>
      </c>
      <c r="AG217" s="34">
        <f>SUM(DB_ThemeSOFAcct[[#This Row],[Plan01]:[Plan12]])/valUnits2</f>
        <v>0</v>
      </c>
      <c r="AH217" s="34">
        <f>SUMPRODUCT(DB_ThemeSOFAcct[[#This Row],[Act01]:[Act12]],$Q$3:$AB$3)/valUnits2</f>
        <v>0.66474999999999995</v>
      </c>
    </row>
    <row r="218" spans="2:34" x14ac:dyDescent="0.2">
      <c r="B218" t="s">
        <v>351</v>
      </c>
      <c r="C218" t="s">
        <v>353</v>
      </c>
      <c r="D218" t="s">
        <v>236</v>
      </c>
      <c r="I218">
        <v>158.756</v>
      </c>
      <c r="J218">
        <v>0</v>
      </c>
      <c r="U218">
        <v>157.79</v>
      </c>
      <c r="V218">
        <v>0.55000000000000004</v>
      </c>
      <c r="AC218">
        <f>SUMPRODUCT(DB_ThemeSOFAcct[[#This Row],[Plan01]:[Plan12]],$E$14:$P$14)/valUnits2</f>
        <v>0.15875600000000001</v>
      </c>
      <c r="AD218">
        <f>SUMPRODUCT(DB_ThemeSOFAcct[[#This Row],[Act01]:[Act12]],$Q$14:$AB$14)/valUnits2</f>
        <v>0.15834000000000001</v>
      </c>
      <c r="AE218">
        <f>DB_ThemeSOFAcct[[#This Row],[Actuals]]-DB_ThemeSOFAcct[[#This Row],[Plan]]</f>
        <v>-4.159999999999997E-4</v>
      </c>
      <c r="AF218">
        <f>IF(DB_ThemeSOFAcct[[#This Row],[Plan]]&lt;&gt;0,DB_ThemeSOFAcct[[#This Row],[Actuals]]/DB_ThemeSOFAcct[[#This Row],[Plan]],1.000011000011)</f>
        <v>0.99737962659679003</v>
      </c>
      <c r="AG218" s="34">
        <f>SUM(DB_ThemeSOFAcct[[#This Row],[Plan01]:[Plan12]])/valUnits2</f>
        <v>0.15875600000000001</v>
      </c>
      <c r="AH218" s="34">
        <f>SUMPRODUCT(DB_ThemeSOFAcct[[#This Row],[Act01]:[Act12]],$Q$3:$AB$3)/valUnits2</f>
        <v>0.15834000000000001</v>
      </c>
    </row>
    <row r="219" spans="2:34" x14ac:dyDescent="0.2">
      <c r="B219" t="s">
        <v>351</v>
      </c>
      <c r="C219" t="s">
        <v>353</v>
      </c>
      <c r="D219" t="s">
        <v>237</v>
      </c>
      <c r="I219">
        <v>1.5820000000000001</v>
      </c>
      <c r="U219">
        <v>1.58</v>
      </c>
      <c r="AC219">
        <f>SUMPRODUCT(DB_ThemeSOFAcct[[#This Row],[Plan01]:[Plan12]],$E$14:$P$14)/valUnits2</f>
        <v>1.5820000000000001E-3</v>
      </c>
      <c r="AD219">
        <f>SUMPRODUCT(DB_ThemeSOFAcct[[#This Row],[Act01]:[Act12]],$Q$14:$AB$14)/valUnits2</f>
        <v>1.58E-3</v>
      </c>
      <c r="AE219">
        <f>DB_ThemeSOFAcct[[#This Row],[Actuals]]-DB_ThemeSOFAcct[[#This Row],[Plan]]</f>
        <v>-2.0000000000000486E-6</v>
      </c>
      <c r="AF219">
        <f>IF(DB_ThemeSOFAcct[[#This Row],[Plan]]&lt;&gt;0,DB_ThemeSOFAcct[[#This Row],[Actuals]]/DB_ThemeSOFAcct[[#This Row],[Plan]],1.000011000011)</f>
        <v>0.99873577749683939</v>
      </c>
      <c r="AG219" s="34">
        <f>SUM(DB_ThemeSOFAcct[[#This Row],[Plan01]:[Plan12]])/valUnits2</f>
        <v>1.5820000000000001E-3</v>
      </c>
      <c r="AH219" s="34">
        <f>SUMPRODUCT(DB_ThemeSOFAcct[[#This Row],[Act01]:[Act12]],$Q$3:$AB$3)/valUnits2</f>
        <v>1.58E-3</v>
      </c>
    </row>
    <row r="220" spans="2:34" x14ac:dyDescent="0.2">
      <c r="B220" t="s">
        <v>351</v>
      </c>
      <c r="C220" t="s">
        <v>353</v>
      </c>
      <c r="D220" t="s">
        <v>141</v>
      </c>
      <c r="I220">
        <v>21.536999999999999</v>
      </c>
      <c r="U220">
        <v>21.39</v>
      </c>
      <c r="AC220">
        <f>SUMPRODUCT(DB_ThemeSOFAcct[[#This Row],[Plan01]:[Plan12]],$E$14:$P$14)/valUnits2</f>
        <v>2.1537000000000001E-2</v>
      </c>
      <c r="AD220">
        <f>SUMPRODUCT(DB_ThemeSOFAcct[[#This Row],[Act01]:[Act12]],$Q$14:$AB$14)/valUnits2</f>
        <v>2.1389999999999999E-2</v>
      </c>
      <c r="AE220">
        <f>DB_ThemeSOFAcct[[#This Row],[Actuals]]-DB_ThemeSOFAcct[[#This Row],[Plan]]</f>
        <v>-1.470000000000013E-4</v>
      </c>
      <c r="AF220">
        <f>IF(DB_ThemeSOFAcct[[#This Row],[Plan]]&lt;&gt;0,DB_ThemeSOFAcct[[#This Row],[Actuals]]/DB_ThemeSOFAcct[[#This Row],[Plan]],1.000011000011)</f>
        <v>0.99317453684357149</v>
      </c>
      <c r="AG220" s="34">
        <f>SUM(DB_ThemeSOFAcct[[#This Row],[Plan01]:[Plan12]])/valUnits2</f>
        <v>2.1537000000000001E-2</v>
      </c>
      <c r="AH220" s="34">
        <f>SUMPRODUCT(DB_ThemeSOFAcct[[#This Row],[Act01]:[Act12]],$Q$3:$AB$3)/valUnits2</f>
        <v>2.1389999999999999E-2</v>
      </c>
    </row>
    <row r="221" spans="2:34" x14ac:dyDescent="0.2">
      <c r="B221" t="s">
        <v>351</v>
      </c>
      <c r="C221" t="s">
        <v>850</v>
      </c>
      <c r="D221" t="s">
        <v>143</v>
      </c>
      <c r="E221">
        <v>0</v>
      </c>
      <c r="F221">
        <v>0</v>
      </c>
      <c r="G221">
        <v>0</v>
      </c>
      <c r="H221">
        <v>682.28099999999995</v>
      </c>
      <c r="I221">
        <v>224.53800000000001</v>
      </c>
      <c r="J221">
        <v>383.29500000000002</v>
      </c>
      <c r="K221">
        <v>383.29500000000002</v>
      </c>
      <c r="L221">
        <v>383.29500000000002</v>
      </c>
      <c r="M221">
        <v>383.29500000000002</v>
      </c>
      <c r="N221">
        <v>383.29500000000002</v>
      </c>
      <c r="O221">
        <v>383.29500000000002</v>
      </c>
      <c r="P221">
        <v>383.29500000000002</v>
      </c>
      <c r="Q221">
        <v>0</v>
      </c>
      <c r="R221">
        <v>0</v>
      </c>
      <c r="S221">
        <v>0</v>
      </c>
      <c r="T221">
        <v>654.19000000000005</v>
      </c>
      <c r="U221">
        <v>218.8</v>
      </c>
      <c r="V221">
        <v>-430.49000000000007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f>SUMPRODUCT(DB_ThemeSOFAcct[[#This Row],[Plan01]:[Plan12]],$E$14:$P$14)/valUnits2</f>
        <v>1.290114</v>
      </c>
      <c r="AD221">
        <f>SUMPRODUCT(DB_ThemeSOFAcct[[#This Row],[Act01]:[Act12]],$Q$14:$AB$14)/valUnits2</f>
        <v>0.44249999999999995</v>
      </c>
      <c r="AE221">
        <f>DB_ThemeSOFAcct[[#This Row],[Actuals]]-DB_ThemeSOFAcct[[#This Row],[Plan]]</f>
        <v>-0.84761400000000009</v>
      </c>
      <c r="AF221">
        <f>IF(DB_ThemeSOFAcct[[#This Row],[Plan]]&lt;&gt;0,DB_ThemeSOFAcct[[#This Row],[Actuals]]/DB_ThemeSOFAcct[[#This Row],[Plan]],1.000011000011)</f>
        <v>0.34299294480952841</v>
      </c>
      <c r="AG221" s="34">
        <f>SUM(DB_ThemeSOFAcct[[#This Row],[Plan01]:[Plan12]])/valUnits2</f>
        <v>3.5898840000000005</v>
      </c>
      <c r="AH221" s="34">
        <f>SUMPRODUCT(DB_ThemeSOFAcct[[#This Row],[Act01]:[Act12]],$Q$3:$AB$3)/valUnits2</f>
        <v>0.44249999999999995</v>
      </c>
    </row>
    <row r="222" spans="2:34" x14ac:dyDescent="0.2">
      <c r="B222" t="s">
        <v>351</v>
      </c>
      <c r="C222" t="s">
        <v>850</v>
      </c>
      <c r="D222" t="s">
        <v>235</v>
      </c>
      <c r="H222">
        <v>34.595999999999997</v>
      </c>
      <c r="I222">
        <v>64.325000000000003</v>
      </c>
      <c r="J222">
        <v>0</v>
      </c>
      <c r="T222">
        <v>57.940000000000005</v>
      </c>
      <c r="U222">
        <v>71.760000000000005</v>
      </c>
      <c r="V222">
        <v>-39.270000000000003</v>
      </c>
      <c r="AC222">
        <f>SUMPRODUCT(DB_ThemeSOFAcct[[#This Row],[Plan01]:[Plan12]],$E$14:$P$14)/valUnits2</f>
        <v>9.8920999999999995E-2</v>
      </c>
      <c r="AD222">
        <f>SUMPRODUCT(DB_ThemeSOFAcct[[#This Row],[Act01]:[Act12]],$Q$14:$AB$14)/valUnits2</f>
        <v>9.043000000000001E-2</v>
      </c>
      <c r="AE222">
        <f>DB_ThemeSOFAcct[[#This Row],[Actuals]]-DB_ThemeSOFAcct[[#This Row],[Plan]]</f>
        <v>-8.4909999999999847E-3</v>
      </c>
      <c r="AF222">
        <f>IF(DB_ThemeSOFAcct[[#This Row],[Plan]]&lt;&gt;0,DB_ThemeSOFAcct[[#This Row],[Actuals]]/DB_ThemeSOFAcct[[#This Row],[Plan]],1.000011000011)</f>
        <v>0.91416382770089277</v>
      </c>
      <c r="AG222" s="34">
        <f>SUM(DB_ThemeSOFAcct[[#This Row],[Plan01]:[Plan12]])/valUnits2</f>
        <v>9.8920999999999995E-2</v>
      </c>
      <c r="AH222" s="34">
        <f>SUMPRODUCT(DB_ThemeSOFAcct[[#This Row],[Act01]:[Act12]],$Q$3:$AB$3)/valUnits2</f>
        <v>9.043000000000001E-2</v>
      </c>
    </row>
    <row r="223" spans="2:34" x14ac:dyDescent="0.2">
      <c r="B223" t="s">
        <v>351</v>
      </c>
      <c r="C223" t="s">
        <v>850</v>
      </c>
      <c r="D223" t="s">
        <v>140</v>
      </c>
      <c r="E223">
        <v>21.917000000000002</v>
      </c>
      <c r="F223">
        <v>2681.54</v>
      </c>
      <c r="G223">
        <v>0</v>
      </c>
      <c r="H223">
        <v>3888.3679999999999</v>
      </c>
      <c r="I223">
        <v>2770.5940000000001</v>
      </c>
      <c r="J223">
        <v>851.76799999999992</v>
      </c>
      <c r="K223">
        <v>851.76799999999992</v>
      </c>
      <c r="L223">
        <v>851.76800000000003</v>
      </c>
      <c r="M223">
        <v>851.76800000000003</v>
      </c>
      <c r="N223">
        <v>851.76799999999992</v>
      </c>
      <c r="O223">
        <v>851.76800000000003</v>
      </c>
      <c r="P223">
        <v>851.76800000000003</v>
      </c>
      <c r="Q223">
        <v>21.92</v>
      </c>
      <c r="R223">
        <v>2681.54</v>
      </c>
      <c r="S223">
        <v>0</v>
      </c>
      <c r="T223">
        <v>3884.4700000000003</v>
      </c>
      <c r="U223">
        <v>2761.8099999999995</v>
      </c>
      <c r="V223">
        <v>1483.4699999999998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f>SUMPRODUCT(DB_ThemeSOFAcct[[#This Row],[Plan01]:[Plan12]],$E$14:$P$14)/valUnits2</f>
        <v>10.214186999999999</v>
      </c>
      <c r="AD223">
        <f>SUMPRODUCT(DB_ThemeSOFAcct[[#This Row],[Act01]:[Act12]],$Q$14:$AB$14)/valUnits2</f>
        <v>10.833209999999999</v>
      </c>
      <c r="AE223">
        <f>DB_ThemeSOFAcct[[#This Row],[Actuals]]-DB_ThemeSOFAcct[[#This Row],[Plan]]</f>
        <v>0.61902300000000032</v>
      </c>
      <c r="AF223">
        <f>IF(DB_ThemeSOFAcct[[#This Row],[Plan]]&lt;&gt;0,DB_ThemeSOFAcct[[#This Row],[Actuals]]/DB_ThemeSOFAcct[[#This Row],[Plan]],1.000011000011)</f>
        <v>1.0606042360493302</v>
      </c>
      <c r="AG223" s="34">
        <f>SUM(DB_ThemeSOFAcct[[#This Row],[Plan01]:[Plan12]])/valUnits2</f>
        <v>15.324795</v>
      </c>
      <c r="AH223" s="34">
        <f>SUMPRODUCT(DB_ThemeSOFAcct[[#This Row],[Act01]:[Act12]],$Q$3:$AB$3)/valUnits2</f>
        <v>10.833209999999999</v>
      </c>
    </row>
    <row r="224" spans="2:34" x14ac:dyDescent="0.2">
      <c r="B224" t="s">
        <v>351</v>
      </c>
      <c r="C224" t="s">
        <v>850</v>
      </c>
      <c r="D224" t="s">
        <v>236</v>
      </c>
      <c r="I224">
        <v>67.307000000000002</v>
      </c>
      <c r="J224">
        <v>0</v>
      </c>
      <c r="U224">
        <v>67.319999999999993</v>
      </c>
      <c r="V224">
        <v>-65.83</v>
      </c>
      <c r="AC224">
        <f>SUMPRODUCT(DB_ThemeSOFAcct[[#This Row],[Plan01]:[Plan12]],$E$14:$P$14)/valUnits2</f>
        <v>6.7307000000000006E-2</v>
      </c>
      <c r="AD224">
        <f>SUMPRODUCT(DB_ThemeSOFAcct[[#This Row],[Act01]:[Act12]],$Q$14:$AB$14)/valUnits2</f>
        <v>1.4899999999999948E-3</v>
      </c>
      <c r="AE224">
        <f>DB_ThemeSOFAcct[[#This Row],[Actuals]]-DB_ThemeSOFAcct[[#This Row],[Plan]]</f>
        <v>-6.5817000000000014E-2</v>
      </c>
      <c r="AF224">
        <f>IF(DB_ThemeSOFAcct[[#This Row],[Plan]]&lt;&gt;0,DB_ThemeSOFAcct[[#This Row],[Actuals]]/DB_ThemeSOFAcct[[#This Row],[Plan]],1.000011000011)</f>
        <v>2.2137370555811352E-2</v>
      </c>
      <c r="AG224" s="34">
        <f>SUM(DB_ThemeSOFAcct[[#This Row],[Plan01]:[Plan12]])/valUnits2</f>
        <v>6.7307000000000006E-2</v>
      </c>
      <c r="AH224" s="34">
        <f>SUMPRODUCT(DB_ThemeSOFAcct[[#This Row],[Act01]:[Act12]],$Q$3:$AB$3)/valUnits2</f>
        <v>1.4899999999999948E-3</v>
      </c>
    </row>
    <row r="225" spans="2:34" x14ac:dyDescent="0.2">
      <c r="B225" t="s">
        <v>351</v>
      </c>
      <c r="C225" t="s">
        <v>850</v>
      </c>
      <c r="D225" t="s">
        <v>237</v>
      </c>
      <c r="H225">
        <v>15.491</v>
      </c>
      <c r="I225">
        <v>0.67300000000000004</v>
      </c>
      <c r="J225">
        <v>0</v>
      </c>
      <c r="T225">
        <v>15.400000000000002</v>
      </c>
      <c r="U225">
        <v>0.67</v>
      </c>
      <c r="V225">
        <v>-5.94</v>
      </c>
      <c r="AC225">
        <f>SUMPRODUCT(DB_ThemeSOFAcct[[#This Row],[Plan01]:[Plan12]],$E$14:$P$14)/valUnits2</f>
        <v>1.6164000000000001E-2</v>
      </c>
      <c r="AD225">
        <f>SUMPRODUCT(DB_ThemeSOFAcct[[#This Row],[Act01]:[Act12]],$Q$14:$AB$14)/valUnits2</f>
        <v>1.0130000000000002E-2</v>
      </c>
      <c r="AE225">
        <f>DB_ThemeSOFAcct[[#This Row],[Actuals]]-DB_ThemeSOFAcct[[#This Row],[Plan]]</f>
        <v>-6.0339999999999994E-3</v>
      </c>
      <c r="AF225">
        <f>IF(DB_ThemeSOFAcct[[#This Row],[Plan]]&lt;&gt;0,DB_ThemeSOFAcct[[#This Row],[Actuals]]/DB_ThemeSOFAcct[[#This Row],[Plan]],1.000011000011)</f>
        <v>0.62670131155654552</v>
      </c>
      <c r="AG225" s="34">
        <f>SUM(DB_ThemeSOFAcct[[#This Row],[Plan01]:[Plan12]])/valUnits2</f>
        <v>1.6164000000000001E-2</v>
      </c>
      <c r="AH225" s="34">
        <f>SUMPRODUCT(DB_ThemeSOFAcct[[#This Row],[Act01]:[Act12]],$Q$3:$AB$3)/valUnits2</f>
        <v>1.0130000000000002E-2</v>
      </c>
    </row>
    <row r="226" spans="2:34" x14ac:dyDescent="0.2">
      <c r="B226" t="s">
        <v>351</v>
      </c>
      <c r="C226" t="s">
        <v>850</v>
      </c>
      <c r="D226" t="s">
        <v>141</v>
      </c>
      <c r="H226">
        <v>3.98</v>
      </c>
      <c r="I226">
        <v>9.1129999999999995</v>
      </c>
      <c r="J226">
        <v>0</v>
      </c>
      <c r="T226">
        <v>3.96</v>
      </c>
      <c r="U226">
        <v>9.120000000000001</v>
      </c>
      <c r="V226">
        <v>-3.96</v>
      </c>
      <c r="AC226">
        <f>SUMPRODUCT(DB_ThemeSOFAcct[[#This Row],[Plan01]:[Plan12]],$E$14:$P$14)/valUnits2</f>
        <v>1.3093E-2</v>
      </c>
      <c r="AD226">
        <f>SUMPRODUCT(DB_ThemeSOFAcct[[#This Row],[Act01]:[Act12]],$Q$14:$AB$14)/valUnits2</f>
        <v>9.1200000000000014E-3</v>
      </c>
      <c r="AE226">
        <f>DB_ThemeSOFAcct[[#This Row],[Actuals]]-DB_ThemeSOFAcct[[#This Row],[Plan]]</f>
        <v>-3.9729999999999991E-3</v>
      </c>
      <c r="AF226">
        <f>IF(DB_ThemeSOFAcct[[#This Row],[Plan]]&lt;&gt;0,DB_ThemeSOFAcct[[#This Row],[Actuals]]/DB_ThemeSOFAcct[[#This Row],[Plan]],1.000011000011)</f>
        <v>0.69655541128847487</v>
      </c>
      <c r="AG226" s="34">
        <f>SUM(DB_ThemeSOFAcct[[#This Row],[Plan01]:[Plan12]])/valUnits2</f>
        <v>1.3093E-2</v>
      </c>
      <c r="AH226" s="34">
        <f>SUMPRODUCT(DB_ThemeSOFAcct[[#This Row],[Act01]:[Act12]],$Q$3:$AB$3)/valUnits2</f>
        <v>9.1200000000000014E-3</v>
      </c>
    </row>
    <row r="227" spans="2:34" x14ac:dyDescent="0.2">
      <c r="B227" t="s">
        <v>351</v>
      </c>
      <c r="C227" t="s">
        <v>852</v>
      </c>
      <c r="D227" t="s">
        <v>143</v>
      </c>
      <c r="E227">
        <v>822.21500000000003</v>
      </c>
      <c r="Q227">
        <v>813.33</v>
      </c>
      <c r="AC227">
        <f>SUMPRODUCT(DB_ThemeSOFAcct[[#This Row],[Plan01]:[Plan12]],$E$14:$P$14)/valUnits2</f>
        <v>0.82221500000000003</v>
      </c>
      <c r="AD227">
        <f>SUMPRODUCT(DB_ThemeSOFAcct[[#This Row],[Act01]:[Act12]],$Q$14:$AB$14)/valUnits2</f>
        <v>0.81333</v>
      </c>
      <c r="AE227">
        <f>DB_ThemeSOFAcct[[#This Row],[Actuals]]-DB_ThemeSOFAcct[[#This Row],[Plan]]</f>
        <v>-8.8850000000000318E-3</v>
      </c>
      <c r="AF227">
        <f>IF(DB_ThemeSOFAcct[[#This Row],[Plan]]&lt;&gt;0,DB_ThemeSOFAcct[[#This Row],[Actuals]]/DB_ThemeSOFAcct[[#This Row],[Plan]],1.000011000011)</f>
        <v>0.98919382399980538</v>
      </c>
      <c r="AG227" s="34">
        <f>SUM(DB_ThemeSOFAcct[[#This Row],[Plan01]:[Plan12]])/valUnits2</f>
        <v>0.82221500000000003</v>
      </c>
      <c r="AH227" s="34">
        <f>SUMPRODUCT(DB_ThemeSOFAcct[[#This Row],[Act01]:[Act12]],$Q$3:$AB$3)/valUnits2</f>
        <v>0.81333</v>
      </c>
    </row>
    <row r="228" spans="2:34" x14ac:dyDescent="0.2">
      <c r="B228" t="s">
        <v>351</v>
      </c>
      <c r="C228" t="s">
        <v>852</v>
      </c>
      <c r="D228" t="s">
        <v>235</v>
      </c>
      <c r="E228">
        <v>-12.244999999999999</v>
      </c>
      <c r="Q228">
        <v>13.020000000000001</v>
      </c>
      <c r="AC228">
        <f>SUMPRODUCT(DB_ThemeSOFAcct[[#This Row],[Plan01]:[Plan12]],$E$14:$P$14)/valUnits2</f>
        <v>-1.2244999999999999E-2</v>
      </c>
      <c r="AD228">
        <f>SUMPRODUCT(DB_ThemeSOFAcct[[#This Row],[Act01]:[Act12]],$Q$14:$AB$14)/valUnits2</f>
        <v>1.3020000000000002E-2</v>
      </c>
      <c r="AE228">
        <f>DB_ThemeSOFAcct[[#This Row],[Actuals]]-DB_ThemeSOFAcct[[#This Row],[Plan]]</f>
        <v>2.5265000000000003E-2</v>
      </c>
      <c r="AF228">
        <f>IF(DB_ThemeSOFAcct[[#This Row],[Plan]]&lt;&gt;0,DB_ThemeSOFAcct[[#This Row],[Actuals]]/DB_ThemeSOFAcct[[#This Row],[Plan]],1.000011000011)</f>
        <v>-1.0632911392405067</v>
      </c>
      <c r="AG228" s="34">
        <f>SUM(DB_ThemeSOFAcct[[#This Row],[Plan01]:[Plan12]])/valUnits2</f>
        <v>-1.2244999999999999E-2</v>
      </c>
      <c r="AH228" s="34">
        <f>SUMPRODUCT(DB_ThemeSOFAcct[[#This Row],[Act01]:[Act12]],$Q$3:$AB$3)/valUnits2</f>
        <v>1.3020000000000002E-2</v>
      </c>
    </row>
    <row r="229" spans="2:34" x14ac:dyDescent="0.2">
      <c r="B229" t="s">
        <v>351</v>
      </c>
      <c r="C229" t="s">
        <v>852</v>
      </c>
      <c r="D229" t="s">
        <v>141</v>
      </c>
      <c r="E229">
        <v>41.390999999999998</v>
      </c>
      <c r="Q229">
        <v>42.23</v>
      </c>
      <c r="AC229">
        <f>SUMPRODUCT(DB_ThemeSOFAcct[[#This Row],[Plan01]:[Plan12]],$E$14:$P$14)/valUnits2</f>
        <v>4.1390999999999997E-2</v>
      </c>
      <c r="AD229">
        <f>SUMPRODUCT(DB_ThemeSOFAcct[[#This Row],[Act01]:[Act12]],$Q$14:$AB$14)/valUnits2</f>
        <v>4.2229999999999997E-2</v>
      </c>
      <c r="AE229">
        <f>DB_ThemeSOFAcct[[#This Row],[Actuals]]-DB_ThemeSOFAcct[[#This Row],[Plan]]</f>
        <v>8.3899999999999947E-4</v>
      </c>
      <c r="AF229">
        <f>IF(DB_ThemeSOFAcct[[#This Row],[Plan]]&lt;&gt;0,DB_ThemeSOFAcct[[#This Row],[Actuals]]/DB_ThemeSOFAcct[[#This Row],[Plan]],1.000011000011)</f>
        <v>1.020270107028098</v>
      </c>
      <c r="AG229" s="34">
        <f>SUM(DB_ThemeSOFAcct[[#This Row],[Plan01]:[Plan12]])/valUnits2</f>
        <v>4.1390999999999997E-2</v>
      </c>
      <c r="AH229" s="34">
        <f>SUMPRODUCT(DB_ThemeSOFAcct[[#This Row],[Act01]:[Act12]],$Q$3:$AB$3)/valUnits2</f>
        <v>4.2229999999999997E-2</v>
      </c>
    </row>
    <row r="230" spans="2:34" x14ac:dyDescent="0.2">
      <c r="B230" t="s">
        <v>351</v>
      </c>
      <c r="C230" t="s">
        <v>853</v>
      </c>
      <c r="D230" t="s">
        <v>143</v>
      </c>
      <c r="H230">
        <v>12.959</v>
      </c>
      <c r="I230">
        <v>15.247999999999999</v>
      </c>
      <c r="J230">
        <v>22.844999999999999</v>
      </c>
      <c r="K230">
        <v>22.844999999999999</v>
      </c>
      <c r="L230">
        <v>22.844999999999999</v>
      </c>
      <c r="M230">
        <v>22.844999999999999</v>
      </c>
      <c r="N230">
        <v>22.844999999999999</v>
      </c>
      <c r="O230">
        <v>22.844999999999999</v>
      </c>
      <c r="P230">
        <v>22.844999999999999</v>
      </c>
      <c r="T230">
        <v>12.79</v>
      </c>
      <c r="U230">
        <v>14.89</v>
      </c>
      <c r="V230">
        <v>15.19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f>SUMPRODUCT(DB_ThemeSOFAcct[[#This Row],[Plan01]:[Plan12]],$E$14:$P$14)/valUnits2</f>
        <v>5.1052E-2</v>
      </c>
      <c r="AD230">
        <f>SUMPRODUCT(DB_ThemeSOFAcct[[#This Row],[Act01]:[Act12]],$Q$14:$AB$14)/valUnits2</f>
        <v>4.2869999999999998E-2</v>
      </c>
      <c r="AE230">
        <f>DB_ThemeSOFAcct[[#This Row],[Actuals]]-DB_ThemeSOFAcct[[#This Row],[Plan]]</f>
        <v>-8.1820000000000018E-3</v>
      </c>
      <c r="AF230">
        <f>IF(DB_ThemeSOFAcct[[#This Row],[Plan]]&lt;&gt;0,DB_ThemeSOFAcct[[#This Row],[Actuals]]/DB_ThemeSOFAcct[[#This Row],[Plan]],1.000011000011)</f>
        <v>0.83973203792211859</v>
      </c>
      <c r="AG230" s="34">
        <f>SUM(DB_ThemeSOFAcct[[#This Row],[Plan01]:[Plan12]])/valUnits2</f>
        <v>0.18812199999999998</v>
      </c>
      <c r="AH230" s="34">
        <f>SUMPRODUCT(DB_ThemeSOFAcct[[#This Row],[Act01]:[Act12]],$Q$3:$AB$3)/valUnits2</f>
        <v>4.2869999999999998E-2</v>
      </c>
    </row>
    <row r="231" spans="2:34" x14ac:dyDescent="0.2">
      <c r="B231" t="s">
        <v>351</v>
      </c>
      <c r="C231" t="s">
        <v>853</v>
      </c>
      <c r="D231" t="s">
        <v>235</v>
      </c>
      <c r="I231">
        <v>4.3819999999999997</v>
      </c>
      <c r="J231">
        <v>0</v>
      </c>
      <c r="U231">
        <v>4.8899999999999997</v>
      </c>
      <c r="V231">
        <v>2.57</v>
      </c>
      <c r="AC231">
        <f>SUMPRODUCT(DB_ThemeSOFAcct[[#This Row],[Plan01]:[Plan12]],$E$14:$P$14)/valUnits2</f>
        <v>4.3819999999999996E-3</v>
      </c>
      <c r="AD231">
        <f>SUMPRODUCT(DB_ThemeSOFAcct[[#This Row],[Act01]:[Act12]],$Q$14:$AB$14)/valUnits2</f>
        <v>7.4599999999999988E-3</v>
      </c>
      <c r="AE231">
        <f>DB_ThemeSOFAcct[[#This Row],[Actuals]]-DB_ThemeSOFAcct[[#This Row],[Plan]]</f>
        <v>3.0779999999999991E-3</v>
      </c>
      <c r="AF231">
        <f>IF(DB_ThemeSOFAcct[[#This Row],[Plan]]&lt;&gt;0,DB_ThemeSOFAcct[[#This Row],[Actuals]]/DB_ThemeSOFAcct[[#This Row],[Plan]],1.000011000011)</f>
        <v>1.7024189867640345</v>
      </c>
      <c r="AG231" s="34">
        <f>SUM(DB_ThemeSOFAcct[[#This Row],[Plan01]:[Plan12]])/valUnits2</f>
        <v>4.3819999999999996E-3</v>
      </c>
      <c r="AH231" s="34">
        <f>SUMPRODUCT(DB_ThemeSOFAcct[[#This Row],[Act01]:[Act12]],$Q$3:$AB$3)/valUnits2</f>
        <v>7.4599999999999988E-3</v>
      </c>
    </row>
    <row r="232" spans="2:34" x14ac:dyDescent="0.2">
      <c r="B232" t="s">
        <v>351</v>
      </c>
      <c r="C232" t="s">
        <v>853</v>
      </c>
      <c r="D232" t="s">
        <v>140</v>
      </c>
      <c r="H232">
        <v>0</v>
      </c>
      <c r="I232">
        <v>0</v>
      </c>
      <c r="J232">
        <v>118.456</v>
      </c>
      <c r="K232">
        <v>118.45599999999999</v>
      </c>
      <c r="L232">
        <v>118.45599999999999</v>
      </c>
      <c r="M232">
        <v>118.456</v>
      </c>
      <c r="N232">
        <v>118.45599999999999</v>
      </c>
      <c r="O232">
        <v>118.45599999999999</v>
      </c>
      <c r="P232">
        <v>118.45599999999999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f>SUMPRODUCT(DB_ThemeSOFAcct[[#This Row],[Plan01]:[Plan12]],$E$14:$P$14)/valUnits2</f>
        <v>0.11845600000000001</v>
      </c>
      <c r="AD232">
        <f>SUMPRODUCT(DB_ThemeSOFAcct[[#This Row],[Act01]:[Act12]],$Q$14:$AB$14)/valUnits2</f>
        <v>0</v>
      </c>
      <c r="AE232">
        <f>DB_ThemeSOFAcct[[#This Row],[Actuals]]-DB_ThemeSOFAcct[[#This Row],[Plan]]</f>
        <v>-0.11845600000000001</v>
      </c>
      <c r="AF232">
        <f>IF(DB_ThemeSOFAcct[[#This Row],[Plan]]&lt;&gt;0,DB_ThemeSOFAcct[[#This Row],[Actuals]]/DB_ThemeSOFAcct[[#This Row],[Plan]],1.000011000011)</f>
        <v>0</v>
      </c>
      <c r="AG232" s="34">
        <f>SUM(DB_ThemeSOFAcct[[#This Row],[Plan01]:[Plan12]])/valUnits2</f>
        <v>0.82919200000000004</v>
      </c>
      <c r="AH232" s="34">
        <f>SUMPRODUCT(DB_ThemeSOFAcct[[#This Row],[Act01]:[Act12]],$Q$3:$AB$3)/valUnits2</f>
        <v>0</v>
      </c>
    </row>
    <row r="233" spans="2:34" x14ac:dyDescent="0.2">
      <c r="B233" t="s">
        <v>351</v>
      </c>
      <c r="C233" t="s">
        <v>853</v>
      </c>
      <c r="D233" t="s">
        <v>236</v>
      </c>
      <c r="I233">
        <v>4.5860000000000003</v>
      </c>
      <c r="J233">
        <v>0</v>
      </c>
      <c r="U233">
        <v>4.59</v>
      </c>
      <c r="V233">
        <v>0.01</v>
      </c>
      <c r="AC233">
        <f>SUMPRODUCT(DB_ThemeSOFAcct[[#This Row],[Plan01]:[Plan12]],$E$14:$P$14)/valUnits2</f>
        <v>4.5860000000000007E-3</v>
      </c>
      <c r="AD233">
        <f>SUMPRODUCT(DB_ThemeSOFAcct[[#This Row],[Act01]:[Act12]],$Q$14:$AB$14)/valUnits2</f>
        <v>4.5999999999999999E-3</v>
      </c>
      <c r="AE233">
        <f>DB_ThemeSOFAcct[[#This Row],[Actuals]]-DB_ThemeSOFAcct[[#This Row],[Plan]]</f>
        <v>1.3999999999999256E-5</v>
      </c>
      <c r="AF233">
        <f>IF(DB_ThemeSOFAcct[[#This Row],[Plan]]&lt;&gt;0,DB_ThemeSOFAcct[[#This Row],[Actuals]]/DB_ThemeSOFAcct[[#This Row],[Plan]],1.000011000011)</f>
        <v>1.0030527692978628</v>
      </c>
      <c r="AG233" s="34">
        <f>SUM(DB_ThemeSOFAcct[[#This Row],[Plan01]:[Plan12]])/valUnits2</f>
        <v>4.5860000000000007E-3</v>
      </c>
      <c r="AH233" s="34">
        <f>SUMPRODUCT(DB_ThemeSOFAcct[[#This Row],[Act01]:[Act12]],$Q$3:$AB$3)/valUnits2</f>
        <v>4.5999999999999999E-3</v>
      </c>
    </row>
    <row r="234" spans="2:34" x14ac:dyDescent="0.2">
      <c r="B234" t="s">
        <v>351</v>
      </c>
      <c r="C234" t="s">
        <v>853</v>
      </c>
      <c r="D234" t="s">
        <v>237</v>
      </c>
      <c r="I234">
        <v>0.05</v>
      </c>
      <c r="J234">
        <v>0</v>
      </c>
      <c r="U234">
        <v>0.05</v>
      </c>
      <c r="V234">
        <v>80.39</v>
      </c>
      <c r="AC234">
        <f>SUMPRODUCT(DB_ThemeSOFAcct[[#This Row],[Plan01]:[Plan12]],$E$14:$P$14)/valUnits2</f>
        <v>5.0000000000000002E-5</v>
      </c>
      <c r="AD234">
        <f>SUMPRODUCT(DB_ThemeSOFAcct[[#This Row],[Act01]:[Act12]],$Q$14:$AB$14)/valUnits2</f>
        <v>8.0439999999999998E-2</v>
      </c>
      <c r="AE234">
        <f>DB_ThemeSOFAcct[[#This Row],[Actuals]]-DB_ThemeSOFAcct[[#This Row],[Plan]]</f>
        <v>8.0390000000000003E-2</v>
      </c>
      <c r="AF234">
        <f>IF(DB_ThemeSOFAcct[[#This Row],[Plan]]&lt;&gt;0,DB_ThemeSOFAcct[[#This Row],[Actuals]]/DB_ThemeSOFAcct[[#This Row],[Plan]],1.000011000011)</f>
        <v>1608.8</v>
      </c>
      <c r="AG234" s="34">
        <f>SUM(DB_ThemeSOFAcct[[#This Row],[Plan01]:[Plan12]])/valUnits2</f>
        <v>5.0000000000000002E-5</v>
      </c>
      <c r="AH234" s="34">
        <f>SUMPRODUCT(DB_ThemeSOFAcct[[#This Row],[Act01]:[Act12]],$Q$3:$AB$3)/valUnits2</f>
        <v>8.0439999999999998E-2</v>
      </c>
    </row>
    <row r="235" spans="2:34" x14ac:dyDescent="0.2">
      <c r="B235" t="s">
        <v>351</v>
      </c>
      <c r="C235" t="s">
        <v>853</v>
      </c>
      <c r="D235" t="s">
        <v>141</v>
      </c>
      <c r="I235">
        <v>0.61799999999999999</v>
      </c>
      <c r="J235">
        <v>0</v>
      </c>
      <c r="U235">
        <v>0.62000000000000011</v>
      </c>
      <c r="V235">
        <v>43.39</v>
      </c>
      <c r="AC235">
        <f>SUMPRODUCT(DB_ThemeSOFAcct[[#This Row],[Plan01]:[Plan12]],$E$14:$P$14)/valUnits2</f>
        <v>6.1799999999999995E-4</v>
      </c>
      <c r="AD235">
        <f>SUMPRODUCT(DB_ThemeSOFAcct[[#This Row],[Act01]:[Act12]],$Q$14:$AB$14)/valUnits2</f>
        <v>4.4010000000000001E-2</v>
      </c>
      <c r="AE235">
        <f>DB_ThemeSOFAcct[[#This Row],[Actuals]]-DB_ThemeSOFAcct[[#This Row],[Plan]]</f>
        <v>4.3392E-2</v>
      </c>
      <c r="AF235">
        <f>IF(DB_ThemeSOFAcct[[#This Row],[Plan]]&lt;&gt;0,DB_ThemeSOFAcct[[#This Row],[Actuals]]/DB_ThemeSOFAcct[[#This Row],[Plan]],1.000011000011)</f>
        <v>71.21359223300972</v>
      </c>
      <c r="AG235" s="34">
        <f>SUM(DB_ThemeSOFAcct[[#This Row],[Plan01]:[Plan12]])/valUnits2</f>
        <v>6.1799999999999995E-4</v>
      </c>
      <c r="AH235" s="34">
        <f>SUMPRODUCT(DB_ThemeSOFAcct[[#This Row],[Act01]:[Act12]],$Q$3:$AB$3)/valUnits2</f>
        <v>4.4010000000000001E-2</v>
      </c>
    </row>
    <row r="236" spans="2:34" x14ac:dyDescent="0.2">
      <c r="B236" t="s">
        <v>351</v>
      </c>
      <c r="C236" t="s">
        <v>854</v>
      </c>
      <c r="D236" t="s">
        <v>143</v>
      </c>
      <c r="F236">
        <v>0</v>
      </c>
      <c r="G236">
        <v>0</v>
      </c>
      <c r="H236">
        <v>193.97300000000001</v>
      </c>
      <c r="I236">
        <v>222.15199999999999</v>
      </c>
      <c r="J236">
        <v>344.43799999999999</v>
      </c>
      <c r="K236">
        <v>344.43799999999999</v>
      </c>
      <c r="L236">
        <v>344.43799999999999</v>
      </c>
      <c r="M236">
        <v>344.43799999999999</v>
      </c>
      <c r="N236">
        <v>344.43799999999999</v>
      </c>
      <c r="O236">
        <v>344.43799999999999</v>
      </c>
      <c r="P236">
        <v>344.43799999999999</v>
      </c>
      <c r="R236">
        <v>0</v>
      </c>
      <c r="S236">
        <v>0</v>
      </c>
      <c r="T236">
        <v>196.03</v>
      </c>
      <c r="U236">
        <v>228.83</v>
      </c>
      <c r="V236">
        <v>233.93000000000004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f>SUMPRODUCT(DB_ThemeSOFAcct[[#This Row],[Plan01]:[Plan12]],$E$14:$P$14)/valUnits2</f>
        <v>0.76056299999999999</v>
      </c>
      <c r="AD236">
        <f>SUMPRODUCT(DB_ThemeSOFAcct[[#This Row],[Act01]:[Act12]],$Q$14:$AB$14)/valUnits2</f>
        <v>0.6587900000000001</v>
      </c>
      <c r="AE236">
        <f>DB_ThemeSOFAcct[[#This Row],[Actuals]]-DB_ThemeSOFAcct[[#This Row],[Plan]]</f>
        <v>-0.10177299999999989</v>
      </c>
      <c r="AF236">
        <f>IF(DB_ThemeSOFAcct[[#This Row],[Plan]]&lt;&gt;0,DB_ThemeSOFAcct[[#This Row],[Actuals]]/DB_ThemeSOFAcct[[#This Row],[Plan]],1.000011000011)</f>
        <v>0.86618728494549446</v>
      </c>
      <c r="AG236" s="34">
        <f>SUM(DB_ThemeSOFAcct[[#This Row],[Plan01]:[Plan12]])/valUnits2</f>
        <v>2.8271910000000005</v>
      </c>
      <c r="AH236" s="34">
        <f>SUMPRODUCT(DB_ThemeSOFAcct[[#This Row],[Act01]:[Act12]],$Q$3:$AB$3)/valUnits2</f>
        <v>0.6587900000000001</v>
      </c>
    </row>
    <row r="237" spans="2:34" x14ac:dyDescent="0.2">
      <c r="B237" t="s">
        <v>351</v>
      </c>
      <c r="C237" t="s">
        <v>854</v>
      </c>
      <c r="D237" t="s">
        <v>235</v>
      </c>
      <c r="I237">
        <v>62.76</v>
      </c>
      <c r="J237">
        <v>0</v>
      </c>
      <c r="U237">
        <v>75.02</v>
      </c>
      <c r="V237">
        <v>39.44</v>
      </c>
      <c r="AC237">
        <f>SUMPRODUCT(DB_ThemeSOFAcct[[#This Row],[Plan01]:[Plan12]],$E$14:$P$14)/valUnits2</f>
        <v>6.2759999999999996E-2</v>
      </c>
      <c r="AD237">
        <f>SUMPRODUCT(DB_ThemeSOFAcct[[#This Row],[Act01]:[Act12]],$Q$14:$AB$14)/valUnits2</f>
        <v>0.11445999999999999</v>
      </c>
      <c r="AE237">
        <f>DB_ThemeSOFAcct[[#This Row],[Actuals]]-DB_ThemeSOFAcct[[#This Row],[Plan]]</f>
        <v>5.1699999999999996E-2</v>
      </c>
      <c r="AF237">
        <f>IF(DB_ThemeSOFAcct[[#This Row],[Plan]]&lt;&gt;0,DB_ThemeSOFAcct[[#This Row],[Actuals]]/DB_ThemeSOFAcct[[#This Row],[Plan]],1.000011000011)</f>
        <v>1.8237731038878267</v>
      </c>
      <c r="AG237" s="34">
        <f>SUM(DB_ThemeSOFAcct[[#This Row],[Plan01]:[Plan12]])/valUnits2</f>
        <v>6.2759999999999996E-2</v>
      </c>
      <c r="AH237" s="34">
        <f>SUMPRODUCT(DB_ThemeSOFAcct[[#This Row],[Act01]:[Act12]],$Q$3:$AB$3)/valUnits2</f>
        <v>0.11445999999999999</v>
      </c>
    </row>
    <row r="238" spans="2:34" x14ac:dyDescent="0.2">
      <c r="B238" t="s">
        <v>351</v>
      </c>
      <c r="C238" t="s">
        <v>854</v>
      </c>
      <c r="D238" t="s">
        <v>140</v>
      </c>
      <c r="G238">
        <v>0</v>
      </c>
      <c r="H238">
        <v>2471.1239999999998</v>
      </c>
      <c r="I238">
        <v>277.916</v>
      </c>
      <c r="J238">
        <v>2127.2190000000001</v>
      </c>
      <c r="K238">
        <v>2127.2190000000001</v>
      </c>
      <c r="L238">
        <v>2127.2190000000001</v>
      </c>
      <c r="M238">
        <v>2127.2190000000001</v>
      </c>
      <c r="N238">
        <v>2127.2190000000001</v>
      </c>
      <c r="O238">
        <v>2127.2190000000001</v>
      </c>
      <c r="P238">
        <v>2127.2190000000001</v>
      </c>
      <c r="S238">
        <v>0</v>
      </c>
      <c r="T238">
        <v>2486.81</v>
      </c>
      <c r="U238">
        <v>219.06000000000012</v>
      </c>
      <c r="V238">
        <v>1248.69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f>SUMPRODUCT(DB_ThemeSOFAcct[[#This Row],[Plan01]:[Plan12]],$E$14:$P$14)/valUnits2</f>
        <v>4.8762590000000001</v>
      </c>
      <c r="AD238">
        <f>SUMPRODUCT(DB_ThemeSOFAcct[[#This Row],[Act01]:[Act12]],$Q$14:$AB$14)/valUnits2</f>
        <v>3.9545599999999999</v>
      </c>
      <c r="AE238">
        <f>DB_ThemeSOFAcct[[#This Row],[Actuals]]-DB_ThemeSOFAcct[[#This Row],[Plan]]</f>
        <v>-0.92169900000000027</v>
      </c>
      <c r="AF238">
        <f>IF(DB_ThemeSOFAcct[[#This Row],[Plan]]&lt;&gt;0,DB_ThemeSOFAcct[[#This Row],[Actuals]]/DB_ThemeSOFAcct[[#This Row],[Plan]],1.000011000011)</f>
        <v>0.81098235348040371</v>
      </c>
      <c r="AG238" s="34">
        <f>SUM(DB_ThemeSOFAcct[[#This Row],[Plan01]:[Plan12]])/valUnits2</f>
        <v>17.639573000000006</v>
      </c>
      <c r="AH238" s="34">
        <f>SUMPRODUCT(DB_ThemeSOFAcct[[#This Row],[Act01]:[Act12]],$Q$3:$AB$3)/valUnits2</f>
        <v>3.9545599999999999</v>
      </c>
    </row>
    <row r="239" spans="2:34" x14ac:dyDescent="0.2">
      <c r="B239" t="s">
        <v>351</v>
      </c>
      <c r="C239" t="s">
        <v>854</v>
      </c>
      <c r="D239" t="s">
        <v>236</v>
      </c>
      <c r="I239">
        <v>65.322000000000003</v>
      </c>
      <c r="J239">
        <v>0</v>
      </c>
      <c r="U239">
        <v>70.009999999999991</v>
      </c>
      <c r="V239">
        <v>0.24000000000000002</v>
      </c>
      <c r="AC239">
        <f>SUMPRODUCT(DB_ThemeSOFAcct[[#This Row],[Plan01]:[Plan12]],$E$14:$P$14)/valUnits2</f>
        <v>6.5322000000000005E-2</v>
      </c>
      <c r="AD239">
        <f>SUMPRODUCT(DB_ThemeSOFAcct[[#This Row],[Act01]:[Act12]],$Q$14:$AB$14)/valUnits2</f>
        <v>7.0249999999999979E-2</v>
      </c>
      <c r="AE239">
        <f>DB_ThemeSOFAcct[[#This Row],[Actuals]]-DB_ThemeSOFAcct[[#This Row],[Plan]]</f>
        <v>4.9279999999999741E-3</v>
      </c>
      <c r="AF239">
        <f>IF(DB_ThemeSOFAcct[[#This Row],[Plan]]&lt;&gt;0,DB_ThemeSOFAcct[[#This Row],[Actuals]]/DB_ThemeSOFAcct[[#This Row],[Plan]],1.000011000011)</f>
        <v>1.0754416582468382</v>
      </c>
      <c r="AG239" s="34">
        <f>SUM(DB_ThemeSOFAcct[[#This Row],[Plan01]:[Plan12]])/valUnits2</f>
        <v>6.5322000000000005E-2</v>
      </c>
      <c r="AH239" s="34">
        <f>SUMPRODUCT(DB_ThemeSOFAcct[[#This Row],[Act01]:[Act12]],$Q$3:$AB$3)/valUnits2</f>
        <v>7.0249999999999979E-2</v>
      </c>
    </row>
    <row r="240" spans="2:34" x14ac:dyDescent="0.2">
      <c r="B240" t="s">
        <v>351</v>
      </c>
      <c r="C240" t="s">
        <v>854</v>
      </c>
      <c r="D240" t="s">
        <v>237</v>
      </c>
      <c r="I240">
        <v>0.67</v>
      </c>
      <c r="U240">
        <v>0.71</v>
      </c>
      <c r="AC240">
        <f>SUMPRODUCT(DB_ThemeSOFAcct[[#This Row],[Plan01]:[Plan12]],$E$14:$P$14)/valUnits2</f>
        <v>6.7000000000000002E-4</v>
      </c>
      <c r="AD240">
        <f>SUMPRODUCT(DB_ThemeSOFAcct[[#This Row],[Act01]:[Act12]],$Q$14:$AB$14)/valUnits2</f>
        <v>7.0999999999999991E-4</v>
      </c>
      <c r="AE240">
        <f>DB_ThemeSOFAcct[[#This Row],[Actuals]]-DB_ThemeSOFAcct[[#This Row],[Plan]]</f>
        <v>3.9999999999999888E-5</v>
      </c>
      <c r="AF240">
        <f>IF(DB_ThemeSOFAcct[[#This Row],[Plan]]&lt;&gt;0,DB_ThemeSOFAcct[[#This Row],[Actuals]]/DB_ThemeSOFAcct[[#This Row],[Plan]],1.000011000011)</f>
        <v>1.0597014925373132</v>
      </c>
      <c r="AG240" s="34">
        <f>SUM(DB_ThemeSOFAcct[[#This Row],[Plan01]:[Plan12]])/valUnits2</f>
        <v>6.7000000000000002E-4</v>
      </c>
      <c r="AH240" s="34">
        <f>SUMPRODUCT(DB_ThemeSOFAcct[[#This Row],[Act01]:[Act12]],$Q$3:$AB$3)/valUnits2</f>
        <v>7.0999999999999991E-4</v>
      </c>
    </row>
    <row r="241" spans="2:34" x14ac:dyDescent="0.2">
      <c r="B241" t="s">
        <v>351</v>
      </c>
      <c r="C241" t="s">
        <v>854</v>
      </c>
      <c r="D241" t="s">
        <v>141</v>
      </c>
      <c r="I241">
        <v>9.1059999999999999</v>
      </c>
      <c r="U241">
        <v>9.56</v>
      </c>
      <c r="AC241">
        <f>SUMPRODUCT(DB_ThemeSOFAcct[[#This Row],[Plan01]:[Plan12]],$E$14:$P$14)/valUnits2</f>
        <v>9.1059999999999995E-3</v>
      </c>
      <c r="AD241">
        <f>SUMPRODUCT(DB_ThemeSOFAcct[[#This Row],[Act01]:[Act12]],$Q$14:$AB$14)/valUnits2</f>
        <v>9.5600000000000008E-3</v>
      </c>
      <c r="AE241">
        <f>DB_ThemeSOFAcct[[#This Row],[Actuals]]-DB_ThemeSOFAcct[[#This Row],[Plan]]</f>
        <v>4.5400000000000128E-4</v>
      </c>
      <c r="AF241">
        <f>IF(DB_ThemeSOFAcct[[#This Row],[Plan]]&lt;&gt;0,DB_ThemeSOFAcct[[#This Row],[Actuals]]/DB_ThemeSOFAcct[[#This Row],[Plan]],1.000011000011)</f>
        <v>1.0498572369866024</v>
      </c>
      <c r="AG241" s="34">
        <f>SUM(DB_ThemeSOFAcct[[#This Row],[Plan01]:[Plan12]])/valUnits2</f>
        <v>9.1059999999999995E-3</v>
      </c>
      <c r="AH241" s="34">
        <f>SUMPRODUCT(DB_ThemeSOFAcct[[#This Row],[Act01]:[Act12]],$Q$3:$AB$3)/valUnits2</f>
        <v>9.5600000000000008E-3</v>
      </c>
    </row>
    <row r="242" spans="2:34" x14ac:dyDescent="0.2">
      <c r="B242" t="s">
        <v>351</v>
      </c>
      <c r="C242" t="s">
        <v>855</v>
      </c>
      <c r="D242" t="s">
        <v>143</v>
      </c>
      <c r="E242">
        <v>0</v>
      </c>
      <c r="F242">
        <v>0</v>
      </c>
      <c r="G242">
        <v>0</v>
      </c>
      <c r="H242">
        <v>3607.3679999999999</v>
      </c>
      <c r="I242">
        <v>623.25300000000004</v>
      </c>
      <c r="J242">
        <v>272.30100000000004</v>
      </c>
      <c r="K242">
        <v>272.30100000000004</v>
      </c>
      <c r="L242">
        <v>272.30100000000004</v>
      </c>
      <c r="M242">
        <v>272.30100000000004</v>
      </c>
      <c r="N242">
        <v>272.30100000000004</v>
      </c>
      <c r="O242">
        <v>272.30100000000004</v>
      </c>
      <c r="P242">
        <v>272.30100000000004</v>
      </c>
      <c r="Q242">
        <v>0</v>
      </c>
      <c r="R242">
        <v>0</v>
      </c>
      <c r="S242">
        <v>0</v>
      </c>
      <c r="T242">
        <v>3500.25</v>
      </c>
      <c r="U242">
        <v>605.53</v>
      </c>
      <c r="V242">
        <v>619.03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f>SUMPRODUCT(DB_ThemeSOFAcct[[#This Row],[Plan01]:[Plan12]],$E$14:$P$14)/valUnits2</f>
        <v>4.5029220000000008</v>
      </c>
      <c r="AD242">
        <f>SUMPRODUCT(DB_ThemeSOFAcct[[#This Row],[Act01]:[Act12]],$Q$14:$AB$14)/valUnits2</f>
        <v>4.7248099999999997</v>
      </c>
      <c r="AE242">
        <f>DB_ThemeSOFAcct[[#This Row],[Actuals]]-DB_ThemeSOFAcct[[#This Row],[Plan]]</f>
        <v>0.22188799999999897</v>
      </c>
      <c r="AF242">
        <f>IF(DB_ThemeSOFAcct[[#This Row],[Plan]]&lt;&gt;0,DB_ThemeSOFAcct[[#This Row],[Actuals]]/DB_ThemeSOFAcct[[#This Row],[Plan]],1.000011000011)</f>
        <v>1.0492764476044665</v>
      </c>
      <c r="AG242" s="34">
        <f>SUM(DB_ThemeSOFAcct[[#This Row],[Plan01]:[Plan12]])/valUnits2</f>
        <v>6.1367280000000024</v>
      </c>
      <c r="AH242" s="34">
        <f>SUMPRODUCT(DB_ThemeSOFAcct[[#This Row],[Act01]:[Act12]],$Q$3:$AB$3)/valUnits2</f>
        <v>4.7248099999999997</v>
      </c>
    </row>
    <row r="243" spans="2:34" x14ac:dyDescent="0.2">
      <c r="B243" t="s">
        <v>351</v>
      </c>
      <c r="C243" t="s">
        <v>855</v>
      </c>
      <c r="D243" t="s">
        <v>235</v>
      </c>
      <c r="H243">
        <v>219.49799999999999</v>
      </c>
      <c r="I243">
        <v>178.27</v>
      </c>
      <c r="J243">
        <v>0</v>
      </c>
      <c r="T243">
        <v>371.02</v>
      </c>
      <c r="U243">
        <v>198.54000000000002</v>
      </c>
      <c r="V243">
        <v>104.44</v>
      </c>
      <c r="AC243">
        <f>SUMPRODUCT(DB_ThemeSOFAcct[[#This Row],[Plan01]:[Plan12]],$E$14:$P$14)/valUnits2</f>
        <v>0.39776800000000001</v>
      </c>
      <c r="AD243">
        <f>SUMPRODUCT(DB_ThemeSOFAcct[[#This Row],[Act01]:[Act12]],$Q$14:$AB$14)/valUnits2</f>
        <v>0.67400000000000004</v>
      </c>
      <c r="AE243">
        <f>DB_ThemeSOFAcct[[#This Row],[Actuals]]-DB_ThemeSOFAcct[[#This Row],[Plan]]</f>
        <v>0.27623200000000003</v>
      </c>
      <c r="AF243">
        <f>IF(DB_ThemeSOFAcct[[#This Row],[Plan]]&lt;&gt;0,DB_ThemeSOFAcct[[#This Row],[Actuals]]/DB_ThemeSOFAcct[[#This Row],[Plan]],1.000011000011)</f>
        <v>1.6944550592305063</v>
      </c>
      <c r="AG243" s="34">
        <f>SUM(DB_ThemeSOFAcct[[#This Row],[Plan01]:[Plan12]])/valUnits2</f>
        <v>0.39776800000000001</v>
      </c>
      <c r="AH243" s="34">
        <f>SUMPRODUCT(DB_ThemeSOFAcct[[#This Row],[Act01]:[Act12]],$Q$3:$AB$3)/valUnits2</f>
        <v>0.67400000000000004</v>
      </c>
    </row>
    <row r="244" spans="2:34" x14ac:dyDescent="0.2">
      <c r="B244" t="s">
        <v>351</v>
      </c>
      <c r="C244" t="s">
        <v>855</v>
      </c>
      <c r="D244" t="s">
        <v>140</v>
      </c>
      <c r="E244">
        <v>8.7799999999999994</v>
      </c>
      <c r="F244">
        <v>748.94499999999994</v>
      </c>
      <c r="G244">
        <v>831.78199999999993</v>
      </c>
      <c r="H244">
        <v>3292.0480000000002</v>
      </c>
      <c r="I244">
        <v>3819.6419999999998</v>
      </c>
      <c r="J244">
        <v>3958.6589999999997</v>
      </c>
      <c r="K244">
        <v>3958.6589999999997</v>
      </c>
      <c r="L244">
        <v>3958.6589999999997</v>
      </c>
      <c r="M244">
        <v>3958.6589999999997</v>
      </c>
      <c r="N244">
        <v>3958.6589999999997</v>
      </c>
      <c r="O244">
        <v>3958.6589999999997</v>
      </c>
      <c r="P244">
        <v>3958.6589999999997</v>
      </c>
      <c r="Q244">
        <v>8.65</v>
      </c>
      <c r="R244">
        <v>764.65</v>
      </c>
      <c r="S244">
        <v>839.31000000000006</v>
      </c>
      <c r="T244">
        <v>3299.91</v>
      </c>
      <c r="U244">
        <v>3812.2000000000007</v>
      </c>
      <c r="V244">
        <v>2356.7999999999997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f>SUMPRODUCT(DB_ThemeSOFAcct[[#This Row],[Plan01]:[Plan12]],$E$14:$P$14)/valUnits2</f>
        <v>12.659856</v>
      </c>
      <c r="AD244">
        <f>SUMPRODUCT(DB_ThemeSOFAcct[[#This Row],[Act01]:[Act12]],$Q$14:$AB$14)/valUnits2</f>
        <v>11.081520000000001</v>
      </c>
      <c r="AE244">
        <f>DB_ThemeSOFAcct[[#This Row],[Actuals]]-DB_ThemeSOFAcct[[#This Row],[Plan]]</f>
        <v>-1.5783359999999984</v>
      </c>
      <c r="AF244">
        <f>IF(DB_ThemeSOFAcct[[#This Row],[Plan]]&lt;&gt;0,DB_ThemeSOFAcct[[#This Row],[Actuals]]/DB_ThemeSOFAcct[[#This Row],[Plan]],1.000011000011)</f>
        <v>0.87532749187668502</v>
      </c>
      <c r="AG244" s="34">
        <f>SUM(DB_ThemeSOFAcct[[#This Row],[Plan01]:[Plan12]])/valUnits2</f>
        <v>36.411809999999996</v>
      </c>
      <c r="AH244" s="34">
        <f>SUMPRODUCT(DB_ThemeSOFAcct[[#This Row],[Act01]:[Act12]],$Q$3:$AB$3)/valUnits2</f>
        <v>11.081520000000001</v>
      </c>
    </row>
    <row r="245" spans="2:34" x14ac:dyDescent="0.2">
      <c r="B245" t="s">
        <v>351</v>
      </c>
      <c r="C245" t="s">
        <v>855</v>
      </c>
      <c r="D245" t="s">
        <v>236</v>
      </c>
      <c r="I245">
        <v>187.643</v>
      </c>
      <c r="J245">
        <v>0</v>
      </c>
      <c r="U245">
        <v>186.5</v>
      </c>
      <c r="V245">
        <v>0.64</v>
      </c>
      <c r="AC245">
        <f>SUMPRODUCT(DB_ThemeSOFAcct[[#This Row],[Plan01]:[Plan12]],$E$14:$P$14)/valUnits2</f>
        <v>0.187643</v>
      </c>
      <c r="AD245">
        <f>SUMPRODUCT(DB_ThemeSOFAcct[[#This Row],[Act01]:[Act12]],$Q$14:$AB$14)/valUnits2</f>
        <v>0.18713999999999997</v>
      </c>
      <c r="AE245">
        <f>DB_ThemeSOFAcct[[#This Row],[Actuals]]-DB_ThemeSOFAcct[[#This Row],[Plan]]</f>
        <v>-5.030000000000312E-4</v>
      </c>
      <c r="AF245">
        <f>IF(DB_ThemeSOFAcct[[#This Row],[Plan]]&lt;&gt;0,DB_ThemeSOFAcct[[#This Row],[Actuals]]/DB_ThemeSOFAcct[[#This Row],[Plan]],1.000011000011)</f>
        <v>0.99731937775456569</v>
      </c>
      <c r="AG245" s="34">
        <f>SUM(DB_ThemeSOFAcct[[#This Row],[Plan01]:[Plan12]])/valUnits2</f>
        <v>0.187643</v>
      </c>
      <c r="AH245" s="34">
        <f>SUMPRODUCT(DB_ThemeSOFAcct[[#This Row],[Act01]:[Act12]],$Q$3:$AB$3)/valUnits2</f>
        <v>0.18713999999999997</v>
      </c>
    </row>
    <row r="246" spans="2:34" x14ac:dyDescent="0.2">
      <c r="B246" t="s">
        <v>351</v>
      </c>
      <c r="C246" t="s">
        <v>855</v>
      </c>
      <c r="D246" t="s">
        <v>237</v>
      </c>
      <c r="H246">
        <v>99.564999999999998</v>
      </c>
      <c r="I246">
        <v>1.873</v>
      </c>
      <c r="T246">
        <v>99.36</v>
      </c>
      <c r="U246">
        <v>1.87</v>
      </c>
      <c r="AC246">
        <f>SUMPRODUCT(DB_ThemeSOFAcct[[#This Row],[Plan01]:[Plan12]],$E$14:$P$14)/valUnits2</f>
        <v>0.101438</v>
      </c>
      <c r="AD246">
        <f>SUMPRODUCT(DB_ThemeSOFAcct[[#This Row],[Act01]:[Act12]],$Q$14:$AB$14)/valUnits2</f>
        <v>0.10123</v>
      </c>
      <c r="AE246">
        <f>DB_ThemeSOFAcct[[#This Row],[Actuals]]-DB_ThemeSOFAcct[[#This Row],[Plan]]</f>
        <v>-2.0799999999999985E-4</v>
      </c>
      <c r="AF246">
        <f>IF(DB_ThemeSOFAcct[[#This Row],[Plan]]&lt;&gt;0,DB_ThemeSOFAcct[[#This Row],[Actuals]]/DB_ThemeSOFAcct[[#This Row],[Plan]],1.000011000011)</f>
        <v>0.99794948638577263</v>
      </c>
      <c r="AG246" s="34">
        <f>SUM(DB_ThemeSOFAcct[[#This Row],[Plan01]:[Plan12]])/valUnits2</f>
        <v>0.101438</v>
      </c>
      <c r="AH246" s="34">
        <f>SUMPRODUCT(DB_ThemeSOFAcct[[#This Row],[Act01]:[Act12]],$Q$3:$AB$3)/valUnits2</f>
        <v>0.10123</v>
      </c>
    </row>
    <row r="247" spans="2:34" x14ac:dyDescent="0.2">
      <c r="B247" t="s">
        <v>351</v>
      </c>
      <c r="C247" t="s">
        <v>855</v>
      </c>
      <c r="D247" t="s">
        <v>141</v>
      </c>
      <c r="H247">
        <v>24.652000000000001</v>
      </c>
      <c r="I247">
        <v>25.463999999999999</v>
      </c>
      <c r="T247">
        <v>25.44</v>
      </c>
      <c r="U247">
        <v>25.29</v>
      </c>
      <c r="AC247">
        <f>SUMPRODUCT(DB_ThemeSOFAcct[[#This Row],[Plan01]:[Plan12]],$E$14:$P$14)/valUnits2</f>
        <v>5.0116000000000001E-2</v>
      </c>
      <c r="AD247">
        <f>SUMPRODUCT(DB_ThemeSOFAcct[[#This Row],[Act01]:[Act12]],$Q$14:$AB$14)/valUnits2</f>
        <v>5.0730000000000004E-2</v>
      </c>
      <c r="AE247">
        <f>DB_ThemeSOFAcct[[#This Row],[Actuals]]-DB_ThemeSOFAcct[[#This Row],[Plan]]</f>
        <v>6.1400000000000343E-4</v>
      </c>
      <c r="AF247">
        <f>IF(DB_ThemeSOFAcct[[#This Row],[Plan]]&lt;&gt;0,DB_ThemeSOFAcct[[#This Row],[Actuals]]/DB_ThemeSOFAcct[[#This Row],[Plan]],1.000011000011)</f>
        <v>1.0122515763428845</v>
      </c>
      <c r="AG247" s="34">
        <f>SUM(DB_ThemeSOFAcct[[#This Row],[Plan01]:[Plan12]])/valUnits2</f>
        <v>5.0116000000000001E-2</v>
      </c>
      <c r="AH247" s="34">
        <f>SUMPRODUCT(DB_ThemeSOFAcct[[#This Row],[Act01]:[Act12]],$Q$3:$AB$3)/valUnits2</f>
        <v>5.0730000000000004E-2</v>
      </c>
    </row>
    <row r="248" spans="2:34" x14ac:dyDescent="0.2">
      <c r="B248" t="s">
        <v>351</v>
      </c>
      <c r="C248" t="s">
        <v>367</v>
      </c>
      <c r="D248" t="s">
        <v>143</v>
      </c>
      <c r="E248">
        <v>0</v>
      </c>
      <c r="H248">
        <v>393.43900000000002</v>
      </c>
      <c r="I248">
        <v>290.24400000000003</v>
      </c>
      <c r="J248">
        <v>0</v>
      </c>
      <c r="K248">
        <v>0</v>
      </c>
      <c r="N248">
        <v>0</v>
      </c>
      <c r="Q248">
        <v>0</v>
      </c>
      <c r="T248">
        <v>387.49</v>
      </c>
      <c r="U248">
        <v>281.99999999999994</v>
      </c>
      <c r="V248">
        <v>288.28000000000003</v>
      </c>
      <c r="W248">
        <v>0</v>
      </c>
      <c r="Z248">
        <v>0</v>
      </c>
      <c r="AC248">
        <f>SUMPRODUCT(DB_ThemeSOFAcct[[#This Row],[Plan01]:[Plan12]],$E$14:$P$14)/valUnits2</f>
        <v>0.68368300000000004</v>
      </c>
      <c r="AD248">
        <f>SUMPRODUCT(DB_ThemeSOFAcct[[#This Row],[Act01]:[Act12]],$Q$14:$AB$14)/valUnits2</f>
        <v>0.95777000000000001</v>
      </c>
      <c r="AE248">
        <f>DB_ThemeSOFAcct[[#This Row],[Actuals]]-DB_ThemeSOFAcct[[#This Row],[Plan]]</f>
        <v>0.27408699999999997</v>
      </c>
      <c r="AF248">
        <f>IF(DB_ThemeSOFAcct[[#This Row],[Plan]]&lt;&gt;0,DB_ThemeSOFAcct[[#This Row],[Actuals]]/DB_ThemeSOFAcct[[#This Row],[Plan]],1.000011000011)</f>
        <v>1.4008977844995414</v>
      </c>
      <c r="AG248" s="34">
        <f>SUM(DB_ThemeSOFAcct[[#This Row],[Plan01]:[Plan12]])/valUnits2</f>
        <v>0.68368300000000004</v>
      </c>
      <c r="AH248" s="34">
        <f>SUMPRODUCT(DB_ThemeSOFAcct[[#This Row],[Act01]:[Act12]],$Q$3:$AB$3)/valUnits2</f>
        <v>0.95777000000000001</v>
      </c>
    </row>
    <row r="249" spans="2:34" x14ac:dyDescent="0.2">
      <c r="B249" t="s">
        <v>351</v>
      </c>
      <c r="C249" t="s">
        <v>367</v>
      </c>
      <c r="D249" t="s">
        <v>235</v>
      </c>
      <c r="E249">
        <v>0</v>
      </c>
      <c r="H249">
        <v>10.823</v>
      </c>
      <c r="I249">
        <v>83.006</v>
      </c>
      <c r="J249">
        <v>0</v>
      </c>
      <c r="K249">
        <v>0</v>
      </c>
      <c r="N249">
        <v>0</v>
      </c>
      <c r="Q249">
        <v>0</v>
      </c>
      <c r="T249">
        <v>18.18</v>
      </c>
      <c r="U249">
        <v>92.44</v>
      </c>
      <c r="V249">
        <v>48.629999999999995</v>
      </c>
      <c r="W249">
        <v>0</v>
      </c>
      <c r="Z249">
        <v>0</v>
      </c>
      <c r="AC249">
        <f>SUMPRODUCT(DB_ThemeSOFAcct[[#This Row],[Plan01]:[Plan12]],$E$14:$P$14)/valUnits2</f>
        <v>9.382900000000001E-2</v>
      </c>
      <c r="AD249">
        <f>SUMPRODUCT(DB_ThemeSOFAcct[[#This Row],[Act01]:[Act12]],$Q$14:$AB$14)/valUnits2</f>
        <v>0.15925</v>
      </c>
      <c r="AE249">
        <f>DB_ThemeSOFAcct[[#This Row],[Actuals]]-DB_ThemeSOFAcct[[#This Row],[Plan]]</f>
        <v>6.5420999999999993E-2</v>
      </c>
      <c r="AF249">
        <f>IF(DB_ThemeSOFAcct[[#This Row],[Plan]]&lt;&gt;0,DB_ThemeSOFAcct[[#This Row],[Actuals]]/DB_ThemeSOFAcct[[#This Row],[Plan]],1.000011000011)</f>
        <v>1.697236462074625</v>
      </c>
      <c r="AG249" s="34">
        <f>SUM(DB_ThemeSOFAcct[[#This Row],[Plan01]:[Plan12]])/valUnits2</f>
        <v>9.382900000000001E-2</v>
      </c>
      <c r="AH249" s="34">
        <f>SUMPRODUCT(DB_ThemeSOFAcct[[#This Row],[Act01]:[Act12]],$Q$3:$AB$3)/valUnits2</f>
        <v>0.15925</v>
      </c>
    </row>
    <row r="250" spans="2:34" x14ac:dyDescent="0.2">
      <c r="B250" t="s">
        <v>351</v>
      </c>
      <c r="C250" t="s">
        <v>367</v>
      </c>
      <c r="D250" t="s">
        <v>140</v>
      </c>
      <c r="H250">
        <v>372.31299999999999</v>
      </c>
      <c r="I250">
        <v>577.88900000000001</v>
      </c>
      <c r="J250">
        <v>0</v>
      </c>
      <c r="T250">
        <v>370.19</v>
      </c>
      <c r="U250">
        <v>576.57999999999993</v>
      </c>
      <c r="V250">
        <v>444.68</v>
      </c>
      <c r="AC250">
        <f>SUMPRODUCT(DB_ThemeSOFAcct[[#This Row],[Plan01]:[Plan12]],$E$14:$P$14)/valUnits2</f>
        <v>0.95020199999999999</v>
      </c>
      <c r="AD250">
        <f>SUMPRODUCT(DB_ThemeSOFAcct[[#This Row],[Act01]:[Act12]],$Q$14:$AB$14)/valUnits2</f>
        <v>1.3914500000000001</v>
      </c>
      <c r="AE250">
        <f>DB_ThemeSOFAcct[[#This Row],[Actuals]]-DB_ThemeSOFAcct[[#This Row],[Plan]]</f>
        <v>0.44124800000000008</v>
      </c>
      <c r="AF250">
        <f>IF(DB_ThemeSOFAcct[[#This Row],[Plan]]&lt;&gt;0,DB_ThemeSOFAcct[[#This Row],[Actuals]]/DB_ThemeSOFAcct[[#This Row],[Plan]],1.000011000011)</f>
        <v>1.464372838617473</v>
      </c>
      <c r="AG250" s="34">
        <f>SUM(DB_ThemeSOFAcct[[#This Row],[Plan01]:[Plan12]])/valUnits2</f>
        <v>0.95020199999999999</v>
      </c>
      <c r="AH250" s="34">
        <f>SUMPRODUCT(DB_ThemeSOFAcct[[#This Row],[Act01]:[Act12]],$Q$3:$AB$3)/valUnits2</f>
        <v>1.3914500000000001</v>
      </c>
    </row>
    <row r="251" spans="2:34" x14ac:dyDescent="0.2">
      <c r="B251" t="s">
        <v>351</v>
      </c>
      <c r="C251" t="s">
        <v>367</v>
      </c>
      <c r="D251" t="s">
        <v>236</v>
      </c>
      <c r="I251">
        <v>87.391999999999996</v>
      </c>
      <c r="J251">
        <v>0</v>
      </c>
      <c r="U251">
        <v>86.86</v>
      </c>
      <c r="V251">
        <v>0.28999999999999998</v>
      </c>
      <c r="AC251">
        <f>SUMPRODUCT(DB_ThemeSOFAcct[[#This Row],[Plan01]:[Plan12]],$E$14:$P$14)/valUnits2</f>
        <v>8.7391999999999997E-2</v>
      </c>
      <c r="AD251">
        <f>SUMPRODUCT(DB_ThemeSOFAcct[[#This Row],[Act01]:[Act12]],$Q$14:$AB$14)/valUnits2</f>
        <v>8.7150000000000005E-2</v>
      </c>
      <c r="AE251">
        <f>DB_ThemeSOFAcct[[#This Row],[Actuals]]-DB_ThemeSOFAcct[[#This Row],[Plan]]</f>
        <v>-2.4199999999999222E-4</v>
      </c>
      <c r="AF251">
        <f>IF(DB_ThemeSOFAcct[[#This Row],[Plan]]&lt;&gt;0,DB_ThemeSOFAcct[[#This Row],[Actuals]]/DB_ThemeSOFAcct[[#This Row],[Plan]],1.000011000011)</f>
        <v>0.99723086781398762</v>
      </c>
      <c r="AG251" s="34">
        <f>SUM(DB_ThemeSOFAcct[[#This Row],[Plan01]:[Plan12]])/valUnits2</f>
        <v>8.7391999999999997E-2</v>
      </c>
      <c r="AH251" s="34">
        <f>SUMPRODUCT(DB_ThemeSOFAcct[[#This Row],[Act01]:[Act12]],$Q$3:$AB$3)/valUnits2</f>
        <v>8.7150000000000005E-2</v>
      </c>
    </row>
    <row r="252" spans="2:34" x14ac:dyDescent="0.2">
      <c r="B252" t="s">
        <v>351</v>
      </c>
      <c r="C252" t="s">
        <v>367</v>
      </c>
      <c r="D252" t="s">
        <v>237</v>
      </c>
      <c r="H252">
        <v>4.851</v>
      </c>
      <c r="I252">
        <v>0.871</v>
      </c>
      <c r="T252">
        <v>4.84</v>
      </c>
      <c r="U252">
        <v>0.87</v>
      </c>
      <c r="AC252">
        <f>SUMPRODUCT(DB_ThemeSOFAcct[[#This Row],[Plan01]:[Plan12]],$E$14:$P$14)/valUnits2</f>
        <v>5.7219999999999997E-3</v>
      </c>
      <c r="AD252">
        <f>SUMPRODUCT(DB_ThemeSOFAcct[[#This Row],[Act01]:[Act12]],$Q$14:$AB$14)/valUnits2</f>
        <v>5.7099999999999998E-3</v>
      </c>
      <c r="AE252">
        <f>DB_ThemeSOFAcct[[#This Row],[Actuals]]-DB_ThemeSOFAcct[[#This Row],[Plan]]</f>
        <v>-1.1999999999999858E-5</v>
      </c>
      <c r="AF252">
        <f>IF(DB_ThemeSOFAcct[[#This Row],[Plan]]&lt;&gt;0,DB_ThemeSOFAcct[[#This Row],[Actuals]]/DB_ThemeSOFAcct[[#This Row],[Plan]],1.000011000011)</f>
        <v>0.9979028311779099</v>
      </c>
      <c r="AG252" s="34">
        <f>SUM(DB_ThemeSOFAcct[[#This Row],[Plan01]:[Plan12]])/valUnits2</f>
        <v>5.7219999999999997E-3</v>
      </c>
      <c r="AH252" s="34">
        <f>SUMPRODUCT(DB_ThemeSOFAcct[[#This Row],[Act01]:[Act12]],$Q$3:$AB$3)/valUnits2</f>
        <v>5.7099999999999998E-3</v>
      </c>
    </row>
    <row r="253" spans="2:34" x14ac:dyDescent="0.2">
      <c r="B253" t="s">
        <v>351</v>
      </c>
      <c r="C253" t="s">
        <v>367</v>
      </c>
      <c r="D253" t="s">
        <v>141</v>
      </c>
      <c r="H253">
        <v>1.2210000000000001</v>
      </c>
      <c r="I253">
        <v>11.851000000000001</v>
      </c>
      <c r="T253">
        <v>1.25</v>
      </c>
      <c r="U253">
        <v>11.770000000000001</v>
      </c>
      <c r="AC253">
        <f>SUMPRODUCT(DB_ThemeSOFAcct[[#This Row],[Plan01]:[Plan12]],$E$14:$P$14)/valUnits2</f>
        <v>1.3072E-2</v>
      </c>
      <c r="AD253">
        <f>SUMPRODUCT(DB_ThemeSOFAcct[[#This Row],[Act01]:[Act12]],$Q$14:$AB$14)/valUnits2</f>
        <v>1.3020000000000002E-2</v>
      </c>
      <c r="AE253">
        <f>DB_ThemeSOFAcct[[#This Row],[Actuals]]-DB_ThemeSOFAcct[[#This Row],[Plan]]</f>
        <v>-5.1999999999998228E-5</v>
      </c>
      <c r="AF253">
        <f>IF(DB_ThemeSOFAcct[[#This Row],[Plan]]&lt;&gt;0,DB_ThemeSOFAcct[[#This Row],[Actuals]]/DB_ThemeSOFAcct[[#This Row],[Plan]],1.000011000011)</f>
        <v>0.99602203182374549</v>
      </c>
      <c r="AG253" s="34">
        <f>SUM(DB_ThemeSOFAcct[[#This Row],[Plan01]:[Plan12]])/valUnits2</f>
        <v>1.3072E-2</v>
      </c>
      <c r="AH253" s="34">
        <f>SUMPRODUCT(DB_ThemeSOFAcct[[#This Row],[Act01]:[Act12]],$Q$3:$AB$3)/valUnits2</f>
        <v>1.3020000000000002E-2</v>
      </c>
    </row>
    <row r="254" spans="2:34" x14ac:dyDescent="0.2">
      <c r="B254" t="s">
        <v>351</v>
      </c>
      <c r="C254" t="s">
        <v>856</v>
      </c>
      <c r="D254" t="s">
        <v>143</v>
      </c>
      <c r="E254">
        <v>8776.6770000000015</v>
      </c>
      <c r="F254">
        <v>8894.7680000000018</v>
      </c>
      <c r="G254">
        <v>8776.6769999999997</v>
      </c>
      <c r="H254">
        <v>44550.567999999999</v>
      </c>
      <c r="I254">
        <v>16629.715</v>
      </c>
      <c r="J254">
        <v>8776.6769999999997</v>
      </c>
      <c r="K254">
        <v>8776.6769999999997</v>
      </c>
      <c r="L254">
        <v>8776.6769999999997</v>
      </c>
      <c r="M254">
        <v>8776.6769999999997</v>
      </c>
      <c r="N254">
        <v>8776.6770000000015</v>
      </c>
      <c r="O254">
        <v>8776.6770000000015</v>
      </c>
      <c r="P254">
        <v>8776.6769999999997</v>
      </c>
      <c r="Q254">
        <v>118.41999999999999</v>
      </c>
      <c r="R254">
        <v>112.93</v>
      </c>
      <c r="S254">
        <v>0</v>
      </c>
      <c r="T254">
        <v>33061.9</v>
      </c>
      <c r="U254">
        <v>7415.6</v>
      </c>
      <c r="V254">
        <v>7580.75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f>SUMPRODUCT(DB_ThemeSOFAcct[[#This Row],[Plan01]:[Plan12]],$E$14:$P$14)/valUnits2</f>
        <v>96.405081999999993</v>
      </c>
      <c r="AD254">
        <f>SUMPRODUCT(DB_ThemeSOFAcct[[#This Row],[Act01]:[Act12]],$Q$14:$AB$14)/valUnits2</f>
        <v>48.2896</v>
      </c>
      <c r="AE254">
        <f>DB_ThemeSOFAcct[[#This Row],[Actuals]]-DB_ThemeSOFAcct[[#This Row],[Plan]]</f>
        <v>-48.115481999999993</v>
      </c>
      <c r="AF254">
        <f>IF(DB_ThemeSOFAcct[[#This Row],[Plan]]&lt;&gt;0,DB_ThemeSOFAcct[[#This Row],[Actuals]]/DB_ThemeSOFAcct[[#This Row],[Plan]],1.000011000011)</f>
        <v>0.50090305405268987</v>
      </c>
      <c r="AG254" s="34">
        <f>SUM(DB_ThemeSOFAcct[[#This Row],[Plan01]:[Plan12]])/valUnits2</f>
        <v>149.06514399999998</v>
      </c>
      <c r="AH254" s="34">
        <f>SUMPRODUCT(DB_ThemeSOFAcct[[#This Row],[Act01]:[Act12]],$Q$3:$AB$3)/valUnits2</f>
        <v>48.2896</v>
      </c>
    </row>
    <row r="255" spans="2:34" x14ac:dyDescent="0.2">
      <c r="B255" t="s">
        <v>351</v>
      </c>
      <c r="C255" t="s">
        <v>856</v>
      </c>
      <c r="D255" t="s">
        <v>235</v>
      </c>
      <c r="E255">
        <v>3285.3450000000003</v>
      </c>
      <c r="F255">
        <v>3197.114</v>
      </c>
      <c r="G255">
        <v>3174.5430000000001</v>
      </c>
      <c r="H255">
        <v>5299.8520000000008</v>
      </c>
      <c r="I255">
        <v>5425.0490000000009</v>
      </c>
      <c r="J255">
        <v>3174.5430000000001</v>
      </c>
      <c r="K255">
        <v>3174.5430000000001</v>
      </c>
      <c r="L255">
        <v>3174.5430000000001</v>
      </c>
      <c r="M255">
        <v>3174.5430000000001</v>
      </c>
      <c r="N255">
        <v>3174.5430000000001</v>
      </c>
      <c r="O255">
        <v>3174.5430000000001</v>
      </c>
      <c r="P255">
        <v>3174.5430000000001</v>
      </c>
      <c r="Q255">
        <v>104.71</v>
      </c>
      <c r="R255">
        <v>21.65</v>
      </c>
      <c r="S255">
        <v>0</v>
      </c>
      <c r="T255">
        <v>3350.46</v>
      </c>
      <c r="U255">
        <v>2432.17</v>
      </c>
      <c r="V255">
        <v>1278.8200000000002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f>SUMPRODUCT(DB_ThemeSOFAcct[[#This Row],[Plan01]:[Plan12]],$E$14:$P$14)/valUnits2</f>
        <v>23.556446000000005</v>
      </c>
      <c r="AD255">
        <f>SUMPRODUCT(DB_ThemeSOFAcct[[#This Row],[Act01]:[Act12]],$Q$14:$AB$14)/valUnits2</f>
        <v>7.1878099999999998</v>
      </c>
      <c r="AE255">
        <f>DB_ThemeSOFAcct[[#This Row],[Actuals]]-DB_ThemeSOFAcct[[#This Row],[Plan]]</f>
        <v>-16.368636000000006</v>
      </c>
      <c r="AF255">
        <f>IF(DB_ThemeSOFAcct[[#This Row],[Plan]]&lt;&gt;0,DB_ThemeSOFAcct[[#This Row],[Actuals]]/DB_ThemeSOFAcct[[#This Row],[Plan]],1.000011000011)</f>
        <v>0.30513134281801246</v>
      </c>
      <c r="AG255" s="34">
        <f>SUM(DB_ThemeSOFAcct[[#This Row],[Plan01]:[Plan12]])/valUnits2</f>
        <v>42.603704</v>
      </c>
      <c r="AH255" s="34">
        <f>SUMPRODUCT(DB_ThemeSOFAcct[[#This Row],[Act01]:[Act12]],$Q$3:$AB$3)/valUnits2</f>
        <v>7.1878099999999998</v>
      </c>
    </row>
    <row r="256" spans="2:34" x14ac:dyDescent="0.2">
      <c r="B256" t="s">
        <v>351</v>
      </c>
      <c r="C256" t="s">
        <v>856</v>
      </c>
      <c r="D256" t="s">
        <v>140</v>
      </c>
      <c r="E256">
        <v>37760.687999999995</v>
      </c>
      <c r="F256">
        <v>42010.084999999999</v>
      </c>
      <c r="G256">
        <v>46578.532999999996</v>
      </c>
      <c r="H256">
        <v>48265.051999999989</v>
      </c>
      <c r="I256">
        <v>40686.439999999995</v>
      </c>
      <c r="J256">
        <v>26421.986000000004</v>
      </c>
      <c r="K256">
        <v>26421.986000000004</v>
      </c>
      <c r="L256">
        <v>26421.986000000004</v>
      </c>
      <c r="M256">
        <v>26421.986000000004</v>
      </c>
      <c r="N256">
        <v>26421.986000000004</v>
      </c>
      <c r="O256">
        <v>26421.986000000004</v>
      </c>
      <c r="P256">
        <v>26421.926000000003</v>
      </c>
      <c r="Q256">
        <v>10720.56</v>
      </c>
      <c r="R256">
        <v>14997.84</v>
      </c>
      <c r="S256">
        <v>19403.62</v>
      </c>
      <c r="T256">
        <v>21099.479999999996</v>
      </c>
      <c r="U256">
        <v>13903.29</v>
      </c>
      <c r="V256">
        <v>16384.18</v>
      </c>
      <c r="W256">
        <v>3098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f>SUMPRODUCT(DB_ThemeSOFAcct[[#This Row],[Plan01]:[Plan12]],$E$14:$P$14)/valUnits2</f>
        <v>241.72278399999999</v>
      </c>
      <c r="AD256">
        <f>SUMPRODUCT(DB_ThemeSOFAcct[[#This Row],[Act01]:[Act12]],$Q$14:$AB$14)/valUnits2</f>
        <v>96.508970000000005</v>
      </c>
      <c r="AE256">
        <f>DB_ThemeSOFAcct[[#This Row],[Actuals]]-DB_ThemeSOFAcct[[#This Row],[Plan]]</f>
        <v>-145.21381399999999</v>
      </c>
      <c r="AF256">
        <f>IF(DB_ThemeSOFAcct[[#This Row],[Plan]]&lt;&gt;0,DB_ThemeSOFAcct[[#This Row],[Actuals]]/DB_ThemeSOFAcct[[#This Row],[Plan]],1.000011000011)</f>
        <v>0.39925475126084931</v>
      </c>
      <c r="AG256" s="34">
        <f>SUM(DB_ThemeSOFAcct[[#This Row],[Plan01]:[Plan12]])/valUnits2</f>
        <v>400.25464000000011</v>
      </c>
      <c r="AH256" s="34">
        <f>SUMPRODUCT(DB_ThemeSOFAcct[[#This Row],[Act01]:[Act12]],$Q$3:$AB$3)/valUnits2</f>
        <v>96.508970000000005</v>
      </c>
    </row>
    <row r="257" spans="2:34" x14ac:dyDescent="0.2">
      <c r="B257" t="s">
        <v>351</v>
      </c>
      <c r="C257" t="s">
        <v>856</v>
      </c>
      <c r="D257" t="s">
        <v>236</v>
      </c>
      <c r="E257">
        <v>124.492</v>
      </c>
      <c r="F257">
        <v>177.24200000000002</v>
      </c>
      <c r="G257">
        <v>124.492</v>
      </c>
      <c r="H257">
        <v>124.492</v>
      </c>
      <c r="I257">
        <v>2493.0600000000004</v>
      </c>
      <c r="J257">
        <v>124.492</v>
      </c>
      <c r="K257">
        <v>124.492</v>
      </c>
      <c r="L257">
        <v>124.492</v>
      </c>
      <c r="M257">
        <v>124.492</v>
      </c>
      <c r="N257">
        <v>124.492</v>
      </c>
      <c r="O257">
        <v>124.492</v>
      </c>
      <c r="P257">
        <v>124.492</v>
      </c>
      <c r="Q257">
        <v>0</v>
      </c>
      <c r="R257">
        <v>50.44</v>
      </c>
      <c r="S257">
        <v>0</v>
      </c>
      <c r="T257">
        <v>0</v>
      </c>
      <c r="U257">
        <v>2274.3200000000002</v>
      </c>
      <c r="V257">
        <v>7.83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f>SUMPRODUCT(DB_ThemeSOFAcct[[#This Row],[Plan01]:[Plan12]],$E$14:$P$14)/valUnits2</f>
        <v>3.1682700000000006</v>
      </c>
      <c r="AD257">
        <f>SUMPRODUCT(DB_ThemeSOFAcct[[#This Row],[Act01]:[Act12]],$Q$14:$AB$14)/valUnits2</f>
        <v>2.3325900000000002</v>
      </c>
      <c r="AE257">
        <f>DB_ThemeSOFAcct[[#This Row],[Actuals]]-DB_ThemeSOFAcct[[#This Row],[Plan]]</f>
        <v>-0.83568000000000042</v>
      </c>
      <c r="AF257">
        <f>IF(DB_ThemeSOFAcct[[#This Row],[Plan]]&lt;&gt;0,DB_ThemeSOFAcct[[#This Row],[Actuals]]/DB_ThemeSOFAcct[[#This Row],[Plan]],1.000011000011)</f>
        <v>0.73623460121769913</v>
      </c>
      <c r="AG257" s="34">
        <f>SUM(DB_ThemeSOFAcct[[#This Row],[Plan01]:[Plan12]])/valUnits2</f>
        <v>3.9152220000000018</v>
      </c>
      <c r="AH257" s="34">
        <f>SUMPRODUCT(DB_ThemeSOFAcct[[#This Row],[Act01]:[Act12]],$Q$3:$AB$3)/valUnits2</f>
        <v>2.3325900000000002</v>
      </c>
    </row>
    <row r="258" spans="2:34" x14ac:dyDescent="0.2">
      <c r="B258" t="s">
        <v>351</v>
      </c>
      <c r="C258" t="s">
        <v>856</v>
      </c>
      <c r="D258" t="s">
        <v>237</v>
      </c>
      <c r="G258">
        <v>147.51499999999999</v>
      </c>
      <c r="H258">
        <v>1403.374</v>
      </c>
      <c r="I258">
        <v>23.545000000000002</v>
      </c>
      <c r="S258">
        <v>141.77000000000001</v>
      </c>
      <c r="T258">
        <v>1351.1200000000001</v>
      </c>
      <c r="U258">
        <v>22.85</v>
      </c>
      <c r="AC258">
        <f>SUMPRODUCT(DB_ThemeSOFAcct[[#This Row],[Plan01]:[Plan12]],$E$14:$P$14)/valUnits2</f>
        <v>1.5744340000000001</v>
      </c>
      <c r="AD258">
        <f>SUMPRODUCT(DB_ThemeSOFAcct[[#This Row],[Act01]:[Act12]],$Q$14:$AB$14)/valUnits2</f>
        <v>1.5157400000000001</v>
      </c>
      <c r="AE258">
        <f>DB_ThemeSOFAcct[[#This Row],[Actuals]]-DB_ThemeSOFAcct[[#This Row],[Plan]]</f>
        <v>-5.8694000000000024E-2</v>
      </c>
      <c r="AF258">
        <f>IF(DB_ThemeSOFAcct[[#This Row],[Plan]]&lt;&gt;0,DB_ThemeSOFAcct[[#This Row],[Actuals]]/DB_ThemeSOFAcct[[#This Row],[Plan]],1.000011000011)</f>
        <v>0.96272057132912525</v>
      </c>
      <c r="AG258" s="34">
        <f>SUM(DB_ThemeSOFAcct[[#This Row],[Plan01]:[Plan12]])/valUnits2</f>
        <v>1.5744340000000001</v>
      </c>
      <c r="AH258" s="34">
        <f>SUMPRODUCT(DB_ThemeSOFAcct[[#This Row],[Act01]:[Act12]],$Q$3:$AB$3)/valUnits2</f>
        <v>1.5157400000000001</v>
      </c>
    </row>
    <row r="259" spans="2:34" x14ac:dyDescent="0.2">
      <c r="B259" t="s">
        <v>351</v>
      </c>
      <c r="C259" t="s">
        <v>856</v>
      </c>
      <c r="D259" t="s">
        <v>141</v>
      </c>
      <c r="E259">
        <v>107.355</v>
      </c>
      <c r="F259">
        <v>4.0819999999999999</v>
      </c>
      <c r="G259">
        <v>220.31800000000001</v>
      </c>
      <c r="H259">
        <v>777.6</v>
      </c>
      <c r="I259">
        <v>1260.6790000000001</v>
      </c>
      <c r="J259">
        <v>0</v>
      </c>
      <c r="Q259">
        <v>101.46000000000001</v>
      </c>
      <c r="R259">
        <v>3.9</v>
      </c>
      <c r="S259">
        <v>212.08999999999997</v>
      </c>
      <c r="T259">
        <v>751.06</v>
      </c>
      <c r="U259">
        <v>1226.5500000000002</v>
      </c>
      <c r="V259">
        <v>32.589999999999996</v>
      </c>
      <c r="AC259">
        <f>SUMPRODUCT(DB_ThemeSOFAcct[[#This Row],[Plan01]:[Plan12]],$E$14:$P$14)/valUnits2</f>
        <v>2.370034</v>
      </c>
      <c r="AD259">
        <f>SUMPRODUCT(DB_ThemeSOFAcct[[#This Row],[Act01]:[Act12]],$Q$14:$AB$14)/valUnits2</f>
        <v>2.3276500000000007</v>
      </c>
      <c r="AE259">
        <f>DB_ThemeSOFAcct[[#This Row],[Actuals]]-DB_ThemeSOFAcct[[#This Row],[Plan]]</f>
        <v>-4.2383999999999311E-2</v>
      </c>
      <c r="AF259">
        <f>IF(DB_ThemeSOFAcct[[#This Row],[Plan]]&lt;&gt;0,DB_ThemeSOFAcct[[#This Row],[Actuals]]/DB_ThemeSOFAcct[[#This Row],[Plan]],1.000011000011)</f>
        <v>0.98211671224969799</v>
      </c>
      <c r="AG259" s="34">
        <f>SUM(DB_ThemeSOFAcct[[#This Row],[Plan01]:[Plan12]])/valUnits2</f>
        <v>2.370034</v>
      </c>
      <c r="AH259" s="34">
        <f>SUMPRODUCT(DB_ThemeSOFAcct[[#This Row],[Act01]:[Act12]],$Q$3:$AB$3)/valUnits2</f>
        <v>2.3276500000000007</v>
      </c>
    </row>
    <row r="260" spans="2:34" x14ac:dyDescent="0.2">
      <c r="B260" t="s">
        <v>351</v>
      </c>
      <c r="C260" t="s">
        <v>857</v>
      </c>
      <c r="D260" t="s">
        <v>143</v>
      </c>
      <c r="E260">
        <v>671.36</v>
      </c>
      <c r="I260">
        <v>-671.36</v>
      </c>
      <c r="Q260">
        <v>671.36</v>
      </c>
      <c r="U260">
        <v>-671.36</v>
      </c>
      <c r="AC260">
        <f>SUMPRODUCT(DB_ThemeSOFAcct[[#This Row],[Plan01]:[Plan12]],$E$14:$P$14)/valUnits2</f>
        <v>0</v>
      </c>
      <c r="AD260">
        <f>SUMPRODUCT(DB_ThemeSOFAcct[[#This Row],[Act01]:[Act12]],$Q$14:$AB$14)/valUnits2</f>
        <v>0</v>
      </c>
      <c r="AE260">
        <f>DB_ThemeSOFAcct[[#This Row],[Actuals]]-DB_ThemeSOFAcct[[#This Row],[Plan]]</f>
        <v>0</v>
      </c>
      <c r="AF260">
        <f>IF(DB_ThemeSOFAcct[[#This Row],[Plan]]&lt;&gt;0,DB_ThemeSOFAcct[[#This Row],[Actuals]]/DB_ThemeSOFAcct[[#This Row],[Plan]],1.000011000011)</f>
        <v>1.0000110000110001</v>
      </c>
      <c r="AG260" s="34">
        <f>SUM(DB_ThemeSOFAcct[[#This Row],[Plan01]:[Plan12]])/valUnits2</f>
        <v>0</v>
      </c>
      <c r="AH260" s="34">
        <f>SUMPRODUCT(DB_ThemeSOFAcct[[#This Row],[Act01]:[Act12]],$Q$3:$AB$3)/valUnits2</f>
        <v>0</v>
      </c>
    </row>
    <row r="261" spans="2:34" x14ac:dyDescent="0.2">
      <c r="B261" t="s">
        <v>351</v>
      </c>
      <c r="C261" t="s">
        <v>857</v>
      </c>
      <c r="D261" t="s">
        <v>235</v>
      </c>
      <c r="E261">
        <v>-68.5</v>
      </c>
      <c r="Q261">
        <v>-68.5</v>
      </c>
      <c r="AC261">
        <f>SUMPRODUCT(DB_ThemeSOFAcct[[#This Row],[Plan01]:[Plan12]],$E$14:$P$14)/valUnits2</f>
        <v>-6.8500000000000005E-2</v>
      </c>
      <c r="AD261">
        <f>SUMPRODUCT(DB_ThemeSOFAcct[[#This Row],[Act01]:[Act12]],$Q$14:$AB$14)/valUnits2</f>
        <v>-6.8500000000000005E-2</v>
      </c>
      <c r="AE261">
        <f>DB_ThemeSOFAcct[[#This Row],[Actuals]]-DB_ThemeSOFAcct[[#This Row],[Plan]]</f>
        <v>0</v>
      </c>
      <c r="AF261">
        <f>IF(DB_ThemeSOFAcct[[#This Row],[Plan]]&lt;&gt;0,DB_ThemeSOFAcct[[#This Row],[Actuals]]/DB_ThemeSOFAcct[[#This Row],[Plan]],1.000011000011)</f>
        <v>1</v>
      </c>
      <c r="AG261" s="34">
        <f>SUM(DB_ThemeSOFAcct[[#This Row],[Plan01]:[Plan12]])/valUnits2</f>
        <v>-6.8500000000000005E-2</v>
      </c>
      <c r="AH261" s="34">
        <f>SUMPRODUCT(DB_ThemeSOFAcct[[#This Row],[Act01]:[Act12]],$Q$3:$AB$3)/valUnits2</f>
        <v>-6.8500000000000005E-2</v>
      </c>
    </row>
    <row r="262" spans="2:34" x14ac:dyDescent="0.2">
      <c r="B262" t="s">
        <v>351</v>
      </c>
      <c r="C262" t="s">
        <v>857</v>
      </c>
      <c r="D262" t="s">
        <v>140</v>
      </c>
      <c r="F262">
        <v>14540.369999999999</v>
      </c>
      <c r="I262">
        <v>-14540.369999999999</v>
      </c>
      <c r="R262">
        <v>14540.37</v>
      </c>
      <c r="U262">
        <v>-14540.37</v>
      </c>
      <c r="AC262">
        <f>SUMPRODUCT(DB_ThemeSOFAcct[[#This Row],[Plan01]:[Plan12]],$E$14:$P$14)/valUnits2</f>
        <v>0</v>
      </c>
      <c r="AD262">
        <f>SUMPRODUCT(DB_ThemeSOFAcct[[#This Row],[Act01]:[Act12]],$Q$14:$AB$14)/valUnits2</f>
        <v>0</v>
      </c>
      <c r="AE262">
        <f>DB_ThemeSOFAcct[[#This Row],[Actuals]]-DB_ThemeSOFAcct[[#This Row],[Plan]]</f>
        <v>0</v>
      </c>
      <c r="AF262">
        <f>IF(DB_ThemeSOFAcct[[#This Row],[Plan]]&lt;&gt;0,DB_ThemeSOFAcct[[#This Row],[Actuals]]/DB_ThemeSOFAcct[[#This Row],[Plan]],1.000011000011)</f>
        <v>1.0000110000110001</v>
      </c>
      <c r="AG262" s="34">
        <f>SUM(DB_ThemeSOFAcct[[#This Row],[Plan01]:[Plan12]])/valUnits2</f>
        <v>0</v>
      </c>
      <c r="AH262" s="34">
        <f>SUMPRODUCT(DB_ThemeSOFAcct[[#This Row],[Act01]:[Act12]],$Q$3:$AB$3)/valUnits2</f>
        <v>0</v>
      </c>
    </row>
    <row r="263" spans="2:34" x14ac:dyDescent="0.2">
      <c r="B263" t="s">
        <v>351</v>
      </c>
      <c r="C263" t="s">
        <v>857</v>
      </c>
      <c r="D263" t="s">
        <v>236</v>
      </c>
      <c r="G263">
        <v>1310.3</v>
      </c>
      <c r="S263">
        <v>1310.3</v>
      </c>
      <c r="AC263">
        <f>SUMPRODUCT(DB_ThemeSOFAcct[[#This Row],[Plan01]:[Plan12]],$E$14:$P$14)/valUnits2</f>
        <v>1.3103</v>
      </c>
      <c r="AD263">
        <f>SUMPRODUCT(DB_ThemeSOFAcct[[#This Row],[Act01]:[Act12]],$Q$14:$AB$14)/valUnits2</f>
        <v>1.3103</v>
      </c>
      <c r="AE263">
        <f>DB_ThemeSOFAcct[[#This Row],[Actuals]]-DB_ThemeSOFAcct[[#This Row],[Plan]]</f>
        <v>0</v>
      </c>
      <c r="AF263">
        <f>IF(DB_ThemeSOFAcct[[#This Row],[Plan]]&lt;&gt;0,DB_ThemeSOFAcct[[#This Row],[Actuals]]/DB_ThemeSOFAcct[[#This Row],[Plan]],1.000011000011)</f>
        <v>1</v>
      </c>
      <c r="AG263" s="34">
        <f>SUM(DB_ThemeSOFAcct[[#This Row],[Plan01]:[Plan12]])/valUnits2</f>
        <v>1.3103</v>
      </c>
      <c r="AH263" s="34">
        <f>SUMPRODUCT(DB_ThemeSOFAcct[[#This Row],[Act01]:[Act12]],$Q$3:$AB$3)/valUnits2</f>
        <v>1.3103</v>
      </c>
    </row>
    <row r="264" spans="2:34" x14ac:dyDescent="0.2">
      <c r="B264" t="s">
        <v>351</v>
      </c>
      <c r="C264" t="s">
        <v>857</v>
      </c>
      <c r="D264" t="s">
        <v>237</v>
      </c>
      <c r="E264">
        <v>38.75</v>
      </c>
      <c r="I264">
        <v>-38.75</v>
      </c>
      <c r="Q264">
        <v>38.75</v>
      </c>
      <c r="U264">
        <v>-38.75</v>
      </c>
      <c r="AC264">
        <f>SUMPRODUCT(DB_ThemeSOFAcct[[#This Row],[Plan01]:[Plan12]],$E$14:$P$14)/valUnits2</f>
        <v>0</v>
      </c>
      <c r="AD264">
        <f>SUMPRODUCT(DB_ThemeSOFAcct[[#This Row],[Act01]:[Act12]],$Q$14:$AB$14)/valUnits2</f>
        <v>0</v>
      </c>
      <c r="AE264">
        <f>DB_ThemeSOFAcct[[#This Row],[Actuals]]-DB_ThemeSOFAcct[[#This Row],[Plan]]</f>
        <v>0</v>
      </c>
      <c r="AF264">
        <f>IF(DB_ThemeSOFAcct[[#This Row],[Plan]]&lt;&gt;0,DB_ThemeSOFAcct[[#This Row],[Actuals]]/DB_ThemeSOFAcct[[#This Row],[Plan]],1.000011000011)</f>
        <v>1.0000110000110001</v>
      </c>
      <c r="AG264" s="34">
        <f>SUM(DB_ThemeSOFAcct[[#This Row],[Plan01]:[Plan12]])/valUnits2</f>
        <v>0</v>
      </c>
      <c r="AH264" s="34">
        <f>SUMPRODUCT(DB_ThemeSOFAcct[[#This Row],[Act01]:[Act12]],$Q$3:$AB$3)/valUnits2</f>
        <v>0</v>
      </c>
    </row>
    <row r="265" spans="2:34" x14ac:dyDescent="0.2">
      <c r="B265" t="s">
        <v>351</v>
      </c>
      <c r="C265" t="s">
        <v>857</v>
      </c>
      <c r="D265" t="s">
        <v>141</v>
      </c>
      <c r="E265">
        <v>-1996.32</v>
      </c>
      <c r="F265">
        <v>11.98</v>
      </c>
      <c r="I265">
        <v>-11.98</v>
      </c>
      <c r="Q265">
        <v>-1996.32</v>
      </c>
      <c r="R265">
        <v>11.98</v>
      </c>
      <c r="U265">
        <v>-11.98</v>
      </c>
      <c r="AC265">
        <f>SUMPRODUCT(DB_ThemeSOFAcct[[#This Row],[Plan01]:[Plan12]],$E$14:$P$14)/valUnits2</f>
        <v>-1.9963199999999999</v>
      </c>
      <c r="AD265">
        <f>SUMPRODUCT(DB_ThemeSOFAcct[[#This Row],[Act01]:[Act12]],$Q$14:$AB$14)/valUnits2</f>
        <v>-1.9963199999999999</v>
      </c>
      <c r="AE265">
        <f>DB_ThemeSOFAcct[[#This Row],[Actuals]]-DB_ThemeSOFAcct[[#This Row],[Plan]]</f>
        <v>0</v>
      </c>
      <c r="AF265">
        <f>IF(DB_ThemeSOFAcct[[#This Row],[Plan]]&lt;&gt;0,DB_ThemeSOFAcct[[#This Row],[Actuals]]/DB_ThemeSOFAcct[[#This Row],[Plan]],1.000011000011)</f>
        <v>1</v>
      </c>
      <c r="AG265" s="34">
        <f>SUM(DB_ThemeSOFAcct[[#This Row],[Plan01]:[Plan12]])/valUnits2</f>
        <v>-1.9963199999999999</v>
      </c>
      <c r="AH265" s="34">
        <f>SUMPRODUCT(DB_ThemeSOFAcct[[#This Row],[Act01]:[Act12]],$Q$3:$AB$3)/valUnits2</f>
        <v>-1.9963199999999999</v>
      </c>
    </row>
    <row r="266" spans="2:34" x14ac:dyDescent="0.2">
      <c r="B266" t="s">
        <v>351</v>
      </c>
      <c r="C266" t="s">
        <v>858</v>
      </c>
      <c r="D266" t="s">
        <v>143</v>
      </c>
      <c r="E266">
        <v>689.93</v>
      </c>
      <c r="F266">
        <v>15.96</v>
      </c>
      <c r="G266">
        <v>-705.89</v>
      </c>
      <c r="H266">
        <v>12488.63</v>
      </c>
      <c r="I266">
        <v>3036.41</v>
      </c>
      <c r="J266">
        <v>3136.6660000000002</v>
      </c>
      <c r="K266">
        <v>3136.6660000000002</v>
      </c>
      <c r="L266">
        <v>6273.3320000000003</v>
      </c>
      <c r="M266">
        <v>3136.6660000000002</v>
      </c>
      <c r="N266">
        <v>3136.6660000000002</v>
      </c>
      <c r="O266">
        <v>3136.6660000000002</v>
      </c>
      <c r="P266">
        <v>3136.6660000000002</v>
      </c>
      <c r="Q266">
        <v>15.74</v>
      </c>
      <c r="R266">
        <v>88.710000000000008</v>
      </c>
      <c r="S266">
        <v>-104.45</v>
      </c>
      <c r="T266">
        <v>12193.960000000001</v>
      </c>
      <c r="U266">
        <v>2912.53</v>
      </c>
      <c r="V266">
        <v>2977.3900000000003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f>SUMPRODUCT(DB_ThemeSOFAcct[[#This Row],[Plan01]:[Plan12]],$E$14:$P$14)/valUnits2</f>
        <v>18.661705999999999</v>
      </c>
      <c r="AD266">
        <f>SUMPRODUCT(DB_ThemeSOFAcct[[#This Row],[Act01]:[Act12]],$Q$14:$AB$14)/valUnits2</f>
        <v>18.083880000000001</v>
      </c>
      <c r="AE266">
        <f>DB_ThemeSOFAcct[[#This Row],[Actuals]]-DB_ThemeSOFAcct[[#This Row],[Plan]]</f>
        <v>-0.57782599999999817</v>
      </c>
      <c r="AF266">
        <f>IF(DB_ThemeSOFAcct[[#This Row],[Plan]]&lt;&gt;0,DB_ThemeSOFAcct[[#This Row],[Actuals]]/DB_ThemeSOFAcct[[#This Row],[Plan]],1.000011000011)</f>
        <v>0.96903680724581143</v>
      </c>
      <c r="AG266" s="34">
        <f>SUM(DB_ThemeSOFAcct[[#This Row],[Plan01]:[Plan12]])/valUnits2</f>
        <v>40.618367999999997</v>
      </c>
      <c r="AH266" s="34">
        <f>SUMPRODUCT(DB_ThemeSOFAcct[[#This Row],[Act01]:[Act12]],$Q$3:$AB$3)/valUnits2</f>
        <v>18.083880000000001</v>
      </c>
    </row>
    <row r="267" spans="2:34" x14ac:dyDescent="0.2">
      <c r="B267" t="s">
        <v>351</v>
      </c>
      <c r="C267" t="s">
        <v>858</v>
      </c>
      <c r="D267" t="s">
        <v>235</v>
      </c>
      <c r="E267">
        <v>611.72</v>
      </c>
      <c r="F267">
        <v>2293.6699999999996</v>
      </c>
      <c r="G267">
        <v>-2071.1499999999996</v>
      </c>
      <c r="H267">
        <v>1706.9699999999998</v>
      </c>
      <c r="I267">
        <v>20.28000000000003</v>
      </c>
      <c r="J267">
        <v>1166.6670000000001</v>
      </c>
      <c r="K267">
        <v>1166.6670000000001</v>
      </c>
      <c r="L267">
        <v>2333.3340000000003</v>
      </c>
      <c r="M267">
        <v>1166.6670000000001</v>
      </c>
      <c r="N267">
        <v>1166.6669999999999</v>
      </c>
      <c r="O267">
        <v>1166.6670000000001</v>
      </c>
      <c r="P267">
        <v>1166.6670000000001</v>
      </c>
      <c r="Q267">
        <v>1285.9100000000001</v>
      </c>
      <c r="R267">
        <v>2293.67</v>
      </c>
      <c r="S267">
        <v>-2745.34</v>
      </c>
      <c r="T267">
        <v>2180.8200000000002</v>
      </c>
      <c r="U267">
        <v>157.95999999999992</v>
      </c>
      <c r="V267">
        <v>854.33999999999992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f>SUMPRODUCT(DB_ThemeSOFAcct[[#This Row],[Plan01]:[Plan12]],$E$14:$P$14)/valUnits2</f>
        <v>3.7281569999999999</v>
      </c>
      <c r="AD267">
        <f>SUMPRODUCT(DB_ThemeSOFAcct[[#This Row],[Act01]:[Act12]],$Q$14:$AB$14)/valUnits2</f>
        <v>4.0273599999999998</v>
      </c>
      <c r="AE267">
        <f>DB_ThemeSOFAcct[[#This Row],[Actuals]]-DB_ThemeSOFAcct[[#This Row],[Plan]]</f>
        <v>0.29920299999999989</v>
      </c>
      <c r="AF267">
        <f>IF(DB_ThemeSOFAcct[[#This Row],[Plan]]&lt;&gt;0,DB_ThemeSOFAcct[[#This Row],[Actuals]]/DB_ThemeSOFAcct[[#This Row],[Plan]],1.000011000011)</f>
        <v>1.0802549356156406</v>
      </c>
      <c r="AG267" s="34">
        <f>SUM(DB_ThemeSOFAcct[[#This Row],[Plan01]:[Plan12]])/valUnits2</f>
        <v>11.894825999999998</v>
      </c>
      <c r="AH267" s="34">
        <f>SUMPRODUCT(DB_ThemeSOFAcct[[#This Row],[Act01]:[Act12]],$Q$3:$AB$3)/valUnits2</f>
        <v>4.0273599999999998</v>
      </c>
    </row>
    <row r="268" spans="2:34" x14ac:dyDescent="0.2">
      <c r="B268" t="s">
        <v>351</v>
      </c>
      <c r="C268" t="s">
        <v>858</v>
      </c>
      <c r="D268" t="s">
        <v>140</v>
      </c>
      <c r="E268">
        <v>14891.73</v>
      </c>
      <c r="F268">
        <v>36600.410000000011</v>
      </c>
      <c r="G268">
        <v>29772.190000000002</v>
      </c>
      <c r="H268">
        <v>37406.36</v>
      </c>
      <c r="I268">
        <v>31277.960000000003</v>
      </c>
      <c r="J268">
        <v>29206.841000000004</v>
      </c>
      <c r="K268">
        <v>29206.841000000004</v>
      </c>
      <c r="L268">
        <v>29206.841000000004</v>
      </c>
      <c r="M268">
        <v>29206.841000000004</v>
      </c>
      <c r="N268">
        <v>29206.841000000004</v>
      </c>
      <c r="O268">
        <v>29206.841000000004</v>
      </c>
      <c r="P268">
        <v>29206.841</v>
      </c>
      <c r="Q268">
        <v>14891.73</v>
      </c>
      <c r="R268">
        <v>36600.410000000003</v>
      </c>
      <c r="S268">
        <v>29772.190000000002</v>
      </c>
      <c r="T268">
        <v>37406.36</v>
      </c>
      <c r="U268">
        <v>31277.960000000006</v>
      </c>
      <c r="V268">
        <v>30474.79</v>
      </c>
      <c r="W268">
        <v>16391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f>SUMPRODUCT(DB_ThemeSOFAcct[[#This Row],[Plan01]:[Plan12]],$E$14:$P$14)/valUnits2</f>
        <v>179.15549100000004</v>
      </c>
      <c r="AD268">
        <f>SUMPRODUCT(DB_ThemeSOFAcct[[#This Row],[Act01]:[Act12]],$Q$14:$AB$14)/valUnits2</f>
        <v>180.42344000000003</v>
      </c>
      <c r="AE268">
        <f>DB_ThemeSOFAcct[[#This Row],[Actuals]]-DB_ThemeSOFAcct[[#This Row],[Plan]]</f>
        <v>1.2679489999999873</v>
      </c>
      <c r="AF268">
        <f>IF(DB_ThemeSOFAcct[[#This Row],[Plan]]&lt;&gt;0,DB_ThemeSOFAcct[[#This Row],[Actuals]]/DB_ThemeSOFAcct[[#This Row],[Plan]],1.000011000011)</f>
        <v>1.0070773661076344</v>
      </c>
      <c r="AG268" s="34">
        <f>SUM(DB_ThemeSOFAcct[[#This Row],[Plan01]:[Plan12]])/valUnits2</f>
        <v>354.39653700000014</v>
      </c>
      <c r="AH268" s="34">
        <f>SUMPRODUCT(DB_ThemeSOFAcct[[#This Row],[Act01]:[Act12]],$Q$3:$AB$3)/valUnits2</f>
        <v>180.42344000000003</v>
      </c>
    </row>
    <row r="269" spans="2:34" x14ac:dyDescent="0.2">
      <c r="B269" t="s">
        <v>351</v>
      </c>
      <c r="C269" t="s">
        <v>858</v>
      </c>
      <c r="D269" t="s">
        <v>236</v>
      </c>
      <c r="E269">
        <v>71536.87</v>
      </c>
      <c r="F269">
        <v>0</v>
      </c>
      <c r="G269">
        <v>-71136.459999999992</v>
      </c>
      <c r="H269">
        <v>1785.02</v>
      </c>
      <c r="I269">
        <v>2272.85</v>
      </c>
      <c r="J269">
        <v>250</v>
      </c>
      <c r="K269">
        <v>250</v>
      </c>
      <c r="L269">
        <v>250</v>
      </c>
      <c r="M269">
        <v>250</v>
      </c>
      <c r="N269">
        <v>250</v>
      </c>
      <c r="O269">
        <v>250</v>
      </c>
      <c r="P269">
        <v>250</v>
      </c>
      <c r="Q269">
        <v>71536.87</v>
      </c>
      <c r="R269">
        <v>0</v>
      </c>
      <c r="S269">
        <v>-71136.459999999992</v>
      </c>
      <c r="T269">
        <v>1785.02</v>
      </c>
      <c r="U269">
        <v>2272.85</v>
      </c>
      <c r="V269">
        <v>1454.27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f>SUMPRODUCT(DB_ThemeSOFAcct[[#This Row],[Plan01]:[Plan12]],$E$14:$P$14)/valUnits2</f>
        <v>4.7082800000000038</v>
      </c>
      <c r="AD269">
        <f>SUMPRODUCT(DB_ThemeSOFAcct[[#This Row],[Act01]:[Act12]],$Q$14:$AB$14)/valUnits2</f>
        <v>5.9125500000000031</v>
      </c>
      <c r="AE269">
        <f>DB_ThemeSOFAcct[[#This Row],[Actuals]]-DB_ThemeSOFAcct[[#This Row],[Plan]]</f>
        <v>1.2042699999999993</v>
      </c>
      <c r="AF269">
        <f>IF(DB_ThemeSOFAcct[[#This Row],[Plan]]&lt;&gt;0,DB_ThemeSOFAcct[[#This Row],[Actuals]]/DB_ThemeSOFAcct[[#This Row],[Plan]],1.000011000011)</f>
        <v>1.2557770565896671</v>
      </c>
      <c r="AG269" s="34">
        <f>SUM(DB_ThemeSOFAcct[[#This Row],[Plan01]:[Plan12]])/valUnits2</f>
        <v>6.2082800000000038</v>
      </c>
      <c r="AH269" s="34">
        <f>SUMPRODUCT(DB_ThemeSOFAcct[[#This Row],[Act01]:[Act12]],$Q$3:$AB$3)/valUnits2</f>
        <v>5.9125500000000031</v>
      </c>
    </row>
    <row r="270" spans="2:34" x14ac:dyDescent="0.2">
      <c r="B270" t="s">
        <v>351</v>
      </c>
      <c r="C270" t="s">
        <v>858</v>
      </c>
      <c r="D270" t="s">
        <v>237</v>
      </c>
      <c r="E270">
        <v>1075.56</v>
      </c>
      <c r="G270">
        <v>76.37</v>
      </c>
      <c r="H270">
        <v>-599.11</v>
      </c>
      <c r="I270">
        <v>152.63999999999999</v>
      </c>
      <c r="Q270">
        <v>1075.56</v>
      </c>
      <c r="S270">
        <v>76.37</v>
      </c>
      <c r="T270">
        <v>-599.11</v>
      </c>
      <c r="U270">
        <v>152.63999999999999</v>
      </c>
      <c r="AC270">
        <f>SUMPRODUCT(DB_ThemeSOFAcct[[#This Row],[Plan01]:[Plan12]],$E$14:$P$14)/valUnits2</f>
        <v>0.70545999999999975</v>
      </c>
      <c r="AD270">
        <f>SUMPRODUCT(DB_ThemeSOFAcct[[#This Row],[Act01]:[Act12]],$Q$14:$AB$14)/valUnits2</f>
        <v>0.70545999999999975</v>
      </c>
      <c r="AE270">
        <f>DB_ThemeSOFAcct[[#This Row],[Actuals]]-DB_ThemeSOFAcct[[#This Row],[Plan]]</f>
        <v>0</v>
      </c>
      <c r="AF270">
        <f>IF(DB_ThemeSOFAcct[[#This Row],[Plan]]&lt;&gt;0,DB_ThemeSOFAcct[[#This Row],[Actuals]]/DB_ThemeSOFAcct[[#This Row],[Plan]],1.000011000011)</f>
        <v>1</v>
      </c>
      <c r="AG270" s="34">
        <f>SUM(DB_ThemeSOFAcct[[#This Row],[Plan01]:[Plan12]])/valUnits2</f>
        <v>0.70545999999999975</v>
      </c>
      <c r="AH270" s="34">
        <f>SUMPRODUCT(DB_ThemeSOFAcct[[#This Row],[Act01]:[Act12]],$Q$3:$AB$3)/valUnits2</f>
        <v>0.70545999999999975</v>
      </c>
    </row>
    <row r="271" spans="2:34" x14ac:dyDescent="0.2">
      <c r="B271" t="s">
        <v>351</v>
      </c>
      <c r="C271" t="s">
        <v>858</v>
      </c>
      <c r="D271" t="s">
        <v>141</v>
      </c>
      <c r="E271">
        <v>376.8</v>
      </c>
      <c r="F271">
        <v>950.34</v>
      </c>
      <c r="G271">
        <v>-230.85</v>
      </c>
      <c r="H271">
        <v>436</v>
      </c>
      <c r="I271">
        <v>549.94000000000005</v>
      </c>
      <c r="J271">
        <v>1116.6610000000001</v>
      </c>
      <c r="K271">
        <v>1116.6610000000001</v>
      </c>
      <c r="L271">
        <v>1733.328</v>
      </c>
      <c r="M271">
        <v>1116.6610000000001</v>
      </c>
      <c r="N271">
        <v>1116.6610000000001</v>
      </c>
      <c r="O271">
        <v>1116.6610000000001</v>
      </c>
      <c r="P271">
        <v>1116.6610000000001</v>
      </c>
      <c r="Q271">
        <v>376.79999999999995</v>
      </c>
      <c r="R271">
        <v>950.34000000000015</v>
      </c>
      <c r="S271">
        <v>-230.85000000000002</v>
      </c>
      <c r="T271">
        <v>436.00000000000006</v>
      </c>
      <c r="U271">
        <v>549.94000000000005</v>
      </c>
      <c r="V271">
        <v>198.95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f>SUMPRODUCT(DB_ThemeSOFAcct[[#This Row],[Plan01]:[Plan12]],$E$14:$P$14)/valUnits2</f>
        <v>3.1988910000000006</v>
      </c>
      <c r="AD271">
        <f>SUMPRODUCT(DB_ThemeSOFAcct[[#This Row],[Act01]:[Act12]],$Q$14:$AB$14)/valUnits2</f>
        <v>2.28118</v>
      </c>
      <c r="AE271">
        <f>DB_ThemeSOFAcct[[#This Row],[Actuals]]-DB_ThemeSOFAcct[[#This Row],[Plan]]</f>
        <v>-0.91771100000000061</v>
      </c>
      <c r="AF271">
        <f>IF(DB_ThemeSOFAcct[[#This Row],[Plan]]&lt;&gt;0,DB_ThemeSOFAcct[[#This Row],[Actuals]]/DB_ThemeSOFAcct[[#This Row],[Plan]],1.000011000011)</f>
        <v>0.71311588922535951</v>
      </c>
      <c r="AG271" s="34">
        <f>SUM(DB_ThemeSOFAcct[[#This Row],[Plan01]:[Plan12]])/valUnits2</f>
        <v>10.515524000000001</v>
      </c>
      <c r="AH271" s="34">
        <f>SUMPRODUCT(DB_ThemeSOFAcct[[#This Row],[Act01]:[Act12]],$Q$3:$AB$3)/valUnits2</f>
        <v>2.28118</v>
      </c>
    </row>
    <row r="272" spans="2:34" x14ac:dyDescent="0.2">
      <c r="B272" t="s">
        <v>351</v>
      </c>
      <c r="C272" t="s">
        <v>859</v>
      </c>
      <c r="D272" t="s">
        <v>143</v>
      </c>
      <c r="E272">
        <v>0</v>
      </c>
      <c r="F272">
        <v>0</v>
      </c>
      <c r="G272">
        <v>0</v>
      </c>
      <c r="H272">
        <v>2478.3969999999999</v>
      </c>
      <c r="I272">
        <v>749.97</v>
      </c>
      <c r="J272">
        <v>130.10400000000001</v>
      </c>
      <c r="K272">
        <v>130.10400000000001</v>
      </c>
      <c r="L272">
        <v>130.10400000000001</v>
      </c>
      <c r="M272">
        <v>130.10400000000001</v>
      </c>
      <c r="N272">
        <v>130.10400000000001</v>
      </c>
      <c r="O272">
        <v>130.10400000000001</v>
      </c>
      <c r="P272">
        <v>130.10400000000001</v>
      </c>
      <c r="Q272">
        <v>0</v>
      </c>
      <c r="R272">
        <v>0</v>
      </c>
      <c r="S272">
        <v>0</v>
      </c>
      <c r="T272">
        <v>2413.1</v>
      </c>
      <c r="U272">
        <v>728.63000000000011</v>
      </c>
      <c r="V272">
        <v>744.83999999999992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f>SUMPRODUCT(DB_ThemeSOFAcct[[#This Row],[Plan01]:[Plan12]],$E$14:$P$14)/valUnits2</f>
        <v>3.3584710000000002</v>
      </c>
      <c r="AD272">
        <f>SUMPRODUCT(DB_ThemeSOFAcct[[#This Row],[Act01]:[Act12]],$Q$14:$AB$14)/valUnits2</f>
        <v>3.8865699999999999</v>
      </c>
      <c r="AE272">
        <f>DB_ThemeSOFAcct[[#This Row],[Actuals]]-DB_ThemeSOFAcct[[#This Row],[Plan]]</f>
        <v>0.52809899999999965</v>
      </c>
      <c r="AF272">
        <f>IF(DB_ThemeSOFAcct[[#This Row],[Plan]]&lt;&gt;0,DB_ThemeSOFAcct[[#This Row],[Actuals]]/DB_ThemeSOFAcct[[#This Row],[Plan]],1.000011000011)</f>
        <v>1.1572438767522482</v>
      </c>
      <c r="AG272" s="34">
        <f>SUM(DB_ThemeSOFAcct[[#This Row],[Plan01]:[Plan12]])/valUnits2</f>
        <v>4.1390949999999993</v>
      </c>
      <c r="AH272" s="34">
        <f>SUMPRODUCT(DB_ThemeSOFAcct[[#This Row],[Act01]:[Act12]],$Q$3:$AB$3)/valUnits2</f>
        <v>3.8865699999999999</v>
      </c>
    </row>
    <row r="273" spans="2:34" x14ac:dyDescent="0.2">
      <c r="B273" t="s">
        <v>351</v>
      </c>
      <c r="C273" t="s">
        <v>859</v>
      </c>
      <c r="D273" t="s">
        <v>235</v>
      </c>
      <c r="E273">
        <v>0</v>
      </c>
      <c r="F273">
        <v>0</v>
      </c>
      <c r="G273">
        <v>0</v>
      </c>
      <c r="H273">
        <v>131.92699999999999</v>
      </c>
      <c r="I273">
        <v>214.488</v>
      </c>
      <c r="J273">
        <v>708.56400000000008</v>
      </c>
      <c r="K273">
        <v>708.56400000000008</v>
      </c>
      <c r="L273">
        <v>708.56400000000008</v>
      </c>
      <c r="M273">
        <v>708.56400000000008</v>
      </c>
      <c r="N273">
        <v>708.56400000000008</v>
      </c>
      <c r="O273">
        <v>708.56400000000008</v>
      </c>
      <c r="P273">
        <v>708.56400000000008</v>
      </c>
      <c r="Q273">
        <v>0</v>
      </c>
      <c r="R273">
        <v>0</v>
      </c>
      <c r="S273">
        <v>0</v>
      </c>
      <c r="T273">
        <v>222.64</v>
      </c>
      <c r="U273">
        <v>238.89</v>
      </c>
      <c r="V273">
        <v>125.63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f>SUMPRODUCT(DB_ThemeSOFAcct[[#This Row],[Plan01]:[Plan12]],$E$14:$P$14)/valUnits2</f>
        <v>1.0549790000000001</v>
      </c>
      <c r="AD273">
        <f>SUMPRODUCT(DB_ThemeSOFAcct[[#This Row],[Act01]:[Act12]],$Q$14:$AB$14)/valUnits2</f>
        <v>0.58716000000000002</v>
      </c>
      <c r="AE273">
        <f>DB_ThemeSOFAcct[[#This Row],[Actuals]]-DB_ThemeSOFAcct[[#This Row],[Plan]]</f>
        <v>-0.4678190000000001</v>
      </c>
      <c r="AF273">
        <f>IF(DB_ThemeSOFAcct[[#This Row],[Plan]]&lt;&gt;0,DB_ThemeSOFAcct[[#This Row],[Actuals]]/DB_ThemeSOFAcct[[#This Row],[Plan]],1.000011000011)</f>
        <v>0.55656084149542306</v>
      </c>
      <c r="AG273" s="34">
        <f>SUM(DB_ThemeSOFAcct[[#This Row],[Plan01]:[Plan12]])/valUnits2</f>
        <v>5.3063630000000011</v>
      </c>
      <c r="AH273" s="34">
        <f>SUMPRODUCT(DB_ThemeSOFAcct[[#This Row],[Act01]:[Act12]],$Q$3:$AB$3)/valUnits2</f>
        <v>0.58716000000000002</v>
      </c>
    </row>
    <row r="274" spans="2:34" x14ac:dyDescent="0.2">
      <c r="B274" t="s">
        <v>351</v>
      </c>
      <c r="C274" t="s">
        <v>859</v>
      </c>
      <c r="D274" t="s">
        <v>140</v>
      </c>
      <c r="E274">
        <v>1982.175</v>
      </c>
      <c r="F274">
        <v>2888.5659999999998</v>
      </c>
      <c r="G274">
        <v>3224.69</v>
      </c>
      <c r="H274">
        <v>2095.0070000000001</v>
      </c>
      <c r="I274">
        <v>2955.578</v>
      </c>
      <c r="J274">
        <v>2112.9739999999997</v>
      </c>
      <c r="K274">
        <v>2112.9739999999997</v>
      </c>
      <c r="L274">
        <v>2112.9740000000002</v>
      </c>
      <c r="M274">
        <v>2112.9739999999997</v>
      </c>
      <c r="N274">
        <v>2112.9740000000002</v>
      </c>
      <c r="O274">
        <v>2112.9740000000002</v>
      </c>
      <c r="P274">
        <v>2112.9739999999997</v>
      </c>
      <c r="Q274">
        <v>1952.8600000000001</v>
      </c>
      <c r="R274">
        <v>2949.1400000000003</v>
      </c>
      <c r="S274">
        <v>3253.8800000000006</v>
      </c>
      <c r="T274">
        <v>2096.87</v>
      </c>
      <c r="U274">
        <v>2919.75</v>
      </c>
      <c r="V274">
        <v>604.13000000000056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f>SUMPRODUCT(DB_ThemeSOFAcct[[#This Row],[Plan01]:[Plan12]],$E$14:$P$14)/valUnits2</f>
        <v>15.258989999999999</v>
      </c>
      <c r="AD274">
        <f>SUMPRODUCT(DB_ThemeSOFAcct[[#This Row],[Act01]:[Act12]],$Q$14:$AB$14)/valUnits2</f>
        <v>13.776630000000001</v>
      </c>
      <c r="AE274">
        <f>DB_ThemeSOFAcct[[#This Row],[Actuals]]-DB_ThemeSOFAcct[[#This Row],[Plan]]</f>
        <v>-1.4823599999999981</v>
      </c>
      <c r="AF274">
        <f>IF(DB_ThemeSOFAcct[[#This Row],[Plan]]&lt;&gt;0,DB_ThemeSOFAcct[[#This Row],[Actuals]]/DB_ThemeSOFAcct[[#This Row],[Plan]],1.000011000011)</f>
        <v>0.90285333432946757</v>
      </c>
      <c r="AG274" s="34">
        <f>SUM(DB_ThemeSOFAcct[[#This Row],[Plan01]:[Plan12]])/valUnits2</f>
        <v>27.936833999999998</v>
      </c>
      <c r="AH274" s="34">
        <f>SUMPRODUCT(DB_ThemeSOFAcct[[#This Row],[Act01]:[Act12]],$Q$3:$AB$3)/valUnits2</f>
        <v>13.776630000000001</v>
      </c>
    </row>
    <row r="275" spans="2:34" x14ac:dyDescent="0.2">
      <c r="B275" t="s">
        <v>351</v>
      </c>
      <c r="C275" t="s">
        <v>859</v>
      </c>
      <c r="D275" t="s">
        <v>236</v>
      </c>
      <c r="I275">
        <v>222.828</v>
      </c>
      <c r="J275">
        <v>0</v>
      </c>
      <c r="U275">
        <v>223.73000000000002</v>
      </c>
      <c r="V275">
        <v>0.77</v>
      </c>
      <c r="AC275">
        <f>SUMPRODUCT(DB_ThemeSOFAcct[[#This Row],[Plan01]:[Plan12]],$E$14:$P$14)/valUnits2</f>
        <v>0.222828</v>
      </c>
      <c r="AD275">
        <f>SUMPRODUCT(DB_ThemeSOFAcct[[#This Row],[Act01]:[Act12]],$Q$14:$AB$14)/valUnits2</f>
        <v>0.22450000000000003</v>
      </c>
      <c r="AE275">
        <f>DB_ThemeSOFAcct[[#This Row],[Actuals]]-DB_ThemeSOFAcct[[#This Row],[Plan]]</f>
        <v>1.6720000000000346E-3</v>
      </c>
      <c r="AF275">
        <f>IF(DB_ThemeSOFAcct[[#This Row],[Plan]]&lt;&gt;0,DB_ThemeSOFAcct[[#This Row],[Actuals]]/DB_ThemeSOFAcct[[#This Row],[Plan]],1.000011000011)</f>
        <v>1.0075035453354158</v>
      </c>
      <c r="AG275" s="34">
        <f>SUM(DB_ThemeSOFAcct[[#This Row],[Plan01]:[Plan12]])/valUnits2</f>
        <v>0.222828</v>
      </c>
      <c r="AH275" s="34">
        <f>SUMPRODUCT(DB_ThemeSOFAcct[[#This Row],[Act01]:[Act12]],$Q$3:$AB$3)/valUnits2</f>
        <v>0.22450000000000003</v>
      </c>
    </row>
    <row r="276" spans="2:34" x14ac:dyDescent="0.2">
      <c r="B276" t="s">
        <v>351</v>
      </c>
      <c r="C276" t="s">
        <v>859</v>
      </c>
      <c r="D276" t="s">
        <v>237</v>
      </c>
      <c r="E276">
        <v>0</v>
      </c>
      <c r="F276">
        <v>0</v>
      </c>
      <c r="G276">
        <v>0</v>
      </c>
      <c r="H276">
        <v>60.026000000000003</v>
      </c>
      <c r="I276">
        <v>2.254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59.599999999999994</v>
      </c>
      <c r="U276">
        <v>2.25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f>SUMPRODUCT(DB_ThemeSOFAcct[[#This Row],[Plan01]:[Plan12]],$E$14:$P$14)/valUnits2</f>
        <v>6.2280000000000002E-2</v>
      </c>
      <c r="AD276">
        <f>SUMPRODUCT(DB_ThemeSOFAcct[[#This Row],[Act01]:[Act12]],$Q$14:$AB$14)/valUnits2</f>
        <v>6.1849999999999995E-2</v>
      </c>
      <c r="AE276">
        <f>DB_ThemeSOFAcct[[#This Row],[Actuals]]-DB_ThemeSOFAcct[[#This Row],[Plan]]</f>
        <v>-4.3000000000000677E-4</v>
      </c>
      <c r="AF276">
        <f>IF(DB_ThemeSOFAcct[[#This Row],[Plan]]&lt;&gt;0,DB_ThemeSOFAcct[[#This Row],[Actuals]]/DB_ThemeSOFAcct[[#This Row],[Plan]],1.000011000011)</f>
        <v>0.99309569685292221</v>
      </c>
      <c r="AG276" s="34">
        <f>SUM(DB_ThemeSOFAcct[[#This Row],[Plan01]:[Plan12]])/valUnits2</f>
        <v>6.2280000000000002E-2</v>
      </c>
      <c r="AH276" s="34">
        <f>SUMPRODUCT(DB_ThemeSOFAcct[[#This Row],[Act01]:[Act12]],$Q$3:$AB$3)/valUnits2</f>
        <v>6.1849999999999995E-2</v>
      </c>
    </row>
    <row r="277" spans="2:34" x14ac:dyDescent="0.2">
      <c r="B277" t="s">
        <v>351</v>
      </c>
      <c r="C277" t="s">
        <v>859</v>
      </c>
      <c r="D277" t="s">
        <v>141</v>
      </c>
      <c r="H277">
        <v>14.935</v>
      </c>
      <c r="I277">
        <v>30.62</v>
      </c>
      <c r="P277">
        <v>1304.3050000000001</v>
      </c>
      <c r="T277">
        <v>15.3</v>
      </c>
      <c r="U277">
        <v>30.41</v>
      </c>
      <c r="AB277">
        <v>0</v>
      </c>
      <c r="AC277">
        <f>SUMPRODUCT(DB_ThemeSOFAcct[[#This Row],[Plan01]:[Plan12]],$E$14:$P$14)/valUnits2</f>
        <v>4.5554999999999998E-2</v>
      </c>
      <c r="AD277">
        <f>SUMPRODUCT(DB_ThemeSOFAcct[[#This Row],[Act01]:[Act12]],$Q$14:$AB$14)/valUnits2</f>
        <v>4.5710000000000001E-2</v>
      </c>
      <c r="AE277">
        <f>DB_ThemeSOFAcct[[#This Row],[Actuals]]-DB_ThemeSOFAcct[[#This Row],[Plan]]</f>
        <v>1.5500000000000236E-4</v>
      </c>
      <c r="AF277">
        <f>IF(DB_ThemeSOFAcct[[#This Row],[Plan]]&lt;&gt;0,DB_ThemeSOFAcct[[#This Row],[Actuals]]/DB_ThemeSOFAcct[[#This Row],[Plan]],1.000011000011)</f>
        <v>1.0034024805180553</v>
      </c>
      <c r="AG277" s="34">
        <f>SUM(DB_ThemeSOFAcct[[#This Row],[Plan01]:[Plan12]])/valUnits2</f>
        <v>1.3498600000000001</v>
      </c>
      <c r="AH277" s="34">
        <f>SUMPRODUCT(DB_ThemeSOFAcct[[#This Row],[Act01]:[Act12]],$Q$3:$AB$3)/valUnits2</f>
        <v>4.5710000000000001E-2</v>
      </c>
    </row>
    <row r="278" spans="2:34" x14ac:dyDescent="0.2">
      <c r="B278" t="s">
        <v>351</v>
      </c>
      <c r="C278" t="s">
        <v>860</v>
      </c>
      <c r="D278" t="s">
        <v>143</v>
      </c>
      <c r="E278">
        <v>36.35</v>
      </c>
      <c r="F278">
        <v>199.72</v>
      </c>
      <c r="G278">
        <v>9.1799999999998363</v>
      </c>
      <c r="H278">
        <v>5900.61</v>
      </c>
      <c r="I278">
        <v>2017.35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33.659999999999997</v>
      </c>
      <c r="R278">
        <v>186.86</v>
      </c>
      <c r="S278">
        <v>19.270000000000095</v>
      </c>
      <c r="T278">
        <v>5712.89</v>
      </c>
      <c r="U278">
        <v>1966.15</v>
      </c>
      <c r="V278">
        <v>1788.69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f>SUMPRODUCT(DB_ThemeSOFAcct[[#This Row],[Plan01]:[Plan12]],$E$14:$P$14)/valUnits2</f>
        <v>8.1632099999999994</v>
      </c>
      <c r="AD278">
        <f>SUMPRODUCT(DB_ThemeSOFAcct[[#This Row],[Act01]:[Act12]],$Q$14:$AB$14)/valUnits2</f>
        <v>9.7075200000000006</v>
      </c>
      <c r="AE278">
        <f>DB_ThemeSOFAcct[[#This Row],[Actuals]]-DB_ThemeSOFAcct[[#This Row],[Plan]]</f>
        <v>1.5443100000000012</v>
      </c>
      <c r="AF278">
        <f>IF(DB_ThemeSOFAcct[[#This Row],[Plan]]&lt;&gt;0,DB_ThemeSOFAcct[[#This Row],[Actuals]]/DB_ThemeSOFAcct[[#This Row],[Plan]],1.000011000011)</f>
        <v>1.1891792566894643</v>
      </c>
      <c r="AG278" s="34">
        <f>SUM(DB_ThemeSOFAcct[[#This Row],[Plan01]:[Plan12]])/valUnits2</f>
        <v>8.1632099999999994</v>
      </c>
      <c r="AH278" s="34">
        <f>SUMPRODUCT(DB_ThemeSOFAcct[[#This Row],[Act01]:[Act12]],$Q$3:$AB$3)/valUnits2</f>
        <v>9.7075200000000006</v>
      </c>
    </row>
    <row r="279" spans="2:34" x14ac:dyDescent="0.2">
      <c r="B279" t="s">
        <v>351</v>
      </c>
      <c r="C279" t="s">
        <v>860</v>
      </c>
      <c r="D279" t="s">
        <v>235</v>
      </c>
      <c r="E279">
        <v>999.15</v>
      </c>
      <c r="F279">
        <v>10.4</v>
      </c>
      <c r="G279">
        <v>22.94</v>
      </c>
      <c r="H279">
        <v>344.52</v>
      </c>
      <c r="I279">
        <v>796.52</v>
      </c>
      <c r="J279">
        <v>0</v>
      </c>
      <c r="Q279">
        <v>1001.84</v>
      </c>
      <c r="R279">
        <v>23.259999999999998</v>
      </c>
      <c r="S279">
        <v>24.93000000000001</v>
      </c>
      <c r="T279">
        <v>564.75</v>
      </c>
      <c r="U279">
        <v>854.90000000000009</v>
      </c>
      <c r="V279">
        <v>355.55</v>
      </c>
      <c r="AC279">
        <f>SUMPRODUCT(DB_ThemeSOFAcct[[#This Row],[Plan01]:[Plan12]],$E$14:$P$14)/valUnits2</f>
        <v>2.17353</v>
      </c>
      <c r="AD279">
        <f>SUMPRODUCT(DB_ThemeSOFAcct[[#This Row],[Act01]:[Act12]],$Q$14:$AB$14)/valUnits2</f>
        <v>2.8252300000000004</v>
      </c>
      <c r="AE279">
        <f>DB_ThemeSOFAcct[[#This Row],[Actuals]]-DB_ThemeSOFAcct[[#This Row],[Plan]]</f>
        <v>0.65170000000000039</v>
      </c>
      <c r="AF279">
        <f>IF(DB_ThemeSOFAcct[[#This Row],[Plan]]&lt;&gt;0,DB_ThemeSOFAcct[[#This Row],[Actuals]]/DB_ThemeSOFAcct[[#This Row],[Plan]],1.000011000011)</f>
        <v>1.2998348308972043</v>
      </c>
      <c r="AG279" s="34">
        <f>SUM(DB_ThemeSOFAcct[[#This Row],[Plan01]:[Plan12]])/valUnits2</f>
        <v>2.17353</v>
      </c>
      <c r="AH279" s="34">
        <f>SUMPRODUCT(DB_ThemeSOFAcct[[#This Row],[Act01]:[Act12]],$Q$3:$AB$3)/valUnits2</f>
        <v>2.8252300000000004</v>
      </c>
    </row>
    <row r="280" spans="2:34" x14ac:dyDescent="0.2">
      <c r="B280" t="s">
        <v>351</v>
      </c>
      <c r="C280" t="s">
        <v>860</v>
      </c>
      <c r="D280" t="s">
        <v>140</v>
      </c>
      <c r="E280">
        <v>1415.4499999999998</v>
      </c>
      <c r="F280">
        <v>3369.4399999999996</v>
      </c>
      <c r="G280">
        <v>6144.9400000000005</v>
      </c>
      <c r="H280">
        <v>4496.34</v>
      </c>
      <c r="I280">
        <v>150.05000000000001</v>
      </c>
      <c r="J280">
        <v>4280.2629999999999</v>
      </c>
      <c r="K280">
        <v>4280.2629999999999</v>
      </c>
      <c r="L280">
        <v>4280.2629999999999</v>
      </c>
      <c r="M280">
        <v>4280.2629999999999</v>
      </c>
      <c r="N280">
        <v>0</v>
      </c>
      <c r="O280">
        <v>0</v>
      </c>
      <c r="P280">
        <v>0</v>
      </c>
      <c r="Q280">
        <v>1415.45</v>
      </c>
      <c r="R280">
        <v>3369.4399999999996</v>
      </c>
      <c r="S280">
        <v>6144.9400000000005</v>
      </c>
      <c r="T280">
        <v>4496.34</v>
      </c>
      <c r="U280">
        <v>150.05000000000001</v>
      </c>
      <c r="V280">
        <v>482.79999999999995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f>SUMPRODUCT(DB_ThemeSOFAcct[[#This Row],[Plan01]:[Plan12]],$E$14:$P$14)/valUnits2</f>
        <v>19.856483000000001</v>
      </c>
      <c r="AD280">
        <f>SUMPRODUCT(DB_ThemeSOFAcct[[#This Row],[Act01]:[Act12]],$Q$14:$AB$14)/valUnits2</f>
        <v>16.05902</v>
      </c>
      <c r="AE280">
        <f>DB_ThemeSOFAcct[[#This Row],[Actuals]]-DB_ThemeSOFAcct[[#This Row],[Plan]]</f>
        <v>-3.7974630000000005</v>
      </c>
      <c r="AF280">
        <f>IF(DB_ThemeSOFAcct[[#This Row],[Plan]]&lt;&gt;0,DB_ThemeSOFAcct[[#This Row],[Actuals]]/DB_ThemeSOFAcct[[#This Row],[Plan]],1.000011000011)</f>
        <v>0.80875450098589963</v>
      </c>
      <c r="AG280" s="34">
        <f>SUM(DB_ThemeSOFAcct[[#This Row],[Plan01]:[Plan12]])/valUnits2</f>
        <v>32.697271999999998</v>
      </c>
      <c r="AH280" s="34">
        <f>SUMPRODUCT(DB_ThemeSOFAcct[[#This Row],[Act01]:[Act12]],$Q$3:$AB$3)/valUnits2</f>
        <v>16.05902</v>
      </c>
    </row>
    <row r="281" spans="2:34" x14ac:dyDescent="0.2">
      <c r="B281" t="s">
        <v>351</v>
      </c>
      <c r="C281" t="s">
        <v>860</v>
      </c>
      <c r="D281" t="s">
        <v>236</v>
      </c>
      <c r="E281">
        <v>36.520000000000003</v>
      </c>
      <c r="F281">
        <v>38.24</v>
      </c>
      <c r="G281">
        <v>171.93</v>
      </c>
      <c r="H281">
        <v>38.660000000000004</v>
      </c>
      <c r="I281">
        <v>504.27</v>
      </c>
      <c r="J281">
        <v>0</v>
      </c>
      <c r="Q281">
        <v>36.520000000000003</v>
      </c>
      <c r="R281">
        <v>38.24</v>
      </c>
      <c r="S281">
        <v>171.92999999999998</v>
      </c>
      <c r="T281">
        <v>38.660000000000004</v>
      </c>
      <c r="U281">
        <v>504.27</v>
      </c>
      <c r="V281">
        <v>441.98</v>
      </c>
      <c r="AC281">
        <f>SUMPRODUCT(DB_ThemeSOFAcct[[#This Row],[Plan01]:[Plan12]],$E$14:$P$14)/valUnits2</f>
        <v>0.78961999999999999</v>
      </c>
      <c r="AD281">
        <f>SUMPRODUCT(DB_ThemeSOFAcct[[#This Row],[Act01]:[Act12]],$Q$14:$AB$14)/valUnits2</f>
        <v>1.2315999999999998</v>
      </c>
      <c r="AE281">
        <f>DB_ThemeSOFAcct[[#This Row],[Actuals]]-DB_ThemeSOFAcct[[#This Row],[Plan]]</f>
        <v>0.44197999999999982</v>
      </c>
      <c r="AF281">
        <f>IF(DB_ThemeSOFAcct[[#This Row],[Plan]]&lt;&gt;0,DB_ThemeSOFAcct[[#This Row],[Actuals]]/DB_ThemeSOFAcct[[#This Row],[Plan]],1.000011000011)</f>
        <v>1.5597375952990045</v>
      </c>
      <c r="AG281" s="34">
        <f>SUM(DB_ThemeSOFAcct[[#This Row],[Plan01]:[Plan12]])/valUnits2</f>
        <v>0.78961999999999999</v>
      </c>
      <c r="AH281" s="34">
        <f>SUMPRODUCT(DB_ThemeSOFAcct[[#This Row],[Act01]:[Act12]],$Q$3:$AB$3)/valUnits2</f>
        <v>1.2315999999999998</v>
      </c>
    </row>
    <row r="282" spans="2:34" x14ac:dyDescent="0.2">
      <c r="B282" t="s">
        <v>351</v>
      </c>
      <c r="C282" t="s">
        <v>860</v>
      </c>
      <c r="D282" t="s">
        <v>237</v>
      </c>
      <c r="E282">
        <v>499.95000000000005</v>
      </c>
      <c r="G282">
        <v>-2.8421709430404007E-14</v>
      </c>
      <c r="H282">
        <v>144.86000000000001</v>
      </c>
      <c r="I282">
        <v>4.67</v>
      </c>
      <c r="Q282">
        <v>499.95000000000005</v>
      </c>
      <c r="S282">
        <v>0</v>
      </c>
      <c r="T282">
        <v>144.86000000000001</v>
      </c>
      <c r="U282">
        <v>4.67</v>
      </c>
      <c r="AC282">
        <f>SUMPRODUCT(DB_ThemeSOFAcct[[#This Row],[Plan01]:[Plan12]],$E$14:$P$14)/valUnits2</f>
        <v>0.64948000000000006</v>
      </c>
      <c r="AD282">
        <f>SUMPRODUCT(DB_ThemeSOFAcct[[#This Row],[Act01]:[Act12]],$Q$14:$AB$14)/valUnits2</f>
        <v>0.64948000000000006</v>
      </c>
      <c r="AE282">
        <f>DB_ThemeSOFAcct[[#This Row],[Actuals]]-DB_ThemeSOFAcct[[#This Row],[Plan]]</f>
        <v>0</v>
      </c>
      <c r="AF282">
        <f>IF(DB_ThemeSOFAcct[[#This Row],[Plan]]&lt;&gt;0,DB_ThemeSOFAcct[[#This Row],[Actuals]]/DB_ThemeSOFAcct[[#This Row],[Plan]],1.000011000011)</f>
        <v>1</v>
      </c>
      <c r="AG282" s="34">
        <f>SUM(DB_ThemeSOFAcct[[#This Row],[Plan01]:[Plan12]])/valUnits2</f>
        <v>0.64948000000000006</v>
      </c>
      <c r="AH282" s="34">
        <f>SUMPRODUCT(DB_ThemeSOFAcct[[#This Row],[Act01]:[Act12]],$Q$3:$AB$3)/valUnits2</f>
        <v>0.64948000000000006</v>
      </c>
    </row>
    <row r="283" spans="2:34" x14ac:dyDescent="0.2">
      <c r="B283" t="s">
        <v>351</v>
      </c>
      <c r="C283" t="s">
        <v>860</v>
      </c>
      <c r="D283" t="s">
        <v>141</v>
      </c>
      <c r="E283">
        <v>31.39</v>
      </c>
      <c r="F283">
        <v>44.34</v>
      </c>
      <c r="G283">
        <v>66.61</v>
      </c>
      <c r="H283">
        <v>262.77</v>
      </c>
      <c r="I283">
        <v>187.54</v>
      </c>
      <c r="J283">
        <v>0</v>
      </c>
      <c r="Q283">
        <v>31.389999999999997</v>
      </c>
      <c r="R283">
        <v>44.34</v>
      </c>
      <c r="S283">
        <v>66.609999999999985</v>
      </c>
      <c r="T283">
        <v>262.77</v>
      </c>
      <c r="U283">
        <v>187.53999999999996</v>
      </c>
      <c r="V283">
        <v>196.17000000000002</v>
      </c>
      <c r="AC283">
        <f>SUMPRODUCT(DB_ThemeSOFAcct[[#This Row],[Plan01]:[Plan12]],$E$14:$P$14)/valUnits2</f>
        <v>0.59265000000000001</v>
      </c>
      <c r="AD283">
        <f>SUMPRODUCT(DB_ThemeSOFAcct[[#This Row],[Act01]:[Act12]],$Q$14:$AB$14)/valUnits2</f>
        <v>0.78881999999999997</v>
      </c>
      <c r="AE283">
        <f>DB_ThemeSOFAcct[[#This Row],[Actuals]]-DB_ThemeSOFAcct[[#This Row],[Plan]]</f>
        <v>0.19616999999999996</v>
      </c>
      <c r="AF283">
        <f>IF(DB_ThemeSOFAcct[[#This Row],[Plan]]&lt;&gt;0,DB_ThemeSOFAcct[[#This Row],[Actuals]]/DB_ThemeSOFAcct[[#This Row],[Plan]],1.000011000011)</f>
        <v>1.3310048089091369</v>
      </c>
      <c r="AG283" s="34">
        <f>SUM(DB_ThemeSOFAcct[[#This Row],[Plan01]:[Plan12]])/valUnits2</f>
        <v>0.59265000000000001</v>
      </c>
      <c r="AH283" s="34">
        <f>SUMPRODUCT(DB_ThemeSOFAcct[[#This Row],[Act01]:[Act12]],$Q$3:$AB$3)/valUnits2</f>
        <v>0.78881999999999997</v>
      </c>
    </row>
    <row r="284" spans="2:34" x14ac:dyDescent="0.2">
      <c r="B284" t="s">
        <v>351</v>
      </c>
      <c r="C284" t="s">
        <v>862</v>
      </c>
      <c r="D284" t="s">
        <v>143</v>
      </c>
      <c r="H284">
        <v>1440.53</v>
      </c>
      <c r="I284">
        <v>469.08699999999999</v>
      </c>
      <c r="J284">
        <v>692.03899999999999</v>
      </c>
      <c r="K284">
        <v>692.03899999999999</v>
      </c>
      <c r="L284">
        <v>692.03899999999999</v>
      </c>
      <c r="M284">
        <v>692.03899999999999</v>
      </c>
      <c r="N284">
        <v>692.03899999999999</v>
      </c>
      <c r="O284">
        <v>692.03899999999999</v>
      </c>
      <c r="P284">
        <v>692.03899999999999</v>
      </c>
      <c r="T284">
        <v>1398.7900000000002</v>
      </c>
      <c r="U284">
        <v>456.58000000000004</v>
      </c>
      <c r="V284">
        <v>467.52000000000004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f>SUMPRODUCT(DB_ThemeSOFAcct[[#This Row],[Plan01]:[Plan12]],$E$14:$P$14)/valUnits2</f>
        <v>2.6016559999999997</v>
      </c>
      <c r="AD284">
        <f>SUMPRODUCT(DB_ThemeSOFAcct[[#This Row],[Act01]:[Act12]],$Q$14:$AB$14)/valUnits2</f>
        <v>2.3228900000000001</v>
      </c>
      <c r="AE284">
        <f>DB_ThemeSOFAcct[[#This Row],[Actuals]]-DB_ThemeSOFAcct[[#This Row],[Plan]]</f>
        <v>-0.27876599999999963</v>
      </c>
      <c r="AF284">
        <f>IF(DB_ThemeSOFAcct[[#This Row],[Plan]]&lt;&gt;0,DB_ThemeSOFAcct[[#This Row],[Actuals]]/DB_ThemeSOFAcct[[#This Row],[Plan]],1.000011000011)</f>
        <v>0.89285055364736932</v>
      </c>
      <c r="AG284" s="34">
        <f>SUM(DB_ThemeSOFAcct[[#This Row],[Plan01]:[Plan12]])/valUnits2</f>
        <v>6.7538899999999984</v>
      </c>
      <c r="AH284" s="34">
        <f>SUMPRODUCT(DB_ThemeSOFAcct[[#This Row],[Act01]:[Act12]],$Q$3:$AB$3)/valUnits2</f>
        <v>2.3228900000000001</v>
      </c>
    </row>
    <row r="285" spans="2:34" x14ac:dyDescent="0.2">
      <c r="B285" t="s">
        <v>351</v>
      </c>
      <c r="C285" t="s">
        <v>862</v>
      </c>
      <c r="D285" t="s">
        <v>235</v>
      </c>
      <c r="H285">
        <v>76.313999999999993</v>
      </c>
      <c r="I285">
        <v>121.985</v>
      </c>
      <c r="J285">
        <v>0</v>
      </c>
      <c r="T285">
        <v>130.31</v>
      </c>
      <c r="U285">
        <v>138.69</v>
      </c>
      <c r="V285">
        <v>78.89</v>
      </c>
      <c r="AC285">
        <f>SUMPRODUCT(DB_ThemeSOFAcct[[#This Row],[Plan01]:[Plan12]],$E$14:$P$14)/valUnits2</f>
        <v>0.19829899999999998</v>
      </c>
      <c r="AD285">
        <f>SUMPRODUCT(DB_ThemeSOFAcct[[#This Row],[Act01]:[Act12]],$Q$14:$AB$14)/valUnits2</f>
        <v>0.34788999999999998</v>
      </c>
      <c r="AE285">
        <f>DB_ThemeSOFAcct[[#This Row],[Actuals]]-DB_ThemeSOFAcct[[#This Row],[Plan]]</f>
        <v>0.149591</v>
      </c>
      <c r="AF285">
        <f>IF(DB_ThemeSOFAcct[[#This Row],[Plan]]&lt;&gt;0,DB_ThemeSOFAcct[[#This Row],[Actuals]]/DB_ThemeSOFAcct[[#This Row],[Plan]],1.000011000011)</f>
        <v>1.7543709247146986</v>
      </c>
      <c r="AG285" s="34">
        <f>SUM(DB_ThemeSOFAcct[[#This Row],[Plan01]:[Plan12]])/valUnits2</f>
        <v>0.19829899999999998</v>
      </c>
      <c r="AH285" s="34">
        <f>SUMPRODUCT(DB_ThemeSOFAcct[[#This Row],[Act01]:[Act12]],$Q$3:$AB$3)/valUnits2</f>
        <v>0.34788999999999998</v>
      </c>
    </row>
    <row r="286" spans="2:34" x14ac:dyDescent="0.2">
      <c r="B286" t="s">
        <v>351</v>
      </c>
      <c r="C286" t="s">
        <v>862</v>
      </c>
      <c r="D286" t="s">
        <v>140</v>
      </c>
      <c r="H286">
        <v>4003.232</v>
      </c>
      <c r="I286">
        <v>8044.3370000000004</v>
      </c>
      <c r="J286">
        <v>2563.1059999999993</v>
      </c>
      <c r="K286">
        <v>2563.1059999999993</v>
      </c>
      <c r="L286">
        <v>2563.1059999999993</v>
      </c>
      <c r="M286">
        <v>2563.1059999999993</v>
      </c>
      <c r="N286">
        <v>2563.1059999999993</v>
      </c>
      <c r="O286">
        <v>2563.1059999999993</v>
      </c>
      <c r="P286">
        <v>2563.1059999999993</v>
      </c>
      <c r="T286">
        <v>4009.4599999999996</v>
      </c>
      <c r="U286">
        <v>8122.76</v>
      </c>
      <c r="V286">
        <v>3397.25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f>SUMPRODUCT(DB_ThemeSOFAcct[[#This Row],[Plan01]:[Plan12]],$E$14:$P$14)/valUnits2</f>
        <v>14.610674999999999</v>
      </c>
      <c r="AD286">
        <f>SUMPRODUCT(DB_ThemeSOFAcct[[#This Row],[Act01]:[Act12]],$Q$14:$AB$14)/valUnits2</f>
        <v>15.52947</v>
      </c>
      <c r="AE286">
        <f>DB_ThemeSOFAcct[[#This Row],[Actuals]]-DB_ThemeSOFAcct[[#This Row],[Plan]]</f>
        <v>0.91879500000000114</v>
      </c>
      <c r="AF286">
        <f>IF(DB_ThemeSOFAcct[[#This Row],[Plan]]&lt;&gt;0,DB_ThemeSOFAcct[[#This Row],[Actuals]]/DB_ThemeSOFAcct[[#This Row],[Plan]],1.000011000011)</f>
        <v>1.0628851849760534</v>
      </c>
      <c r="AG286" s="34">
        <f>SUM(DB_ThemeSOFAcct[[#This Row],[Plan01]:[Plan12]])/valUnits2</f>
        <v>29.989310999999997</v>
      </c>
      <c r="AH286" s="34">
        <f>SUMPRODUCT(DB_ThemeSOFAcct[[#This Row],[Act01]:[Act12]],$Q$3:$AB$3)/valUnits2</f>
        <v>15.52947</v>
      </c>
    </row>
    <row r="287" spans="2:34" x14ac:dyDescent="0.2">
      <c r="B287" t="s">
        <v>351</v>
      </c>
      <c r="C287" t="s">
        <v>862</v>
      </c>
      <c r="D287" t="s">
        <v>236</v>
      </c>
      <c r="I287">
        <v>124.65600000000001</v>
      </c>
      <c r="J287">
        <v>0</v>
      </c>
      <c r="U287">
        <v>126.99999999999999</v>
      </c>
      <c r="V287">
        <v>0.48</v>
      </c>
      <c r="AC287">
        <f>SUMPRODUCT(DB_ThemeSOFAcct[[#This Row],[Plan01]:[Plan12]],$E$14:$P$14)/valUnits2</f>
        <v>0.124656</v>
      </c>
      <c r="AD287">
        <f>SUMPRODUCT(DB_ThemeSOFAcct[[#This Row],[Act01]:[Act12]],$Q$14:$AB$14)/valUnits2</f>
        <v>0.12747999999999998</v>
      </c>
      <c r="AE287">
        <f>DB_ThemeSOFAcct[[#This Row],[Actuals]]-DB_ThemeSOFAcct[[#This Row],[Plan]]</f>
        <v>2.8239999999999793E-3</v>
      </c>
      <c r="AF287">
        <f>IF(DB_ThemeSOFAcct[[#This Row],[Plan]]&lt;&gt;0,DB_ThemeSOFAcct[[#This Row],[Actuals]]/DB_ThemeSOFAcct[[#This Row],[Plan]],1.000011000011)</f>
        <v>1.0226543447567704</v>
      </c>
      <c r="AG287" s="34">
        <f>SUM(DB_ThemeSOFAcct[[#This Row],[Plan01]:[Plan12]])/valUnits2</f>
        <v>0.124656</v>
      </c>
      <c r="AH287" s="34">
        <f>SUMPRODUCT(DB_ThemeSOFAcct[[#This Row],[Act01]:[Act12]],$Q$3:$AB$3)/valUnits2</f>
        <v>0.12747999999999998</v>
      </c>
    </row>
    <row r="288" spans="2:34" x14ac:dyDescent="0.2">
      <c r="B288" t="s">
        <v>351</v>
      </c>
      <c r="C288" t="s">
        <v>862</v>
      </c>
      <c r="D288" t="s">
        <v>237</v>
      </c>
      <c r="H288">
        <v>34.44</v>
      </c>
      <c r="I288">
        <v>1.274</v>
      </c>
      <c r="T288">
        <v>34.85</v>
      </c>
      <c r="U288">
        <v>1.27</v>
      </c>
      <c r="AC288">
        <f>SUMPRODUCT(DB_ThemeSOFAcct[[#This Row],[Plan01]:[Plan12]],$E$14:$P$14)/valUnits2</f>
        <v>3.5713999999999996E-2</v>
      </c>
      <c r="AD288">
        <f>SUMPRODUCT(DB_ThemeSOFAcct[[#This Row],[Act01]:[Act12]],$Q$14:$AB$14)/valUnits2</f>
        <v>3.6120000000000006E-2</v>
      </c>
      <c r="AE288">
        <f>DB_ThemeSOFAcct[[#This Row],[Actuals]]-DB_ThemeSOFAcct[[#This Row],[Plan]]</f>
        <v>4.0600000000001052E-4</v>
      </c>
      <c r="AF288">
        <f>IF(DB_ThemeSOFAcct[[#This Row],[Plan]]&lt;&gt;0,DB_ThemeSOFAcct[[#This Row],[Actuals]]/DB_ThemeSOFAcct[[#This Row],[Plan]],1.000011000011)</f>
        <v>1.0113680909447278</v>
      </c>
      <c r="AG288" s="34">
        <f>SUM(DB_ThemeSOFAcct[[#This Row],[Plan01]:[Plan12]])/valUnits2</f>
        <v>3.5713999999999996E-2</v>
      </c>
      <c r="AH288" s="34">
        <f>SUMPRODUCT(DB_ThemeSOFAcct[[#This Row],[Act01]:[Act12]],$Q$3:$AB$3)/valUnits2</f>
        <v>3.6120000000000006E-2</v>
      </c>
    </row>
    <row r="289" spans="2:34" x14ac:dyDescent="0.2">
      <c r="B289" t="s">
        <v>351</v>
      </c>
      <c r="C289" t="s">
        <v>862</v>
      </c>
      <c r="D289" t="s">
        <v>141</v>
      </c>
      <c r="H289">
        <v>8.6669999999999998</v>
      </c>
      <c r="I289">
        <v>19.082000000000001</v>
      </c>
      <c r="T289">
        <v>8.9499999999999993</v>
      </c>
      <c r="U289">
        <v>19.09</v>
      </c>
      <c r="AC289">
        <f>SUMPRODUCT(DB_ThemeSOFAcct[[#This Row],[Plan01]:[Plan12]],$E$14:$P$14)/valUnits2</f>
        <v>2.7749000000000003E-2</v>
      </c>
      <c r="AD289">
        <f>SUMPRODUCT(DB_ThemeSOFAcct[[#This Row],[Act01]:[Act12]],$Q$14:$AB$14)/valUnits2</f>
        <v>2.8039999999999999E-2</v>
      </c>
      <c r="AE289">
        <f>DB_ThemeSOFAcct[[#This Row],[Actuals]]-DB_ThemeSOFAcct[[#This Row],[Plan]]</f>
        <v>2.9099999999999612E-4</v>
      </c>
      <c r="AF289">
        <f>IF(DB_ThemeSOFAcct[[#This Row],[Plan]]&lt;&gt;0,DB_ThemeSOFAcct[[#This Row],[Actuals]]/DB_ThemeSOFAcct[[#This Row],[Plan]],1.000011000011)</f>
        <v>1.0104868643915095</v>
      </c>
      <c r="AG289" s="34">
        <f>SUM(DB_ThemeSOFAcct[[#This Row],[Plan01]:[Plan12]])/valUnits2</f>
        <v>2.7749000000000003E-2</v>
      </c>
      <c r="AH289" s="34">
        <f>SUMPRODUCT(DB_ThemeSOFAcct[[#This Row],[Act01]:[Act12]],$Q$3:$AB$3)/valUnits2</f>
        <v>2.8039999999999999E-2</v>
      </c>
    </row>
    <row r="290" spans="2:34" x14ac:dyDescent="0.2">
      <c r="B290" t="s">
        <v>351</v>
      </c>
      <c r="C290" t="s">
        <v>863</v>
      </c>
      <c r="D290" t="s">
        <v>143</v>
      </c>
      <c r="H290">
        <v>715.89</v>
      </c>
      <c r="I290">
        <v>178.59</v>
      </c>
      <c r="T290">
        <v>689.24</v>
      </c>
      <c r="U290">
        <v>173.64</v>
      </c>
      <c r="AC290">
        <f>SUMPRODUCT(DB_ThemeSOFAcct[[#This Row],[Plan01]:[Plan12]],$E$14:$P$14)/valUnits2</f>
        <v>0.89448000000000005</v>
      </c>
      <c r="AD290">
        <f>SUMPRODUCT(DB_ThemeSOFAcct[[#This Row],[Act01]:[Act12]],$Q$14:$AB$14)/valUnits2</f>
        <v>0.86287999999999998</v>
      </c>
      <c r="AE290">
        <f>DB_ThemeSOFAcct[[#This Row],[Actuals]]-DB_ThemeSOFAcct[[#This Row],[Plan]]</f>
        <v>-3.1600000000000072E-2</v>
      </c>
      <c r="AF290">
        <f>IF(DB_ThemeSOFAcct[[#This Row],[Plan]]&lt;&gt;0,DB_ThemeSOFAcct[[#This Row],[Actuals]]/DB_ThemeSOFAcct[[#This Row],[Plan]],1.000011000011)</f>
        <v>0.96467221178785434</v>
      </c>
      <c r="AG290" s="34">
        <f>SUM(DB_ThemeSOFAcct[[#This Row],[Plan01]:[Plan12]])/valUnits2</f>
        <v>0.89448000000000005</v>
      </c>
      <c r="AH290" s="34">
        <f>SUMPRODUCT(DB_ThemeSOFAcct[[#This Row],[Act01]:[Act12]],$Q$3:$AB$3)/valUnits2</f>
        <v>0.86287999999999998</v>
      </c>
    </row>
    <row r="291" spans="2:34" x14ac:dyDescent="0.2">
      <c r="B291" t="s">
        <v>351</v>
      </c>
      <c r="C291" t="s">
        <v>863</v>
      </c>
      <c r="D291" t="s">
        <v>235</v>
      </c>
      <c r="H291">
        <v>39.64</v>
      </c>
      <c r="I291">
        <v>51.16</v>
      </c>
      <c r="T291">
        <v>66.289999999999992</v>
      </c>
      <c r="U291">
        <v>56.93</v>
      </c>
      <c r="AC291">
        <f>SUMPRODUCT(DB_ThemeSOFAcct[[#This Row],[Plan01]:[Plan12]],$E$14:$P$14)/valUnits2</f>
        <v>9.0799999999999992E-2</v>
      </c>
      <c r="AD291">
        <f>SUMPRODUCT(DB_ThemeSOFAcct[[#This Row],[Act01]:[Act12]],$Q$14:$AB$14)/valUnits2</f>
        <v>0.12322</v>
      </c>
      <c r="AE291">
        <f>DB_ThemeSOFAcct[[#This Row],[Actuals]]-DB_ThemeSOFAcct[[#This Row],[Plan]]</f>
        <v>3.2420000000000004E-2</v>
      </c>
      <c r="AF291">
        <f>IF(DB_ThemeSOFAcct[[#This Row],[Plan]]&lt;&gt;0,DB_ThemeSOFAcct[[#This Row],[Actuals]]/DB_ThemeSOFAcct[[#This Row],[Plan]],1.000011000011)</f>
        <v>1.3570484581497799</v>
      </c>
      <c r="AG291" s="34">
        <f>SUM(DB_ThemeSOFAcct[[#This Row],[Plan01]:[Plan12]])/valUnits2</f>
        <v>9.0799999999999992E-2</v>
      </c>
      <c r="AH291" s="34">
        <f>SUMPRODUCT(DB_ThemeSOFAcct[[#This Row],[Act01]:[Act12]],$Q$3:$AB$3)/valUnits2</f>
        <v>0.12322</v>
      </c>
    </row>
    <row r="292" spans="2:34" x14ac:dyDescent="0.2">
      <c r="B292" t="s">
        <v>351</v>
      </c>
      <c r="C292" t="s">
        <v>863</v>
      </c>
      <c r="D292" t="s">
        <v>236</v>
      </c>
      <c r="I292">
        <v>53.44</v>
      </c>
      <c r="U292">
        <v>53.44</v>
      </c>
      <c r="AC292">
        <f>SUMPRODUCT(DB_ThemeSOFAcct[[#This Row],[Plan01]:[Plan12]],$E$14:$P$14)/valUnits2</f>
        <v>5.3439999999999994E-2</v>
      </c>
      <c r="AD292">
        <f>SUMPRODUCT(DB_ThemeSOFAcct[[#This Row],[Act01]:[Act12]],$Q$14:$AB$14)/valUnits2</f>
        <v>5.3439999999999994E-2</v>
      </c>
      <c r="AE292">
        <f>DB_ThemeSOFAcct[[#This Row],[Actuals]]-DB_ThemeSOFAcct[[#This Row],[Plan]]</f>
        <v>0</v>
      </c>
      <c r="AF292">
        <f>IF(DB_ThemeSOFAcct[[#This Row],[Plan]]&lt;&gt;0,DB_ThemeSOFAcct[[#This Row],[Actuals]]/DB_ThemeSOFAcct[[#This Row],[Plan]],1.000011000011)</f>
        <v>1</v>
      </c>
      <c r="AG292" s="34">
        <f>SUM(DB_ThemeSOFAcct[[#This Row],[Plan01]:[Plan12]])/valUnits2</f>
        <v>5.3439999999999994E-2</v>
      </c>
      <c r="AH292" s="34">
        <f>SUMPRODUCT(DB_ThemeSOFAcct[[#This Row],[Act01]:[Act12]],$Q$3:$AB$3)/valUnits2</f>
        <v>5.3439999999999994E-2</v>
      </c>
    </row>
    <row r="293" spans="2:34" x14ac:dyDescent="0.2">
      <c r="B293" t="s">
        <v>351</v>
      </c>
      <c r="C293" t="s">
        <v>863</v>
      </c>
      <c r="D293" t="s">
        <v>237</v>
      </c>
      <c r="H293">
        <v>17.75</v>
      </c>
      <c r="I293">
        <v>0.54</v>
      </c>
      <c r="T293">
        <v>17.75</v>
      </c>
      <c r="U293">
        <v>0.54</v>
      </c>
      <c r="AC293">
        <f>SUMPRODUCT(DB_ThemeSOFAcct[[#This Row],[Plan01]:[Plan12]],$E$14:$P$14)/valUnits2</f>
        <v>1.8290000000000001E-2</v>
      </c>
      <c r="AD293">
        <f>SUMPRODUCT(DB_ThemeSOFAcct[[#This Row],[Act01]:[Act12]],$Q$14:$AB$14)/valUnits2</f>
        <v>1.8290000000000001E-2</v>
      </c>
      <c r="AE293">
        <f>DB_ThemeSOFAcct[[#This Row],[Actuals]]-DB_ThemeSOFAcct[[#This Row],[Plan]]</f>
        <v>0</v>
      </c>
      <c r="AF293">
        <f>IF(DB_ThemeSOFAcct[[#This Row],[Plan]]&lt;&gt;0,DB_ThemeSOFAcct[[#This Row],[Actuals]]/DB_ThemeSOFAcct[[#This Row],[Plan]],1.000011000011)</f>
        <v>1</v>
      </c>
      <c r="AG293" s="34">
        <f>SUM(DB_ThemeSOFAcct[[#This Row],[Plan01]:[Plan12]])/valUnits2</f>
        <v>1.8290000000000001E-2</v>
      </c>
      <c r="AH293" s="34">
        <f>SUMPRODUCT(DB_ThemeSOFAcct[[#This Row],[Act01]:[Act12]],$Q$3:$AB$3)/valUnits2</f>
        <v>1.8290000000000001E-2</v>
      </c>
    </row>
    <row r="294" spans="2:34" x14ac:dyDescent="0.2">
      <c r="B294" t="s">
        <v>351</v>
      </c>
      <c r="C294" t="s">
        <v>863</v>
      </c>
      <c r="D294" t="s">
        <v>141</v>
      </c>
      <c r="H294">
        <v>4.5599999999999996</v>
      </c>
      <c r="I294">
        <v>7.28</v>
      </c>
      <c r="T294">
        <v>4.5599999999999996</v>
      </c>
      <c r="U294">
        <v>7.2799999999999994</v>
      </c>
      <c r="AC294">
        <f>SUMPRODUCT(DB_ThemeSOFAcct[[#This Row],[Plan01]:[Plan12]],$E$14:$P$14)/valUnits2</f>
        <v>1.184E-2</v>
      </c>
      <c r="AD294">
        <f>SUMPRODUCT(DB_ThemeSOFAcct[[#This Row],[Act01]:[Act12]],$Q$14:$AB$14)/valUnits2</f>
        <v>1.184E-2</v>
      </c>
      <c r="AE294">
        <f>DB_ThemeSOFAcct[[#This Row],[Actuals]]-DB_ThemeSOFAcct[[#This Row],[Plan]]</f>
        <v>0</v>
      </c>
      <c r="AF294">
        <f>IF(DB_ThemeSOFAcct[[#This Row],[Plan]]&lt;&gt;0,DB_ThemeSOFAcct[[#This Row],[Actuals]]/DB_ThemeSOFAcct[[#This Row],[Plan]],1.000011000011)</f>
        <v>1</v>
      </c>
      <c r="AG294" s="34">
        <f>SUM(DB_ThemeSOFAcct[[#This Row],[Plan01]:[Plan12]])/valUnits2</f>
        <v>1.184E-2</v>
      </c>
      <c r="AH294" s="34">
        <f>SUMPRODUCT(DB_ThemeSOFAcct[[#This Row],[Act01]:[Act12]],$Q$3:$AB$3)/valUnits2</f>
        <v>1.184E-2</v>
      </c>
    </row>
    <row r="295" spans="2:34" x14ac:dyDescent="0.2">
      <c r="B295" t="s">
        <v>351</v>
      </c>
      <c r="C295" t="s">
        <v>865</v>
      </c>
      <c r="D295" t="s">
        <v>143</v>
      </c>
      <c r="H295">
        <v>112.193</v>
      </c>
      <c r="I295">
        <v>26.367999999999999</v>
      </c>
      <c r="T295">
        <v>107.03999999999999</v>
      </c>
      <c r="U295">
        <v>25.680000000000003</v>
      </c>
      <c r="AC295">
        <f>SUMPRODUCT(DB_ThemeSOFAcct[[#This Row],[Plan01]:[Plan12]],$E$14:$P$14)/valUnits2</f>
        <v>0.13856100000000002</v>
      </c>
      <c r="AD295">
        <f>SUMPRODUCT(DB_ThemeSOFAcct[[#This Row],[Act01]:[Act12]],$Q$14:$AB$14)/valUnits2</f>
        <v>0.13272</v>
      </c>
      <c r="AE295">
        <f>DB_ThemeSOFAcct[[#This Row],[Actuals]]-DB_ThemeSOFAcct[[#This Row],[Plan]]</f>
        <v>-5.8410000000000128E-3</v>
      </c>
      <c r="AF295">
        <f>IF(DB_ThemeSOFAcct[[#This Row],[Plan]]&lt;&gt;0,DB_ThemeSOFAcct[[#This Row],[Actuals]]/DB_ThemeSOFAcct[[#This Row],[Plan]],1.000011000011)</f>
        <v>0.95784528113971457</v>
      </c>
      <c r="AG295" s="34">
        <f>SUM(DB_ThemeSOFAcct[[#This Row],[Plan01]:[Plan12]])/valUnits2</f>
        <v>0.13856100000000002</v>
      </c>
      <c r="AH295" s="34">
        <f>SUMPRODUCT(DB_ThemeSOFAcct[[#This Row],[Act01]:[Act12]],$Q$3:$AB$3)/valUnits2</f>
        <v>0.13272</v>
      </c>
    </row>
    <row r="296" spans="2:34" x14ac:dyDescent="0.2">
      <c r="B296" t="s">
        <v>351</v>
      </c>
      <c r="C296" t="s">
        <v>865</v>
      </c>
      <c r="D296" t="s">
        <v>235</v>
      </c>
      <c r="H296">
        <v>6.3029999999999999</v>
      </c>
      <c r="I296">
        <v>7.5540000000000003</v>
      </c>
      <c r="T296">
        <v>10.55</v>
      </c>
      <c r="U296">
        <v>8.44</v>
      </c>
      <c r="AC296">
        <f>SUMPRODUCT(DB_ThemeSOFAcct[[#This Row],[Plan01]:[Plan12]],$E$14:$P$14)/valUnits2</f>
        <v>1.3857E-2</v>
      </c>
      <c r="AD296">
        <f>SUMPRODUCT(DB_ThemeSOFAcct[[#This Row],[Act01]:[Act12]],$Q$14:$AB$14)/valUnits2</f>
        <v>1.8990000000000003E-2</v>
      </c>
      <c r="AE296">
        <f>DB_ThemeSOFAcct[[#This Row],[Actuals]]-DB_ThemeSOFAcct[[#This Row],[Plan]]</f>
        <v>5.1330000000000039E-3</v>
      </c>
      <c r="AF296">
        <f>IF(DB_ThemeSOFAcct[[#This Row],[Plan]]&lt;&gt;0,DB_ThemeSOFAcct[[#This Row],[Actuals]]/DB_ThemeSOFAcct[[#This Row],[Plan]],1.000011000011)</f>
        <v>1.3704264992422606</v>
      </c>
      <c r="AG296" s="34">
        <f>SUM(DB_ThemeSOFAcct[[#This Row],[Plan01]:[Plan12]])/valUnits2</f>
        <v>1.3857E-2</v>
      </c>
      <c r="AH296" s="34">
        <f>SUMPRODUCT(DB_ThemeSOFAcct[[#This Row],[Act01]:[Act12]],$Q$3:$AB$3)/valUnits2</f>
        <v>1.8990000000000003E-2</v>
      </c>
    </row>
    <row r="297" spans="2:34" x14ac:dyDescent="0.2">
      <c r="B297" t="s">
        <v>351</v>
      </c>
      <c r="C297" t="s">
        <v>865</v>
      </c>
      <c r="D297" t="s">
        <v>140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f>SUMPRODUCT(DB_ThemeSOFAcct[[#This Row],[Plan01]:[Plan12]],$E$14:$P$14)/valUnits2</f>
        <v>0</v>
      </c>
      <c r="AD297">
        <f>SUMPRODUCT(DB_ThemeSOFAcct[[#This Row],[Act01]:[Act12]],$Q$14:$AB$14)/valUnits2</f>
        <v>0</v>
      </c>
      <c r="AE297">
        <f>DB_ThemeSOFAcct[[#This Row],[Actuals]]-DB_ThemeSOFAcct[[#This Row],[Plan]]</f>
        <v>0</v>
      </c>
      <c r="AF297">
        <f>IF(DB_ThemeSOFAcct[[#This Row],[Plan]]&lt;&gt;0,DB_ThemeSOFAcct[[#This Row],[Actuals]]/DB_ThemeSOFAcct[[#This Row],[Plan]],1.000011000011)</f>
        <v>1.0000110000110001</v>
      </c>
      <c r="AG297" s="34">
        <f>SUM(DB_ThemeSOFAcct[[#This Row],[Plan01]:[Plan12]])/valUnits2</f>
        <v>0</v>
      </c>
      <c r="AH297" s="34">
        <f>SUMPRODUCT(DB_ThemeSOFAcct[[#This Row],[Act01]:[Act12]],$Q$3:$AB$3)/valUnits2</f>
        <v>0</v>
      </c>
    </row>
    <row r="298" spans="2:34" x14ac:dyDescent="0.2">
      <c r="B298" t="s">
        <v>351</v>
      </c>
      <c r="C298" t="s">
        <v>865</v>
      </c>
      <c r="D298" t="s">
        <v>236</v>
      </c>
      <c r="I298">
        <v>7.9039999999999999</v>
      </c>
      <c r="U298">
        <v>7.9099999999999993</v>
      </c>
      <c r="AC298">
        <f>SUMPRODUCT(DB_ThemeSOFAcct[[#This Row],[Plan01]:[Plan12]],$E$14:$P$14)/valUnits2</f>
        <v>7.9039999999999996E-3</v>
      </c>
      <c r="AD298">
        <f>SUMPRODUCT(DB_ThemeSOFAcct[[#This Row],[Act01]:[Act12]],$Q$14:$AB$14)/valUnits2</f>
        <v>7.9099999999999986E-3</v>
      </c>
      <c r="AE298">
        <f>DB_ThemeSOFAcct[[#This Row],[Actuals]]-DB_ThemeSOFAcct[[#This Row],[Plan]]</f>
        <v>5.9999999999990616E-6</v>
      </c>
      <c r="AF298">
        <f>IF(DB_ThemeSOFAcct[[#This Row],[Plan]]&lt;&gt;0,DB_ThemeSOFAcct[[#This Row],[Actuals]]/DB_ThemeSOFAcct[[#This Row],[Plan]],1.000011000011)</f>
        <v>1.0007591093117407</v>
      </c>
      <c r="AG298" s="34">
        <f>SUM(DB_ThemeSOFAcct[[#This Row],[Plan01]:[Plan12]])/valUnits2</f>
        <v>7.9039999999999996E-3</v>
      </c>
      <c r="AH298" s="34">
        <f>SUMPRODUCT(DB_ThemeSOFAcct[[#This Row],[Act01]:[Act12]],$Q$3:$AB$3)/valUnits2</f>
        <v>7.9099999999999986E-3</v>
      </c>
    </row>
    <row r="299" spans="2:34" x14ac:dyDescent="0.2">
      <c r="B299" t="s">
        <v>351</v>
      </c>
      <c r="C299" t="s">
        <v>865</v>
      </c>
      <c r="D299" t="s">
        <v>237</v>
      </c>
      <c r="H299">
        <v>2.8220000000000001</v>
      </c>
      <c r="I299">
        <v>7.9000000000000001E-2</v>
      </c>
      <c r="T299">
        <v>2.8</v>
      </c>
      <c r="U299">
        <v>0.08</v>
      </c>
      <c r="AC299">
        <f>SUMPRODUCT(DB_ThemeSOFAcct[[#This Row],[Plan01]:[Plan12]],$E$14:$P$14)/valUnits2</f>
        <v>2.9010000000000004E-3</v>
      </c>
      <c r="AD299">
        <f>SUMPRODUCT(DB_ThemeSOFAcct[[#This Row],[Act01]:[Act12]],$Q$14:$AB$14)/valUnits2</f>
        <v>2.8799999999999997E-3</v>
      </c>
      <c r="AE299">
        <f>DB_ThemeSOFAcct[[#This Row],[Actuals]]-DB_ThemeSOFAcct[[#This Row],[Plan]]</f>
        <v>-2.1000000000000619E-5</v>
      </c>
      <c r="AF299">
        <f>IF(DB_ThemeSOFAcct[[#This Row],[Plan]]&lt;&gt;0,DB_ThemeSOFAcct[[#This Row],[Actuals]]/DB_ThemeSOFAcct[[#This Row],[Plan]],1.000011000011)</f>
        <v>0.99276111685625623</v>
      </c>
      <c r="AG299" s="34">
        <f>SUM(DB_ThemeSOFAcct[[#This Row],[Plan01]:[Plan12]])/valUnits2</f>
        <v>2.9010000000000004E-3</v>
      </c>
      <c r="AH299" s="34">
        <f>SUMPRODUCT(DB_ThemeSOFAcct[[#This Row],[Act01]:[Act12]],$Q$3:$AB$3)/valUnits2</f>
        <v>2.8799999999999997E-3</v>
      </c>
    </row>
    <row r="300" spans="2:34" x14ac:dyDescent="0.2">
      <c r="B300" t="s">
        <v>351</v>
      </c>
      <c r="C300" t="s">
        <v>865</v>
      </c>
      <c r="D300" t="s">
        <v>141</v>
      </c>
      <c r="H300">
        <v>0.72499999999999998</v>
      </c>
      <c r="I300">
        <v>1.07</v>
      </c>
      <c r="T300">
        <v>0.72</v>
      </c>
      <c r="U300">
        <v>1.0899999999999999</v>
      </c>
      <c r="AC300">
        <f>SUMPRODUCT(DB_ThemeSOFAcct[[#This Row],[Plan01]:[Plan12]],$E$14:$P$14)/valUnits2</f>
        <v>1.7949999999999999E-3</v>
      </c>
      <c r="AD300">
        <f>SUMPRODUCT(DB_ThemeSOFAcct[[#This Row],[Act01]:[Act12]],$Q$14:$AB$14)/valUnits2</f>
        <v>1.8099999999999998E-3</v>
      </c>
      <c r="AE300">
        <f>DB_ThemeSOFAcct[[#This Row],[Actuals]]-DB_ThemeSOFAcct[[#This Row],[Plan]]</f>
        <v>1.4999999999999823E-5</v>
      </c>
      <c r="AF300">
        <f>IF(DB_ThemeSOFAcct[[#This Row],[Plan]]&lt;&gt;0,DB_ThemeSOFAcct[[#This Row],[Actuals]]/DB_ThemeSOFAcct[[#This Row],[Plan]],1.000011000011)</f>
        <v>1.0083565459610027</v>
      </c>
      <c r="AG300" s="34">
        <f>SUM(DB_ThemeSOFAcct[[#This Row],[Plan01]:[Plan12]])/valUnits2</f>
        <v>1.7949999999999999E-3</v>
      </c>
      <c r="AH300" s="34">
        <f>SUMPRODUCT(DB_ThemeSOFAcct[[#This Row],[Act01]:[Act12]],$Q$3:$AB$3)/valUnits2</f>
        <v>1.8099999999999998E-3</v>
      </c>
    </row>
    <row r="301" spans="2:34" x14ac:dyDescent="0.2">
      <c r="B301" t="s">
        <v>351</v>
      </c>
      <c r="C301" t="s">
        <v>355</v>
      </c>
      <c r="D301" t="s">
        <v>143</v>
      </c>
      <c r="H301">
        <v>75.766000000000005</v>
      </c>
      <c r="T301">
        <v>73.17</v>
      </c>
      <c r="AC301">
        <f>SUMPRODUCT(DB_ThemeSOFAcct[[#This Row],[Plan01]:[Plan12]],$E$14:$P$14)/valUnits2</f>
        <v>7.5766E-2</v>
      </c>
      <c r="AD301">
        <f>SUMPRODUCT(DB_ThemeSOFAcct[[#This Row],[Act01]:[Act12]],$Q$14:$AB$14)/valUnits2</f>
        <v>7.3169999999999999E-2</v>
      </c>
      <c r="AE301">
        <f>DB_ThemeSOFAcct[[#This Row],[Actuals]]-DB_ThemeSOFAcct[[#This Row],[Plan]]</f>
        <v>-2.5960000000000011E-3</v>
      </c>
      <c r="AF301">
        <f>IF(DB_ThemeSOFAcct[[#This Row],[Plan]]&lt;&gt;0,DB_ThemeSOFAcct[[#This Row],[Actuals]]/DB_ThemeSOFAcct[[#This Row],[Plan]],1.000011000011)</f>
        <v>0.96573661008895806</v>
      </c>
      <c r="AG301" s="34">
        <f>SUM(DB_ThemeSOFAcct[[#This Row],[Plan01]:[Plan12]])/valUnits2</f>
        <v>7.5766E-2</v>
      </c>
      <c r="AH301" s="34">
        <f>SUMPRODUCT(DB_ThemeSOFAcct[[#This Row],[Act01]:[Act12]],$Q$3:$AB$3)/valUnits2</f>
        <v>7.3169999999999999E-2</v>
      </c>
    </row>
    <row r="302" spans="2:34" x14ac:dyDescent="0.2">
      <c r="B302" t="s">
        <v>351</v>
      </c>
      <c r="C302" t="s">
        <v>355</v>
      </c>
      <c r="D302" t="s">
        <v>235</v>
      </c>
      <c r="H302">
        <v>5.2859999999999996</v>
      </c>
      <c r="T302">
        <v>9.0200000000000014</v>
      </c>
      <c r="AC302">
        <f>SUMPRODUCT(DB_ThemeSOFAcct[[#This Row],[Plan01]:[Plan12]],$E$14:$P$14)/valUnits2</f>
        <v>5.2859999999999999E-3</v>
      </c>
      <c r="AD302">
        <f>SUMPRODUCT(DB_ThemeSOFAcct[[#This Row],[Act01]:[Act12]],$Q$14:$AB$14)/valUnits2</f>
        <v>9.020000000000002E-3</v>
      </c>
      <c r="AE302">
        <f>DB_ThemeSOFAcct[[#This Row],[Actuals]]-DB_ThemeSOFAcct[[#This Row],[Plan]]</f>
        <v>3.7340000000000021E-3</v>
      </c>
      <c r="AF302">
        <f>IF(DB_ThemeSOFAcct[[#This Row],[Plan]]&lt;&gt;0,DB_ThemeSOFAcct[[#This Row],[Actuals]]/DB_ThemeSOFAcct[[#This Row],[Plan]],1.000011000011)</f>
        <v>1.7063942489595161</v>
      </c>
      <c r="AG302" s="34">
        <f>SUM(DB_ThemeSOFAcct[[#This Row],[Plan01]:[Plan12]])/valUnits2</f>
        <v>5.2859999999999999E-3</v>
      </c>
      <c r="AH302" s="34">
        <f>SUMPRODUCT(DB_ThemeSOFAcct[[#This Row],[Act01]:[Act12]],$Q$3:$AB$3)/valUnits2</f>
        <v>9.020000000000002E-3</v>
      </c>
    </row>
    <row r="303" spans="2:34" x14ac:dyDescent="0.2">
      <c r="B303" t="s">
        <v>351</v>
      </c>
      <c r="C303" t="s">
        <v>355</v>
      </c>
      <c r="D303" t="s">
        <v>237</v>
      </c>
      <c r="H303">
        <v>2.4609999999999999</v>
      </c>
      <c r="T303">
        <v>2.44</v>
      </c>
      <c r="AC303">
        <f>SUMPRODUCT(DB_ThemeSOFAcct[[#This Row],[Plan01]:[Plan12]],$E$14:$P$14)/valUnits2</f>
        <v>2.4609999999999996E-3</v>
      </c>
      <c r="AD303">
        <f>SUMPRODUCT(DB_ThemeSOFAcct[[#This Row],[Act01]:[Act12]],$Q$14:$AB$14)/valUnits2</f>
        <v>2.4399999999999999E-3</v>
      </c>
      <c r="AE303">
        <f>DB_ThemeSOFAcct[[#This Row],[Actuals]]-DB_ThemeSOFAcct[[#This Row],[Plan]]</f>
        <v>-2.0999999999999752E-5</v>
      </c>
      <c r="AF303">
        <f>IF(DB_ThemeSOFAcct[[#This Row],[Plan]]&lt;&gt;0,DB_ThemeSOFAcct[[#This Row],[Actuals]]/DB_ThemeSOFAcct[[#This Row],[Plan]],1.000011000011)</f>
        <v>0.99146688338073963</v>
      </c>
      <c r="AG303" s="34">
        <f>SUM(DB_ThemeSOFAcct[[#This Row],[Plan01]:[Plan12]])/valUnits2</f>
        <v>2.4609999999999996E-3</v>
      </c>
      <c r="AH303" s="34">
        <f>SUMPRODUCT(DB_ThemeSOFAcct[[#This Row],[Act01]:[Act12]],$Q$3:$AB$3)/valUnits2</f>
        <v>2.4399999999999999E-3</v>
      </c>
    </row>
    <row r="304" spans="2:34" x14ac:dyDescent="0.2">
      <c r="B304" t="s">
        <v>351</v>
      </c>
      <c r="C304" t="s">
        <v>355</v>
      </c>
      <c r="D304" t="s">
        <v>141</v>
      </c>
      <c r="H304">
        <v>0.61699999999999999</v>
      </c>
      <c r="T304">
        <v>0.62</v>
      </c>
      <c r="AC304">
        <f>SUMPRODUCT(DB_ThemeSOFAcct[[#This Row],[Plan01]:[Plan12]],$E$14:$P$14)/valUnits2</f>
        <v>6.1700000000000004E-4</v>
      </c>
      <c r="AD304">
        <f>SUMPRODUCT(DB_ThemeSOFAcct[[#This Row],[Act01]:[Act12]],$Q$14:$AB$14)/valUnits2</f>
        <v>6.2E-4</v>
      </c>
      <c r="AE304">
        <f>DB_ThemeSOFAcct[[#This Row],[Actuals]]-DB_ThemeSOFAcct[[#This Row],[Plan]]</f>
        <v>2.9999999999999645E-6</v>
      </c>
      <c r="AF304">
        <f>IF(DB_ThemeSOFAcct[[#This Row],[Plan]]&lt;&gt;0,DB_ThemeSOFAcct[[#This Row],[Actuals]]/DB_ThemeSOFAcct[[#This Row],[Plan]],1.000011000011)</f>
        <v>1.0048622366288491</v>
      </c>
      <c r="AG304" s="34">
        <f>SUM(DB_ThemeSOFAcct[[#This Row],[Plan01]:[Plan12]])/valUnits2</f>
        <v>6.1700000000000004E-4</v>
      </c>
      <c r="AH304" s="34">
        <f>SUMPRODUCT(DB_ThemeSOFAcct[[#This Row],[Act01]:[Act12]],$Q$3:$AB$3)/valUnits2</f>
        <v>6.2E-4</v>
      </c>
    </row>
    <row r="305" spans="2:34" x14ac:dyDescent="0.2">
      <c r="B305" t="s">
        <v>351</v>
      </c>
      <c r="C305" t="s">
        <v>866</v>
      </c>
      <c r="D305" t="s">
        <v>143</v>
      </c>
      <c r="E305">
        <v>7174.39</v>
      </c>
      <c r="F305">
        <v>4444.1099999999997</v>
      </c>
      <c r="G305">
        <v>1990.6100000000001</v>
      </c>
      <c r="H305">
        <v>-12726.27</v>
      </c>
      <c r="I305">
        <v>-6535.1900000000005</v>
      </c>
      <c r="J305">
        <v>0</v>
      </c>
      <c r="Q305">
        <v>6874.8900000000012</v>
      </c>
      <c r="R305">
        <v>4428.8500000000004</v>
      </c>
      <c r="S305">
        <v>1255.48</v>
      </c>
      <c r="T305">
        <v>-11338.449999999999</v>
      </c>
      <c r="U305">
        <v>-7139.1299999999992</v>
      </c>
      <c r="V305">
        <v>102.57000000000001</v>
      </c>
      <c r="AC305">
        <f>SUMPRODUCT(DB_ThemeSOFAcct[[#This Row],[Plan01]:[Plan12]],$E$14:$P$14)/valUnits2</f>
        <v>-5.6523500000000002</v>
      </c>
      <c r="AD305">
        <f>SUMPRODUCT(DB_ThemeSOFAcct[[#This Row],[Act01]:[Act12]],$Q$14:$AB$14)/valUnits2</f>
        <v>-5.8157899999999971</v>
      </c>
      <c r="AE305">
        <f>DB_ThemeSOFAcct[[#This Row],[Actuals]]-DB_ThemeSOFAcct[[#This Row],[Plan]]</f>
        <v>-0.16343999999999692</v>
      </c>
      <c r="AF305">
        <f>IF(DB_ThemeSOFAcct[[#This Row],[Plan]]&lt;&gt;0,DB_ThemeSOFAcct[[#This Row],[Actuals]]/DB_ThemeSOFAcct[[#This Row],[Plan]],1.000011000011)</f>
        <v>1.0289154068661701</v>
      </c>
      <c r="AG305" s="34">
        <f>SUM(DB_ThemeSOFAcct[[#This Row],[Plan01]:[Plan12]])/valUnits2</f>
        <v>-5.6523500000000002</v>
      </c>
      <c r="AH305" s="34">
        <f>SUMPRODUCT(DB_ThemeSOFAcct[[#This Row],[Act01]:[Act12]],$Q$3:$AB$3)/valUnits2</f>
        <v>-5.8157899999999971</v>
      </c>
    </row>
    <row r="306" spans="2:34" x14ac:dyDescent="0.2">
      <c r="B306" t="s">
        <v>351</v>
      </c>
      <c r="C306" t="s">
        <v>866</v>
      </c>
      <c r="D306" t="s">
        <v>235</v>
      </c>
      <c r="E306">
        <v>4575.13</v>
      </c>
      <c r="F306">
        <v>1663.8899999999999</v>
      </c>
      <c r="G306">
        <v>8153.69</v>
      </c>
      <c r="H306">
        <v>-6797.74</v>
      </c>
      <c r="I306">
        <v>-7961.0800000000008</v>
      </c>
      <c r="J306">
        <v>0</v>
      </c>
      <c r="K306">
        <v>0</v>
      </c>
      <c r="Q306">
        <v>4874.6299999999992</v>
      </c>
      <c r="R306">
        <v>1679.1499999999999</v>
      </c>
      <c r="S306">
        <v>9254.2999999999993</v>
      </c>
      <c r="T306">
        <v>-8206.61</v>
      </c>
      <c r="U306">
        <v>-7955.7699999999986</v>
      </c>
      <c r="V306">
        <v>246.20999999999995</v>
      </c>
      <c r="W306">
        <v>515.36</v>
      </c>
      <c r="AC306">
        <f>SUMPRODUCT(DB_ThemeSOFAcct[[#This Row],[Plan01]:[Plan12]],$E$14:$P$14)/valUnits2</f>
        <v>-0.36611000000000149</v>
      </c>
      <c r="AD306">
        <f>SUMPRODUCT(DB_ThemeSOFAcct[[#This Row],[Act01]:[Act12]],$Q$14:$AB$14)/valUnits2</f>
        <v>-0.10809000000000114</v>
      </c>
      <c r="AE306">
        <f>DB_ThemeSOFAcct[[#This Row],[Actuals]]-DB_ThemeSOFAcct[[#This Row],[Plan]]</f>
        <v>0.25802000000000036</v>
      </c>
      <c r="AF306">
        <f>IF(DB_ThemeSOFAcct[[#This Row],[Plan]]&lt;&gt;0,DB_ThemeSOFAcct[[#This Row],[Actuals]]/DB_ThemeSOFAcct[[#This Row],[Plan]],1.000011000011)</f>
        <v>0.29523913577886618</v>
      </c>
      <c r="AG306" s="34">
        <f>SUM(DB_ThemeSOFAcct[[#This Row],[Plan01]:[Plan12]])/valUnits2</f>
        <v>-0.36611000000000149</v>
      </c>
      <c r="AH306" s="34">
        <f>SUMPRODUCT(DB_ThemeSOFAcct[[#This Row],[Act01]:[Act12]],$Q$3:$AB$3)/valUnits2</f>
        <v>-0.10809000000000114</v>
      </c>
    </row>
    <row r="307" spans="2:34" x14ac:dyDescent="0.2">
      <c r="B307" t="s">
        <v>351</v>
      </c>
      <c r="C307" t="s">
        <v>866</v>
      </c>
      <c r="D307" t="s">
        <v>140</v>
      </c>
      <c r="E307">
        <v>168158.25999999998</v>
      </c>
      <c r="F307">
        <v>82522.899999999994</v>
      </c>
      <c r="G307">
        <v>132408</v>
      </c>
      <c r="H307">
        <v>-122334.98000000001</v>
      </c>
      <c r="I307">
        <v>-122044.68</v>
      </c>
      <c r="J307">
        <v>42194.447999999989</v>
      </c>
      <c r="K307">
        <v>42194.447999999989</v>
      </c>
      <c r="L307">
        <v>42194.447999999989</v>
      </c>
      <c r="M307">
        <v>42194.447999999989</v>
      </c>
      <c r="Q307">
        <v>168158.25999999998</v>
      </c>
      <c r="R307">
        <v>82522.899999999994</v>
      </c>
      <c r="S307">
        <v>132408</v>
      </c>
      <c r="T307">
        <v>-122334.98</v>
      </c>
      <c r="U307">
        <v>-122044.68</v>
      </c>
      <c r="V307">
        <v>7401.0099999999993</v>
      </c>
      <c r="W307">
        <v>5576</v>
      </c>
      <c r="X307">
        <v>0</v>
      </c>
      <c r="Y307">
        <v>0</v>
      </c>
      <c r="AC307">
        <f>SUMPRODUCT(DB_ThemeSOFAcct[[#This Row],[Plan01]:[Plan12]],$E$14:$P$14)/valUnits2</f>
        <v>180.90394799999999</v>
      </c>
      <c r="AD307">
        <f>SUMPRODUCT(DB_ThemeSOFAcct[[#This Row],[Act01]:[Act12]],$Q$14:$AB$14)/valUnits2</f>
        <v>146.11051</v>
      </c>
      <c r="AE307">
        <f>DB_ThemeSOFAcct[[#This Row],[Actuals]]-DB_ThemeSOFAcct[[#This Row],[Plan]]</f>
        <v>-34.793437999999981</v>
      </c>
      <c r="AF307">
        <f>IF(DB_ThemeSOFAcct[[#This Row],[Plan]]&lt;&gt;0,DB_ThemeSOFAcct[[#This Row],[Actuals]]/DB_ThemeSOFAcct[[#This Row],[Plan]],1.000011000011)</f>
        <v>0.80766899570373119</v>
      </c>
      <c r="AG307" s="34">
        <f>SUM(DB_ThemeSOFAcct[[#This Row],[Plan01]:[Plan12]])/valUnits2</f>
        <v>307.48729199999991</v>
      </c>
      <c r="AH307" s="34">
        <f>SUMPRODUCT(DB_ThemeSOFAcct[[#This Row],[Act01]:[Act12]],$Q$3:$AB$3)/valUnits2</f>
        <v>146.11051</v>
      </c>
    </row>
    <row r="308" spans="2:34" x14ac:dyDescent="0.2">
      <c r="B308" t="s">
        <v>351</v>
      </c>
      <c r="C308" t="s">
        <v>866</v>
      </c>
      <c r="D308" t="s">
        <v>236</v>
      </c>
      <c r="E308">
        <v>2603.0099999999998</v>
      </c>
      <c r="F308">
        <v>369.72</v>
      </c>
      <c r="G308">
        <v>227.11</v>
      </c>
      <c r="H308">
        <v>-2775.38</v>
      </c>
      <c r="I308">
        <v>822.27999999999986</v>
      </c>
      <c r="J308">
        <v>0</v>
      </c>
      <c r="Q308">
        <v>2603.0099999999998</v>
      </c>
      <c r="R308">
        <v>369.72</v>
      </c>
      <c r="S308">
        <v>227.11</v>
      </c>
      <c r="T308">
        <v>-2775.38</v>
      </c>
      <c r="U308">
        <v>822.27999999999986</v>
      </c>
      <c r="V308">
        <v>10971.439999999999</v>
      </c>
      <c r="AC308">
        <f>SUMPRODUCT(DB_ThemeSOFAcct[[#This Row],[Plan01]:[Plan12]],$E$14:$P$14)/valUnits2</f>
        <v>1.2467399999999993</v>
      </c>
      <c r="AD308">
        <f>SUMPRODUCT(DB_ThemeSOFAcct[[#This Row],[Act01]:[Act12]],$Q$14:$AB$14)/valUnits2</f>
        <v>12.218179999999998</v>
      </c>
      <c r="AE308">
        <f>DB_ThemeSOFAcct[[#This Row],[Actuals]]-DB_ThemeSOFAcct[[#This Row],[Plan]]</f>
        <v>10.971439999999999</v>
      </c>
      <c r="AF308">
        <f>IF(DB_ThemeSOFAcct[[#This Row],[Plan]]&lt;&gt;0,DB_ThemeSOFAcct[[#This Row],[Actuals]]/DB_ThemeSOFAcct[[#This Row],[Plan]],1.000011000011)</f>
        <v>9.8001026677575158</v>
      </c>
      <c r="AG308" s="34">
        <f>SUM(DB_ThemeSOFAcct[[#This Row],[Plan01]:[Plan12]])/valUnits2</f>
        <v>1.2467399999999993</v>
      </c>
      <c r="AH308" s="34">
        <f>SUMPRODUCT(DB_ThemeSOFAcct[[#This Row],[Act01]:[Act12]],$Q$3:$AB$3)/valUnits2</f>
        <v>12.218179999999998</v>
      </c>
    </row>
    <row r="309" spans="2:34" x14ac:dyDescent="0.2">
      <c r="B309" t="s">
        <v>351</v>
      </c>
      <c r="C309" t="s">
        <v>866</v>
      </c>
      <c r="D309" t="s">
        <v>237</v>
      </c>
      <c r="E309">
        <v>130.97</v>
      </c>
      <c r="F309">
        <v>177.08999999999997</v>
      </c>
      <c r="G309">
        <v>2985.64</v>
      </c>
      <c r="H309">
        <v>-718</v>
      </c>
      <c r="I309">
        <v>3794.4</v>
      </c>
      <c r="J309">
        <v>0</v>
      </c>
      <c r="Q309">
        <v>130.97</v>
      </c>
      <c r="R309">
        <v>177.08999999999997</v>
      </c>
      <c r="S309">
        <v>2985.64</v>
      </c>
      <c r="T309">
        <v>-718</v>
      </c>
      <c r="U309">
        <v>3794.3999999999996</v>
      </c>
      <c r="V309">
        <v>72.150000000000006</v>
      </c>
      <c r="AC309">
        <f>SUMPRODUCT(DB_ThemeSOFAcct[[#This Row],[Plan01]:[Plan12]],$E$14:$P$14)/valUnits2</f>
        <v>6.3701000000000008</v>
      </c>
      <c r="AD309">
        <f>SUMPRODUCT(DB_ThemeSOFAcct[[#This Row],[Act01]:[Act12]],$Q$14:$AB$14)/valUnits2</f>
        <v>6.4422499999999987</v>
      </c>
      <c r="AE309">
        <f>DB_ThemeSOFAcct[[#This Row],[Actuals]]-DB_ThemeSOFAcct[[#This Row],[Plan]]</f>
        <v>7.2149999999997938E-2</v>
      </c>
      <c r="AF309">
        <f>IF(DB_ThemeSOFAcct[[#This Row],[Plan]]&lt;&gt;0,DB_ThemeSOFAcct[[#This Row],[Actuals]]/DB_ThemeSOFAcct[[#This Row],[Plan]],1.000011000011)</f>
        <v>1.0113263528045082</v>
      </c>
      <c r="AG309" s="34">
        <f>SUM(DB_ThemeSOFAcct[[#This Row],[Plan01]:[Plan12]])/valUnits2</f>
        <v>6.3701000000000008</v>
      </c>
      <c r="AH309" s="34">
        <f>SUMPRODUCT(DB_ThemeSOFAcct[[#This Row],[Act01]:[Act12]],$Q$3:$AB$3)/valUnits2</f>
        <v>6.4422499999999987</v>
      </c>
    </row>
    <row r="310" spans="2:34" x14ac:dyDescent="0.2">
      <c r="B310" t="s">
        <v>351</v>
      </c>
      <c r="C310" t="s">
        <v>866</v>
      </c>
      <c r="D310" t="s">
        <v>141</v>
      </c>
      <c r="E310">
        <v>461.68</v>
      </c>
      <c r="F310">
        <v>8333.16</v>
      </c>
      <c r="G310">
        <v>731.16000000000008</v>
      </c>
      <c r="H310">
        <v>-7404.83</v>
      </c>
      <c r="I310">
        <v>1443.56</v>
      </c>
      <c r="J310">
        <v>0</v>
      </c>
      <c r="K310">
        <v>0</v>
      </c>
      <c r="Q310">
        <v>461.68</v>
      </c>
      <c r="R310">
        <v>8333.16</v>
      </c>
      <c r="S310">
        <v>731.16000000000008</v>
      </c>
      <c r="T310">
        <v>-7404.83</v>
      </c>
      <c r="U310">
        <v>1443.56</v>
      </c>
      <c r="V310">
        <v>11941.220000000003</v>
      </c>
      <c r="W310">
        <v>1132.29</v>
      </c>
      <c r="AC310">
        <f>SUMPRODUCT(DB_ThemeSOFAcct[[#This Row],[Plan01]:[Plan12]],$E$14:$P$14)/valUnits2</f>
        <v>3.56473</v>
      </c>
      <c r="AD310">
        <f>SUMPRODUCT(DB_ThemeSOFAcct[[#This Row],[Act01]:[Act12]],$Q$14:$AB$14)/valUnits2</f>
        <v>15.505950000000002</v>
      </c>
      <c r="AE310">
        <f>DB_ThemeSOFAcct[[#This Row],[Actuals]]-DB_ThemeSOFAcct[[#This Row],[Plan]]</f>
        <v>11.941220000000001</v>
      </c>
      <c r="AF310">
        <f>IF(DB_ThemeSOFAcct[[#This Row],[Plan]]&lt;&gt;0,DB_ThemeSOFAcct[[#This Row],[Actuals]]/DB_ThemeSOFAcct[[#This Row],[Plan]],1.000011000011)</f>
        <v>4.349824530890138</v>
      </c>
      <c r="AG310" s="34">
        <f>SUM(DB_ThemeSOFAcct[[#This Row],[Plan01]:[Plan12]])/valUnits2</f>
        <v>3.56473</v>
      </c>
      <c r="AH310" s="34">
        <f>SUMPRODUCT(DB_ThemeSOFAcct[[#This Row],[Act01]:[Act12]],$Q$3:$AB$3)/valUnits2</f>
        <v>15.505950000000002</v>
      </c>
    </row>
    <row r="311" spans="2:34" x14ac:dyDescent="0.2">
      <c r="B311" t="s">
        <v>351</v>
      </c>
      <c r="C311" t="s">
        <v>867</v>
      </c>
      <c r="D311" t="s">
        <v>236</v>
      </c>
      <c r="J311">
        <v>0</v>
      </c>
      <c r="V311">
        <v>2035.75</v>
      </c>
      <c r="AC311">
        <f>SUMPRODUCT(DB_ThemeSOFAcct[[#This Row],[Plan01]:[Plan12]],$E$14:$P$14)/valUnits2</f>
        <v>0</v>
      </c>
      <c r="AD311">
        <f>SUMPRODUCT(DB_ThemeSOFAcct[[#This Row],[Act01]:[Act12]],$Q$14:$AB$14)/valUnits2</f>
        <v>2.0357500000000002</v>
      </c>
      <c r="AE311">
        <f>DB_ThemeSOFAcct[[#This Row],[Actuals]]-DB_ThemeSOFAcct[[#This Row],[Plan]]</f>
        <v>2.0357500000000002</v>
      </c>
      <c r="AF311">
        <f>IF(DB_ThemeSOFAcct[[#This Row],[Plan]]&lt;&gt;0,DB_ThemeSOFAcct[[#This Row],[Actuals]]/DB_ThemeSOFAcct[[#This Row],[Plan]],1.000011000011)</f>
        <v>1.0000110000110001</v>
      </c>
      <c r="AG311" s="34">
        <f>SUM(DB_ThemeSOFAcct[[#This Row],[Plan01]:[Plan12]])/valUnits2</f>
        <v>0</v>
      </c>
      <c r="AH311" s="34">
        <f>SUMPRODUCT(DB_ThemeSOFAcct[[#This Row],[Act01]:[Act12]],$Q$3:$AB$3)/valUnits2</f>
        <v>2.0357500000000002</v>
      </c>
    </row>
    <row r="312" spans="2:34" x14ac:dyDescent="0.2">
      <c r="B312" t="s">
        <v>351</v>
      </c>
      <c r="C312" t="s">
        <v>867</v>
      </c>
      <c r="D312" t="s">
        <v>237</v>
      </c>
      <c r="J312">
        <v>0</v>
      </c>
      <c r="V312">
        <v>283.32</v>
      </c>
      <c r="AC312">
        <f>SUMPRODUCT(DB_ThemeSOFAcct[[#This Row],[Plan01]:[Plan12]],$E$14:$P$14)/valUnits2</f>
        <v>0</v>
      </c>
      <c r="AD312">
        <f>SUMPRODUCT(DB_ThemeSOFAcct[[#This Row],[Act01]:[Act12]],$Q$14:$AB$14)/valUnits2</f>
        <v>0.28332000000000002</v>
      </c>
      <c r="AE312">
        <f>DB_ThemeSOFAcct[[#This Row],[Actuals]]-DB_ThemeSOFAcct[[#This Row],[Plan]]</f>
        <v>0.28332000000000002</v>
      </c>
      <c r="AF312">
        <f>IF(DB_ThemeSOFAcct[[#This Row],[Plan]]&lt;&gt;0,DB_ThemeSOFAcct[[#This Row],[Actuals]]/DB_ThemeSOFAcct[[#This Row],[Plan]],1.000011000011)</f>
        <v>1.0000110000110001</v>
      </c>
      <c r="AG312" s="34">
        <f>SUM(DB_ThemeSOFAcct[[#This Row],[Plan01]:[Plan12]])/valUnits2</f>
        <v>0</v>
      </c>
      <c r="AH312" s="34">
        <f>SUMPRODUCT(DB_ThemeSOFAcct[[#This Row],[Act01]:[Act12]],$Q$3:$AB$3)/valUnits2</f>
        <v>0.28332000000000002</v>
      </c>
    </row>
    <row r="313" spans="2:34" x14ac:dyDescent="0.2">
      <c r="B313" t="s">
        <v>351</v>
      </c>
      <c r="C313" t="s">
        <v>867</v>
      </c>
      <c r="D313" t="s">
        <v>141</v>
      </c>
      <c r="J313">
        <v>0</v>
      </c>
      <c r="V313">
        <v>83.09</v>
      </c>
      <c r="AC313">
        <f>SUMPRODUCT(DB_ThemeSOFAcct[[#This Row],[Plan01]:[Plan12]],$E$14:$P$14)/valUnits2</f>
        <v>0</v>
      </c>
      <c r="AD313">
        <f>SUMPRODUCT(DB_ThemeSOFAcct[[#This Row],[Act01]:[Act12]],$Q$14:$AB$14)/valUnits2</f>
        <v>8.3089999999999997E-2</v>
      </c>
      <c r="AE313">
        <f>DB_ThemeSOFAcct[[#This Row],[Actuals]]-DB_ThemeSOFAcct[[#This Row],[Plan]]</f>
        <v>8.3089999999999997E-2</v>
      </c>
      <c r="AF313">
        <f>IF(DB_ThemeSOFAcct[[#This Row],[Plan]]&lt;&gt;0,DB_ThemeSOFAcct[[#This Row],[Actuals]]/DB_ThemeSOFAcct[[#This Row],[Plan]],1.000011000011)</f>
        <v>1.0000110000110001</v>
      </c>
      <c r="AG313" s="34">
        <f>SUM(DB_ThemeSOFAcct[[#This Row],[Plan01]:[Plan12]])/valUnits2</f>
        <v>0</v>
      </c>
      <c r="AH313" s="34">
        <f>SUMPRODUCT(DB_ThemeSOFAcct[[#This Row],[Act01]:[Act12]],$Q$3:$AB$3)/valUnits2</f>
        <v>8.3089999999999997E-2</v>
      </c>
    </row>
    <row r="314" spans="2:34" x14ac:dyDescent="0.2">
      <c r="B314" t="s">
        <v>351</v>
      </c>
      <c r="C314" t="s">
        <v>868</v>
      </c>
      <c r="D314" t="s">
        <v>143</v>
      </c>
      <c r="H314">
        <v>52.31</v>
      </c>
      <c r="I314">
        <v>62.580000000000005</v>
      </c>
      <c r="J314">
        <v>0</v>
      </c>
      <c r="T314">
        <v>52.31</v>
      </c>
      <c r="U314">
        <v>60.839999999999996</v>
      </c>
      <c r="V314">
        <v>62.21</v>
      </c>
      <c r="AC314">
        <f>SUMPRODUCT(DB_ThemeSOFAcct[[#This Row],[Plan01]:[Plan12]],$E$14:$P$14)/valUnits2</f>
        <v>0.11489000000000002</v>
      </c>
      <c r="AD314">
        <f>SUMPRODUCT(DB_ThemeSOFAcct[[#This Row],[Act01]:[Act12]],$Q$14:$AB$14)/valUnits2</f>
        <v>0.17536000000000002</v>
      </c>
      <c r="AE314">
        <f>DB_ThemeSOFAcct[[#This Row],[Actuals]]-DB_ThemeSOFAcct[[#This Row],[Plan]]</f>
        <v>6.0469999999999996E-2</v>
      </c>
      <c r="AF314">
        <f>IF(DB_ThemeSOFAcct[[#This Row],[Plan]]&lt;&gt;0,DB_ThemeSOFAcct[[#This Row],[Actuals]]/DB_ThemeSOFAcct[[#This Row],[Plan]],1.000011000011)</f>
        <v>1.5263295325963964</v>
      </c>
      <c r="AG314" s="34">
        <f>SUM(DB_ThemeSOFAcct[[#This Row],[Plan01]:[Plan12]])/valUnits2</f>
        <v>0.11489000000000002</v>
      </c>
      <c r="AH314" s="34">
        <f>SUMPRODUCT(DB_ThemeSOFAcct[[#This Row],[Act01]:[Act12]],$Q$3:$AB$3)/valUnits2</f>
        <v>0.17536000000000002</v>
      </c>
    </row>
    <row r="315" spans="2:34" x14ac:dyDescent="0.2">
      <c r="B315" t="s">
        <v>351</v>
      </c>
      <c r="C315" t="s">
        <v>868</v>
      </c>
      <c r="D315" t="s">
        <v>235</v>
      </c>
      <c r="I315">
        <v>17.940000000000001</v>
      </c>
      <c r="J315">
        <v>0</v>
      </c>
      <c r="U315">
        <v>19.96</v>
      </c>
      <c r="V315">
        <v>10.47</v>
      </c>
      <c r="AC315">
        <f>SUMPRODUCT(DB_ThemeSOFAcct[[#This Row],[Plan01]:[Plan12]],$E$14:$P$14)/valUnits2</f>
        <v>1.7940000000000001E-2</v>
      </c>
      <c r="AD315">
        <f>SUMPRODUCT(DB_ThemeSOFAcct[[#This Row],[Act01]:[Act12]],$Q$14:$AB$14)/valUnits2</f>
        <v>3.0429999999999999E-2</v>
      </c>
      <c r="AE315">
        <f>DB_ThemeSOFAcct[[#This Row],[Actuals]]-DB_ThemeSOFAcct[[#This Row],[Plan]]</f>
        <v>1.2489999999999998E-2</v>
      </c>
      <c r="AF315">
        <f>IF(DB_ThemeSOFAcct[[#This Row],[Plan]]&lt;&gt;0,DB_ThemeSOFAcct[[#This Row],[Actuals]]/DB_ThemeSOFAcct[[#This Row],[Plan]],1.000011000011)</f>
        <v>1.6962095875139351</v>
      </c>
      <c r="AG315" s="34">
        <f>SUM(DB_ThemeSOFAcct[[#This Row],[Plan01]:[Plan12]])/valUnits2</f>
        <v>1.7940000000000001E-2</v>
      </c>
      <c r="AH315" s="34">
        <f>SUMPRODUCT(DB_ThemeSOFAcct[[#This Row],[Act01]:[Act12]],$Q$3:$AB$3)/valUnits2</f>
        <v>3.0429999999999999E-2</v>
      </c>
    </row>
    <row r="316" spans="2:34" x14ac:dyDescent="0.2">
      <c r="B316" t="s">
        <v>351</v>
      </c>
      <c r="C316" t="s">
        <v>868</v>
      </c>
      <c r="D316" t="s">
        <v>236</v>
      </c>
      <c r="I316">
        <v>18.73</v>
      </c>
      <c r="J316">
        <v>0</v>
      </c>
      <c r="U316">
        <v>18.73</v>
      </c>
      <c r="V316">
        <v>6.9999999999999993E-2</v>
      </c>
      <c r="AC316">
        <f>SUMPRODUCT(DB_ThemeSOFAcct[[#This Row],[Plan01]:[Plan12]],$E$14:$P$14)/valUnits2</f>
        <v>1.873E-2</v>
      </c>
      <c r="AD316">
        <f>SUMPRODUCT(DB_ThemeSOFAcct[[#This Row],[Act01]:[Act12]],$Q$14:$AB$14)/valUnits2</f>
        <v>1.8800000000000001E-2</v>
      </c>
      <c r="AE316">
        <f>DB_ThemeSOFAcct[[#This Row],[Actuals]]-DB_ThemeSOFAcct[[#This Row],[Plan]]</f>
        <v>7.0000000000000617E-5</v>
      </c>
      <c r="AF316">
        <f>IF(DB_ThemeSOFAcct[[#This Row],[Plan]]&lt;&gt;0,DB_ThemeSOFAcct[[#This Row],[Actuals]]/DB_ThemeSOFAcct[[#This Row],[Plan]],1.000011000011)</f>
        <v>1.003737319807795</v>
      </c>
      <c r="AG316" s="34">
        <f>SUM(DB_ThemeSOFAcct[[#This Row],[Plan01]:[Plan12]])/valUnits2</f>
        <v>1.873E-2</v>
      </c>
      <c r="AH316" s="34">
        <f>SUMPRODUCT(DB_ThemeSOFAcct[[#This Row],[Act01]:[Act12]],$Q$3:$AB$3)/valUnits2</f>
        <v>1.8800000000000001E-2</v>
      </c>
    </row>
    <row r="317" spans="2:34" x14ac:dyDescent="0.2">
      <c r="B317" t="s">
        <v>351</v>
      </c>
      <c r="C317" t="s">
        <v>868</v>
      </c>
      <c r="D317" t="s">
        <v>237</v>
      </c>
      <c r="I317">
        <v>0.19</v>
      </c>
      <c r="U317">
        <v>0.19</v>
      </c>
      <c r="AC317">
        <f>SUMPRODUCT(DB_ThemeSOFAcct[[#This Row],[Plan01]:[Plan12]],$E$14:$P$14)/valUnits2</f>
        <v>1.9000000000000001E-4</v>
      </c>
      <c r="AD317">
        <f>SUMPRODUCT(DB_ThemeSOFAcct[[#This Row],[Act01]:[Act12]],$Q$14:$AB$14)/valUnits2</f>
        <v>1.9000000000000001E-4</v>
      </c>
      <c r="AE317">
        <f>DB_ThemeSOFAcct[[#This Row],[Actuals]]-DB_ThemeSOFAcct[[#This Row],[Plan]]</f>
        <v>0</v>
      </c>
      <c r="AF317">
        <f>IF(DB_ThemeSOFAcct[[#This Row],[Plan]]&lt;&gt;0,DB_ThemeSOFAcct[[#This Row],[Actuals]]/DB_ThemeSOFAcct[[#This Row],[Plan]],1.000011000011)</f>
        <v>1</v>
      </c>
      <c r="AG317" s="34">
        <f>SUM(DB_ThemeSOFAcct[[#This Row],[Plan01]:[Plan12]])/valUnits2</f>
        <v>1.9000000000000001E-4</v>
      </c>
      <c r="AH317" s="34">
        <f>SUMPRODUCT(DB_ThemeSOFAcct[[#This Row],[Act01]:[Act12]],$Q$3:$AB$3)/valUnits2</f>
        <v>1.9000000000000001E-4</v>
      </c>
    </row>
    <row r="318" spans="2:34" x14ac:dyDescent="0.2">
      <c r="B318" t="s">
        <v>351</v>
      </c>
      <c r="C318" t="s">
        <v>868</v>
      </c>
      <c r="D318" t="s">
        <v>141</v>
      </c>
      <c r="I318">
        <v>2.5499999999999998</v>
      </c>
      <c r="U318">
        <v>2.5499999999999998</v>
      </c>
      <c r="AC318">
        <f>SUMPRODUCT(DB_ThemeSOFAcct[[#This Row],[Plan01]:[Plan12]],$E$14:$P$14)/valUnits2</f>
        <v>2.5499999999999997E-3</v>
      </c>
      <c r="AD318">
        <f>SUMPRODUCT(DB_ThemeSOFAcct[[#This Row],[Act01]:[Act12]],$Q$14:$AB$14)/valUnits2</f>
        <v>2.5499999999999997E-3</v>
      </c>
      <c r="AE318">
        <f>DB_ThemeSOFAcct[[#This Row],[Actuals]]-DB_ThemeSOFAcct[[#This Row],[Plan]]</f>
        <v>0</v>
      </c>
      <c r="AF318">
        <f>IF(DB_ThemeSOFAcct[[#This Row],[Plan]]&lt;&gt;0,DB_ThemeSOFAcct[[#This Row],[Actuals]]/DB_ThemeSOFAcct[[#This Row],[Plan]],1.000011000011)</f>
        <v>1</v>
      </c>
      <c r="AG318" s="34">
        <f>SUM(DB_ThemeSOFAcct[[#This Row],[Plan01]:[Plan12]])/valUnits2</f>
        <v>2.5499999999999997E-3</v>
      </c>
      <c r="AH318" s="34">
        <f>SUMPRODUCT(DB_ThemeSOFAcct[[#This Row],[Act01]:[Act12]],$Q$3:$AB$3)/valUnits2</f>
        <v>2.5499999999999997E-3</v>
      </c>
    </row>
    <row r="319" spans="2:34" x14ac:dyDescent="0.2">
      <c r="B319" t="s">
        <v>351</v>
      </c>
      <c r="C319" t="s">
        <v>869</v>
      </c>
      <c r="D319" t="s">
        <v>143</v>
      </c>
      <c r="F319">
        <v>0</v>
      </c>
      <c r="H319">
        <v>8438.92</v>
      </c>
      <c r="I319">
        <v>5684.9000000000005</v>
      </c>
      <c r="J319">
        <v>1255</v>
      </c>
      <c r="K319">
        <v>1255</v>
      </c>
      <c r="L319">
        <v>1255</v>
      </c>
      <c r="M319">
        <v>1255</v>
      </c>
      <c r="N319">
        <v>1255</v>
      </c>
      <c r="O319">
        <v>1255</v>
      </c>
      <c r="P319">
        <v>1255</v>
      </c>
      <c r="R319">
        <v>0</v>
      </c>
      <c r="T319">
        <v>8071.16</v>
      </c>
      <c r="U319">
        <v>5662.5600000000013</v>
      </c>
      <c r="V319">
        <v>801.95999999999992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f>SUMPRODUCT(DB_ThemeSOFAcct[[#This Row],[Plan01]:[Plan12]],$E$14:$P$14)/valUnits2</f>
        <v>15.378819999999999</v>
      </c>
      <c r="AD319">
        <f>SUMPRODUCT(DB_ThemeSOFAcct[[#This Row],[Act01]:[Act12]],$Q$14:$AB$14)/valUnits2</f>
        <v>14.535680000000001</v>
      </c>
      <c r="AE319">
        <f>DB_ThemeSOFAcct[[#This Row],[Actuals]]-DB_ThemeSOFAcct[[#This Row],[Plan]]</f>
        <v>-0.84313999999999822</v>
      </c>
      <c r="AF319">
        <f>IF(DB_ThemeSOFAcct[[#This Row],[Plan]]&lt;&gt;0,DB_ThemeSOFAcct[[#This Row],[Actuals]]/DB_ThemeSOFAcct[[#This Row],[Plan]],1.000011000011)</f>
        <v>0.94517524751573934</v>
      </c>
      <c r="AG319" s="34">
        <f>SUM(DB_ThemeSOFAcct[[#This Row],[Plan01]:[Plan12]])/valUnits2</f>
        <v>22.908819999999999</v>
      </c>
      <c r="AH319" s="34">
        <f>SUMPRODUCT(DB_ThemeSOFAcct[[#This Row],[Act01]:[Act12]],$Q$3:$AB$3)/valUnits2</f>
        <v>14.535680000000001</v>
      </c>
    </row>
    <row r="320" spans="2:34" x14ac:dyDescent="0.2">
      <c r="B320" t="s">
        <v>351</v>
      </c>
      <c r="C320" t="s">
        <v>869</v>
      </c>
      <c r="D320" t="s">
        <v>235</v>
      </c>
      <c r="E320">
        <v>147.72999999999999</v>
      </c>
      <c r="F320">
        <v>3171.57</v>
      </c>
      <c r="G320">
        <v>63.74</v>
      </c>
      <c r="H320">
        <v>628.29999999999995</v>
      </c>
      <c r="I320">
        <v>230.98</v>
      </c>
      <c r="J320">
        <v>500</v>
      </c>
      <c r="K320">
        <v>500</v>
      </c>
      <c r="L320">
        <v>500</v>
      </c>
      <c r="M320">
        <v>500</v>
      </c>
      <c r="N320">
        <v>500</v>
      </c>
      <c r="O320">
        <v>500</v>
      </c>
      <c r="P320">
        <v>500</v>
      </c>
      <c r="Q320">
        <v>147.72999999999999</v>
      </c>
      <c r="R320">
        <v>3171.57</v>
      </c>
      <c r="S320">
        <v>63.74</v>
      </c>
      <c r="T320">
        <v>996.06</v>
      </c>
      <c r="U320">
        <v>257.04000000000002</v>
      </c>
      <c r="V320">
        <v>187.14999999999998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f>SUMPRODUCT(DB_ThemeSOFAcct[[#This Row],[Plan01]:[Plan12]],$E$14:$P$14)/valUnits2</f>
        <v>4.7423199999999994</v>
      </c>
      <c r="AD320">
        <f>SUMPRODUCT(DB_ThemeSOFAcct[[#This Row],[Act01]:[Act12]],$Q$14:$AB$14)/valUnits2</f>
        <v>4.8232900000000001</v>
      </c>
      <c r="AE320">
        <f>DB_ThemeSOFAcct[[#This Row],[Actuals]]-DB_ThemeSOFAcct[[#This Row],[Plan]]</f>
        <v>8.0970000000000653E-2</v>
      </c>
      <c r="AF320">
        <f>IF(DB_ThemeSOFAcct[[#This Row],[Plan]]&lt;&gt;0,DB_ThemeSOFAcct[[#This Row],[Actuals]]/DB_ThemeSOFAcct[[#This Row],[Plan]],1.000011000011)</f>
        <v>1.0170739216248588</v>
      </c>
      <c r="AG320" s="34">
        <f>SUM(DB_ThemeSOFAcct[[#This Row],[Plan01]:[Plan12]])/valUnits2</f>
        <v>7.7423199999999994</v>
      </c>
      <c r="AH320" s="34">
        <f>SUMPRODUCT(DB_ThemeSOFAcct[[#This Row],[Act01]:[Act12]],$Q$3:$AB$3)/valUnits2</f>
        <v>4.8232900000000001</v>
      </c>
    </row>
    <row r="321" spans="2:34" x14ac:dyDescent="0.2">
      <c r="B321" t="s">
        <v>351</v>
      </c>
      <c r="C321" t="s">
        <v>869</v>
      </c>
      <c r="D321" t="s">
        <v>140</v>
      </c>
      <c r="E321">
        <v>6678.0499999999993</v>
      </c>
      <c r="F321">
        <v>14272.470000000001</v>
      </c>
      <c r="G321">
        <v>19973.36</v>
      </c>
      <c r="H321">
        <v>16390.34</v>
      </c>
      <c r="I321">
        <v>13660.760000000002</v>
      </c>
      <c r="J321">
        <v>6698</v>
      </c>
      <c r="K321">
        <v>6698</v>
      </c>
      <c r="L321">
        <v>6698</v>
      </c>
      <c r="M321">
        <v>6698</v>
      </c>
      <c r="N321">
        <v>6698</v>
      </c>
      <c r="O321">
        <v>6698</v>
      </c>
      <c r="P321">
        <v>6698</v>
      </c>
      <c r="Q321">
        <v>6678.05</v>
      </c>
      <c r="R321">
        <v>14272.470000000001</v>
      </c>
      <c r="S321">
        <v>19973.36</v>
      </c>
      <c r="T321">
        <v>16390.340000000004</v>
      </c>
      <c r="U321">
        <v>13660.759999999998</v>
      </c>
      <c r="V321">
        <v>14225.819999999996</v>
      </c>
      <c r="W321">
        <v>8630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f>SUMPRODUCT(DB_ThemeSOFAcct[[#This Row],[Plan01]:[Plan12]],$E$14:$P$14)/valUnits2</f>
        <v>77.67298000000001</v>
      </c>
      <c r="AD321">
        <f>SUMPRODUCT(DB_ThemeSOFAcct[[#This Row],[Act01]:[Act12]],$Q$14:$AB$14)/valUnits2</f>
        <v>85.200800000000001</v>
      </c>
      <c r="AE321">
        <f>DB_ThemeSOFAcct[[#This Row],[Actuals]]-DB_ThemeSOFAcct[[#This Row],[Plan]]</f>
        <v>7.5278199999999913</v>
      </c>
      <c r="AF321">
        <f>IF(DB_ThemeSOFAcct[[#This Row],[Plan]]&lt;&gt;0,DB_ThemeSOFAcct[[#This Row],[Actuals]]/DB_ThemeSOFAcct[[#This Row],[Plan]],1.000011000011)</f>
        <v>1.0969168428969764</v>
      </c>
      <c r="AG321" s="34">
        <f>SUM(DB_ThemeSOFAcct[[#This Row],[Plan01]:[Plan12]])/valUnits2</f>
        <v>117.86098000000001</v>
      </c>
      <c r="AH321" s="34">
        <f>SUMPRODUCT(DB_ThemeSOFAcct[[#This Row],[Act01]:[Act12]],$Q$3:$AB$3)/valUnits2</f>
        <v>85.200800000000001</v>
      </c>
    </row>
    <row r="322" spans="2:34" x14ac:dyDescent="0.2">
      <c r="B322" t="s">
        <v>351</v>
      </c>
      <c r="C322" t="s">
        <v>869</v>
      </c>
      <c r="D322" t="s">
        <v>236</v>
      </c>
      <c r="G322">
        <v>1639.18</v>
      </c>
      <c r="I322">
        <v>241.65</v>
      </c>
      <c r="J322">
        <v>0</v>
      </c>
      <c r="S322">
        <v>1639.18</v>
      </c>
      <c r="U322">
        <v>241.65</v>
      </c>
      <c r="V322">
        <v>-1638.3600000000001</v>
      </c>
      <c r="AC322">
        <f>SUMPRODUCT(DB_ThemeSOFAcct[[#This Row],[Plan01]:[Plan12]],$E$14:$P$14)/valUnits2</f>
        <v>1.8808300000000002</v>
      </c>
      <c r="AD322">
        <f>SUMPRODUCT(DB_ThemeSOFAcct[[#This Row],[Act01]:[Act12]],$Q$14:$AB$14)/valUnits2</f>
        <v>0.24247000000000002</v>
      </c>
      <c r="AE322">
        <f>DB_ThemeSOFAcct[[#This Row],[Actuals]]-DB_ThemeSOFAcct[[#This Row],[Plan]]</f>
        <v>-1.6383600000000003</v>
      </c>
      <c r="AF322">
        <f>IF(DB_ThemeSOFAcct[[#This Row],[Plan]]&lt;&gt;0,DB_ThemeSOFAcct[[#This Row],[Actuals]]/DB_ThemeSOFAcct[[#This Row],[Plan]],1.000011000011)</f>
        <v>0.12891648899687902</v>
      </c>
      <c r="AG322" s="34">
        <f>SUM(DB_ThemeSOFAcct[[#This Row],[Plan01]:[Plan12]])/valUnits2</f>
        <v>1.8808300000000002</v>
      </c>
      <c r="AH322" s="34">
        <f>SUMPRODUCT(DB_ThemeSOFAcct[[#This Row],[Act01]:[Act12]],$Q$3:$AB$3)/valUnits2</f>
        <v>0.24247000000000002</v>
      </c>
    </row>
    <row r="323" spans="2:34" x14ac:dyDescent="0.2">
      <c r="B323" t="s">
        <v>351</v>
      </c>
      <c r="C323" t="s">
        <v>869</v>
      </c>
      <c r="D323" t="s">
        <v>237</v>
      </c>
      <c r="E323">
        <v>35.08</v>
      </c>
      <c r="H323">
        <v>1009.76</v>
      </c>
      <c r="I323">
        <v>2.42</v>
      </c>
      <c r="Q323">
        <v>35.08</v>
      </c>
      <c r="T323">
        <v>1009.76</v>
      </c>
      <c r="U323">
        <v>2.42</v>
      </c>
      <c r="AC323">
        <f>SUMPRODUCT(DB_ThemeSOFAcct[[#This Row],[Plan01]:[Plan12]],$E$14:$P$14)/valUnits2</f>
        <v>1.0472600000000001</v>
      </c>
      <c r="AD323">
        <f>SUMPRODUCT(DB_ThemeSOFAcct[[#This Row],[Act01]:[Act12]],$Q$14:$AB$14)/valUnits2</f>
        <v>1.0472600000000001</v>
      </c>
      <c r="AE323">
        <f>DB_ThemeSOFAcct[[#This Row],[Actuals]]-DB_ThemeSOFAcct[[#This Row],[Plan]]</f>
        <v>0</v>
      </c>
      <c r="AF323">
        <f>IF(DB_ThemeSOFAcct[[#This Row],[Plan]]&lt;&gt;0,DB_ThemeSOFAcct[[#This Row],[Actuals]]/DB_ThemeSOFAcct[[#This Row],[Plan]],1.000011000011)</f>
        <v>1</v>
      </c>
      <c r="AG323" s="34">
        <f>SUM(DB_ThemeSOFAcct[[#This Row],[Plan01]:[Plan12]])/valUnits2</f>
        <v>1.0472600000000001</v>
      </c>
      <c r="AH323" s="34">
        <f>SUMPRODUCT(DB_ThemeSOFAcct[[#This Row],[Act01]:[Act12]],$Q$3:$AB$3)/valUnits2</f>
        <v>1.0472600000000001</v>
      </c>
    </row>
    <row r="324" spans="2:34" x14ac:dyDescent="0.2">
      <c r="B324" t="s">
        <v>351</v>
      </c>
      <c r="C324" t="s">
        <v>869</v>
      </c>
      <c r="D324" t="s">
        <v>141</v>
      </c>
      <c r="E324">
        <v>313.53999999999996</v>
      </c>
      <c r="F324">
        <v>112.01</v>
      </c>
      <c r="G324">
        <v>643.98</v>
      </c>
      <c r="H324">
        <v>731.3</v>
      </c>
      <c r="I324">
        <v>56.629999999999995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313.54000000000002</v>
      </c>
      <c r="R324">
        <v>112.00999999999999</v>
      </c>
      <c r="S324">
        <v>643.98</v>
      </c>
      <c r="T324">
        <v>731.30000000000007</v>
      </c>
      <c r="U324">
        <v>56.63</v>
      </c>
      <c r="V324">
        <v>524.74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f>SUMPRODUCT(DB_ThemeSOFAcct[[#This Row],[Plan01]:[Plan12]],$E$14:$P$14)/valUnits2</f>
        <v>1.8574600000000001</v>
      </c>
      <c r="AD324">
        <f>SUMPRODUCT(DB_ThemeSOFAcct[[#This Row],[Act01]:[Act12]],$Q$14:$AB$14)/valUnits2</f>
        <v>2.3821999999999997</v>
      </c>
      <c r="AE324">
        <f>DB_ThemeSOFAcct[[#This Row],[Actuals]]-DB_ThemeSOFAcct[[#This Row],[Plan]]</f>
        <v>0.52473999999999954</v>
      </c>
      <c r="AF324">
        <f>IF(DB_ThemeSOFAcct[[#This Row],[Plan]]&lt;&gt;0,DB_ThemeSOFAcct[[#This Row],[Actuals]]/DB_ThemeSOFAcct[[#This Row],[Plan]],1.000011000011)</f>
        <v>1.2825040646904911</v>
      </c>
      <c r="AG324" s="34">
        <f>SUM(DB_ThemeSOFAcct[[#This Row],[Plan01]:[Plan12]])/valUnits2</f>
        <v>1.8574600000000001</v>
      </c>
      <c r="AH324" s="34">
        <f>SUMPRODUCT(DB_ThemeSOFAcct[[#This Row],[Act01]:[Act12]],$Q$3:$AB$3)/valUnits2</f>
        <v>2.3821999999999997</v>
      </c>
    </row>
    <row r="325" spans="2:34" x14ac:dyDescent="0.2">
      <c r="B325" t="s">
        <v>351</v>
      </c>
      <c r="C325" t="s">
        <v>870</v>
      </c>
      <c r="D325" t="s">
        <v>143</v>
      </c>
      <c r="E325">
        <v>0</v>
      </c>
      <c r="H325">
        <v>0</v>
      </c>
      <c r="K325">
        <v>0</v>
      </c>
      <c r="N325">
        <v>0</v>
      </c>
      <c r="Q325">
        <v>0</v>
      </c>
      <c r="T325">
        <v>0</v>
      </c>
      <c r="W325">
        <v>0</v>
      </c>
      <c r="Z325">
        <v>0</v>
      </c>
      <c r="AC325">
        <f>SUMPRODUCT(DB_ThemeSOFAcct[[#This Row],[Plan01]:[Plan12]],$E$14:$P$14)/valUnits2</f>
        <v>0</v>
      </c>
      <c r="AD325">
        <f>SUMPRODUCT(DB_ThemeSOFAcct[[#This Row],[Act01]:[Act12]],$Q$14:$AB$14)/valUnits2</f>
        <v>0</v>
      </c>
      <c r="AE325">
        <f>DB_ThemeSOFAcct[[#This Row],[Actuals]]-DB_ThemeSOFAcct[[#This Row],[Plan]]</f>
        <v>0</v>
      </c>
      <c r="AF325">
        <f>IF(DB_ThemeSOFAcct[[#This Row],[Plan]]&lt;&gt;0,DB_ThemeSOFAcct[[#This Row],[Actuals]]/DB_ThemeSOFAcct[[#This Row],[Plan]],1.000011000011)</f>
        <v>1.0000110000110001</v>
      </c>
      <c r="AG325" s="34">
        <f>SUM(DB_ThemeSOFAcct[[#This Row],[Plan01]:[Plan12]])/valUnits2</f>
        <v>0</v>
      </c>
      <c r="AH325" s="34">
        <f>SUMPRODUCT(DB_ThemeSOFAcct[[#This Row],[Act01]:[Act12]],$Q$3:$AB$3)/valUnits2</f>
        <v>0</v>
      </c>
    </row>
    <row r="326" spans="2:34" x14ac:dyDescent="0.2">
      <c r="B326" t="s">
        <v>351</v>
      </c>
      <c r="C326" t="s">
        <v>872</v>
      </c>
      <c r="D326" t="s">
        <v>143</v>
      </c>
      <c r="H326">
        <v>1401.22</v>
      </c>
      <c r="I326">
        <v>-1057.702</v>
      </c>
      <c r="J326">
        <v>2558.6289999999999</v>
      </c>
      <c r="K326">
        <v>2558.6289999999999</v>
      </c>
      <c r="L326">
        <v>2558.6289999999999</v>
      </c>
      <c r="M326">
        <v>2558.6289999999999</v>
      </c>
      <c r="N326">
        <v>2558.6289999999999</v>
      </c>
      <c r="O326">
        <v>2558.6289999999999</v>
      </c>
      <c r="P326">
        <v>2558.6289999999999</v>
      </c>
      <c r="T326">
        <v>1366.3500000000001</v>
      </c>
      <c r="U326">
        <v>-1053.8999999999999</v>
      </c>
      <c r="V326">
        <v>319.39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f>SUMPRODUCT(DB_ThemeSOFAcct[[#This Row],[Plan01]:[Plan12]],$E$14:$P$14)/valUnits2</f>
        <v>2.9021469999999998</v>
      </c>
      <c r="AD326">
        <f>SUMPRODUCT(DB_ThemeSOFAcct[[#This Row],[Act01]:[Act12]],$Q$14:$AB$14)/valUnits2</f>
        <v>0.63184000000000029</v>
      </c>
      <c r="AE326">
        <f>DB_ThemeSOFAcct[[#This Row],[Actuals]]-DB_ThemeSOFAcct[[#This Row],[Plan]]</f>
        <v>-2.2703069999999994</v>
      </c>
      <c r="AF326">
        <f>IF(DB_ThemeSOFAcct[[#This Row],[Plan]]&lt;&gt;0,DB_ThemeSOFAcct[[#This Row],[Actuals]]/DB_ThemeSOFAcct[[#This Row],[Plan]],1.000011000011)</f>
        <v>0.21771467813312018</v>
      </c>
      <c r="AG326" s="34">
        <f>SUM(DB_ThemeSOFAcct[[#This Row],[Plan01]:[Plan12]])/valUnits2</f>
        <v>18.253921000000002</v>
      </c>
      <c r="AH326" s="34">
        <f>SUMPRODUCT(DB_ThemeSOFAcct[[#This Row],[Act01]:[Act12]],$Q$3:$AB$3)/valUnits2</f>
        <v>0.63184000000000029</v>
      </c>
    </row>
    <row r="327" spans="2:34" x14ac:dyDescent="0.2">
      <c r="B327" t="s">
        <v>351</v>
      </c>
      <c r="C327" t="s">
        <v>872</v>
      </c>
      <c r="D327" t="s">
        <v>235</v>
      </c>
      <c r="H327">
        <v>83.576999999999998</v>
      </c>
      <c r="I327">
        <v>-50.326999999999998</v>
      </c>
      <c r="J327">
        <v>0</v>
      </c>
      <c r="T327">
        <v>137.66</v>
      </c>
      <c r="U327">
        <v>-95.139999999999986</v>
      </c>
      <c r="V327">
        <v>53.84</v>
      </c>
      <c r="AC327">
        <f>SUMPRODUCT(DB_ThemeSOFAcct[[#This Row],[Plan01]:[Plan12]],$E$14:$P$14)/valUnits2</f>
        <v>3.3250000000000002E-2</v>
      </c>
      <c r="AD327">
        <f>SUMPRODUCT(DB_ThemeSOFAcct[[#This Row],[Act01]:[Act12]],$Q$14:$AB$14)/valUnits2</f>
        <v>9.6360000000000015E-2</v>
      </c>
      <c r="AE327">
        <f>DB_ThemeSOFAcct[[#This Row],[Actuals]]-DB_ThemeSOFAcct[[#This Row],[Plan]]</f>
        <v>6.3110000000000013E-2</v>
      </c>
      <c r="AF327">
        <f>IF(DB_ThemeSOFAcct[[#This Row],[Plan]]&lt;&gt;0,DB_ThemeSOFAcct[[#This Row],[Actuals]]/DB_ThemeSOFAcct[[#This Row],[Plan]],1.000011000011)</f>
        <v>2.8980451127819551</v>
      </c>
      <c r="AG327" s="34">
        <f>SUM(DB_ThemeSOFAcct[[#This Row],[Plan01]:[Plan12]])/valUnits2</f>
        <v>3.3250000000000002E-2</v>
      </c>
      <c r="AH327" s="34">
        <f>SUMPRODUCT(DB_ThemeSOFAcct[[#This Row],[Act01]:[Act12]],$Q$3:$AB$3)/valUnits2</f>
        <v>9.6360000000000015E-2</v>
      </c>
    </row>
    <row r="328" spans="2:34" x14ac:dyDescent="0.2">
      <c r="B328" t="s">
        <v>351</v>
      </c>
      <c r="C328" t="s">
        <v>872</v>
      </c>
      <c r="D328" t="s">
        <v>236</v>
      </c>
      <c r="I328">
        <v>1.8220000000000001</v>
      </c>
      <c r="J328">
        <v>0</v>
      </c>
      <c r="U328">
        <v>1.83</v>
      </c>
      <c r="V328">
        <v>0.33</v>
      </c>
      <c r="AC328">
        <f>SUMPRODUCT(DB_ThemeSOFAcct[[#This Row],[Plan01]:[Plan12]],$E$14:$P$14)/valUnits2</f>
        <v>1.8220000000000001E-3</v>
      </c>
      <c r="AD328">
        <f>SUMPRODUCT(DB_ThemeSOFAcct[[#This Row],[Act01]:[Act12]],$Q$14:$AB$14)/valUnits2</f>
        <v>2.16E-3</v>
      </c>
      <c r="AE328">
        <f>DB_ThemeSOFAcct[[#This Row],[Actuals]]-DB_ThemeSOFAcct[[#This Row],[Plan]]</f>
        <v>3.3799999999999998E-4</v>
      </c>
      <c r="AF328">
        <f>IF(DB_ThemeSOFAcct[[#This Row],[Plan]]&lt;&gt;0,DB_ThemeSOFAcct[[#This Row],[Actuals]]/DB_ThemeSOFAcct[[#This Row],[Plan]],1.000011000011)</f>
        <v>1.1855104281009878</v>
      </c>
      <c r="AG328" s="34">
        <f>SUM(DB_ThemeSOFAcct[[#This Row],[Plan01]:[Plan12]])/valUnits2</f>
        <v>1.8220000000000001E-3</v>
      </c>
      <c r="AH328" s="34">
        <f>SUMPRODUCT(DB_ThemeSOFAcct[[#This Row],[Act01]:[Act12]],$Q$3:$AB$3)/valUnits2</f>
        <v>2.16E-3</v>
      </c>
    </row>
    <row r="329" spans="2:34" x14ac:dyDescent="0.2">
      <c r="B329" t="s">
        <v>351</v>
      </c>
      <c r="C329" t="s">
        <v>872</v>
      </c>
      <c r="D329" t="s">
        <v>237</v>
      </c>
      <c r="H329">
        <v>37.808999999999997</v>
      </c>
      <c r="I329">
        <v>-36.213000000000001</v>
      </c>
      <c r="T329">
        <v>36.6</v>
      </c>
      <c r="U329">
        <v>-35.64</v>
      </c>
      <c r="AC329">
        <f>SUMPRODUCT(DB_ThemeSOFAcct[[#This Row],[Plan01]:[Plan12]],$E$14:$P$14)/valUnits2</f>
        <v>1.5959999999999965E-3</v>
      </c>
      <c r="AD329">
        <f>SUMPRODUCT(DB_ThemeSOFAcct[[#This Row],[Act01]:[Act12]],$Q$14:$AB$14)/valUnits2</f>
        <v>9.6000000000000089E-4</v>
      </c>
      <c r="AE329">
        <f>DB_ThemeSOFAcct[[#This Row],[Actuals]]-DB_ThemeSOFAcct[[#This Row],[Plan]]</f>
        <v>-6.3599999999999562E-4</v>
      </c>
      <c r="AF329">
        <f>IF(DB_ThemeSOFAcct[[#This Row],[Plan]]&lt;&gt;0,DB_ThemeSOFAcct[[#This Row],[Actuals]]/DB_ThemeSOFAcct[[#This Row],[Plan]],1.000011000011)</f>
        <v>0.60150375939849809</v>
      </c>
      <c r="AG329" s="34">
        <f>SUM(DB_ThemeSOFAcct[[#This Row],[Plan01]:[Plan12]])/valUnits2</f>
        <v>1.5959999999999965E-3</v>
      </c>
      <c r="AH329" s="34">
        <f>SUMPRODUCT(DB_ThemeSOFAcct[[#This Row],[Act01]:[Act12]],$Q$3:$AB$3)/valUnits2</f>
        <v>9.6000000000000089E-4</v>
      </c>
    </row>
    <row r="330" spans="2:34" x14ac:dyDescent="0.2">
      <c r="B330" t="s">
        <v>351</v>
      </c>
      <c r="C330" t="s">
        <v>872</v>
      </c>
      <c r="D330" t="s">
        <v>141</v>
      </c>
      <c r="H330">
        <v>9.2279999999999998</v>
      </c>
      <c r="I330">
        <v>13.041</v>
      </c>
      <c r="T330">
        <v>9.3699999999999992</v>
      </c>
      <c r="U330">
        <v>13.080000000000002</v>
      </c>
      <c r="AC330">
        <f>SUMPRODUCT(DB_ThemeSOFAcct[[#This Row],[Plan01]:[Plan12]],$E$14:$P$14)/valUnits2</f>
        <v>2.2268999999999997E-2</v>
      </c>
      <c r="AD330">
        <f>SUMPRODUCT(DB_ThemeSOFAcct[[#This Row],[Act01]:[Act12]],$Q$14:$AB$14)/valUnits2</f>
        <v>2.2450000000000001E-2</v>
      </c>
      <c r="AE330">
        <f>DB_ThemeSOFAcct[[#This Row],[Actuals]]-DB_ThemeSOFAcct[[#This Row],[Plan]]</f>
        <v>1.8100000000000407E-4</v>
      </c>
      <c r="AF330">
        <f>IF(DB_ThemeSOFAcct[[#This Row],[Plan]]&lt;&gt;0,DB_ThemeSOFAcct[[#This Row],[Actuals]]/DB_ThemeSOFAcct[[#This Row],[Plan]],1.000011000011)</f>
        <v>1.0081278907898874</v>
      </c>
      <c r="AG330" s="34">
        <f>SUM(DB_ThemeSOFAcct[[#This Row],[Plan01]:[Plan12]])/valUnits2</f>
        <v>2.2268999999999997E-2</v>
      </c>
      <c r="AH330" s="34">
        <f>SUMPRODUCT(DB_ThemeSOFAcct[[#This Row],[Act01]:[Act12]],$Q$3:$AB$3)/valUnits2</f>
        <v>2.2450000000000001E-2</v>
      </c>
    </row>
    <row r="331" spans="2:34" x14ac:dyDescent="0.2">
      <c r="B331" t="s">
        <v>351</v>
      </c>
      <c r="C331" t="s">
        <v>874</v>
      </c>
      <c r="D331" t="s">
        <v>143</v>
      </c>
      <c r="E331">
        <v>0</v>
      </c>
      <c r="F331">
        <v>0</v>
      </c>
      <c r="G331">
        <v>0</v>
      </c>
      <c r="H331">
        <v>4381.8209999999999</v>
      </c>
      <c r="I331">
        <v>1083.239</v>
      </c>
      <c r="J331">
        <v>1705.91</v>
      </c>
      <c r="K331">
        <v>1705.91</v>
      </c>
      <c r="L331">
        <v>1705.91</v>
      </c>
      <c r="M331">
        <v>1705.91</v>
      </c>
      <c r="N331">
        <v>1705.91</v>
      </c>
      <c r="O331">
        <v>1705.91</v>
      </c>
      <c r="P331">
        <v>1705.91</v>
      </c>
      <c r="Q331">
        <v>0</v>
      </c>
      <c r="R331">
        <v>0</v>
      </c>
      <c r="S331">
        <v>0</v>
      </c>
      <c r="T331">
        <v>4260.12</v>
      </c>
      <c r="U331">
        <v>1052.42</v>
      </c>
      <c r="V331">
        <v>1075.8700000000001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f>SUMPRODUCT(DB_ThemeSOFAcct[[#This Row],[Plan01]:[Plan12]],$E$14:$P$14)/valUnits2</f>
        <v>7.1709699999999996</v>
      </c>
      <c r="AD331">
        <f>SUMPRODUCT(DB_ThemeSOFAcct[[#This Row],[Act01]:[Act12]],$Q$14:$AB$14)/valUnits2</f>
        <v>6.3884099999999995</v>
      </c>
      <c r="AE331">
        <f>DB_ThemeSOFAcct[[#This Row],[Actuals]]-DB_ThemeSOFAcct[[#This Row],[Plan]]</f>
        <v>-0.78256000000000014</v>
      </c>
      <c r="AF331">
        <f>IF(DB_ThemeSOFAcct[[#This Row],[Plan]]&lt;&gt;0,DB_ThemeSOFAcct[[#This Row],[Actuals]]/DB_ThemeSOFAcct[[#This Row],[Plan]],1.000011000011)</f>
        <v>0.89087110948727999</v>
      </c>
      <c r="AG331" s="34">
        <f>SUM(DB_ThemeSOFAcct[[#This Row],[Plan01]:[Plan12]])/valUnits2</f>
        <v>17.40643</v>
      </c>
      <c r="AH331" s="34">
        <f>SUMPRODUCT(DB_ThemeSOFAcct[[#This Row],[Act01]:[Act12]],$Q$3:$AB$3)/valUnits2</f>
        <v>6.3884099999999995</v>
      </c>
    </row>
    <row r="332" spans="2:34" x14ac:dyDescent="0.2">
      <c r="B332" t="s">
        <v>351</v>
      </c>
      <c r="C332" t="s">
        <v>874</v>
      </c>
      <c r="D332" t="s">
        <v>235</v>
      </c>
      <c r="E332">
        <v>0</v>
      </c>
      <c r="F332">
        <v>0</v>
      </c>
      <c r="G332">
        <v>0</v>
      </c>
      <c r="H332">
        <v>250.62799999999999</v>
      </c>
      <c r="I332">
        <v>309.82</v>
      </c>
      <c r="J332">
        <v>1100.5060000000001</v>
      </c>
      <c r="K332">
        <v>1100.5060000000001</v>
      </c>
      <c r="L332">
        <v>1100.5060000000001</v>
      </c>
      <c r="M332">
        <v>1100.5060000000001</v>
      </c>
      <c r="N332">
        <v>1100.5060000000001</v>
      </c>
      <c r="O332">
        <v>1100.5060000000001</v>
      </c>
      <c r="P332">
        <v>1100.5060000000001</v>
      </c>
      <c r="Q332">
        <v>0</v>
      </c>
      <c r="R332">
        <v>0</v>
      </c>
      <c r="S332">
        <v>0</v>
      </c>
      <c r="T332">
        <v>420.21000000000004</v>
      </c>
      <c r="U332">
        <v>345.07000000000005</v>
      </c>
      <c r="V332">
        <v>181.48000000000002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f>SUMPRODUCT(DB_ThemeSOFAcct[[#This Row],[Plan01]:[Plan12]],$E$14:$P$14)/valUnits2</f>
        <v>1.6609540000000003</v>
      </c>
      <c r="AD332">
        <f>SUMPRODUCT(DB_ThemeSOFAcct[[#This Row],[Act01]:[Act12]],$Q$14:$AB$14)/valUnits2</f>
        <v>0.94676000000000016</v>
      </c>
      <c r="AE332">
        <f>DB_ThemeSOFAcct[[#This Row],[Actuals]]-DB_ThemeSOFAcct[[#This Row],[Plan]]</f>
        <v>-0.71419400000000011</v>
      </c>
      <c r="AF332">
        <f>IF(DB_ThemeSOFAcct[[#This Row],[Plan]]&lt;&gt;0,DB_ThemeSOFAcct[[#This Row],[Actuals]]/DB_ThemeSOFAcct[[#This Row],[Plan]],1.000011000011)</f>
        <v>0.57000976547213233</v>
      </c>
      <c r="AG332" s="34">
        <f>SUM(DB_ThemeSOFAcct[[#This Row],[Plan01]:[Plan12]])/valUnits2</f>
        <v>8.2639900000000015</v>
      </c>
      <c r="AH332" s="34">
        <f>SUMPRODUCT(DB_ThemeSOFAcct[[#This Row],[Act01]:[Act12]],$Q$3:$AB$3)/valUnits2</f>
        <v>0.94676000000000016</v>
      </c>
    </row>
    <row r="333" spans="2:34" x14ac:dyDescent="0.2">
      <c r="B333" t="s">
        <v>351</v>
      </c>
      <c r="C333" t="s">
        <v>874</v>
      </c>
      <c r="D333" t="s">
        <v>142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f>SUMPRODUCT(DB_ThemeSOFAcct[[#This Row],[Plan01]:[Plan12]],$E$14:$P$14)/valUnits2</f>
        <v>0</v>
      </c>
      <c r="AD333">
        <f>SUMPRODUCT(DB_ThemeSOFAcct[[#This Row],[Act01]:[Act12]],$Q$14:$AB$14)/valUnits2</f>
        <v>0</v>
      </c>
      <c r="AE333">
        <f>DB_ThemeSOFAcct[[#This Row],[Actuals]]-DB_ThemeSOFAcct[[#This Row],[Plan]]</f>
        <v>0</v>
      </c>
      <c r="AF333">
        <f>IF(DB_ThemeSOFAcct[[#This Row],[Plan]]&lt;&gt;0,DB_ThemeSOFAcct[[#This Row],[Actuals]]/DB_ThemeSOFAcct[[#This Row],[Plan]],1.000011000011)</f>
        <v>1.0000110000110001</v>
      </c>
      <c r="AG333" s="34">
        <f>SUM(DB_ThemeSOFAcct[[#This Row],[Plan01]:[Plan12]])/valUnits2</f>
        <v>0</v>
      </c>
      <c r="AH333" s="34">
        <f>SUMPRODUCT(DB_ThemeSOFAcct[[#This Row],[Act01]:[Act12]],$Q$3:$AB$3)/valUnits2</f>
        <v>0</v>
      </c>
    </row>
    <row r="334" spans="2:34" x14ac:dyDescent="0.2">
      <c r="B334" t="s">
        <v>351</v>
      </c>
      <c r="C334" t="s">
        <v>874</v>
      </c>
      <c r="D334" t="s">
        <v>140</v>
      </c>
      <c r="E334">
        <v>2571.6719999999996</v>
      </c>
      <c r="F334">
        <v>3184.8140000000003</v>
      </c>
      <c r="G334">
        <v>3993.3739999999998</v>
      </c>
      <c r="H334">
        <v>4781.0339999999997</v>
      </c>
      <c r="I334">
        <v>3391.0439999999999</v>
      </c>
      <c r="J334">
        <v>2794.2419999999993</v>
      </c>
      <c r="K334">
        <v>2794.2419999999997</v>
      </c>
      <c r="L334">
        <v>2794.2419999999997</v>
      </c>
      <c r="M334">
        <v>2794.2419999999997</v>
      </c>
      <c r="N334">
        <v>2794.2419999999997</v>
      </c>
      <c r="O334">
        <v>2794.2419999999997</v>
      </c>
      <c r="P334">
        <v>2794.2419999999997</v>
      </c>
      <c r="Q334">
        <v>2533.6400000000003</v>
      </c>
      <c r="R334">
        <v>3251.6000000000004</v>
      </c>
      <c r="S334">
        <v>4029.5199999999995</v>
      </c>
      <c r="T334">
        <v>4763.53</v>
      </c>
      <c r="U334">
        <v>3349.9400000000005</v>
      </c>
      <c r="V334">
        <v>4039.0900000000006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f>SUMPRODUCT(DB_ThemeSOFAcct[[#This Row],[Plan01]:[Plan12]],$E$14:$P$14)/valUnits2</f>
        <v>20.716180000000001</v>
      </c>
      <c r="AD334">
        <f>SUMPRODUCT(DB_ThemeSOFAcct[[#This Row],[Act01]:[Act12]],$Q$14:$AB$14)/valUnits2</f>
        <v>21.967320000000004</v>
      </c>
      <c r="AE334">
        <f>DB_ThemeSOFAcct[[#This Row],[Actuals]]-DB_ThemeSOFAcct[[#This Row],[Plan]]</f>
        <v>1.251140000000003</v>
      </c>
      <c r="AF334">
        <f>IF(DB_ThemeSOFAcct[[#This Row],[Plan]]&lt;&gt;0,DB_ThemeSOFAcct[[#This Row],[Actuals]]/DB_ThemeSOFAcct[[#This Row],[Plan]],1.000011000011)</f>
        <v>1.0603943391107822</v>
      </c>
      <c r="AG334" s="34">
        <f>SUM(DB_ThemeSOFAcct[[#This Row],[Plan01]:[Plan12]])/valUnits2</f>
        <v>37.481631999999991</v>
      </c>
      <c r="AH334" s="34">
        <f>SUMPRODUCT(DB_ThemeSOFAcct[[#This Row],[Act01]:[Act12]],$Q$3:$AB$3)/valUnits2</f>
        <v>21.967320000000004</v>
      </c>
    </row>
    <row r="335" spans="2:34" x14ac:dyDescent="0.2">
      <c r="B335" t="s">
        <v>351</v>
      </c>
      <c r="C335" t="s">
        <v>874</v>
      </c>
      <c r="D335" t="s">
        <v>236</v>
      </c>
      <c r="I335">
        <v>325.73399999999998</v>
      </c>
      <c r="J335">
        <v>0</v>
      </c>
      <c r="U335">
        <v>323.8</v>
      </c>
      <c r="V335">
        <v>1.1100000000000001</v>
      </c>
      <c r="AC335">
        <f>SUMPRODUCT(DB_ThemeSOFAcct[[#This Row],[Plan01]:[Plan12]],$E$14:$P$14)/valUnits2</f>
        <v>0.32573399999999997</v>
      </c>
      <c r="AD335">
        <f>SUMPRODUCT(DB_ThemeSOFAcct[[#This Row],[Act01]:[Act12]],$Q$14:$AB$14)/valUnits2</f>
        <v>0.32491000000000003</v>
      </c>
      <c r="AE335">
        <f>DB_ThemeSOFAcct[[#This Row],[Actuals]]-DB_ThemeSOFAcct[[#This Row],[Plan]]</f>
        <v>-8.2399999999993589E-4</v>
      </c>
      <c r="AF335">
        <f>IF(DB_ThemeSOFAcct[[#This Row],[Plan]]&lt;&gt;0,DB_ThemeSOFAcct[[#This Row],[Actuals]]/DB_ThemeSOFAcct[[#This Row],[Plan]],1.000011000011)</f>
        <v>0.99747032855028972</v>
      </c>
      <c r="AG335" s="34">
        <f>SUM(DB_ThemeSOFAcct[[#This Row],[Plan01]:[Plan12]])/valUnits2</f>
        <v>0.32573399999999997</v>
      </c>
      <c r="AH335" s="34">
        <f>SUMPRODUCT(DB_ThemeSOFAcct[[#This Row],[Act01]:[Act12]],$Q$3:$AB$3)/valUnits2</f>
        <v>0.32491000000000003</v>
      </c>
    </row>
    <row r="336" spans="2:34" x14ac:dyDescent="0.2">
      <c r="B336" t="s">
        <v>351</v>
      </c>
      <c r="C336" t="s">
        <v>874</v>
      </c>
      <c r="D336" t="s">
        <v>237</v>
      </c>
      <c r="H336">
        <v>112.32900000000001</v>
      </c>
      <c r="I336">
        <v>3.2450000000000001</v>
      </c>
      <c r="T336">
        <v>111.89999999999999</v>
      </c>
      <c r="U336">
        <v>3.24</v>
      </c>
      <c r="AC336">
        <f>SUMPRODUCT(DB_ThemeSOFAcct[[#This Row],[Plan01]:[Plan12]],$E$14:$P$14)/valUnits2</f>
        <v>0.11557400000000001</v>
      </c>
      <c r="AD336">
        <f>SUMPRODUCT(DB_ThemeSOFAcct[[#This Row],[Act01]:[Act12]],$Q$14:$AB$14)/valUnits2</f>
        <v>0.11513999999999999</v>
      </c>
      <c r="AE336">
        <f>DB_ThemeSOFAcct[[#This Row],[Actuals]]-DB_ThemeSOFAcct[[#This Row],[Plan]]</f>
        <v>-4.340000000000177E-4</v>
      </c>
      <c r="AF336">
        <f>IF(DB_ThemeSOFAcct[[#This Row],[Plan]]&lt;&gt;0,DB_ThemeSOFAcct[[#This Row],[Actuals]]/DB_ThemeSOFAcct[[#This Row],[Plan]],1.000011000011)</f>
        <v>0.99624483015211018</v>
      </c>
      <c r="AG336" s="34">
        <f>SUM(DB_ThemeSOFAcct[[#This Row],[Plan01]:[Plan12]])/valUnits2</f>
        <v>0.11557400000000001</v>
      </c>
      <c r="AH336" s="34">
        <f>SUMPRODUCT(DB_ThemeSOFAcct[[#This Row],[Act01]:[Act12]],$Q$3:$AB$3)/valUnits2</f>
        <v>0.11513999999999999</v>
      </c>
    </row>
    <row r="337" spans="2:34" x14ac:dyDescent="0.2">
      <c r="B337" t="s">
        <v>351</v>
      </c>
      <c r="C337" t="s">
        <v>874</v>
      </c>
      <c r="D337" t="s">
        <v>141</v>
      </c>
      <c r="G337">
        <v>14.179</v>
      </c>
      <c r="H337">
        <v>33.972999999999999</v>
      </c>
      <c r="I337">
        <v>64.528999999999996</v>
      </c>
      <c r="J337">
        <v>326.07600000000002</v>
      </c>
      <c r="M337">
        <v>326.07600000000002</v>
      </c>
      <c r="O337">
        <v>326.07600000000002</v>
      </c>
      <c r="S337">
        <v>14.23</v>
      </c>
      <c r="T337">
        <v>34.69</v>
      </c>
      <c r="U337">
        <v>64.06</v>
      </c>
      <c r="V337">
        <v>0</v>
      </c>
      <c r="Y337">
        <v>0</v>
      </c>
      <c r="AA337">
        <v>0</v>
      </c>
      <c r="AC337">
        <f>SUMPRODUCT(DB_ThemeSOFAcct[[#This Row],[Plan01]:[Plan12]],$E$14:$P$14)/valUnits2</f>
        <v>0.43875700000000001</v>
      </c>
      <c r="AD337">
        <f>SUMPRODUCT(DB_ThemeSOFAcct[[#This Row],[Act01]:[Act12]],$Q$14:$AB$14)/valUnits2</f>
        <v>0.11298</v>
      </c>
      <c r="AE337">
        <f>DB_ThemeSOFAcct[[#This Row],[Actuals]]-DB_ThemeSOFAcct[[#This Row],[Plan]]</f>
        <v>-0.32577699999999998</v>
      </c>
      <c r="AF337">
        <f>IF(DB_ThemeSOFAcct[[#This Row],[Plan]]&lt;&gt;0,DB_ThemeSOFAcct[[#This Row],[Actuals]]/DB_ThemeSOFAcct[[#This Row],[Plan]],1.000011000011)</f>
        <v>0.25750016523952896</v>
      </c>
      <c r="AG337" s="34">
        <f>SUM(DB_ThemeSOFAcct[[#This Row],[Plan01]:[Plan12]])/valUnits2</f>
        <v>1.0909090000000001</v>
      </c>
      <c r="AH337" s="34">
        <f>SUMPRODUCT(DB_ThemeSOFAcct[[#This Row],[Act01]:[Act12]],$Q$3:$AB$3)/valUnits2</f>
        <v>0.11298</v>
      </c>
    </row>
    <row r="338" spans="2:34" x14ac:dyDescent="0.2">
      <c r="B338" t="s">
        <v>351</v>
      </c>
      <c r="C338" t="s">
        <v>875</v>
      </c>
      <c r="D338" t="s">
        <v>143</v>
      </c>
      <c r="G338">
        <v>0</v>
      </c>
      <c r="H338">
        <v>141.309</v>
      </c>
      <c r="I338">
        <v>585.52800000000002</v>
      </c>
      <c r="J338">
        <v>362.98</v>
      </c>
      <c r="K338">
        <v>362.98</v>
      </c>
      <c r="L338">
        <v>362.98</v>
      </c>
      <c r="M338">
        <v>362.98</v>
      </c>
      <c r="N338">
        <v>362.98</v>
      </c>
      <c r="O338">
        <v>362.98</v>
      </c>
      <c r="P338">
        <v>362.98</v>
      </c>
      <c r="S338">
        <v>0</v>
      </c>
      <c r="T338">
        <v>136.81</v>
      </c>
      <c r="U338">
        <v>583.09999999999991</v>
      </c>
      <c r="V338">
        <v>598.33000000000004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f>SUMPRODUCT(DB_ThemeSOFAcct[[#This Row],[Plan01]:[Plan12]],$E$14:$P$14)/valUnits2</f>
        <v>1.089817</v>
      </c>
      <c r="AD338">
        <f>SUMPRODUCT(DB_ThemeSOFAcct[[#This Row],[Act01]:[Act12]],$Q$14:$AB$14)/valUnits2</f>
        <v>1.3182399999999999</v>
      </c>
      <c r="AE338">
        <f>DB_ThemeSOFAcct[[#This Row],[Actuals]]-DB_ThemeSOFAcct[[#This Row],[Plan]]</f>
        <v>0.22842299999999982</v>
      </c>
      <c r="AF338">
        <f>IF(DB_ThemeSOFAcct[[#This Row],[Plan]]&lt;&gt;0,DB_ThemeSOFAcct[[#This Row],[Actuals]]/DB_ThemeSOFAcct[[#This Row],[Plan]],1.000011000011)</f>
        <v>1.2095975746386778</v>
      </c>
      <c r="AG338" s="34">
        <f>SUM(DB_ThemeSOFAcct[[#This Row],[Plan01]:[Plan12]])/valUnits2</f>
        <v>3.2676970000000001</v>
      </c>
      <c r="AH338" s="34">
        <f>SUMPRODUCT(DB_ThemeSOFAcct[[#This Row],[Act01]:[Act12]],$Q$3:$AB$3)/valUnits2</f>
        <v>1.3182399999999999</v>
      </c>
    </row>
    <row r="339" spans="2:34" x14ac:dyDescent="0.2">
      <c r="B339" t="s">
        <v>351</v>
      </c>
      <c r="C339" t="s">
        <v>875</v>
      </c>
      <c r="D339" t="s">
        <v>235</v>
      </c>
      <c r="I339">
        <v>59.48</v>
      </c>
      <c r="J339">
        <v>0</v>
      </c>
      <c r="U339">
        <v>71.06</v>
      </c>
      <c r="V339">
        <v>60.129999999999995</v>
      </c>
      <c r="AC339">
        <f>SUMPRODUCT(DB_ThemeSOFAcct[[#This Row],[Plan01]:[Plan12]],$E$14:$P$14)/valUnits2</f>
        <v>5.9479999999999998E-2</v>
      </c>
      <c r="AD339">
        <f>SUMPRODUCT(DB_ThemeSOFAcct[[#This Row],[Act01]:[Act12]],$Q$14:$AB$14)/valUnits2</f>
        <v>0.13119</v>
      </c>
      <c r="AE339">
        <f>DB_ThemeSOFAcct[[#This Row],[Actuals]]-DB_ThemeSOFAcct[[#This Row],[Plan]]</f>
        <v>7.1709999999999996E-2</v>
      </c>
      <c r="AF339">
        <f>IF(DB_ThemeSOFAcct[[#This Row],[Plan]]&lt;&gt;0,DB_ThemeSOFAcct[[#This Row],[Actuals]]/DB_ThemeSOFAcct[[#This Row],[Plan]],1.000011000011)</f>
        <v>2.2056153328850034</v>
      </c>
      <c r="AG339" s="34">
        <f>SUM(DB_ThemeSOFAcct[[#This Row],[Plan01]:[Plan12]])/valUnits2</f>
        <v>5.9479999999999998E-2</v>
      </c>
      <c r="AH339" s="34">
        <f>SUMPRODUCT(DB_ThemeSOFAcct[[#This Row],[Act01]:[Act12]],$Q$3:$AB$3)/valUnits2</f>
        <v>0.13119</v>
      </c>
    </row>
    <row r="340" spans="2:34" x14ac:dyDescent="0.2">
      <c r="B340" t="s">
        <v>351</v>
      </c>
      <c r="C340" t="s">
        <v>875</v>
      </c>
      <c r="D340" t="s">
        <v>140</v>
      </c>
      <c r="E340">
        <v>0</v>
      </c>
      <c r="F340">
        <v>0</v>
      </c>
      <c r="G340">
        <v>0</v>
      </c>
      <c r="H340">
        <v>2494.6189999999997</v>
      </c>
      <c r="I340">
        <v>3328.1569999999997</v>
      </c>
      <c r="J340">
        <v>2396.1600000000003</v>
      </c>
      <c r="K340">
        <v>2396.1600000000003</v>
      </c>
      <c r="L340">
        <v>2396.1600000000003</v>
      </c>
      <c r="M340">
        <v>2396.1600000000003</v>
      </c>
      <c r="N340">
        <v>2396.1600000000003</v>
      </c>
      <c r="O340">
        <v>2396.1600000000003</v>
      </c>
      <c r="P340">
        <v>2396.1600000000003</v>
      </c>
      <c r="Q340">
        <v>0</v>
      </c>
      <c r="R340">
        <v>0</v>
      </c>
      <c r="S340">
        <v>0</v>
      </c>
      <c r="T340">
        <v>2488.3800000000006</v>
      </c>
      <c r="U340">
        <v>3396.12</v>
      </c>
      <c r="V340">
        <v>2601.8199999999997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f>SUMPRODUCT(DB_ThemeSOFAcct[[#This Row],[Plan01]:[Plan12]],$E$14:$P$14)/valUnits2</f>
        <v>8.2189359999999994</v>
      </c>
      <c r="AD340">
        <f>SUMPRODUCT(DB_ThemeSOFAcct[[#This Row],[Act01]:[Act12]],$Q$14:$AB$14)/valUnits2</f>
        <v>8.4863199999999992</v>
      </c>
      <c r="AE340">
        <f>DB_ThemeSOFAcct[[#This Row],[Actuals]]-DB_ThemeSOFAcct[[#This Row],[Plan]]</f>
        <v>0.26738399999999984</v>
      </c>
      <c r="AF340">
        <f>IF(DB_ThemeSOFAcct[[#This Row],[Plan]]&lt;&gt;0,DB_ThemeSOFAcct[[#This Row],[Actuals]]/DB_ThemeSOFAcct[[#This Row],[Plan]],1.000011000011)</f>
        <v>1.0325326781958151</v>
      </c>
      <c r="AG340" s="34">
        <f>SUM(DB_ThemeSOFAcct[[#This Row],[Plan01]:[Plan12]])/valUnits2</f>
        <v>22.595896</v>
      </c>
      <c r="AH340" s="34">
        <f>SUMPRODUCT(DB_ThemeSOFAcct[[#This Row],[Act01]:[Act12]],$Q$3:$AB$3)/valUnits2</f>
        <v>8.4863199999999992</v>
      </c>
    </row>
    <row r="341" spans="2:34" x14ac:dyDescent="0.2">
      <c r="B341" t="s">
        <v>351</v>
      </c>
      <c r="C341" t="s">
        <v>875</v>
      </c>
      <c r="D341" t="s">
        <v>236</v>
      </c>
      <c r="I341">
        <v>320.315</v>
      </c>
      <c r="J341">
        <v>0</v>
      </c>
      <c r="U341">
        <v>323.5</v>
      </c>
      <c r="V341">
        <v>0.37</v>
      </c>
      <c r="AC341">
        <f>SUMPRODUCT(DB_ThemeSOFAcct[[#This Row],[Plan01]:[Plan12]],$E$14:$P$14)/valUnits2</f>
        <v>0.32031500000000002</v>
      </c>
      <c r="AD341">
        <f>SUMPRODUCT(DB_ThemeSOFAcct[[#This Row],[Act01]:[Act12]],$Q$14:$AB$14)/valUnits2</f>
        <v>0.32386999999999999</v>
      </c>
      <c r="AE341">
        <f>DB_ThemeSOFAcct[[#This Row],[Actuals]]-DB_ThemeSOFAcct[[#This Row],[Plan]]</f>
        <v>3.5549999999999748E-3</v>
      </c>
      <c r="AF341">
        <f>IF(DB_ThemeSOFAcct[[#This Row],[Plan]]&lt;&gt;0,DB_ThemeSOFAcct[[#This Row],[Actuals]]/DB_ThemeSOFAcct[[#This Row],[Plan]],1.000011000011)</f>
        <v>1.0110984499633173</v>
      </c>
      <c r="AG341" s="34">
        <f>SUM(DB_ThemeSOFAcct[[#This Row],[Plan01]:[Plan12]])/valUnits2</f>
        <v>0.32031500000000002</v>
      </c>
      <c r="AH341" s="34">
        <f>SUMPRODUCT(DB_ThemeSOFAcct[[#This Row],[Act01]:[Act12]],$Q$3:$AB$3)/valUnits2</f>
        <v>0.32386999999999999</v>
      </c>
    </row>
    <row r="342" spans="2:34" x14ac:dyDescent="0.2">
      <c r="B342" t="s">
        <v>351</v>
      </c>
      <c r="C342" t="s">
        <v>875</v>
      </c>
      <c r="D342" t="s">
        <v>237</v>
      </c>
      <c r="I342">
        <v>0.48699999999999999</v>
      </c>
      <c r="U342">
        <v>0.49</v>
      </c>
      <c r="AC342">
        <f>SUMPRODUCT(DB_ThemeSOFAcct[[#This Row],[Plan01]:[Plan12]],$E$14:$P$14)/valUnits2</f>
        <v>4.8699999999999997E-4</v>
      </c>
      <c r="AD342">
        <f>SUMPRODUCT(DB_ThemeSOFAcct[[#This Row],[Act01]:[Act12]],$Q$14:$AB$14)/valUnits2</f>
        <v>4.8999999999999998E-4</v>
      </c>
      <c r="AE342">
        <f>DB_ThemeSOFAcct[[#This Row],[Actuals]]-DB_ThemeSOFAcct[[#This Row],[Plan]]</f>
        <v>3.0000000000000187E-6</v>
      </c>
      <c r="AF342">
        <f>IF(DB_ThemeSOFAcct[[#This Row],[Plan]]&lt;&gt;0,DB_ThemeSOFAcct[[#This Row],[Actuals]]/DB_ThemeSOFAcct[[#This Row],[Plan]],1.000011000011)</f>
        <v>1.0061601642710474</v>
      </c>
      <c r="AG342" s="34">
        <f>SUM(DB_ThemeSOFAcct[[#This Row],[Plan01]:[Plan12]])/valUnits2</f>
        <v>4.8699999999999997E-4</v>
      </c>
      <c r="AH342" s="34">
        <f>SUMPRODUCT(DB_ThemeSOFAcct[[#This Row],[Act01]:[Act12]],$Q$3:$AB$3)/valUnits2</f>
        <v>4.8999999999999998E-4</v>
      </c>
    </row>
    <row r="343" spans="2:34" x14ac:dyDescent="0.2">
      <c r="B343" t="s">
        <v>351</v>
      </c>
      <c r="C343" t="s">
        <v>875</v>
      </c>
      <c r="D343" t="s">
        <v>141</v>
      </c>
      <c r="I343">
        <v>14.352</v>
      </c>
      <c r="U343">
        <v>14.559999999999999</v>
      </c>
      <c r="AC343">
        <f>SUMPRODUCT(DB_ThemeSOFAcct[[#This Row],[Plan01]:[Plan12]],$E$14:$P$14)/valUnits2</f>
        <v>1.4352E-2</v>
      </c>
      <c r="AD343">
        <f>SUMPRODUCT(DB_ThemeSOFAcct[[#This Row],[Act01]:[Act12]],$Q$14:$AB$14)/valUnits2</f>
        <v>1.4559999999999998E-2</v>
      </c>
      <c r="AE343">
        <f>DB_ThemeSOFAcct[[#This Row],[Actuals]]-DB_ThemeSOFAcct[[#This Row],[Plan]]</f>
        <v>2.0799999999999812E-4</v>
      </c>
      <c r="AF343">
        <f>IF(DB_ThemeSOFAcct[[#This Row],[Plan]]&lt;&gt;0,DB_ThemeSOFAcct[[#This Row],[Actuals]]/DB_ThemeSOFAcct[[#This Row],[Plan]],1.000011000011)</f>
        <v>1.0144927536231882</v>
      </c>
      <c r="AG343" s="34">
        <f>SUM(DB_ThemeSOFAcct[[#This Row],[Plan01]:[Plan12]])/valUnits2</f>
        <v>1.4352E-2</v>
      </c>
      <c r="AH343" s="34">
        <f>SUMPRODUCT(DB_ThemeSOFAcct[[#This Row],[Act01]:[Act12]],$Q$3:$AB$3)/valUnits2</f>
        <v>1.4559999999999998E-2</v>
      </c>
    </row>
    <row r="344" spans="2:34" x14ac:dyDescent="0.2">
      <c r="B344" t="s">
        <v>351</v>
      </c>
      <c r="C344" t="s">
        <v>876</v>
      </c>
      <c r="D344" t="s">
        <v>143</v>
      </c>
      <c r="E344">
        <v>0</v>
      </c>
      <c r="F344">
        <v>0</v>
      </c>
      <c r="G344">
        <v>0</v>
      </c>
      <c r="H344">
        <v>4178.21</v>
      </c>
      <c r="I344">
        <v>384.57</v>
      </c>
      <c r="J344">
        <v>0</v>
      </c>
      <c r="Q344">
        <v>0</v>
      </c>
      <c r="R344">
        <v>0</v>
      </c>
      <c r="S344">
        <v>0</v>
      </c>
      <c r="T344">
        <v>3993.7200000000003</v>
      </c>
      <c r="U344">
        <v>373.91999999999996</v>
      </c>
      <c r="V344">
        <v>382.26</v>
      </c>
      <c r="AC344">
        <f>SUMPRODUCT(DB_ThemeSOFAcct[[#This Row],[Plan01]:[Plan12]],$E$14:$P$14)/valUnits2</f>
        <v>4.5627800000000001</v>
      </c>
      <c r="AD344">
        <f>SUMPRODUCT(DB_ThemeSOFAcct[[#This Row],[Act01]:[Act12]],$Q$14:$AB$14)/valUnits2</f>
        <v>4.7499000000000002</v>
      </c>
      <c r="AE344">
        <f>DB_ThemeSOFAcct[[#This Row],[Actuals]]-DB_ThemeSOFAcct[[#This Row],[Plan]]</f>
        <v>0.18712000000000018</v>
      </c>
      <c r="AF344">
        <f>IF(DB_ThemeSOFAcct[[#This Row],[Plan]]&lt;&gt;0,DB_ThemeSOFAcct[[#This Row],[Actuals]]/DB_ThemeSOFAcct[[#This Row],[Plan]],1.000011000011)</f>
        <v>1.0410100859563687</v>
      </c>
      <c r="AG344" s="34">
        <f>SUM(DB_ThemeSOFAcct[[#This Row],[Plan01]:[Plan12]])/valUnits2</f>
        <v>4.5627800000000001</v>
      </c>
      <c r="AH344" s="34">
        <f>SUMPRODUCT(DB_ThemeSOFAcct[[#This Row],[Act01]:[Act12]],$Q$3:$AB$3)/valUnits2</f>
        <v>4.7499000000000002</v>
      </c>
    </row>
    <row r="345" spans="2:34" x14ac:dyDescent="0.2">
      <c r="B345" t="s">
        <v>351</v>
      </c>
      <c r="C345" t="s">
        <v>876</v>
      </c>
      <c r="D345" t="s">
        <v>235</v>
      </c>
      <c r="H345">
        <v>269.62</v>
      </c>
      <c r="I345">
        <v>110.19</v>
      </c>
      <c r="J345">
        <v>0</v>
      </c>
      <c r="T345">
        <v>454.10999999999996</v>
      </c>
      <c r="U345">
        <v>122.60999999999999</v>
      </c>
      <c r="V345">
        <v>64.460000000000008</v>
      </c>
      <c r="AC345">
        <f>SUMPRODUCT(DB_ThemeSOFAcct[[#This Row],[Plan01]:[Plan12]],$E$14:$P$14)/valUnits2</f>
        <v>0.37980999999999998</v>
      </c>
      <c r="AD345">
        <f>SUMPRODUCT(DB_ThemeSOFAcct[[#This Row],[Act01]:[Act12]],$Q$14:$AB$14)/valUnits2</f>
        <v>0.64117999999999997</v>
      </c>
      <c r="AE345">
        <f>DB_ThemeSOFAcct[[#This Row],[Actuals]]-DB_ThemeSOFAcct[[#This Row],[Plan]]</f>
        <v>0.26136999999999999</v>
      </c>
      <c r="AF345">
        <f>IF(DB_ThemeSOFAcct[[#This Row],[Plan]]&lt;&gt;0,DB_ThemeSOFAcct[[#This Row],[Actuals]]/DB_ThemeSOFAcct[[#This Row],[Plan]],1.000011000011)</f>
        <v>1.6881598694083884</v>
      </c>
      <c r="AG345" s="34">
        <f>SUM(DB_ThemeSOFAcct[[#This Row],[Plan01]:[Plan12]])/valUnits2</f>
        <v>0.37980999999999998</v>
      </c>
      <c r="AH345" s="34">
        <f>SUMPRODUCT(DB_ThemeSOFAcct[[#This Row],[Act01]:[Act12]],$Q$3:$AB$3)/valUnits2</f>
        <v>0.64117999999999997</v>
      </c>
    </row>
    <row r="346" spans="2:34" x14ac:dyDescent="0.2">
      <c r="B346" t="s">
        <v>351</v>
      </c>
      <c r="C346" t="s">
        <v>876</v>
      </c>
      <c r="D346" t="s">
        <v>140</v>
      </c>
      <c r="E346">
        <v>386.56</v>
      </c>
      <c r="F346">
        <v>423.59</v>
      </c>
      <c r="G346">
        <v>815.32999999999993</v>
      </c>
      <c r="H346">
        <v>0</v>
      </c>
      <c r="I346">
        <v>0</v>
      </c>
      <c r="J346">
        <v>824.32</v>
      </c>
      <c r="K346">
        <v>824.32</v>
      </c>
      <c r="L346">
        <v>824.32</v>
      </c>
      <c r="M346">
        <v>824.32</v>
      </c>
      <c r="Q346">
        <v>386.56</v>
      </c>
      <c r="R346">
        <v>423.59</v>
      </c>
      <c r="S346">
        <v>815.32999999999993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AC346">
        <f>SUMPRODUCT(DB_ThemeSOFAcct[[#This Row],[Plan01]:[Plan12]],$E$14:$P$14)/valUnits2</f>
        <v>2.4498000000000002</v>
      </c>
      <c r="AD346">
        <f>SUMPRODUCT(DB_ThemeSOFAcct[[#This Row],[Act01]:[Act12]],$Q$14:$AB$14)/valUnits2</f>
        <v>1.62548</v>
      </c>
      <c r="AE346">
        <f>DB_ThemeSOFAcct[[#This Row],[Actuals]]-DB_ThemeSOFAcct[[#This Row],[Plan]]</f>
        <v>-0.82432000000000016</v>
      </c>
      <c r="AF346">
        <f>IF(DB_ThemeSOFAcct[[#This Row],[Plan]]&lt;&gt;0,DB_ThemeSOFAcct[[#This Row],[Actuals]]/DB_ThemeSOFAcct[[#This Row],[Plan]],1.000011000011)</f>
        <v>0.66351538901134788</v>
      </c>
      <c r="AG346" s="34">
        <f>SUM(DB_ThemeSOFAcct[[#This Row],[Plan01]:[Plan12]])/valUnits2</f>
        <v>4.9227600000000002</v>
      </c>
      <c r="AH346" s="34">
        <f>SUMPRODUCT(DB_ThemeSOFAcct[[#This Row],[Act01]:[Act12]],$Q$3:$AB$3)/valUnits2</f>
        <v>1.62548</v>
      </c>
    </row>
    <row r="347" spans="2:34" x14ac:dyDescent="0.2">
      <c r="B347" t="s">
        <v>351</v>
      </c>
      <c r="C347" t="s">
        <v>876</v>
      </c>
      <c r="D347" t="s">
        <v>236</v>
      </c>
      <c r="E347">
        <v>0</v>
      </c>
      <c r="F347">
        <v>0</v>
      </c>
      <c r="G347">
        <v>0</v>
      </c>
      <c r="H347">
        <v>0</v>
      </c>
      <c r="I347">
        <v>115.06</v>
      </c>
      <c r="J347">
        <v>0</v>
      </c>
      <c r="Q347">
        <v>0</v>
      </c>
      <c r="R347">
        <v>0</v>
      </c>
      <c r="S347">
        <v>0</v>
      </c>
      <c r="T347">
        <v>0</v>
      </c>
      <c r="U347">
        <v>115.06</v>
      </c>
      <c r="V347">
        <v>0.4</v>
      </c>
      <c r="AC347">
        <f>SUMPRODUCT(DB_ThemeSOFAcct[[#This Row],[Plan01]:[Plan12]],$E$14:$P$14)/valUnits2</f>
        <v>0.11506</v>
      </c>
      <c r="AD347">
        <f>SUMPRODUCT(DB_ThemeSOFAcct[[#This Row],[Act01]:[Act12]],$Q$14:$AB$14)/valUnits2</f>
        <v>0.11546000000000001</v>
      </c>
      <c r="AE347">
        <f>DB_ThemeSOFAcct[[#This Row],[Actuals]]-DB_ThemeSOFAcct[[#This Row],[Plan]]</f>
        <v>4.0000000000001146E-4</v>
      </c>
      <c r="AF347">
        <f>IF(DB_ThemeSOFAcct[[#This Row],[Plan]]&lt;&gt;0,DB_ThemeSOFAcct[[#This Row],[Actuals]]/DB_ThemeSOFAcct[[#This Row],[Plan]],1.000011000011)</f>
        <v>1.0034764470710935</v>
      </c>
      <c r="AG347" s="34">
        <f>SUM(DB_ThemeSOFAcct[[#This Row],[Plan01]:[Plan12]])/valUnits2</f>
        <v>0.11506</v>
      </c>
      <c r="AH347" s="34">
        <f>SUMPRODUCT(DB_ThemeSOFAcct[[#This Row],[Act01]:[Act12]],$Q$3:$AB$3)/valUnits2</f>
        <v>0.11546000000000001</v>
      </c>
    </row>
    <row r="348" spans="2:34" x14ac:dyDescent="0.2">
      <c r="B348" t="s">
        <v>351</v>
      </c>
      <c r="C348" t="s">
        <v>876</v>
      </c>
      <c r="D348" t="s">
        <v>237</v>
      </c>
      <c r="H348">
        <v>120.68</v>
      </c>
      <c r="I348">
        <v>1.1499999999999999</v>
      </c>
      <c r="T348">
        <v>120.68</v>
      </c>
      <c r="U348">
        <v>1.1499999999999999</v>
      </c>
      <c r="AC348">
        <f>SUMPRODUCT(DB_ThemeSOFAcct[[#This Row],[Plan01]:[Plan12]],$E$14:$P$14)/valUnits2</f>
        <v>0.12183000000000001</v>
      </c>
      <c r="AD348">
        <f>SUMPRODUCT(DB_ThemeSOFAcct[[#This Row],[Act01]:[Act12]],$Q$14:$AB$14)/valUnits2</f>
        <v>0.12183000000000001</v>
      </c>
      <c r="AE348">
        <f>DB_ThemeSOFAcct[[#This Row],[Actuals]]-DB_ThemeSOFAcct[[#This Row],[Plan]]</f>
        <v>0</v>
      </c>
      <c r="AF348">
        <f>IF(DB_ThemeSOFAcct[[#This Row],[Plan]]&lt;&gt;0,DB_ThemeSOFAcct[[#This Row],[Actuals]]/DB_ThemeSOFAcct[[#This Row],[Plan]],1.000011000011)</f>
        <v>1</v>
      </c>
      <c r="AG348" s="34">
        <f>SUM(DB_ThemeSOFAcct[[#This Row],[Plan01]:[Plan12]])/valUnits2</f>
        <v>0.12183000000000001</v>
      </c>
      <c r="AH348" s="34">
        <f>SUMPRODUCT(DB_ThemeSOFAcct[[#This Row],[Act01]:[Act12]],$Q$3:$AB$3)/valUnits2</f>
        <v>0.12183000000000001</v>
      </c>
    </row>
    <row r="349" spans="2:34" x14ac:dyDescent="0.2">
      <c r="B349" t="s">
        <v>351</v>
      </c>
      <c r="C349" t="s">
        <v>876</v>
      </c>
      <c r="D349" t="s">
        <v>141</v>
      </c>
      <c r="H349">
        <v>30.98</v>
      </c>
      <c r="I349">
        <v>15.63</v>
      </c>
      <c r="T349">
        <v>30.98</v>
      </c>
      <c r="U349">
        <v>15.629999999999999</v>
      </c>
      <c r="AC349">
        <f>SUMPRODUCT(DB_ThemeSOFAcct[[#This Row],[Plan01]:[Plan12]],$E$14:$P$14)/valUnits2</f>
        <v>4.6609999999999999E-2</v>
      </c>
      <c r="AD349">
        <f>SUMPRODUCT(DB_ThemeSOFAcct[[#This Row],[Act01]:[Act12]],$Q$14:$AB$14)/valUnits2</f>
        <v>4.6609999999999999E-2</v>
      </c>
      <c r="AE349">
        <f>DB_ThemeSOFAcct[[#This Row],[Actuals]]-DB_ThemeSOFAcct[[#This Row],[Plan]]</f>
        <v>0</v>
      </c>
      <c r="AF349">
        <f>IF(DB_ThemeSOFAcct[[#This Row],[Plan]]&lt;&gt;0,DB_ThemeSOFAcct[[#This Row],[Actuals]]/DB_ThemeSOFAcct[[#This Row],[Plan]],1.000011000011)</f>
        <v>1</v>
      </c>
      <c r="AG349" s="34">
        <f>SUM(DB_ThemeSOFAcct[[#This Row],[Plan01]:[Plan12]])/valUnits2</f>
        <v>4.6609999999999999E-2</v>
      </c>
      <c r="AH349" s="34">
        <f>SUMPRODUCT(DB_ThemeSOFAcct[[#This Row],[Act01]:[Act12]],$Q$3:$AB$3)/valUnits2</f>
        <v>4.6609999999999999E-2</v>
      </c>
    </row>
    <row r="350" spans="2:34" x14ac:dyDescent="0.2">
      <c r="B350" t="s">
        <v>351</v>
      </c>
      <c r="C350" t="s">
        <v>362</v>
      </c>
      <c r="D350" t="s">
        <v>143</v>
      </c>
      <c r="E350">
        <v>0</v>
      </c>
      <c r="H350">
        <v>282.166</v>
      </c>
      <c r="I350">
        <v>251.75700000000001</v>
      </c>
      <c r="J350">
        <v>252.19200000000001</v>
      </c>
      <c r="Q350">
        <v>0</v>
      </c>
      <c r="T350">
        <v>276.86</v>
      </c>
      <c r="U350">
        <v>246.88</v>
      </c>
      <c r="V350">
        <v>253.22000000000003</v>
      </c>
      <c r="AC350">
        <f>SUMPRODUCT(DB_ThemeSOFAcct[[#This Row],[Plan01]:[Plan12]],$E$14:$P$14)/valUnits2</f>
        <v>0.78611500000000001</v>
      </c>
      <c r="AD350">
        <f>SUMPRODUCT(DB_ThemeSOFAcct[[#This Row],[Act01]:[Act12]],$Q$14:$AB$14)/valUnits2</f>
        <v>0.77695999999999998</v>
      </c>
      <c r="AE350">
        <f>DB_ThemeSOFAcct[[#This Row],[Actuals]]-DB_ThemeSOFAcct[[#This Row],[Plan]]</f>
        <v>-9.1550000000000242E-3</v>
      </c>
      <c r="AF350">
        <f>IF(DB_ThemeSOFAcct[[#This Row],[Plan]]&lt;&gt;0,DB_ThemeSOFAcct[[#This Row],[Actuals]]/DB_ThemeSOFAcct[[#This Row],[Plan]],1.000011000011)</f>
        <v>0.98835412121636146</v>
      </c>
      <c r="AG350" s="34">
        <f>SUM(DB_ThemeSOFAcct[[#This Row],[Plan01]:[Plan12]])/valUnits2</f>
        <v>0.78611500000000001</v>
      </c>
      <c r="AH350" s="34">
        <f>SUMPRODUCT(DB_ThemeSOFAcct[[#This Row],[Act01]:[Act12]],$Q$3:$AB$3)/valUnits2</f>
        <v>0.77695999999999998</v>
      </c>
    </row>
    <row r="351" spans="2:34" x14ac:dyDescent="0.2">
      <c r="B351" t="s">
        <v>351</v>
      </c>
      <c r="C351" t="s">
        <v>362</v>
      </c>
      <c r="D351" t="s">
        <v>235</v>
      </c>
      <c r="E351">
        <v>0</v>
      </c>
      <c r="H351">
        <v>8.2260000000000009</v>
      </c>
      <c r="I351">
        <v>60.904000000000003</v>
      </c>
      <c r="J351">
        <v>60.304000000000002</v>
      </c>
      <c r="Q351">
        <v>0</v>
      </c>
      <c r="T351">
        <v>13.549999999999999</v>
      </c>
      <c r="U351">
        <v>68.56</v>
      </c>
      <c r="V351">
        <v>42.7</v>
      </c>
      <c r="AC351">
        <f>SUMPRODUCT(DB_ThemeSOFAcct[[#This Row],[Plan01]:[Plan12]],$E$14:$P$14)/valUnits2</f>
        <v>0.12943400000000002</v>
      </c>
      <c r="AD351">
        <f>SUMPRODUCT(DB_ThemeSOFAcct[[#This Row],[Act01]:[Act12]],$Q$14:$AB$14)/valUnits2</f>
        <v>0.12481</v>
      </c>
      <c r="AE351">
        <f>DB_ThemeSOFAcct[[#This Row],[Actuals]]-DB_ThemeSOFAcct[[#This Row],[Plan]]</f>
        <v>-4.624000000000017E-3</v>
      </c>
      <c r="AF351">
        <f>IF(DB_ThemeSOFAcct[[#This Row],[Plan]]&lt;&gt;0,DB_ThemeSOFAcct[[#This Row],[Actuals]]/DB_ThemeSOFAcct[[#This Row],[Plan]],1.000011000011)</f>
        <v>0.9642752290742771</v>
      </c>
      <c r="AG351" s="34">
        <f>SUM(DB_ThemeSOFAcct[[#This Row],[Plan01]:[Plan12]])/valUnits2</f>
        <v>0.12943400000000002</v>
      </c>
      <c r="AH351" s="34">
        <f>SUMPRODUCT(DB_ThemeSOFAcct[[#This Row],[Act01]:[Act12]],$Q$3:$AB$3)/valUnits2</f>
        <v>0.12481</v>
      </c>
    </row>
    <row r="352" spans="2:34" x14ac:dyDescent="0.2">
      <c r="B352" t="s">
        <v>351</v>
      </c>
      <c r="C352" t="s">
        <v>362</v>
      </c>
      <c r="D352" t="s">
        <v>142</v>
      </c>
      <c r="H352">
        <v>0</v>
      </c>
      <c r="I352">
        <v>0</v>
      </c>
      <c r="J352">
        <v>0</v>
      </c>
      <c r="T352">
        <v>0</v>
      </c>
      <c r="U352">
        <v>0</v>
      </c>
      <c r="V352">
        <v>0</v>
      </c>
      <c r="AC352">
        <f>SUMPRODUCT(DB_ThemeSOFAcct[[#This Row],[Plan01]:[Plan12]],$E$14:$P$14)/valUnits2</f>
        <v>0</v>
      </c>
      <c r="AD352">
        <f>SUMPRODUCT(DB_ThemeSOFAcct[[#This Row],[Act01]:[Act12]],$Q$14:$AB$14)/valUnits2</f>
        <v>0</v>
      </c>
      <c r="AE352">
        <f>DB_ThemeSOFAcct[[#This Row],[Actuals]]-DB_ThemeSOFAcct[[#This Row],[Plan]]</f>
        <v>0</v>
      </c>
      <c r="AF352">
        <f>IF(DB_ThemeSOFAcct[[#This Row],[Plan]]&lt;&gt;0,DB_ThemeSOFAcct[[#This Row],[Actuals]]/DB_ThemeSOFAcct[[#This Row],[Plan]],1.000011000011)</f>
        <v>1.0000110000110001</v>
      </c>
      <c r="AG352" s="34">
        <f>SUM(DB_ThemeSOFAcct[[#This Row],[Plan01]:[Plan12]])/valUnits2</f>
        <v>0</v>
      </c>
      <c r="AH352" s="34">
        <f>SUMPRODUCT(DB_ThemeSOFAcct[[#This Row],[Act01]:[Act12]],$Q$3:$AB$3)/valUnits2</f>
        <v>0</v>
      </c>
    </row>
    <row r="353" spans="2:34" x14ac:dyDescent="0.2">
      <c r="B353" t="s">
        <v>351</v>
      </c>
      <c r="C353" t="s">
        <v>362</v>
      </c>
      <c r="D353" t="s">
        <v>140</v>
      </c>
      <c r="E353">
        <v>0</v>
      </c>
      <c r="H353">
        <v>569.07399999999996</v>
      </c>
      <c r="I353">
        <v>6.5730000000000004</v>
      </c>
      <c r="Q353">
        <v>0</v>
      </c>
      <c r="T353">
        <v>569.94000000000005</v>
      </c>
      <c r="U353">
        <v>6.68</v>
      </c>
      <c r="AC353">
        <f>SUMPRODUCT(DB_ThemeSOFAcct[[#This Row],[Plan01]:[Plan12]],$E$14:$P$14)/valUnits2</f>
        <v>0.57564699999999991</v>
      </c>
      <c r="AD353">
        <f>SUMPRODUCT(DB_ThemeSOFAcct[[#This Row],[Act01]:[Act12]],$Q$14:$AB$14)/valUnits2</f>
        <v>0.57662000000000002</v>
      </c>
      <c r="AE353">
        <f>DB_ThemeSOFAcct[[#This Row],[Actuals]]-DB_ThemeSOFAcct[[#This Row],[Plan]]</f>
        <v>9.7300000000011266E-4</v>
      </c>
      <c r="AF353">
        <f>IF(DB_ThemeSOFAcct[[#This Row],[Plan]]&lt;&gt;0,DB_ThemeSOFAcct[[#This Row],[Actuals]]/DB_ThemeSOFAcct[[#This Row],[Plan]],1.000011000011)</f>
        <v>1.001690271989605</v>
      </c>
      <c r="AG353" s="34">
        <f>SUM(DB_ThemeSOFAcct[[#This Row],[Plan01]:[Plan12]])/valUnits2</f>
        <v>0.57564699999999991</v>
      </c>
      <c r="AH353" s="34">
        <f>SUMPRODUCT(DB_ThemeSOFAcct[[#This Row],[Act01]:[Act12]],$Q$3:$AB$3)/valUnits2</f>
        <v>0.57662000000000002</v>
      </c>
    </row>
    <row r="354" spans="2:34" x14ac:dyDescent="0.2">
      <c r="B354" t="s">
        <v>351</v>
      </c>
      <c r="C354" t="s">
        <v>362</v>
      </c>
      <c r="D354" t="s">
        <v>236</v>
      </c>
      <c r="I354">
        <v>60.67</v>
      </c>
      <c r="J354">
        <v>0</v>
      </c>
      <c r="U354">
        <v>60.739999999999995</v>
      </c>
      <c r="V354">
        <v>0.26</v>
      </c>
      <c r="AC354">
        <f>SUMPRODUCT(DB_ThemeSOFAcct[[#This Row],[Plan01]:[Plan12]],$E$14:$P$14)/valUnits2</f>
        <v>6.0670000000000002E-2</v>
      </c>
      <c r="AD354">
        <f>SUMPRODUCT(DB_ThemeSOFAcct[[#This Row],[Act01]:[Act12]],$Q$14:$AB$14)/valUnits2</f>
        <v>6.0999999999999992E-2</v>
      </c>
      <c r="AE354">
        <f>DB_ThemeSOFAcct[[#This Row],[Actuals]]-DB_ThemeSOFAcct[[#This Row],[Plan]]</f>
        <v>3.2999999999999002E-4</v>
      </c>
      <c r="AF354">
        <f>IF(DB_ThemeSOFAcct[[#This Row],[Plan]]&lt;&gt;0,DB_ThemeSOFAcct[[#This Row],[Actuals]]/DB_ThemeSOFAcct[[#This Row],[Plan]],1.000011000011)</f>
        <v>1.005439261579034</v>
      </c>
      <c r="AG354" s="34">
        <f>SUM(DB_ThemeSOFAcct[[#This Row],[Plan01]:[Plan12]])/valUnits2</f>
        <v>6.0670000000000002E-2</v>
      </c>
      <c r="AH354" s="34">
        <f>SUMPRODUCT(DB_ThemeSOFAcct[[#This Row],[Act01]:[Act12]],$Q$3:$AB$3)/valUnits2</f>
        <v>6.0999999999999992E-2</v>
      </c>
    </row>
    <row r="355" spans="2:34" x14ac:dyDescent="0.2">
      <c r="B355" t="s">
        <v>351</v>
      </c>
      <c r="C355" t="s">
        <v>362</v>
      </c>
      <c r="D355" t="s">
        <v>237</v>
      </c>
      <c r="H355">
        <v>3.7199999999999998</v>
      </c>
      <c r="I355">
        <v>0.60899999999999999</v>
      </c>
      <c r="T355">
        <v>3.5999999999999996</v>
      </c>
      <c r="U355">
        <v>0.61</v>
      </c>
      <c r="AC355">
        <f>SUMPRODUCT(DB_ThemeSOFAcct[[#This Row],[Plan01]:[Plan12]],$E$14:$P$14)/valUnits2</f>
        <v>4.3289999999999995E-3</v>
      </c>
      <c r="AD355">
        <f>SUMPRODUCT(DB_ThemeSOFAcct[[#This Row],[Act01]:[Act12]],$Q$14:$AB$14)/valUnits2</f>
        <v>4.2100000000000002E-3</v>
      </c>
      <c r="AE355">
        <f>DB_ThemeSOFAcct[[#This Row],[Actuals]]-DB_ThemeSOFAcct[[#This Row],[Plan]]</f>
        <v>-1.1899999999999931E-4</v>
      </c>
      <c r="AF355">
        <f>IF(DB_ThemeSOFAcct[[#This Row],[Plan]]&lt;&gt;0,DB_ThemeSOFAcct[[#This Row],[Actuals]]/DB_ThemeSOFAcct[[#This Row],[Plan]],1.000011000011)</f>
        <v>0.97251097251097263</v>
      </c>
      <c r="AG355" s="34">
        <f>SUM(DB_ThemeSOFAcct[[#This Row],[Plan01]:[Plan12]])/valUnits2</f>
        <v>4.3289999999999995E-3</v>
      </c>
      <c r="AH355" s="34">
        <f>SUMPRODUCT(DB_ThemeSOFAcct[[#This Row],[Act01]:[Act12]],$Q$3:$AB$3)/valUnits2</f>
        <v>4.2100000000000002E-3</v>
      </c>
    </row>
    <row r="356" spans="2:34" x14ac:dyDescent="0.2">
      <c r="B356" t="s">
        <v>351</v>
      </c>
      <c r="C356" t="s">
        <v>362</v>
      </c>
      <c r="D356" t="s">
        <v>141</v>
      </c>
      <c r="H356">
        <v>0.90600000000000003</v>
      </c>
      <c r="I356">
        <v>10.289</v>
      </c>
      <c r="J356">
        <v>18.573</v>
      </c>
      <c r="T356">
        <v>0.92</v>
      </c>
      <c r="U356">
        <v>10.32</v>
      </c>
      <c r="V356">
        <v>0</v>
      </c>
      <c r="AC356">
        <f>SUMPRODUCT(DB_ThemeSOFAcct[[#This Row],[Plan01]:[Plan12]],$E$14:$P$14)/valUnits2</f>
        <v>2.9767999999999999E-2</v>
      </c>
      <c r="AD356">
        <f>SUMPRODUCT(DB_ThemeSOFAcct[[#This Row],[Act01]:[Act12]],$Q$14:$AB$14)/valUnits2</f>
        <v>1.124E-2</v>
      </c>
      <c r="AE356">
        <f>DB_ThemeSOFAcct[[#This Row],[Actuals]]-DB_ThemeSOFAcct[[#This Row],[Plan]]</f>
        <v>-1.8527999999999999E-2</v>
      </c>
      <c r="AF356">
        <f>IF(DB_ThemeSOFAcct[[#This Row],[Plan]]&lt;&gt;0,DB_ThemeSOFAcct[[#This Row],[Actuals]]/DB_ThemeSOFAcct[[#This Row],[Plan]],1.000011000011)</f>
        <v>0.37758667024993281</v>
      </c>
      <c r="AG356" s="34">
        <f>SUM(DB_ThemeSOFAcct[[#This Row],[Plan01]:[Plan12]])/valUnits2</f>
        <v>2.9767999999999999E-2</v>
      </c>
      <c r="AH356" s="34">
        <f>SUMPRODUCT(DB_ThemeSOFAcct[[#This Row],[Act01]:[Act12]],$Q$3:$AB$3)/valUnits2</f>
        <v>1.124E-2</v>
      </c>
    </row>
    <row r="357" spans="2:34" x14ac:dyDescent="0.2">
      <c r="B357" t="s">
        <v>351</v>
      </c>
      <c r="C357" t="s">
        <v>877</v>
      </c>
      <c r="D357" t="s">
        <v>143</v>
      </c>
      <c r="E357">
        <v>0</v>
      </c>
      <c r="H357">
        <v>2496.9050000000002</v>
      </c>
      <c r="I357">
        <v>1002.8469999999998</v>
      </c>
      <c r="J357">
        <v>1010.249</v>
      </c>
      <c r="K357">
        <v>1010.249</v>
      </c>
      <c r="L357">
        <v>1010.249</v>
      </c>
      <c r="M357">
        <v>1010.249</v>
      </c>
      <c r="N357">
        <v>1010.249</v>
      </c>
      <c r="O357">
        <v>1010.249</v>
      </c>
      <c r="P357">
        <v>1010.249</v>
      </c>
      <c r="Q357">
        <v>0</v>
      </c>
      <c r="T357">
        <v>2436.6899999999996</v>
      </c>
      <c r="U357">
        <v>974.32000000000028</v>
      </c>
      <c r="V357">
        <v>996.04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f>SUMPRODUCT(DB_ThemeSOFAcct[[#This Row],[Plan01]:[Plan12]],$E$14:$P$14)/valUnits2</f>
        <v>4.5100009999999999</v>
      </c>
      <c r="AD357">
        <f>SUMPRODUCT(DB_ThemeSOFAcct[[#This Row],[Act01]:[Act12]],$Q$14:$AB$14)/valUnits2</f>
        <v>4.407049999999999</v>
      </c>
      <c r="AE357">
        <f>DB_ThemeSOFAcct[[#This Row],[Actuals]]-DB_ThemeSOFAcct[[#This Row],[Plan]]</f>
        <v>-0.1029510000000009</v>
      </c>
      <c r="AF357">
        <f>IF(DB_ThemeSOFAcct[[#This Row],[Plan]]&lt;&gt;0,DB_ThemeSOFAcct[[#This Row],[Actuals]]/DB_ThemeSOFAcct[[#This Row],[Plan]],1.000011000011)</f>
        <v>0.97717273233420554</v>
      </c>
      <c r="AG357" s="34">
        <f>SUM(DB_ThemeSOFAcct[[#This Row],[Plan01]:[Plan12]])/valUnits2</f>
        <v>10.571494999999999</v>
      </c>
      <c r="AH357" s="34">
        <f>SUMPRODUCT(DB_ThemeSOFAcct[[#This Row],[Act01]:[Act12]],$Q$3:$AB$3)/valUnits2</f>
        <v>4.407049999999999</v>
      </c>
    </row>
    <row r="358" spans="2:34" x14ac:dyDescent="0.2">
      <c r="B358" t="s">
        <v>351</v>
      </c>
      <c r="C358" t="s">
        <v>877</v>
      </c>
      <c r="D358" t="s">
        <v>235</v>
      </c>
      <c r="E358">
        <v>0</v>
      </c>
      <c r="H358">
        <v>119.529</v>
      </c>
      <c r="I358">
        <v>286.80999999999995</v>
      </c>
      <c r="J358">
        <v>928.77700000000004</v>
      </c>
      <c r="K358">
        <v>928.77700000000004</v>
      </c>
      <c r="L358">
        <v>928.77700000000004</v>
      </c>
      <c r="M358">
        <v>928.77700000000004</v>
      </c>
      <c r="N358">
        <v>928.77700000000004</v>
      </c>
      <c r="O358">
        <v>928.77700000000004</v>
      </c>
      <c r="P358">
        <v>928.77700000000004</v>
      </c>
      <c r="Q358">
        <v>0</v>
      </c>
      <c r="T358">
        <v>200.55</v>
      </c>
      <c r="U358">
        <v>319.43000000000006</v>
      </c>
      <c r="V358">
        <v>168.01999999999998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f>SUMPRODUCT(DB_ThemeSOFAcct[[#This Row],[Plan01]:[Plan12]],$E$14:$P$14)/valUnits2</f>
        <v>1.335116</v>
      </c>
      <c r="AD358">
        <f>SUMPRODUCT(DB_ThemeSOFAcct[[#This Row],[Act01]:[Act12]],$Q$14:$AB$14)/valUnits2</f>
        <v>0.68799999999999994</v>
      </c>
      <c r="AE358">
        <f>DB_ThemeSOFAcct[[#This Row],[Actuals]]-DB_ThemeSOFAcct[[#This Row],[Plan]]</f>
        <v>-0.64711600000000002</v>
      </c>
      <c r="AF358">
        <f>IF(DB_ThemeSOFAcct[[#This Row],[Plan]]&lt;&gt;0,DB_ThemeSOFAcct[[#This Row],[Actuals]]/DB_ThemeSOFAcct[[#This Row],[Plan]],1.000011000011)</f>
        <v>0.51531102915402105</v>
      </c>
      <c r="AG358" s="34">
        <f>SUM(DB_ThemeSOFAcct[[#This Row],[Plan01]:[Plan12]])/valUnits2</f>
        <v>6.9077780000000004</v>
      </c>
      <c r="AH358" s="34">
        <f>SUMPRODUCT(DB_ThemeSOFAcct[[#This Row],[Act01]:[Act12]],$Q$3:$AB$3)/valUnits2</f>
        <v>0.68799999999999994</v>
      </c>
    </row>
    <row r="359" spans="2:34" x14ac:dyDescent="0.2">
      <c r="B359" t="s">
        <v>351</v>
      </c>
      <c r="C359" t="s">
        <v>877</v>
      </c>
      <c r="D359" t="s">
        <v>140</v>
      </c>
      <c r="E359">
        <v>0</v>
      </c>
      <c r="F359">
        <v>2053.0590000000002</v>
      </c>
      <c r="G359">
        <v>2116.8100000000004</v>
      </c>
      <c r="H359">
        <v>4366.951</v>
      </c>
      <c r="I359">
        <v>2521.0740000000001</v>
      </c>
      <c r="J359">
        <v>2882.6750000000006</v>
      </c>
      <c r="K359">
        <v>2882.6750000000006</v>
      </c>
      <c r="L359">
        <v>2882.6750000000006</v>
      </c>
      <c r="M359">
        <v>2882.6750000000006</v>
      </c>
      <c r="N359">
        <v>2882.6750000000006</v>
      </c>
      <c r="O359">
        <v>2882.6750000000006</v>
      </c>
      <c r="P359">
        <v>2882.6750000000006</v>
      </c>
      <c r="Q359">
        <v>0</v>
      </c>
      <c r="R359">
        <v>2095.5700000000002</v>
      </c>
      <c r="S359">
        <v>2135.3300000000004</v>
      </c>
      <c r="T359">
        <v>4368.6000000000004</v>
      </c>
      <c r="U359">
        <v>2491.1800000000003</v>
      </c>
      <c r="V359">
        <v>2246.9200000000005</v>
      </c>
      <c r="W359">
        <v>1222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f>SUMPRODUCT(DB_ThemeSOFAcct[[#This Row],[Plan01]:[Plan12]],$E$14:$P$14)/valUnits2</f>
        <v>13.940569000000002</v>
      </c>
      <c r="AD359">
        <f>SUMPRODUCT(DB_ThemeSOFAcct[[#This Row],[Act01]:[Act12]],$Q$14:$AB$14)/valUnits2</f>
        <v>13.3376</v>
      </c>
      <c r="AE359">
        <f>DB_ThemeSOFAcct[[#This Row],[Actuals]]-DB_ThemeSOFAcct[[#This Row],[Plan]]</f>
        <v>-0.60296900000000164</v>
      </c>
      <c r="AF359">
        <f>IF(DB_ThemeSOFAcct[[#This Row],[Plan]]&lt;&gt;0,DB_ThemeSOFAcct[[#This Row],[Actuals]]/DB_ThemeSOFAcct[[#This Row],[Plan]],1.000011000011)</f>
        <v>0.95674717438004131</v>
      </c>
      <c r="AG359" s="34">
        <f>SUM(DB_ThemeSOFAcct[[#This Row],[Plan01]:[Plan12]])/valUnits2</f>
        <v>31.236618999999997</v>
      </c>
      <c r="AH359" s="34">
        <f>SUMPRODUCT(DB_ThemeSOFAcct[[#This Row],[Act01]:[Act12]],$Q$3:$AB$3)/valUnits2</f>
        <v>13.3376</v>
      </c>
    </row>
    <row r="360" spans="2:34" x14ac:dyDescent="0.2">
      <c r="B360" t="s">
        <v>351</v>
      </c>
      <c r="C360" t="s">
        <v>877</v>
      </c>
      <c r="D360" t="s">
        <v>236</v>
      </c>
      <c r="I360">
        <v>301.93799999999999</v>
      </c>
      <c r="J360">
        <v>0</v>
      </c>
      <c r="U360">
        <v>300.10000000000002</v>
      </c>
      <c r="V360">
        <v>1.03</v>
      </c>
      <c r="AC360">
        <f>SUMPRODUCT(DB_ThemeSOFAcct[[#This Row],[Plan01]:[Plan12]],$E$14:$P$14)/valUnits2</f>
        <v>0.30193799999999998</v>
      </c>
      <c r="AD360">
        <f>SUMPRODUCT(DB_ThemeSOFAcct[[#This Row],[Act01]:[Act12]],$Q$14:$AB$14)/valUnits2</f>
        <v>0.30113000000000001</v>
      </c>
      <c r="AE360">
        <f>DB_ThemeSOFAcct[[#This Row],[Actuals]]-DB_ThemeSOFAcct[[#This Row],[Plan]]</f>
        <v>-8.079999999999754E-4</v>
      </c>
      <c r="AF360">
        <f>IF(DB_ThemeSOFAcct[[#This Row],[Plan]]&lt;&gt;0,DB_ThemeSOFAcct[[#This Row],[Actuals]]/DB_ThemeSOFAcct[[#This Row],[Plan]],1.000011000011)</f>
        <v>0.99732395392431572</v>
      </c>
      <c r="AG360" s="34">
        <f>SUM(DB_ThemeSOFAcct[[#This Row],[Plan01]:[Plan12]])/valUnits2</f>
        <v>0.30193799999999998</v>
      </c>
      <c r="AH360" s="34">
        <f>SUMPRODUCT(DB_ThemeSOFAcct[[#This Row],[Act01]:[Act12]],$Q$3:$AB$3)/valUnits2</f>
        <v>0.30113000000000001</v>
      </c>
    </row>
    <row r="361" spans="2:34" x14ac:dyDescent="0.2">
      <c r="B361" t="s">
        <v>351</v>
      </c>
      <c r="C361" t="s">
        <v>877</v>
      </c>
      <c r="D361" t="s">
        <v>237</v>
      </c>
      <c r="H361">
        <v>53.807999999999993</v>
      </c>
      <c r="I361">
        <v>3.0050000000000026</v>
      </c>
      <c r="T361">
        <v>53.35</v>
      </c>
      <c r="U361">
        <v>3</v>
      </c>
      <c r="AC361">
        <f>SUMPRODUCT(DB_ThemeSOFAcct[[#This Row],[Plan01]:[Plan12]],$E$14:$P$14)/valUnits2</f>
        <v>5.6812999999999995E-2</v>
      </c>
      <c r="AD361">
        <f>SUMPRODUCT(DB_ThemeSOFAcct[[#This Row],[Act01]:[Act12]],$Q$14:$AB$14)/valUnits2</f>
        <v>5.6350000000000004E-2</v>
      </c>
      <c r="AE361">
        <f>DB_ThemeSOFAcct[[#This Row],[Actuals]]-DB_ThemeSOFAcct[[#This Row],[Plan]]</f>
        <v>-4.629999999999912E-4</v>
      </c>
      <c r="AF361">
        <f>IF(DB_ThemeSOFAcct[[#This Row],[Plan]]&lt;&gt;0,DB_ThemeSOFAcct[[#This Row],[Actuals]]/DB_ThemeSOFAcct[[#This Row],[Plan]],1.000011000011)</f>
        <v>0.99185045676165684</v>
      </c>
      <c r="AG361" s="34">
        <f>SUM(DB_ThemeSOFAcct[[#This Row],[Plan01]:[Plan12]])/valUnits2</f>
        <v>5.6812999999999995E-2</v>
      </c>
      <c r="AH361" s="34">
        <f>SUMPRODUCT(DB_ThemeSOFAcct[[#This Row],[Act01]:[Act12]],$Q$3:$AB$3)/valUnits2</f>
        <v>5.6350000000000004E-2</v>
      </c>
    </row>
    <row r="362" spans="2:34" x14ac:dyDescent="0.2">
      <c r="B362" t="s">
        <v>351</v>
      </c>
      <c r="C362" t="s">
        <v>877</v>
      </c>
      <c r="D362" t="s">
        <v>141</v>
      </c>
      <c r="H362">
        <v>92.301000000000002</v>
      </c>
      <c r="I362">
        <v>40.93</v>
      </c>
      <c r="T362">
        <v>92.4</v>
      </c>
      <c r="U362">
        <v>40.65</v>
      </c>
      <c r="AC362">
        <f>SUMPRODUCT(DB_ThemeSOFAcct[[#This Row],[Plan01]:[Plan12]],$E$14:$P$14)/valUnits2</f>
        <v>0.13323099999999999</v>
      </c>
      <c r="AD362">
        <f>SUMPRODUCT(DB_ThemeSOFAcct[[#This Row],[Act01]:[Act12]],$Q$14:$AB$14)/valUnits2</f>
        <v>0.13305</v>
      </c>
      <c r="AE362">
        <f>DB_ThemeSOFAcct[[#This Row],[Actuals]]-DB_ThemeSOFAcct[[#This Row],[Plan]]</f>
        <v>-1.8099999999998673E-4</v>
      </c>
      <c r="AF362">
        <f>IF(DB_ThemeSOFAcct[[#This Row],[Plan]]&lt;&gt;0,DB_ThemeSOFAcct[[#This Row],[Actuals]]/DB_ThemeSOFAcct[[#This Row],[Plan]],1.000011000011)</f>
        <v>0.99864145731849208</v>
      </c>
      <c r="AG362" s="34">
        <f>SUM(DB_ThemeSOFAcct[[#This Row],[Plan01]:[Plan12]])/valUnits2</f>
        <v>0.13323099999999999</v>
      </c>
      <c r="AH362" s="34">
        <f>SUMPRODUCT(DB_ThemeSOFAcct[[#This Row],[Act01]:[Act12]],$Q$3:$AB$3)/valUnits2</f>
        <v>0.13305</v>
      </c>
    </row>
    <row r="363" spans="2:34" x14ac:dyDescent="0.2">
      <c r="B363" t="s">
        <v>351</v>
      </c>
      <c r="C363" t="s">
        <v>878</v>
      </c>
      <c r="D363" t="s">
        <v>143</v>
      </c>
      <c r="E363">
        <v>0</v>
      </c>
      <c r="F363">
        <v>0</v>
      </c>
      <c r="G363">
        <v>310.13400000000001</v>
      </c>
      <c r="H363">
        <v>390.827</v>
      </c>
      <c r="I363">
        <v>310.13400000000001</v>
      </c>
      <c r="J363">
        <v>310.13400000000001</v>
      </c>
      <c r="K363">
        <v>310.13400000000001</v>
      </c>
      <c r="L363">
        <v>310.13400000000001</v>
      </c>
      <c r="M363">
        <v>310.13400000000001</v>
      </c>
      <c r="N363">
        <v>310.13400000000001</v>
      </c>
      <c r="O363">
        <v>310.13400000000001</v>
      </c>
      <c r="P363">
        <v>310.13400000000001</v>
      </c>
      <c r="Q363">
        <v>0</v>
      </c>
      <c r="R363">
        <v>0</v>
      </c>
      <c r="S363">
        <v>0</v>
      </c>
      <c r="T363">
        <v>79.55</v>
      </c>
      <c r="U363">
        <v>0</v>
      </c>
      <c r="V363">
        <v>2699.82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f>SUMPRODUCT(DB_ThemeSOFAcct[[#This Row],[Plan01]:[Plan12]],$E$14:$P$14)/valUnits2</f>
        <v>1.321229</v>
      </c>
      <c r="AD363">
        <f>SUMPRODUCT(DB_ThemeSOFAcct[[#This Row],[Act01]:[Act12]],$Q$14:$AB$14)/valUnits2</f>
        <v>2.7793700000000006</v>
      </c>
      <c r="AE363">
        <f>DB_ThemeSOFAcct[[#This Row],[Actuals]]-DB_ThemeSOFAcct[[#This Row],[Plan]]</f>
        <v>1.4581410000000006</v>
      </c>
      <c r="AF363">
        <f>IF(DB_ThemeSOFAcct[[#This Row],[Plan]]&lt;&gt;0,DB_ThemeSOFAcct[[#This Row],[Actuals]]/DB_ThemeSOFAcct[[#This Row],[Plan]],1.000011000011)</f>
        <v>2.1036247312161636</v>
      </c>
      <c r="AG363" s="34">
        <f>SUM(DB_ThemeSOFAcct[[#This Row],[Plan01]:[Plan12]])/valUnits2</f>
        <v>3.1820330000000006</v>
      </c>
      <c r="AH363" s="34">
        <f>SUMPRODUCT(DB_ThemeSOFAcct[[#This Row],[Act01]:[Act12]],$Q$3:$AB$3)/valUnits2</f>
        <v>2.7793700000000006</v>
      </c>
    </row>
    <row r="364" spans="2:34" x14ac:dyDescent="0.2">
      <c r="B364" t="s">
        <v>351</v>
      </c>
      <c r="C364" t="s">
        <v>878</v>
      </c>
      <c r="D364" t="s">
        <v>235</v>
      </c>
      <c r="E364">
        <v>0</v>
      </c>
      <c r="G364">
        <v>145.85900000000001</v>
      </c>
      <c r="H364">
        <v>151.744</v>
      </c>
      <c r="I364">
        <v>145.85900000000001</v>
      </c>
      <c r="J364">
        <v>145.85900000000001</v>
      </c>
      <c r="K364">
        <v>145.85900000000001</v>
      </c>
      <c r="L364">
        <v>145.85900000000001</v>
      </c>
      <c r="M364">
        <v>145.85900000000001</v>
      </c>
      <c r="N364">
        <v>145.85900000000001</v>
      </c>
      <c r="O364">
        <v>145.85900000000001</v>
      </c>
      <c r="P364">
        <v>145.85900000000001</v>
      </c>
      <c r="Q364">
        <v>0</v>
      </c>
      <c r="S364">
        <v>0</v>
      </c>
      <c r="T364">
        <v>9.98</v>
      </c>
      <c r="U364">
        <v>0</v>
      </c>
      <c r="V364">
        <v>109.13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f>SUMPRODUCT(DB_ThemeSOFAcct[[#This Row],[Plan01]:[Plan12]],$E$14:$P$14)/valUnits2</f>
        <v>0.58932099999999998</v>
      </c>
      <c r="AD364">
        <f>SUMPRODUCT(DB_ThemeSOFAcct[[#This Row],[Act01]:[Act12]],$Q$14:$AB$14)/valUnits2</f>
        <v>0.11910999999999999</v>
      </c>
      <c r="AE364">
        <f>DB_ThemeSOFAcct[[#This Row],[Actuals]]-DB_ThemeSOFAcct[[#This Row],[Plan]]</f>
        <v>-0.47021099999999999</v>
      </c>
      <c r="AF364">
        <f>IF(DB_ThemeSOFAcct[[#This Row],[Plan]]&lt;&gt;0,DB_ThemeSOFAcct[[#This Row],[Actuals]]/DB_ThemeSOFAcct[[#This Row],[Plan]],1.000011000011)</f>
        <v>0.20211395826722617</v>
      </c>
      <c r="AG364" s="34">
        <f>SUM(DB_ThemeSOFAcct[[#This Row],[Plan01]:[Plan12]])/valUnits2</f>
        <v>1.464475</v>
      </c>
      <c r="AH364" s="34">
        <f>SUMPRODUCT(DB_ThemeSOFAcct[[#This Row],[Act01]:[Act12]],$Q$3:$AB$3)/valUnits2</f>
        <v>0.11910999999999999</v>
      </c>
    </row>
    <row r="365" spans="2:34" x14ac:dyDescent="0.2">
      <c r="B365" t="s">
        <v>351</v>
      </c>
      <c r="C365" t="s">
        <v>878</v>
      </c>
      <c r="D365" t="s">
        <v>140</v>
      </c>
      <c r="E365">
        <v>0</v>
      </c>
      <c r="F365">
        <v>252.773</v>
      </c>
      <c r="G365">
        <v>984.47000000000014</v>
      </c>
      <c r="H365">
        <v>984.47000000000014</v>
      </c>
      <c r="I365">
        <v>1232.9650000000001</v>
      </c>
      <c r="J365">
        <v>984.47000000000014</v>
      </c>
      <c r="K365">
        <v>984.47000000000014</v>
      </c>
      <c r="L365">
        <v>984.47000000000014</v>
      </c>
      <c r="M365">
        <v>984.47000000000014</v>
      </c>
      <c r="N365">
        <v>984.47000000000014</v>
      </c>
      <c r="O365">
        <v>984.47000000000014</v>
      </c>
      <c r="P365">
        <v>984.47000000000014</v>
      </c>
      <c r="Q365">
        <v>0</v>
      </c>
      <c r="R365">
        <v>253.9</v>
      </c>
      <c r="S365">
        <v>0</v>
      </c>
      <c r="T365">
        <v>0</v>
      </c>
      <c r="U365">
        <v>263.16000000000003</v>
      </c>
      <c r="V365">
        <v>2531.0700000000002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f>SUMPRODUCT(DB_ThemeSOFAcct[[#This Row],[Plan01]:[Plan12]],$E$14:$P$14)/valUnits2</f>
        <v>4.4391480000000003</v>
      </c>
      <c r="AD365">
        <f>SUMPRODUCT(DB_ThemeSOFAcct[[#This Row],[Act01]:[Act12]],$Q$14:$AB$14)/valUnits2</f>
        <v>3.04813</v>
      </c>
      <c r="AE365">
        <f>DB_ThemeSOFAcct[[#This Row],[Actuals]]-DB_ThemeSOFAcct[[#This Row],[Plan]]</f>
        <v>-1.3910180000000003</v>
      </c>
      <c r="AF365">
        <f>IF(DB_ThemeSOFAcct[[#This Row],[Plan]]&lt;&gt;0,DB_ThemeSOFAcct[[#This Row],[Actuals]]/DB_ThemeSOFAcct[[#This Row],[Plan]],1.000011000011)</f>
        <v>0.68664752785894945</v>
      </c>
      <c r="AG365" s="34">
        <f>SUM(DB_ThemeSOFAcct[[#This Row],[Plan01]:[Plan12]])/valUnits2</f>
        <v>10.345967999999999</v>
      </c>
      <c r="AH365" s="34">
        <f>SUMPRODUCT(DB_ThemeSOFAcct[[#This Row],[Act01]:[Act12]],$Q$3:$AB$3)/valUnits2</f>
        <v>3.04813</v>
      </c>
    </row>
    <row r="366" spans="2:34" x14ac:dyDescent="0.2">
      <c r="B366" t="s">
        <v>351</v>
      </c>
      <c r="C366" t="s">
        <v>878</v>
      </c>
      <c r="D366" t="s">
        <v>236</v>
      </c>
      <c r="E366">
        <v>0</v>
      </c>
      <c r="Q366">
        <v>0</v>
      </c>
      <c r="AC366">
        <f>SUMPRODUCT(DB_ThemeSOFAcct[[#This Row],[Plan01]:[Plan12]],$E$14:$P$14)/valUnits2</f>
        <v>0</v>
      </c>
      <c r="AD366">
        <f>SUMPRODUCT(DB_ThemeSOFAcct[[#This Row],[Act01]:[Act12]],$Q$14:$AB$14)/valUnits2</f>
        <v>0</v>
      </c>
      <c r="AE366">
        <f>DB_ThemeSOFAcct[[#This Row],[Actuals]]-DB_ThemeSOFAcct[[#This Row],[Plan]]</f>
        <v>0</v>
      </c>
      <c r="AF366">
        <f>IF(DB_ThemeSOFAcct[[#This Row],[Plan]]&lt;&gt;0,DB_ThemeSOFAcct[[#This Row],[Actuals]]/DB_ThemeSOFAcct[[#This Row],[Plan]],1.000011000011)</f>
        <v>1.0000110000110001</v>
      </c>
      <c r="AG366" s="34">
        <f>SUM(DB_ThemeSOFAcct[[#This Row],[Plan01]:[Plan12]])/valUnits2</f>
        <v>0</v>
      </c>
      <c r="AH366" s="34">
        <f>SUMPRODUCT(DB_ThemeSOFAcct[[#This Row],[Act01]:[Act12]],$Q$3:$AB$3)/valUnits2</f>
        <v>0</v>
      </c>
    </row>
    <row r="367" spans="2:34" x14ac:dyDescent="0.2">
      <c r="B367" t="s">
        <v>351</v>
      </c>
      <c r="C367" t="s">
        <v>878</v>
      </c>
      <c r="D367" t="s">
        <v>237</v>
      </c>
      <c r="H367">
        <v>2.6159999999999997</v>
      </c>
      <c r="J367">
        <v>0</v>
      </c>
      <c r="T367">
        <v>2.65</v>
      </c>
      <c r="V367">
        <v>61.32</v>
      </c>
      <c r="AC367">
        <f>SUMPRODUCT(DB_ThemeSOFAcct[[#This Row],[Plan01]:[Plan12]],$E$14:$P$14)/valUnits2</f>
        <v>2.6159999999999998E-3</v>
      </c>
      <c r="AD367">
        <f>SUMPRODUCT(DB_ThemeSOFAcct[[#This Row],[Act01]:[Act12]],$Q$14:$AB$14)/valUnits2</f>
        <v>6.3969999999999999E-2</v>
      </c>
      <c r="AE367">
        <f>DB_ThemeSOFAcct[[#This Row],[Actuals]]-DB_ThemeSOFAcct[[#This Row],[Plan]]</f>
        <v>6.1353999999999999E-2</v>
      </c>
      <c r="AF367">
        <f>IF(DB_ThemeSOFAcct[[#This Row],[Plan]]&lt;&gt;0,DB_ThemeSOFAcct[[#This Row],[Actuals]]/DB_ThemeSOFAcct[[#This Row],[Plan]],1.000011000011)</f>
        <v>24.453363914373089</v>
      </c>
      <c r="AG367" s="34">
        <f>SUM(DB_ThemeSOFAcct[[#This Row],[Plan01]:[Plan12]])/valUnits2</f>
        <v>2.6159999999999998E-3</v>
      </c>
      <c r="AH367" s="34">
        <f>SUMPRODUCT(DB_ThemeSOFAcct[[#This Row],[Act01]:[Act12]],$Q$3:$AB$3)/valUnits2</f>
        <v>6.3969999999999999E-2</v>
      </c>
    </row>
    <row r="368" spans="2:34" x14ac:dyDescent="0.2">
      <c r="B368" t="s">
        <v>351</v>
      </c>
      <c r="C368" t="s">
        <v>878</v>
      </c>
      <c r="D368" t="s">
        <v>141</v>
      </c>
      <c r="E368">
        <v>0</v>
      </c>
      <c r="F368">
        <v>0</v>
      </c>
      <c r="H368">
        <v>0.67</v>
      </c>
      <c r="J368">
        <v>0</v>
      </c>
      <c r="Q368">
        <v>0</v>
      </c>
      <c r="R368">
        <v>0</v>
      </c>
      <c r="T368">
        <v>0.68</v>
      </c>
      <c r="V368">
        <v>40.549999999999997</v>
      </c>
      <c r="AC368">
        <f>SUMPRODUCT(DB_ThemeSOFAcct[[#This Row],[Plan01]:[Plan12]],$E$14:$P$14)/valUnits2</f>
        <v>6.7000000000000002E-4</v>
      </c>
      <c r="AD368">
        <f>SUMPRODUCT(DB_ThemeSOFAcct[[#This Row],[Act01]:[Act12]],$Q$14:$AB$14)/valUnits2</f>
        <v>4.1229999999999996E-2</v>
      </c>
      <c r="AE368">
        <f>DB_ThemeSOFAcct[[#This Row],[Actuals]]-DB_ThemeSOFAcct[[#This Row],[Plan]]</f>
        <v>4.0559999999999999E-2</v>
      </c>
      <c r="AF368">
        <f>IF(DB_ThemeSOFAcct[[#This Row],[Plan]]&lt;&gt;0,DB_ThemeSOFAcct[[#This Row],[Actuals]]/DB_ThemeSOFAcct[[#This Row],[Plan]],1.000011000011)</f>
        <v>61.537313432835809</v>
      </c>
      <c r="AG368" s="34">
        <f>SUM(DB_ThemeSOFAcct[[#This Row],[Plan01]:[Plan12]])/valUnits2</f>
        <v>6.7000000000000002E-4</v>
      </c>
      <c r="AH368" s="34">
        <f>SUMPRODUCT(DB_ThemeSOFAcct[[#This Row],[Act01]:[Act12]],$Q$3:$AB$3)/valUnits2</f>
        <v>4.1229999999999996E-2</v>
      </c>
    </row>
    <row r="369" spans="2:34" x14ac:dyDescent="0.2">
      <c r="B369" t="s">
        <v>351</v>
      </c>
      <c r="C369" t="s">
        <v>881</v>
      </c>
      <c r="D369" t="s">
        <v>143</v>
      </c>
      <c r="H369">
        <v>633.50000000000011</v>
      </c>
      <c r="I369">
        <v>498.46000000000004</v>
      </c>
      <c r="J369">
        <v>221.40199999999999</v>
      </c>
      <c r="K369">
        <v>442.80399999999997</v>
      </c>
      <c r="L369">
        <v>221.40199999999999</v>
      </c>
      <c r="M369">
        <v>221.40199999999999</v>
      </c>
      <c r="N369">
        <v>221.40199999999999</v>
      </c>
      <c r="O369">
        <v>221.40199999999999</v>
      </c>
      <c r="P369">
        <v>442.80399999999997</v>
      </c>
      <c r="T369">
        <v>633.50000000000011</v>
      </c>
      <c r="U369">
        <v>484.65</v>
      </c>
      <c r="V369">
        <v>495.42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f>SUMPRODUCT(DB_ThemeSOFAcct[[#This Row],[Plan01]:[Plan12]],$E$14:$P$14)/valUnits2</f>
        <v>1.3533620000000002</v>
      </c>
      <c r="AD369">
        <f>SUMPRODUCT(DB_ThemeSOFAcct[[#This Row],[Act01]:[Act12]],$Q$14:$AB$14)/valUnits2</f>
        <v>1.6135700000000002</v>
      </c>
      <c r="AE369">
        <f>DB_ThemeSOFAcct[[#This Row],[Actuals]]-DB_ThemeSOFAcct[[#This Row],[Plan]]</f>
        <v>0.26020799999999999</v>
      </c>
      <c r="AF369">
        <f>IF(DB_ThemeSOFAcct[[#This Row],[Plan]]&lt;&gt;0,DB_ThemeSOFAcct[[#This Row],[Actuals]]/DB_ThemeSOFAcct[[#This Row],[Plan]],1.000011000011)</f>
        <v>1.1922678485135536</v>
      </c>
      <c r="AG369" s="34">
        <f>SUM(DB_ThemeSOFAcct[[#This Row],[Plan01]:[Plan12]])/valUnits2</f>
        <v>3.1245780000000005</v>
      </c>
      <c r="AH369" s="34">
        <f>SUMPRODUCT(DB_ThemeSOFAcct[[#This Row],[Act01]:[Act12]],$Q$3:$AB$3)/valUnits2</f>
        <v>1.6135700000000002</v>
      </c>
    </row>
    <row r="370" spans="2:34" x14ac:dyDescent="0.2">
      <c r="B370" t="s">
        <v>351</v>
      </c>
      <c r="C370" t="s">
        <v>881</v>
      </c>
      <c r="D370" t="s">
        <v>235</v>
      </c>
      <c r="I370">
        <v>142.82</v>
      </c>
      <c r="J370">
        <v>0</v>
      </c>
      <c r="U370">
        <v>158.93</v>
      </c>
      <c r="V370">
        <v>83.570000000000007</v>
      </c>
      <c r="AC370">
        <f>SUMPRODUCT(DB_ThemeSOFAcct[[#This Row],[Plan01]:[Plan12]],$E$14:$P$14)/valUnits2</f>
        <v>0.14282</v>
      </c>
      <c r="AD370">
        <f>SUMPRODUCT(DB_ThemeSOFAcct[[#This Row],[Act01]:[Act12]],$Q$14:$AB$14)/valUnits2</f>
        <v>0.24249999999999999</v>
      </c>
      <c r="AE370">
        <f>DB_ThemeSOFAcct[[#This Row],[Actuals]]-DB_ThemeSOFAcct[[#This Row],[Plan]]</f>
        <v>9.9679999999999991E-2</v>
      </c>
      <c r="AF370">
        <f>IF(DB_ThemeSOFAcct[[#This Row],[Plan]]&lt;&gt;0,DB_ThemeSOFAcct[[#This Row],[Actuals]]/DB_ThemeSOFAcct[[#This Row],[Plan]],1.000011000011)</f>
        <v>1.6979414647808428</v>
      </c>
      <c r="AG370" s="34">
        <f>SUM(DB_ThemeSOFAcct[[#This Row],[Plan01]:[Plan12]])/valUnits2</f>
        <v>0.14282</v>
      </c>
      <c r="AH370" s="34">
        <f>SUMPRODUCT(DB_ThemeSOFAcct[[#This Row],[Act01]:[Act12]],$Q$3:$AB$3)/valUnits2</f>
        <v>0.24249999999999999</v>
      </c>
    </row>
    <row r="371" spans="2:34" x14ac:dyDescent="0.2">
      <c r="B371" t="s">
        <v>351</v>
      </c>
      <c r="C371" t="s">
        <v>881</v>
      </c>
      <c r="D371" t="s">
        <v>140</v>
      </c>
      <c r="H371">
        <v>2899.2000000000003</v>
      </c>
      <c r="I371">
        <v>1846.45</v>
      </c>
      <c r="J371">
        <v>1577.2750000000001</v>
      </c>
      <c r="K371">
        <v>3154.556</v>
      </c>
      <c r="L371">
        <v>1577.2750000000001</v>
      </c>
      <c r="M371">
        <v>1577.2750000000001</v>
      </c>
      <c r="N371">
        <v>1577.2750000000001</v>
      </c>
      <c r="O371">
        <v>1577.2750000000001</v>
      </c>
      <c r="P371">
        <v>3154.556</v>
      </c>
      <c r="T371">
        <v>2899.2000000000003</v>
      </c>
      <c r="U371">
        <v>1846.4500000000003</v>
      </c>
      <c r="V371">
        <v>1414.53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f>SUMPRODUCT(DB_ThemeSOFAcct[[#This Row],[Plan01]:[Plan12]],$E$14:$P$14)/valUnits2</f>
        <v>6.3229250000000015</v>
      </c>
      <c r="AD371">
        <f>SUMPRODUCT(DB_ThemeSOFAcct[[#This Row],[Act01]:[Act12]],$Q$14:$AB$14)/valUnits2</f>
        <v>6.1601800000000004</v>
      </c>
      <c r="AE371">
        <f>DB_ThemeSOFAcct[[#This Row],[Actuals]]-DB_ThemeSOFAcct[[#This Row],[Plan]]</f>
        <v>-0.16274500000000103</v>
      </c>
      <c r="AF371">
        <f>IF(DB_ThemeSOFAcct[[#This Row],[Plan]]&lt;&gt;0,DB_ThemeSOFAcct[[#This Row],[Actuals]]/DB_ThemeSOFAcct[[#This Row],[Plan]],1.000011000011)</f>
        <v>0.97426112123740183</v>
      </c>
      <c r="AG371" s="34">
        <f>SUM(DB_ThemeSOFAcct[[#This Row],[Plan01]:[Plan12]])/valUnits2</f>
        <v>18.941136999999998</v>
      </c>
      <c r="AH371" s="34">
        <f>SUMPRODUCT(DB_ThemeSOFAcct[[#This Row],[Act01]:[Act12]],$Q$3:$AB$3)/valUnits2</f>
        <v>6.1601800000000004</v>
      </c>
    </row>
    <row r="372" spans="2:34" x14ac:dyDescent="0.2">
      <c r="B372" t="s">
        <v>351</v>
      </c>
      <c r="C372" t="s">
        <v>881</v>
      </c>
      <c r="D372" t="s">
        <v>236</v>
      </c>
      <c r="I372">
        <v>148.13</v>
      </c>
      <c r="J372">
        <v>0</v>
      </c>
      <c r="U372">
        <v>148.13</v>
      </c>
      <c r="V372">
        <v>0.51</v>
      </c>
      <c r="AC372">
        <f>SUMPRODUCT(DB_ThemeSOFAcct[[#This Row],[Plan01]:[Plan12]],$E$14:$P$14)/valUnits2</f>
        <v>0.14812999999999998</v>
      </c>
      <c r="AD372">
        <f>SUMPRODUCT(DB_ThemeSOFAcct[[#This Row],[Act01]:[Act12]],$Q$14:$AB$14)/valUnits2</f>
        <v>0.14863999999999999</v>
      </c>
      <c r="AE372">
        <f>DB_ThemeSOFAcct[[#This Row],[Actuals]]-DB_ThemeSOFAcct[[#This Row],[Plan]]</f>
        <v>5.1000000000001044E-4</v>
      </c>
      <c r="AF372">
        <f>IF(DB_ThemeSOFAcct[[#This Row],[Plan]]&lt;&gt;0,DB_ThemeSOFAcct[[#This Row],[Actuals]]/DB_ThemeSOFAcct[[#This Row],[Plan]],1.000011000011)</f>
        <v>1.0034429217579155</v>
      </c>
      <c r="AG372" s="34">
        <f>SUM(DB_ThemeSOFAcct[[#This Row],[Plan01]:[Plan12]])/valUnits2</f>
        <v>0.14812999999999998</v>
      </c>
      <c r="AH372" s="34">
        <f>SUMPRODUCT(DB_ThemeSOFAcct[[#This Row],[Act01]:[Act12]],$Q$3:$AB$3)/valUnits2</f>
        <v>0.14863999999999999</v>
      </c>
    </row>
    <row r="373" spans="2:34" x14ac:dyDescent="0.2">
      <c r="B373" t="s">
        <v>351</v>
      </c>
      <c r="C373" t="s">
        <v>881</v>
      </c>
      <c r="D373" t="s">
        <v>237</v>
      </c>
      <c r="I373">
        <v>1.49</v>
      </c>
      <c r="U373">
        <v>1.49</v>
      </c>
      <c r="AC373">
        <f>SUMPRODUCT(DB_ThemeSOFAcct[[#This Row],[Plan01]:[Plan12]],$E$14:$P$14)/valUnits2</f>
        <v>1.49E-3</v>
      </c>
      <c r="AD373">
        <f>SUMPRODUCT(DB_ThemeSOFAcct[[#This Row],[Act01]:[Act12]],$Q$14:$AB$14)/valUnits2</f>
        <v>1.49E-3</v>
      </c>
      <c r="AE373">
        <f>DB_ThemeSOFAcct[[#This Row],[Actuals]]-DB_ThemeSOFAcct[[#This Row],[Plan]]</f>
        <v>0</v>
      </c>
      <c r="AF373">
        <f>IF(DB_ThemeSOFAcct[[#This Row],[Plan]]&lt;&gt;0,DB_ThemeSOFAcct[[#This Row],[Actuals]]/DB_ThemeSOFAcct[[#This Row],[Plan]],1.000011000011)</f>
        <v>1</v>
      </c>
      <c r="AG373" s="34">
        <f>SUM(DB_ThemeSOFAcct[[#This Row],[Plan01]:[Plan12]])/valUnits2</f>
        <v>1.49E-3</v>
      </c>
      <c r="AH373" s="34">
        <f>SUMPRODUCT(DB_ThemeSOFAcct[[#This Row],[Act01]:[Act12]],$Q$3:$AB$3)/valUnits2</f>
        <v>1.49E-3</v>
      </c>
    </row>
    <row r="374" spans="2:34" x14ac:dyDescent="0.2">
      <c r="B374" t="s">
        <v>351</v>
      </c>
      <c r="C374" t="s">
        <v>881</v>
      </c>
      <c r="D374" t="s">
        <v>141</v>
      </c>
      <c r="H374">
        <v>160.63</v>
      </c>
      <c r="I374">
        <v>86.199999999999989</v>
      </c>
      <c r="T374">
        <v>160.63</v>
      </c>
      <c r="U374">
        <v>86.2</v>
      </c>
      <c r="AC374">
        <f>SUMPRODUCT(DB_ThemeSOFAcct[[#This Row],[Plan01]:[Plan12]],$E$14:$P$14)/valUnits2</f>
        <v>0.24682999999999999</v>
      </c>
      <c r="AD374">
        <f>SUMPRODUCT(DB_ThemeSOFAcct[[#This Row],[Act01]:[Act12]],$Q$14:$AB$14)/valUnits2</f>
        <v>0.24682999999999999</v>
      </c>
      <c r="AE374">
        <f>DB_ThemeSOFAcct[[#This Row],[Actuals]]-DB_ThemeSOFAcct[[#This Row],[Plan]]</f>
        <v>0</v>
      </c>
      <c r="AF374">
        <f>IF(DB_ThemeSOFAcct[[#This Row],[Plan]]&lt;&gt;0,DB_ThemeSOFAcct[[#This Row],[Actuals]]/DB_ThemeSOFAcct[[#This Row],[Plan]],1.000011000011)</f>
        <v>1</v>
      </c>
      <c r="AG374" s="34">
        <f>SUM(DB_ThemeSOFAcct[[#This Row],[Plan01]:[Plan12]])/valUnits2</f>
        <v>0.24682999999999999</v>
      </c>
      <c r="AH374" s="34">
        <f>SUMPRODUCT(DB_ThemeSOFAcct[[#This Row],[Act01]:[Act12]],$Q$3:$AB$3)/valUnits2</f>
        <v>0.24682999999999999</v>
      </c>
    </row>
    <row r="375" spans="2:34" x14ac:dyDescent="0.2">
      <c r="B375" t="s">
        <v>351</v>
      </c>
      <c r="C375" t="s">
        <v>882</v>
      </c>
      <c r="D375" t="s">
        <v>143</v>
      </c>
      <c r="E375">
        <v>0</v>
      </c>
      <c r="F375">
        <v>0</v>
      </c>
      <c r="G375">
        <v>0</v>
      </c>
      <c r="H375">
        <v>1983.972</v>
      </c>
      <c r="I375">
        <v>495.38400000000001</v>
      </c>
      <c r="J375">
        <v>2055.0790000000002</v>
      </c>
      <c r="K375">
        <v>2055.0790000000002</v>
      </c>
      <c r="L375">
        <v>2055.0790000000002</v>
      </c>
      <c r="M375">
        <v>2055.0790000000002</v>
      </c>
      <c r="N375">
        <v>2055.0790000000002</v>
      </c>
      <c r="O375">
        <v>2055.0790000000002</v>
      </c>
      <c r="P375">
        <v>2055.0790000000002</v>
      </c>
      <c r="Q375">
        <v>0</v>
      </c>
      <c r="R375">
        <v>0</v>
      </c>
      <c r="S375">
        <v>0</v>
      </c>
      <c r="T375">
        <v>1901.53</v>
      </c>
      <c r="U375">
        <v>481.28999999999991</v>
      </c>
      <c r="V375">
        <v>481.57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f>SUMPRODUCT(DB_ThemeSOFAcct[[#This Row],[Plan01]:[Plan12]],$E$14:$P$14)/valUnits2</f>
        <v>4.5344349999999993</v>
      </c>
      <c r="AD375">
        <f>SUMPRODUCT(DB_ThemeSOFAcct[[#This Row],[Act01]:[Act12]],$Q$14:$AB$14)/valUnits2</f>
        <v>2.8643899999999998</v>
      </c>
      <c r="AE375">
        <f>DB_ThemeSOFAcct[[#This Row],[Actuals]]-DB_ThemeSOFAcct[[#This Row],[Plan]]</f>
        <v>-1.6700449999999996</v>
      </c>
      <c r="AF375">
        <f>IF(DB_ThemeSOFAcct[[#This Row],[Plan]]&lt;&gt;0,DB_ThemeSOFAcct[[#This Row],[Actuals]]/DB_ThemeSOFAcct[[#This Row],[Plan]],1.000011000011)</f>
        <v>0.63169722357912295</v>
      </c>
      <c r="AG375" s="34">
        <f>SUM(DB_ThemeSOFAcct[[#This Row],[Plan01]:[Plan12]])/valUnits2</f>
        <v>16.864909000000001</v>
      </c>
      <c r="AH375" s="34">
        <f>SUMPRODUCT(DB_ThemeSOFAcct[[#This Row],[Act01]:[Act12]],$Q$3:$AB$3)/valUnits2</f>
        <v>2.8643899999999998</v>
      </c>
    </row>
    <row r="376" spans="2:34" x14ac:dyDescent="0.2">
      <c r="B376" t="s">
        <v>351</v>
      </c>
      <c r="C376" t="s">
        <v>882</v>
      </c>
      <c r="D376" t="s">
        <v>235</v>
      </c>
      <c r="E376">
        <v>0</v>
      </c>
      <c r="F376">
        <v>0</v>
      </c>
      <c r="G376">
        <v>0</v>
      </c>
      <c r="H376">
        <v>109.643</v>
      </c>
      <c r="I376">
        <v>141.68200000000002</v>
      </c>
      <c r="J376">
        <v>391.291</v>
      </c>
      <c r="K376">
        <v>391.291</v>
      </c>
      <c r="L376">
        <v>391.291</v>
      </c>
      <c r="M376">
        <v>391.291</v>
      </c>
      <c r="N376">
        <v>391.291</v>
      </c>
      <c r="O376">
        <v>391.291</v>
      </c>
      <c r="P376">
        <v>391.291</v>
      </c>
      <c r="Q376">
        <v>0</v>
      </c>
      <c r="R376">
        <v>0</v>
      </c>
      <c r="S376">
        <v>0</v>
      </c>
      <c r="T376">
        <v>182.95999999999998</v>
      </c>
      <c r="U376">
        <v>157.80000000000001</v>
      </c>
      <c r="V376">
        <v>25.61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f>SUMPRODUCT(DB_ThemeSOFAcct[[#This Row],[Plan01]:[Plan12]],$E$14:$P$14)/valUnits2</f>
        <v>0.64261599999999997</v>
      </c>
      <c r="AD376">
        <f>SUMPRODUCT(DB_ThemeSOFAcct[[#This Row],[Act01]:[Act12]],$Q$14:$AB$14)/valUnits2</f>
        <v>0.36637000000000003</v>
      </c>
      <c r="AE376">
        <f>DB_ThemeSOFAcct[[#This Row],[Actuals]]-DB_ThemeSOFAcct[[#This Row],[Plan]]</f>
        <v>-0.27624599999999994</v>
      </c>
      <c r="AF376">
        <f>IF(DB_ThemeSOFAcct[[#This Row],[Plan]]&lt;&gt;0,DB_ThemeSOFAcct[[#This Row],[Actuals]]/DB_ThemeSOFAcct[[#This Row],[Plan]],1.000011000011)</f>
        <v>0.57012274826646092</v>
      </c>
      <c r="AG376" s="34">
        <f>SUM(DB_ThemeSOFAcct[[#This Row],[Plan01]:[Plan12]])/valUnits2</f>
        <v>2.9903620000000002</v>
      </c>
      <c r="AH376" s="34">
        <f>SUMPRODUCT(DB_ThemeSOFAcct[[#This Row],[Act01]:[Act12]],$Q$3:$AB$3)/valUnits2</f>
        <v>0.36637000000000003</v>
      </c>
    </row>
    <row r="377" spans="2:34" x14ac:dyDescent="0.2">
      <c r="B377" t="s">
        <v>351</v>
      </c>
      <c r="C377" t="s">
        <v>882</v>
      </c>
      <c r="D377" t="s">
        <v>142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1394.9540000000002</v>
      </c>
      <c r="K377">
        <v>1394.9540000000002</v>
      </c>
      <c r="L377">
        <v>1394.9540000000002</v>
      </c>
      <c r="M377">
        <v>1394.9540000000002</v>
      </c>
      <c r="N377">
        <v>1394.9540000000002</v>
      </c>
      <c r="O377">
        <v>1394.9540000000002</v>
      </c>
      <c r="P377">
        <v>1394.9540000000002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f>SUMPRODUCT(DB_ThemeSOFAcct[[#This Row],[Plan01]:[Plan12]],$E$14:$P$14)/valUnits2</f>
        <v>1.3949540000000002</v>
      </c>
      <c r="AD377">
        <f>SUMPRODUCT(DB_ThemeSOFAcct[[#This Row],[Act01]:[Act12]],$Q$14:$AB$14)/valUnits2</f>
        <v>0</v>
      </c>
      <c r="AE377">
        <f>DB_ThemeSOFAcct[[#This Row],[Actuals]]-DB_ThemeSOFAcct[[#This Row],[Plan]]</f>
        <v>-1.3949540000000002</v>
      </c>
      <c r="AF377">
        <f>IF(DB_ThemeSOFAcct[[#This Row],[Plan]]&lt;&gt;0,DB_ThemeSOFAcct[[#This Row],[Actuals]]/DB_ThemeSOFAcct[[#This Row],[Plan]],1.000011000011)</f>
        <v>0</v>
      </c>
      <c r="AG377" s="34">
        <f>SUM(DB_ThemeSOFAcct[[#This Row],[Plan01]:[Plan12]])/valUnits2</f>
        <v>9.764678</v>
      </c>
      <c r="AH377" s="34">
        <f>SUMPRODUCT(DB_ThemeSOFAcct[[#This Row],[Act01]:[Act12]],$Q$3:$AB$3)/valUnits2</f>
        <v>0</v>
      </c>
    </row>
    <row r="378" spans="2:34" x14ac:dyDescent="0.2">
      <c r="B378" t="s">
        <v>351</v>
      </c>
      <c r="C378" t="s">
        <v>882</v>
      </c>
      <c r="D378" t="s">
        <v>140</v>
      </c>
      <c r="E378">
        <v>1352.0840000000001</v>
      </c>
      <c r="F378">
        <v>1363.2240000000002</v>
      </c>
      <c r="G378">
        <v>1887.8979999999997</v>
      </c>
      <c r="H378">
        <v>2378.3580000000002</v>
      </c>
      <c r="I378">
        <v>2769.0990000000002</v>
      </c>
      <c r="J378">
        <v>702.95400000000006</v>
      </c>
      <c r="K378">
        <v>702.95400000000006</v>
      </c>
      <c r="L378">
        <v>702.95400000000006</v>
      </c>
      <c r="M378">
        <v>702.95400000000006</v>
      </c>
      <c r="N378">
        <v>702.95400000000006</v>
      </c>
      <c r="O378">
        <v>702.95400000000006</v>
      </c>
      <c r="P378">
        <v>702.95400000000006</v>
      </c>
      <c r="Q378">
        <v>1332.0900000000001</v>
      </c>
      <c r="R378">
        <v>1391.8100000000002</v>
      </c>
      <c r="S378">
        <v>1904.99</v>
      </c>
      <c r="T378">
        <v>2360.1499999999992</v>
      </c>
      <c r="U378">
        <v>2760.86</v>
      </c>
      <c r="V378">
        <v>1945.22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f>SUMPRODUCT(DB_ThemeSOFAcct[[#This Row],[Plan01]:[Plan12]],$E$14:$P$14)/valUnits2</f>
        <v>10.453616999999999</v>
      </c>
      <c r="AD378">
        <f>SUMPRODUCT(DB_ThemeSOFAcct[[#This Row],[Act01]:[Act12]],$Q$14:$AB$14)/valUnits2</f>
        <v>11.695119999999999</v>
      </c>
      <c r="AE378">
        <f>DB_ThemeSOFAcct[[#This Row],[Actuals]]-DB_ThemeSOFAcct[[#This Row],[Plan]]</f>
        <v>1.2415029999999998</v>
      </c>
      <c r="AF378">
        <f>IF(DB_ThemeSOFAcct[[#This Row],[Plan]]&lt;&gt;0,DB_ThemeSOFAcct[[#This Row],[Actuals]]/DB_ThemeSOFAcct[[#This Row],[Plan]],1.000011000011)</f>
        <v>1.1187630080574025</v>
      </c>
      <c r="AG378" s="34">
        <f>SUM(DB_ThemeSOFAcct[[#This Row],[Plan01]:[Plan12]])/valUnits2</f>
        <v>14.671340999999998</v>
      </c>
      <c r="AH378" s="34">
        <f>SUMPRODUCT(DB_ThemeSOFAcct[[#This Row],[Act01]:[Act12]],$Q$3:$AB$3)/valUnits2</f>
        <v>11.695119999999999</v>
      </c>
    </row>
    <row r="379" spans="2:34" x14ac:dyDescent="0.2">
      <c r="B379" t="s">
        <v>351</v>
      </c>
      <c r="C379" t="s">
        <v>882</v>
      </c>
      <c r="D379" t="s">
        <v>236</v>
      </c>
      <c r="I379">
        <v>148.87899999999999</v>
      </c>
      <c r="J379">
        <v>0</v>
      </c>
      <c r="U379">
        <v>148.07</v>
      </c>
      <c r="V379">
        <v>0.42</v>
      </c>
      <c r="AC379">
        <f>SUMPRODUCT(DB_ThemeSOFAcct[[#This Row],[Plan01]:[Plan12]],$E$14:$P$14)/valUnits2</f>
        <v>0.14887899999999998</v>
      </c>
      <c r="AD379">
        <f>SUMPRODUCT(DB_ThemeSOFAcct[[#This Row],[Act01]:[Act12]],$Q$14:$AB$14)/valUnits2</f>
        <v>0.14848999999999998</v>
      </c>
      <c r="AE379">
        <f>DB_ThemeSOFAcct[[#This Row],[Actuals]]-DB_ThemeSOFAcct[[#This Row],[Plan]]</f>
        <v>-3.8900000000000046E-4</v>
      </c>
      <c r="AF379">
        <f>IF(DB_ThemeSOFAcct[[#This Row],[Plan]]&lt;&gt;0,DB_ThemeSOFAcct[[#This Row],[Actuals]]/DB_ThemeSOFAcct[[#This Row],[Plan]],1.000011000011)</f>
        <v>0.99738713989212713</v>
      </c>
      <c r="AG379" s="34">
        <f>SUM(DB_ThemeSOFAcct[[#This Row],[Plan01]:[Plan12]])/valUnits2</f>
        <v>0.14887899999999998</v>
      </c>
      <c r="AH379" s="34">
        <f>SUMPRODUCT(DB_ThemeSOFAcct[[#This Row],[Act01]:[Act12]],$Q$3:$AB$3)/valUnits2</f>
        <v>0.14848999999999998</v>
      </c>
    </row>
    <row r="380" spans="2:34" x14ac:dyDescent="0.2">
      <c r="B380" t="s">
        <v>351</v>
      </c>
      <c r="C380" t="s">
        <v>882</v>
      </c>
      <c r="D380" t="s">
        <v>237</v>
      </c>
      <c r="H380">
        <v>49.072000000000003</v>
      </c>
      <c r="I380">
        <v>1.4830000000000001</v>
      </c>
      <c r="T380">
        <v>48.97</v>
      </c>
      <c r="U380">
        <v>1.48</v>
      </c>
      <c r="AC380">
        <f>SUMPRODUCT(DB_ThemeSOFAcct[[#This Row],[Plan01]:[Plan12]],$E$14:$P$14)/valUnits2</f>
        <v>5.0555000000000003E-2</v>
      </c>
      <c r="AD380">
        <f>SUMPRODUCT(DB_ThemeSOFAcct[[#This Row],[Act01]:[Act12]],$Q$14:$AB$14)/valUnits2</f>
        <v>5.0449999999999995E-2</v>
      </c>
      <c r="AE380">
        <f>DB_ThemeSOFAcct[[#This Row],[Actuals]]-DB_ThemeSOFAcct[[#This Row],[Plan]]</f>
        <v>-1.0500000000000786E-4</v>
      </c>
      <c r="AF380">
        <f>IF(DB_ThemeSOFAcct[[#This Row],[Plan]]&lt;&gt;0,DB_ThemeSOFAcct[[#This Row],[Actuals]]/DB_ThemeSOFAcct[[#This Row],[Plan]],1.000011000011)</f>
        <v>0.99792305409949544</v>
      </c>
      <c r="AG380" s="34">
        <f>SUM(DB_ThemeSOFAcct[[#This Row],[Plan01]:[Plan12]])/valUnits2</f>
        <v>5.0555000000000003E-2</v>
      </c>
      <c r="AH380" s="34">
        <f>SUMPRODUCT(DB_ThemeSOFAcct[[#This Row],[Act01]:[Act12]],$Q$3:$AB$3)/valUnits2</f>
        <v>5.0449999999999995E-2</v>
      </c>
    </row>
    <row r="381" spans="2:34" x14ac:dyDescent="0.2">
      <c r="B381" t="s">
        <v>351</v>
      </c>
      <c r="C381" t="s">
        <v>882</v>
      </c>
      <c r="D381" t="s">
        <v>141</v>
      </c>
      <c r="E381">
        <v>0</v>
      </c>
      <c r="F381">
        <v>0</v>
      </c>
      <c r="G381">
        <v>0</v>
      </c>
      <c r="H381">
        <v>12.222</v>
      </c>
      <c r="I381">
        <v>20.227</v>
      </c>
      <c r="J381">
        <v>1086.92</v>
      </c>
      <c r="K381">
        <v>760.84400000000005</v>
      </c>
      <c r="L381">
        <v>760.84400000000005</v>
      </c>
      <c r="M381">
        <v>1086.92</v>
      </c>
      <c r="N381">
        <v>760.84400000000005</v>
      </c>
      <c r="O381">
        <v>760.84400000000005</v>
      </c>
      <c r="P381">
        <v>1086.92</v>
      </c>
      <c r="Q381">
        <v>0</v>
      </c>
      <c r="R381">
        <v>0</v>
      </c>
      <c r="S381">
        <v>0</v>
      </c>
      <c r="T381">
        <v>12.56</v>
      </c>
      <c r="U381">
        <v>20.09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f>SUMPRODUCT(DB_ThemeSOFAcct[[#This Row],[Plan01]:[Plan12]],$E$14:$P$14)/valUnits2</f>
        <v>1.1193690000000001</v>
      </c>
      <c r="AD381">
        <f>SUMPRODUCT(DB_ThemeSOFAcct[[#This Row],[Act01]:[Act12]],$Q$14:$AB$14)/valUnits2</f>
        <v>3.2649999999999998E-2</v>
      </c>
      <c r="AE381">
        <f>DB_ThemeSOFAcct[[#This Row],[Actuals]]-DB_ThemeSOFAcct[[#This Row],[Plan]]</f>
        <v>-1.086719</v>
      </c>
      <c r="AF381">
        <f>IF(DB_ThemeSOFAcct[[#This Row],[Plan]]&lt;&gt;0,DB_ThemeSOFAcct[[#This Row],[Actuals]]/DB_ThemeSOFAcct[[#This Row],[Plan]],1.000011000011)</f>
        <v>2.9168218880458542E-2</v>
      </c>
      <c r="AG381" s="34">
        <f>SUM(DB_ThemeSOFAcct[[#This Row],[Plan01]:[Plan12]])/valUnits2</f>
        <v>6.3365850000000004</v>
      </c>
      <c r="AH381" s="34">
        <f>SUMPRODUCT(DB_ThemeSOFAcct[[#This Row],[Act01]:[Act12]],$Q$3:$AB$3)/valUnits2</f>
        <v>3.2649999999999998E-2</v>
      </c>
    </row>
    <row r="382" spans="2:34" x14ac:dyDescent="0.2">
      <c r="B382" t="s">
        <v>351</v>
      </c>
      <c r="C382" t="s">
        <v>883</v>
      </c>
      <c r="D382" t="s">
        <v>143</v>
      </c>
      <c r="E382">
        <v>0</v>
      </c>
      <c r="H382">
        <v>1225.1790000000001</v>
      </c>
      <c r="I382">
        <v>1006.502</v>
      </c>
      <c r="J382">
        <v>546.23699999999997</v>
      </c>
      <c r="K382">
        <v>546.23699999999997</v>
      </c>
      <c r="L382">
        <v>546.23699999999997</v>
      </c>
      <c r="M382">
        <v>542.52</v>
      </c>
      <c r="N382">
        <v>542.52</v>
      </c>
      <c r="O382">
        <v>542.52</v>
      </c>
      <c r="P382">
        <v>542.52</v>
      </c>
      <c r="Q382">
        <v>0</v>
      </c>
      <c r="T382">
        <v>1203.83</v>
      </c>
      <c r="U382">
        <v>983.24000000000012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f>SUMPRODUCT(DB_ThemeSOFAcct[[#This Row],[Plan01]:[Plan12]],$E$14:$P$14)/valUnits2</f>
        <v>2.7779180000000001</v>
      </c>
      <c r="AD382">
        <f>SUMPRODUCT(DB_ThemeSOFAcct[[#This Row],[Act01]:[Act12]],$Q$14:$AB$14)/valUnits2</f>
        <v>2.1870700000000003</v>
      </c>
      <c r="AE382">
        <f>DB_ThemeSOFAcct[[#This Row],[Actuals]]-DB_ThemeSOFAcct[[#This Row],[Plan]]</f>
        <v>-0.59084799999999982</v>
      </c>
      <c r="AF382">
        <f>IF(DB_ThemeSOFAcct[[#This Row],[Plan]]&lt;&gt;0,DB_ThemeSOFAcct[[#This Row],[Actuals]]/DB_ThemeSOFAcct[[#This Row],[Plan]],1.000011000011)</f>
        <v>0.78730545682053976</v>
      </c>
      <c r="AG382" s="34">
        <f>SUM(DB_ThemeSOFAcct[[#This Row],[Plan01]:[Plan12]])/valUnits2</f>
        <v>6.0404720000000012</v>
      </c>
      <c r="AH382" s="34">
        <f>SUMPRODUCT(DB_ThemeSOFAcct[[#This Row],[Act01]:[Act12]],$Q$3:$AB$3)/valUnits2</f>
        <v>2.1870700000000003</v>
      </c>
    </row>
    <row r="383" spans="2:34" x14ac:dyDescent="0.2">
      <c r="B383" t="s">
        <v>351</v>
      </c>
      <c r="C383" t="s">
        <v>883</v>
      </c>
      <c r="D383" t="s">
        <v>235</v>
      </c>
      <c r="E383">
        <v>0</v>
      </c>
      <c r="H383">
        <v>25.919</v>
      </c>
      <c r="I383">
        <v>287.85199999999998</v>
      </c>
      <c r="J383">
        <v>342.18300000000005</v>
      </c>
      <c r="K383">
        <v>342.18300000000005</v>
      </c>
      <c r="L383">
        <v>342.18300000000005</v>
      </c>
      <c r="M383">
        <v>339.85399999999998</v>
      </c>
      <c r="N383">
        <v>339.85399999999998</v>
      </c>
      <c r="O383">
        <v>339.85399999999998</v>
      </c>
      <c r="P383">
        <v>339.85399999999998</v>
      </c>
      <c r="Q383">
        <v>0</v>
      </c>
      <c r="T383">
        <v>44.67</v>
      </c>
      <c r="U383">
        <v>322.37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f>SUMPRODUCT(DB_ThemeSOFAcct[[#This Row],[Plan01]:[Plan12]],$E$14:$P$14)/valUnits2</f>
        <v>0.65595399999999993</v>
      </c>
      <c r="AD383">
        <f>SUMPRODUCT(DB_ThemeSOFAcct[[#This Row],[Act01]:[Act12]],$Q$14:$AB$14)/valUnits2</f>
        <v>0.36704000000000003</v>
      </c>
      <c r="AE383">
        <f>DB_ThemeSOFAcct[[#This Row],[Actuals]]-DB_ThemeSOFAcct[[#This Row],[Plan]]</f>
        <v>-0.28891399999999989</v>
      </c>
      <c r="AF383">
        <f>IF(DB_ThemeSOFAcct[[#This Row],[Plan]]&lt;&gt;0,DB_ThemeSOFAcct[[#This Row],[Actuals]]/DB_ThemeSOFAcct[[#This Row],[Plan]],1.000011000011)</f>
        <v>0.5595514319601681</v>
      </c>
      <c r="AG383" s="34">
        <f>SUM(DB_ThemeSOFAcct[[#This Row],[Plan01]:[Plan12]])/valUnits2</f>
        <v>2.6997359999999997</v>
      </c>
      <c r="AH383" s="34">
        <f>SUMPRODUCT(DB_ThemeSOFAcct[[#This Row],[Act01]:[Act12]],$Q$3:$AB$3)/valUnits2</f>
        <v>0.36704000000000003</v>
      </c>
    </row>
    <row r="384" spans="2:34" x14ac:dyDescent="0.2">
      <c r="B384" t="s">
        <v>351</v>
      </c>
      <c r="C384" t="s">
        <v>883</v>
      </c>
      <c r="D384" t="s">
        <v>140</v>
      </c>
      <c r="E384">
        <v>61.866999999999997</v>
      </c>
      <c r="F384">
        <v>4252.03</v>
      </c>
      <c r="G384">
        <v>0</v>
      </c>
      <c r="H384">
        <v>11359.724999999999</v>
      </c>
      <c r="I384">
        <v>5361.8730000000005</v>
      </c>
      <c r="J384">
        <v>1745.212</v>
      </c>
      <c r="K384">
        <v>1745.212</v>
      </c>
      <c r="L384">
        <v>1745.212</v>
      </c>
      <c r="M384">
        <v>1733.338</v>
      </c>
      <c r="N384">
        <v>1733.338</v>
      </c>
      <c r="O384">
        <v>1733.338</v>
      </c>
      <c r="P384">
        <v>1733.338</v>
      </c>
      <c r="Q384">
        <v>62.19</v>
      </c>
      <c r="R384">
        <v>4346.71</v>
      </c>
      <c r="S384">
        <v>0</v>
      </c>
      <c r="T384">
        <v>11265.499999999998</v>
      </c>
      <c r="U384">
        <v>5389.829999999999</v>
      </c>
      <c r="V384">
        <v>4477.4000000000005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f>SUMPRODUCT(DB_ThemeSOFAcct[[#This Row],[Plan01]:[Plan12]],$E$14:$P$14)/valUnits2</f>
        <v>22.780707</v>
      </c>
      <c r="AD384">
        <f>SUMPRODUCT(DB_ThemeSOFAcct[[#This Row],[Act01]:[Act12]],$Q$14:$AB$14)/valUnits2</f>
        <v>25.541629999999998</v>
      </c>
      <c r="AE384">
        <f>DB_ThemeSOFAcct[[#This Row],[Actuals]]-DB_ThemeSOFAcct[[#This Row],[Plan]]</f>
        <v>2.7609229999999982</v>
      </c>
      <c r="AF384">
        <f>IF(DB_ThemeSOFAcct[[#This Row],[Plan]]&lt;&gt;0,DB_ThemeSOFAcct[[#This Row],[Actuals]]/DB_ThemeSOFAcct[[#This Row],[Plan]],1.000011000011)</f>
        <v>1.1211956678956452</v>
      </c>
      <c r="AG384" s="34">
        <f>SUM(DB_ThemeSOFAcct[[#This Row],[Plan01]:[Plan12]])/valUnits2</f>
        <v>33.204483000000003</v>
      </c>
      <c r="AH384" s="34">
        <f>SUMPRODUCT(DB_ThemeSOFAcct[[#This Row],[Act01]:[Act12]],$Q$3:$AB$3)/valUnits2</f>
        <v>25.541629999999998</v>
      </c>
    </row>
    <row r="385" spans="2:34" x14ac:dyDescent="0.2">
      <c r="B385" t="s">
        <v>351</v>
      </c>
      <c r="C385" t="s">
        <v>883</v>
      </c>
      <c r="D385" t="s">
        <v>236</v>
      </c>
      <c r="I385">
        <v>302.505</v>
      </c>
      <c r="U385">
        <v>302.84000000000003</v>
      </c>
      <c r="AC385">
        <f>SUMPRODUCT(DB_ThemeSOFAcct[[#This Row],[Plan01]:[Plan12]],$E$14:$P$14)/valUnits2</f>
        <v>0.30250499999999997</v>
      </c>
      <c r="AD385">
        <f>SUMPRODUCT(DB_ThemeSOFAcct[[#This Row],[Act01]:[Act12]],$Q$14:$AB$14)/valUnits2</f>
        <v>0.30284000000000005</v>
      </c>
      <c r="AE385">
        <f>DB_ThemeSOFAcct[[#This Row],[Actuals]]-DB_ThemeSOFAcct[[#This Row],[Plan]]</f>
        <v>3.3500000000008523E-4</v>
      </c>
      <c r="AF385">
        <f>IF(DB_ThemeSOFAcct[[#This Row],[Plan]]&lt;&gt;0,DB_ThemeSOFAcct[[#This Row],[Actuals]]/DB_ThemeSOFAcct[[#This Row],[Plan]],1.000011000011)</f>
        <v>1.0011074197120711</v>
      </c>
      <c r="AG385" s="34">
        <f>SUM(DB_ThemeSOFAcct[[#This Row],[Plan01]:[Plan12]])/valUnits2</f>
        <v>0.30250499999999997</v>
      </c>
      <c r="AH385" s="34">
        <f>SUMPRODUCT(DB_ThemeSOFAcct[[#This Row],[Act01]:[Act12]],$Q$3:$AB$3)/valUnits2</f>
        <v>0.30284000000000005</v>
      </c>
    </row>
    <row r="386" spans="2:34" x14ac:dyDescent="0.2">
      <c r="B386" t="s">
        <v>351</v>
      </c>
      <c r="C386" t="s">
        <v>883</v>
      </c>
      <c r="D386" t="s">
        <v>237</v>
      </c>
      <c r="E386">
        <v>0</v>
      </c>
      <c r="G386">
        <v>0</v>
      </c>
      <c r="H386">
        <v>12.344999999999999</v>
      </c>
      <c r="I386">
        <v>3.0249999999999999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S386">
        <v>0</v>
      </c>
      <c r="T386">
        <v>11.95</v>
      </c>
      <c r="U386">
        <v>3.03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f>SUMPRODUCT(DB_ThemeSOFAcct[[#This Row],[Plan01]:[Plan12]],$E$14:$P$14)/valUnits2</f>
        <v>1.537E-2</v>
      </c>
      <c r="AD386">
        <f>SUMPRODUCT(DB_ThemeSOFAcct[[#This Row],[Act01]:[Act12]],$Q$14:$AB$14)/valUnits2</f>
        <v>1.4979999999999999E-2</v>
      </c>
      <c r="AE386">
        <f>DB_ThemeSOFAcct[[#This Row],[Actuals]]-DB_ThemeSOFAcct[[#This Row],[Plan]]</f>
        <v>-3.9000000000000146E-4</v>
      </c>
      <c r="AF386">
        <f>IF(DB_ThemeSOFAcct[[#This Row],[Plan]]&lt;&gt;0,DB_ThemeSOFAcct[[#This Row],[Actuals]]/DB_ThemeSOFAcct[[#This Row],[Plan]],1.000011000011)</f>
        <v>0.97462589459986981</v>
      </c>
      <c r="AG386" s="34">
        <f>SUM(DB_ThemeSOFAcct[[#This Row],[Plan01]:[Plan12]])/valUnits2</f>
        <v>1.537E-2</v>
      </c>
      <c r="AH386" s="34">
        <f>SUMPRODUCT(DB_ThemeSOFAcct[[#This Row],[Act01]:[Act12]],$Q$3:$AB$3)/valUnits2</f>
        <v>1.4979999999999999E-2</v>
      </c>
    </row>
    <row r="387" spans="2:34" x14ac:dyDescent="0.2">
      <c r="B387" t="s">
        <v>351</v>
      </c>
      <c r="C387" t="s">
        <v>883</v>
      </c>
      <c r="D387" t="s">
        <v>141</v>
      </c>
      <c r="G387">
        <v>134.13900000000001</v>
      </c>
      <c r="H387">
        <v>3.0150000000000001</v>
      </c>
      <c r="I387">
        <v>40.914999999999999</v>
      </c>
      <c r="S387">
        <v>133.39000000000001</v>
      </c>
      <c r="T387">
        <v>3.06</v>
      </c>
      <c r="U387">
        <v>41.04</v>
      </c>
      <c r="AC387">
        <f>SUMPRODUCT(DB_ThemeSOFAcct[[#This Row],[Plan01]:[Plan12]],$E$14:$P$14)/valUnits2</f>
        <v>0.17806899999999998</v>
      </c>
      <c r="AD387">
        <f>SUMPRODUCT(DB_ThemeSOFAcct[[#This Row],[Act01]:[Act12]],$Q$14:$AB$14)/valUnits2</f>
        <v>0.17749000000000001</v>
      </c>
      <c r="AE387">
        <f>DB_ThemeSOFAcct[[#This Row],[Actuals]]-DB_ThemeSOFAcct[[#This Row],[Plan]]</f>
        <v>-5.7899999999996843E-4</v>
      </c>
      <c r="AF387">
        <f>IF(DB_ThemeSOFAcct[[#This Row],[Plan]]&lt;&gt;0,DB_ThemeSOFAcct[[#This Row],[Actuals]]/DB_ThemeSOFAcct[[#This Row],[Plan]],1.000011000011)</f>
        <v>0.99674845144298019</v>
      </c>
      <c r="AG387" s="34">
        <f>SUM(DB_ThemeSOFAcct[[#This Row],[Plan01]:[Plan12]])/valUnits2</f>
        <v>0.17806899999999998</v>
      </c>
      <c r="AH387" s="34">
        <f>SUMPRODUCT(DB_ThemeSOFAcct[[#This Row],[Act01]:[Act12]],$Q$3:$AB$3)/valUnits2</f>
        <v>0.17749000000000001</v>
      </c>
    </row>
    <row r="388" spans="2:34" x14ac:dyDescent="0.2">
      <c r="B388" t="s">
        <v>351</v>
      </c>
      <c r="C388" t="s">
        <v>884</v>
      </c>
      <c r="D388" t="s">
        <v>236</v>
      </c>
      <c r="E388">
        <v>10833.333000000001</v>
      </c>
      <c r="F388">
        <v>10833.333000000001</v>
      </c>
      <c r="G388">
        <v>10833.333000000001</v>
      </c>
      <c r="H388">
        <v>10833.333000000001</v>
      </c>
      <c r="I388">
        <v>10833.333000000001</v>
      </c>
      <c r="J388">
        <v>10833.333000000001</v>
      </c>
      <c r="K388">
        <v>10833.333000000001</v>
      </c>
      <c r="L388">
        <v>10833.333000000001</v>
      </c>
      <c r="M388">
        <v>10833.333000000001</v>
      </c>
      <c r="N388">
        <v>10833.333000000001</v>
      </c>
      <c r="O388">
        <v>10833.333000000001</v>
      </c>
      <c r="P388">
        <v>10833.333000000001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f>SUMPRODUCT(DB_ThemeSOFAcct[[#This Row],[Plan01]:[Plan12]],$E$14:$P$14)/valUnits2</f>
        <v>64.999998000000005</v>
      </c>
      <c r="AD388">
        <f>SUMPRODUCT(DB_ThemeSOFAcct[[#This Row],[Act01]:[Act12]],$Q$14:$AB$14)/valUnits2</f>
        <v>0</v>
      </c>
      <c r="AE388">
        <f>DB_ThemeSOFAcct[[#This Row],[Actuals]]-DB_ThemeSOFAcct[[#This Row],[Plan]]</f>
        <v>-64.999998000000005</v>
      </c>
      <c r="AF388">
        <f>IF(DB_ThemeSOFAcct[[#This Row],[Plan]]&lt;&gt;0,DB_ThemeSOFAcct[[#This Row],[Actuals]]/DB_ThemeSOFAcct[[#This Row],[Plan]],1.000011000011)</f>
        <v>0</v>
      </c>
      <c r="AG388" s="34">
        <f>SUM(DB_ThemeSOFAcct[[#This Row],[Plan01]:[Plan12]])/valUnits2</f>
        <v>129.99999600000001</v>
      </c>
      <c r="AH388" s="34">
        <f>SUMPRODUCT(DB_ThemeSOFAcct[[#This Row],[Act01]:[Act12]],$Q$3:$AB$3)/valUnits2</f>
        <v>0</v>
      </c>
    </row>
    <row r="389" spans="2:34" x14ac:dyDescent="0.2">
      <c r="B389" t="s">
        <v>351</v>
      </c>
      <c r="C389" t="s">
        <v>885</v>
      </c>
      <c r="D389" t="s">
        <v>143</v>
      </c>
      <c r="E389">
        <v>0</v>
      </c>
      <c r="F389">
        <v>0</v>
      </c>
      <c r="G389">
        <v>0</v>
      </c>
      <c r="H389">
        <v>2525.3330000000001</v>
      </c>
      <c r="I389">
        <v>455.90899999999999</v>
      </c>
      <c r="J389">
        <v>512.23900000000003</v>
      </c>
      <c r="K389">
        <v>512.23900000000003</v>
      </c>
      <c r="L389">
        <v>512.23900000000003</v>
      </c>
      <c r="M389">
        <v>512.23900000000003</v>
      </c>
      <c r="N389">
        <v>512.23900000000003</v>
      </c>
      <c r="O389">
        <v>512.23900000000003</v>
      </c>
      <c r="P389">
        <v>512.23900000000003</v>
      </c>
      <c r="Q389">
        <v>0</v>
      </c>
      <c r="R389">
        <v>0</v>
      </c>
      <c r="S389">
        <v>0</v>
      </c>
      <c r="T389">
        <v>2398.56</v>
      </c>
      <c r="U389">
        <v>444.32000000000005</v>
      </c>
      <c r="V389">
        <v>-1377.57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f>SUMPRODUCT(DB_ThemeSOFAcct[[#This Row],[Plan01]:[Plan12]],$E$14:$P$14)/valUnits2</f>
        <v>3.4934810000000001</v>
      </c>
      <c r="AD389">
        <f>SUMPRODUCT(DB_ThemeSOFAcct[[#This Row],[Act01]:[Act12]],$Q$14:$AB$14)/valUnits2</f>
        <v>1.4653100000000001</v>
      </c>
      <c r="AE389">
        <f>DB_ThemeSOFAcct[[#This Row],[Actuals]]-DB_ThemeSOFAcct[[#This Row],[Plan]]</f>
        <v>-2.0281709999999999</v>
      </c>
      <c r="AF389">
        <f>IF(DB_ThemeSOFAcct[[#This Row],[Plan]]&lt;&gt;0,DB_ThemeSOFAcct[[#This Row],[Actuals]]/DB_ThemeSOFAcct[[#This Row],[Plan]],1.000011000011)</f>
        <v>0.41944123926822563</v>
      </c>
      <c r="AG389" s="34">
        <f>SUM(DB_ThemeSOFAcct[[#This Row],[Plan01]:[Plan12]])/valUnits2</f>
        <v>6.5669149999999989</v>
      </c>
      <c r="AH389" s="34">
        <f>SUMPRODUCT(DB_ThemeSOFAcct[[#This Row],[Act01]:[Act12]],$Q$3:$AB$3)/valUnits2</f>
        <v>1.4653100000000001</v>
      </c>
    </row>
    <row r="390" spans="2:34" x14ac:dyDescent="0.2">
      <c r="B390" t="s">
        <v>351</v>
      </c>
      <c r="C390" t="s">
        <v>885</v>
      </c>
      <c r="D390" t="s">
        <v>235</v>
      </c>
      <c r="H390">
        <v>149.886</v>
      </c>
      <c r="I390">
        <v>130.607</v>
      </c>
      <c r="J390">
        <v>0</v>
      </c>
      <c r="T390">
        <v>247.69</v>
      </c>
      <c r="U390">
        <v>145.68</v>
      </c>
      <c r="V390">
        <v>-244.52999999999997</v>
      </c>
      <c r="AC390">
        <f>SUMPRODUCT(DB_ThemeSOFAcct[[#This Row],[Plan01]:[Plan12]],$E$14:$P$14)/valUnits2</f>
        <v>0.28049299999999999</v>
      </c>
      <c r="AD390">
        <f>SUMPRODUCT(DB_ThemeSOFAcct[[#This Row],[Act01]:[Act12]],$Q$14:$AB$14)/valUnits2</f>
        <v>0.14884000000000003</v>
      </c>
      <c r="AE390">
        <f>DB_ThemeSOFAcct[[#This Row],[Actuals]]-DB_ThemeSOFAcct[[#This Row],[Plan]]</f>
        <v>-0.13165299999999996</v>
      </c>
      <c r="AF390">
        <f>IF(DB_ThemeSOFAcct[[#This Row],[Plan]]&lt;&gt;0,DB_ThemeSOFAcct[[#This Row],[Actuals]]/DB_ThemeSOFAcct[[#This Row],[Plan]],1.000011000011)</f>
        <v>0.53063712819927777</v>
      </c>
      <c r="AG390" s="34">
        <f>SUM(DB_ThemeSOFAcct[[#This Row],[Plan01]:[Plan12]])/valUnits2</f>
        <v>0.28049299999999999</v>
      </c>
      <c r="AH390" s="34">
        <f>SUMPRODUCT(DB_ThemeSOFAcct[[#This Row],[Act01]:[Act12]],$Q$3:$AB$3)/valUnits2</f>
        <v>0.14884000000000003</v>
      </c>
    </row>
    <row r="391" spans="2:34" x14ac:dyDescent="0.2">
      <c r="B391" t="s">
        <v>351</v>
      </c>
      <c r="C391" t="s">
        <v>885</v>
      </c>
      <c r="D391" t="s">
        <v>140</v>
      </c>
      <c r="E391">
        <v>21.917000000000002</v>
      </c>
      <c r="F391">
        <v>3134.826</v>
      </c>
      <c r="G391">
        <v>564.91800000000001</v>
      </c>
      <c r="H391">
        <v>9194.2810000000009</v>
      </c>
      <c r="I391">
        <v>6348.2989999999991</v>
      </c>
      <c r="J391">
        <v>3101.261</v>
      </c>
      <c r="K391">
        <v>3101.261</v>
      </c>
      <c r="L391">
        <v>3101.261</v>
      </c>
      <c r="M391">
        <v>3101.261</v>
      </c>
      <c r="N391">
        <v>3101.261</v>
      </c>
      <c r="O391">
        <v>3101.261</v>
      </c>
      <c r="P391">
        <v>3101.261</v>
      </c>
      <c r="Q391">
        <v>21.92</v>
      </c>
      <c r="R391">
        <v>3126.95</v>
      </c>
      <c r="S391">
        <v>561.25</v>
      </c>
      <c r="T391">
        <v>9182.8300000000017</v>
      </c>
      <c r="U391">
        <v>6340.0899999999992</v>
      </c>
      <c r="V391">
        <v>3844.1400000000003</v>
      </c>
      <c r="W391">
        <v>3097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f>SUMPRODUCT(DB_ThemeSOFAcct[[#This Row],[Plan01]:[Plan12]],$E$14:$P$14)/valUnits2</f>
        <v>22.365501999999999</v>
      </c>
      <c r="AD391">
        <f>SUMPRODUCT(DB_ThemeSOFAcct[[#This Row],[Act01]:[Act12]],$Q$14:$AB$14)/valUnits2</f>
        <v>23.077180000000002</v>
      </c>
      <c r="AE391">
        <f>DB_ThemeSOFAcct[[#This Row],[Actuals]]-DB_ThemeSOFAcct[[#This Row],[Plan]]</f>
        <v>0.7116780000000027</v>
      </c>
      <c r="AF391">
        <f>IF(DB_ThemeSOFAcct[[#This Row],[Plan]]&lt;&gt;0,DB_ThemeSOFAcct[[#This Row],[Actuals]]/DB_ThemeSOFAcct[[#This Row],[Plan]],1.000011000011)</f>
        <v>1.0318203454588233</v>
      </c>
      <c r="AG391" s="34">
        <f>SUM(DB_ThemeSOFAcct[[#This Row],[Plan01]:[Plan12]])/valUnits2</f>
        <v>40.973067999999991</v>
      </c>
      <c r="AH391" s="34">
        <f>SUMPRODUCT(DB_ThemeSOFAcct[[#This Row],[Act01]:[Act12]],$Q$3:$AB$3)/valUnits2</f>
        <v>23.077180000000002</v>
      </c>
    </row>
    <row r="392" spans="2:34" x14ac:dyDescent="0.2">
      <c r="B392" t="s">
        <v>351</v>
      </c>
      <c r="C392" t="s">
        <v>885</v>
      </c>
      <c r="D392" t="s">
        <v>236</v>
      </c>
      <c r="I392">
        <v>297.19200000000001</v>
      </c>
      <c r="J392">
        <v>0</v>
      </c>
      <c r="U392">
        <v>298</v>
      </c>
      <c r="V392">
        <v>189.94</v>
      </c>
      <c r="AC392">
        <f>SUMPRODUCT(DB_ThemeSOFAcct[[#This Row],[Plan01]:[Plan12]],$E$14:$P$14)/valUnits2</f>
        <v>0.29719200000000001</v>
      </c>
      <c r="AD392">
        <f>SUMPRODUCT(DB_ThemeSOFAcct[[#This Row],[Act01]:[Act12]],$Q$14:$AB$14)/valUnits2</f>
        <v>0.48793999999999998</v>
      </c>
      <c r="AE392">
        <f>DB_ThemeSOFAcct[[#This Row],[Actuals]]-DB_ThemeSOFAcct[[#This Row],[Plan]]</f>
        <v>0.19074799999999997</v>
      </c>
      <c r="AF392">
        <f>IF(DB_ThemeSOFAcct[[#This Row],[Plan]]&lt;&gt;0,DB_ThemeSOFAcct[[#This Row],[Actuals]]/DB_ThemeSOFAcct[[#This Row],[Plan]],1.000011000011)</f>
        <v>1.6418342351072706</v>
      </c>
      <c r="AG392" s="34">
        <f>SUM(DB_ThemeSOFAcct[[#This Row],[Plan01]:[Plan12]])/valUnits2</f>
        <v>0.29719200000000001</v>
      </c>
      <c r="AH392" s="34">
        <f>SUMPRODUCT(DB_ThemeSOFAcct[[#This Row],[Act01]:[Act12]],$Q$3:$AB$3)/valUnits2</f>
        <v>0.48793999999999998</v>
      </c>
    </row>
    <row r="393" spans="2:34" x14ac:dyDescent="0.2">
      <c r="B393" t="s">
        <v>351</v>
      </c>
      <c r="C393" t="s">
        <v>885</v>
      </c>
      <c r="D393" t="s">
        <v>237</v>
      </c>
      <c r="H393">
        <v>67.114000000000004</v>
      </c>
      <c r="I393">
        <v>1.367</v>
      </c>
      <c r="J393">
        <v>0</v>
      </c>
      <c r="T393">
        <v>66.75</v>
      </c>
      <c r="U393">
        <v>1.37</v>
      </c>
      <c r="V393">
        <v>-25.75</v>
      </c>
      <c r="AC393">
        <f>SUMPRODUCT(DB_ThemeSOFAcct[[#This Row],[Plan01]:[Plan12]],$E$14:$P$14)/valUnits2</f>
        <v>6.8481000000000014E-2</v>
      </c>
      <c r="AD393">
        <f>SUMPRODUCT(DB_ThemeSOFAcct[[#This Row],[Act01]:[Act12]],$Q$14:$AB$14)/valUnits2</f>
        <v>4.2370000000000005E-2</v>
      </c>
      <c r="AE393">
        <f>DB_ThemeSOFAcct[[#This Row],[Actuals]]-DB_ThemeSOFAcct[[#This Row],[Plan]]</f>
        <v>-2.6111000000000009E-2</v>
      </c>
      <c r="AF393">
        <f>IF(DB_ThemeSOFAcct[[#This Row],[Plan]]&lt;&gt;0,DB_ThemeSOFAcct[[#This Row],[Actuals]]/DB_ThemeSOFAcct[[#This Row],[Plan]],1.000011000011)</f>
        <v>0.61871175946612922</v>
      </c>
      <c r="AG393" s="34">
        <f>SUM(DB_ThemeSOFAcct[[#This Row],[Plan01]:[Plan12]])/valUnits2</f>
        <v>6.8481000000000014E-2</v>
      </c>
      <c r="AH393" s="34">
        <f>SUMPRODUCT(DB_ThemeSOFAcct[[#This Row],[Act01]:[Act12]],$Q$3:$AB$3)/valUnits2</f>
        <v>4.2370000000000005E-2</v>
      </c>
    </row>
    <row r="394" spans="2:34" x14ac:dyDescent="0.2">
      <c r="B394" t="s">
        <v>351</v>
      </c>
      <c r="C394" t="s">
        <v>885</v>
      </c>
      <c r="D394" t="s">
        <v>141</v>
      </c>
      <c r="H394">
        <v>213.00899999999999</v>
      </c>
      <c r="I394">
        <v>18.504000000000001</v>
      </c>
      <c r="J394">
        <v>0</v>
      </c>
      <c r="T394">
        <v>213.77</v>
      </c>
      <c r="U394">
        <v>18.55</v>
      </c>
      <c r="V394">
        <v>-16.899999999999999</v>
      </c>
      <c r="AC394">
        <f>SUMPRODUCT(DB_ThemeSOFAcct[[#This Row],[Plan01]:[Plan12]],$E$14:$P$14)/valUnits2</f>
        <v>0.23151299999999997</v>
      </c>
      <c r="AD394">
        <f>SUMPRODUCT(DB_ThemeSOFAcct[[#This Row],[Act01]:[Act12]],$Q$14:$AB$14)/valUnits2</f>
        <v>0.21542000000000003</v>
      </c>
      <c r="AE394">
        <f>DB_ThemeSOFAcct[[#This Row],[Actuals]]-DB_ThemeSOFAcct[[#This Row],[Plan]]</f>
        <v>-1.6092999999999941E-2</v>
      </c>
      <c r="AF394">
        <f>IF(DB_ThemeSOFAcct[[#This Row],[Plan]]&lt;&gt;0,DB_ThemeSOFAcct[[#This Row],[Actuals]]/DB_ThemeSOFAcct[[#This Row],[Plan]],1.000011000011)</f>
        <v>0.93048770479411547</v>
      </c>
      <c r="AG394" s="34">
        <f>SUM(DB_ThemeSOFAcct[[#This Row],[Plan01]:[Plan12]])/valUnits2</f>
        <v>0.23151299999999997</v>
      </c>
      <c r="AH394" s="34">
        <f>SUMPRODUCT(DB_ThemeSOFAcct[[#This Row],[Act01]:[Act12]],$Q$3:$AB$3)/valUnits2</f>
        <v>0.21542000000000003</v>
      </c>
    </row>
    <row r="395" spans="2:34" x14ac:dyDescent="0.2">
      <c r="B395" t="s">
        <v>351</v>
      </c>
      <c r="C395" t="s">
        <v>886</v>
      </c>
      <c r="D395" t="s">
        <v>140</v>
      </c>
      <c r="H395">
        <v>155.24</v>
      </c>
      <c r="T395">
        <v>154.38</v>
      </c>
      <c r="AC395">
        <f>SUMPRODUCT(DB_ThemeSOFAcct[[#This Row],[Plan01]:[Plan12]],$E$14:$P$14)/valUnits2</f>
        <v>0.15524000000000002</v>
      </c>
      <c r="AD395">
        <f>SUMPRODUCT(DB_ThemeSOFAcct[[#This Row],[Act01]:[Act12]],$Q$14:$AB$14)/valUnits2</f>
        <v>0.15437999999999999</v>
      </c>
      <c r="AE395">
        <f>DB_ThemeSOFAcct[[#This Row],[Actuals]]-DB_ThemeSOFAcct[[#This Row],[Plan]]</f>
        <v>-8.6000000000002741E-4</v>
      </c>
      <c r="AF395">
        <f>IF(DB_ThemeSOFAcct[[#This Row],[Plan]]&lt;&gt;0,DB_ThemeSOFAcct[[#This Row],[Actuals]]/DB_ThemeSOFAcct[[#This Row],[Plan]],1.000011000011)</f>
        <v>0.99446019067250691</v>
      </c>
      <c r="AG395" s="34">
        <f>SUM(DB_ThemeSOFAcct[[#This Row],[Plan01]:[Plan12]])/valUnits2</f>
        <v>0.15524000000000002</v>
      </c>
      <c r="AH395" s="34">
        <f>SUMPRODUCT(DB_ThemeSOFAcct[[#This Row],[Act01]:[Act12]],$Q$3:$AB$3)/valUnits2</f>
        <v>0.15437999999999999</v>
      </c>
    </row>
    <row r="396" spans="2:34" x14ac:dyDescent="0.2">
      <c r="B396" t="s">
        <v>351</v>
      </c>
      <c r="C396" t="s">
        <v>887</v>
      </c>
      <c r="D396" t="s">
        <v>143</v>
      </c>
      <c r="E396">
        <v>0</v>
      </c>
      <c r="F396">
        <v>0</v>
      </c>
      <c r="G396">
        <v>0</v>
      </c>
      <c r="H396">
        <v>0</v>
      </c>
      <c r="I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AC396">
        <f>SUMPRODUCT(DB_ThemeSOFAcct[[#This Row],[Plan01]:[Plan12]],$E$14:$P$14)/valUnits2</f>
        <v>0</v>
      </c>
      <c r="AD396">
        <f>SUMPRODUCT(DB_ThemeSOFAcct[[#This Row],[Act01]:[Act12]],$Q$14:$AB$14)/valUnits2</f>
        <v>0</v>
      </c>
      <c r="AE396">
        <f>DB_ThemeSOFAcct[[#This Row],[Actuals]]-DB_ThemeSOFAcct[[#This Row],[Plan]]</f>
        <v>0</v>
      </c>
      <c r="AF396">
        <f>IF(DB_ThemeSOFAcct[[#This Row],[Plan]]&lt;&gt;0,DB_ThemeSOFAcct[[#This Row],[Actuals]]/DB_ThemeSOFAcct[[#This Row],[Plan]],1.000011000011)</f>
        <v>1.0000110000110001</v>
      </c>
      <c r="AG396" s="34">
        <f>SUM(DB_ThemeSOFAcct[[#This Row],[Plan01]:[Plan12]])/valUnits2</f>
        <v>0</v>
      </c>
      <c r="AH396" s="34">
        <f>SUMPRODUCT(DB_ThemeSOFAcct[[#This Row],[Act01]:[Act12]],$Q$3:$AB$3)/valUnits2</f>
        <v>0</v>
      </c>
    </row>
    <row r="397" spans="2:34" x14ac:dyDescent="0.2">
      <c r="B397" t="s">
        <v>351</v>
      </c>
      <c r="C397" t="s">
        <v>887</v>
      </c>
      <c r="D397" t="s">
        <v>140</v>
      </c>
      <c r="E397">
        <v>0</v>
      </c>
      <c r="F397">
        <v>0</v>
      </c>
      <c r="G397">
        <v>0</v>
      </c>
      <c r="Q397">
        <v>0</v>
      </c>
      <c r="R397">
        <v>0</v>
      </c>
      <c r="S397">
        <v>0</v>
      </c>
      <c r="AC397">
        <f>SUMPRODUCT(DB_ThemeSOFAcct[[#This Row],[Plan01]:[Plan12]],$E$14:$P$14)/valUnits2</f>
        <v>0</v>
      </c>
      <c r="AD397">
        <f>SUMPRODUCT(DB_ThemeSOFAcct[[#This Row],[Act01]:[Act12]],$Q$14:$AB$14)/valUnits2</f>
        <v>0</v>
      </c>
      <c r="AE397">
        <f>DB_ThemeSOFAcct[[#This Row],[Actuals]]-DB_ThemeSOFAcct[[#This Row],[Plan]]</f>
        <v>0</v>
      </c>
      <c r="AF397">
        <f>IF(DB_ThemeSOFAcct[[#This Row],[Plan]]&lt;&gt;0,DB_ThemeSOFAcct[[#This Row],[Actuals]]/DB_ThemeSOFAcct[[#This Row],[Plan]],1.000011000011)</f>
        <v>1.0000110000110001</v>
      </c>
      <c r="AG397" s="34">
        <f>SUM(DB_ThemeSOFAcct[[#This Row],[Plan01]:[Plan12]])/valUnits2</f>
        <v>0</v>
      </c>
      <c r="AH397" s="34">
        <f>SUMPRODUCT(DB_ThemeSOFAcct[[#This Row],[Act01]:[Act12]],$Q$3:$AB$3)/valUnits2</f>
        <v>0</v>
      </c>
    </row>
    <row r="398" spans="2:34" x14ac:dyDescent="0.2">
      <c r="B398" t="s">
        <v>351</v>
      </c>
      <c r="C398" t="s">
        <v>887</v>
      </c>
      <c r="D398" t="s">
        <v>237</v>
      </c>
      <c r="H398">
        <v>377.01400000000001</v>
      </c>
      <c r="T398">
        <v>369.3</v>
      </c>
      <c r="AC398">
        <f>SUMPRODUCT(DB_ThemeSOFAcct[[#This Row],[Plan01]:[Plan12]],$E$14:$P$14)/valUnits2</f>
        <v>0.37701400000000002</v>
      </c>
      <c r="AD398">
        <f>SUMPRODUCT(DB_ThemeSOFAcct[[#This Row],[Act01]:[Act12]],$Q$14:$AB$14)/valUnits2</f>
        <v>0.36930000000000002</v>
      </c>
      <c r="AE398">
        <f>DB_ThemeSOFAcct[[#This Row],[Actuals]]-DB_ThemeSOFAcct[[#This Row],[Plan]]</f>
        <v>-7.7139999999999986E-3</v>
      </c>
      <c r="AF398">
        <f>IF(DB_ThemeSOFAcct[[#This Row],[Plan]]&lt;&gt;0,DB_ThemeSOFAcct[[#This Row],[Actuals]]/DB_ThemeSOFAcct[[#This Row],[Plan]],1.000011000011)</f>
        <v>0.97953922135517513</v>
      </c>
      <c r="AG398" s="34">
        <f>SUM(DB_ThemeSOFAcct[[#This Row],[Plan01]:[Plan12]])/valUnits2</f>
        <v>0.37701400000000002</v>
      </c>
      <c r="AH398" s="34">
        <f>SUMPRODUCT(DB_ThemeSOFAcct[[#This Row],[Act01]:[Act12]],$Q$3:$AB$3)/valUnits2</f>
        <v>0.36930000000000002</v>
      </c>
    </row>
    <row r="399" spans="2:34" x14ac:dyDescent="0.2">
      <c r="B399" t="s">
        <v>351</v>
      </c>
      <c r="C399" t="s">
        <v>361</v>
      </c>
      <c r="D399" t="s">
        <v>143</v>
      </c>
      <c r="E399">
        <v>0</v>
      </c>
      <c r="F399">
        <v>0</v>
      </c>
      <c r="G399">
        <v>0</v>
      </c>
      <c r="H399">
        <v>370.37200000000001</v>
      </c>
      <c r="I399">
        <v>1892.8419999999999</v>
      </c>
      <c r="J399">
        <v>162.64099999999999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363.59000000000003</v>
      </c>
      <c r="U399">
        <v>1893.0899999999997</v>
      </c>
      <c r="V399">
        <v>100.71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f>SUMPRODUCT(DB_ThemeSOFAcct[[#This Row],[Plan01]:[Plan12]],$E$14:$P$14)/valUnits2</f>
        <v>2.4258549999999999</v>
      </c>
      <c r="AD399">
        <f>SUMPRODUCT(DB_ThemeSOFAcct[[#This Row],[Act01]:[Act12]],$Q$14:$AB$14)/valUnits2</f>
        <v>2.3573899999999997</v>
      </c>
      <c r="AE399">
        <f>DB_ThemeSOFAcct[[#This Row],[Actuals]]-DB_ThemeSOFAcct[[#This Row],[Plan]]</f>
        <v>-6.846500000000022E-2</v>
      </c>
      <c r="AF399">
        <f>IF(DB_ThemeSOFAcct[[#This Row],[Plan]]&lt;&gt;0,DB_ThemeSOFAcct[[#This Row],[Actuals]]/DB_ThemeSOFAcct[[#This Row],[Plan]],1.000011000011)</f>
        <v>0.97177696111267975</v>
      </c>
      <c r="AG399" s="34">
        <f>SUM(DB_ThemeSOFAcct[[#This Row],[Plan01]:[Plan12]])/valUnits2</f>
        <v>2.4258549999999999</v>
      </c>
      <c r="AH399" s="34">
        <f>SUMPRODUCT(DB_ThemeSOFAcct[[#This Row],[Act01]:[Act12]],$Q$3:$AB$3)/valUnits2</f>
        <v>2.3573899999999997</v>
      </c>
    </row>
    <row r="400" spans="2:34" x14ac:dyDescent="0.2">
      <c r="B400" t="s">
        <v>351</v>
      </c>
      <c r="C400" t="s">
        <v>361</v>
      </c>
      <c r="D400" t="s">
        <v>235</v>
      </c>
      <c r="H400">
        <v>20.643000000000001</v>
      </c>
      <c r="I400">
        <v>149.102</v>
      </c>
      <c r="J400">
        <v>0</v>
      </c>
      <c r="T400">
        <v>34.99</v>
      </c>
      <c r="U400">
        <v>181.45999999999998</v>
      </c>
      <c r="V400">
        <v>16.96</v>
      </c>
      <c r="AC400">
        <f>SUMPRODUCT(DB_ThemeSOFAcct[[#This Row],[Plan01]:[Plan12]],$E$14:$P$14)/valUnits2</f>
        <v>0.16974500000000001</v>
      </c>
      <c r="AD400">
        <f>SUMPRODUCT(DB_ThemeSOFAcct[[#This Row],[Act01]:[Act12]],$Q$14:$AB$14)/valUnits2</f>
        <v>0.23341000000000001</v>
      </c>
      <c r="AE400">
        <f>DB_ThemeSOFAcct[[#This Row],[Actuals]]-DB_ThemeSOFAcct[[#This Row],[Plan]]</f>
        <v>6.3664999999999999E-2</v>
      </c>
      <c r="AF400">
        <f>IF(DB_ThemeSOFAcct[[#This Row],[Plan]]&lt;&gt;0,DB_ThemeSOFAcct[[#This Row],[Actuals]]/DB_ThemeSOFAcct[[#This Row],[Plan]],1.000011000011)</f>
        <v>1.3750625938908363</v>
      </c>
      <c r="AG400" s="34">
        <f>SUM(DB_ThemeSOFAcct[[#This Row],[Plan01]:[Plan12]])/valUnits2</f>
        <v>0.16974500000000001</v>
      </c>
      <c r="AH400" s="34">
        <f>SUMPRODUCT(DB_ThemeSOFAcct[[#This Row],[Act01]:[Act12]],$Q$3:$AB$3)/valUnits2</f>
        <v>0.23341000000000001</v>
      </c>
    </row>
    <row r="401" spans="2:34" x14ac:dyDescent="0.2">
      <c r="B401" t="s">
        <v>351</v>
      </c>
      <c r="C401" t="s">
        <v>361</v>
      </c>
      <c r="D401" t="s">
        <v>140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1264.989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f>SUMPRODUCT(DB_ThemeSOFAcct[[#This Row],[Plan01]:[Plan12]],$E$14:$P$14)/valUnits2</f>
        <v>1.2649890000000001</v>
      </c>
      <c r="AD401">
        <f>SUMPRODUCT(DB_ThemeSOFAcct[[#This Row],[Act01]:[Act12]],$Q$14:$AB$14)/valUnits2</f>
        <v>0</v>
      </c>
      <c r="AE401">
        <f>DB_ThemeSOFAcct[[#This Row],[Actuals]]-DB_ThemeSOFAcct[[#This Row],[Plan]]</f>
        <v>-1.2649890000000001</v>
      </c>
      <c r="AF401">
        <f>IF(DB_ThemeSOFAcct[[#This Row],[Plan]]&lt;&gt;0,DB_ThemeSOFAcct[[#This Row],[Actuals]]/DB_ThemeSOFAcct[[#This Row],[Plan]],1.000011000011)</f>
        <v>0</v>
      </c>
      <c r="AG401" s="34">
        <f>SUM(DB_ThemeSOFAcct[[#This Row],[Plan01]:[Plan12]])/valUnits2</f>
        <v>1.2649890000000001</v>
      </c>
      <c r="AH401" s="34">
        <f>SUMPRODUCT(DB_ThemeSOFAcct[[#This Row],[Act01]:[Act12]],$Q$3:$AB$3)/valUnits2</f>
        <v>0</v>
      </c>
    </row>
    <row r="402" spans="2:34" x14ac:dyDescent="0.2">
      <c r="B402" t="s">
        <v>351</v>
      </c>
      <c r="C402" t="s">
        <v>361</v>
      </c>
      <c r="D402" t="s">
        <v>236</v>
      </c>
      <c r="I402">
        <v>39.241</v>
      </c>
      <c r="J402">
        <v>0</v>
      </c>
      <c r="U402">
        <v>39.259999999999991</v>
      </c>
      <c r="V402">
        <v>0.11</v>
      </c>
      <c r="AC402">
        <f>SUMPRODUCT(DB_ThemeSOFAcct[[#This Row],[Plan01]:[Plan12]],$E$14:$P$14)/valUnits2</f>
        <v>3.9240999999999998E-2</v>
      </c>
      <c r="AD402">
        <f>SUMPRODUCT(DB_ThemeSOFAcct[[#This Row],[Act01]:[Act12]],$Q$14:$AB$14)/valUnits2</f>
        <v>3.9369999999999988E-2</v>
      </c>
      <c r="AE402">
        <f>DB_ThemeSOFAcct[[#This Row],[Actuals]]-DB_ThemeSOFAcct[[#This Row],[Plan]]</f>
        <v>1.2899999999999023E-4</v>
      </c>
      <c r="AF402">
        <f>IF(DB_ThemeSOFAcct[[#This Row],[Plan]]&lt;&gt;0,DB_ThemeSOFAcct[[#This Row],[Actuals]]/DB_ThemeSOFAcct[[#This Row],[Plan]],1.000011000011)</f>
        <v>1.0032873779975024</v>
      </c>
      <c r="AG402" s="34">
        <f>SUM(DB_ThemeSOFAcct[[#This Row],[Plan01]:[Plan12]])/valUnits2</f>
        <v>3.9240999999999998E-2</v>
      </c>
      <c r="AH402" s="34">
        <f>SUMPRODUCT(DB_ThemeSOFAcct[[#This Row],[Act01]:[Act12]],$Q$3:$AB$3)/valUnits2</f>
        <v>3.9369999999999988E-2</v>
      </c>
    </row>
    <row r="403" spans="2:34" x14ac:dyDescent="0.2">
      <c r="B403" t="s">
        <v>351</v>
      </c>
      <c r="C403" t="s">
        <v>361</v>
      </c>
      <c r="D403" t="s">
        <v>237</v>
      </c>
      <c r="H403">
        <v>9.1780000000000008</v>
      </c>
      <c r="I403">
        <v>0.29799999999999999</v>
      </c>
      <c r="T403">
        <v>9.3000000000000007</v>
      </c>
      <c r="U403">
        <v>0.3</v>
      </c>
      <c r="AC403">
        <f>SUMPRODUCT(DB_ThemeSOFAcct[[#This Row],[Plan01]:[Plan12]],$E$14:$P$14)/valUnits2</f>
        <v>9.476E-3</v>
      </c>
      <c r="AD403">
        <f>SUMPRODUCT(DB_ThemeSOFAcct[[#This Row],[Act01]:[Act12]],$Q$14:$AB$14)/valUnits2</f>
        <v>9.6000000000000009E-3</v>
      </c>
      <c r="AE403">
        <f>DB_ThemeSOFAcct[[#This Row],[Actuals]]-DB_ThemeSOFAcct[[#This Row],[Plan]]</f>
        <v>1.2400000000000085E-4</v>
      </c>
      <c r="AF403">
        <f>IF(DB_ThemeSOFAcct[[#This Row],[Plan]]&lt;&gt;0,DB_ThemeSOFAcct[[#This Row],[Actuals]]/DB_ThemeSOFAcct[[#This Row],[Plan]],1.000011000011)</f>
        <v>1.0130856901646266</v>
      </c>
      <c r="AG403" s="34">
        <f>SUM(DB_ThemeSOFAcct[[#This Row],[Plan01]:[Plan12]])/valUnits2</f>
        <v>9.476E-3</v>
      </c>
      <c r="AH403" s="34">
        <f>SUMPRODUCT(DB_ThemeSOFAcct[[#This Row],[Act01]:[Act12]],$Q$3:$AB$3)/valUnits2</f>
        <v>9.6000000000000009E-3</v>
      </c>
    </row>
    <row r="404" spans="2:34" x14ac:dyDescent="0.2">
      <c r="B404" t="s">
        <v>351</v>
      </c>
      <c r="C404" t="s">
        <v>361</v>
      </c>
      <c r="D404" t="s">
        <v>141</v>
      </c>
      <c r="H404">
        <v>2.3439999999999999</v>
      </c>
      <c r="I404">
        <v>79.162000000000006</v>
      </c>
      <c r="T404">
        <v>2.38</v>
      </c>
      <c r="U404">
        <v>80.309999999999988</v>
      </c>
      <c r="AC404">
        <f>SUMPRODUCT(DB_ThemeSOFAcct[[#This Row],[Plan01]:[Plan12]],$E$14:$P$14)/valUnits2</f>
        <v>8.1505999999999995E-2</v>
      </c>
      <c r="AD404">
        <f>SUMPRODUCT(DB_ThemeSOFAcct[[#This Row],[Act01]:[Act12]],$Q$14:$AB$14)/valUnits2</f>
        <v>8.2689999999999986E-2</v>
      </c>
      <c r="AE404">
        <f>DB_ThemeSOFAcct[[#This Row],[Actuals]]-DB_ThemeSOFAcct[[#This Row],[Plan]]</f>
        <v>1.1839999999999906E-3</v>
      </c>
      <c r="AF404">
        <f>IF(DB_ThemeSOFAcct[[#This Row],[Plan]]&lt;&gt;0,DB_ThemeSOFAcct[[#This Row],[Actuals]]/DB_ThemeSOFAcct[[#This Row],[Plan]],1.000011000011)</f>
        <v>1.0145265379235884</v>
      </c>
      <c r="AG404" s="34">
        <f>SUM(DB_ThemeSOFAcct[[#This Row],[Plan01]:[Plan12]])/valUnits2</f>
        <v>8.1505999999999995E-2</v>
      </c>
      <c r="AH404" s="34">
        <f>SUMPRODUCT(DB_ThemeSOFAcct[[#This Row],[Act01]:[Act12]],$Q$3:$AB$3)/valUnits2</f>
        <v>8.2689999999999986E-2</v>
      </c>
    </row>
    <row r="405" spans="2:34" x14ac:dyDescent="0.2">
      <c r="B405" t="s">
        <v>351</v>
      </c>
      <c r="C405" t="s">
        <v>358</v>
      </c>
      <c r="D405" t="s">
        <v>143</v>
      </c>
      <c r="E405">
        <v>0</v>
      </c>
      <c r="F405">
        <v>0</v>
      </c>
      <c r="G405">
        <v>0</v>
      </c>
      <c r="H405">
        <v>878.61</v>
      </c>
      <c r="I405">
        <v>356.41900000000004</v>
      </c>
      <c r="J405">
        <v>511.93500000000006</v>
      </c>
      <c r="K405">
        <v>511.93500000000006</v>
      </c>
      <c r="L405">
        <v>511.93500000000006</v>
      </c>
      <c r="M405">
        <v>511.93500000000006</v>
      </c>
      <c r="N405">
        <v>511.93500000000006</v>
      </c>
      <c r="O405">
        <v>511.93500000000006</v>
      </c>
      <c r="Q405">
        <v>0</v>
      </c>
      <c r="R405">
        <v>0</v>
      </c>
      <c r="S405">
        <v>0</v>
      </c>
      <c r="T405">
        <v>860.7</v>
      </c>
      <c r="U405">
        <v>350.04</v>
      </c>
      <c r="V405">
        <v>357.84000000000003</v>
      </c>
      <c r="W405">
        <v>0</v>
      </c>
      <c r="X405">
        <v>0</v>
      </c>
      <c r="Y405">
        <v>0</v>
      </c>
      <c r="Z405">
        <v>0</v>
      </c>
      <c r="AA405">
        <v>0</v>
      </c>
      <c r="AC405">
        <f>SUMPRODUCT(DB_ThemeSOFAcct[[#This Row],[Plan01]:[Plan12]],$E$14:$P$14)/valUnits2</f>
        <v>1.746964</v>
      </c>
      <c r="AD405">
        <f>SUMPRODUCT(DB_ThemeSOFAcct[[#This Row],[Act01]:[Act12]],$Q$14:$AB$14)/valUnits2</f>
        <v>1.5685799999999999</v>
      </c>
      <c r="AE405">
        <f>DB_ThemeSOFAcct[[#This Row],[Actuals]]-DB_ThemeSOFAcct[[#This Row],[Plan]]</f>
        <v>-0.1783840000000001</v>
      </c>
      <c r="AF405">
        <f>IF(DB_ThemeSOFAcct[[#This Row],[Plan]]&lt;&gt;0,DB_ThemeSOFAcct[[#This Row],[Actuals]]/DB_ThemeSOFAcct[[#This Row],[Plan]],1.000011000011)</f>
        <v>0.89788913795590519</v>
      </c>
      <c r="AG405" s="34">
        <f>SUM(DB_ThemeSOFAcct[[#This Row],[Plan01]:[Plan12]])/valUnits2</f>
        <v>4.3066390000000006</v>
      </c>
      <c r="AH405" s="34">
        <f>SUMPRODUCT(DB_ThemeSOFAcct[[#This Row],[Act01]:[Act12]],$Q$3:$AB$3)/valUnits2</f>
        <v>1.5685799999999999</v>
      </c>
    </row>
    <row r="406" spans="2:34" x14ac:dyDescent="0.2">
      <c r="B406" t="s">
        <v>351</v>
      </c>
      <c r="C406" t="s">
        <v>358</v>
      </c>
      <c r="D406" t="s">
        <v>235</v>
      </c>
      <c r="F406">
        <v>0</v>
      </c>
      <c r="G406">
        <v>0</v>
      </c>
      <c r="H406">
        <v>41.292999999999999</v>
      </c>
      <c r="I406">
        <v>103.36499999999999</v>
      </c>
      <c r="J406">
        <v>112.07</v>
      </c>
      <c r="K406">
        <v>112.07</v>
      </c>
      <c r="L406">
        <v>112.07</v>
      </c>
      <c r="M406">
        <v>112.07</v>
      </c>
      <c r="N406">
        <v>112.07</v>
      </c>
      <c r="O406">
        <v>112.07</v>
      </c>
      <c r="R406">
        <v>0</v>
      </c>
      <c r="S406">
        <v>0</v>
      </c>
      <c r="T406">
        <v>70.19</v>
      </c>
      <c r="U406">
        <v>114.75</v>
      </c>
      <c r="V406">
        <v>60.349999999999994</v>
      </c>
      <c r="W406">
        <v>0</v>
      </c>
      <c r="X406">
        <v>0</v>
      </c>
      <c r="Y406">
        <v>0</v>
      </c>
      <c r="Z406">
        <v>0</v>
      </c>
      <c r="AA406">
        <v>0</v>
      </c>
      <c r="AC406">
        <f>SUMPRODUCT(DB_ThemeSOFAcct[[#This Row],[Plan01]:[Plan12]],$E$14:$P$14)/valUnits2</f>
        <v>0.25672799999999996</v>
      </c>
      <c r="AD406">
        <f>SUMPRODUCT(DB_ThemeSOFAcct[[#This Row],[Act01]:[Act12]],$Q$14:$AB$14)/valUnits2</f>
        <v>0.24528999999999998</v>
      </c>
      <c r="AE406">
        <f>DB_ThemeSOFAcct[[#This Row],[Actuals]]-DB_ThemeSOFAcct[[#This Row],[Plan]]</f>
        <v>-1.1437999999999976E-2</v>
      </c>
      <c r="AF406">
        <f>IF(DB_ThemeSOFAcct[[#This Row],[Plan]]&lt;&gt;0,DB_ThemeSOFAcct[[#This Row],[Actuals]]/DB_ThemeSOFAcct[[#This Row],[Plan]],1.000011000011)</f>
        <v>0.95544701006512733</v>
      </c>
      <c r="AG406" s="34">
        <f>SUM(DB_ThemeSOFAcct[[#This Row],[Plan01]:[Plan12]])/valUnits2</f>
        <v>0.81707799999999975</v>
      </c>
      <c r="AH406" s="34">
        <f>SUMPRODUCT(DB_ThemeSOFAcct[[#This Row],[Act01]:[Act12]],$Q$3:$AB$3)/valUnits2</f>
        <v>0.24528999999999998</v>
      </c>
    </row>
    <row r="407" spans="2:34" x14ac:dyDescent="0.2">
      <c r="B407" t="s">
        <v>351</v>
      </c>
      <c r="C407" t="s">
        <v>358</v>
      </c>
      <c r="D407" t="s">
        <v>140</v>
      </c>
      <c r="E407">
        <v>0</v>
      </c>
      <c r="F407">
        <v>0</v>
      </c>
      <c r="G407">
        <v>0</v>
      </c>
      <c r="H407">
        <v>0</v>
      </c>
      <c r="I407">
        <v>232.839</v>
      </c>
      <c r="J407">
        <v>2654.48</v>
      </c>
      <c r="K407">
        <v>2654.48</v>
      </c>
      <c r="L407">
        <v>2654.48</v>
      </c>
      <c r="M407">
        <v>2654.48</v>
      </c>
      <c r="N407">
        <v>2654.48</v>
      </c>
      <c r="O407">
        <v>2654.48</v>
      </c>
      <c r="Q407">
        <v>0</v>
      </c>
      <c r="R407">
        <v>0</v>
      </c>
      <c r="S407">
        <v>0</v>
      </c>
      <c r="T407">
        <v>0</v>
      </c>
      <c r="U407">
        <v>235.79000000000002</v>
      </c>
      <c r="V407">
        <v>258.77000000000004</v>
      </c>
      <c r="W407">
        <v>0</v>
      </c>
      <c r="X407">
        <v>0</v>
      </c>
      <c r="Y407">
        <v>0</v>
      </c>
      <c r="Z407">
        <v>0</v>
      </c>
      <c r="AA407">
        <v>0</v>
      </c>
      <c r="AC407">
        <f>SUMPRODUCT(DB_ThemeSOFAcct[[#This Row],[Plan01]:[Plan12]],$E$14:$P$14)/valUnits2</f>
        <v>2.8873189999999997</v>
      </c>
      <c r="AD407">
        <f>SUMPRODUCT(DB_ThemeSOFAcct[[#This Row],[Act01]:[Act12]],$Q$14:$AB$14)/valUnits2</f>
        <v>0.49456000000000006</v>
      </c>
      <c r="AE407">
        <f>DB_ThemeSOFAcct[[#This Row],[Actuals]]-DB_ThemeSOFAcct[[#This Row],[Plan]]</f>
        <v>-2.3927589999999999</v>
      </c>
      <c r="AF407">
        <f>IF(DB_ThemeSOFAcct[[#This Row],[Plan]]&lt;&gt;0,DB_ThemeSOFAcct[[#This Row],[Actuals]]/DB_ThemeSOFAcct[[#This Row],[Plan]],1.000011000011)</f>
        <v>0.1712869274229831</v>
      </c>
      <c r="AG407" s="34">
        <f>SUM(DB_ThemeSOFAcct[[#This Row],[Plan01]:[Plan12]])/valUnits2</f>
        <v>16.159718999999999</v>
      </c>
      <c r="AH407" s="34">
        <f>SUMPRODUCT(DB_ThemeSOFAcct[[#This Row],[Act01]:[Act12]],$Q$3:$AB$3)/valUnits2</f>
        <v>0.49456000000000006</v>
      </c>
    </row>
    <row r="408" spans="2:34" x14ac:dyDescent="0.2">
      <c r="B408" t="s">
        <v>351</v>
      </c>
      <c r="C408" t="s">
        <v>358</v>
      </c>
      <c r="D408" t="s">
        <v>236</v>
      </c>
      <c r="I408">
        <v>108.377</v>
      </c>
      <c r="J408">
        <v>0</v>
      </c>
      <c r="U408">
        <v>107.81</v>
      </c>
      <c r="V408">
        <v>0.37</v>
      </c>
      <c r="AC408">
        <f>SUMPRODUCT(DB_ThemeSOFAcct[[#This Row],[Plan01]:[Plan12]],$E$14:$P$14)/valUnits2</f>
        <v>0.108377</v>
      </c>
      <c r="AD408">
        <f>SUMPRODUCT(DB_ThemeSOFAcct[[#This Row],[Act01]:[Act12]],$Q$14:$AB$14)/valUnits2</f>
        <v>0.10818000000000001</v>
      </c>
      <c r="AE408">
        <f>DB_ThemeSOFAcct[[#This Row],[Actuals]]-DB_ThemeSOFAcct[[#This Row],[Plan]]</f>
        <v>-1.9699999999998885E-4</v>
      </c>
      <c r="AF408">
        <f>IF(DB_ThemeSOFAcct[[#This Row],[Plan]]&lt;&gt;0,DB_ThemeSOFAcct[[#This Row],[Actuals]]/DB_ThemeSOFAcct[[#This Row],[Plan]],1.000011000011)</f>
        <v>0.99818227114609204</v>
      </c>
      <c r="AG408" s="34">
        <f>SUM(DB_ThemeSOFAcct[[#This Row],[Plan01]:[Plan12]])/valUnits2</f>
        <v>0.108377</v>
      </c>
      <c r="AH408" s="34">
        <f>SUMPRODUCT(DB_ThemeSOFAcct[[#This Row],[Act01]:[Act12]],$Q$3:$AB$3)/valUnits2</f>
        <v>0.10818000000000001</v>
      </c>
    </row>
    <row r="409" spans="2:34" x14ac:dyDescent="0.2">
      <c r="B409" t="s">
        <v>351</v>
      </c>
      <c r="C409" t="s">
        <v>358</v>
      </c>
      <c r="D409" t="s">
        <v>237</v>
      </c>
      <c r="H409">
        <v>18.423999999999999</v>
      </c>
      <c r="I409">
        <v>1.0740000000000001</v>
      </c>
      <c r="T409">
        <v>18.670000000000002</v>
      </c>
      <c r="U409">
        <v>1.08</v>
      </c>
      <c r="AC409">
        <f>SUMPRODUCT(DB_ThemeSOFAcct[[#This Row],[Plan01]:[Plan12]],$E$14:$P$14)/valUnits2</f>
        <v>1.9498000000000001E-2</v>
      </c>
      <c r="AD409">
        <f>SUMPRODUCT(DB_ThemeSOFAcct[[#This Row],[Act01]:[Act12]],$Q$14:$AB$14)/valUnits2</f>
        <v>1.975E-2</v>
      </c>
      <c r="AE409">
        <f>DB_ThemeSOFAcct[[#This Row],[Actuals]]-DB_ThemeSOFAcct[[#This Row],[Plan]]</f>
        <v>2.5199999999999875E-4</v>
      </c>
      <c r="AF409">
        <f>IF(DB_ThemeSOFAcct[[#This Row],[Plan]]&lt;&gt;0,DB_ThemeSOFAcct[[#This Row],[Actuals]]/DB_ThemeSOFAcct[[#This Row],[Plan]],1.000011000011)</f>
        <v>1.0129244025028208</v>
      </c>
      <c r="AG409" s="34">
        <f>SUM(DB_ThemeSOFAcct[[#This Row],[Plan01]:[Plan12]])/valUnits2</f>
        <v>1.9498000000000001E-2</v>
      </c>
      <c r="AH409" s="34">
        <f>SUMPRODUCT(DB_ThemeSOFAcct[[#This Row],[Act01]:[Act12]],$Q$3:$AB$3)/valUnits2</f>
        <v>1.975E-2</v>
      </c>
    </row>
    <row r="410" spans="2:34" x14ac:dyDescent="0.2">
      <c r="B410" t="s">
        <v>351</v>
      </c>
      <c r="C410" t="s">
        <v>358</v>
      </c>
      <c r="D410" t="s">
        <v>141</v>
      </c>
      <c r="F410">
        <v>0</v>
      </c>
      <c r="G410">
        <v>0</v>
      </c>
      <c r="H410">
        <v>4.7080000000000002</v>
      </c>
      <c r="I410">
        <v>14.391</v>
      </c>
      <c r="J410">
        <v>1762.3410000000001</v>
      </c>
      <c r="K410">
        <v>1762.3410000000001</v>
      </c>
      <c r="L410">
        <v>1762.3410000000001</v>
      </c>
      <c r="M410">
        <v>1762.3410000000001</v>
      </c>
      <c r="N410">
        <v>1762.3410000000001</v>
      </c>
      <c r="O410">
        <v>1762.3410000000001</v>
      </c>
      <c r="R410">
        <v>0</v>
      </c>
      <c r="S410">
        <v>0</v>
      </c>
      <c r="T410">
        <v>4.78</v>
      </c>
      <c r="U410">
        <v>14.599999999999998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C410">
        <f>SUMPRODUCT(DB_ThemeSOFAcct[[#This Row],[Plan01]:[Plan12]],$E$14:$P$14)/valUnits2</f>
        <v>1.7814400000000001</v>
      </c>
      <c r="AD410">
        <f>SUMPRODUCT(DB_ThemeSOFAcct[[#This Row],[Act01]:[Act12]],$Q$14:$AB$14)/valUnits2</f>
        <v>1.9379999999999998E-2</v>
      </c>
      <c r="AE410">
        <f>DB_ThemeSOFAcct[[#This Row],[Actuals]]-DB_ThemeSOFAcct[[#This Row],[Plan]]</f>
        <v>-1.7620600000000002</v>
      </c>
      <c r="AF410">
        <f>IF(DB_ThemeSOFAcct[[#This Row],[Plan]]&lt;&gt;0,DB_ThemeSOFAcct[[#This Row],[Actuals]]/DB_ThemeSOFAcct[[#This Row],[Plan]],1.000011000011)</f>
        <v>1.0878839590443685E-2</v>
      </c>
      <c r="AG410" s="34">
        <f>SUM(DB_ThemeSOFAcct[[#This Row],[Plan01]:[Plan12]])/valUnits2</f>
        <v>10.593145</v>
      </c>
      <c r="AH410" s="34">
        <f>SUMPRODUCT(DB_ThemeSOFAcct[[#This Row],[Act01]:[Act12]],$Q$3:$AB$3)/valUnits2</f>
        <v>1.9379999999999998E-2</v>
      </c>
    </row>
    <row r="411" spans="2:34" x14ac:dyDescent="0.2">
      <c r="B411" t="s">
        <v>351</v>
      </c>
      <c r="C411" t="s">
        <v>890</v>
      </c>
      <c r="D411" t="s">
        <v>143</v>
      </c>
      <c r="F411">
        <v>0</v>
      </c>
      <c r="G411">
        <v>0</v>
      </c>
      <c r="H411">
        <v>2190.0529999999999</v>
      </c>
      <c r="I411">
        <v>534.70000000000005</v>
      </c>
      <c r="J411">
        <v>265.58300000000003</v>
      </c>
      <c r="K411">
        <v>265.58300000000003</v>
      </c>
      <c r="L411">
        <v>265.58300000000003</v>
      </c>
      <c r="M411">
        <v>265.58300000000003</v>
      </c>
      <c r="N411">
        <v>265.58300000000003</v>
      </c>
      <c r="O411">
        <v>265.58300000000003</v>
      </c>
      <c r="P411">
        <v>265.58300000000003</v>
      </c>
      <c r="R411">
        <v>0</v>
      </c>
      <c r="S411">
        <v>0</v>
      </c>
      <c r="T411">
        <v>2136.41</v>
      </c>
      <c r="U411">
        <v>522.34</v>
      </c>
      <c r="V411">
        <v>1050.19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f>SUMPRODUCT(DB_ThemeSOFAcct[[#This Row],[Plan01]:[Plan12]],$E$14:$P$14)/valUnits2</f>
        <v>2.9903359999999997</v>
      </c>
      <c r="AD411">
        <f>SUMPRODUCT(DB_ThemeSOFAcct[[#This Row],[Act01]:[Act12]],$Q$14:$AB$14)/valUnits2</f>
        <v>3.7089400000000001</v>
      </c>
      <c r="AE411">
        <f>DB_ThemeSOFAcct[[#This Row],[Actuals]]-DB_ThemeSOFAcct[[#This Row],[Plan]]</f>
        <v>0.71860400000000046</v>
      </c>
      <c r="AF411">
        <f>IF(DB_ThemeSOFAcct[[#This Row],[Plan]]&lt;&gt;0,DB_ThemeSOFAcct[[#This Row],[Actuals]]/DB_ThemeSOFAcct[[#This Row],[Plan]],1.000011000011)</f>
        <v>1.2403087813543363</v>
      </c>
      <c r="AG411" s="34">
        <f>SUM(DB_ThemeSOFAcct[[#This Row],[Plan01]:[Plan12]])/valUnits2</f>
        <v>4.5838339999999995</v>
      </c>
      <c r="AH411" s="34">
        <f>SUMPRODUCT(DB_ThemeSOFAcct[[#This Row],[Act01]:[Act12]],$Q$3:$AB$3)/valUnits2</f>
        <v>3.7089400000000001</v>
      </c>
    </row>
    <row r="412" spans="2:34" x14ac:dyDescent="0.2">
      <c r="B412" t="s">
        <v>351</v>
      </c>
      <c r="C412" t="s">
        <v>890</v>
      </c>
      <c r="D412" t="s">
        <v>235</v>
      </c>
      <c r="H412">
        <v>130.86500000000001</v>
      </c>
      <c r="I412">
        <v>152.93600000000001</v>
      </c>
      <c r="J412">
        <v>0</v>
      </c>
      <c r="T412">
        <v>211.62</v>
      </c>
      <c r="U412">
        <v>171.28</v>
      </c>
      <c r="V412">
        <v>138.14999999999998</v>
      </c>
      <c r="AC412">
        <f>SUMPRODUCT(DB_ThemeSOFAcct[[#This Row],[Plan01]:[Plan12]],$E$14:$P$14)/valUnits2</f>
        <v>0.28380100000000003</v>
      </c>
      <c r="AD412">
        <f>SUMPRODUCT(DB_ThemeSOFAcct[[#This Row],[Act01]:[Act12]],$Q$14:$AB$14)/valUnits2</f>
        <v>0.5210499999999999</v>
      </c>
      <c r="AE412">
        <f>DB_ThemeSOFAcct[[#This Row],[Actuals]]-DB_ThemeSOFAcct[[#This Row],[Plan]]</f>
        <v>0.23724899999999988</v>
      </c>
      <c r="AF412">
        <f>IF(DB_ThemeSOFAcct[[#This Row],[Plan]]&lt;&gt;0,DB_ThemeSOFAcct[[#This Row],[Actuals]]/DB_ThemeSOFAcct[[#This Row],[Plan]],1.000011000011)</f>
        <v>1.8359695702270247</v>
      </c>
      <c r="AG412" s="34">
        <f>SUM(DB_ThemeSOFAcct[[#This Row],[Plan01]:[Plan12]])/valUnits2</f>
        <v>0.28380100000000003</v>
      </c>
      <c r="AH412" s="34">
        <f>SUMPRODUCT(DB_ThemeSOFAcct[[#This Row],[Act01]:[Act12]],$Q$3:$AB$3)/valUnits2</f>
        <v>0.5210499999999999</v>
      </c>
    </row>
    <row r="413" spans="2:34" x14ac:dyDescent="0.2">
      <c r="B413" t="s">
        <v>351</v>
      </c>
      <c r="C413" t="s">
        <v>890</v>
      </c>
      <c r="D413" t="s">
        <v>140</v>
      </c>
      <c r="F413">
        <v>0</v>
      </c>
      <c r="G413">
        <v>0</v>
      </c>
      <c r="H413">
        <v>371.01400000000001</v>
      </c>
      <c r="I413">
        <v>756.38699999999994</v>
      </c>
      <c r="J413">
        <v>142.32999999999998</v>
      </c>
      <c r="K413">
        <v>142.32999999999998</v>
      </c>
      <c r="L413">
        <v>142.32999999999998</v>
      </c>
      <c r="M413">
        <v>142.32999999999998</v>
      </c>
      <c r="N413">
        <v>142.32999999999998</v>
      </c>
      <c r="O413">
        <v>142.32999999999998</v>
      </c>
      <c r="P413">
        <v>142.32999999999998</v>
      </c>
      <c r="R413">
        <v>0</v>
      </c>
      <c r="S413">
        <v>0</v>
      </c>
      <c r="T413">
        <v>365.46999999999997</v>
      </c>
      <c r="U413">
        <v>761.28</v>
      </c>
      <c r="V413">
        <v>1967.64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f>SUMPRODUCT(DB_ThemeSOFAcct[[#This Row],[Plan01]:[Plan12]],$E$14:$P$14)/valUnits2</f>
        <v>1.2697309999999997</v>
      </c>
      <c r="AD413">
        <f>SUMPRODUCT(DB_ThemeSOFAcct[[#This Row],[Act01]:[Act12]],$Q$14:$AB$14)/valUnits2</f>
        <v>3.0943900000000002</v>
      </c>
      <c r="AE413">
        <f>DB_ThemeSOFAcct[[#This Row],[Actuals]]-DB_ThemeSOFAcct[[#This Row],[Plan]]</f>
        <v>1.8246590000000005</v>
      </c>
      <c r="AF413">
        <f>IF(DB_ThemeSOFAcct[[#This Row],[Plan]]&lt;&gt;0,DB_ThemeSOFAcct[[#This Row],[Actuals]]/DB_ThemeSOFAcct[[#This Row],[Plan]],1.000011000011)</f>
        <v>2.4370437517867964</v>
      </c>
      <c r="AG413" s="34">
        <f>SUM(DB_ThemeSOFAcct[[#This Row],[Plan01]:[Plan12]])/valUnits2</f>
        <v>2.1237109999999992</v>
      </c>
      <c r="AH413" s="34">
        <f>SUMPRODUCT(DB_ThemeSOFAcct[[#This Row],[Act01]:[Act12]],$Q$3:$AB$3)/valUnits2</f>
        <v>3.0943900000000002</v>
      </c>
    </row>
    <row r="414" spans="2:34" x14ac:dyDescent="0.2">
      <c r="B414" t="s">
        <v>351</v>
      </c>
      <c r="C414" t="s">
        <v>890</v>
      </c>
      <c r="D414" t="s">
        <v>236</v>
      </c>
      <c r="I414">
        <v>160.71100000000001</v>
      </c>
      <c r="J414">
        <v>0</v>
      </c>
      <c r="U414">
        <v>160.88999999999999</v>
      </c>
      <c r="V414">
        <v>31.38999999999999</v>
      </c>
      <c r="AC414">
        <f>SUMPRODUCT(DB_ThemeSOFAcct[[#This Row],[Plan01]:[Plan12]],$E$14:$P$14)/valUnits2</f>
        <v>0.16071100000000002</v>
      </c>
      <c r="AD414">
        <f>SUMPRODUCT(DB_ThemeSOFAcct[[#This Row],[Act01]:[Act12]],$Q$14:$AB$14)/valUnits2</f>
        <v>0.19227999999999998</v>
      </c>
      <c r="AE414">
        <f>DB_ThemeSOFAcct[[#This Row],[Actuals]]-DB_ThemeSOFAcct[[#This Row],[Plan]]</f>
        <v>3.1568999999999958E-2</v>
      </c>
      <c r="AF414">
        <f>IF(DB_ThemeSOFAcct[[#This Row],[Plan]]&lt;&gt;0,DB_ThemeSOFAcct[[#This Row],[Actuals]]/DB_ThemeSOFAcct[[#This Row],[Plan]],1.000011000011)</f>
        <v>1.19643334930403</v>
      </c>
      <c r="AG414" s="34">
        <f>SUM(DB_ThemeSOFAcct[[#This Row],[Plan01]:[Plan12]])/valUnits2</f>
        <v>0.16071100000000002</v>
      </c>
      <c r="AH414" s="34">
        <f>SUMPRODUCT(DB_ThemeSOFAcct[[#This Row],[Act01]:[Act12]],$Q$3:$AB$3)/valUnits2</f>
        <v>0.19227999999999998</v>
      </c>
    </row>
    <row r="415" spans="2:34" x14ac:dyDescent="0.2">
      <c r="B415" t="s">
        <v>351</v>
      </c>
      <c r="C415" t="s">
        <v>890</v>
      </c>
      <c r="D415" t="s">
        <v>237</v>
      </c>
      <c r="H415">
        <v>57.656999999999996</v>
      </c>
      <c r="I415">
        <v>1.607</v>
      </c>
      <c r="J415">
        <v>0</v>
      </c>
      <c r="T415">
        <v>56.300000000000004</v>
      </c>
      <c r="U415">
        <v>1.61</v>
      </c>
      <c r="V415">
        <v>123.55</v>
      </c>
      <c r="AC415">
        <f>SUMPRODUCT(DB_ThemeSOFAcct[[#This Row],[Plan01]:[Plan12]],$E$14:$P$14)/valUnits2</f>
        <v>5.9263999999999997E-2</v>
      </c>
      <c r="AD415">
        <f>SUMPRODUCT(DB_ThemeSOFAcct[[#This Row],[Act01]:[Act12]],$Q$14:$AB$14)/valUnits2</f>
        <v>0.18146000000000001</v>
      </c>
      <c r="AE415">
        <f>DB_ThemeSOFAcct[[#This Row],[Actuals]]-DB_ThemeSOFAcct[[#This Row],[Plan]]</f>
        <v>0.12219600000000001</v>
      </c>
      <c r="AF415">
        <f>IF(DB_ThemeSOFAcct[[#This Row],[Plan]]&lt;&gt;0,DB_ThemeSOFAcct[[#This Row],[Actuals]]/DB_ThemeSOFAcct[[#This Row],[Plan]],1.000011000011)</f>
        <v>3.0618925485961128</v>
      </c>
      <c r="AG415" s="34">
        <f>SUM(DB_ThemeSOFAcct[[#This Row],[Plan01]:[Plan12]])/valUnits2</f>
        <v>5.9263999999999997E-2</v>
      </c>
      <c r="AH415" s="34">
        <f>SUMPRODUCT(DB_ThemeSOFAcct[[#This Row],[Act01]:[Act12]],$Q$3:$AB$3)/valUnits2</f>
        <v>0.18146000000000001</v>
      </c>
    </row>
    <row r="416" spans="2:34" x14ac:dyDescent="0.2">
      <c r="B416" t="s">
        <v>351</v>
      </c>
      <c r="C416" t="s">
        <v>890</v>
      </c>
      <c r="D416" t="s">
        <v>141</v>
      </c>
      <c r="F416">
        <v>0</v>
      </c>
      <c r="G416">
        <v>0</v>
      </c>
      <c r="H416">
        <v>14.183999999999999</v>
      </c>
      <c r="I416">
        <v>21.754000000000001</v>
      </c>
      <c r="J416">
        <v>154.923</v>
      </c>
      <c r="K416">
        <v>154.923</v>
      </c>
      <c r="L416">
        <v>154.923</v>
      </c>
      <c r="M416">
        <v>154.923</v>
      </c>
      <c r="N416">
        <v>154.923</v>
      </c>
      <c r="O416">
        <v>154.923</v>
      </c>
      <c r="P416">
        <v>154.923</v>
      </c>
      <c r="R416">
        <v>0</v>
      </c>
      <c r="S416">
        <v>0</v>
      </c>
      <c r="T416">
        <v>14.4</v>
      </c>
      <c r="U416">
        <v>21.82</v>
      </c>
      <c r="V416">
        <v>22.930000000000003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f>SUMPRODUCT(DB_ThemeSOFAcct[[#This Row],[Plan01]:[Plan12]],$E$14:$P$14)/valUnits2</f>
        <v>0.190861</v>
      </c>
      <c r="AD416">
        <f>SUMPRODUCT(DB_ThemeSOFAcct[[#This Row],[Act01]:[Act12]],$Q$14:$AB$14)/valUnits2</f>
        <v>5.9150000000000008E-2</v>
      </c>
      <c r="AE416">
        <f>DB_ThemeSOFAcct[[#This Row],[Actuals]]-DB_ThemeSOFAcct[[#This Row],[Plan]]</f>
        <v>-0.13171099999999999</v>
      </c>
      <c r="AF416">
        <f>IF(DB_ThemeSOFAcct[[#This Row],[Plan]]&lt;&gt;0,DB_ThemeSOFAcct[[#This Row],[Actuals]]/DB_ThemeSOFAcct[[#This Row],[Plan]],1.000011000011)</f>
        <v>0.30991140149113755</v>
      </c>
      <c r="AG416" s="34">
        <f>SUM(DB_ThemeSOFAcct[[#This Row],[Plan01]:[Plan12]])/valUnits2</f>
        <v>1.1203989999999999</v>
      </c>
      <c r="AH416" s="34">
        <f>SUMPRODUCT(DB_ThemeSOFAcct[[#This Row],[Act01]:[Act12]],$Q$3:$AB$3)/valUnits2</f>
        <v>5.9150000000000008E-2</v>
      </c>
    </row>
    <row r="417" spans="2:34" x14ac:dyDescent="0.2">
      <c r="B417" t="s">
        <v>351</v>
      </c>
      <c r="C417" t="s">
        <v>891</v>
      </c>
      <c r="D417" t="s">
        <v>143</v>
      </c>
      <c r="H417">
        <v>322.536</v>
      </c>
      <c r="I417">
        <v>384.85799999999995</v>
      </c>
      <c r="J417">
        <v>396.50900000000001</v>
      </c>
      <c r="K417">
        <v>396.50900000000001</v>
      </c>
      <c r="L417">
        <v>396.50900000000001</v>
      </c>
      <c r="M417">
        <v>396.50900000000001</v>
      </c>
      <c r="N417">
        <v>396.50900000000001</v>
      </c>
      <c r="O417">
        <v>396.50900000000001</v>
      </c>
      <c r="P417">
        <v>396.50900000000001</v>
      </c>
      <c r="T417">
        <v>321.45</v>
      </c>
      <c r="U417">
        <v>373.91999999999996</v>
      </c>
      <c r="V417">
        <v>382.27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f>SUMPRODUCT(DB_ThemeSOFAcct[[#This Row],[Plan01]:[Plan12]],$E$14:$P$14)/valUnits2</f>
        <v>1.1039030000000001</v>
      </c>
      <c r="AD417">
        <f>SUMPRODUCT(DB_ThemeSOFAcct[[#This Row],[Act01]:[Act12]],$Q$14:$AB$14)/valUnits2</f>
        <v>1.0776399999999999</v>
      </c>
      <c r="AE417">
        <f>DB_ThemeSOFAcct[[#This Row],[Actuals]]-DB_ThemeSOFAcct[[#This Row],[Plan]]</f>
        <v>-2.6263000000000147E-2</v>
      </c>
      <c r="AF417">
        <f>IF(DB_ThemeSOFAcct[[#This Row],[Plan]]&lt;&gt;0,DB_ThemeSOFAcct[[#This Row],[Actuals]]/DB_ThemeSOFAcct[[#This Row],[Plan]],1.000011000011)</f>
        <v>0.97620896038872973</v>
      </c>
      <c r="AG417" s="34">
        <f>SUM(DB_ThemeSOFAcct[[#This Row],[Plan01]:[Plan12]])/valUnits2</f>
        <v>3.4829570000000003</v>
      </c>
      <c r="AH417" s="34">
        <f>SUMPRODUCT(DB_ThemeSOFAcct[[#This Row],[Act01]:[Act12]],$Q$3:$AB$3)/valUnits2</f>
        <v>1.0776399999999999</v>
      </c>
    </row>
    <row r="418" spans="2:34" x14ac:dyDescent="0.2">
      <c r="B418" t="s">
        <v>351</v>
      </c>
      <c r="C418" t="s">
        <v>891</v>
      </c>
      <c r="D418" t="s">
        <v>235</v>
      </c>
      <c r="F418">
        <v>76.158000000000001</v>
      </c>
      <c r="H418">
        <v>0</v>
      </c>
      <c r="I418">
        <v>110.089</v>
      </c>
      <c r="J418">
        <v>282.01900000000001</v>
      </c>
      <c r="K418">
        <v>282.01900000000001</v>
      </c>
      <c r="L418">
        <v>282.01900000000001</v>
      </c>
      <c r="M418">
        <v>282.01900000000001</v>
      </c>
      <c r="N418">
        <v>282.01900000000001</v>
      </c>
      <c r="O418">
        <v>282.01900000000001</v>
      </c>
      <c r="P418">
        <v>282.01900000000001</v>
      </c>
      <c r="R418">
        <v>78.33</v>
      </c>
      <c r="T418">
        <v>0</v>
      </c>
      <c r="U418">
        <v>122.6</v>
      </c>
      <c r="V418">
        <v>64.460000000000008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f>SUMPRODUCT(DB_ThemeSOFAcct[[#This Row],[Plan01]:[Plan12]],$E$14:$P$14)/valUnits2</f>
        <v>0.46826600000000002</v>
      </c>
      <c r="AD418">
        <f>SUMPRODUCT(DB_ThemeSOFAcct[[#This Row],[Act01]:[Act12]],$Q$14:$AB$14)/valUnits2</f>
        <v>0.26538999999999996</v>
      </c>
      <c r="AE418">
        <f>DB_ThemeSOFAcct[[#This Row],[Actuals]]-DB_ThemeSOFAcct[[#This Row],[Plan]]</f>
        <v>-0.20287600000000006</v>
      </c>
      <c r="AF418">
        <f>IF(DB_ThemeSOFAcct[[#This Row],[Plan]]&lt;&gt;0,DB_ThemeSOFAcct[[#This Row],[Actuals]]/DB_ThemeSOFAcct[[#This Row],[Plan]],1.000011000011)</f>
        <v>0.56675052213912591</v>
      </c>
      <c r="AG418" s="34">
        <f>SUM(DB_ThemeSOFAcct[[#This Row],[Plan01]:[Plan12]])/valUnits2</f>
        <v>2.16038</v>
      </c>
      <c r="AH418" s="34">
        <f>SUMPRODUCT(DB_ThemeSOFAcct[[#This Row],[Act01]:[Act12]],$Q$3:$AB$3)/valUnits2</f>
        <v>0.26538999999999996</v>
      </c>
    </row>
    <row r="419" spans="2:34" x14ac:dyDescent="0.2">
      <c r="B419" t="s">
        <v>351</v>
      </c>
      <c r="C419" t="s">
        <v>891</v>
      </c>
      <c r="D419" t="s">
        <v>140</v>
      </c>
      <c r="F419">
        <v>30.811</v>
      </c>
      <c r="H419">
        <v>6262.6319999999996</v>
      </c>
      <c r="I419">
        <v>8817.8130000000001</v>
      </c>
      <c r="J419">
        <v>1697.6979999999999</v>
      </c>
      <c r="K419">
        <v>1697.6979999999999</v>
      </c>
      <c r="L419">
        <v>1697.6979999999999</v>
      </c>
      <c r="M419">
        <v>1697.6979999999999</v>
      </c>
      <c r="N419">
        <v>1697.6979999999999</v>
      </c>
      <c r="O419">
        <v>1697.6979999999999</v>
      </c>
      <c r="P419">
        <v>1697.6979999999999</v>
      </c>
      <c r="R419">
        <v>31.69</v>
      </c>
      <c r="T419">
        <v>6258.04</v>
      </c>
      <c r="U419">
        <v>8852.65</v>
      </c>
      <c r="V419">
        <v>7527.4900000000007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f>SUMPRODUCT(DB_ThemeSOFAcct[[#This Row],[Plan01]:[Plan12]],$E$14:$P$14)/valUnits2</f>
        <v>16.808953999999996</v>
      </c>
      <c r="AD419">
        <f>SUMPRODUCT(DB_ThemeSOFAcct[[#This Row],[Act01]:[Act12]],$Q$14:$AB$14)/valUnits2</f>
        <v>22.66987</v>
      </c>
      <c r="AE419">
        <f>DB_ThemeSOFAcct[[#This Row],[Actuals]]-DB_ThemeSOFAcct[[#This Row],[Plan]]</f>
        <v>5.8609160000000031</v>
      </c>
      <c r="AF419">
        <f>IF(DB_ThemeSOFAcct[[#This Row],[Plan]]&lt;&gt;0,DB_ThemeSOFAcct[[#This Row],[Actuals]]/DB_ThemeSOFAcct[[#This Row],[Plan]],1.000011000011)</f>
        <v>1.3486782104347483</v>
      </c>
      <c r="AG419" s="34">
        <f>SUM(DB_ThemeSOFAcct[[#This Row],[Plan01]:[Plan12]])/valUnits2</f>
        <v>26.995142000000001</v>
      </c>
      <c r="AH419" s="34">
        <f>SUMPRODUCT(DB_ThemeSOFAcct[[#This Row],[Act01]:[Act12]],$Q$3:$AB$3)/valUnits2</f>
        <v>22.66987</v>
      </c>
    </row>
    <row r="420" spans="2:34" x14ac:dyDescent="0.2">
      <c r="B420" t="s">
        <v>351</v>
      </c>
      <c r="C420" t="s">
        <v>891</v>
      </c>
      <c r="D420" t="s">
        <v>236</v>
      </c>
      <c r="I420">
        <v>115.874</v>
      </c>
      <c r="J420">
        <v>0</v>
      </c>
      <c r="U420">
        <v>115.17</v>
      </c>
      <c r="V420">
        <v>0.4</v>
      </c>
      <c r="AC420">
        <f>SUMPRODUCT(DB_ThemeSOFAcct[[#This Row],[Plan01]:[Plan12]],$E$14:$P$14)/valUnits2</f>
        <v>0.11587399999999999</v>
      </c>
      <c r="AD420">
        <f>SUMPRODUCT(DB_ThemeSOFAcct[[#This Row],[Act01]:[Act12]],$Q$14:$AB$14)/valUnits2</f>
        <v>0.11557000000000001</v>
      </c>
      <c r="AE420">
        <f>DB_ThemeSOFAcct[[#This Row],[Actuals]]-DB_ThemeSOFAcct[[#This Row],[Plan]]</f>
        <v>-3.0399999999998484E-4</v>
      </c>
      <c r="AF420">
        <f>IF(DB_ThemeSOFAcct[[#This Row],[Plan]]&lt;&gt;0,DB_ThemeSOFAcct[[#This Row],[Actuals]]/DB_ThemeSOFAcct[[#This Row],[Plan]],1.000011000011)</f>
        <v>0.99737646063827967</v>
      </c>
      <c r="AG420" s="34">
        <f>SUM(DB_ThemeSOFAcct[[#This Row],[Plan01]:[Plan12]])/valUnits2</f>
        <v>0.11587399999999999</v>
      </c>
      <c r="AH420" s="34">
        <f>SUMPRODUCT(DB_ThemeSOFAcct[[#This Row],[Act01]:[Act12]],$Q$3:$AB$3)/valUnits2</f>
        <v>0.11557000000000001</v>
      </c>
    </row>
    <row r="421" spans="2:34" x14ac:dyDescent="0.2">
      <c r="B421" t="s">
        <v>351</v>
      </c>
      <c r="C421" t="s">
        <v>891</v>
      </c>
      <c r="D421" t="s">
        <v>237</v>
      </c>
      <c r="F421">
        <v>11.282</v>
      </c>
      <c r="I421">
        <v>1.1519999999999999</v>
      </c>
      <c r="R421">
        <v>11.27</v>
      </c>
      <c r="U421">
        <v>1.1499999999999999</v>
      </c>
      <c r="AC421">
        <f>SUMPRODUCT(DB_ThemeSOFAcct[[#This Row],[Plan01]:[Plan12]],$E$14:$P$14)/valUnits2</f>
        <v>1.2433999999999999E-2</v>
      </c>
      <c r="AD421">
        <f>SUMPRODUCT(DB_ThemeSOFAcct[[#This Row],[Act01]:[Act12]],$Q$14:$AB$14)/valUnits2</f>
        <v>1.242E-2</v>
      </c>
      <c r="AE421">
        <f>DB_ThemeSOFAcct[[#This Row],[Actuals]]-DB_ThemeSOFAcct[[#This Row],[Plan]]</f>
        <v>-1.3999999999998389E-5</v>
      </c>
      <c r="AF421">
        <f>IF(DB_ThemeSOFAcct[[#This Row],[Plan]]&lt;&gt;0,DB_ThemeSOFAcct[[#This Row],[Actuals]]/DB_ThemeSOFAcct[[#This Row],[Plan]],1.000011000011)</f>
        <v>0.99887405501045534</v>
      </c>
      <c r="AG421" s="34">
        <f>SUM(DB_ThemeSOFAcct[[#This Row],[Plan01]:[Plan12]])/valUnits2</f>
        <v>1.2433999999999999E-2</v>
      </c>
      <c r="AH421" s="34">
        <f>SUMPRODUCT(DB_ThemeSOFAcct[[#This Row],[Act01]:[Act12]],$Q$3:$AB$3)/valUnits2</f>
        <v>1.242E-2</v>
      </c>
    </row>
    <row r="422" spans="2:34" x14ac:dyDescent="0.2">
      <c r="B422" t="s">
        <v>351</v>
      </c>
      <c r="C422" t="s">
        <v>891</v>
      </c>
      <c r="D422" t="s">
        <v>141</v>
      </c>
      <c r="F422">
        <v>27.819000000000003</v>
      </c>
      <c r="I422">
        <v>15.738</v>
      </c>
      <c r="R422">
        <v>28.64</v>
      </c>
      <c r="U422">
        <v>15.629999999999999</v>
      </c>
      <c r="AC422">
        <f>SUMPRODUCT(DB_ThemeSOFAcct[[#This Row],[Plan01]:[Plan12]],$E$14:$P$14)/valUnits2</f>
        <v>4.3557000000000005E-2</v>
      </c>
      <c r="AD422">
        <f>SUMPRODUCT(DB_ThemeSOFAcct[[#This Row],[Act01]:[Act12]],$Q$14:$AB$14)/valUnits2</f>
        <v>4.4269999999999997E-2</v>
      </c>
      <c r="AE422">
        <f>DB_ThemeSOFAcct[[#This Row],[Actuals]]-DB_ThemeSOFAcct[[#This Row],[Plan]]</f>
        <v>7.1299999999999142E-4</v>
      </c>
      <c r="AF422">
        <f>IF(DB_ThemeSOFAcct[[#This Row],[Plan]]&lt;&gt;0,DB_ThemeSOFAcct[[#This Row],[Actuals]]/DB_ThemeSOFAcct[[#This Row],[Plan]],1.000011000011)</f>
        <v>1.0163693550979174</v>
      </c>
      <c r="AG422" s="34">
        <f>SUM(DB_ThemeSOFAcct[[#This Row],[Plan01]:[Plan12]])/valUnits2</f>
        <v>4.3557000000000005E-2</v>
      </c>
      <c r="AH422" s="34">
        <f>SUMPRODUCT(DB_ThemeSOFAcct[[#This Row],[Act01]:[Act12]],$Q$3:$AB$3)/valUnits2</f>
        <v>4.4269999999999997E-2</v>
      </c>
    </row>
    <row r="423" spans="2:34" x14ac:dyDescent="0.2">
      <c r="B423" t="s">
        <v>351</v>
      </c>
      <c r="C423" t="s">
        <v>368</v>
      </c>
      <c r="D423" t="s">
        <v>143</v>
      </c>
      <c r="E423">
        <v>0</v>
      </c>
      <c r="F423">
        <v>0</v>
      </c>
      <c r="G423">
        <v>0</v>
      </c>
      <c r="H423">
        <v>4151.51</v>
      </c>
      <c r="I423">
        <v>11093.37</v>
      </c>
      <c r="J423">
        <v>6655.7199999999993</v>
      </c>
      <c r="K423">
        <v>6655.7199999999993</v>
      </c>
      <c r="L423">
        <v>6655.7199999999993</v>
      </c>
      <c r="M423">
        <v>6655.7199999999993</v>
      </c>
      <c r="N423">
        <v>6655.7199999999993</v>
      </c>
      <c r="O423">
        <v>6655.7199999999993</v>
      </c>
      <c r="Q423">
        <v>0</v>
      </c>
      <c r="R423">
        <v>0</v>
      </c>
      <c r="S423">
        <v>0</v>
      </c>
      <c r="T423">
        <v>4136.54</v>
      </c>
      <c r="U423">
        <v>4300.1900000000005</v>
      </c>
      <c r="V423">
        <v>4387.8900000000003</v>
      </c>
      <c r="W423">
        <v>0</v>
      </c>
      <c r="X423">
        <v>0</v>
      </c>
      <c r="Y423">
        <v>0</v>
      </c>
      <c r="Z423">
        <v>0</v>
      </c>
      <c r="AA423">
        <v>0</v>
      </c>
      <c r="AC423">
        <f>SUMPRODUCT(DB_ThemeSOFAcct[[#This Row],[Plan01]:[Plan12]],$E$14:$P$14)/valUnits2</f>
        <v>21.900599999999997</v>
      </c>
      <c r="AD423">
        <f>SUMPRODUCT(DB_ThemeSOFAcct[[#This Row],[Act01]:[Act12]],$Q$14:$AB$14)/valUnits2</f>
        <v>12.824619999999999</v>
      </c>
      <c r="AE423">
        <f>DB_ThemeSOFAcct[[#This Row],[Actuals]]-DB_ThemeSOFAcct[[#This Row],[Plan]]</f>
        <v>-9.0759799999999977</v>
      </c>
      <c r="AF423">
        <f>IF(DB_ThemeSOFAcct[[#This Row],[Plan]]&lt;&gt;0,DB_ThemeSOFAcct[[#This Row],[Actuals]]/DB_ThemeSOFAcct[[#This Row],[Plan]],1.000011000011)</f>
        <v>0.58558304338693923</v>
      </c>
      <c r="AG423" s="34">
        <f>SUM(DB_ThemeSOFAcct[[#This Row],[Plan01]:[Plan12]])/valUnits2</f>
        <v>55.179200000000002</v>
      </c>
      <c r="AH423" s="34">
        <f>SUMPRODUCT(DB_ThemeSOFAcct[[#This Row],[Act01]:[Act12]],$Q$3:$AB$3)/valUnits2</f>
        <v>12.824619999999999</v>
      </c>
    </row>
    <row r="424" spans="2:34" x14ac:dyDescent="0.2">
      <c r="B424" t="s">
        <v>351</v>
      </c>
      <c r="C424" t="s">
        <v>368</v>
      </c>
      <c r="D424" t="s">
        <v>235</v>
      </c>
      <c r="H424">
        <v>30.21</v>
      </c>
      <c r="I424">
        <v>6344.0599999999995</v>
      </c>
      <c r="J424">
        <v>5069.28</v>
      </c>
      <c r="K424">
        <v>5069.28</v>
      </c>
      <c r="L424">
        <v>5069.28</v>
      </c>
      <c r="M424">
        <v>5069.28</v>
      </c>
      <c r="N424">
        <v>5069.28</v>
      </c>
      <c r="O424">
        <v>5069.28</v>
      </c>
      <c r="T424">
        <v>45.18</v>
      </c>
      <c r="U424">
        <v>1432.58</v>
      </c>
      <c r="V424">
        <v>740.14999999999986</v>
      </c>
      <c r="W424">
        <v>0</v>
      </c>
      <c r="X424">
        <v>0</v>
      </c>
      <c r="Y424">
        <v>0</v>
      </c>
      <c r="Z424">
        <v>0</v>
      </c>
      <c r="AA424">
        <v>0</v>
      </c>
      <c r="AC424">
        <f>SUMPRODUCT(DB_ThemeSOFAcct[[#This Row],[Plan01]:[Plan12]],$E$14:$P$14)/valUnits2</f>
        <v>11.44355</v>
      </c>
      <c r="AD424">
        <f>SUMPRODUCT(DB_ThemeSOFAcct[[#This Row],[Act01]:[Act12]],$Q$14:$AB$14)/valUnits2</f>
        <v>2.2179099999999998</v>
      </c>
      <c r="AE424">
        <f>DB_ThemeSOFAcct[[#This Row],[Actuals]]-DB_ThemeSOFAcct[[#This Row],[Plan]]</f>
        <v>-9.2256400000000003</v>
      </c>
      <c r="AF424">
        <f>IF(DB_ThemeSOFAcct[[#This Row],[Plan]]&lt;&gt;0,DB_ThemeSOFAcct[[#This Row],[Actuals]]/DB_ThemeSOFAcct[[#This Row],[Plan]],1.000011000011)</f>
        <v>0.19381310869441737</v>
      </c>
      <c r="AG424" s="34">
        <f>SUM(DB_ThemeSOFAcct[[#This Row],[Plan01]:[Plan12]])/valUnits2</f>
        <v>36.789949999999997</v>
      </c>
      <c r="AH424" s="34">
        <f>SUMPRODUCT(DB_ThemeSOFAcct[[#This Row],[Act01]:[Act12]],$Q$3:$AB$3)/valUnits2</f>
        <v>2.2179099999999998</v>
      </c>
    </row>
    <row r="425" spans="2:34" x14ac:dyDescent="0.2">
      <c r="B425" t="s">
        <v>351</v>
      </c>
      <c r="C425" t="s">
        <v>368</v>
      </c>
      <c r="D425" t="s">
        <v>140</v>
      </c>
      <c r="E425">
        <v>0</v>
      </c>
      <c r="F425">
        <v>0</v>
      </c>
      <c r="G425">
        <v>0</v>
      </c>
      <c r="H425">
        <v>6139.57</v>
      </c>
      <c r="I425">
        <v>39968.759999999995</v>
      </c>
      <c r="J425">
        <v>24371.840000000004</v>
      </c>
      <c r="K425">
        <v>24371.840000000004</v>
      </c>
      <c r="L425">
        <v>24371.840000000004</v>
      </c>
      <c r="M425">
        <v>24371.840000000004</v>
      </c>
      <c r="N425">
        <v>24371.840000000004</v>
      </c>
      <c r="O425">
        <v>24371.840000000004</v>
      </c>
      <c r="Q425">
        <v>0</v>
      </c>
      <c r="R425">
        <v>0</v>
      </c>
      <c r="S425">
        <v>0</v>
      </c>
      <c r="T425">
        <v>6139.5700000000006</v>
      </c>
      <c r="U425">
        <v>15596.92</v>
      </c>
      <c r="V425">
        <v>10101.5</v>
      </c>
      <c r="W425">
        <v>0</v>
      </c>
      <c r="X425">
        <v>0</v>
      </c>
      <c r="Y425">
        <v>0</v>
      </c>
      <c r="Z425">
        <v>0</v>
      </c>
      <c r="AA425">
        <v>0</v>
      </c>
      <c r="AC425">
        <f>SUMPRODUCT(DB_ThemeSOFAcct[[#This Row],[Plan01]:[Plan12]],$E$14:$P$14)/valUnits2</f>
        <v>70.480170000000001</v>
      </c>
      <c r="AD425">
        <f>SUMPRODUCT(DB_ThemeSOFAcct[[#This Row],[Act01]:[Act12]],$Q$14:$AB$14)/valUnits2</f>
        <v>31.837990000000001</v>
      </c>
      <c r="AE425">
        <f>DB_ThemeSOFAcct[[#This Row],[Actuals]]-DB_ThemeSOFAcct[[#This Row],[Plan]]</f>
        <v>-38.642179999999996</v>
      </c>
      <c r="AF425">
        <f>IF(DB_ThemeSOFAcct[[#This Row],[Plan]]&lt;&gt;0,DB_ThemeSOFAcct[[#This Row],[Actuals]]/DB_ThemeSOFAcct[[#This Row],[Plan]],1.000011000011)</f>
        <v>0.45172975604343746</v>
      </c>
      <c r="AG425" s="34">
        <f>SUM(DB_ThemeSOFAcct[[#This Row],[Plan01]:[Plan12]])/valUnits2</f>
        <v>192.33937</v>
      </c>
      <c r="AH425" s="34">
        <f>SUMPRODUCT(DB_ThemeSOFAcct[[#This Row],[Act01]:[Act12]],$Q$3:$AB$3)/valUnits2</f>
        <v>31.837990000000001</v>
      </c>
    </row>
    <row r="426" spans="2:34" x14ac:dyDescent="0.2">
      <c r="B426" t="s">
        <v>351</v>
      </c>
      <c r="C426" t="s">
        <v>368</v>
      </c>
      <c r="D426" t="s">
        <v>236</v>
      </c>
      <c r="I426">
        <v>1321.91</v>
      </c>
      <c r="J426">
        <v>0</v>
      </c>
      <c r="U426">
        <v>1321.91</v>
      </c>
      <c r="V426">
        <v>4.5400000000000409</v>
      </c>
      <c r="AC426">
        <f>SUMPRODUCT(DB_ThemeSOFAcct[[#This Row],[Plan01]:[Plan12]],$E$14:$P$14)/valUnits2</f>
        <v>1.3219100000000001</v>
      </c>
      <c r="AD426">
        <f>SUMPRODUCT(DB_ThemeSOFAcct[[#This Row],[Act01]:[Act12]],$Q$14:$AB$14)/valUnits2</f>
        <v>1.3264500000000001</v>
      </c>
      <c r="AE426">
        <f>DB_ThemeSOFAcct[[#This Row],[Actuals]]-DB_ThemeSOFAcct[[#This Row],[Plan]]</f>
        <v>4.5399999999999885E-3</v>
      </c>
      <c r="AF426">
        <f>IF(DB_ThemeSOFAcct[[#This Row],[Plan]]&lt;&gt;0,DB_ThemeSOFAcct[[#This Row],[Actuals]]/DB_ThemeSOFAcct[[#This Row],[Plan]],1.000011000011)</f>
        <v>1.0034344244313154</v>
      </c>
      <c r="AG426" s="34">
        <f>SUM(DB_ThemeSOFAcct[[#This Row],[Plan01]:[Plan12]])/valUnits2</f>
        <v>1.3219100000000001</v>
      </c>
      <c r="AH426" s="34">
        <f>SUMPRODUCT(DB_ThemeSOFAcct[[#This Row],[Act01]:[Act12]],$Q$3:$AB$3)/valUnits2</f>
        <v>1.3264500000000001</v>
      </c>
    </row>
    <row r="427" spans="2:34" x14ac:dyDescent="0.2">
      <c r="B427" t="s">
        <v>351</v>
      </c>
      <c r="C427" t="s">
        <v>368</v>
      </c>
      <c r="D427" t="s">
        <v>237</v>
      </c>
      <c r="H427">
        <v>13.43</v>
      </c>
      <c r="I427">
        <v>13.36</v>
      </c>
      <c r="J427">
        <v>0</v>
      </c>
      <c r="T427">
        <v>13.43</v>
      </c>
      <c r="U427">
        <v>13.36</v>
      </c>
      <c r="V427">
        <v>0</v>
      </c>
      <c r="AC427">
        <f>SUMPRODUCT(DB_ThemeSOFAcct[[#This Row],[Plan01]:[Plan12]],$E$14:$P$14)/valUnits2</f>
        <v>2.6789999999999998E-2</v>
      </c>
      <c r="AD427">
        <f>SUMPRODUCT(DB_ThemeSOFAcct[[#This Row],[Act01]:[Act12]],$Q$14:$AB$14)/valUnits2</f>
        <v>2.6789999999999998E-2</v>
      </c>
      <c r="AE427">
        <f>DB_ThemeSOFAcct[[#This Row],[Actuals]]-DB_ThemeSOFAcct[[#This Row],[Plan]]</f>
        <v>0</v>
      </c>
      <c r="AF427">
        <f>IF(DB_ThemeSOFAcct[[#This Row],[Plan]]&lt;&gt;0,DB_ThemeSOFAcct[[#This Row],[Actuals]]/DB_ThemeSOFAcct[[#This Row],[Plan]],1.000011000011)</f>
        <v>1</v>
      </c>
      <c r="AG427" s="34">
        <f>SUM(DB_ThemeSOFAcct[[#This Row],[Plan01]:[Plan12]])/valUnits2</f>
        <v>2.6789999999999998E-2</v>
      </c>
      <c r="AH427" s="34">
        <f>SUMPRODUCT(DB_ThemeSOFAcct[[#This Row],[Act01]:[Act12]],$Q$3:$AB$3)/valUnits2</f>
        <v>2.6789999999999998E-2</v>
      </c>
    </row>
    <row r="428" spans="2:34" x14ac:dyDescent="0.2">
      <c r="B428" t="s">
        <v>351</v>
      </c>
      <c r="C428" t="s">
        <v>368</v>
      </c>
      <c r="D428" t="s">
        <v>141</v>
      </c>
      <c r="E428">
        <v>158.51000000000002</v>
      </c>
      <c r="H428">
        <v>3.45</v>
      </c>
      <c r="I428">
        <v>275.97000000000003</v>
      </c>
      <c r="Q428">
        <v>158.51000000000002</v>
      </c>
      <c r="T428">
        <v>3.45</v>
      </c>
      <c r="U428">
        <v>275.97000000000003</v>
      </c>
      <c r="AC428">
        <f>SUMPRODUCT(DB_ThemeSOFAcct[[#This Row],[Plan01]:[Plan12]],$E$14:$P$14)/valUnits2</f>
        <v>0.43793000000000004</v>
      </c>
      <c r="AD428">
        <f>SUMPRODUCT(DB_ThemeSOFAcct[[#This Row],[Act01]:[Act12]],$Q$14:$AB$14)/valUnits2</f>
        <v>0.43793000000000004</v>
      </c>
      <c r="AE428">
        <f>DB_ThemeSOFAcct[[#This Row],[Actuals]]-DB_ThemeSOFAcct[[#This Row],[Plan]]</f>
        <v>0</v>
      </c>
      <c r="AF428">
        <f>IF(DB_ThemeSOFAcct[[#This Row],[Plan]]&lt;&gt;0,DB_ThemeSOFAcct[[#This Row],[Actuals]]/DB_ThemeSOFAcct[[#This Row],[Plan]],1.000011000011)</f>
        <v>1</v>
      </c>
      <c r="AG428" s="34">
        <f>SUM(DB_ThemeSOFAcct[[#This Row],[Plan01]:[Plan12]])/valUnits2</f>
        <v>0.43793000000000004</v>
      </c>
      <c r="AH428" s="34">
        <f>SUMPRODUCT(DB_ThemeSOFAcct[[#This Row],[Act01]:[Act12]],$Q$3:$AB$3)/valUnits2</f>
        <v>0.43793000000000004</v>
      </c>
    </row>
    <row r="429" spans="2:34" x14ac:dyDescent="0.2">
      <c r="B429" t="s">
        <v>351</v>
      </c>
      <c r="C429" t="s">
        <v>892</v>
      </c>
      <c r="D429" t="s">
        <v>143</v>
      </c>
      <c r="E429">
        <v>202.84</v>
      </c>
      <c r="F429">
        <v>-812.34499999999991</v>
      </c>
      <c r="G429">
        <v>196.233</v>
      </c>
      <c r="H429">
        <v>309.98199999999997</v>
      </c>
      <c r="I429">
        <v>331.80700000000002</v>
      </c>
      <c r="J429">
        <v>196.233</v>
      </c>
      <c r="K429">
        <v>196.233</v>
      </c>
      <c r="L429">
        <v>196.233</v>
      </c>
      <c r="M429">
        <v>196.233</v>
      </c>
      <c r="N429">
        <v>196.233</v>
      </c>
      <c r="O429">
        <v>196.233</v>
      </c>
      <c r="P429">
        <v>196.233</v>
      </c>
      <c r="Q429">
        <v>0</v>
      </c>
      <c r="R429">
        <v>-625.38</v>
      </c>
      <c r="S429">
        <v>0</v>
      </c>
      <c r="T429">
        <v>113.19</v>
      </c>
      <c r="U429">
        <v>131.71</v>
      </c>
      <c r="V429">
        <v>134.62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f>SUMPRODUCT(DB_ThemeSOFAcct[[#This Row],[Plan01]:[Plan12]],$E$14:$P$14)/valUnits2</f>
        <v>0.42475000000000013</v>
      </c>
      <c r="AD429">
        <f>SUMPRODUCT(DB_ThemeSOFAcct[[#This Row],[Act01]:[Act12]],$Q$14:$AB$14)/valUnits2</f>
        <v>-0.24586000000000002</v>
      </c>
      <c r="AE429">
        <f>DB_ThemeSOFAcct[[#This Row],[Actuals]]-DB_ThemeSOFAcct[[#This Row],[Plan]]</f>
        <v>-0.67061000000000015</v>
      </c>
      <c r="AF429">
        <f>IF(DB_ThemeSOFAcct[[#This Row],[Plan]]&lt;&gt;0,DB_ThemeSOFAcct[[#This Row],[Actuals]]/DB_ThemeSOFAcct[[#This Row],[Plan]],1.000011000011)</f>
        <v>-0.57883460859329006</v>
      </c>
      <c r="AG429" s="34">
        <f>SUM(DB_ThemeSOFAcct[[#This Row],[Plan01]:[Plan12]])/valUnits2</f>
        <v>1.6021479999999999</v>
      </c>
      <c r="AH429" s="34">
        <f>SUMPRODUCT(DB_ThemeSOFAcct[[#This Row],[Act01]:[Act12]],$Q$3:$AB$3)/valUnits2</f>
        <v>-0.24586000000000002</v>
      </c>
    </row>
    <row r="430" spans="2:34" x14ac:dyDescent="0.2">
      <c r="B430" t="s">
        <v>351</v>
      </c>
      <c r="C430" t="s">
        <v>892</v>
      </c>
      <c r="D430" t="s">
        <v>235</v>
      </c>
      <c r="F430">
        <v>0</v>
      </c>
      <c r="I430">
        <v>38.755000000000003</v>
      </c>
      <c r="J430">
        <v>0</v>
      </c>
      <c r="R430">
        <v>-382.17</v>
      </c>
      <c r="U430">
        <v>43.17</v>
      </c>
      <c r="V430">
        <v>22.72</v>
      </c>
      <c r="AC430">
        <f>SUMPRODUCT(DB_ThemeSOFAcct[[#This Row],[Plan01]:[Plan12]],$E$14:$P$14)/valUnits2</f>
        <v>3.8755000000000005E-2</v>
      </c>
      <c r="AD430">
        <f>SUMPRODUCT(DB_ThemeSOFAcct[[#This Row],[Act01]:[Act12]],$Q$14:$AB$14)/valUnits2</f>
        <v>-0.31627999999999995</v>
      </c>
      <c r="AE430">
        <f>DB_ThemeSOFAcct[[#This Row],[Actuals]]-DB_ThemeSOFAcct[[#This Row],[Plan]]</f>
        <v>-0.35503499999999993</v>
      </c>
      <c r="AF430">
        <f>IF(DB_ThemeSOFAcct[[#This Row],[Plan]]&lt;&gt;0,DB_ThemeSOFAcct[[#This Row],[Actuals]]/DB_ThemeSOFAcct[[#This Row],[Plan]],1.000011000011)</f>
        <v>-8.161011482389366</v>
      </c>
      <c r="AG430" s="34">
        <f>SUM(DB_ThemeSOFAcct[[#This Row],[Plan01]:[Plan12]])/valUnits2</f>
        <v>3.8755000000000005E-2</v>
      </c>
      <c r="AH430" s="34">
        <f>SUMPRODUCT(DB_ThemeSOFAcct[[#This Row],[Act01]:[Act12]],$Q$3:$AB$3)/valUnits2</f>
        <v>-0.31627999999999995</v>
      </c>
    </row>
    <row r="431" spans="2:34" x14ac:dyDescent="0.2">
      <c r="B431" t="s">
        <v>351</v>
      </c>
      <c r="C431" t="s">
        <v>892</v>
      </c>
      <c r="D431" t="s">
        <v>140</v>
      </c>
      <c r="E431">
        <v>563.44399999999996</v>
      </c>
      <c r="F431">
        <v>2282.5479999999998</v>
      </c>
      <c r="G431">
        <v>1959.4489999999998</v>
      </c>
      <c r="H431">
        <v>2421.2950000000001</v>
      </c>
      <c r="I431">
        <v>2539.7010000000005</v>
      </c>
      <c r="J431">
        <v>545.09100000000001</v>
      </c>
      <c r="K431">
        <v>545.09100000000001</v>
      </c>
      <c r="L431">
        <v>545.09100000000001</v>
      </c>
      <c r="M431">
        <v>545.09100000000001</v>
      </c>
      <c r="N431">
        <v>545.09100000000001</v>
      </c>
      <c r="O431">
        <v>545.09100000000001</v>
      </c>
      <c r="P431">
        <v>545.09100000000001</v>
      </c>
      <c r="Q431">
        <v>0</v>
      </c>
      <c r="R431">
        <v>1772.5200000000002</v>
      </c>
      <c r="S431">
        <v>1425.53</v>
      </c>
      <c r="T431">
        <v>1874.3799999999999</v>
      </c>
      <c r="U431">
        <v>1976.5100000000002</v>
      </c>
      <c r="V431">
        <v>551.91999999999996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f>SUMPRODUCT(DB_ThemeSOFAcct[[#This Row],[Plan01]:[Plan12]],$E$14:$P$14)/valUnits2</f>
        <v>10.311528000000001</v>
      </c>
      <c r="AD431">
        <f>SUMPRODUCT(DB_ThemeSOFAcct[[#This Row],[Act01]:[Act12]],$Q$14:$AB$14)/valUnits2</f>
        <v>7.6008600000000008</v>
      </c>
      <c r="AE431">
        <f>DB_ThemeSOFAcct[[#This Row],[Actuals]]-DB_ThemeSOFAcct[[#This Row],[Plan]]</f>
        <v>-2.7106680000000001</v>
      </c>
      <c r="AF431">
        <f>IF(DB_ThemeSOFAcct[[#This Row],[Plan]]&lt;&gt;0,DB_ThemeSOFAcct[[#This Row],[Actuals]]/DB_ThemeSOFAcct[[#This Row],[Plan]],1.000011000011)</f>
        <v>0.73712256806168786</v>
      </c>
      <c r="AG431" s="34">
        <f>SUM(DB_ThemeSOFAcct[[#This Row],[Plan01]:[Plan12]])/valUnits2</f>
        <v>13.582074000000002</v>
      </c>
      <c r="AH431" s="34">
        <f>SUMPRODUCT(DB_ThemeSOFAcct[[#This Row],[Act01]:[Act12]],$Q$3:$AB$3)/valUnits2</f>
        <v>7.6008600000000008</v>
      </c>
    </row>
    <row r="432" spans="2:34" x14ac:dyDescent="0.2">
      <c r="B432" t="s">
        <v>351</v>
      </c>
      <c r="C432" t="s">
        <v>892</v>
      </c>
      <c r="D432" t="s">
        <v>236</v>
      </c>
      <c r="I432">
        <v>40.741</v>
      </c>
      <c r="J432">
        <v>0</v>
      </c>
      <c r="U432">
        <v>40.520000000000003</v>
      </c>
      <c r="V432">
        <v>0.15</v>
      </c>
      <c r="AC432">
        <f>SUMPRODUCT(DB_ThemeSOFAcct[[#This Row],[Plan01]:[Plan12]],$E$14:$P$14)/valUnits2</f>
        <v>4.0740999999999999E-2</v>
      </c>
      <c r="AD432">
        <f>SUMPRODUCT(DB_ThemeSOFAcct[[#This Row],[Act01]:[Act12]],$Q$14:$AB$14)/valUnits2</f>
        <v>4.0670000000000005E-2</v>
      </c>
      <c r="AE432">
        <f>DB_ThemeSOFAcct[[#This Row],[Actuals]]-DB_ThemeSOFAcct[[#This Row],[Plan]]</f>
        <v>-7.0999999999994678E-5</v>
      </c>
      <c r="AF432">
        <f>IF(DB_ThemeSOFAcct[[#This Row],[Plan]]&lt;&gt;0,DB_ThemeSOFAcct[[#This Row],[Actuals]]/DB_ThemeSOFAcct[[#This Row],[Plan]],1.000011000011)</f>
        <v>0.99825728381728496</v>
      </c>
      <c r="AG432" s="34">
        <f>SUM(DB_ThemeSOFAcct[[#This Row],[Plan01]:[Plan12]])/valUnits2</f>
        <v>4.0740999999999999E-2</v>
      </c>
      <c r="AH432" s="34">
        <f>SUMPRODUCT(DB_ThemeSOFAcct[[#This Row],[Act01]:[Act12]],$Q$3:$AB$3)/valUnits2</f>
        <v>4.0670000000000005E-2</v>
      </c>
    </row>
    <row r="433" spans="2:34" x14ac:dyDescent="0.2">
      <c r="B433" t="s">
        <v>351</v>
      </c>
      <c r="C433" t="s">
        <v>892</v>
      </c>
      <c r="D433" t="s">
        <v>237</v>
      </c>
      <c r="I433">
        <v>0.41099999999999998</v>
      </c>
      <c r="U433">
        <v>0.41</v>
      </c>
      <c r="AC433">
        <f>SUMPRODUCT(DB_ThemeSOFAcct[[#This Row],[Plan01]:[Plan12]],$E$14:$P$14)/valUnits2</f>
        <v>4.1099999999999996E-4</v>
      </c>
      <c r="AD433">
        <f>SUMPRODUCT(DB_ThemeSOFAcct[[#This Row],[Act01]:[Act12]],$Q$14:$AB$14)/valUnits2</f>
        <v>4.0999999999999999E-4</v>
      </c>
      <c r="AE433">
        <f>DB_ThemeSOFAcct[[#This Row],[Actuals]]-DB_ThemeSOFAcct[[#This Row],[Plan]]</f>
        <v>-9.999999999999701E-7</v>
      </c>
      <c r="AF433">
        <f>IF(DB_ThemeSOFAcct[[#This Row],[Plan]]&lt;&gt;0,DB_ThemeSOFAcct[[#This Row],[Actuals]]/DB_ThemeSOFAcct[[#This Row],[Plan]],1.000011000011)</f>
        <v>0.99756690997566921</v>
      </c>
      <c r="AG433" s="34">
        <f>SUM(DB_ThemeSOFAcct[[#This Row],[Plan01]:[Plan12]])/valUnits2</f>
        <v>4.1099999999999996E-4</v>
      </c>
      <c r="AH433" s="34">
        <f>SUMPRODUCT(DB_ThemeSOFAcct[[#This Row],[Act01]:[Act12]],$Q$3:$AB$3)/valUnits2</f>
        <v>4.0999999999999999E-4</v>
      </c>
    </row>
    <row r="434" spans="2:34" x14ac:dyDescent="0.2">
      <c r="B434" t="s">
        <v>351</v>
      </c>
      <c r="C434" t="s">
        <v>892</v>
      </c>
      <c r="D434" t="s">
        <v>141</v>
      </c>
      <c r="H434">
        <v>197.535</v>
      </c>
      <c r="I434">
        <v>5.5490000000000004</v>
      </c>
      <c r="T434">
        <v>196.87</v>
      </c>
      <c r="U434">
        <v>5.51</v>
      </c>
      <c r="AC434">
        <f>SUMPRODUCT(DB_ThemeSOFAcct[[#This Row],[Plan01]:[Plan12]],$E$14:$P$14)/valUnits2</f>
        <v>0.20308400000000001</v>
      </c>
      <c r="AD434">
        <f>SUMPRODUCT(DB_ThemeSOFAcct[[#This Row],[Act01]:[Act12]],$Q$14:$AB$14)/valUnits2</f>
        <v>0.20238</v>
      </c>
      <c r="AE434">
        <f>DB_ThemeSOFAcct[[#This Row],[Actuals]]-DB_ThemeSOFAcct[[#This Row],[Plan]]</f>
        <v>-7.0400000000001017E-4</v>
      </c>
      <c r="AF434">
        <f>IF(DB_ThemeSOFAcct[[#This Row],[Plan]]&lt;&gt;0,DB_ThemeSOFAcct[[#This Row],[Actuals]]/DB_ThemeSOFAcct[[#This Row],[Plan]],1.000011000011)</f>
        <v>0.99653345413720429</v>
      </c>
      <c r="AG434" s="34">
        <f>SUM(DB_ThemeSOFAcct[[#This Row],[Plan01]:[Plan12]])/valUnits2</f>
        <v>0.20308400000000001</v>
      </c>
      <c r="AH434" s="34">
        <f>SUMPRODUCT(DB_ThemeSOFAcct[[#This Row],[Act01]:[Act12]],$Q$3:$AB$3)/valUnits2</f>
        <v>0.20238</v>
      </c>
    </row>
    <row r="435" spans="2:34" x14ac:dyDescent="0.2">
      <c r="B435" t="s">
        <v>351</v>
      </c>
      <c r="C435" t="s">
        <v>893</v>
      </c>
      <c r="D435" t="s">
        <v>143</v>
      </c>
      <c r="G435">
        <v>30.158999999999999</v>
      </c>
      <c r="S435">
        <v>31.700000000000003</v>
      </c>
      <c r="AC435">
        <f>SUMPRODUCT(DB_ThemeSOFAcct[[#This Row],[Plan01]:[Plan12]],$E$14:$P$14)/valUnits2</f>
        <v>3.0158999999999998E-2</v>
      </c>
      <c r="AD435">
        <f>SUMPRODUCT(DB_ThemeSOFAcct[[#This Row],[Act01]:[Act12]],$Q$14:$AB$14)/valUnits2</f>
        <v>3.1700000000000006E-2</v>
      </c>
      <c r="AE435">
        <f>DB_ThemeSOFAcct[[#This Row],[Actuals]]-DB_ThemeSOFAcct[[#This Row],[Plan]]</f>
        <v>1.5410000000000076E-3</v>
      </c>
      <c r="AF435">
        <f>IF(DB_ThemeSOFAcct[[#This Row],[Plan]]&lt;&gt;0,DB_ThemeSOFAcct[[#This Row],[Actuals]]/DB_ThemeSOFAcct[[#This Row],[Plan]],1.000011000011)</f>
        <v>1.0510958586160022</v>
      </c>
      <c r="AG435" s="34">
        <f>SUM(DB_ThemeSOFAcct[[#This Row],[Plan01]:[Plan12]])/valUnits2</f>
        <v>3.0158999999999998E-2</v>
      </c>
      <c r="AH435" s="34">
        <f>SUMPRODUCT(DB_ThemeSOFAcct[[#This Row],[Act01]:[Act12]],$Q$3:$AB$3)/valUnits2</f>
        <v>3.1700000000000006E-2</v>
      </c>
    </row>
    <row r="436" spans="2:34" x14ac:dyDescent="0.2">
      <c r="B436" t="s">
        <v>351</v>
      </c>
      <c r="C436" t="s">
        <v>893</v>
      </c>
      <c r="D436" t="s">
        <v>235</v>
      </c>
      <c r="G436">
        <v>2065.114</v>
      </c>
      <c r="S436">
        <v>2112.75</v>
      </c>
      <c r="AC436">
        <f>SUMPRODUCT(DB_ThemeSOFAcct[[#This Row],[Plan01]:[Plan12]],$E$14:$P$14)/valUnits2</f>
        <v>2.0651139999999999</v>
      </c>
      <c r="AD436">
        <f>SUMPRODUCT(DB_ThemeSOFAcct[[#This Row],[Act01]:[Act12]],$Q$14:$AB$14)/valUnits2</f>
        <v>2.1127500000000001</v>
      </c>
      <c r="AE436">
        <f>DB_ThemeSOFAcct[[#This Row],[Actuals]]-DB_ThemeSOFAcct[[#This Row],[Plan]]</f>
        <v>4.7636000000000234E-2</v>
      </c>
      <c r="AF436">
        <f>IF(DB_ThemeSOFAcct[[#This Row],[Plan]]&lt;&gt;0,DB_ThemeSOFAcct[[#This Row],[Actuals]]/DB_ThemeSOFAcct[[#This Row],[Plan]],1.000011000011)</f>
        <v>1.0230670074388146</v>
      </c>
      <c r="AG436" s="34">
        <f>SUM(DB_ThemeSOFAcct[[#This Row],[Plan01]:[Plan12]])/valUnits2</f>
        <v>2.0651139999999999</v>
      </c>
      <c r="AH436" s="34">
        <f>SUMPRODUCT(DB_ThemeSOFAcct[[#This Row],[Act01]:[Act12]],$Q$3:$AB$3)/valUnits2</f>
        <v>2.1127500000000001</v>
      </c>
    </row>
    <row r="437" spans="2:34" x14ac:dyDescent="0.2">
      <c r="B437" t="s">
        <v>351</v>
      </c>
      <c r="C437" t="s">
        <v>893</v>
      </c>
      <c r="D437" t="s">
        <v>140</v>
      </c>
      <c r="G437">
        <v>566.04499999999996</v>
      </c>
      <c r="S437">
        <v>599.46</v>
      </c>
      <c r="AC437">
        <f>SUMPRODUCT(DB_ThemeSOFAcct[[#This Row],[Plan01]:[Plan12]],$E$14:$P$14)/valUnits2</f>
        <v>0.56604499999999991</v>
      </c>
      <c r="AD437">
        <f>SUMPRODUCT(DB_ThemeSOFAcct[[#This Row],[Act01]:[Act12]],$Q$14:$AB$14)/valUnits2</f>
        <v>0.59945999999999999</v>
      </c>
      <c r="AE437">
        <f>DB_ThemeSOFAcct[[#This Row],[Actuals]]-DB_ThemeSOFAcct[[#This Row],[Plan]]</f>
        <v>3.3415000000000084E-2</v>
      </c>
      <c r="AF437">
        <f>IF(DB_ThemeSOFAcct[[#This Row],[Plan]]&lt;&gt;0,DB_ThemeSOFAcct[[#This Row],[Actuals]]/DB_ThemeSOFAcct[[#This Row],[Plan]],1.000011000011)</f>
        <v>1.0590324090840835</v>
      </c>
      <c r="AG437" s="34">
        <f>SUM(DB_ThemeSOFAcct[[#This Row],[Plan01]:[Plan12]])/valUnits2</f>
        <v>0.56604499999999991</v>
      </c>
      <c r="AH437" s="34">
        <f>SUMPRODUCT(DB_ThemeSOFAcct[[#This Row],[Act01]:[Act12]],$Q$3:$AB$3)/valUnits2</f>
        <v>0.59945999999999999</v>
      </c>
    </row>
    <row r="438" spans="2:34" x14ac:dyDescent="0.2">
      <c r="B438" t="s">
        <v>351</v>
      </c>
      <c r="C438" t="s">
        <v>893</v>
      </c>
      <c r="D438" t="s">
        <v>236</v>
      </c>
      <c r="G438">
        <v>12.067</v>
      </c>
      <c r="S438">
        <v>12.78</v>
      </c>
      <c r="AC438">
        <f>SUMPRODUCT(DB_ThemeSOFAcct[[#This Row],[Plan01]:[Plan12]],$E$14:$P$14)/valUnits2</f>
        <v>1.2067E-2</v>
      </c>
      <c r="AD438">
        <f>SUMPRODUCT(DB_ThemeSOFAcct[[#This Row],[Act01]:[Act12]],$Q$14:$AB$14)/valUnits2</f>
        <v>1.278E-2</v>
      </c>
      <c r="AE438">
        <f>DB_ThemeSOFAcct[[#This Row],[Actuals]]-DB_ThemeSOFAcct[[#This Row],[Plan]]</f>
        <v>7.1300000000000009E-4</v>
      </c>
      <c r="AF438">
        <f>IF(DB_ThemeSOFAcct[[#This Row],[Plan]]&lt;&gt;0,DB_ThemeSOFAcct[[#This Row],[Actuals]]/DB_ThemeSOFAcct[[#This Row],[Plan]],1.000011000011)</f>
        <v>1.0590867655589624</v>
      </c>
      <c r="AG438" s="34">
        <f>SUM(DB_ThemeSOFAcct[[#This Row],[Plan01]:[Plan12]])/valUnits2</f>
        <v>1.2067E-2</v>
      </c>
      <c r="AH438" s="34">
        <f>SUMPRODUCT(DB_ThemeSOFAcct[[#This Row],[Act01]:[Act12]],$Q$3:$AB$3)/valUnits2</f>
        <v>1.278E-2</v>
      </c>
    </row>
    <row r="439" spans="2:34" x14ac:dyDescent="0.2">
      <c r="B439" t="s">
        <v>351</v>
      </c>
      <c r="C439" t="s">
        <v>894</v>
      </c>
      <c r="D439" t="s">
        <v>143</v>
      </c>
      <c r="G439">
        <v>-78.507000000000005</v>
      </c>
      <c r="I439">
        <v>36.64</v>
      </c>
      <c r="S439">
        <v>-79.540000000000006</v>
      </c>
      <c r="U439">
        <v>37.799999999999997</v>
      </c>
      <c r="AC439">
        <f>SUMPRODUCT(DB_ThemeSOFAcct[[#This Row],[Plan01]:[Plan12]],$E$14:$P$14)/valUnits2</f>
        <v>-4.1867000000000001E-2</v>
      </c>
      <c r="AD439">
        <f>SUMPRODUCT(DB_ThemeSOFAcct[[#This Row],[Act01]:[Act12]],$Q$14:$AB$14)/valUnits2</f>
        <v>-4.1740000000000006E-2</v>
      </c>
      <c r="AE439">
        <f>DB_ThemeSOFAcct[[#This Row],[Actuals]]-DB_ThemeSOFAcct[[#This Row],[Plan]]</f>
        <v>1.2699999999999517E-4</v>
      </c>
      <c r="AF439">
        <f>IF(DB_ThemeSOFAcct[[#This Row],[Plan]]&lt;&gt;0,DB_ThemeSOFAcct[[#This Row],[Actuals]]/DB_ThemeSOFAcct[[#This Row],[Plan]],1.000011000011)</f>
        <v>0.99696658466095023</v>
      </c>
      <c r="AG439" s="34">
        <f>SUM(DB_ThemeSOFAcct[[#This Row],[Plan01]:[Plan12]])/valUnits2</f>
        <v>-4.1867000000000001E-2</v>
      </c>
      <c r="AH439" s="34">
        <f>SUMPRODUCT(DB_ThemeSOFAcct[[#This Row],[Act01]:[Act12]],$Q$3:$AB$3)/valUnits2</f>
        <v>-4.1740000000000006E-2</v>
      </c>
    </row>
    <row r="440" spans="2:34" x14ac:dyDescent="0.2">
      <c r="B440" t="s">
        <v>351</v>
      </c>
      <c r="C440" t="s">
        <v>894</v>
      </c>
      <c r="D440" t="s">
        <v>235</v>
      </c>
      <c r="G440">
        <v>-191.83799999999999</v>
      </c>
      <c r="I440">
        <v>2.5070000000000001</v>
      </c>
      <c r="S440">
        <v>-183.55</v>
      </c>
      <c r="U440">
        <v>3.1399999999999997</v>
      </c>
      <c r="AC440">
        <f>SUMPRODUCT(DB_ThemeSOFAcct[[#This Row],[Plan01]:[Plan12]],$E$14:$P$14)/valUnits2</f>
        <v>-0.189331</v>
      </c>
      <c r="AD440">
        <f>SUMPRODUCT(DB_ThemeSOFAcct[[#This Row],[Act01]:[Act12]],$Q$14:$AB$14)/valUnits2</f>
        <v>-0.18041000000000001</v>
      </c>
      <c r="AE440">
        <f>DB_ThemeSOFAcct[[#This Row],[Actuals]]-DB_ThemeSOFAcct[[#This Row],[Plan]]</f>
        <v>8.9209999999999845E-3</v>
      </c>
      <c r="AF440">
        <f>IF(DB_ThemeSOFAcct[[#This Row],[Plan]]&lt;&gt;0,DB_ThemeSOFAcct[[#This Row],[Actuals]]/DB_ThemeSOFAcct[[#This Row],[Plan]],1.000011000011)</f>
        <v>0.95288146156730813</v>
      </c>
      <c r="AG440" s="34">
        <f>SUM(DB_ThemeSOFAcct[[#This Row],[Plan01]:[Plan12]])/valUnits2</f>
        <v>-0.189331</v>
      </c>
      <c r="AH440" s="34">
        <f>SUMPRODUCT(DB_ThemeSOFAcct[[#This Row],[Act01]:[Act12]],$Q$3:$AB$3)/valUnits2</f>
        <v>-0.18041000000000001</v>
      </c>
    </row>
    <row r="441" spans="2:34" x14ac:dyDescent="0.2">
      <c r="B441" t="s">
        <v>351</v>
      </c>
      <c r="C441" t="s">
        <v>894</v>
      </c>
      <c r="D441" t="s">
        <v>236</v>
      </c>
      <c r="I441">
        <v>0.184</v>
      </c>
      <c r="U441">
        <v>0.19</v>
      </c>
      <c r="AC441">
        <f>SUMPRODUCT(DB_ThemeSOFAcct[[#This Row],[Plan01]:[Plan12]],$E$14:$P$14)/valUnits2</f>
        <v>1.84E-4</v>
      </c>
      <c r="AD441">
        <f>SUMPRODUCT(DB_ThemeSOFAcct[[#This Row],[Act01]:[Act12]],$Q$14:$AB$14)/valUnits2</f>
        <v>1.9000000000000001E-4</v>
      </c>
      <c r="AE441">
        <f>DB_ThemeSOFAcct[[#This Row],[Actuals]]-DB_ThemeSOFAcct[[#This Row],[Plan]]</f>
        <v>6.0000000000000103E-6</v>
      </c>
      <c r="AF441">
        <f>IF(DB_ThemeSOFAcct[[#This Row],[Plan]]&lt;&gt;0,DB_ThemeSOFAcct[[#This Row],[Actuals]]/DB_ThemeSOFAcct[[#This Row],[Plan]],1.000011000011)</f>
        <v>1.0326086956521741</v>
      </c>
      <c r="AG441" s="34">
        <f>SUM(DB_ThemeSOFAcct[[#This Row],[Plan01]:[Plan12]])/valUnits2</f>
        <v>1.84E-4</v>
      </c>
      <c r="AH441" s="34">
        <f>SUMPRODUCT(DB_ThemeSOFAcct[[#This Row],[Act01]:[Act12]],$Q$3:$AB$3)/valUnits2</f>
        <v>1.9000000000000001E-4</v>
      </c>
    </row>
    <row r="442" spans="2:34" x14ac:dyDescent="0.2">
      <c r="B442" t="s">
        <v>351</v>
      </c>
      <c r="C442" t="s">
        <v>894</v>
      </c>
      <c r="D442" t="s">
        <v>141</v>
      </c>
      <c r="I442">
        <v>1.5469999999999999</v>
      </c>
      <c r="U442">
        <v>1.6</v>
      </c>
      <c r="AC442">
        <f>SUMPRODUCT(DB_ThemeSOFAcct[[#This Row],[Plan01]:[Plan12]],$E$14:$P$14)/valUnits2</f>
        <v>1.547E-3</v>
      </c>
      <c r="AD442">
        <f>SUMPRODUCT(DB_ThemeSOFAcct[[#This Row],[Act01]:[Act12]],$Q$14:$AB$14)/valUnits2</f>
        <v>1.6000000000000001E-3</v>
      </c>
      <c r="AE442">
        <f>DB_ThemeSOFAcct[[#This Row],[Actuals]]-DB_ThemeSOFAcct[[#This Row],[Plan]]</f>
        <v>5.3000000000000096E-5</v>
      </c>
      <c r="AF442">
        <f>IF(DB_ThemeSOFAcct[[#This Row],[Plan]]&lt;&gt;0,DB_ThemeSOFAcct[[#This Row],[Actuals]]/DB_ThemeSOFAcct[[#This Row],[Plan]],1.000011000011)</f>
        <v>1.0342598577892697</v>
      </c>
      <c r="AG442" s="34">
        <f>SUM(DB_ThemeSOFAcct[[#This Row],[Plan01]:[Plan12]])/valUnits2</f>
        <v>1.547E-3</v>
      </c>
      <c r="AH442" s="34">
        <f>SUMPRODUCT(DB_ThemeSOFAcct[[#This Row],[Act01]:[Act12]],$Q$3:$AB$3)/valUnits2</f>
        <v>1.6000000000000001E-3</v>
      </c>
    </row>
    <row r="443" spans="2:34" x14ac:dyDescent="0.2">
      <c r="B443" t="s">
        <v>351</v>
      </c>
      <c r="C443" t="s">
        <v>895</v>
      </c>
      <c r="D443" t="s">
        <v>143</v>
      </c>
      <c r="E443">
        <v>0</v>
      </c>
      <c r="F443">
        <v>0</v>
      </c>
      <c r="G443">
        <v>0</v>
      </c>
      <c r="H443">
        <v>1887.44</v>
      </c>
      <c r="I443">
        <v>452.27</v>
      </c>
      <c r="J443">
        <v>1198.5840000000001</v>
      </c>
      <c r="K443">
        <v>1198.5840000000001</v>
      </c>
      <c r="L443">
        <v>1198.5840000000001</v>
      </c>
      <c r="M443">
        <v>1198.5840000000001</v>
      </c>
      <c r="N443">
        <v>1198.5840000000001</v>
      </c>
      <c r="O443">
        <v>1198.5840000000001</v>
      </c>
      <c r="P443">
        <v>1198.5840000000001</v>
      </c>
      <c r="Q443">
        <v>0</v>
      </c>
      <c r="R443">
        <v>0</v>
      </c>
      <c r="S443">
        <v>0</v>
      </c>
      <c r="T443">
        <v>1823.9199999999998</v>
      </c>
      <c r="U443">
        <v>439.41</v>
      </c>
      <c r="V443">
        <v>449.15999999999997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f>SUMPRODUCT(DB_ThemeSOFAcct[[#This Row],[Plan01]:[Plan12]],$E$14:$P$14)/valUnits2</f>
        <v>3.5382940000000001</v>
      </c>
      <c r="AD443">
        <f>SUMPRODUCT(DB_ThemeSOFAcct[[#This Row],[Act01]:[Act12]],$Q$14:$AB$14)/valUnits2</f>
        <v>2.7124899999999998</v>
      </c>
      <c r="AE443">
        <f>DB_ThemeSOFAcct[[#This Row],[Actuals]]-DB_ThemeSOFAcct[[#This Row],[Plan]]</f>
        <v>-0.8258040000000002</v>
      </c>
      <c r="AF443">
        <f>IF(DB_ThemeSOFAcct[[#This Row],[Plan]]&lt;&gt;0,DB_ThemeSOFAcct[[#This Row],[Actuals]]/DB_ThemeSOFAcct[[#This Row],[Plan]],1.000011000011)</f>
        <v>0.76660955816560183</v>
      </c>
      <c r="AG443" s="34">
        <f>SUM(DB_ThemeSOFAcct[[#This Row],[Plan01]:[Plan12]])/valUnits2</f>
        <v>10.729798000000001</v>
      </c>
      <c r="AH443" s="34">
        <f>SUMPRODUCT(DB_ThemeSOFAcct[[#This Row],[Act01]:[Act12]],$Q$3:$AB$3)/valUnits2</f>
        <v>2.7124899999999998</v>
      </c>
    </row>
    <row r="444" spans="2:34" x14ac:dyDescent="0.2">
      <c r="B444" t="s">
        <v>351</v>
      </c>
      <c r="C444" t="s">
        <v>895</v>
      </c>
      <c r="D444" t="s">
        <v>235</v>
      </c>
      <c r="E444">
        <v>0</v>
      </c>
      <c r="F444">
        <v>0</v>
      </c>
      <c r="G444">
        <v>0</v>
      </c>
      <c r="H444">
        <v>107.476</v>
      </c>
      <c r="I444">
        <v>129.35300000000001</v>
      </c>
      <c r="J444">
        <v>1403.576</v>
      </c>
      <c r="K444">
        <v>1403.576</v>
      </c>
      <c r="L444">
        <v>1403.576</v>
      </c>
      <c r="M444">
        <v>1403.576</v>
      </c>
      <c r="N444">
        <v>1403.576</v>
      </c>
      <c r="O444">
        <v>1403.576</v>
      </c>
      <c r="P444">
        <v>1403.576</v>
      </c>
      <c r="Q444">
        <v>0</v>
      </c>
      <c r="R444">
        <v>0</v>
      </c>
      <c r="S444">
        <v>0</v>
      </c>
      <c r="T444">
        <v>179.86</v>
      </c>
      <c r="U444">
        <v>144.07</v>
      </c>
      <c r="V444">
        <v>75.760000000000005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f>SUMPRODUCT(DB_ThemeSOFAcct[[#This Row],[Plan01]:[Plan12]],$E$14:$P$14)/valUnits2</f>
        <v>1.6404049999999999</v>
      </c>
      <c r="AD444">
        <f>SUMPRODUCT(DB_ThemeSOFAcct[[#This Row],[Act01]:[Act12]],$Q$14:$AB$14)/valUnits2</f>
        <v>0.39968999999999999</v>
      </c>
      <c r="AE444">
        <f>DB_ThemeSOFAcct[[#This Row],[Actuals]]-DB_ThemeSOFAcct[[#This Row],[Plan]]</f>
        <v>-1.2407149999999998</v>
      </c>
      <c r="AF444">
        <f>IF(DB_ThemeSOFAcct[[#This Row],[Plan]]&lt;&gt;0,DB_ThemeSOFAcct[[#This Row],[Actuals]]/DB_ThemeSOFAcct[[#This Row],[Plan]],1.000011000011)</f>
        <v>0.24365324416836087</v>
      </c>
      <c r="AG444" s="34">
        <f>SUM(DB_ThemeSOFAcct[[#This Row],[Plan01]:[Plan12]])/valUnits2</f>
        <v>10.061861</v>
      </c>
      <c r="AH444" s="34">
        <f>SUMPRODUCT(DB_ThemeSOFAcct[[#This Row],[Act01]:[Act12]],$Q$3:$AB$3)/valUnits2</f>
        <v>0.39968999999999999</v>
      </c>
    </row>
    <row r="445" spans="2:34" x14ac:dyDescent="0.2">
      <c r="B445" t="s">
        <v>351</v>
      </c>
      <c r="C445" t="s">
        <v>895</v>
      </c>
      <c r="D445" t="s">
        <v>140</v>
      </c>
      <c r="E445">
        <v>849.88799999999992</v>
      </c>
      <c r="F445">
        <v>1208.2339999999999</v>
      </c>
      <c r="G445">
        <v>1330.3990000000001</v>
      </c>
      <c r="H445">
        <v>3212.596</v>
      </c>
      <c r="I445">
        <v>2621.5950000000003</v>
      </c>
      <c r="J445">
        <v>1693.422</v>
      </c>
      <c r="K445">
        <v>1693.422</v>
      </c>
      <c r="L445">
        <v>1693.422</v>
      </c>
      <c r="M445">
        <v>1693.422</v>
      </c>
      <c r="N445">
        <v>1693.422</v>
      </c>
      <c r="O445">
        <v>1693.422</v>
      </c>
      <c r="P445">
        <v>1693.422</v>
      </c>
      <c r="Q445">
        <v>837.31999999999994</v>
      </c>
      <c r="R445">
        <v>1233.57</v>
      </c>
      <c r="S445">
        <v>1342.44</v>
      </c>
      <c r="T445">
        <v>3201.3700000000003</v>
      </c>
      <c r="U445">
        <v>2628.5699999999997</v>
      </c>
      <c r="V445">
        <v>1759.07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f>SUMPRODUCT(DB_ThemeSOFAcct[[#This Row],[Plan01]:[Plan12]],$E$14:$P$14)/valUnits2</f>
        <v>10.916134</v>
      </c>
      <c r="AD445">
        <f>SUMPRODUCT(DB_ThemeSOFAcct[[#This Row],[Act01]:[Act12]],$Q$14:$AB$14)/valUnits2</f>
        <v>11.00234</v>
      </c>
      <c r="AE445">
        <f>DB_ThemeSOFAcct[[#This Row],[Actuals]]-DB_ThemeSOFAcct[[#This Row],[Plan]]</f>
        <v>8.6206000000000671E-2</v>
      </c>
      <c r="AF445">
        <f>IF(DB_ThemeSOFAcct[[#This Row],[Plan]]&lt;&gt;0,DB_ThemeSOFAcct[[#This Row],[Actuals]]/DB_ThemeSOFAcct[[#This Row],[Plan]],1.000011000011)</f>
        <v>1.0078971181555669</v>
      </c>
      <c r="AG445" s="34">
        <f>SUM(DB_ThemeSOFAcct[[#This Row],[Plan01]:[Plan12]])/valUnits2</f>
        <v>21.076665999999996</v>
      </c>
      <c r="AH445" s="34">
        <f>SUMPRODUCT(DB_ThemeSOFAcct[[#This Row],[Act01]:[Act12]],$Q$3:$AB$3)/valUnits2</f>
        <v>11.00234</v>
      </c>
    </row>
    <row r="446" spans="2:34" x14ac:dyDescent="0.2">
      <c r="B446" t="s">
        <v>351</v>
      </c>
      <c r="C446" t="s">
        <v>895</v>
      </c>
      <c r="D446" t="s">
        <v>236</v>
      </c>
      <c r="I446">
        <v>135.93899999999999</v>
      </c>
      <c r="J446">
        <v>0</v>
      </c>
      <c r="U446">
        <v>135.19999999999999</v>
      </c>
      <c r="V446">
        <v>0.46</v>
      </c>
      <c r="AC446">
        <f>SUMPRODUCT(DB_ThemeSOFAcct[[#This Row],[Plan01]:[Plan12]],$E$14:$P$14)/valUnits2</f>
        <v>0.135939</v>
      </c>
      <c r="AD446">
        <f>SUMPRODUCT(DB_ThemeSOFAcct[[#This Row],[Act01]:[Act12]],$Q$14:$AB$14)/valUnits2</f>
        <v>0.13566</v>
      </c>
      <c r="AE446">
        <f>DB_ThemeSOFAcct[[#This Row],[Actuals]]-DB_ThemeSOFAcct[[#This Row],[Plan]]</f>
        <v>-2.7900000000000147E-4</v>
      </c>
      <c r="AF446">
        <f>IF(DB_ThemeSOFAcct[[#This Row],[Plan]]&lt;&gt;0,DB_ThemeSOFAcct[[#This Row],[Actuals]]/DB_ThemeSOFAcct[[#This Row],[Plan]],1.000011000011)</f>
        <v>0.99794760885397127</v>
      </c>
      <c r="AG446" s="34">
        <f>SUM(DB_ThemeSOFAcct[[#This Row],[Plan01]:[Plan12]])/valUnits2</f>
        <v>0.135939</v>
      </c>
      <c r="AH446" s="34">
        <f>SUMPRODUCT(DB_ThemeSOFAcct[[#This Row],[Act01]:[Act12]],$Q$3:$AB$3)/valUnits2</f>
        <v>0.13566</v>
      </c>
    </row>
    <row r="447" spans="2:34" x14ac:dyDescent="0.2">
      <c r="B447" t="s">
        <v>351</v>
      </c>
      <c r="C447" t="s">
        <v>895</v>
      </c>
      <c r="D447" t="s">
        <v>237</v>
      </c>
      <c r="H447">
        <v>47.918999999999997</v>
      </c>
      <c r="I447">
        <v>1.353</v>
      </c>
      <c r="T447">
        <v>47.82</v>
      </c>
      <c r="U447">
        <v>1.35</v>
      </c>
      <c r="AC447">
        <f>SUMPRODUCT(DB_ThemeSOFAcct[[#This Row],[Plan01]:[Plan12]],$E$14:$P$14)/valUnits2</f>
        <v>4.9271999999999996E-2</v>
      </c>
      <c r="AD447">
        <f>SUMPRODUCT(DB_ThemeSOFAcct[[#This Row],[Act01]:[Act12]],$Q$14:$AB$14)/valUnits2</f>
        <v>4.9169999999999998E-2</v>
      </c>
      <c r="AE447">
        <f>DB_ThemeSOFAcct[[#This Row],[Actuals]]-DB_ThemeSOFAcct[[#This Row],[Plan]]</f>
        <v>-1.0199999999999793E-4</v>
      </c>
      <c r="AF447">
        <f>IF(DB_ThemeSOFAcct[[#This Row],[Plan]]&lt;&gt;0,DB_ThemeSOFAcct[[#This Row],[Actuals]]/DB_ThemeSOFAcct[[#This Row],[Plan]],1.000011000011)</f>
        <v>0.99792985874330253</v>
      </c>
      <c r="AG447" s="34">
        <f>SUM(DB_ThemeSOFAcct[[#This Row],[Plan01]:[Plan12]])/valUnits2</f>
        <v>4.9271999999999996E-2</v>
      </c>
      <c r="AH447" s="34">
        <f>SUMPRODUCT(DB_ThemeSOFAcct[[#This Row],[Act01]:[Act12]],$Q$3:$AB$3)/valUnits2</f>
        <v>4.9169999999999998E-2</v>
      </c>
    </row>
    <row r="448" spans="2:34" x14ac:dyDescent="0.2">
      <c r="B448" t="s">
        <v>351</v>
      </c>
      <c r="C448" t="s">
        <v>895</v>
      </c>
      <c r="D448" t="s">
        <v>141</v>
      </c>
      <c r="H448">
        <v>11.992000000000001</v>
      </c>
      <c r="I448">
        <v>18.477</v>
      </c>
      <c r="T448">
        <v>12.28</v>
      </c>
      <c r="U448">
        <v>18.350000000000001</v>
      </c>
      <c r="AC448">
        <f>SUMPRODUCT(DB_ThemeSOFAcct[[#This Row],[Plan01]:[Plan12]],$E$14:$P$14)/valUnits2</f>
        <v>3.0469E-2</v>
      </c>
      <c r="AD448">
        <f>SUMPRODUCT(DB_ThemeSOFAcct[[#This Row],[Act01]:[Act12]],$Q$14:$AB$14)/valUnits2</f>
        <v>3.0630000000000001E-2</v>
      </c>
      <c r="AE448">
        <f>DB_ThemeSOFAcct[[#This Row],[Actuals]]-DB_ThemeSOFAcct[[#This Row],[Plan]]</f>
        <v>1.6100000000000142E-4</v>
      </c>
      <c r="AF448">
        <f>IF(DB_ThemeSOFAcct[[#This Row],[Plan]]&lt;&gt;0,DB_ThemeSOFAcct[[#This Row],[Actuals]]/DB_ThemeSOFAcct[[#This Row],[Plan]],1.000011000011)</f>
        <v>1.0052840592077195</v>
      </c>
      <c r="AG448" s="34">
        <f>SUM(DB_ThemeSOFAcct[[#This Row],[Plan01]:[Plan12]])/valUnits2</f>
        <v>3.0469E-2</v>
      </c>
      <c r="AH448" s="34">
        <f>SUMPRODUCT(DB_ThemeSOFAcct[[#This Row],[Act01]:[Act12]],$Q$3:$AB$3)/valUnits2</f>
        <v>3.0630000000000001E-2</v>
      </c>
    </row>
    <row r="449" spans="2:34" x14ac:dyDescent="0.2">
      <c r="B449" t="s">
        <v>351</v>
      </c>
      <c r="C449" t="s">
        <v>896</v>
      </c>
      <c r="D449" t="s">
        <v>143</v>
      </c>
      <c r="E449">
        <v>0</v>
      </c>
      <c r="F449">
        <v>0</v>
      </c>
      <c r="G449">
        <v>0</v>
      </c>
      <c r="H449">
        <v>3024.5459999999998</v>
      </c>
      <c r="I449">
        <v>666.45100000000002</v>
      </c>
      <c r="J449">
        <v>722.3889999999999</v>
      </c>
      <c r="K449">
        <v>722.3889999999999</v>
      </c>
      <c r="L449">
        <v>722.3889999999999</v>
      </c>
      <c r="M449">
        <v>722.3889999999999</v>
      </c>
      <c r="N449">
        <v>722.3889999999999</v>
      </c>
      <c r="O449">
        <v>722.3889999999999</v>
      </c>
      <c r="P449">
        <v>722.3889999999999</v>
      </c>
      <c r="Q449">
        <v>0</v>
      </c>
      <c r="R449">
        <v>0</v>
      </c>
      <c r="S449">
        <v>0</v>
      </c>
      <c r="T449">
        <v>2880.8799999999997</v>
      </c>
      <c r="U449">
        <v>649.47</v>
      </c>
      <c r="V449">
        <v>131.15000000000009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f>SUMPRODUCT(DB_ThemeSOFAcct[[#This Row],[Plan01]:[Plan12]],$E$14:$P$14)/valUnits2</f>
        <v>4.4133859999999991</v>
      </c>
      <c r="AD449">
        <f>SUMPRODUCT(DB_ThemeSOFAcct[[#This Row],[Act01]:[Act12]],$Q$14:$AB$14)/valUnits2</f>
        <v>3.6614999999999998</v>
      </c>
      <c r="AE449">
        <f>DB_ThemeSOFAcct[[#This Row],[Actuals]]-DB_ThemeSOFAcct[[#This Row],[Plan]]</f>
        <v>-0.75188599999999939</v>
      </c>
      <c r="AF449">
        <f>IF(DB_ThemeSOFAcct[[#This Row],[Plan]]&lt;&gt;0,DB_ThemeSOFAcct[[#This Row],[Actuals]]/DB_ThemeSOFAcct[[#This Row],[Plan]],1.000011000011)</f>
        <v>0.8296351146262757</v>
      </c>
      <c r="AG449" s="34">
        <f>SUM(DB_ThemeSOFAcct[[#This Row],[Plan01]:[Plan12]])/valUnits2</f>
        <v>8.7477199999999993</v>
      </c>
      <c r="AH449" s="34">
        <f>SUMPRODUCT(DB_ThemeSOFAcct[[#This Row],[Act01]:[Act12]],$Q$3:$AB$3)/valUnits2</f>
        <v>3.6614999999999998</v>
      </c>
    </row>
    <row r="450" spans="2:34" x14ac:dyDescent="0.2">
      <c r="B450" t="s">
        <v>351</v>
      </c>
      <c r="C450" t="s">
        <v>896</v>
      </c>
      <c r="D450" t="s">
        <v>235</v>
      </c>
      <c r="E450">
        <v>0</v>
      </c>
      <c r="F450">
        <v>0</v>
      </c>
      <c r="G450">
        <v>0</v>
      </c>
      <c r="H450">
        <v>172.50700000000001</v>
      </c>
      <c r="I450">
        <v>190.923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287.3</v>
      </c>
      <c r="U450">
        <v>212.95999999999998</v>
      </c>
      <c r="V450">
        <v>-291.86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f>SUMPRODUCT(DB_ThemeSOFAcct[[#This Row],[Plan01]:[Plan12]],$E$14:$P$14)/valUnits2</f>
        <v>0.36343000000000003</v>
      </c>
      <c r="AD450">
        <f>SUMPRODUCT(DB_ThemeSOFAcct[[#This Row],[Act01]:[Act12]],$Q$14:$AB$14)/valUnits2</f>
        <v>0.20839999999999997</v>
      </c>
      <c r="AE450">
        <f>DB_ThemeSOFAcct[[#This Row],[Actuals]]-DB_ThemeSOFAcct[[#This Row],[Plan]]</f>
        <v>-0.15503000000000006</v>
      </c>
      <c r="AF450">
        <f>IF(DB_ThemeSOFAcct[[#This Row],[Plan]]&lt;&gt;0,DB_ThemeSOFAcct[[#This Row],[Actuals]]/DB_ThemeSOFAcct[[#This Row],[Plan]],1.000011000011)</f>
        <v>0.5734254189252399</v>
      </c>
      <c r="AG450" s="34">
        <f>SUM(DB_ThemeSOFAcct[[#This Row],[Plan01]:[Plan12]])/valUnits2</f>
        <v>0.36343000000000003</v>
      </c>
      <c r="AH450" s="34">
        <f>SUMPRODUCT(DB_ThemeSOFAcct[[#This Row],[Act01]:[Act12]],$Q$3:$AB$3)/valUnits2</f>
        <v>0.20839999999999997</v>
      </c>
    </row>
    <row r="451" spans="2:34" x14ac:dyDescent="0.2">
      <c r="B451" t="s">
        <v>351</v>
      </c>
      <c r="C451" t="s">
        <v>896</v>
      </c>
      <c r="D451" t="s">
        <v>140</v>
      </c>
      <c r="E451">
        <v>22.581</v>
      </c>
      <c r="F451">
        <v>5070.17</v>
      </c>
      <c r="G451">
        <v>1129.847</v>
      </c>
      <c r="H451">
        <v>10227.316000000001</v>
      </c>
      <c r="I451">
        <v>9585.021999999999</v>
      </c>
      <c r="J451">
        <v>2675.5140000000001</v>
      </c>
      <c r="K451">
        <v>2675.5140000000001</v>
      </c>
      <c r="L451">
        <v>2675.5140000000001</v>
      </c>
      <c r="M451">
        <v>2675.5140000000001</v>
      </c>
      <c r="N451">
        <v>2675.5140000000001</v>
      </c>
      <c r="O451">
        <v>2675.5140000000001</v>
      </c>
      <c r="P451">
        <v>2675.5140000000001</v>
      </c>
      <c r="Q451">
        <v>22.58</v>
      </c>
      <c r="R451">
        <v>5054.38</v>
      </c>
      <c r="S451">
        <v>1122.5</v>
      </c>
      <c r="T451">
        <v>10199.18</v>
      </c>
      <c r="U451">
        <v>9563.9000000000015</v>
      </c>
      <c r="V451">
        <v>5974.27</v>
      </c>
      <c r="W451">
        <v>9292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f>SUMPRODUCT(DB_ThemeSOFAcct[[#This Row],[Plan01]:[Plan12]],$E$14:$P$14)/valUnits2</f>
        <v>28.710450000000002</v>
      </c>
      <c r="AD451">
        <f>SUMPRODUCT(DB_ThemeSOFAcct[[#This Row],[Act01]:[Act12]],$Q$14:$AB$14)/valUnits2</f>
        <v>31.936810000000001</v>
      </c>
      <c r="AE451">
        <f>DB_ThemeSOFAcct[[#This Row],[Actuals]]-DB_ThemeSOFAcct[[#This Row],[Plan]]</f>
        <v>3.2263599999999997</v>
      </c>
      <c r="AF451">
        <f>IF(DB_ThemeSOFAcct[[#This Row],[Plan]]&lt;&gt;0,DB_ThemeSOFAcct[[#This Row],[Actuals]]/DB_ThemeSOFAcct[[#This Row],[Plan]],1.000011000011)</f>
        <v>1.11237580741507</v>
      </c>
      <c r="AG451" s="34">
        <f>SUM(DB_ThemeSOFAcct[[#This Row],[Plan01]:[Plan12]])/valUnits2</f>
        <v>44.763534000000014</v>
      </c>
      <c r="AH451" s="34">
        <f>SUMPRODUCT(DB_ThemeSOFAcct[[#This Row],[Act01]:[Act12]],$Q$3:$AB$3)/valUnits2</f>
        <v>31.936810000000001</v>
      </c>
    </row>
    <row r="452" spans="2:34" x14ac:dyDescent="0.2">
      <c r="B452" t="s">
        <v>351</v>
      </c>
      <c r="C452" t="s">
        <v>896</v>
      </c>
      <c r="D452" t="s">
        <v>236</v>
      </c>
      <c r="I452">
        <v>199.77199999999999</v>
      </c>
      <c r="J452">
        <v>0</v>
      </c>
      <c r="U452">
        <v>199.83999999999997</v>
      </c>
      <c r="V452">
        <v>-195.39</v>
      </c>
      <c r="AC452">
        <f>SUMPRODUCT(DB_ThemeSOFAcct[[#This Row],[Plan01]:[Plan12]],$E$14:$P$14)/valUnits2</f>
        <v>0.19977200000000001</v>
      </c>
      <c r="AD452">
        <f>SUMPRODUCT(DB_ThemeSOFAcct[[#This Row],[Act01]:[Act12]],$Q$14:$AB$14)/valUnits2</f>
        <v>4.4499999999999887E-3</v>
      </c>
      <c r="AE452">
        <f>DB_ThemeSOFAcct[[#This Row],[Actuals]]-DB_ThemeSOFAcct[[#This Row],[Plan]]</f>
        <v>-0.19532200000000002</v>
      </c>
      <c r="AF452">
        <f>IF(DB_ThemeSOFAcct[[#This Row],[Plan]]&lt;&gt;0,DB_ThemeSOFAcct[[#This Row],[Actuals]]/DB_ThemeSOFAcct[[#This Row],[Plan]],1.000011000011)</f>
        <v>2.227539394910192E-2</v>
      </c>
      <c r="AG452" s="34">
        <f>SUM(DB_ThemeSOFAcct[[#This Row],[Plan01]:[Plan12]])/valUnits2</f>
        <v>0.19977200000000001</v>
      </c>
      <c r="AH452" s="34">
        <f>SUMPRODUCT(DB_ThemeSOFAcct[[#This Row],[Act01]:[Act12]],$Q$3:$AB$3)/valUnits2</f>
        <v>4.4499999999999887E-3</v>
      </c>
    </row>
    <row r="453" spans="2:34" x14ac:dyDescent="0.2">
      <c r="B453" t="s">
        <v>351</v>
      </c>
      <c r="C453" t="s">
        <v>896</v>
      </c>
      <c r="D453" t="s">
        <v>237</v>
      </c>
      <c r="H453">
        <v>77.242999999999995</v>
      </c>
      <c r="I453">
        <v>1.998</v>
      </c>
      <c r="J453">
        <v>0</v>
      </c>
      <c r="T453">
        <v>76.81</v>
      </c>
      <c r="U453">
        <v>2</v>
      </c>
      <c r="V453">
        <v>-29.63</v>
      </c>
      <c r="AC453">
        <f>SUMPRODUCT(DB_ThemeSOFAcct[[#This Row],[Plan01]:[Plan12]],$E$14:$P$14)/valUnits2</f>
        <v>7.9241000000000006E-2</v>
      </c>
      <c r="AD453">
        <f>SUMPRODUCT(DB_ThemeSOFAcct[[#This Row],[Act01]:[Act12]],$Q$14:$AB$14)/valUnits2</f>
        <v>4.9180000000000008E-2</v>
      </c>
      <c r="AE453">
        <f>DB_ThemeSOFAcct[[#This Row],[Actuals]]-DB_ThemeSOFAcct[[#This Row],[Plan]]</f>
        <v>-3.0060999999999997E-2</v>
      </c>
      <c r="AF453">
        <f>IF(DB_ThemeSOFAcct[[#This Row],[Plan]]&lt;&gt;0,DB_ThemeSOFAcct[[#This Row],[Actuals]]/DB_ThemeSOFAcct[[#This Row],[Plan]],1.000011000011)</f>
        <v>0.62063830592748714</v>
      </c>
      <c r="AG453" s="34">
        <f>SUM(DB_ThemeSOFAcct[[#This Row],[Plan01]:[Plan12]])/valUnits2</f>
        <v>7.9241000000000006E-2</v>
      </c>
      <c r="AH453" s="34">
        <f>SUMPRODUCT(DB_ThemeSOFAcct[[#This Row],[Act01]:[Act12]],$Q$3:$AB$3)/valUnits2</f>
        <v>4.9180000000000008E-2</v>
      </c>
    </row>
    <row r="454" spans="2:34" x14ac:dyDescent="0.2">
      <c r="B454" t="s">
        <v>351</v>
      </c>
      <c r="C454" t="s">
        <v>896</v>
      </c>
      <c r="D454" t="s">
        <v>141</v>
      </c>
      <c r="F454">
        <v>25.175000000000001</v>
      </c>
      <c r="G454">
        <v>16.41</v>
      </c>
      <c r="H454">
        <v>411.37799999999999</v>
      </c>
      <c r="I454">
        <v>27.048999999999999</v>
      </c>
      <c r="J454">
        <v>0</v>
      </c>
      <c r="R454">
        <v>25.17</v>
      </c>
      <c r="S454">
        <v>16.29</v>
      </c>
      <c r="T454">
        <v>413.46000000000004</v>
      </c>
      <c r="U454">
        <v>27.130000000000003</v>
      </c>
      <c r="V454">
        <v>-3.6900000000000013</v>
      </c>
      <c r="AC454">
        <f>SUMPRODUCT(DB_ThemeSOFAcct[[#This Row],[Plan01]:[Plan12]],$E$14:$P$14)/valUnits2</f>
        <v>0.48001199999999994</v>
      </c>
      <c r="AD454">
        <f>SUMPRODUCT(DB_ThemeSOFAcct[[#This Row],[Act01]:[Act12]],$Q$14:$AB$14)/valUnits2</f>
        <v>0.47836000000000001</v>
      </c>
      <c r="AE454">
        <f>DB_ThemeSOFAcct[[#This Row],[Actuals]]-DB_ThemeSOFAcct[[#This Row],[Plan]]</f>
        <v>-1.6519999999999313E-3</v>
      </c>
      <c r="AF454">
        <f>IF(DB_ThemeSOFAcct[[#This Row],[Plan]]&lt;&gt;0,DB_ThemeSOFAcct[[#This Row],[Actuals]]/DB_ThemeSOFAcct[[#This Row],[Plan]],1.000011000011)</f>
        <v>0.99655841937284917</v>
      </c>
      <c r="AG454" s="34">
        <f>SUM(DB_ThemeSOFAcct[[#This Row],[Plan01]:[Plan12]])/valUnits2</f>
        <v>0.48001199999999994</v>
      </c>
      <c r="AH454" s="34">
        <f>SUMPRODUCT(DB_ThemeSOFAcct[[#This Row],[Act01]:[Act12]],$Q$3:$AB$3)/valUnits2</f>
        <v>0.47836000000000001</v>
      </c>
    </row>
    <row r="455" spans="2:34" x14ac:dyDescent="0.2">
      <c r="B455" t="s">
        <v>351</v>
      </c>
      <c r="C455" t="s">
        <v>903</v>
      </c>
      <c r="D455" t="s">
        <v>143</v>
      </c>
      <c r="H455">
        <v>64.790999999999997</v>
      </c>
      <c r="I455">
        <v>76.150999999999996</v>
      </c>
      <c r="J455">
        <v>182.76</v>
      </c>
      <c r="K455">
        <v>182.76</v>
      </c>
      <c r="L455">
        <v>182.76</v>
      </c>
      <c r="M455">
        <v>182.76</v>
      </c>
      <c r="N455">
        <v>182.76</v>
      </c>
      <c r="O455">
        <v>182.76</v>
      </c>
      <c r="P455">
        <v>182.76</v>
      </c>
      <c r="T455">
        <v>63.95</v>
      </c>
      <c r="U455">
        <v>74.399999999999991</v>
      </c>
      <c r="V455">
        <v>76.040000000000006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f>SUMPRODUCT(DB_ThemeSOFAcct[[#This Row],[Plan01]:[Plan12]],$E$14:$P$14)/valUnits2</f>
        <v>0.32370199999999999</v>
      </c>
      <c r="AD455">
        <f>SUMPRODUCT(DB_ThemeSOFAcct[[#This Row],[Act01]:[Act12]],$Q$14:$AB$14)/valUnits2</f>
        <v>0.21439</v>
      </c>
      <c r="AE455">
        <f>DB_ThemeSOFAcct[[#This Row],[Actuals]]-DB_ThemeSOFAcct[[#This Row],[Plan]]</f>
        <v>-0.10931199999999999</v>
      </c>
      <c r="AF455">
        <f>IF(DB_ThemeSOFAcct[[#This Row],[Plan]]&lt;&gt;0,DB_ThemeSOFAcct[[#This Row],[Actuals]]/DB_ThemeSOFAcct[[#This Row],[Plan]],1.000011000011)</f>
        <v>0.66230668948600879</v>
      </c>
      <c r="AG455" s="34">
        <f>SUM(DB_ThemeSOFAcct[[#This Row],[Plan01]:[Plan12]])/valUnits2</f>
        <v>1.4202619999999999</v>
      </c>
      <c r="AH455" s="34">
        <f>SUMPRODUCT(DB_ThemeSOFAcct[[#This Row],[Act01]:[Act12]],$Q$3:$AB$3)/valUnits2</f>
        <v>0.21439</v>
      </c>
    </row>
    <row r="456" spans="2:34" x14ac:dyDescent="0.2">
      <c r="B456" t="s">
        <v>351</v>
      </c>
      <c r="C456" t="s">
        <v>903</v>
      </c>
      <c r="D456" t="s">
        <v>235</v>
      </c>
      <c r="I456">
        <v>21.832000000000001</v>
      </c>
      <c r="J456">
        <v>0</v>
      </c>
      <c r="U456">
        <v>24.34</v>
      </c>
      <c r="V456">
        <v>12.83</v>
      </c>
      <c r="AC456">
        <f>SUMPRODUCT(DB_ThemeSOFAcct[[#This Row],[Plan01]:[Plan12]],$E$14:$P$14)/valUnits2</f>
        <v>2.1832000000000001E-2</v>
      </c>
      <c r="AD456">
        <f>SUMPRODUCT(DB_ThemeSOFAcct[[#This Row],[Act01]:[Act12]],$Q$14:$AB$14)/valUnits2</f>
        <v>3.7170000000000002E-2</v>
      </c>
      <c r="AE456">
        <f>DB_ThemeSOFAcct[[#This Row],[Actuals]]-DB_ThemeSOFAcct[[#This Row],[Plan]]</f>
        <v>1.5338000000000001E-2</v>
      </c>
      <c r="AF456">
        <f>IF(DB_ThemeSOFAcct[[#This Row],[Plan]]&lt;&gt;0,DB_ThemeSOFAcct[[#This Row],[Actuals]]/DB_ThemeSOFAcct[[#This Row],[Plan]],1.000011000011)</f>
        <v>1.7025467204104068</v>
      </c>
      <c r="AG456" s="34">
        <f>SUM(DB_ThemeSOFAcct[[#This Row],[Plan01]:[Plan12]])/valUnits2</f>
        <v>2.1832000000000001E-2</v>
      </c>
      <c r="AH456" s="34">
        <f>SUMPRODUCT(DB_ThemeSOFAcct[[#This Row],[Act01]:[Act12]],$Q$3:$AB$3)/valUnits2</f>
        <v>3.7170000000000002E-2</v>
      </c>
    </row>
    <row r="457" spans="2:34" x14ac:dyDescent="0.2">
      <c r="B457" t="s">
        <v>351</v>
      </c>
      <c r="C457" t="s">
        <v>903</v>
      </c>
      <c r="D457" t="s">
        <v>140</v>
      </c>
      <c r="H457">
        <v>0</v>
      </c>
      <c r="I457">
        <v>0</v>
      </c>
      <c r="J457">
        <v>947.63900000000012</v>
      </c>
      <c r="K457">
        <v>947.63900000000012</v>
      </c>
      <c r="L457">
        <v>947.63900000000012</v>
      </c>
      <c r="M457">
        <v>947.63900000000001</v>
      </c>
      <c r="N457">
        <v>947.63900000000001</v>
      </c>
      <c r="O457">
        <v>947.63900000000012</v>
      </c>
      <c r="P457">
        <v>947.63900000000001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f>SUMPRODUCT(DB_ThemeSOFAcct[[#This Row],[Plan01]:[Plan12]],$E$14:$P$14)/valUnits2</f>
        <v>0.94763900000000012</v>
      </c>
      <c r="AD457">
        <f>SUMPRODUCT(DB_ThemeSOFAcct[[#This Row],[Act01]:[Act12]],$Q$14:$AB$14)/valUnits2</f>
        <v>0</v>
      </c>
      <c r="AE457">
        <f>DB_ThemeSOFAcct[[#This Row],[Actuals]]-DB_ThemeSOFAcct[[#This Row],[Plan]]</f>
        <v>-0.94763900000000012</v>
      </c>
      <c r="AF457">
        <f>IF(DB_ThemeSOFAcct[[#This Row],[Plan]]&lt;&gt;0,DB_ThemeSOFAcct[[#This Row],[Actuals]]/DB_ThemeSOFAcct[[#This Row],[Plan]],1.000011000011)</f>
        <v>0</v>
      </c>
      <c r="AG457" s="34">
        <f>SUM(DB_ThemeSOFAcct[[#This Row],[Plan01]:[Plan12]])/valUnits2</f>
        <v>6.6334730000000013</v>
      </c>
      <c r="AH457" s="34">
        <f>SUMPRODUCT(DB_ThemeSOFAcct[[#This Row],[Act01]:[Act12]],$Q$3:$AB$3)/valUnits2</f>
        <v>0</v>
      </c>
    </row>
    <row r="458" spans="2:34" x14ac:dyDescent="0.2">
      <c r="B458" t="s">
        <v>351</v>
      </c>
      <c r="C458" t="s">
        <v>903</v>
      </c>
      <c r="D458" t="s">
        <v>236</v>
      </c>
      <c r="I458">
        <v>22.884</v>
      </c>
      <c r="J458">
        <v>0</v>
      </c>
      <c r="U458">
        <v>22.91</v>
      </c>
      <c r="V458">
        <v>6.9999999999999993E-2</v>
      </c>
      <c r="AC458">
        <f>SUMPRODUCT(DB_ThemeSOFAcct[[#This Row],[Plan01]:[Plan12]],$E$14:$P$14)/valUnits2</f>
        <v>2.2884000000000002E-2</v>
      </c>
      <c r="AD458">
        <f>SUMPRODUCT(DB_ThemeSOFAcct[[#This Row],[Act01]:[Act12]],$Q$14:$AB$14)/valUnits2</f>
        <v>2.298E-2</v>
      </c>
      <c r="AE458">
        <f>DB_ThemeSOFAcct[[#This Row],[Actuals]]-DB_ThemeSOFAcct[[#This Row],[Plan]]</f>
        <v>9.5999999999998864E-5</v>
      </c>
      <c r="AF458">
        <f>IF(DB_ThemeSOFAcct[[#This Row],[Plan]]&lt;&gt;0,DB_ThemeSOFAcct[[#This Row],[Actuals]]/DB_ThemeSOFAcct[[#This Row],[Plan]],1.000011000011)</f>
        <v>1.0041950707918195</v>
      </c>
      <c r="AG458" s="34">
        <f>SUM(DB_ThemeSOFAcct[[#This Row],[Plan01]:[Plan12]])/valUnits2</f>
        <v>2.2884000000000002E-2</v>
      </c>
      <c r="AH458" s="34">
        <f>SUMPRODUCT(DB_ThemeSOFAcct[[#This Row],[Act01]:[Act12]],$Q$3:$AB$3)/valUnits2</f>
        <v>2.298E-2</v>
      </c>
    </row>
    <row r="459" spans="2:34" x14ac:dyDescent="0.2">
      <c r="B459" t="s">
        <v>351</v>
      </c>
      <c r="C459" t="s">
        <v>903</v>
      </c>
      <c r="D459" t="s">
        <v>237</v>
      </c>
      <c r="I459">
        <v>0.23</v>
      </c>
      <c r="U459">
        <v>0.23</v>
      </c>
      <c r="AC459">
        <f>SUMPRODUCT(DB_ThemeSOFAcct[[#This Row],[Plan01]:[Plan12]],$E$14:$P$14)/valUnits2</f>
        <v>2.3000000000000001E-4</v>
      </c>
      <c r="AD459">
        <f>SUMPRODUCT(DB_ThemeSOFAcct[[#This Row],[Act01]:[Act12]],$Q$14:$AB$14)/valUnits2</f>
        <v>2.3000000000000001E-4</v>
      </c>
      <c r="AE459">
        <f>DB_ThemeSOFAcct[[#This Row],[Actuals]]-DB_ThemeSOFAcct[[#This Row],[Plan]]</f>
        <v>0</v>
      </c>
      <c r="AF459">
        <f>IF(DB_ThemeSOFAcct[[#This Row],[Plan]]&lt;&gt;0,DB_ThemeSOFAcct[[#This Row],[Actuals]]/DB_ThemeSOFAcct[[#This Row],[Plan]],1.000011000011)</f>
        <v>1</v>
      </c>
      <c r="AG459" s="34">
        <f>SUM(DB_ThemeSOFAcct[[#This Row],[Plan01]:[Plan12]])/valUnits2</f>
        <v>2.3000000000000001E-4</v>
      </c>
      <c r="AH459" s="34">
        <f>SUMPRODUCT(DB_ThemeSOFAcct[[#This Row],[Act01]:[Act12]],$Q$3:$AB$3)/valUnits2</f>
        <v>2.3000000000000001E-4</v>
      </c>
    </row>
    <row r="460" spans="2:34" x14ac:dyDescent="0.2">
      <c r="B460" t="s">
        <v>351</v>
      </c>
      <c r="C460" t="s">
        <v>903</v>
      </c>
      <c r="D460" t="s">
        <v>141</v>
      </c>
      <c r="I460">
        <v>3.101</v>
      </c>
      <c r="U460">
        <v>3.1100000000000003</v>
      </c>
      <c r="AC460">
        <f>SUMPRODUCT(DB_ThemeSOFAcct[[#This Row],[Plan01]:[Plan12]],$E$14:$P$14)/valUnits2</f>
        <v>3.101E-3</v>
      </c>
      <c r="AD460">
        <f>SUMPRODUCT(DB_ThemeSOFAcct[[#This Row],[Act01]:[Act12]],$Q$14:$AB$14)/valUnits2</f>
        <v>3.1100000000000004E-3</v>
      </c>
      <c r="AE460">
        <f>DB_ThemeSOFAcct[[#This Row],[Actuals]]-DB_ThemeSOFAcct[[#This Row],[Plan]]</f>
        <v>9.0000000000003272E-6</v>
      </c>
      <c r="AF460">
        <f>IF(DB_ThemeSOFAcct[[#This Row],[Plan]]&lt;&gt;0,DB_ThemeSOFAcct[[#This Row],[Actuals]]/DB_ThemeSOFAcct[[#This Row],[Plan]],1.000011000011)</f>
        <v>1.0029022895840052</v>
      </c>
      <c r="AG460" s="34">
        <f>SUM(DB_ThemeSOFAcct[[#This Row],[Plan01]:[Plan12]])/valUnits2</f>
        <v>3.101E-3</v>
      </c>
      <c r="AH460" s="34">
        <f>SUMPRODUCT(DB_ThemeSOFAcct[[#This Row],[Act01]:[Act12]],$Q$3:$AB$3)/valUnits2</f>
        <v>3.1100000000000004E-3</v>
      </c>
    </row>
    <row r="461" spans="2:34" x14ac:dyDescent="0.2">
      <c r="B461" t="s">
        <v>351</v>
      </c>
      <c r="C461" t="s">
        <v>365</v>
      </c>
      <c r="D461" t="s">
        <v>143</v>
      </c>
      <c r="H461">
        <v>169.374</v>
      </c>
      <c r="I461">
        <v>59.905999999999999</v>
      </c>
      <c r="J461">
        <v>70.234999999999999</v>
      </c>
      <c r="K461">
        <v>70.234999999999999</v>
      </c>
      <c r="L461">
        <v>70.234999999999999</v>
      </c>
      <c r="T461">
        <v>166.06</v>
      </c>
      <c r="U461">
        <v>58.82</v>
      </c>
      <c r="V461">
        <v>60.14</v>
      </c>
      <c r="W461">
        <v>0</v>
      </c>
      <c r="X461">
        <v>0</v>
      </c>
      <c r="AC461">
        <f>SUMPRODUCT(DB_ThemeSOFAcct[[#This Row],[Plan01]:[Plan12]],$E$14:$P$14)/valUnits2</f>
        <v>0.29951499999999998</v>
      </c>
      <c r="AD461">
        <f>SUMPRODUCT(DB_ThemeSOFAcct[[#This Row],[Act01]:[Act12]],$Q$14:$AB$14)/valUnits2</f>
        <v>0.28502</v>
      </c>
      <c r="AE461">
        <f>DB_ThemeSOFAcct[[#This Row],[Actuals]]-DB_ThemeSOFAcct[[#This Row],[Plan]]</f>
        <v>-1.449499999999998E-2</v>
      </c>
      <c r="AF461">
        <f>IF(DB_ThemeSOFAcct[[#This Row],[Plan]]&lt;&gt;0,DB_ThemeSOFAcct[[#This Row],[Actuals]]/DB_ThemeSOFAcct[[#This Row],[Plan]],1.000011000011)</f>
        <v>0.95160509490342726</v>
      </c>
      <c r="AG461" s="34">
        <f>SUM(DB_ThemeSOFAcct[[#This Row],[Plan01]:[Plan12]])/valUnits2</f>
        <v>0.43998500000000001</v>
      </c>
      <c r="AH461" s="34">
        <f>SUMPRODUCT(DB_ThemeSOFAcct[[#This Row],[Act01]:[Act12]],$Q$3:$AB$3)/valUnits2</f>
        <v>0.28502</v>
      </c>
    </row>
    <row r="462" spans="2:34" x14ac:dyDescent="0.2">
      <c r="B462" t="s">
        <v>351</v>
      </c>
      <c r="C462" t="s">
        <v>365</v>
      </c>
      <c r="D462" t="s">
        <v>235</v>
      </c>
      <c r="H462">
        <v>8.5449999999999999</v>
      </c>
      <c r="I462">
        <v>17.381</v>
      </c>
      <c r="J462">
        <v>0</v>
      </c>
      <c r="T462">
        <v>14.48</v>
      </c>
      <c r="U462">
        <v>19.3</v>
      </c>
      <c r="V462">
        <v>10.16</v>
      </c>
      <c r="AC462">
        <f>SUMPRODUCT(DB_ThemeSOFAcct[[#This Row],[Plan01]:[Plan12]],$E$14:$P$14)/valUnits2</f>
        <v>2.5926000000000001E-2</v>
      </c>
      <c r="AD462">
        <f>SUMPRODUCT(DB_ThemeSOFAcct[[#This Row],[Act01]:[Act12]],$Q$14:$AB$14)/valUnits2</f>
        <v>4.394E-2</v>
      </c>
      <c r="AE462">
        <f>DB_ThemeSOFAcct[[#This Row],[Actuals]]-DB_ThemeSOFAcct[[#This Row],[Plan]]</f>
        <v>1.8013999999999999E-2</v>
      </c>
      <c r="AF462">
        <f>IF(DB_ThemeSOFAcct[[#This Row],[Plan]]&lt;&gt;0,DB_ThemeSOFAcct[[#This Row],[Actuals]]/DB_ThemeSOFAcct[[#This Row],[Plan]],1.000011000011)</f>
        <v>1.6948237290750596</v>
      </c>
      <c r="AG462" s="34">
        <f>SUM(DB_ThemeSOFAcct[[#This Row],[Plan01]:[Plan12]])/valUnits2</f>
        <v>2.5926000000000001E-2</v>
      </c>
      <c r="AH462" s="34">
        <f>SUMPRODUCT(DB_ThemeSOFAcct[[#This Row],[Act01]:[Act12]],$Q$3:$AB$3)/valUnits2</f>
        <v>4.394E-2</v>
      </c>
    </row>
    <row r="463" spans="2:34" x14ac:dyDescent="0.2">
      <c r="B463" t="s">
        <v>351</v>
      </c>
      <c r="C463" t="s">
        <v>365</v>
      </c>
      <c r="D463" t="s">
        <v>140</v>
      </c>
      <c r="F463">
        <v>316.14999999999998</v>
      </c>
      <c r="G463">
        <v>506.702</v>
      </c>
      <c r="H463">
        <v>0</v>
      </c>
      <c r="I463">
        <v>0</v>
      </c>
      <c r="J463">
        <v>260.12599999999998</v>
      </c>
      <c r="K463">
        <v>260.12599999999998</v>
      </c>
      <c r="L463">
        <v>260.12599999999998</v>
      </c>
      <c r="R463">
        <v>317.56</v>
      </c>
      <c r="S463">
        <v>509.88</v>
      </c>
      <c r="T463">
        <v>0</v>
      </c>
      <c r="U463">
        <v>0</v>
      </c>
      <c r="V463">
        <v>0</v>
      </c>
      <c r="W463">
        <v>0</v>
      </c>
      <c r="X463">
        <v>0</v>
      </c>
      <c r="AC463">
        <f>SUMPRODUCT(DB_ThemeSOFAcct[[#This Row],[Plan01]:[Plan12]],$E$14:$P$14)/valUnits2</f>
        <v>1.082978</v>
      </c>
      <c r="AD463">
        <f>SUMPRODUCT(DB_ThemeSOFAcct[[#This Row],[Act01]:[Act12]],$Q$14:$AB$14)/valUnits2</f>
        <v>0.82744000000000006</v>
      </c>
      <c r="AE463">
        <f>DB_ThemeSOFAcct[[#This Row],[Actuals]]-DB_ThemeSOFAcct[[#This Row],[Plan]]</f>
        <v>-0.25553799999999993</v>
      </c>
      <c r="AF463">
        <f>IF(DB_ThemeSOFAcct[[#This Row],[Plan]]&lt;&gt;0,DB_ThemeSOFAcct[[#This Row],[Actuals]]/DB_ThemeSOFAcct[[#This Row],[Plan]],1.000011000011)</f>
        <v>0.7640413748017042</v>
      </c>
      <c r="AG463" s="34">
        <f>SUM(DB_ThemeSOFAcct[[#This Row],[Plan01]:[Plan12]])/valUnits2</f>
        <v>1.6032299999999999</v>
      </c>
      <c r="AH463" s="34">
        <f>SUMPRODUCT(DB_ThemeSOFAcct[[#This Row],[Act01]:[Act12]],$Q$3:$AB$3)/valUnits2</f>
        <v>0.82744000000000006</v>
      </c>
    </row>
    <row r="464" spans="2:34" x14ac:dyDescent="0.2">
      <c r="B464" t="s">
        <v>351</v>
      </c>
      <c r="C464" t="s">
        <v>365</v>
      </c>
      <c r="D464" t="s">
        <v>236</v>
      </c>
      <c r="I464">
        <v>18.152000000000001</v>
      </c>
      <c r="J464">
        <v>0</v>
      </c>
      <c r="U464">
        <v>18.11</v>
      </c>
      <c r="V464">
        <v>6.0000000000000005E-2</v>
      </c>
      <c r="AC464">
        <f>SUMPRODUCT(DB_ThemeSOFAcct[[#This Row],[Plan01]:[Plan12]],$E$14:$P$14)/valUnits2</f>
        <v>1.8152000000000001E-2</v>
      </c>
      <c r="AD464">
        <f>SUMPRODUCT(DB_ThemeSOFAcct[[#This Row],[Act01]:[Act12]],$Q$14:$AB$14)/valUnits2</f>
        <v>1.8169999999999999E-2</v>
      </c>
      <c r="AE464">
        <f>DB_ThemeSOFAcct[[#This Row],[Actuals]]-DB_ThemeSOFAcct[[#This Row],[Plan]]</f>
        <v>1.7999999999997185E-5</v>
      </c>
      <c r="AF464">
        <f>IF(DB_ThemeSOFAcct[[#This Row],[Plan]]&lt;&gt;0,DB_ThemeSOFAcct[[#This Row],[Actuals]]/DB_ThemeSOFAcct[[#This Row],[Plan]],1.000011000011)</f>
        <v>1.0009916262670779</v>
      </c>
      <c r="AG464" s="34">
        <f>SUM(DB_ThemeSOFAcct[[#This Row],[Plan01]:[Plan12]])/valUnits2</f>
        <v>1.8152000000000001E-2</v>
      </c>
      <c r="AH464" s="34">
        <f>SUMPRODUCT(DB_ThemeSOFAcct[[#This Row],[Act01]:[Act12]],$Q$3:$AB$3)/valUnits2</f>
        <v>1.8169999999999999E-2</v>
      </c>
    </row>
    <row r="465" spans="2:34" x14ac:dyDescent="0.2">
      <c r="B465" t="s">
        <v>351</v>
      </c>
      <c r="C465" t="s">
        <v>365</v>
      </c>
      <c r="D465" t="s">
        <v>237</v>
      </c>
      <c r="H465">
        <v>3.8090000000000002</v>
      </c>
      <c r="I465">
        <v>0.17899999999999999</v>
      </c>
      <c r="T465">
        <v>3.8600000000000003</v>
      </c>
      <c r="U465">
        <v>0.18</v>
      </c>
      <c r="AC465">
        <f>SUMPRODUCT(DB_ThemeSOFAcct[[#This Row],[Plan01]:[Plan12]],$E$14:$P$14)/valUnits2</f>
        <v>3.9880000000000002E-3</v>
      </c>
      <c r="AD465">
        <f>SUMPRODUCT(DB_ThemeSOFAcct[[#This Row],[Act01]:[Act12]],$Q$14:$AB$14)/valUnits2</f>
        <v>4.0400000000000002E-3</v>
      </c>
      <c r="AE465">
        <f>DB_ThemeSOFAcct[[#This Row],[Actuals]]-DB_ThemeSOFAcct[[#This Row],[Plan]]</f>
        <v>5.1999999999999963E-5</v>
      </c>
      <c r="AF465">
        <f>IF(DB_ThemeSOFAcct[[#This Row],[Plan]]&lt;&gt;0,DB_ThemeSOFAcct[[#This Row],[Actuals]]/DB_ThemeSOFAcct[[#This Row],[Plan]],1.000011000011)</f>
        <v>1.0130391173520561</v>
      </c>
      <c r="AG465" s="34">
        <f>SUM(DB_ThemeSOFAcct[[#This Row],[Plan01]:[Plan12]])/valUnits2</f>
        <v>3.9880000000000002E-3</v>
      </c>
      <c r="AH465" s="34">
        <f>SUMPRODUCT(DB_ThemeSOFAcct[[#This Row],[Act01]:[Act12]],$Q$3:$AB$3)/valUnits2</f>
        <v>4.0400000000000002E-3</v>
      </c>
    </row>
    <row r="466" spans="2:34" x14ac:dyDescent="0.2">
      <c r="B466" t="s">
        <v>351</v>
      </c>
      <c r="C466" t="s">
        <v>365</v>
      </c>
      <c r="D466" t="s">
        <v>141</v>
      </c>
      <c r="H466">
        <v>0.97499999999999998</v>
      </c>
      <c r="I466">
        <v>2.4350000000000001</v>
      </c>
      <c r="T466">
        <v>0.99</v>
      </c>
      <c r="U466">
        <v>2.4699999999999998</v>
      </c>
      <c r="AC466">
        <f>SUMPRODUCT(DB_ThemeSOFAcct[[#This Row],[Plan01]:[Plan12]],$E$14:$P$14)/valUnits2</f>
        <v>3.4100000000000003E-3</v>
      </c>
      <c r="AD466">
        <f>SUMPRODUCT(DB_ThemeSOFAcct[[#This Row],[Act01]:[Act12]],$Q$14:$AB$14)/valUnits2</f>
        <v>3.46E-3</v>
      </c>
      <c r="AE466">
        <f>DB_ThemeSOFAcct[[#This Row],[Actuals]]-DB_ThemeSOFAcct[[#This Row],[Plan]]</f>
        <v>4.9999999999999697E-5</v>
      </c>
      <c r="AF466">
        <f>IF(DB_ThemeSOFAcct[[#This Row],[Plan]]&lt;&gt;0,DB_ThemeSOFAcct[[#This Row],[Actuals]]/DB_ThemeSOFAcct[[#This Row],[Plan]],1.000011000011)</f>
        <v>1.0146627565982405</v>
      </c>
      <c r="AG466" s="34">
        <f>SUM(DB_ThemeSOFAcct[[#This Row],[Plan01]:[Plan12]])/valUnits2</f>
        <v>3.4100000000000003E-3</v>
      </c>
      <c r="AH466" s="34">
        <f>SUMPRODUCT(DB_ThemeSOFAcct[[#This Row],[Act01]:[Act12]],$Q$3:$AB$3)/valUnits2</f>
        <v>3.46E-3</v>
      </c>
    </row>
    <row r="467" spans="2:34" x14ac:dyDescent="0.2">
      <c r="B467" t="s">
        <v>351</v>
      </c>
      <c r="C467" t="s">
        <v>904</v>
      </c>
      <c r="D467" t="s">
        <v>143</v>
      </c>
      <c r="E467">
        <v>67.117999999999995</v>
      </c>
      <c r="F467">
        <v>136.28700000000001</v>
      </c>
      <c r="G467">
        <v>43.872</v>
      </c>
      <c r="H467">
        <v>629.48400000000004</v>
      </c>
      <c r="I467">
        <v>419.52300000000002</v>
      </c>
      <c r="J467">
        <v>160.53100000000001</v>
      </c>
      <c r="K467">
        <v>160.53100000000001</v>
      </c>
      <c r="L467">
        <v>160.53100000000001</v>
      </c>
      <c r="M467">
        <v>160.53100000000001</v>
      </c>
      <c r="N467">
        <v>160.53100000000001</v>
      </c>
      <c r="O467">
        <v>160.53100000000001</v>
      </c>
      <c r="P467">
        <v>160.53100000000001</v>
      </c>
      <c r="Q467">
        <v>57.23</v>
      </c>
      <c r="R467">
        <v>126.24</v>
      </c>
      <c r="S467">
        <v>38.6</v>
      </c>
      <c r="T467">
        <v>716.33999999999992</v>
      </c>
      <c r="U467">
        <v>388.40999999999997</v>
      </c>
      <c r="V467">
        <v>383.49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f>SUMPRODUCT(DB_ThemeSOFAcct[[#This Row],[Plan01]:[Plan12]],$E$14:$P$14)/valUnits2</f>
        <v>1.456815</v>
      </c>
      <c r="AD467">
        <f>SUMPRODUCT(DB_ThemeSOFAcct[[#This Row],[Act01]:[Act12]],$Q$14:$AB$14)/valUnits2</f>
        <v>1.7103099999999998</v>
      </c>
      <c r="AE467">
        <f>DB_ThemeSOFAcct[[#This Row],[Actuals]]-DB_ThemeSOFAcct[[#This Row],[Plan]]</f>
        <v>0.2534949999999998</v>
      </c>
      <c r="AF467">
        <f>IF(DB_ThemeSOFAcct[[#This Row],[Plan]]&lt;&gt;0,DB_ThemeSOFAcct[[#This Row],[Actuals]]/DB_ThemeSOFAcct[[#This Row],[Plan]],1.000011000011)</f>
        <v>1.1740063082821084</v>
      </c>
      <c r="AG467" s="34">
        <f>SUM(DB_ThemeSOFAcct[[#This Row],[Plan01]:[Plan12]])/valUnits2</f>
        <v>2.4200009999999996</v>
      </c>
      <c r="AH467" s="34">
        <f>SUMPRODUCT(DB_ThemeSOFAcct[[#This Row],[Act01]:[Act12]],$Q$3:$AB$3)/valUnits2</f>
        <v>1.7103099999999998</v>
      </c>
    </row>
    <row r="468" spans="2:34" x14ac:dyDescent="0.2">
      <c r="B468" t="s">
        <v>351</v>
      </c>
      <c r="C468" t="s">
        <v>904</v>
      </c>
      <c r="D468" t="s">
        <v>235</v>
      </c>
      <c r="E468">
        <v>98.721999999999994</v>
      </c>
      <c r="F468">
        <v>38.131</v>
      </c>
      <c r="G468">
        <v>0</v>
      </c>
      <c r="H468">
        <v>18.695</v>
      </c>
      <c r="I468">
        <v>112.976</v>
      </c>
      <c r="J468">
        <v>64.212000000000003</v>
      </c>
      <c r="K468">
        <v>64.212000000000003</v>
      </c>
      <c r="L468">
        <v>64.212000000000003</v>
      </c>
      <c r="M468">
        <v>64.212000000000003</v>
      </c>
      <c r="N468">
        <v>64.212000000000003</v>
      </c>
      <c r="O468">
        <v>64.212000000000003</v>
      </c>
      <c r="P468">
        <v>64.212000000000003</v>
      </c>
      <c r="Q468">
        <v>108.60000000000001</v>
      </c>
      <c r="R468">
        <v>47.89</v>
      </c>
      <c r="S468">
        <v>7.28</v>
      </c>
      <c r="T468">
        <v>54.2</v>
      </c>
      <c r="U468">
        <v>146.57</v>
      </c>
      <c r="V468">
        <v>125.57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f>SUMPRODUCT(DB_ThemeSOFAcct[[#This Row],[Plan01]:[Plan12]],$E$14:$P$14)/valUnits2</f>
        <v>0.33273599999999998</v>
      </c>
      <c r="AD468">
        <f>SUMPRODUCT(DB_ThemeSOFAcct[[#This Row],[Act01]:[Act12]],$Q$14:$AB$14)/valUnits2</f>
        <v>0.49010999999999999</v>
      </c>
      <c r="AE468">
        <f>DB_ThemeSOFAcct[[#This Row],[Actuals]]-DB_ThemeSOFAcct[[#This Row],[Plan]]</f>
        <v>0.15737400000000001</v>
      </c>
      <c r="AF468">
        <f>IF(DB_ThemeSOFAcct[[#This Row],[Plan]]&lt;&gt;0,DB_ThemeSOFAcct[[#This Row],[Actuals]]/DB_ThemeSOFAcct[[#This Row],[Plan]],1.000011000011)</f>
        <v>1.4729695614541258</v>
      </c>
      <c r="AG468" s="34">
        <f>SUM(DB_ThemeSOFAcct[[#This Row],[Plan01]:[Plan12]])/valUnits2</f>
        <v>0.71800799999999998</v>
      </c>
      <c r="AH468" s="34">
        <f>SUMPRODUCT(DB_ThemeSOFAcct[[#This Row],[Act01]:[Act12]],$Q$3:$AB$3)/valUnits2</f>
        <v>0.49010999999999999</v>
      </c>
    </row>
    <row r="469" spans="2:34" x14ac:dyDescent="0.2">
      <c r="B469" t="s">
        <v>351</v>
      </c>
      <c r="C469" t="s">
        <v>904</v>
      </c>
      <c r="D469" t="s">
        <v>140</v>
      </c>
      <c r="E469">
        <v>463.38400000000001</v>
      </c>
      <c r="F469">
        <v>113.3</v>
      </c>
      <c r="G469">
        <v>0</v>
      </c>
      <c r="H469">
        <v>277.721</v>
      </c>
      <c r="I469">
        <v>0</v>
      </c>
      <c r="J469">
        <v>766.00199999999995</v>
      </c>
      <c r="K469">
        <v>766.00199999999995</v>
      </c>
      <c r="L469">
        <v>766.00199999999995</v>
      </c>
      <c r="M469">
        <v>766.00199999999995</v>
      </c>
      <c r="N469">
        <v>766.00199999999995</v>
      </c>
      <c r="O469">
        <v>766.00199999999995</v>
      </c>
      <c r="P469">
        <v>766.00199999999995</v>
      </c>
      <c r="Q469">
        <v>463.38</v>
      </c>
      <c r="R469">
        <v>113.29</v>
      </c>
      <c r="S469">
        <v>0</v>
      </c>
      <c r="T469">
        <v>276.79000000000002</v>
      </c>
      <c r="U469">
        <v>0</v>
      </c>
      <c r="V469">
        <v>432.03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f>SUMPRODUCT(DB_ThemeSOFAcct[[#This Row],[Plan01]:[Plan12]],$E$14:$P$14)/valUnits2</f>
        <v>1.6204069999999999</v>
      </c>
      <c r="AD469">
        <f>SUMPRODUCT(DB_ThemeSOFAcct[[#This Row],[Act01]:[Act12]],$Q$14:$AB$14)/valUnits2</f>
        <v>1.28549</v>
      </c>
      <c r="AE469">
        <f>DB_ThemeSOFAcct[[#This Row],[Actuals]]-DB_ThemeSOFAcct[[#This Row],[Plan]]</f>
        <v>-0.33491699999999991</v>
      </c>
      <c r="AF469">
        <f>IF(DB_ThemeSOFAcct[[#This Row],[Plan]]&lt;&gt;0,DB_ThemeSOFAcct[[#This Row],[Actuals]]/DB_ThemeSOFAcct[[#This Row],[Plan]],1.000011000011)</f>
        <v>0.79331303802069486</v>
      </c>
      <c r="AG469" s="34">
        <f>SUM(DB_ThemeSOFAcct[[#This Row],[Plan01]:[Plan12]])/valUnits2</f>
        <v>6.2164190000000001</v>
      </c>
      <c r="AH469" s="34">
        <f>SUMPRODUCT(DB_ThemeSOFAcct[[#This Row],[Act01]:[Act12]],$Q$3:$AB$3)/valUnits2</f>
        <v>1.28549</v>
      </c>
    </row>
    <row r="470" spans="2:34" x14ac:dyDescent="0.2">
      <c r="B470" t="s">
        <v>351</v>
      </c>
      <c r="C470" t="s">
        <v>904</v>
      </c>
      <c r="D470" t="s">
        <v>236</v>
      </c>
      <c r="E470">
        <v>55.689</v>
      </c>
      <c r="F470">
        <v>61.385999999999996</v>
      </c>
      <c r="G470">
        <v>576.80700000000013</v>
      </c>
      <c r="H470">
        <v>62.123000000000005</v>
      </c>
      <c r="I470">
        <v>103.566</v>
      </c>
      <c r="J470">
        <v>0</v>
      </c>
      <c r="Q470">
        <v>55.66</v>
      </c>
      <c r="R470">
        <v>61.2</v>
      </c>
      <c r="S470">
        <v>572.63</v>
      </c>
      <c r="T470">
        <v>62.4</v>
      </c>
      <c r="U470">
        <v>103.87</v>
      </c>
      <c r="V470">
        <v>84.94</v>
      </c>
      <c r="AC470">
        <f>SUMPRODUCT(DB_ThemeSOFAcct[[#This Row],[Plan01]:[Plan12]],$E$14:$P$14)/valUnits2</f>
        <v>0.85957100000000008</v>
      </c>
      <c r="AD470">
        <f>SUMPRODUCT(DB_ThemeSOFAcct[[#This Row],[Act01]:[Act12]],$Q$14:$AB$14)/valUnits2</f>
        <v>0.94070000000000009</v>
      </c>
      <c r="AE470">
        <f>DB_ThemeSOFAcct[[#This Row],[Actuals]]-DB_ThemeSOFAcct[[#This Row],[Plan]]</f>
        <v>8.1129000000000007E-2</v>
      </c>
      <c r="AF470">
        <f>IF(DB_ThemeSOFAcct[[#This Row],[Plan]]&lt;&gt;0,DB_ThemeSOFAcct[[#This Row],[Actuals]]/DB_ThemeSOFAcct[[#This Row],[Plan]],1.000011000011)</f>
        <v>1.0943831283279684</v>
      </c>
      <c r="AG470" s="34">
        <f>SUM(DB_ThemeSOFAcct[[#This Row],[Plan01]:[Plan12]])/valUnits2</f>
        <v>0.85957100000000008</v>
      </c>
      <c r="AH470" s="34">
        <f>SUMPRODUCT(DB_ThemeSOFAcct[[#This Row],[Act01]:[Act12]],$Q$3:$AB$3)/valUnits2</f>
        <v>0.94070000000000009</v>
      </c>
    </row>
    <row r="471" spans="2:34" x14ac:dyDescent="0.2">
      <c r="B471" t="s">
        <v>351</v>
      </c>
      <c r="C471" t="s">
        <v>904</v>
      </c>
      <c r="D471" t="s">
        <v>237</v>
      </c>
      <c r="E471">
        <v>6.3029999999999999</v>
      </c>
      <c r="H471">
        <v>27.483999999999998</v>
      </c>
      <c r="I471">
        <v>0.45900000000000002</v>
      </c>
      <c r="J471">
        <v>0</v>
      </c>
      <c r="K471">
        <v>0</v>
      </c>
      <c r="Q471">
        <v>6.3</v>
      </c>
      <c r="T471">
        <v>27.52</v>
      </c>
      <c r="U471">
        <v>0.46</v>
      </c>
      <c r="V471">
        <v>0</v>
      </c>
      <c r="W471">
        <v>0</v>
      </c>
      <c r="AC471">
        <f>SUMPRODUCT(DB_ThemeSOFAcct[[#This Row],[Plan01]:[Plan12]],$E$14:$P$14)/valUnits2</f>
        <v>3.4246000000000006E-2</v>
      </c>
      <c r="AD471">
        <f>SUMPRODUCT(DB_ThemeSOFAcct[[#This Row],[Act01]:[Act12]],$Q$14:$AB$14)/valUnits2</f>
        <v>3.4279999999999998E-2</v>
      </c>
      <c r="AE471">
        <f>DB_ThemeSOFAcct[[#This Row],[Actuals]]-DB_ThemeSOFAcct[[#This Row],[Plan]]</f>
        <v>3.399999999999237E-5</v>
      </c>
      <c r="AF471">
        <f>IF(DB_ThemeSOFAcct[[#This Row],[Plan]]&lt;&gt;0,DB_ThemeSOFAcct[[#This Row],[Actuals]]/DB_ThemeSOFAcct[[#This Row],[Plan]],1.000011000011)</f>
        <v>1.0009928166793201</v>
      </c>
      <c r="AG471" s="34">
        <f>SUM(DB_ThemeSOFAcct[[#This Row],[Plan01]:[Plan12]])/valUnits2</f>
        <v>3.4246000000000006E-2</v>
      </c>
      <c r="AH471" s="34">
        <f>SUMPRODUCT(DB_ThemeSOFAcct[[#This Row],[Act01]:[Act12]],$Q$3:$AB$3)/valUnits2</f>
        <v>3.4279999999999998E-2</v>
      </c>
    </row>
    <row r="472" spans="2:34" x14ac:dyDescent="0.2">
      <c r="B472" t="s">
        <v>351</v>
      </c>
      <c r="C472" t="s">
        <v>904</v>
      </c>
      <c r="D472" t="s">
        <v>141</v>
      </c>
      <c r="E472">
        <v>11.891999999999999</v>
      </c>
      <c r="F472">
        <v>60.063000000000002</v>
      </c>
      <c r="G472">
        <v>65.603999999999999</v>
      </c>
      <c r="H472">
        <v>31.063000000000002</v>
      </c>
      <c r="I472">
        <v>81.817000000000007</v>
      </c>
      <c r="J472">
        <v>0</v>
      </c>
      <c r="Q472">
        <v>11.879999999999999</v>
      </c>
      <c r="R472">
        <v>59.539999999999992</v>
      </c>
      <c r="S472">
        <v>65.13</v>
      </c>
      <c r="T472">
        <v>31.160000000000004</v>
      </c>
      <c r="U472">
        <v>82.059999999999988</v>
      </c>
      <c r="V472">
        <v>54.3</v>
      </c>
      <c r="AC472">
        <f>SUMPRODUCT(DB_ThemeSOFAcct[[#This Row],[Plan01]:[Plan12]],$E$14:$P$14)/valUnits2</f>
        <v>0.25043900000000002</v>
      </c>
      <c r="AD472">
        <f>SUMPRODUCT(DB_ThemeSOFAcct[[#This Row],[Act01]:[Act12]],$Q$14:$AB$14)/valUnits2</f>
        <v>0.30407000000000001</v>
      </c>
      <c r="AE472">
        <f>DB_ThemeSOFAcct[[#This Row],[Actuals]]-DB_ThemeSOFAcct[[#This Row],[Plan]]</f>
        <v>5.3630999999999984E-2</v>
      </c>
      <c r="AF472">
        <f>IF(DB_ThemeSOFAcct[[#This Row],[Plan]]&lt;&gt;0,DB_ThemeSOFAcct[[#This Row],[Actuals]]/DB_ThemeSOFAcct[[#This Row],[Plan]],1.000011000011)</f>
        <v>1.2141479561889321</v>
      </c>
      <c r="AG472" s="34">
        <f>SUM(DB_ThemeSOFAcct[[#This Row],[Plan01]:[Plan12]])/valUnits2</f>
        <v>0.25043900000000002</v>
      </c>
      <c r="AH472" s="34">
        <f>SUMPRODUCT(DB_ThemeSOFAcct[[#This Row],[Act01]:[Act12]],$Q$3:$AB$3)/valUnits2</f>
        <v>0.30407000000000001</v>
      </c>
    </row>
    <row r="473" spans="2:34" x14ac:dyDescent="0.2">
      <c r="B473" t="s">
        <v>351</v>
      </c>
      <c r="C473" t="s">
        <v>905</v>
      </c>
      <c r="D473" t="s">
        <v>143</v>
      </c>
      <c r="E473">
        <v>34.46</v>
      </c>
      <c r="F473">
        <v>0</v>
      </c>
      <c r="G473">
        <v>0</v>
      </c>
      <c r="H473">
        <v>0</v>
      </c>
      <c r="I473">
        <v>-34.46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f>SUMPRODUCT(DB_ThemeSOFAcct[[#This Row],[Plan01]:[Plan12]],$E$14:$P$14)/valUnits2</f>
        <v>0</v>
      </c>
      <c r="AD473">
        <f>SUMPRODUCT(DB_ThemeSOFAcct[[#This Row],[Act01]:[Act12]],$Q$14:$AB$14)/valUnits2</f>
        <v>0</v>
      </c>
      <c r="AE473">
        <f>DB_ThemeSOFAcct[[#This Row],[Actuals]]-DB_ThemeSOFAcct[[#This Row],[Plan]]</f>
        <v>0</v>
      </c>
      <c r="AF473">
        <f>IF(DB_ThemeSOFAcct[[#This Row],[Plan]]&lt;&gt;0,DB_ThemeSOFAcct[[#This Row],[Actuals]]/DB_ThemeSOFAcct[[#This Row],[Plan]],1.000011000011)</f>
        <v>1.0000110000110001</v>
      </c>
      <c r="AG473" s="34">
        <f>SUM(DB_ThemeSOFAcct[[#This Row],[Plan01]:[Plan12]])/valUnits2</f>
        <v>0</v>
      </c>
      <c r="AH473" s="34">
        <f>SUMPRODUCT(DB_ThemeSOFAcct[[#This Row],[Act01]:[Act12]],$Q$3:$AB$3)/valUnits2</f>
        <v>0</v>
      </c>
    </row>
    <row r="474" spans="2:34" x14ac:dyDescent="0.2">
      <c r="B474" t="s">
        <v>351</v>
      </c>
      <c r="C474" t="s">
        <v>905</v>
      </c>
      <c r="D474" t="s">
        <v>235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34.46</v>
      </c>
      <c r="R474">
        <v>0</v>
      </c>
      <c r="S474">
        <v>0</v>
      </c>
      <c r="T474">
        <v>0</v>
      </c>
      <c r="U474">
        <v>-34.46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f>SUMPRODUCT(DB_ThemeSOFAcct[[#This Row],[Plan01]:[Plan12]],$E$14:$P$14)/valUnits2</f>
        <v>0</v>
      </c>
      <c r="AD474">
        <f>SUMPRODUCT(DB_ThemeSOFAcct[[#This Row],[Act01]:[Act12]],$Q$14:$AB$14)/valUnits2</f>
        <v>0</v>
      </c>
      <c r="AE474">
        <f>DB_ThemeSOFAcct[[#This Row],[Actuals]]-DB_ThemeSOFAcct[[#This Row],[Plan]]</f>
        <v>0</v>
      </c>
      <c r="AF474">
        <f>IF(DB_ThemeSOFAcct[[#This Row],[Plan]]&lt;&gt;0,DB_ThemeSOFAcct[[#This Row],[Actuals]]/DB_ThemeSOFAcct[[#This Row],[Plan]],1.000011000011)</f>
        <v>1.0000110000110001</v>
      </c>
      <c r="AG474" s="34">
        <f>SUM(DB_ThemeSOFAcct[[#This Row],[Plan01]:[Plan12]])/valUnits2</f>
        <v>0</v>
      </c>
      <c r="AH474" s="34">
        <f>SUMPRODUCT(DB_ThemeSOFAcct[[#This Row],[Act01]:[Act12]],$Q$3:$AB$3)/valUnits2</f>
        <v>0</v>
      </c>
    </row>
    <row r="475" spans="2:34" x14ac:dyDescent="0.2">
      <c r="B475" t="s">
        <v>351</v>
      </c>
      <c r="C475" t="s">
        <v>905</v>
      </c>
      <c r="D475" t="s">
        <v>140</v>
      </c>
      <c r="E475">
        <v>0</v>
      </c>
      <c r="F475">
        <v>1329.68</v>
      </c>
      <c r="G475">
        <v>0</v>
      </c>
      <c r="H475">
        <v>0</v>
      </c>
      <c r="I475">
        <v>-1329.68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1329.6799999999998</v>
      </c>
      <c r="S475">
        <v>0</v>
      </c>
      <c r="T475">
        <v>0</v>
      </c>
      <c r="U475">
        <v>-1329.6799999999998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f>SUMPRODUCT(DB_ThemeSOFAcct[[#This Row],[Plan01]:[Plan12]],$E$14:$P$14)/valUnits2</f>
        <v>0</v>
      </c>
      <c r="AD475">
        <f>SUMPRODUCT(DB_ThemeSOFAcct[[#This Row],[Act01]:[Act12]],$Q$14:$AB$14)/valUnits2</f>
        <v>0</v>
      </c>
      <c r="AE475">
        <f>DB_ThemeSOFAcct[[#This Row],[Actuals]]-DB_ThemeSOFAcct[[#This Row],[Plan]]</f>
        <v>0</v>
      </c>
      <c r="AF475">
        <f>IF(DB_ThemeSOFAcct[[#This Row],[Plan]]&lt;&gt;0,DB_ThemeSOFAcct[[#This Row],[Actuals]]/DB_ThemeSOFAcct[[#This Row],[Plan]],1.000011000011)</f>
        <v>1.0000110000110001</v>
      </c>
      <c r="AG475" s="34">
        <f>SUM(DB_ThemeSOFAcct[[#This Row],[Plan01]:[Plan12]])/valUnits2</f>
        <v>0</v>
      </c>
      <c r="AH475" s="34">
        <f>SUMPRODUCT(DB_ThemeSOFAcct[[#This Row],[Act01]:[Act12]],$Q$3:$AB$3)/valUnits2</f>
        <v>0</v>
      </c>
    </row>
    <row r="476" spans="2:34" x14ac:dyDescent="0.2">
      <c r="B476" t="s">
        <v>351</v>
      </c>
      <c r="C476" t="s">
        <v>905</v>
      </c>
      <c r="D476" t="s">
        <v>236</v>
      </c>
      <c r="F476">
        <v>25.22</v>
      </c>
      <c r="I476">
        <v>-25.22</v>
      </c>
      <c r="R476">
        <v>25.22</v>
      </c>
      <c r="U476">
        <v>-25.22</v>
      </c>
      <c r="AC476">
        <f>SUMPRODUCT(DB_ThemeSOFAcct[[#This Row],[Plan01]:[Plan12]],$E$14:$P$14)/valUnits2</f>
        <v>0</v>
      </c>
      <c r="AD476">
        <f>SUMPRODUCT(DB_ThemeSOFAcct[[#This Row],[Act01]:[Act12]],$Q$14:$AB$14)/valUnits2</f>
        <v>0</v>
      </c>
      <c r="AE476">
        <f>DB_ThemeSOFAcct[[#This Row],[Actuals]]-DB_ThemeSOFAcct[[#This Row],[Plan]]</f>
        <v>0</v>
      </c>
      <c r="AF476">
        <f>IF(DB_ThemeSOFAcct[[#This Row],[Plan]]&lt;&gt;0,DB_ThemeSOFAcct[[#This Row],[Actuals]]/DB_ThemeSOFAcct[[#This Row],[Plan]],1.000011000011)</f>
        <v>1.0000110000110001</v>
      </c>
      <c r="AG476" s="34">
        <f>SUM(DB_ThemeSOFAcct[[#This Row],[Plan01]:[Plan12]])/valUnits2</f>
        <v>0</v>
      </c>
      <c r="AH476" s="34">
        <f>SUMPRODUCT(DB_ThemeSOFAcct[[#This Row],[Act01]:[Act12]],$Q$3:$AB$3)/valUnits2</f>
        <v>0</v>
      </c>
    </row>
    <row r="477" spans="2:34" x14ac:dyDescent="0.2">
      <c r="B477" t="s">
        <v>351</v>
      </c>
      <c r="C477" t="s">
        <v>905</v>
      </c>
      <c r="D477" t="s">
        <v>141</v>
      </c>
      <c r="E477">
        <v>89.36</v>
      </c>
      <c r="F477">
        <v>0</v>
      </c>
      <c r="G477">
        <v>0</v>
      </c>
      <c r="H477">
        <v>5.53</v>
      </c>
      <c r="I477">
        <v>-94.89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89.36</v>
      </c>
      <c r="R477">
        <v>0</v>
      </c>
      <c r="S477">
        <v>0</v>
      </c>
      <c r="T477">
        <v>5.53</v>
      </c>
      <c r="U477">
        <v>-94.89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f>SUMPRODUCT(DB_ThemeSOFAcct[[#This Row],[Plan01]:[Plan12]],$E$14:$P$14)/valUnits2</f>
        <v>0</v>
      </c>
      <c r="AD477">
        <f>SUMPRODUCT(DB_ThemeSOFAcct[[#This Row],[Act01]:[Act12]],$Q$14:$AB$14)/valUnits2</f>
        <v>0</v>
      </c>
      <c r="AE477">
        <f>DB_ThemeSOFAcct[[#This Row],[Actuals]]-DB_ThemeSOFAcct[[#This Row],[Plan]]</f>
        <v>0</v>
      </c>
      <c r="AF477">
        <f>IF(DB_ThemeSOFAcct[[#This Row],[Plan]]&lt;&gt;0,DB_ThemeSOFAcct[[#This Row],[Actuals]]/DB_ThemeSOFAcct[[#This Row],[Plan]],1.000011000011)</f>
        <v>1.0000110000110001</v>
      </c>
      <c r="AG477" s="34">
        <f>SUM(DB_ThemeSOFAcct[[#This Row],[Plan01]:[Plan12]])/valUnits2</f>
        <v>0</v>
      </c>
      <c r="AH477" s="34">
        <f>SUMPRODUCT(DB_ThemeSOFAcct[[#This Row],[Act01]:[Act12]],$Q$3:$AB$3)/valUnits2</f>
        <v>0</v>
      </c>
    </row>
    <row r="478" spans="2:34" x14ac:dyDescent="0.2">
      <c r="B478" t="s">
        <v>351</v>
      </c>
      <c r="C478" t="s">
        <v>907</v>
      </c>
      <c r="D478" t="s">
        <v>140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f>SUMPRODUCT(DB_ThemeSOFAcct[[#This Row],[Plan01]:[Plan12]],$E$14:$P$14)/valUnits2</f>
        <v>0</v>
      </c>
      <c r="AD478">
        <f>SUMPRODUCT(DB_ThemeSOFAcct[[#This Row],[Act01]:[Act12]],$Q$14:$AB$14)/valUnits2</f>
        <v>0</v>
      </c>
      <c r="AE478">
        <f>DB_ThemeSOFAcct[[#This Row],[Actuals]]-DB_ThemeSOFAcct[[#This Row],[Plan]]</f>
        <v>0</v>
      </c>
      <c r="AF478">
        <f>IF(DB_ThemeSOFAcct[[#This Row],[Plan]]&lt;&gt;0,DB_ThemeSOFAcct[[#This Row],[Actuals]]/DB_ThemeSOFAcct[[#This Row],[Plan]],1.000011000011)</f>
        <v>1.0000110000110001</v>
      </c>
      <c r="AG478" s="34">
        <f>SUM(DB_ThemeSOFAcct[[#This Row],[Plan01]:[Plan12]])/valUnits2</f>
        <v>0</v>
      </c>
      <c r="AH478" s="34">
        <f>SUMPRODUCT(DB_ThemeSOFAcct[[#This Row],[Act01]:[Act12]],$Q$3:$AB$3)/valUnits2</f>
        <v>0</v>
      </c>
    </row>
    <row r="479" spans="2:34" x14ac:dyDescent="0.2">
      <c r="B479" t="s">
        <v>351</v>
      </c>
      <c r="C479" t="s">
        <v>908</v>
      </c>
      <c r="D479" t="s">
        <v>143</v>
      </c>
      <c r="H479">
        <v>1028.9659999999999</v>
      </c>
      <c r="I479">
        <v>-1002.874</v>
      </c>
      <c r="J479">
        <v>0</v>
      </c>
      <c r="T479">
        <v>1003.52</v>
      </c>
      <c r="U479">
        <v>-999.43</v>
      </c>
      <c r="V479">
        <v>5.25</v>
      </c>
      <c r="AC479">
        <f>SUMPRODUCT(DB_ThemeSOFAcct[[#This Row],[Plan01]:[Plan12]],$E$14:$P$14)/valUnits2</f>
        <v>2.6091999999999872E-2</v>
      </c>
      <c r="AD479">
        <f>SUMPRODUCT(DB_ThemeSOFAcct[[#This Row],[Act01]:[Act12]],$Q$14:$AB$14)/valUnits2</f>
        <v>9.3400000000000323E-3</v>
      </c>
      <c r="AE479">
        <f>DB_ThemeSOFAcct[[#This Row],[Actuals]]-DB_ThemeSOFAcct[[#This Row],[Plan]]</f>
        <v>-1.675199999999984E-2</v>
      </c>
      <c r="AF479">
        <f>IF(DB_ThemeSOFAcct[[#This Row],[Plan]]&lt;&gt;0,DB_ThemeSOFAcct[[#This Row],[Actuals]]/DB_ThemeSOFAcct[[#This Row],[Plan]],1.000011000011)</f>
        <v>0.35796412693546215</v>
      </c>
      <c r="AG479" s="34">
        <f>SUM(DB_ThemeSOFAcct[[#This Row],[Plan01]:[Plan12]])/valUnits2</f>
        <v>2.6091999999999872E-2</v>
      </c>
      <c r="AH479" s="34">
        <f>SUMPRODUCT(DB_ThemeSOFAcct[[#This Row],[Act01]:[Act12]],$Q$3:$AB$3)/valUnits2</f>
        <v>9.3400000000000323E-3</v>
      </c>
    </row>
    <row r="480" spans="2:34" x14ac:dyDescent="0.2">
      <c r="B480" t="s">
        <v>351</v>
      </c>
      <c r="C480" t="s">
        <v>908</v>
      </c>
      <c r="D480" t="s">
        <v>235</v>
      </c>
      <c r="E480">
        <v>0</v>
      </c>
      <c r="F480">
        <v>0</v>
      </c>
      <c r="G480">
        <v>0</v>
      </c>
      <c r="H480">
        <v>56.338000000000001</v>
      </c>
      <c r="I480">
        <v>15.413999999999998</v>
      </c>
      <c r="J480">
        <v>39.475999999999999</v>
      </c>
      <c r="K480">
        <v>39.475999999999999</v>
      </c>
      <c r="L480">
        <v>39.475999999999999</v>
      </c>
      <c r="M480">
        <v>39.475999999999999</v>
      </c>
      <c r="N480">
        <v>39.475999999999999</v>
      </c>
      <c r="O480">
        <v>39.475999999999999</v>
      </c>
      <c r="P480">
        <v>39.475999999999999</v>
      </c>
      <c r="Q480">
        <v>0</v>
      </c>
      <c r="R480">
        <v>0</v>
      </c>
      <c r="S480">
        <v>0</v>
      </c>
      <c r="T480">
        <v>98.88</v>
      </c>
      <c r="U480">
        <v>-22.959999999999997</v>
      </c>
      <c r="V480">
        <v>41.66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f>SUMPRODUCT(DB_ThemeSOFAcct[[#This Row],[Plan01]:[Plan12]],$E$14:$P$14)/valUnits2</f>
        <v>0.11122799999999999</v>
      </c>
      <c r="AD480">
        <f>SUMPRODUCT(DB_ThemeSOFAcct[[#This Row],[Act01]:[Act12]],$Q$14:$AB$14)/valUnits2</f>
        <v>0.11758</v>
      </c>
      <c r="AE480">
        <f>DB_ThemeSOFAcct[[#This Row],[Actuals]]-DB_ThemeSOFAcct[[#This Row],[Plan]]</f>
        <v>6.3520000000000104E-3</v>
      </c>
      <c r="AF480">
        <f>IF(DB_ThemeSOFAcct[[#This Row],[Plan]]&lt;&gt;0,DB_ThemeSOFAcct[[#This Row],[Actuals]]/DB_ThemeSOFAcct[[#This Row],[Plan]],1.000011000011)</f>
        <v>1.0571079224655664</v>
      </c>
      <c r="AG480" s="34">
        <f>SUM(DB_ThemeSOFAcct[[#This Row],[Plan01]:[Plan12]])/valUnits2</f>
        <v>0.348084</v>
      </c>
      <c r="AH480" s="34">
        <f>SUMPRODUCT(DB_ThemeSOFAcct[[#This Row],[Act01]:[Act12]],$Q$3:$AB$3)/valUnits2</f>
        <v>0.11758</v>
      </c>
    </row>
    <row r="481" spans="2:34" x14ac:dyDescent="0.2">
      <c r="B481" t="s">
        <v>351</v>
      </c>
      <c r="C481" t="s">
        <v>908</v>
      </c>
      <c r="D481" t="s">
        <v>140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49.588999999999999</v>
      </c>
      <c r="K481">
        <v>49.588999999999999</v>
      </c>
      <c r="L481">
        <v>49.588999999999999</v>
      </c>
      <c r="M481">
        <v>49.588999999999999</v>
      </c>
      <c r="N481">
        <v>49.588999999999999</v>
      </c>
      <c r="O481">
        <v>49.588999999999999</v>
      </c>
      <c r="P481">
        <v>49.588999999999999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f>SUMPRODUCT(DB_ThemeSOFAcct[[#This Row],[Plan01]:[Plan12]],$E$14:$P$14)/valUnits2</f>
        <v>4.9589000000000001E-2</v>
      </c>
      <c r="AD481">
        <f>SUMPRODUCT(DB_ThemeSOFAcct[[#This Row],[Act01]:[Act12]],$Q$14:$AB$14)/valUnits2</f>
        <v>0</v>
      </c>
      <c r="AE481">
        <f>DB_ThemeSOFAcct[[#This Row],[Actuals]]-DB_ThemeSOFAcct[[#This Row],[Plan]]</f>
        <v>-4.9589000000000001E-2</v>
      </c>
      <c r="AF481">
        <f>IF(DB_ThemeSOFAcct[[#This Row],[Plan]]&lt;&gt;0,DB_ThemeSOFAcct[[#This Row],[Actuals]]/DB_ThemeSOFAcct[[#This Row],[Plan]],1.000011000011)</f>
        <v>0</v>
      </c>
      <c r="AG481" s="34">
        <f>SUM(DB_ThemeSOFAcct[[#This Row],[Plan01]:[Plan12]])/valUnits2</f>
        <v>0.34712300000000001</v>
      </c>
      <c r="AH481" s="34">
        <f>SUMPRODUCT(DB_ThemeSOFAcct[[#This Row],[Act01]:[Act12]],$Q$3:$AB$3)/valUnits2</f>
        <v>0</v>
      </c>
    </row>
    <row r="482" spans="2:34" x14ac:dyDescent="0.2">
      <c r="B482" t="s">
        <v>351</v>
      </c>
      <c r="C482" t="s">
        <v>908</v>
      </c>
      <c r="D482" t="s">
        <v>236</v>
      </c>
      <c r="I482">
        <v>74.396000000000001</v>
      </c>
      <c r="J482">
        <v>0</v>
      </c>
      <c r="U482">
        <v>74.47999999999999</v>
      </c>
      <c r="V482">
        <v>0.26</v>
      </c>
      <c r="AC482">
        <f>SUMPRODUCT(DB_ThemeSOFAcct[[#This Row],[Plan01]:[Plan12]],$E$14:$P$14)/valUnits2</f>
        <v>7.4396000000000004E-2</v>
      </c>
      <c r="AD482">
        <f>SUMPRODUCT(DB_ThemeSOFAcct[[#This Row],[Act01]:[Act12]],$Q$14:$AB$14)/valUnits2</f>
        <v>7.4740000000000001E-2</v>
      </c>
      <c r="AE482">
        <f>DB_ThemeSOFAcct[[#This Row],[Actuals]]-DB_ThemeSOFAcct[[#This Row],[Plan]]</f>
        <v>3.4399999999999709E-4</v>
      </c>
      <c r="AF482">
        <f>IF(DB_ThemeSOFAcct[[#This Row],[Plan]]&lt;&gt;0,DB_ThemeSOFAcct[[#This Row],[Actuals]]/DB_ThemeSOFAcct[[#This Row],[Plan]],1.000011000011)</f>
        <v>1.0046239045109953</v>
      </c>
      <c r="AG482" s="34">
        <f>SUM(DB_ThemeSOFAcct[[#This Row],[Plan01]:[Plan12]])/valUnits2</f>
        <v>7.4396000000000004E-2</v>
      </c>
      <c r="AH482" s="34">
        <f>SUMPRODUCT(DB_ThemeSOFAcct[[#This Row],[Act01]:[Act12]],$Q$3:$AB$3)/valUnits2</f>
        <v>7.4740000000000001E-2</v>
      </c>
    </row>
    <row r="483" spans="2:34" x14ac:dyDescent="0.2">
      <c r="B483" t="s">
        <v>351</v>
      </c>
      <c r="C483" t="s">
        <v>908</v>
      </c>
      <c r="D483" t="s">
        <v>237</v>
      </c>
      <c r="H483">
        <v>27.407</v>
      </c>
      <c r="I483">
        <v>-26.194999999999997</v>
      </c>
      <c r="T483">
        <v>26.53</v>
      </c>
      <c r="U483">
        <v>-25.78</v>
      </c>
      <c r="AC483">
        <f>SUMPRODUCT(DB_ThemeSOFAcct[[#This Row],[Plan01]:[Plan12]],$E$14:$P$14)/valUnits2</f>
        <v>1.2120000000000032E-3</v>
      </c>
      <c r="AD483">
        <f>SUMPRODUCT(DB_ThemeSOFAcct[[#This Row],[Act01]:[Act12]],$Q$14:$AB$14)/valUnits2</f>
        <v>7.5000000000000002E-4</v>
      </c>
      <c r="AE483">
        <f>DB_ThemeSOFAcct[[#This Row],[Actuals]]-DB_ThemeSOFAcct[[#This Row],[Plan]]</f>
        <v>-4.6200000000000321E-4</v>
      </c>
      <c r="AF483">
        <f>IF(DB_ThemeSOFAcct[[#This Row],[Plan]]&lt;&gt;0,DB_ThemeSOFAcct[[#This Row],[Actuals]]/DB_ThemeSOFAcct[[#This Row],[Plan]],1.000011000011)</f>
        <v>0.61881188118811714</v>
      </c>
      <c r="AG483" s="34">
        <f>SUM(DB_ThemeSOFAcct[[#This Row],[Plan01]:[Plan12]])/valUnits2</f>
        <v>1.2120000000000032E-3</v>
      </c>
      <c r="AH483" s="34">
        <f>SUMPRODUCT(DB_ThemeSOFAcct[[#This Row],[Act01]:[Act12]],$Q$3:$AB$3)/valUnits2</f>
        <v>7.5000000000000002E-4</v>
      </c>
    </row>
    <row r="484" spans="2:34" x14ac:dyDescent="0.2">
      <c r="B484" t="s">
        <v>351</v>
      </c>
      <c r="C484" t="s">
        <v>908</v>
      </c>
      <c r="D484" t="s">
        <v>141</v>
      </c>
      <c r="H484">
        <v>6.6879999999999997</v>
      </c>
      <c r="I484">
        <v>3.4839999999999991</v>
      </c>
      <c r="T484">
        <v>6.79</v>
      </c>
      <c r="U484">
        <v>3.3</v>
      </c>
      <c r="AC484">
        <f>SUMPRODUCT(DB_ThemeSOFAcct[[#This Row],[Plan01]:[Plan12]],$E$14:$P$14)/valUnits2</f>
        <v>1.0171999999999999E-2</v>
      </c>
      <c r="AD484">
        <f>SUMPRODUCT(DB_ThemeSOFAcct[[#This Row],[Act01]:[Act12]],$Q$14:$AB$14)/valUnits2</f>
        <v>1.009E-2</v>
      </c>
      <c r="AE484">
        <f>DB_ThemeSOFAcct[[#This Row],[Actuals]]-DB_ThemeSOFAcct[[#This Row],[Plan]]</f>
        <v>-8.1999999999998741E-5</v>
      </c>
      <c r="AF484">
        <f>IF(DB_ThemeSOFAcct[[#This Row],[Plan]]&lt;&gt;0,DB_ThemeSOFAcct[[#This Row],[Actuals]]/DB_ThemeSOFAcct[[#This Row],[Plan]],1.000011000011)</f>
        <v>0.99193865513173429</v>
      </c>
      <c r="AG484" s="34">
        <f>SUM(DB_ThemeSOFAcct[[#This Row],[Plan01]:[Plan12]])/valUnits2</f>
        <v>1.0171999999999999E-2</v>
      </c>
      <c r="AH484" s="34">
        <f>SUMPRODUCT(DB_ThemeSOFAcct[[#This Row],[Act01]:[Act12]],$Q$3:$AB$3)/valUnits2</f>
        <v>1.009E-2</v>
      </c>
    </row>
    <row r="485" spans="2:34" x14ac:dyDescent="0.2">
      <c r="B485" t="s">
        <v>351</v>
      </c>
      <c r="C485" t="s">
        <v>909</v>
      </c>
      <c r="D485" t="s">
        <v>143</v>
      </c>
      <c r="E485">
        <v>1990.4500000000003</v>
      </c>
      <c r="F485">
        <v>1832.12</v>
      </c>
      <c r="G485">
        <v>2111.4</v>
      </c>
      <c r="H485">
        <v>27011.039999999997</v>
      </c>
      <c r="I485">
        <v>7031.78</v>
      </c>
      <c r="J485">
        <v>5562</v>
      </c>
      <c r="K485">
        <v>5562</v>
      </c>
      <c r="L485">
        <v>5562</v>
      </c>
      <c r="M485">
        <v>5562</v>
      </c>
      <c r="N485">
        <v>5562</v>
      </c>
      <c r="O485">
        <v>5562</v>
      </c>
      <c r="P485">
        <v>5562</v>
      </c>
      <c r="Q485">
        <v>1954.58</v>
      </c>
      <c r="R485">
        <v>1791.12</v>
      </c>
      <c r="S485">
        <v>2146.83</v>
      </c>
      <c r="T485">
        <v>27452.850000000002</v>
      </c>
      <c r="U485">
        <v>6807.5599999999995</v>
      </c>
      <c r="V485">
        <v>7911.06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f>SUMPRODUCT(DB_ThemeSOFAcct[[#This Row],[Plan01]:[Plan12]],$E$14:$P$14)/valUnits2</f>
        <v>45.538789999999992</v>
      </c>
      <c r="AD485">
        <f>SUMPRODUCT(DB_ThemeSOFAcct[[#This Row],[Act01]:[Act12]],$Q$14:$AB$14)/valUnits2</f>
        <v>48.064</v>
      </c>
      <c r="AE485">
        <f>DB_ThemeSOFAcct[[#This Row],[Actuals]]-DB_ThemeSOFAcct[[#This Row],[Plan]]</f>
        <v>2.5252100000000084</v>
      </c>
      <c r="AF485">
        <f>IF(DB_ThemeSOFAcct[[#This Row],[Plan]]&lt;&gt;0,DB_ThemeSOFAcct[[#This Row],[Actuals]]/DB_ThemeSOFAcct[[#This Row],[Plan]],1.000011000011)</f>
        <v>1.055451846656444</v>
      </c>
      <c r="AG485" s="34">
        <f>SUM(DB_ThemeSOFAcct[[#This Row],[Plan01]:[Plan12]])/valUnits2</f>
        <v>78.910789999999992</v>
      </c>
      <c r="AH485" s="34">
        <f>SUMPRODUCT(DB_ThemeSOFAcct[[#This Row],[Act01]:[Act12]],$Q$3:$AB$3)/valUnits2</f>
        <v>48.064</v>
      </c>
    </row>
    <row r="486" spans="2:34" x14ac:dyDescent="0.2">
      <c r="B486" t="s">
        <v>351</v>
      </c>
      <c r="C486" t="s">
        <v>909</v>
      </c>
      <c r="D486" t="s">
        <v>235</v>
      </c>
      <c r="E486">
        <v>688.80000000000018</v>
      </c>
      <c r="F486">
        <v>2239.17</v>
      </c>
      <c r="G486">
        <v>4813.38</v>
      </c>
      <c r="H486">
        <v>6508.1699999999992</v>
      </c>
      <c r="I486">
        <v>2256.69</v>
      </c>
      <c r="J486">
        <v>1028</v>
      </c>
      <c r="K486">
        <v>1028</v>
      </c>
      <c r="L486">
        <v>1028</v>
      </c>
      <c r="M486">
        <v>1028</v>
      </c>
      <c r="N486">
        <v>1028</v>
      </c>
      <c r="O486">
        <v>1028</v>
      </c>
      <c r="P486">
        <v>1028</v>
      </c>
      <c r="Q486">
        <v>724.6700000000003</v>
      </c>
      <c r="R486">
        <v>2280.17</v>
      </c>
      <c r="S486">
        <v>4839.8399999999992</v>
      </c>
      <c r="T486">
        <v>7625.7200000000012</v>
      </c>
      <c r="U486">
        <v>2500.5000000000005</v>
      </c>
      <c r="V486">
        <v>5692.2499999999982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f>SUMPRODUCT(DB_ThemeSOFAcct[[#This Row],[Plan01]:[Plan12]],$E$14:$P$14)/valUnits2</f>
        <v>17.534209999999998</v>
      </c>
      <c r="AD486">
        <f>SUMPRODUCT(DB_ThemeSOFAcct[[#This Row],[Act01]:[Act12]],$Q$14:$AB$14)/valUnits2</f>
        <v>23.663150000000002</v>
      </c>
      <c r="AE486">
        <f>DB_ThemeSOFAcct[[#This Row],[Actuals]]-DB_ThemeSOFAcct[[#This Row],[Plan]]</f>
        <v>6.1289400000000036</v>
      </c>
      <c r="AF486">
        <f>IF(DB_ThemeSOFAcct[[#This Row],[Plan]]&lt;&gt;0,DB_ThemeSOFAcct[[#This Row],[Actuals]]/DB_ThemeSOFAcct[[#This Row],[Plan]],1.000011000011)</f>
        <v>1.3495418384974289</v>
      </c>
      <c r="AG486" s="34">
        <f>SUM(DB_ThemeSOFAcct[[#This Row],[Plan01]:[Plan12]])/valUnits2</f>
        <v>23.702210000000001</v>
      </c>
      <c r="AH486" s="34">
        <f>SUMPRODUCT(DB_ThemeSOFAcct[[#This Row],[Act01]:[Act12]],$Q$3:$AB$3)/valUnits2</f>
        <v>23.663150000000002</v>
      </c>
    </row>
    <row r="487" spans="2:34" x14ac:dyDescent="0.2">
      <c r="B487" t="s">
        <v>351</v>
      </c>
      <c r="C487" t="s">
        <v>909</v>
      </c>
      <c r="D487" t="s">
        <v>140</v>
      </c>
      <c r="E487">
        <v>12115.490000000002</v>
      </c>
      <c r="F487">
        <v>20003.809999999998</v>
      </c>
      <c r="G487">
        <v>23946.090000000004</v>
      </c>
      <c r="H487">
        <v>31281.539999999997</v>
      </c>
      <c r="I487">
        <v>22909.420000000006</v>
      </c>
      <c r="J487">
        <v>19840.002</v>
      </c>
      <c r="K487">
        <v>19840.002</v>
      </c>
      <c r="L487">
        <v>19840.002</v>
      </c>
      <c r="M487">
        <v>19840.002</v>
      </c>
      <c r="N487">
        <v>19840.002</v>
      </c>
      <c r="O487">
        <v>19840.002</v>
      </c>
      <c r="P487">
        <v>19840.002</v>
      </c>
      <c r="Q487">
        <v>12115.489999999998</v>
      </c>
      <c r="R487">
        <v>20003.810000000009</v>
      </c>
      <c r="S487">
        <v>23946.09</v>
      </c>
      <c r="T487">
        <v>31281.539999999997</v>
      </c>
      <c r="U487">
        <v>22909.420000000009</v>
      </c>
      <c r="V487">
        <v>22589.4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f>SUMPRODUCT(DB_ThemeSOFAcct[[#This Row],[Plan01]:[Plan12]],$E$14:$P$14)/valUnits2</f>
        <v>130.09635200000002</v>
      </c>
      <c r="AD487">
        <f>SUMPRODUCT(DB_ThemeSOFAcct[[#This Row],[Act01]:[Act12]],$Q$14:$AB$14)/valUnits2</f>
        <v>132.84575000000004</v>
      </c>
      <c r="AE487">
        <f>DB_ThemeSOFAcct[[#This Row],[Actuals]]-DB_ThemeSOFAcct[[#This Row],[Plan]]</f>
        <v>2.7493980000000136</v>
      </c>
      <c r="AF487">
        <f>IF(DB_ThemeSOFAcct[[#This Row],[Plan]]&lt;&gt;0,DB_ThemeSOFAcct[[#This Row],[Actuals]]/DB_ThemeSOFAcct[[#This Row],[Plan]],1.000011000011)</f>
        <v>1.0211335518462501</v>
      </c>
      <c r="AG487" s="34">
        <f>SUM(DB_ThemeSOFAcct[[#This Row],[Plan01]:[Plan12]])/valUnits2</f>
        <v>249.13636400000007</v>
      </c>
      <c r="AH487" s="34">
        <f>SUMPRODUCT(DB_ThemeSOFAcct[[#This Row],[Act01]:[Act12]],$Q$3:$AB$3)/valUnits2</f>
        <v>132.84575000000004</v>
      </c>
    </row>
    <row r="488" spans="2:34" x14ac:dyDescent="0.2">
      <c r="B488" t="s">
        <v>351</v>
      </c>
      <c r="C488" t="s">
        <v>909</v>
      </c>
      <c r="D488" t="s">
        <v>236</v>
      </c>
      <c r="E488">
        <v>585.55999999999995</v>
      </c>
      <c r="F488">
        <v>495.16999999999996</v>
      </c>
      <c r="G488">
        <v>2252.9</v>
      </c>
      <c r="H488">
        <v>1330.2</v>
      </c>
      <c r="I488">
        <v>1748.15</v>
      </c>
      <c r="J488">
        <v>0</v>
      </c>
      <c r="Q488">
        <v>585.55999999999995</v>
      </c>
      <c r="R488">
        <v>495.16999999999996</v>
      </c>
      <c r="S488">
        <v>2252.9</v>
      </c>
      <c r="T488">
        <v>1330.1999999999998</v>
      </c>
      <c r="U488">
        <v>1748.15</v>
      </c>
      <c r="V488">
        <v>445.33</v>
      </c>
      <c r="AC488">
        <f>SUMPRODUCT(DB_ThemeSOFAcct[[#This Row],[Plan01]:[Plan12]],$E$14:$P$14)/valUnits2</f>
        <v>6.4119799999999998</v>
      </c>
      <c r="AD488">
        <f>SUMPRODUCT(DB_ThemeSOFAcct[[#This Row],[Act01]:[Act12]],$Q$14:$AB$14)/valUnits2</f>
        <v>6.8573099999999991</v>
      </c>
      <c r="AE488">
        <f>DB_ThemeSOFAcct[[#This Row],[Actuals]]-DB_ThemeSOFAcct[[#This Row],[Plan]]</f>
        <v>0.44532999999999934</v>
      </c>
      <c r="AF488">
        <f>IF(DB_ThemeSOFAcct[[#This Row],[Plan]]&lt;&gt;0,DB_ThemeSOFAcct[[#This Row],[Actuals]]/DB_ThemeSOFAcct[[#This Row],[Plan]],1.000011000011)</f>
        <v>1.0694528055296491</v>
      </c>
      <c r="AG488" s="34">
        <f>SUM(DB_ThemeSOFAcct[[#This Row],[Plan01]:[Plan12]])/valUnits2</f>
        <v>6.4119799999999998</v>
      </c>
      <c r="AH488" s="34">
        <f>SUMPRODUCT(DB_ThemeSOFAcct[[#This Row],[Act01]:[Act12]],$Q$3:$AB$3)/valUnits2</f>
        <v>6.8573099999999991</v>
      </c>
    </row>
    <row r="489" spans="2:34" x14ac:dyDescent="0.2">
      <c r="B489" t="s">
        <v>351</v>
      </c>
      <c r="C489" t="s">
        <v>909</v>
      </c>
      <c r="D489" t="s">
        <v>237</v>
      </c>
      <c r="E489">
        <v>22.9</v>
      </c>
      <c r="F489">
        <v>137.32</v>
      </c>
      <c r="G489">
        <v>0</v>
      </c>
      <c r="H489">
        <v>696.28000000000009</v>
      </c>
      <c r="I489">
        <v>37.03</v>
      </c>
      <c r="J489">
        <v>102.5</v>
      </c>
      <c r="K489">
        <v>102.5</v>
      </c>
      <c r="L489">
        <v>102.5</v>
      </c>
      <c r="M489">
        <v>102.5</v>
      </c>
      <c r="N489">
        <v>102.5</v>
      </c>
      <c r="O489">
        <v>102.5</v>
      </c>
      <c r="P489">
        <v>102.5</v>
      </c>
      <c r="Q489">
        <v>22.9</v>
      </c>
      <c r="R489">
        <v>137.32</v>
      </c>
      <c r="S489">
        <v>0</v>
      </c>
      <c r="T489">
        <v>696.28</v>
      </c>
      <c r="U489">
        <v>37.03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f>SUMPRODUCT(DB_ThemeSOFAcct[[#This Row],[Plan01]:[Plan12]],$E$14:$P$14)/valUnits2</f>
        <v>0.99603000000000008</v>
      </c>
      <c r="AD489">
        <f>SUMPRODUCT(DB_ThemeSOFAcct[[#This Row],[Act01]:[Act12]],$Q$14:$AB$14)/valUnits2</f>
        <v>0.89352999999999994</v>
      </c>
      <c r="AE489">
        <f>DB_ThemeSOFAcct[[#This Row],[Actuals]]-DB_ThemeSOFAcct[[#This Row],[Plan]]</f>
        <v>-0.10250000000000015</v>
      </c>
      <c r="AF489">
        <f>IF(DB_ThemeSOFAcct[[#This Row],[Plan]]&lt;&gt;0,DB_ThemeSOFAcct[[#This Row],[Actuals]]/DB_ThemeSOFAcct[[#This Row],[Plan]],1.000011000011)</f>
        <v>0.89709145306868254</v>
      </c>
      <c r="AG489" s="34">
        <f>SUM(DB_ThemeSOFAcct[[#This Row],[Plan01]:[Plan12]])/valUnits2</f>
        <v>1.6110300000000002</v>
      </c>
      <c r="AH489" s="34">
        <f>SUMPRODUCT(DB_ThemeSOFAcct[[#This Row],[Act01]:[Act12]],$Q$3:$AB$3)/valUnits2</f>
        <v>0.89352999999999994</v>
      </c>
    </row>
    <row r="490" spans="2:34" x14ac:dyDescent="0.2">
      <c r="B490" t="s">
        <v>351</v>
      </c>
      <c r="C490" t="s">
        <v>909</v>
      </c>
      <c r="D490" t="s">
        <v>141</v>
      </c>
      <c r="E490">
        <v>1012.5799999999999</v>
      </c>
      <c r="F490">
        <v>1787.27</v>
      </c>
      <c r="G490">
        <v>1211.2099999999998</v>
      </c>
      <c r="H490">
        <v>1300.6300000000001</v>
      </c>
      <c r="I490">
        <v>2022.8399999999997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1012.5799999999999</v>
      </c>
      <c r="R490">
        <v>1787.27</v>
      </c>
      <c r="S490">
        <v>1211.21</v>
      </c>
      <c r="T490">
        <v>1300.6299999999999</v>
      </c>
      <c r="U490">
        <v>2022.84</v>
      </c>
      <c r="V490">
        <v>1686.3400000000004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f>SUMPRODUCT(DB_ThemeSOFAcct[[#This Row],[Plan01]:[Plan12]],$E$14:$P$14)/valUnits2</f>
        <v>7.3345299999999991</v>
      </c>
      <c r="AD490">
        <f>SUMPRODUCT(DB_ThemeSOFAcct[[#This Row],[Act01]:[Act12]],$Q$14:$AB$14)/valUnits2</f>
        <v>9.0208700000000004</v>
      </c>
      <c r="AE490">
        <f>DB_ThemeSOFAcct[[#This Row],[Actuals]]-DB_ThemeSOFAcct[[#This Row],[Plan]]</f>
        <v>1.6863400000000013</v>
      </c>
      <c r="AF490">
        <f>IF(DB_ThemeSOFAcct[[#This Row],[Plan]]&lt;&gt;0,DB_ThemeSOFAcct[[#This Row],[Actuals]]/DB_ThemeSOFAcct[[#This Row],[Plan]],1.000011000011)</f>
        <v>1.2299179361186063</v>
      </c>
      <c r="AG490" s="34">
        <f>SUM(DB_ThemeSOFAcct[[#This Row],[Plan01]:[Plan12]])/valUnits2</f>
        <v>7.3345299999999991</v>
      </c>
      <c r="AH490" s="34">
        <f>SUMPRODUCT(DB_ThemeSOFAcct[[#This Row],[Act01]:[Act12]],$Q$3:$AB$3)/valUnits2</f>
        <v>9.0208700000000004</v>
      </c>
    </row>
    <row r="491" spans="2:34" x14ac:dyDescent="0.2">
      <c r="B491" t="s">
        <v>351</v>
      </c>
      <c r="C491" t="s">
        <v>910</v>
      </c>
      <c r="D491" t="s">
        <v>140</v>
      </c>
      <c r="F491">
        <v>581.47</v>
      </c>
      <c r="G491">
        <v>521.39</v>
      </c>
      <c r="R491">
        <v>581.47</v>
      </c>
      <c r="S491">
        <v>521.39</v>
      </c>
      <c r="AC491">
        <f>SUMPRODUCT(DB_ThemeSOFAcct[[#This Row],[Plan01]:[Plan12]],$E$14:$P$14)/valUnits2</f>
        <v>1.1028600000000002</v>
      </c>
      <c r="AD491">
        <f>SUMPRODUCT(DB_ThemeSOFAcct[[#This Row],[Act01]:[Act12]],$Q$14:$AB$14)/valUnits2</f>
        <v>1.1028600000000002</v>
      </c>
      <c r="AE491">
        <f>DB_ThemeSOFAcct[[#This Row],[Actuals]]-DB_ThemeSOFAcct[[#This Row],[Plan]]</f>
        <v>0</v>
      </c>
      <c r="AF491">
        <f>IF(DB_ThemeSOFAcct[[#This Row],[Plan]]&lt;&gt;0,DB_ThemeSOFAcct[[#This Row],[Actuals]]/DB_ThemeSOFAcct[[#This Row],[Plan]],1.000011000011)</f>
        <v>1</v>
      </c>
      <c r="AG491" s="34">
        <f>SUM(DB_ThemeSOFAcct[[#This Row],[Plan01]:[Plan12]])/valUnits2</f>
        <v>1.1028600000000002</v>
      </c>
      <c r="AH491" s="34">
        <f>SUMPRODUCT(DB_ThemeSOFAcct[[#This Row],[Act01]:[Act12]],$Q$3:$AB$3)/valUnits2</f>
        <v>1.1028600000000002</v>
      </c>
    </row>
    <row r="492" spans="2:34" x14ac:dyDescent="0.2">
      <c r="B492" t="s">
        <v>351</v>
      </c>
      <c r="C492" t="s">
        <v>354</v>
      </c>
      <c r="D492" t="s">
        <v>143</v>
      </c>
      <c r="E492">
        <v>0</v>
      </c>
      <c r="F492">
        <v>0</v>
      </c>
      <c r="G492">
        <v>0</v>
      </c>
      <c r="H492">
        <v>223.047</v>
      </c>
      <c r="I492">
        <v>272.13799999999998</v>
      </c>
      <c r="J492">
        <v>317.52499999999998</v>
      </c>
      <c r="Q492">
        <v>0</v>
      </c>
      <c r="R492">
        <v>0</v>
      </c>
      <c r="S492">
        <v>0</v>
      </c>
      <c r="T492">
        <v>218.76999999999998</v>
      </c>
      <c r="U492">
        <v>271.06</v>
      </c>
      <c r="V492">
        <v>73.17</v>
      </c>
      <c r="AC492">
        <f>SUMPRODUCT(DB_ThemeSOFAcct[[#This Row],[Plan01]:[Plan12]],$E$14:$P$14)/valUnits2</f>
        <v>0.81270999999999993</v>
      </c>
      <c r="AD492">
        <f>SUMPRODUCT(DB_ThemeSOFAcct[[#This Row],[Act01]:[Act12]],$Q$14:$AB$14)/valUnits2</f>
        <v>0.56299999999999994</v>
      </c>
      <c r="AE492">
        <f>DB_ThemeSOFAcct[[#This Row],[Actuals]]-DB_ThemeSOFAcct[[#This Row],[Plan]]</f>
        <v>-0.24970999999999999</v>
      </c>
      <c r="AF492">
        <f>IF(DB_ThemeSOFAcct[[#This Row],[Plan]]&lt;&gt;0,DB_ThemeSOFAcct[[#This Row],[Actuals]]/DB_ThemeSOFAcct[[#This Row],[Plan]],1.000011000011)</f>
        <v>0.6927440292355207</v>
      </c>
      <c r="AG492" s="34">
        <f>SUM(DB_ThemeSOFAcct[[#This Row],[Plan01]:[Plan12]])/valUnits2</f>
        <v>0.81270999999999993</v>
      </c>
      <c r="AH492" s="34">
        <f>SUMPRODUCT(DB_ThemeSOFAcct[[#This Row],[Act01]:[Act12]],$Q$3:$AB$3)/valUnits2</f>
        <v>0.56299999999999994</v>
      </c>
    </row>
    <row r="493" spans="2:34" x14ac:dyDescent="0.2">
      <c r="B493" t="s">
        <v>351</v>
      </c>
      <c r="C493" t="s">
        <v>354</v>
      </c>
      <c r="D493" t="s">
        <v>235</v>
      </c>
      <c r="H493">
        <v>11.641999999999999</v>
      </c>
      <c r="I493">
        <v>34.531000000000006</v>
      </c>
      <c r="J493">
        <v>0</v>
      </c>
      <c r="T493">
        <v>19.729999999999997</v>
      </c>
      <c r="U493">
        <v>40.099999999999994</v>
      </c>
      <c r="V493">
        <v>12.309999999999999</v>
      </c>
      <c r="AC493">
        <f>SUMPRODUCT(DB_ThemeSOFAcct[[#This Row],[Plan01]:[Plan12]],$E$14:$P$14)/valUnits2</f>
        <v>4.6172999999999999E-2</v>
      </c>
      <c r="AD493">
        <f>SUMPRODUCT(DB_ThemeSOFAcct[[#This Row],[Act01]:[Act12]],$Q$14:$AB$14)/valUnits2</f>
        <v>7.2139999999999982E-2</v>
      </c>
      <c r="AE493">
        <f>DB_ThemeSOFAcct[[#This Row],[Actuals]]-DB_ThemeSOFAcct[[#This Row],[Plan]]</f>
        <v>2.5966999999999983E-2</v>
      </c>
      <c r="AF493">
        <f>IF(DB_ThemeSOFAcct[[#This Row],[Plan]]&lt;&gt;0,DB_ThemeSOFAcct[[#This Row],[Actuals]]/DB_ThemeSOFAcct[[#This Row],[Plan]],1.000011000011)</f>
        <v>1.5623849435817465</v>
      </c>
      <c r="AG493" s="34">
        <f>SUM(DB_ThemeSOFAcct[[#This Row],[Plan01]:[Plan12]])/valUnits2</f>
        <v>4.6172999999999999E-2</v>
      </c>
      <c r="AH493" s="34">
        <f>SUMPRODUCT(DB_ThemeSOFAcct[[#This Row],[Act01]:[Act12]],$Q$3:$AB$3)/valUnits2</f>
        <v>7.2139999999999982E-2</v>
      </c>
    </row>
    <row r="494" spans="2:34" x14ac:dyDescent="0.2">
      <c r="B494" t="s">
        <v>351</v>
      </c>
      <c r="C494" t="s">
        <v>354</v>
      </c>
      <c r="D494" t="s">
        <v>140</v>
      </c>
      <c r="E494">
        <v>0</v>
      </c>
      <c r="F494">
        <v>0</v>
      </c>
      <c r="G494">
        <v>0</v>
      </c>
      <c r="H494">
        <v>3000.607</v>
      </c>
      <c r="I494">
        <v>4132.1059999999998</v>
      </c>
      <c r="J494">
        <v>2081.4769999999999</v>
      </c>
      <c r="Q494">
        <v>0</v>
      </c>
      <c r="R494">
        <v>0</v>
      </c>
      <c r="S494">
        <v>0</v>
      </c>
      <c r="T494">
        <v>2957.04</v>
      </c>
      <c r="U494">
        <v>4242.9300000000012</v>
      </c>
      <c r="V494">
        <v>3025.85</v>
      </c>
      <c r="AC494">
        <f>SUMPRODUCT(DB_ThemeSOFAcct[[#This Row],[Plan01]:[Plan12]],$E$14:$P$14)/valUnits2</f>
        <v>9.2141899999999985</v>
      </c>
      <c r="AD494">
        <f>SUMPRODUCT(DB_ThemeSOFAcct[[#This Row],[Act01]:[Act12]],$Q$14:$AB$14)/valUnits2</f>
        <v>10.225820000000002</v>
      </c>
      <c r="AE494">
        <f>DB_ThemeSOFAcct[[#This Row],[Actuals]]-DB_ThemeSOFAcct[[#This Row],[Plan]]</f>
        <v>1.0116300000000038</v>
      </c>
      <c r="AF494">
        <f>IF(DB_ThemeSOFAcct[[#This Row],[Plan]]&lt;&gt;0,DB_ThemeSOFAcct[[#This Row],[Actuals]]/DB_ThemeSOFAcct[[#This Row],[Plan]],1.000011000011)</f>
        <v>1.1097904427844449</v>
      </c>
      <c r="AG494" s="34">
        <f>SUM(DB_ThemeSOFAcct[[#This Row],[Plan01]:[Plan12]])/valUnits2</f>
        <v>9.2141899999999985</v>
      </c>
      <c r="AH494" s="34">
        <f>SUMPRODUCT(DB_ThemeSOFAcct[[#This Row],[Act01]:[Act12]],$Q$3:$AB$3)/valUnits2</f>
        <v>10.225820000000002</v>
      </c>
    </row>
    <row r="495" spans="2:34" x14ac:dyDescent="0.2">
      <c r="B495" t="s">
        <v>351</v>
      </c>
      <c r="C495" t="s">
        <v>354</v>
      </c>
      <c r="D495" t="s">
        <v>236</v>
      </c>
      <c r="I495">
        <v>23.116</v>
      </c>
      <c r="J495">
        <v>0</v>
      </c>
      <c r="U495">
        <v>23.020000000000003</v>
      </c>
      <c r="V495">
        <v>6.9999999999999993E-2</v>
      </c>
      <c r="AC495">
        <f>SUMPRODUCT(DB_ThemeSOFAcct[[#This Row],[Plan01]:[Plan12]],$E$14:$P$14)/valUnits2</f>
        <v>2.3116000000000001E-2</v>
      </c>
      <c r="AD495">
        <f>SUMPRODUCT(DB_ThemeSOFAcct[[#This Row],[Act01]:[Act12]],$Q$14:$AB$14)/valUnits2</f>
        <v>2.3090000000000003E-2</v>
      </c>
      <c r="AE495">
        <f>DB_ThemeSOFAcct[[#This Row],[Actuals]]-DB_ThemeSOFAcct[[#This Row],[Plan]]</f>
        <v>-2.5999999999998247E-5</v>
      </c>
      <c r="AF495">
        <f>IF(DB_ThemeSOFAcct[[#This Row],[Plan]]&lt;&gt;0,DB_ThemeSOFAcct[[#This Row],[Actuals]]/DB_ThemeSOFAcct[[#This Row],[Plan]],1.000011000011)</f>
        <v>0.99887523793043786</v>
      </c>
      <c r="AG495" s="34">
        <f>SUM(DB_ThemeSOFAcct[[#This Row],[Plan01]:[Plan12]])/valUnits2</f>
        <v>2.3116000000000001E-2</v>
      </c>
      <c r="AH495" s="34">
        <f>SUMPRODUCT(DB_ThemeSOFAcct[[#This Row],[Act01]:[Act12]],$Q$3:$AB$3)/valUnits2</f>
        <v>2.3090000000000003E-2</v>
      </c>
    </row>
    <row r="496" spans="2:34" x14ac:dyDescent="0.2">
      <c r="B496" t="s">
        <v>351</v>
      </c>
      <c r="C496" t="s">
        <v>354</v>
      </c>
      <c r="D496" t="s">
        <v>237</v>
      </c>
      <c r="H496">
        <v>5.1710000000000003</v>
      </c>
      <c r="I496">
        <v>0.219</v>
      </c>
      <c r="T496">
        <v>5.24</v>
      </c>
      <c r="U496">
        <v>0.22</v>
      </c>
      <c r="AC496">
        <f>SUMPRODUCT(DB_ThemeSOFAcct[[#This Row],[Plan01]:[Plan12]],$E$14:$P$14)/valUnits2</f>
        <v>5.3900000000000007E-3</v>
      </c>
      <c r="AD496">
        <f>SUMPRODUCT(DB_ThemeSOFAcct[[#This Row],[Act01]:[Act12]],$Q$14:$AB$14)/valUnits2</f>
        <v>5.4599999999999996E-3</v>
      </c>
      <c r="AE496">
        <f>DB_ThemeSOFAcct[[#This Row],[Actuals]]-DB_ThemeSOFAcct[[#This Row],[Plan]]</f>
        <v>6.9999999999998883E-5</v>
      </c>
      <c r="AF496">
        <f>IF(DB_ThemeSOFAcct[[#This Row],[Plan]]&lt;&gt;0,DB_ThemeSOFAcct[[#This Row],[Actuals]]/DB_ThemeSOFAcct[[#This Row],[Plan]],1.000011000011)</f>
        <v>1.0129870129870129</v>
      </c>
      <c r="AG496" s="34">
        <f>SUM(DB_ThemeSOFAcct[[#This Row],[Plan01]:[Plan12]])/valUnits2</f>
        <v>5.3900000000000007E-3</v>
      </c>
      <c r="AH496" s="34">
        <f>SUMPRODUCT(DB_ThemeSOFAcct[[#This Row],[Act01]:[Act12]],$Q$3:$AB$3)/valUnits2</f>
        <v>5.4599999999999996E-3</v>
      </c>
    </row>
    <row r="497" spans="2:34" x14ac:dyDescent="0.2">
      <c r="B497" t="s">
        <v>351</v>
      </c>
      <c r="C497" t="s">
        <v>354</v>
      </c>
      <c r="D497" t="s">
        <v>141</v>
      </c>
      <c r="H497">
        <v>1.32</v>
      </c>
      <c r="I497">
        <v>11.295999999999999</v>
      </c>
      <c r="T497">
        <v>1.34</v>
      </c>
      <c r="U497">
        <v>11.46</v>
      </c>
      <c r="AC497">
        <f>SUMPRODUCT(DB_ThemeSOFAcct[[#This Row],[Plan01]:[Plan12]],$E$14:$P$14)/valUnits2</f>
        <v>1.2616E-2</v>
      </c>
      <c r="AD497">
        <f>SUMPRODUCT(DB_ThemeSOFAcct[[#This Row],[Act01]:[Act12]],$Q$14:$AB$14)/valUnits2</f>
        <v>1.2800000000000001E-2</v>
      </c>
      <c r="AE497">
        <f>DB_ThemeSOFAcct[[#This Row],[Actuals]]-DB_ThemeSOFAcct[[#This Row],[Plan]]</f>
        <v>1.8400000000000014E-4</v>
      </c>
      <c r="AF497">
        <f>IF(DB_ThemeSOFAcct[[#This Row],[Plan]]&lt;&gt;0,DB_ThemeSOFAcct[[#This Row],[Actuals]]/DB_ThemeSOFAcct[[#This Row],[Plan]],1.000011000011)</f>
        <v>1.014584654407102</v>
      </c>
      <c r="AG497" s="34">
        <f>SUM(DB_ThemeSOFAcct[[#This Row],[Plan01]:[Plan12]])/valUnits2</f>
        <v>1.2616E-2</v>
      </c>
      <c r="AH497" s="34">
        <f>SUMPRODUCT(DB_ThemeSOFAcct[[#This Row],[Act01]:[Act12]],$Q$3:$AB$3)/valUnits2</f>
        <v>1.2800000000000001E-2</v>
      </c>
    </row>
    <row r="498" spans="2:34" x14ac:dyDescent="0.2">
      <c r="B498" t="s">
        <v>351</v>
      </c>
      <c r="C498" t="s">
        <v>911</v>
      </c>
      <c r="D498" t="s">
        <v>143</v>
      </c>
      <c r="E498">
        <v>1084.0739999999998</v>
      </c>
      <c r="F498">
        <v>2200.2449999999999</v>
      </c>
      <c r="G498">
        <v>52.792000000000002</v>
      </c>
      <c r="H498">
        <v>12987.642</v>
      </c>
      <c r="I498">
        <v>2696.3320000000003</v>
      </c>
      <c r="J498">
        <v>52.792000000000002</v>
      </c>
      <c r="K498">
        <v>52.792000000000002</v>
      </c>
      <c r="L498">
        <v>52.792000000000002</v>
      </c>
      <c r="M498">
        <v>81.299000000000007</v>
      </c>
      <c r="N498">
        <v>52.792000000000002</v>
      </c>
      <c r="Q498">
        <v>0</v>
      </c>
      <c r="R498">
        <v>0</v>
      </c>
      <c r="S498">
        <v>0</v>
      </c>
      <c r="T498">
        <v>12423.330000000002</v>
      </c>
      <c r="U498">
        <v>2570.3599999999997</v>
      </c>
      <c r="V498">
        <v>2627.57</v>
      </c>
      <c r="W498">
        <v>0</v>
      </c>
      <c r="X498">
        <v>0</v>
      </c>
      <c r="Y498">
        <v>0</v>
      </c>
      <c r="Z498">
        <v>0</v>
      </c>
      <c r="AC498">
        <f>SUMPRODUCT(DB_ThemeSOFAcct[[#This Row],[Plan01]:[Plan12]],$E$14:$P$14)/valUnits2</f>
        <v>19.073877</v>
      </c>
      <c r="AD498">
        <f>SUMPRODUCT(DB_ThemeSOFAcct[[#This Row],[Act01]:[Act12]],$Q$14:$AB$14)/valUnits2</f>
        <v>17.621260000000003</v>
      </c>
      <c r="AE498">
        <f>DB_ThemeSOFAcct[[#This Row],[Actuals]]-DB_ThemeSOFAcct[[#This Row],[Plan]]</f>
        <v>-1.4526169999999965</v>
      </c>
      <c r="AF498">
        <f>IF(DB_ThemeSOFAcct[[#This Row],[Plan]]&lt;&gt;0,DB_ThemeSOFAcct[[#This Row],[Actuals]]/DB_ThemeSOFAcct[[#This Row],[Plan]],1.000011000011)</f>
        <v>0.92384259372124522</v>
      </c>
      <c r="AG498" s="34">
        <f>SUM(DB_ThemeSOFAcct[[#This Row],[Plan01]:[Plan12]])/valUnits2</f>
        <v>19.313552000000005</v>
      </c>
      <c r="AH498" s="34">
        <f>SUMPRODUCT(DB_ThemeSOFAcct[[#This Row],[Act01]:[Act12]],$Q$3:$AB$3)/valUnits2</f>
        <v>17.621260000000003</v>
      </c>
    </row>
    <row r="499" spans="2:34" x14ac:dyDescent="0.2">
      <c r="B499" t="s">
        <v>351</v>
      </c>
      <c r="C499" t="s">
        <v>911</v>
      </c>
      <c r="D499" t="s">
        <v>235</v>
      </c>
      <c r="E499">
        <v>1345.7459999999999</v>
      </c>
      <c r="F499">
        <v>2731.3380000000002</v>
      </c>
      <c r="G499">
        <v>65.534999999999997</v>
      </c>
      <c r="H499">
        <v>811.20500000000004</v>
      </c>
      <c r="I499">
        <v>822.80500000000006</v>
      </c>
      <c r="J499">
        <v>65.534999999999997</v>
      </c>
      <c r="K499">
        <v>65.534999999999997</v>
      </c>
      <c r="L499">
        <v>65.534999999999997</v>
      </c>
      <c r="M499">
        <v>100.923</v>
      </c>
      <c r="N499">
        <v>65.534999999999997</v>
      </c>
      <c r="Q499">
        <v>0</v>
      </c>
      <c r="R499">
        <v>0</v>
      </c>
      <c r="S499">
        <v>0</v>
      </c>
      <c r="T499">
        <v>1257.19</v>
      </c>
      <c r="U499">
        <v>842.63</v>
      </c>
      <c r="V499">
        <v>443.24</v>
      </c>
      <c r="W499">
        <v>0</v>
      </c>
      <c r="X499">
        <v>0</v>
      </c>
      <c r="Y499">
        <v>0</v>
      </c>
      <c r="Z499">
        <v>0</v>
      </c>
      <c r="AC499">
        <f>SUMPRODUCT(DB_ThemeSOFAcct[[#This Row],[Plan01]:[Plan12]],$E$14:$P$14)/valUnits2</f>
        <v>5.8421639999999995</v>
      </c>
      <c r="AD499">
        <f>SUMPRODUCT(DB_ThemeSOFAcct[[#This Row],[Act01]:[Act12]],$Q$14:$AB$14)/valUnits2</f>
        <v>2.5430600000000005</v>
      </c>
      <c r="AE499">
        <f>DB_ThemeSOFAcct[[#This Row],[Actuals]]-DB_ThemeSOFAcct[[#This Row],[Plan]]</f>
        <v>-3.2991039999999989</v>
      </c>
      <c r="AF499">
        <f>IF(DB_ThemeSOFAcct[[#This Row],[Plan]]&lt;&gt;0,DB_ThemeSOFAcct[[#This Row],[Actuals]]/DB_ThemeSOFAcct[[#This Row],[Plan]],1.000011000011)</f>
        <v>0.43529418208732257</v>
      </c>
      <c r="AG499" s="34">
        <f>SUM(DB_ThemeSOFAcct[[#This Row],[Plan01]:[Plan12]])/valUnits2</f>
        <v>6.1396919999999993</v>
      </c>
      <c r="AH499" s="34">
        <f>SUMPRODUCT(DB_ThemeSOFAcct[[#This Row],[Act01]:[Act12]],$Q$3:$AB$3)/valUnits2</f>
        <v>2.5430600000000005</v>
      </c>
    </row>
    <row r="500" spans="2:34" x14ac:dyDescent="0.2">
      <c r="B500" t="s">
        <v>351</v>
      </c>
      <c r="C500" t="s">
        <v>911</v>
      </c>
      <c r="D500" t="s">
        <v>140</v>
      </c>
      <c r="E500">
        <v>6266.6020000000008</v>
      </c>
      <c r="F500">
        <v>12085.099000000002</v>
      </c>
      <c r="G500">
        <v>15082.646999999999</v>
      </c>
      <c r="H500">
        <v>15570.757000000001</v>
      </c>
      <c r="I500">
        <v>10671.727000000001</v>
      </c>
      <c r="J500">
        <v>4336.4170000000004</v>
      </c>
      <c r="K500">
        <v>4336.4169999999995</v>
      </c>
      <c r="L500">
        <v>4336.4170000000004</v>
      </c>
      <c r="M500">
        <v>4336.4170000000004</v>
      </c>
      <c r="N500">
        <v>4336.4170000000004</v>
      </c>
      <c r="Q500">
        <v>4459.34</v>
      </c>
      <c r="R500">
        <v>9393.0799999999981</v>
      </c>
      <c r="S500">
        <v>10746.230000000003</v>
      </c>
      <c r="T500">
        <v>11234.339999999997</v>
      </c>
      <c r="U500">
        <v>6335.3099999999986</v>
      </c>
      <c r="V500">
        <v>6262.69</v>
      </c>
      <c r="W500">
        <v>0</v>
      </c>
      <c r="X500">
        <v>0</v>
      </c>
      <c r="Y500">
        <v>0</v>
      </c>
      <c r="Z500">
        <v>0</v>
      </c>
      <c r="AC500">
        <f>SUMPRODUCT(DB_ThemeSOFAcct[[#This Row],[Plan01]:[Plan12]],$E$14:$P$14)/valUnits2</f>
        <v>64.013249000000002</v>
      </c>
      <c r="AD500">
        <f>SUMPRODUCT(DB_ThemeSOFAcct[[#This Row],[Act01]:[Act12]],$Q$14:$AB$14)/valUnits2</f>
        <v>48.430990000000001</v>
      </c>
      <c r="AE500">
        <f>DB_ThemeSOFAcct[[#This Row],[Actuals]]-DB_ThemeSOFAcct[[#This Row],[Plan]]</f>
        <v>-15.582259000000001</v>
      </c>
      <c r="AF500">
        <f>IF(DB_ThemeSOFAcct[[#This Row],[Plan]]&lt;&gt;0,DB_ThemeSOFAcct[[#This Row],[Actuals]]/DB_ThemeSOFAcct[[#This Row],[Plan]],1.000011000011)</f>
        <v>0.75657759536623426</v>
      </c>
      <c r="AG500" s="34">
        <f>SUM(DB_ThemeSOFAcct[[#This Row],[Plan01]:[Plan12]])/valUnits2</f>
        <v>81.358917000000005</v>
      </c>
      <c r="AH500" s="34">
        <f>SUMPRODUCT(DB_ThemeSOFAcct[[#This Row],[Act01]:[Act12]],$Q$3:$AB$3)/valUnits2</f>
        <v>48.430990000000001</v>
      </c>
    </row>
    <row r="501" spans="2:34" x14ac:dyDescent="0.2">
      <c r="B501" t="s">
        <v>351</v>
      </c>
      <c r="C501" t="s">
        <v>911</v>
      </c>
      <c r="D501" t="s">
        <v>236</v>
      </c>
      <c r="I501">
        <v>791.62</v>
      </c>
      <c r="J501">
        <v>0</v>
      </c>
      <c r="U501">
        <v>791.62</v>
      </c>
      <c r="V501">
        <v>2.72</v>
      </c>
      <c r="AC501">
        <f>SUMPRODUCT(DB_ThemeSOFAcct[[#This Row],[Plan01]:[Plan12]],$E$14:$P$14)/valUnits2</f>
        <v>0.79161999999999999</v>
      </c>
      <c r="AD501">
        <f>SUMPRODUCT(DB_ThemeSOFAcct[[#This Row],[Act01]:[Act12]],$Q$14:$AB$14)/valUnits2</f>
        <v>0.79434000000000005</v>
      </c>
      <c r="AE501">
        <f>DB_ThemeSOFAcct[[#This Row],[Actuals]]-DB_ThemeSOFAcct[[#This Row],[Plan]]</f>
        <v>2.7200000000000557E-3</v>
      </c>
      <c r="AF501">
        <f>IF(DB_ThemeSOFAcct[[#This Row],[Plan]]&lt;&gt;0,DB_ThemeSOFAcct[[#This Row],[Actuals]]/DB_ThemeSOFAcct[[#This Row],[Plan]],1.000011000011)</f>
        <v>1.0034359920163716</v>
      </c>
      <c r="AG501" s="34">
        <f>SUM(DB_ThemeSOFAcct[[#This Row],[Plan01]:[Plan12]])/valUnits2</f>
        <v>0.79161999999999999</v>
      </c>
      <c r="AH501" s="34">
        <f>SUMPRODUCT(DB_ThemeSOFAcct[[#This Row],[Act01]:[Act12]],$Q$3:$AB$3)/valUnits2</f>
        <v>0.79434000000000005</v>
      </c>
    </row>
    <row r="502" spans="2:34" x14ac:dyDescent="0.2">
      <c r="B502" t="s">
        <v>351</v>
      </c>
      <c r="C502" t="s">
        <v>911</v>
      </c>
      <c r="D502" t="s">
        <v>237</v>
      </c>
      <c r="E502">
        <v>0</v>
      </c>
      <c r="F502">
        <v>0</v>
      </c>
      <c r="G502">
        <v>0</v>
      </c>
      <c r="H502">
        <v>335.69</v>
      </c>
      <c r="I502">
        <v>7.92</v>
      </c>
      <c r="J502">
        <v>0</v>
      </c>
      <c r="K502">
        <v>0</v>
      </c>
      <c r="L502">
        <v>0</v>
      </c>
      <c r="M502">
        <v>0</v>
      </c>
      <c r="N502">
        <v>0</v>
      </c>
      <c r="Q502">
        <v>0</v>
      </c>
      <c r="R502">
        <v>0</v>
      </c>
      <c r="S502">
        <v>0</v>
      </c>
      <c r="T502">
        <v>335.69</v>
      </c>
      <c r="U502">
        <v>7.92</v>
      </c>
      <c r="V502">
        <v>0</v>
      </c>
      <c r="W502">
        <v>0</v>
      </c>
      <c r="X502">
        <v>0</v>
      </c>
      <c r="Y502">
        <v>0</v>
      </c>
      <c r="Z502">
        <v>0</v>
      </c>
      <c r="AC502">
        <f>SUMPRODUCT(DB_ThemeSOFAcct[[#This Row],[Plan01]:[Plan12]],$E$14:$P$14)/valUnits2</f>
        <v>0.34361000000000003</v>
      </c>
      <c r="AD502">
        <f>SUMPRODUCT(DB_ThemeSOFAcct[[#This Row],[Act01]:[Act12]],$Q$14:$AB$14)/valUnits2</f>
        <v>0.34361000000000003</v>
      </c>
      <c r="AE502">
        <f>DB_ThemeSOFAcct[[#This Row],[Actuals]]-DB_ThemeSOFAcct[[#This Row],[Plan]]</f>
        <v>0</v>
      </c>
      <c r="AF502">
        <f>IF(DB_ThemeSOFAcct[[#This Row],[Plan]]&lt;&gt;0,DB_ThemeSOFAcct[[#This Row],[Actuals]]/DB_ThemeSOFAcct[[#This Row],[Plan]],1.000011000011)</f>
        <v>1</v>
      </c>
      <c r="AG502" s="34">
        <f>SUM(DB_ThemeSOFAcct[[#This Row],[Plan01]:[Plan12]])/valUnits2</f>
        <v>0.34361000000000003</v>
      </c>
      <c r="AH502" s="34">
        <f>SUMPRODUCT(DB_ThemeSOFAcct[[#This Row],[Act01]:[Act12]],$Q$3:$AB$3)/valUnits2</f>
        <v>0.34361000000000003</v>
      </c>
    </row>
    <row r="503" spans="2:34" x14ac:dyDescent="0.2">
      <c r="B503" t="s">
        <v>351</v>
      </c>
      <c r="C503" t="s">
        <v>911</v>
      </c>
      <c r="D503" t="s">
        <v>141</v>
      </c>
      <c r="E503">
        <v>0</v>
      </c>
      <c r="F503">
        <v>0</v>
      </c>
      <c r="G503">
        <v>0</v>
      </c>
      <c r="H503">
        <v>86.22</v>
      </c>
      <c r="I503">
        <v>107.33</v>
      </c>
      <c r="J503">
        <v>0</v>
      </c>
      <c r="K503">
        <v>0</v>
      </c>
      <c r="L503">
        <v>0</v>
      </c>
      <c r="M503">
        <v>0</v>
      </c>
      <c r="N503">
        <v>0</v>
      </c>
      <c r="Q503">
        <v>0</v>
      </c>
      <c r="R503">
        <v>0</v>
      </c>
      <c r="S503">
        <v>0</v>
      </c>
      <c r="T503">
        <v>86.22</v>
      </c>
      <c r="U503">
        <v>107.33</v>
      </c>
      <c r="V503">
        <v>0</v>
      </c>
      <c r="W503">
        <v>0</v>
      </c>
      <c r="X503">
        <v>0</v>
      </c>
      <c r="Y503">
        <v>0</v>
      </c>
      <c r="Z503">
        <v>0</v>
      </c>
      <c r="AC503">
        <f>SUMPRODUCT(DB_ThemeSOFAcct[[#This Row],[Plan01]:[Plan12]],$E$14:$P$14)/valUnits2</f>
        <v>0.19355</v>
      </c>
      <c r="AD503">
        <f>SUMPRODUCT(DB_ThemeSOFAcct[[#This Row],[Act01]:[Act12]],$Q$14:$AB$14)/valUnits2</f>
        <v>0.19355</v>
      </c>
      <c r="AE503">
        <f>DB_ThemeSOFAcct[[#This Row],[Actuals]]-DB_ThemeSOFAcct[[#This Row],[Plan]]</f>
        <v>0</v>
      </c>
      <c r="AF503">
        <f>IF(DB_ThemeSOFAcct[[#This Row],[Plan]]&lt;&gt;0,DB_ThemeSOFAcct[[#This Row],[Actuals]]/DB_ThemeSOFAcct[[#This Row],[Plan]],1.000011000011)</f>
        <v>1</v>
      </c>
      <c r="AG503" s="34">
        <f>SUM(DB_ThemeSOFAcct[[#This Row],[Plan01]:[Plan12]])/valUnits2</f>
        <v>0.19355</v>
      </c>
      <c r="AH503" s="34">
        <f>SUMPRODUCT(DB_ThemeSOFAcct[[#This Row],[Act01]:[Act12]],$Q$3:$AB$3)/valUnits2</f>
        <v>0.19355</v>
      </c>
    </row>
    <row r="504" spans="2:34" x14ac:dyDescent="0.2">
      <c r="B504" t="s">
        <v>351</v>
      </c>
      <c r="C504" t="s">
        <v>912</v>
      </c>
      <c r="D504" t="s">
        <v>140</v>
      </c>
      <c r="E504">
        <v>411.44</v>
      </c>
      <c r="F504">
        <v>-1922.61</v>
      </c>
      <c r="H504">
        <v>-411.44</v>
      </c>
      <c r="Q504">
        <v>411.44</v>
      </c>
      <c r="R504">
        <v>-1922.61</v>
      </c>
      <c r="T504">
        <v>-411.44</v>
      </c>
      <c r="AC504">
        <f>SUMPRODUCT(DB_ThemeSOFAcct[[#This Row],[Plan01]:[Plan12]],$E$14:$P$14)/valUnits2</f>
        <v>-1.9226099999999999</v>
      </c>
      <c r="AD504">
        <f>SUMPRODUCT(DB_ThemeSOFAcct[[#This Row],[Act01]:[Act12]],$Q$14:$AB$14)/valUnits2</f>
        <v>-1.9226099999999999</v>
      </c>
      <c r="AE504">
        <f>DB_ThemeSOFAcct[[#This Row],[Actuals]]-DB_ThemeSOFAcct[[#This Row],[Plan]]</f>
        <v>0</v>
      </c>
      <c r="AF504">
        <f>IF(DB_ThemeSOFAcct[[#This Row],[Plan]]&lt;&gt;0,DB_ThemeSOFAcct[[#This Row],[Actuals]]/DB_ThemeSOFAcct[[#This Row],[Plan]],1.000011000011)</f>
        <v>1</v>
      </c>
      <c r="AG504" s="34">
        <f>SUM(DB_ThemeSOFAcct[[#This Row],[Plan01]:[Plan12]])/valUnits2</f>
        <v>-1.9226099999999999</v>
      </c>
      <c r="AH504" s="34">
        <f>SUMPRODUCT(DB_ThemeSOFAcct[[#This Row],[Act01]:[Act12]],$Q$3:$AB$3)/valUnits2</f>
        <v>-1.9226099999999999</v>
      </c>
    </row>
    <row r="505" spans="2:34" x14ac:dyDescent="0.2">
      <c r="B505" t="s">
        <v>351</v>
      </c>
      <c r="C505" t="s">
        <v>913</v>
      </c>
      <c r="D505" t="s">
        <v>143</v>
      </c>
      <c r="E505">
        <v>0</v>
      </c>
      <c r="F505">
        <v>0</v>
      </c>
      <c r="G505">
        <v>0</v>
      </c>
      <c r="H505">
        <v>427.72800000000001</v>
      </c>
      <c r="I505">
        <v>103.622</v>
      </c>
      <c r="J505">
        <v>113.72</v>
      </c>
      <c r="K505">
        <v>113.72</v>
      </c>
      <c r="L505">
        <v>113.72</v>
      </c>
      <c r="M505">
        <v>113.72</v>
      </c>
      <c r="N505">
        <v>113.72</v>
      </c>
      <c r="O505">
        <v>113.72</v>
      </c>
      <c r="P505">
        <v>113.72</v>
      </c>
      <c r="Q505">
        <v>0</v>
      </c>
      <c r="R505">
        <v>0</v>
      </c>
      <c r="S505">
        <v>0</v>
      </c>
      <c r="T505">
        <v>415.78999999999996</v>
      </c>
      <c r="U505">
        <v>100.66999999999999</v>
      </c>
      <c r="V505">
        <v>-846.06000000000017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f>SUMPRODUCT(DB_ThemeSOFAcct[[#This Row],[Plan01]:[Plan12]],$E$14:$P$14)/valUnits2</f>
        <v>0.64507000000000003</v>
      </c>
      <c r="AD505">
        <f>SUMPRODUCT(DB_ThemeSOFAcct[[#This Row],[Act01]:[Act12]],$Q$14:$AB$14)/valUnits2</f>
        <v>-0.32960000000000023</v>
      </c>
      <c r="AE505">
        <f>DB_ThemeSOFAcct[[#This Row],[Actuals]]-DB_ThemeSOFAcct[[#This Row],[Plan]]</f>
        <v>-0.97467000000000026</v>
      </c>
      <c r="AF505">
        <f>IF(DB_ThemeSOFAcct[[#This Row],[Plan]]&lt;&gt;0,DB_ThemeSOFAcct[[#This Row],[Actuals]]/DB_ThemeSOFAcct[[#This Row],[Plan]],1.000011000011)</f>
        <v>-0.51095229975041501</v>
      </c>
      <c r="AG505" s="34">
        <f>SUM(DB_ThemeSOFAcct[[#This Row],[Plan01]:[Plan12]])/valUnits2</f>
        <v>1.3273900000000001</v>
      </c>
      <c r="AH505" s="34">
        <f>SUMPRODUCT(DB_ThemeSOFAcct[[#This Row],[Act01]:[Act12]],$Q$3:$AB$3)/valUnits2</f>
        <v>-0.32960000000000023</v>
      </c>
    </row>
    <row r="506" spans="2:34" x14ac:dyDescent="0.2">
      <c r="B506" t="s">
        <v>351</v>
      </c>
      <c r="C506" t="s">
        <v>913</v>
      </c>
      <c r="D506" t="s">
        <v>235</v>
      </c>
      <c r="E506">
        <v>0</v>
      </c>
      <c r="H506">
        <v>24.678000000000001</v>
      </c>
      <c r="I506">
        <v>29.634</v>
      </c>
      <c r="J506">
        <v>0</v>
      </c>
      <c r="K506">
        <v>0</v>
      </c>
      <c r="N506">
        <v>0</v>
      </c>
      <c r="Q506">
        <v>0</v>
      </c>
      <c r="T506">
        <v>41.3</v>
      </c>
      <c r="U506">
        <v>33</v>
      </c>
      <c r="V506">
        <v>-91.05</v>
      </c>
      <c r="W506">
        <v>0</v>
      </c>
      <c r="Z506">
        <v>0</v>
      </c>
      <c r="AC506">
        <f>SUMPRODUCT(DB_ThemeSOFAcct[[#This Row],[Plan01]:[Plan12]],$E$14:$P$14)/valUnits2</f>
        <v>5.4311999999999999E-2</v>
      </c>
      <c r="AD506">
        <f>SUMPRODUCT(DB_ThemeSOFAcct[[#This Row],[Act01]:[Act12]],$Q$14:$AB$14)/valUnits2</f>
        <v>-1.6750000000000001E-2</v>
      </c>
      <c r="AE506">
        <f>DB_ThemeSOFAcct[[#This Row],[Actuals]]-DB_ThemeSOFAcct[[#This Row],[Plan]]</f>
        <v>-7.1062E-2</v>
      </c>
      <c r="AF506">
        <f>IF(DB_ThemeSOFAcct[[#This Row],[Plan]]&lt;&gt;0,DB_ThemeSOFAcct[[#This Row],[Actuals]]/DB_ThemeSOFAcct[[#This Row],[Plan]],1.000011000011)</f>
        <v>-0.30840329945500078</v>
      </c>
      <c r="AG506" s="34">
        <f>SUM(DB_ThemeSOFAcct[[#This Row],[Plan01]:[Plan12]])/valUnits2</f>
        <v>5.4311999999999999E-2</v>
      </c>
      <c r="AH506" s="34">
        <f>SUMPRODUCT(DB_ThemeSOFAcct[[#This Row],[Act01]:[Act12]],$Q$3:$AB$3)/valUnits2</f>
        <v>-1.6750000000000001E-2</v>
      </c>
    </row>
    <row r="507" spans="2:34" x14ac:dyDescent="0.2">
      <c r="B507" t="s">
        <v>351</v>
      </c>
      <c r="C507" t="s">
        <v>913</v>
      </c>
      <c r="D507" t="s">
        <v>140</v>
      </c>
      <c r="E507">
        <v>0</v>
      </c>
      <c r="F507">
        <v>0</v>
      </c>
      <c r="G507">
        <v>0</v>
      </c>
      <c r="H507">
        <v>3181.6010000000001</v>
      </c>
      <c r="I507">
        <v>8488.7520000000004</v>
      </c>
      <c r="J507">
        <v>589.63300000000004</v>
      </c>
      <c r="K507">
        <v>589.63300000000004</v>
      </c>
      <c r="L507">
        <v>589.63300000000004</v>
      </c>
      <c r="M507">
        <v>589.63300000000004</v>
      </c>
      <c r="N507">
        <v>589.63300000000004</v>
      </c>
      <c r="O507">
        <v>589.63300000000004</v>
      </c>
      <c r="P507">
        <v>589.63300000000004</v>
      </c>
      <c r="Q507">
        <v>0</v>
      </c>
      <c r="R507">
        <v>0</v>
      </c>
      <c r="S507">
        <v>0</v>
      </c>
      <c r="T507">
        <v>3163.4599999999996</v>
      </c>
      <c r="U507">
        <v>8519</v>
      </c>
      <c r="V507">
        <v>1275.6399999999999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f>SUMPRODUCT(DB_ThemeSOFAcct[[#This Row],[Plan01]:[Plan12]],$E$14:$P$14)/valUnits2</f>
        <v>12.259986000000001</v>
      </c>
      <c r="AD507">
        <f>SUMPRODUCT(DB_ThemeSOFAcct[[#This Row],[Act01]:[Act12]],$Q$14:$AB$14)/valUnits2</f>
        <v>12.958099999999998</v>
      </c>
      <c r="AE507">
        <f>DB_ThemeSOFAcct[[#This Row],[Actuals]]-DB_ThemeSOFAcct[[#This Row],[Plan]]</f>
        <v>0.69811399999999679</v>
      </c>
      <c r="AF507">
        <f>IF(DB_ThemeSOFAcct[[#This Row],[Plan]]&lt;&gt;0,DB_ThemeSOFAcct[[#This Row],[Actuals]]/DB_ThemeSOFAcct[[#This Row],[Plan]],1.000011000011)</f>
        <v>1.0569424793796662</v>
      </c>
      <c r="AG507" s="34">
        <f>SUM(DB_ThemeSOFAcct[[#This Row],[Plan01]:[Plan12]])/valUnits2</f>
        <v>15.797784</v>
      </c>
      <c r="AH507" s="34">
        <f>SUMPRODUCT(DB_ThemeSOFAcct[[#This Row],[Act01]:[Act12]],$Q$3:$AB$3)/valUnits2</f>
        <v>12.958099999999998</v>
      </c>
    </row>
    <row r="508" spans="2:34" x14ac:dyDescent="0.2">
      <c r="B508" t="s">
        <v>351</v>
      </c>
      <c r="C508" t="s">
        <v>913</v>
      </c>
      <c r="D508" t="s">
        <v>236</v>
      </c>
      <c r="I508">
        <v>30.45</v>
      </c>
      <c r="J508">
        <v>0</v>
      </c>
      <c r="U508">
        <v>30.839999999999996</v>
      </c>
      <c r="V508">
        <v>-30.839999999999996</v>
      </c>
      <c r="AC508">
        <f>SUMPRODUCT(DB_ThemeSOFAcct[[#This Row],[Plan01]:[Plan12]],$E$14:$P$14)/valUnits2</f>
        <v>3.0449999999999998E-2</v>
      </c>
      <c r="AD508">
        <f>SUMPRODUCT(DB_ThemeSOFAcct[[#This Row],[Act01]:[Act12]],$Q$14:$AB$14)/valUnits2</f>
        <v>0</v>
      </c>
      <c r="AE508">
        <f>DB_ThemeSOFAcct[[#This Row],[Actuals]]-DB_ThemeSOFAcct[[#This Row],[Plan]]</f>
        <v>-3.0449999999999998E-2</v>
      </c>
      <c r="AF508">
        <f>IF(DB_ThemeSOFAcct[[#This Row],[Plan]]&lt;&gt;0,DB_ThemeSOFAcct[[#This Row],[Actuals]]/DB_ThemeSOFAcct[[#This Row],[Plan]],1.000011000011)</f>
        <v>0</v>
      </c>
      <c r="AG508" s="34">
        <f>SUM(DB_ThemeSOFAcct[[#This Row],[Plan01]:[Plan12]])/valUnits2</f>
        <v>3.0449999999999998E-2</v>
      </c>
      <c r="AH508" s="34">
        <f>SUMPRODUCT(DB_ThemeSOFAcct[[#This Row],[Act01]:[Act12]],$Q$3:$AB$3)/valUnits2</f>
        <v>0</v>
      </c>
    </row>
    <row r="509" spans="2:34" x14ac:dyDescent="0.2">
      <c r="B509" t="s">
        <v>351</v>
      </c>
      <c r="C509" t="s">
        <v>913</v>
      </c>
      <c r="D509" t="s">
        <v>237</v>
      </c>
      <c r="H509">
        <v>11.001000000000001</v>
      </c>
      <c r="I509">
        <v>0.31</v>
      </c>
      <c r="J509">
        <v>0</v>
      </c>
      <c r="T509">
        <v>10.98</v>
      </c>
      <c r="U509">
        <v>0.31</v>
      </c>
      <c r="V509">
        <v>-123.55</v>
      </c>
      <c r="AC509">
        <f>SUMPRODUCT(DB_ThemeSOFAcct[[#This Row],[Plan01]:[Plan12]],$E$14:$P$14)/valUnits2</f>
        <v>1.1311000000000002E-2</v>
      </c>
      <c r="AD509">
        <f>SUMPRODUCT(DB_ThemeSOFAcct[[#This Row],[Act01]:[Act12]],$Q$14:$AB$14)/valUnits2</f>
        <v>-0.11225999999999998</v>
      </c>
      <c r="AE509">
        <f>DB_ThemeSOFAcct[[#This Row],[Actuals]]-DB_ThemeSOFAcct[[#This Row],[Plan]]</f>
        <v>-0.12357099999999999</v>
      </c>
      <c r="AF509">
        <f>IF(DB_ThemeSOFAcct[[#This Row],[Plan]]&lt;&gt;0,DB_ThemeSOFAcct[[#This Row],[Actuals]]/DB_ThemeSOFAcct[[#This Row],[Plan]],1.000011000011)</f>
        <v>-9.9248519140659504</v>
      </c>
      <c r="AG509" s="34">
        <f>SUM(DB_ThemeSOFAcct[[#This Row],[Plan01]:[Plan12]])/valUnits2</f>
        <v>1.1311000000000002E-2</v>
      </c>
      <c r="AH509" s="34">
        <f>SUMPRODUCT(DB_ThemeSOFAcct[[#This Row],[Act01]:[Act12]],$Q$3:$AB$3)/valUnits2</f>
        <v>-0.11225999999999998</v>
      </c>
    </row>
    <row r="510" spans="2:34" x14ac:dyDescent="0.2">
      <c r="B510" t="s">
        <v>351</v>
      </c>
      <c r="C510" t="s">
        <v>913</v>
      </c>
      <c r="D510" t="s">
        <v>141</v>
      </c>
      <c r="G510">
        <v>11.228999999999999</v>
      </c>
      <c r="H510">
        <v>2.7530000000000001</v>
      </c>
      <c r="I510">
        <v>4.2290000000000001</v>
      </c>
      <c r="J510">
        <v>0</v>
      </c>
      <c r="S510">
        <v>11.45</v>
      </c>
      <c r="T510">
        <v>2.82</v>
      </c>
      <c r="U510">
        <v>4.1999999999999993</v>
      </c>
      <c r="V510">
        <v>-22.970000000000002</v>
      </c>
      <c r="AC510">
        <f>SUMPRODUCT(DB_ThemeSOFAcct[[#This Row],[Plan01]:[Plan12]],$E$14:$P$14)/valUnits2</f>
        <v>1.8210999999999998E-2</v>
      </c>
      <c r="AD510">
        <f>SUMPRODUCT(DB_ThemeSOFAcct[[#This Row],[Act01]:[Act12]],$Q$14:$AB$14)/valUnits2</f>
        <v>-4.5000000000000031E-3</v>
      </c>
      <c r="AE510">
        <f>DB_ThemeSOFAcct[[#This Row],[Actuals]]-DB_ThemeSOFAcct[[#This Row],[Plan]]</f>
        <v>-2.2711000000000002E-2</v>
      </c>
      <c r="AF510">
        <f>IF(DB_ThemeSOFAcct[[#This Row],[Plan]]&lt;&gt;0,DB_ThemeSOFAcct[[#This Row],[Actuals]]/DB_ThemeSOFAcct[[#This Row],[Plan]],1.000011000011)</f>
        <v>-0.24710339904453371</v>
      </c>
      <c r="AG510" s="34">
        <f>SUM(DB_ThemeSOFAcct[[#This Row],[Plan01]:[Plan12]])/valUnits2</f>
        <v>1.8210999999999998E-2</v>
      </c>
      <c r="AH510" s="34">
        <f>SUMPRODUCT(DB_ThemeSOFAcct[[#This Row],[Act01]:[Act12]],$Q$3:$AB$3)/valUnits2</f>
        <v>-4.5000000000000031E-3</v>
      </c>
    </row>
    <row r="511" spans="2:34" x14ac:dyDescent="0.2">
      <c r="B511" t="s">
        <v>351</v>
      </c>
      <c r="C511" t="s">
        <v>915</v>
      </c>
      <c r="D511" t="s">
        <v>143</v>
      </c>
      <c r="E511">
        <v>0</v>
      </c>
      <c r="F511">
        <v>0</v>
      </c>
      <c r="G511">
        <v>0</v>
      </c>
      <c r="H511">
        <v>455.60300000000001</v>
      </c>
      <c r="I511">
        <v>119.75999999999999</v>
      </c>
      <c r="J511">
        <v>46.152000000000001</v>
      </c>
      <c r="K511">
        <v>46.152000000000001</v>
      </c>
      <c r="L511">
        <v>46.152000000000001</v>
      </c>
      <c r="M511">
        <v>46.152000000000001</v>
      </c>
      <c r="N511">
        <v>46.152000000000001</v>
      </c>
      <c r="O511">
        <v>46.152000000000001</v>
      </c>
      <c r="P511">
        <v>46.152000000000001</v>
      </c>
      <c r="Q511">
        <v>0</v>
      </c>
      <c r="R511">
        <v>0</v>
      </c>
      <c r="S511">
        <v>0</v>
      </c>
      <c r="T511">
        <v>431.7</v>
      </c>
      <c r="U511">
        <v>121.14000000000001</v>
      </c>
      <c r="V511">
        <v>123.85000000000001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f>SUMPRODUCT(DB_ThemeSOFAcct[[#This Row],[Plan01]:[Plan12]],$E$14:$P$14)/valUnits2</f>
        <v>0.62151500000000015</v>
      </c>
      <c r="AD511">
        <f>SUMPRODUCT(DB_ThemeSOFAcct[[#This Row],[Act01]:[Act12]],$Q$14:$AB$14)/valUnits2</f>
        <v>0.67669000000000001</v>
      </c>
      <c r="AE511">
        <f>DB_ThemeSOFAcct[[#This Row],[Actuals]]-DB_ThemeSOFAcct[[#This Row],[Plan]]</f>
        <v>5.5174999999999863E-2</v>
      </c>
      <c r="AF511">
        <f>IF(DB_ThemeSOFAcct[[#This Row],[Plan]]&lt;&gt;0,DB_ThemeSOFAcct[[#This Row],[Actuals]]/DB_ThemeSOFAcct[[#This Row],[Plan]],1.000011000011)</f>
        <v>1.088775009452708</v>
      </c>
      <c r="AG511" s="34">
        <f>SUM(DB_ThemeSOFAcct[[#This Row],[Plan01]:[Plan12]])/valUnits2</f>
        <v>0.89842700000000031</v>
      </c>
      <c r="AH511" s="34">
        <f>SUMPRODUCT(DB_ThemeSOFAcct[[#This Row],[Act01]:[Act12]],$Q$3:$AB$3)/valUnits2</f>
        <v>0.67669000000000001</v>
      </c>
    </row>
    <row r="512" spans="2:34" x14ac:dyDescent="0.2">
      <c r="B512" t="s">
        <v>351</v>
      </c>
      <c r="C512" t="s">
        <v>915</v>
      </c>
      <c r="D512" t="s">
        <v>235</v>
      </c>
      <c r="H512">
        <v>25.132999999999999</v>
      </c>
      <c r="I512">
        <v>34.042999999999999</v>
      </c>
      <c r="J512">
        <v>0</v>
      </c>
      <c r="T512">
        <v>41.07</v>
      </c>
      <c r="U512">
        <v>39.72</v>
      </c>
      <c r="V512">
        <v>20.939999999999998</v>
      </c>
      <c r="AC512">
        <f>SUMPRODUCT(DB_ThemeSOFAcct[[#This Row],[Plan01]:[Plan12]],$E$14:$P$14)/valUnits2</f>
        <v>5.9175999999999999E-2</v>
      </c>
      <c r="AD512">
        <f>SUMPRODUCT(DB_ThemeSOFAcct[[#This Row],[Act01]:[Act12]],$Q$14:$AB$14)/valUnits2</f>
        <v>0.10172999999999999</v>
      </c>
      <c r="AE512">
        <f>DB_ThemeSOFAcct[[#This Row],[Actuals]]-DB_ThemeSOFAcct[[#This Row],[Plan]]</f>
        <v>4.2553999999999988E-2</v>
      </c>
      <c r="AF512">
        <f>IF(DB_ThemeSOFAcct[[#This Row],[Plan]]&lt;&gt;0,DB_ThemeSOFAcct[[#This Row],[Actuals]]/DB_ThemeSOFAcct[[#This Row],[Plan]],1.000011000011)</f>
        <v>1.7191090982830874</v>
      </c>
      <c r="AG512" s="34">
        <f>SUM(DB_ThemeSOFAcct[[#This Row],[Plan01]:[Plan12]])/valUnits2</f>
        <v>5.9175999999999999E-2</v>
      </c>
      <c r="AH512" s="34">
        <f>SUMPRODUCT(DB_ThemeSOFAcct[[#This Row],[Act01]:[Act12]],$Q$3:$AB$3)/valUnits2</f>
        <v>0.10172999999999999</v>
      </c>
    </row>
    <row r="513" spans="2:34" x14ac:dyDescent="0.2">
      <c r="B513" t="s">
        <v>351</v>
      </c>
      <c r="C513" t="s">
        <v>915</v>
      </c>
      <c r="D513" t="s">
        <v>142</v>
      </c>
      <c r="I513">
        <v>0</v>
      </c>
      <c r="U513">
        <v>0</v>
      </c>
      <c r="AC513">
        <f>SUMPRODUCT(DB_ThemeSOFAcct[[#This Row],[Plan01]:[Plan12]],$E$14:$P$14)/valUnits2</f>
        <v>0</v>
      </c>
      <c r="AD513">
        <f>SUMPRODUCT(DB_ThemeSOFAcct[[#This Row],[Act01]:[Act12]],$Q$14:$AB$14)/valUnits2</f>
        <v>0</v>
      </c>
      <c r="AE513">
        <f>DB_ThemeSOFAcct[[#This Row],[Actuals]]-DB_ThemeSOFAcct[[#This Row],[Plan]]</f>
        <v>0</v>
      </c>
      <c r="AF513">
        <f>IF(DB_ThemeSOFAcct[[#This Row],[Plan]]&lt;&gt;0,DB_ThemeSOFAcct[[#This Row],[Actuals]]/DB_ThemeSOFAcct[[#This Row],[Plan]],1.000011000011)</f>
        <v>1.0000110000110001</v>
      </c>
      <c r="AG513" s="34">
        <f>SUM(DB_ThemeSOFAcct[[#This Row],[Plan01]:[Plan12]])/valUnits2</f>
        <v>0</v>
      </c>
      <c r="AH513" s="34">
        <f>SUMPRODUCT(DB_ThemeSOFAcct[[#This Row],[Act01]:[Act12]],$Q$3:$AB$3)/valUnits2</f>
        <v>0</v>
      </c>
    </row>
    <row r="514" spans="2:34" x14ac:dyDescent="0.2">
      <c r="B514" t="s">
        <v>351</v>
      </c>
      <c r="C514" t="s">
        <v>915</v>
      </c>
      <c r="D514" t="s">
        <v>140</v>
      </c>
      <c r="E514">
        <v>0</v>
      </c>
      <c r="F514">
        <v>286.40100000000001</v>
      </c>
      <c r="G514">
        <v>324.58999999999997</v>
      </c>
      <c r="H514">
        <v>742.56700000000001</v>
      </c>
      <c r="I514">
        <v>5929.2579999999998</v>
      </c>
      <c r="J514">
        <v>307.67499999999995</v>
      </c>
      <c r="K514">
        <v>307.67499999999995</v>
      </c>
      <c r="L514">
        <v>307.67499999999995</v>
      </c>
      <c r="M514">
        <v>307.67499999999995</v>
      </c>
      <c r="N514">
        <v>307.67499999999995</v>
      </c>
      <c r="O514">
        <v>307.67499999999995</v>
      </c>
      <c r="P514">
        <v>307.67499999999995</v>
      </c>
      <c r="Q514">
        <v>0</v>
      </c>
      <c r="R514">
        <v>293.54000000000002</v>
      </c>
      <c r="S514">
        <v>320.04000000000002</v>
      </c>
      <c r="T514">
        <v>716.27</v>
      </c>
      <c r="U514">
        <v>6054.85</v>
      </c>
      <c r="V514">
        <v>3611.7099999999996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f>SUMPRODUCT(DB_ThemeSOFAcct[[#This Row],[Plan01]:[Plan12]],$E$14:$P$14)/valUnits2</f>
        <v>7.5904910000000001</v>
      </c>
      <c r="AD514">
        <f>SUMPRODUCT(DB_ThemeSOFAcct[[#This Row],[Act01]:[Act12]],$Q$14:$AB$14)/valUnits2</f>
        <v>10.996409999999999</v>
      </c>
      <c r="AE514">
        <f>DB_ThemeSOFAcct[[#This Row],[Actuals]]-DB_ThemeSOFAcct[[#This Row],[Plan]]</f>
        <v>3.405918999999999</v>
      </c>
      <c r="AF514">
        <f>IF(DB_ThemeSOFAcct[[#This Row],[Plan]]&lt;&gt;0,DB_ThemeSOFAcct[[#This Row],[Actuals]]/DB_ThemeSOFAcct[[#This Row],[Plan]],1.000011000011)</f>
        <v>1.4487086540251479</v>
      </c>
      <c r="AG514" s="34">
        <f>SUM(DB_ThemeSOFAcct[[#This Row],[Plan01]:[Plan12]])/valUnits2</f>
        <v>9.4365409999999983</v>
      </c>
      <c r="AH514" s="34">
        <f>SUMPRODUCT(DB_ThemeSOFAcct[[#This Row],[Act01]:[Act12]],$Q$3:$AB$3)/valUnits2</f>
        <v>10.996409999999999</v>
      </c>
    </row>
    <row r="515" spans="2:34" x14ac:dyDescent="0.2">
      <c r="B515" t="s">
        <v>351</v>
      </c>
      <c r="C515" t="s">
        <v>915</v>
      </c>
      <c r="D515" t="s">
        <v>236</v>
      </c>
      <c r="I515">
        <v>35.705999999999996</v>
      </c>
      <c r="J515">
        <v>0</v>
      </c>
      <c r="U515">
        <v>37.320000000000007</v>
      </c>
      <c r="V515">
        <v>0.12000000000000001</v>
      </c>
      <c r="AC515">
        <f>SUMPRODUCT(DB_ThemeSOFAcct[[#This Row],[Plan01]:[Plan12]],$E$14:$P$14)/valUnits2</f>
        <v>3.5705999999999995E-2</v>
      </c>
      <c r="AD515">
        <f>SUMPRODUCT(DB_ThemeSOFAcct[[#This Row],[Act01]:[Act12]],$Q$14:$AB$14)/valUnits2</f>
        <v>3.7440000000000008E-2</v>
      </c>
      <c r="AE515">
        <f>DB_ThemeSOFAcct[[#This Row],[Actuals]]-DB_ThemeSOFAcct[[#This Row],[Plan]]</f>
        <v>1.7340000000000133E-3</v>
      </c>
      <c r="AF515">
        <f>IF(DB_ThemeSOFAcct[[#This Row],[Plan]]&lt;&gt;0,DB_ThemeSOFAcct[[#This Row],[Actuals]]/DB_ThemeSOFAcct[[#This Row],[Plan]],1.000011000011)</f>
        <v>1.0485632666778697</v>
      </c>
      <c r="AG515" s="34">
        <f>SUM(DB_ThemeSOFAcct[[#This Row],[Plan01]:[Plan12]])/valUnits2</f>
        <v>3.5705999999999995E-2</v>
      </c>
      <c r="AH515" s="34">
        <f>SUMPRODUCT(DB_ThemeSOFAcct[[#This Row],[Act01]:[Act12]],$Q$3:$AB$3)/valUnits2</f>
        <v>3.7440000000000008E-2</v>
      </c>
    </row>
    <row r="516" spans="2:34" x14ac:dyDescent="0.2">
      <c r="B516" t="s">
        <v>351</v>
      </c>
      <c r="C516" t="s">
        <v>915</v>
      </c>
      <c r="D516" t="s">
        <v>237</v>
      </c>
      <c r="H516">
        <v>11.242000000000001</v>
      </c>
      <c r="I516">
        <v>0.35599999999999998</v>
      </c>
      <c r="T516">
        <v>10.92</v>
      </c>
      <c r="U516">
        <v>0.37</v>
      </c>
      <c r="AC516">
        <f>SUMPRODUCT(DB_ThemeSOFAcct[[#This Row],[Plan01]:[Plan12]],$E$14:$P$14)/valUnits2</f>
        <v>1.1598000000000001E-2</v>
      </c>
      <c r="AD516">
        <f>SUMPRODUCT(DB_ThemeSOFAcct[[#This Row],[Act01]:[Act12]],$Q$14:$AB$14)/valUnits2</f>
        <v>1.129E-2</v>
      </c>
      <c r="AE516">
        <f>DB_ThemeSOFAcct[[#This Row],[Actuals]]-DB_ThemeSOFAcct[[#This Row],[Plan]]</f>
        <v>-3.0800000000000098E-4</v>
      </c>
      <c r="AF516">
        <f>IF(DB_ThemeSOFAcct[[#This Row],[Plan]]&lt;&gt;0,DB_ThemeSOFAcct[[#This Row],[Actuals]]/DB_ThemeSOFAcct[[#This Row],[Plan]],1.000011000011)</f>
        <v>0.97344369718917045</v>
      </c>
      <c r="AG516" s="34">
        <f>SUM(DB_ThemeSOFAcct[[#This Row],[Plan01]:[Plan12]])/valUnits2</f>
        <v>1.1598000000000001E-2</v>
      </c>
      <c r="AH516" s="34">
        <f>SUMPRODUCT(DB_ThemeSOFAcct[[#This Row],[Act01]:[Act12]],$Q$3:$AB$3)/valUnits2</f>
        <v>1.129E-2</v>
      </c>
    </row>
    <row r="517" spans="2:34" x14ac:dyDescent="0.2">
      <c r="B517" t="s">
        <v>351</v>
      </c>
      <c r="C517" t="s">
        <v>915</v>
      </c>
      <c r="D517" t="s">
        <v>141</v>
      </c>
      <c r="E517">
        <v>0</v>
      </c>
      <c r="F517">
        <v>0</v>
      </c>
      <c r="G517">
        <v>0</v>
      </c>
      <c r="H517">
        <v>2.8660000000000001</v>
      </c>
      <c r="I517">
        <v>4.9180000000000001</v>
      </c>
      <c r="J517">
        <v>19.779</v>
      </c>
      <c r="K517">
        <v>19.779</v>
      </c>
      <c r="L517">
        <v>19.779</v>
      </c>
      <c r="M517">
        <v>19.779</v>
      </c>
      <c r="N517">
        <v>19.779</v>
      </c>
      <c r="O517">
        <v>19.779</v>
      </c>
      <c r="P517">
        <v>19.779</v>
      </c>
      <c r="Q517">
        <v>0</v>
      </c>
      <c r="R517">
        <v>0</v>
      </c>
      <c r="S517">
        <v>0</v>
      </c>
      <c r="T517">
        <v>2.81</v>
      </c>
      <c r="U517">
        <v>5.07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f>SUMPRODUCT(DB_ThemeSOFAcct[[#This Row],[Plan01]:[Plan12]],$E$14:$P$14)/valUnits2</f>
        <v>2.7563000000000001E-2</v>
      </c>
      <c r="AD517">
        <f>SUMPRODUCT(DB_ThemeSOFAcct[[#This Row],[Act01]:[Act12]],$Q$14:$AB$14)/valUnits2</f>
        <v>7.8800000000000016E-3</v>
      </c>
      <c r="AE517">
        <f>DB_ThemeSOFAcct[[#This Row],[Actuals]]-DB_ThemeSOFAcct[[#This Row],[Plan]]</f>
        <v>-1.9682999999999999E-2</v>
      </c>
      <c r="AF517">
        <f>IF(DB_ThemeSOFAcct[[#This Row],[Plan]]&lt;&gt;0,DB_ThemeSOFAcct[[#This Row],[Actuals]]/DB_ThemeSOFAcct[[#This Row],[Plan]],1.000011000011)</f>
        <v>0.28589050538765742</v>
      </c>
      <c r="AG517" s="34">
        <f>SUM(DB_ThemeSOFAcct[[#This Row],[Plan01]:[Plan12]])/valUnits2</f>
        <v>0.14623700000000001</v>
      </c>
      <c r="AH517" s="34">
        <f>SUMPRODUCT(DB_ThemeSOFAcct[[#This Row],[Act01]:[Act12]],$Q$3:$AB$3)/valUnits2</f>
        <v>7.8800000000000016E-3</v>
      </c>
    </row>
    <row r="518" spans="2:34" x14ac:dyDescent="0.2">
      <c r="B518" t="s">
        <v>351</v>
      </c>
      <c r="C518" t="s">
        <v>916</v>
      </c>
      <c r="D518" t="s">
        <v>143</v>
      </c>
      <c r="G518">
        <v>0</v>
      </c>
      <c r="H518">
        <v>0</v>
      </c>
      <c r="I518">
        <v>0</v>
      </c>
      <c r="J518">
        <v>125</v>
      </c>
      <c r="K518">
        <v>41.667000000000002</v>
      </c>
      <c r="L518">
        <v>41.667000000000002</v>
      </c>
      <c r="M518">
        <v>41.667000000000002</v>
      </c>
      <c r="N518">
        <v>41.667000000000002</v>
      </c>
      <c r="O518">
        <v>41.667000000000002</v>
      </c>
      <c r="P518">
        <v>41.667000000000002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f>SUMPRODUCT(DB_ThemeSOFAcct[[#This Row],[Plan01]:[Plan12]],$E$14:$P$14)/valUnits2</f>
        <v>0.125</v>
      </c>
      <c r="AD518">
        <f>SUMPRODUCT(DB_ThemeSOFAcct[[#This Row],[Act01]:[Act12]],$Q$14:$AB$14)/valUnits2</f>
        <v>0</v>
      </c>
      <c r="AE518">
        <f>DB_ThemeSOFAcct[[#This Row],[Actuals]]-DB_ThemeSOFAcct[[#This Row],[Plan]]</f>
        <v>-0.125</v>
      </c>
      <c r="AF518">
        <f>IF(DB_ThemeSOFAcct[[#This Row],[Plan]]&lt;&gt;0,DB_ThemeSOFAcct[[#This Row],[Actuals]]/DB_ThemeSOFAcct[[#This Row],[Plan]],1.000011000011)</f>
        <v>0</v>
      </c>
      <c r="AG518" s="34">
        <f>SUM(DB_ThemeSOFAcct[[#This Row],[Plan01]:[Plan12]])/valUnits2</f>
        <v>0.37500200000000006</v>
      </c>
      <c r="AH518" s="34">
        <f>SUMPRODUCT(DB_ThemeSOFAcct[[#This Row],[Act01]:[Act12]],$Q$3:$AB$3)/valUnits2</f>
        <v>0</v>
      </c>
    </row>
    <row r="519" spans="2:34" x14ac:dyDescent="0.2">
      <c r="B519" t="s">
        <v>351</v>
      </c>
      <c r="C519" t="s">
        <v>917</v>
      </c>
      <c r="D519" t="s">
        <v>143</v>
      </c>
      <c r="E519">
        <v>0</v>
      </c>
      <c r="F519">
        <v>0</v>
      </c>
      <c r="G519">
        <v>0</v>
      </c>
      <c r="H519">
        <v>2562.6109999999999</v>
      </c>
      <c r="I519">
        <v>527.98800000000006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2451.7799999999997</v>
      </c>
      <c r="U519">
        <v>514.54999999999995</v>
      </c>
      <c r="V519">
        <v>-2637.6699999999996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f>SUMPRODUCT(DB_ThemeSOFAcct[[#This Row],[Plan01]:[Plan12]],$E$14:$P$14)/valUnits2</f>
        <v>3.0905990000000001</v>
      </c>
      <c r="AD519">
        <f>SUMPRODUCT(DB_ThemeSOFAcct[[#This Row],[Act01]:[Act12]],$Q$14:$AB$14)/valUnits2</f>
        <v>0.32866000000000029</v>
      </c>
      <c r="AE519">
        <f>DB_ThemeSOFAcct[[#This Row],[Actuals]]-DB_ThemeSOFAcct[[#This Row],[Plan]]</f>
        <v>-2.7619389999999999</v>
      </c>
      <c r="AF519">
        <f>IF(DB_ThemeSOFAcct[[#This Row],[Plan]]&lt;&gt;0,DB_ThemeSOFAcct[[#This Row],[Actuals]]/DB_ThemeSOFAcct[[#This Row],[Plan]],1.000011000011)</f>
        <v>0.10634184505980888</v>
      </c>
      <c r="AG519" s="34">
        <f>SUM(DB_ThemeSOFAcct[[#This Row],[Plan01]:[Plan12]])/valUnits2</f>
        <v>3.0905990000000001</v>
      </c>
      <c r="AH519" s="34">
        <f>SUMPRODUCT(DB_ThemeSOFAcct[[#This Row],[Act01]:[Act12]],$Q$3:$AB$3)/valUnits2</f>
        <v>0.32866000000000029</v>
      </c>
    </row>
    <row r="520" spans="2:34" x14ac:dyDescent="0.2">
      <c r="B520" t="s">
        <v>351</v>
      </c>
      <c r="C520" t="s">
        <v>917</v>
      </c>
      <c r="D520" t="s">
        <v>235</v>
      </c>
      <c r="E520">
        <v>818.38400000000001</v>
      </c>
      <c r="F520">
        <v>-108.315</v>
      </c>
      <c r="G520">
        <v>0</v>
      </c>
      <c r="H520">
        <v>148.29499999999999</v>
      </c>
      <c r="I520">
        <v>151.256</v>
      </c>
      <c r="J520">
        <v>300.38499999999999</v>
      </c>
      <c r="K520">
        <v>1473.4739999999999</v>
      </c>
      <c r="L520">
        <v>1473.4739999999999</v>
      </c>
      <c r="M520">
        <v>1473.4739999999999</v>
      </c>
      <c r="N520">
        <v>1473.4739999999999</v>
      </c>
      <c r="O520">
        <v>1473.4739999999999</v>
      </c>
      <c r="P520">
        <v>1473.4739999999999</v>
      </c>
      <c r="Q520">
        <v>818.4</v>
      </c>
      <c r="R520">
        <v>-108.29</v>
      </c>
      <c r="S520">
        <v>0</v>
      </c>
      <c r="T520">
        <v>244.94</v>
      </c>
      <c r="U520">
        <v>168.71</v>
      </c>
      <c r="V520">
        <v>1316.85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f>SUMPRODUCT(DB_ThemeSOFAcct[[#This Row],[Plan01]:[Plan12]],$E$14:$P$14)/valUnits2</f>
        <v>1.3100049999999999</v>
      </c>
      <c r="AD520">
        <f>SUMPRODUCT(DB_ThemeSOFAcct[[#This Row],[Act01]:[Act12]],$Q$14:$AB$14)/valUnits2</f>
        <v>2.4406099999999995</v>
      </c>
      <c r="AE520">
        <f>DB_ThemeSOFAcct[[#This Row],[Actuals]]-DB_ThemeSOFAcct[[#This Row],[Plan]]</f>
        <v>1.1306049999999996</v>
      </c>
      <c r="AF520">
        <f>IF(DB_ThemeSOFAcct[[#This Row],[Plan]]&lt;&gt;0,DB_ThemeSOFAcct[[#This Row],[Actuals]]/DB_ThemeSOFAcct[[#This Row],[Plan]],1.000011000011)</f>
        <v>1.8630539578093213</v>
      </c>
      <c r="AG520" s="34">
        <f>SUM(DB_ThemeSOFAcct[[#This Row],[Plan01]:[Plan12]])/valUnits2</f>
        <v>10.150849000000001</v>
      </c>
      <c r="AH520" s="34">
        <f>SUMPRODUCT(DB_ThemeSOFAcct[[#This Row],[Act01]:[Act12]],$Q$3:$AB$3)/valUnits2</f>
        <v>2.4406099999999995</v>
      </c>
    </row>
    <row r="521" spans="2:34" x14ac:dyDescent="0.2">
      <c r="B521" t="s">
        <v>351</v>
      </c>
      <c r="C521" t="s">
        <v>917</v>
      </c>
      <c r="D521" t="s">
        <v>140</v>
      </c>
      <c r="E521">
        <v>137.845</v>
      </c>
      <c r="F521">
        <v>139.86000000000001</v>
      </c>
      <c r="G521">
        <v>141.02600000000001</v>
      </c>
      <c r="H521">
        <v>140.72499999999999</v>
      </c>
      <c r="I521">
        <v>141.267</v>
      </c>
      <c r="J521">
        <v>0</v>
      </c>
      <c r="Q521">
        <v>137.84</v>
      </c>
      <c r="R521">
        <v>139.86000000000001</v>
      </c>
      <c r="S521">
        <v>140.11000000000001</v>
      </c>
      <c r="T521">
        <v>141.51</v>
      </c>
      <c r="U521">
        <v>141.94</v>
      </c>
      <c r="V521">
        <v>141.84</v>
      </c>
      <c r="AC521">
        <f>SUMPRODUCT(DB_ThemeSOFAcct[[#This Row],[Plan01]:[Plan12]],$E$14:$P$14)/valUnits2</f>
        <v>0.70072299999999998</v>
      </c>
      <c r="AD521">
        <f>SUMPRODUCT(DB_ThemeSOFAcct[[#This Row],[Act01]:[Act12]],$Q$14:$AB$14)/valUnits2</f>
        <v>0.84310000000000007</v>
      </c>
      <c r="AE521">
        <f>DB_ThemeSOFAcct[[#This Row],[Actuals]]-DB_ThemeSOFAcct[[#This Row],[Plan]]</f>
        <v>0.14237700000000009</v>
      </c>
      <c r="AF521">
        <f>IF(DB_ThemeSOFAcct[[#This Row],[Plan]]&lt;&gt;0,DB_ThemeSOFAcct[[#This Row],[Actuals]]/DB_ThemeSOFAcct[[#This Row],[Plan]],1.000011000011)</f>
        <v>1.2031858523268111</v>
      </c>
      <c r="AG521" s="34">
        <f>SUM(DB_ThemeSOFAcct[[#This Row],[Plan01]:[Plan12]])/valUnits2</f>
        <v>0.70072299999999998</v>
      </c>
      <c r="AH521" s="34">
        <f>SUMPRODUCT(DB_ThemeSOFAcct[[#This Row],[Act01]:[Act12]],$Q$3:$AB$3)/valUnits2</f>
        <v>0.84310000000000007</v>
      </c>
    </row>
    <row r="522" spans="2:34" x14ac:dyDescent="0.2">
      <c r="B522" t="s">
        <v>351</v>
      </c>
      <c r="C522" t="s">
        <v>917</v>
      </c>
      <c r="D522" t="s">
        <v>236</v>
      </c>
      <c r="E522">
        <v>295.113</v>
      </c>
      <c r="F522">
        <v>51.811999999999998</v>
      </c>
      <c r="I522">
        <v>158.267</v>
      </c>
      <c r="J522">
        <v>0</v>
      </c>
      <c r="Q522">
        <v>295.12</v>
      </c>
      <c r="R522">
        <v>51.65</v>
      </c>
      <c r="U522">
        <v>158.32999999999998</v>
      </c>
      <c r="V522">
        <v>2332.0000000000005</v>
      </c>
      <c r="AC522">
        <f>SUMPRODUCT(DB_ThemeSOFAcct[[#This Row],[Plan01]:[Plan12]],$E$14:$P$14)/valUnits2</f>
        <v>0.50519199999999997</v>
      </c>
      <c r="AD522">
        <f>SUMPRODUCT(DB_ThemeSOFAcct[[#This Row],[Act01]:[Act12]],$Q$14:$AB$14)/valUnits2</f>
        <v>2.8371000000000004</v>
      </c>
      <c r="AE522">
        <f>DB_ThemeSOFAcct[[#This Row],[Actuals]]-DB_ThemeSOFAcct[[#This Row],[Plan]]</f>
        <v>2.3319080000000003</v>
      </c>
      <c r="AF522">
        <f>IF(DB_ThemeSOFAcct[[#This Row],[Plan]]&lt;&gt;0,DB_ThemeSOFAcct[[#This Row],[Actuals]]/DB_ThemeSOFAcct[[#This Row],[Plan]],1.000011000011)</f>
        <v>5.6158846537554048</v>
      </c>
      <c r="AG522" s="34">
        <f>SUM(DB_ThemeSOFAcct[[#This Row],[Plan01]:[Plan12]])/valUnits2</f>
        <v>0.50519199999999997</v>
      </c>
      <c r="AH522" s="34">
        <f>SUMPRODUCT(DB_ThemeSOFAcct[[#This Row],[Act01]:[Act12]],$Q$3:$AB$3)/valUnits2</f>
        <v>2.8371000000000004</v>
      </c>
    </row>
    <row r="523" spans="2:34" x14ac:dyDescent="0.2">
      <c r="B523" t="s">
        <v>351</v>
      </c>
      <c r="C523" t="s">
        <v>917</v>
      </c>
      <c r="D523" t="s">
        <v>237</v>
      </c>
      <c r="G523">
        <v>56.948999999999998</v>
      </c>
      <c r="H523">
        <v>66.402000000000001</v>
      </c>
      <c r="I523">
        <v>1.583</v>
      </c>
      <c r="J523">
        <v>124.598</v>
      </c>
      <c r="K523">
        <v>160.46700000000001</v>
      </c>
      <c r="L523">
        <v>160.46700000000001</v>
      </c>
      <c r="M523">
        <v>160.46700000000001</v>
      </c>
      <c r="N523">
        <v>160.46700000000001</v>
      </c>
      <c r="O523">
        <v>160.46700000000001</v>
      </c>
      <c r="P523">
        <v>160.46700000000001</v>
      </c>
      <c r="S523">
        <v>56.58</v>
      </c>
      <c r="T523">
        <v>66.03</v>
      </c>
      <c r="U523">
        <v>1.59</v>
      </c>
      <c r="V523">
        <v>-27.06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f>SUMPRODUCT(DB_ThemeSOFAcct[[#This Row],[Plan01]:[Plan12]],$E$14:$P$14)/valUnits2</f>
        <v>0.24953199999999998</v>
      </c>
      <c r="AD523">
        <f>SUMPRODUCT(DB_ThemeSOFAcct[[#This Row],[Act01]:[Act12]],$Q$14:$AB$14)/valUnits2</f>
        <v>9.7140000000000004E-2</v>
      </c>
      <c r="AE523">
        <f>DB_ThemeSOFAcct[[#This Row],[Actuals]]-DB_ThemeSOFAcct[[#This Row],[Plan]]</f>
        <v>-0.15239199999999997</v>
      </c>
      <c r="AF523">
        <f>IF(DB_ThemeSOFAcct[[#This Row],[Plan]]&lt;&gt;0,DB_ThemeSOFAcct[[#This Row],[Actuals]]/DB_ThemeSOFAcct[[#This Row],[Plan]],1.000011000011)</f>
        <v>0.38928874853726181</v>
      </c>
      <c r="AG523" s="34">
        <f>SUM(DB_ThemeSOFAcct[[#This Row],[Plan01]:[Plan12]])/valUnits2</f>
        <v>1.212334</v>
      </c>
      <c r="AH523" s="34">
        <f>SUMPRODUCT(DB_ThemeSOFAcct[[#This Row],[Act01]:[Act12]],$Q$3:$AB$3)/valUnits2</f>
        <v>9.7140000000000004E-2</v>
      </c>
    </row>
    <row r="524" spans="2:34" x14ac:dyDescent="0.2">
      <c r="B524" t="s">
        <v>351</v>
      </c>
      <c r="C524" t="s">
        <v>917</v>
      </c>
      <c r="D524" t="s">
        <v>141</v>
      </c>
      <c r="G524">
        <v>6.923</v>
      </c>
      <c r="H524">
        <v>17.059000000000001</v>
      </c>
      <c r="I524">
        <v>21.428999999999998</v>
      </c>
      <c r="J524">
        <v>0</v>
      </c>
      <c r="S524">
        <v>6.87</v>
      </c>
      <c r="T524">
        <v>16.97</v>
      </c>
      <c r="U524">
        <v>21.490000000000002</v>
      </c>
      <c r="V524">
        <v>232.28</v>
      </c>
      <c r="AC524">
        <f>SUMPRODUCT(DB_ThemeSOFAcct[[#This Row],[Plan01]:[Plan12]],$E$14:$P$14)/valUnits2</f>
        <v>4.5411E-2</v>
      </c>
      <c r="AD524">
        <f>SUMPRODUCT(DB_ThemeSOFAcct[[#This Row],[Act01]:[Act12]],$Q$14:$AB$14)/valUnits2</f>
        <v>0.27761000000000002</v>
      </c>
      <c r="AE524">
        <f>DB_ThemeSOFAcct[[#This Row],[Actuals]]-DB_ThemeSOFAcct[[#This Row],[Plan]]</f>
        <v>0.23219900000000002</v>
      </c>
      <c r="AF524">
        <f>IF(DB_ThemeSOFAcct[[#This Row],[Plan]]&lt;&gt;0,DB_ThemeSOFAcct[[#This Row],[Actuals]]/DB_ThemeSOFAcct[[#This Row],[Plan]],1.000011000011)</f>
        <v>6.1132765189051117</v>
      </c>
      <c r="AG524" s="34">
        <f>SUM(DB_ThemeSOFAcct[[#This Row],[Plan01]:[Plan12]])/valUnits2</f>
        <v>4.5411E-2</v>
      </c>
      <c r="AH524" s="34">
        <f>SUMPRODUCT(DB_ThemeSOFAcct[[#This Row],[Act01]:[Act12]],$Q$3:$AB$3)/valUnits2</f>
        <v>0.27761000000000002</v>
      </c>
    </row>
    <row r="525" spans="2:34" x14ac:dyDescent="0.2">
      <c r="B525" t="s">
        <v>351</v>
      </c>
      <c r="C525" t="s">
        <v>918</v>
      </c>
      <c r="D525" t="s">
        <v>143</v>
      </c>
      <c r="E525">
        <v>0</v>
      </c>
      <c r="H525">
        <v>883.52300000000002</v>
      </c>
      <c r="I525">
        <v>214.20699999999999</v>
      </c>
      <c r="J525">
        <v>1070.1990000000001</v>
      </c>
      <c r="K525">
        <v>1070.1990000000001</v>
      </c>
      <c r="L525">
        <v>1070.1990000000001</v>
      </c>
      <c r="M525">
        <v>1070.1990000000001</v>
      </c>
      <c r="N525">
        <v>1070.1990000000001</v>
      </c>
      <c r="O525">
        <v>1070.1990000000001</v>
      </c>
      <c r="P525">
        <v>1070.1990000000001</v>
      </c>
      <c r="Q525">
        <v>0</v>
      </c>
      <c r="T525">
        <v>858.87999999999988</v>
      </c>
      <c r="U525">
        <v>208.12000000000003</v>
      </c>
      <c r="V525">
        <v>212.76000000000002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f>SUMPRODUCT(DB_ThemeSOFAcct[[#This Row],[Plan01]:[Plan12]],$E$14:$P$14)/valUnits2</f>
        <v>2.167929</v>
      </c>
      <c r="AD525">
        <f>SUMPRODUCT(DB_ThemeSOFAcct[[#This Row],[Act01]:[Act12]],$Q$14:$AB$14)/valUnits2</f>
        <v>1.27976</v>
      </c>
      <c r="AE525">
        <f>DB_ThemeSOFAcct[[#This Row],[Actuals]]-DB_ThemeSOFAcct[[#This Row],[Plan]]</f>
        <v>-0.88816899999999999</v>
      </c>
      <c r="AF525">
        <f>IF(DB_ThemeSOFAcct[[#This Row],[Plan]]&lt;&gt;0,DB_ThemeSOFAcct[[#This Row],[Actuals]]/DB_ThemeSOFAcct[[#This Row],[Plan]],1.000011000011)</f>
        <v>0.59031453520848698</v>
      </c>
      <c r="AG525" s="34">
        <f>SUM(DB_ThemeSOFAcct[[#This Row],[Plan01]:[Plan12]])/valUnits2</f>
        <v>8.5891230000000007</v>
      </c>
      <c r="AH525" s="34">
        <f>SUMPRODUCT(DB_ThemeSOFAcct[[#This Row],[Act01]:[Act12]],$Q$3:$AB$3)/valUnits2</f>
        <v>1.27976</v>
      </c>
    </row>
    <row r="526" spans="2:34" x14ac:dyDescent="0.2">
      <c r="B526" t="s">
        <v>351</v>
      </c>
      <c r="C526" t="s">
        <v>918</v>
      </c>
      <c r="D526" t="s">
        <v>235</v>
      </c>
      <c r="E526">
        <v>0</v>
      </c>
      <c r="H526">
        <v>50.963999999999999</v>
      </c>
      <c r="I526">
        <v>61.255000000000003</v>
      </c>
      <c r="J526">
        <v>384.60300000000001</v>
      </c>
      <c r="K526">
        <v>384.60300000000001</v>
      </c>
      <c r="L526">
        <v>384.60300000000001</v>
      </c>
      <c r="M526">
        <v>384.60300000000001</v>
      </c>
      <c r="N526">
        <v>384.60300000000001</v>
      </c>
      <c r="O526">
        <v>384.60300000000001</v>
      </c>
      <c r="P526">
        <v>384.60300000000001</v>
      </c>
      <c r="Q526">
        <v>0</v>
      </c>
      <c r="T526">
        <v>85.28</v>
      </c>
      <c r="U526">
        <v>68.22</v>
      </c>
      <c r="V526">
        <v>35.880000000000003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f>SUMPRODUCT(DB_ThemeSOFAcct[[#This Row],[Plan01]:[Plan12]],$E$14:$P$14)/valUnits2</f>
        <v>0.49682199999999999</v>
      </c>
      <c r="AD526">
        <f>SUMPRODUCT(DB_ThemeSOFAcct[[#This Row],[Act01]:[Act12]],$Q$14:$AB$14)/valUnits2</f>
        <v>0.18937999999999999</v>
      </c>
      <c r="AE526">
        <f>DB_ThemeSOFAcct[[#This Row],[Actuals]]-DB_ThemeSOFAcct[[#This Row],[Plan]]</f>
        <v>-0.30744199999999999</v>
      </c>
      <c r="AF526">
        <f>IF(DB_ThemeSOFAcct[[#This Row],[Plan]]&lt;&gt;0,DB_ThemeSOFAcct[[#This Row],[Actuals]]/DB_ThemeSOFAcct[[#This Row],[Plan]],1.000011000011)</f>
        <v>0.38118279786321863</v>
      </c>
      <c r="AG526" s="34">
        <f>SUM(DB_ThemeSOFAcct[[#This Row],[Plan01]:[Plan12]])/valUnits2</f>
        <v>2.80444</v>
      </c>
      <c r="AH526" s="34">
        <f>SUMPRODUCT(DB_ThemeSOFAcct[[#This Row],[Act01]:[Act12]],$Q$3:$AB$3)/valUnits2</f>
        <v>0.18937999999999999</v>
      </c>
    </row>
    <row r="527" spans="2:34" x14ac:dyDescent="0.2">
      <c r="B527" t="s">
        <v>351</v>
      </c>
      <c r="C527" t="s">
        <v>918</v>
      </c>
      <c r="D527" t="s">
        <v>236</v>
      </c>
      <c r="E527">
        <v>0</v>
      </c>
      <c r="H527">
        <v>0</v>
      </c>
      <c r="I527">
        <v>64.501999999999995</v>
      </c>
      <c r="J527">
        <v>242.46600000000001</v>
      </c>
      <c r="K527">
        <v>242.46600000000001</v>
      </c>
      <c r="L527">
        <v>242.46600000000001</v>
      </c>
      <c r="M527">
        <v>242.46600000000001</v>
      </c>
      <c r="N527">
        <v>242.46600000000001</v>
      </c>
      <c r="O527">
        <v>242.46600000000001</v>
      </c>
      <c r="P527">
        <v>242.46600000000001</v>
      </c>
      <c r="Q527">
        <v>0</v>
      </c>
      <c r="T527">
        <v>0</v>
      </c>
      <c r="U527">
        <v>64.11</v>
      </c>
      <c r="V527">
        <v>0.22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f>SUMPRODUCT(DB_ThemeSOFAcct[[#This Row],[Plan01]:[Plan12]],$E$14:$P$14)/valUnits2</f>
        <v>0.30696800000000002</v>
      </c>
      <c r="AD527">
        <f>SUMPRODUCT(DB_ThemeSOFAcct[[#This Row],[Act01]:[Act12]],$Q$14:$AB$14)/valUnits2</f>
        <v>6.4329999999999998E-2</v>
      </c>
      <c r="AE527">
        <f>DB_ThemeSOFAcct[[#This Row],[Actuals]]-DB_ThemeSOFAcct[[#This Row],[Plan]]</f>
        <v>-0.24263800000000002</v>
      </c>
      <c r="AF527">
        <f>IF(DB_ThemeSOFAcct[[#This Row],[Plan]]&lt;&gt;0,DB_ThemeSOFAcct[[#This Row],[Actuals]]/DB_ThemeSOFAcct[[#This Row],[Plan]],1.000011000011)</f>
        <v>0.20956581793541995</v>
      </c>
      <c r="AG527" s="34">
        <f>SUM(DB_ThemeSOFAcct[[#This Row],[Plan01]:[Plan12]])/valUnits2</f>
        <v>1.7617639999999997</v>
      </c>
      <c r="AH527" s="34">
        <f>SUMPRODUCT(DB_ThemeSOFAcct[[#This Row],[Act01]:[Act12]],$Q$3:$AB$3)/valUnits2</f>
        <v>6.4329999999999998E-2</v>
      </c>
    </row>
    <row r="528" spans="2:34" x14ac:dyDescent="0.2">
      <c r="B528" t="s">
        <v>351</v>
      </c>
      <c r="C528" t="s">
        <v>918</v>
      </c>
      <c r="D528" t="s">
        <v>237</v>
      </c>
      <c r="H528">
        <v>22.886000000000003</v>
      </c>
      <c r="I528">
        <v>0.64200000000000002</v>
      </c>
      <c r="T528">
        <v>22.689999999999998</v>
      </c>
      <c r="U528">
        <v>0.64</v>
      </c>
      <c r="AC528">
        <f>SUMPRODUCT(DB_ThemeSOFAcct[[#This Row],[Plan01]:[Plan12]],$E$14:$P$14)/valUnits2</f>
        <v>2.3528000000000004E-2</v>
      </c>
      <c r="AD528">
        <f>SUMPRODUCT(DB_ThemeSOFAcct[[#This Row],[Act01]:[Act12]],$Q$14:$AB$14)/valUnits2</f>
        <v>2.3329999999999997E-2</v>
      </c>
      <c r="AE528">
        <f>DB_ThemeSOFAcct[[#This Row],[Actuals]]-DB_ThemeSOFAcct[[#This Row],[Plan]]</f>
        <v>-1.980000000000072E-4</v>
      </c>
      <c r="AF528">
        <f>IF(DB_ThemeSOFAcct[[#This Row],[Plan]]&lt;&gt;0,DB_ThemeSOFAcct[[#This Row],[Actuals]]/DB_ThemeSOFAcct[[#This Row],[Plan]],1.000011000011)</f>
        <v>0.99158449506970392</v>
      </c>
      <c r="AG528" s="34">
        <f>SUM(DB_ThemeSOFAcct[[#This Row],[Plan01]:[Plan12]])/valUnits2</f>
        <v>2.3528000000000004E-2</v>
      </c>
      <c r="AH528" s="34">
        <f>SUMPRODUCT(DB_ThemeSOFAcct[[#This Row],[Act01]:[Act12]],$Q$3:$AB$3)/valUnits2</f>
        <v>2.3329999999999997E-2</v>
      </c>
    </row>
    <row r="529" spans="2:34" x14ac:dyDescent="0.2">
      <c r="B529" t="s">
        <v>351</v>
      </c>
      <c r="C529" t="s">
        <v>918</v>
      </c>
      <c r="D529" t="s">
        <v>141</v>
      </c>
      <c r="H529">
        <v>5.7060000000000004</v>
      </c>
      <c r="I529">
        <v>8.7509999999999994</v>
      </c>
      <c r="T529">
        <v>5.82</v>
      </c>
      <c r="U529">
        <v>8.69</v>
      </c>
      <c r="AC529">
        <f>SUMPRODUCT(DB_ThemeSOFAcct[[#This Row],[Plan01]:[Plan12]],$E$14:$P$14)/valUnits2</f>
        <v>1.4457000000000001E-2</v>
      </c>
      <c r="AD529">
        <f>SUMPRODUCT(DB_ThemeSOFAcct[[#This Row],[Act01]:[Act12]],$Q$14:$AB$14)/valUnits2</f>
        <v>1.451E-2</v>
      </c>
      <c r="AE529">
        <f>DB_ThemeSOFAcct[[#This Row],[Actuals]]-DB_ThemeSOFAcct[[#This Row],[Plan]]</f>
        <v>5.2999999999999228E-5</v>
      </c>
      <c r="AF529">
        <f>IF(DB_ThemeSOFAcct[[#This Row],[Plan]]&lt;&gt;0,DB_ThemeSOFAcct[[#This Row],[Actuals]]/DB_ThemeSOFAcct[[#This Row],[Plan]],1.000011000011)</f>
        <v>1.0036660441308709</v>
      </c>
      <c r="AG529" s="34">
        <f>SUM(DB_ThemeSOFAcct[[#This Row],[Plan01]:[Plan12]])/valUnits2</f>
        <v>1.4457000000000001E-2</v>
      </c>
      <c r="AH529" s="34">
        <f>SUMPRODUCT(DB_ThemeSOFAcct[[#This Row],[Act01]:[Act12]],$Q$3:$AB$3)/valUnits2</f>
        <v>1.451E-2</v>
      </c>
    </row>
    <row r="530" spans="2:34" x14ac:dyDescent="0.2">
      <c r="B530" t="s">
        <v>351</v>
      </c>
      <c r="C530" t="s">
        <v>356</v>
      </c>
      <c r="D530" t="s">
        <v>143</v>
      </c>
      <c r="E530">
        <v>0</v>
      </c>
      <c r="F530">
        <v>0</v>
      </c>
      <c r="G530">
        <v>0</v>
      </c>
      <c r="H530">
        <v>384.53199999999998</v>
      </c>
      <c r="I530">
        <v>157.34399999999999</v>
      </c>
      <c r="J530">
        <v>592.78200000000004</v>
      </c>
      <c r="Q530">
        <v>0</v>
      </c>
      <c r="R530">
        <v>0</v>
      </c>
      <c r="S530">
        <v>0</v>
      </c>
      <c r="T530">
        <v>375.38</v>
      </c>
      <c r="U530">
        <v>162.80000000000001</v>
      </c>
      <c r="V530">
        <v>167.18</v>
      </c>
      <c r="AC530">
        <f>SUMPRODUCT(DB_ThemeSOFAcct[[#This Row],[Plan01]:[Plan12]],$E$14:$P$14)/valUnits2</f>
        <v>1.1346579999999999</v>
      </c>
      <c r="AD530">
        <f>SUMPRODUCT(DB_ThemeSOFAcct[[#This Row],[Act01]:[Act12]],$Q$14:$AB$14)/valUnits2</f>
        <v>0.7053600000000001</v>
      </c>
      <c r="AE530">
        <f>DB_ThemeSOFAcct[[#This Row],[Actuals]]-DB_ThemeSOFAcct[[#This Row],[Plan]]</f>
        <v>-0.42929799999999985</v>
      </c>
      <c r="AF530">
        <f>IF(DB_ThemeSOFAcct[[#This Row],[Plan]]&lt;&gt;0,DB_ThemeSOFAcct[[#This Row],[Actuals]]/DB_ThemeSOFAcct[[#This Row],[Plan]],1.000011000011)</f>
        <v>0.62164987159126373</v>
      </c>
      <c r="AG530" s="34">
        <f>SUM(DB_ThemeSOFAcct[[#This Row],[Plan01]:[Plan12]])/valUnits2</f>
        <v>1.1346579999999999</v>
      </c>
      <c r="AH530" s="34">
        <f>SUMPRODUCT(DB_ThemeSOFAcct[[#This Row],[Act01]:[Act12]],$Q$3:$AB$3)/valUnits2</f>
        <v>0.7053600000000001</v>
      </c>
    </row>
    <row r="531" spans="2:34" x14ac:dyDescent="0.2">
      <c r="B531" t="s">
        <v>351</v>
      </c>
      <c r="C531" t="s">
        <v>356</v>
      </c>
      <c r="D531" t="s">
        <v>235</v>
      </c>
      <c r="H531">
        <v>19.567</v>
      </c>
      <c r="I531">
        <v>36.183</v>
      </c>
      <c r="J531">
        <v>0</v>
      </c>
      <c r="T531">
        <v>33.46</v>
      </c>
      <c r="U531">
        <v>43.45</v>
      </c>
      <c r="V531">
        <v>782.38000000000011</v>
      </c>
      <c r="AC531">
        <f>SUMPRODUCT(DB_ThemeSOFAcct[[#This Row],[Plan01]:[Plan12]],$E$14:$P$14)/valUnits2</f>
        <v>5.5750000000000001E-2</v>
      </c>
      <c r="AD531">
        <f>SUMPRODUCT(DB_ThemeSOFAcct[[#This Row],[Act01]:[Act12]],$Q$14:$AB$14)/valUnits2</f>
        <v>0.85929000000000011</v>
      </c>
      <c r="AE531">
        <f>DB_ThemeSOFAcct[[#This Row],[Actuals]]-DB_ThemeSOFAcct[[#This Row],[Plan]]</f>
        <v>0.80354000000000014</v>
      </c>
      <c r="AF531">
        <f>IF(DB_ThemeSOFAcct[[#This Row],[Plan]]&lt;&gt;0,DB_ThemeSOFAcct[[#This Row],[Actuals]]/DB_ThemeSOFAcct[[#This Row],[Plan]],1.000011000011)</f>
        <v>15.413273542600898</v>
      </c>
      <c r="AG531" s="34">
        <f>SUM(DB_ThemeSOFAcct[[#This Row],[Plan01]:[Plan12]])/valUnits2</f>
        <v>5.5750000000000001E-2</v>
      </c>
      <c r="AH531" s="34">
        <f>SUMPRODUCT(DB_ThemeSOFAcct[[#This Row],[Act01]:[Act12]],$Q$3:$AB$3)/valUnits2</f>
        <v>0.85929000000000011</v>
      </c>
    </row>
    <row r="532" spans="2:34" x14ac:dyDescent="0.2">
      <c r="B532" t="s">
        <v>351</v>
      </c>
      <c r="C532" t="s">
        <v>356</v>
      </c>
      <c r="D532" t="s">
        <v>140</v>
      </c>
      <c r="H532">
        <v>626.80800000000011</v>
      </c>
      <c r="I532">
        <v>677.69599999999991</v>
      </c>
      <c r="J532">
        <v>2647.4559999999997</v>
      </c>
      <c r="T532">
        <v>623.24</v>
      </c>
      <c r="U532">
        <v>697.24</v>
      </c>
      <c r="V532">
        <v>548.66</v>
      </c>
      <c r="AC532">
        <f>SUMPRODUCT(DB_ThemeSOFAcct[[#This Row],[Plan01]:[Plan12]],$E$14:$P$14)/valUnits2</f>
        <v>3.9519599999999997</v>
      </c>
      <c r="AD532">
        <f>SUMPRODUCT(DB_ThemeSOFAcct[[#This Row],[Act01]:[Act12]],$Q$14:$AB$14)/valUnits2</f>
        <v>1.8691399999999998</v>
      </c>
      <c r="AE532">
        <f>DB_ThemeSOFAcct[[#This Row],[Actuals]]-DB_ThemeSOFAcct[[#This Row],[Plan]]</f>
        <v>-2.0828199999999999</v>
      </c>
      <c r="AF532">
        <f>IF(DB_ThemeSOFAcct[[#This Row],[Plan]]&lt;&gt;0,DB_ThemeSOFAcct[[#This Row],[Actuals]]/DB_ThemeSOFAcct[[#This Row],[Plan]],1.000011000011)</f>
        <v>0.47296531341410336</v>
      </c>
      <c r="AG532" s="34">
        <f>SUM(DB_ThemeSOFAcct[[#This Row],[Plan01]:[Plan12]])/valUnits2</f>
        <v>3.9519599999999997</v>
      </c>
      <c r="AH532" s="34">
        <f>SUMPRODUCT(DB_ThemeSOFAcct[[#This Row],[Act01]:[Act12]],$Q$3:$AB$3)/valUnits2</f>
        <v>1.8691399999999998</v>
      </c>
    </row>
    <row r="533" spans="2:34" x14ac:dyDescent="0.2">
      <c r="B533" t="s">
        <v>351</v>
      </c>
      <c r="C533" t="s">
        <v>356</v>
      </c>
      <c r="D533" t="s">
        <v>236</v>
      </c>
      <c r="I533">
        <v>35.090000000000003</v>
      </c>
      <c r="J533">
        <v>0</v>
      </c>
      <c r="U533">
        <v>37.599999999999994</v>
      </c>
      <c r="V533">
        <v>1210.1100000000001</v>
      </c>
      <c r="AC533">
        <f>SUMPRODUCT(DB_ThemeSOFAcct[[#This Row],[Plan01]:[Plan12]],$E$14:$P$14)/valUnits2</f>
        <v>3.5090000000000003E-2</v>
      </c>
      <c r="AD533">
        <f>SUMPRODUCT(DB_ThemeSOFAcct[[#This Row],[Act01]:[Act12]],$Q$14:$AB$14)/valUnits2</f>
        <v>1.2477100000000001</v>
      </c>
      <c r="AE533">
        <f>DB_ThemeSOFAcct[[#This Row],[Actuals]]-DB_ThemeSOFAcct[[#This Row],[Plan]]</f>
        <v>1.21262</v>
      </c>
      <c r="AF533">
        <f>IF(DB_ThemeSOFAcct[[#This Row],[Plan]]&lt;&gt;0,DB_ThemeSOFAcct[[#This Row],[Actuals]]/DB_ThemeSOFAcct[[#This Row],[Plan]],1.000011000011)</f>
        <v>35.557423767455113</v>
      </c>
      <c r="AG533" s="34">
        <f>SUM(DB_ThemeSOFAcct[[#This Row],[Plan01]:[Plan12]])/valUnits2</f>
        <v>3.5090000000000003E-2</v>
      </c>
      <c r="AH533" s="34">
        <f>SUMPRODUCT(DB_ThemeSOFAcct[[#This Row],[Act01]:[Act12]],$Q$3:$AB$3)/valUnits2</f>
        <v>1.2477100000000001</v>
      </c>
    </row>
    <row r="534" spans="2:34" x14ac:dyDescent="0.2">
      <c r="B534" t="s">
        <v>351</v>
      </c>
      <c r="C534" t="s">
        <v>356</v>
      </c>
      <c r="D534" t="s">
        <v>237</v>
      </c>
      <c r="H534">
        <v>9.097999999999999</v>
      </c>
      <c r="I534">
        <v>0.35899999999999999</v>
      </c>
      <c r="J534">
        <v>0</v>
      </c>
      <c r="T534">
        <v>9.02</v>
      </c>
      <c r="U534">
        <v>0.38</v>
      </c>
      <c r="V534">
        <v>53.23</v>
      </c>
      <c r="AC534">
        <f>SUMPRODUCT(DB_ThemeSOFAcct[[#This Row],[Plan01]:[Plan12]],$E$14:$P$14)/valUnits2</f>
        <v>9.4569999999999984E-3</v>
      </c>
      <c r="AD534">
        <f>SUMPRODUCT(DB_ThemeSOFAcct[[#This Row],[Act01]:[Act12]],$Q$14:$AB$14)/valUnits2</f>
        <v>6.2629999999999991E-2</v>
      </c>
      <c r="AE534">
        <f>DB_ThemeSOFAcct[[#This Row],[Actuals]]-DB_ThemeSOFAcct[[#This Row],[Plan]]</f>
        <v>5.3172999999999991E-2</v>
      </c>
      <c r="AF534">
        <f>IF(DB_ThemeSOFAcct[[#This Row],[Plan]]&lt;&gt;0,DB_ThemeSOFAcct[[#This Row],[Actuals]]/DB_ThemeSOFAcct[[#This Row],[Plan]],1.000011000011)</f>
        <v>6.6226075922597021</v>
      </c>
      <c r="AG534" s="34">
        <f>SUM(DB_ThemeSOFAcct[[#This Row],[Plan01]:[Plan12]])/valUnits2</f>
        <v>9.4569999999999984E-3</v>
      </c>
      <c r="AH534" s="34">
        <f>SUMPRODUCT(DB_ThemeSOFAcct[[#This Row],[Act01]:[Act12]],$Q$3:$AB$3)/valUnits2</f>
        <v>6.2629999999999991E-2</v>
      </c>
    </row>
    <row r="535" spans="2:34" x14ac:dyDescent="0.2">
      <c r="B535" t="s">
        <v>351</v>
      </c>
      <c r="C535" t="s">
        <v>356</v>
      </c>
      <c r="D535" t="s">
        <v>141</v>
      </c>
      <c r="H535">
        <v>292.91399999999999</v>
      </c>
      <c r="I535">
        <v>6.5149999999999997</v>
      </c>
      <c r="J535">
        <v>0</v>
      </c>
      <c r="T535">
        <v>294.62</v>
      </c>
      <c r="U535">
        <v>6.84</v>
      </c>
      <c r="V535">
        <v>195.49</v>
      </c>
      <c r="AC535">
        <f>SUMPRODUCT(DB_ThemeSOFAcct[[#This Row],[Plan01]:[Plan12]],$E$14:$P$14)/valUnits2</f>
        <v>0.299429</v>
      </c>
      <c r="AD535">
        <f>SUMPRODUCT(DB_ThemeSOFAcct[[#This Row],[Act01]:[Act12]],$Q$14:$AB$14)/valUnits2</f>
        <v>0.49695</v>
      </c>
      <c r="AE535">
        <f>DB_ThemeSOFAcct[[#This Row],[Actuals]]-DB_ThemeSOFAcct[[#This Row],[Plan]]</f>
        <v>0.197521</v>
      </c>
      <c r="AF535">
        <f>IF(DB_ThemeSOFAcct[[#This Row],[Plan]]&lt;&gt;0,DB_ThemeSOFAcct[[#This Row],[Actuals]]/DB_ThemeSOFAcct[[#This Row],[Plan]],1.000011000011)</f>
        <v>1.6596588840760247</v>
      </c>
      <c r="AG535" s="34">
        <f>SUM(DB_ThemeSOFAcct[[#This Row],[Plan01]:[Plan12]])/valUnits2</f>
        <v>0.299429</v>
      </c>
      <c r="AH535" s="34">
        <f>SUMPRODUCT(DB_ThemeSOFAcct[[#This Row],[Act01]:[Act12]],$Q$3:$AB$3)/valUnits2</f>
        <v>0.49695</v>
      </c>
    </row>
    <row r="536" spans="2:34" x14ac:dyDescent="0.2">
      <c r="B536" t="s">
        <v>351</v>
      </c>
      <c r="C536" t="s">
        <v>919</v>
      </c>
      <c r="D536" t="s">
        <v>143</v>
      </c>
      <c r="E536">
        <v>0</v>
      </c>
      <c r="F536">
        <v>0</v>
      </c>
      <c r="G536">
        <v>0</v>
      </c>
      <c r="H536">
        <v>20596.589</v>
      </c>
      <c r="I536">
        <v>5217.4470000000001</v>
      </c>
      <c r="J536">
        <v>4467.18</v>
      </c>
      <c r="K536">
        <v>4467.18</v>
      </c>
      <c r="L536">
        <v>4467.18</v>
      </c>
      <c r="M536">
        <v>4467.18</v>
      </c>
      <c r="N536">
        <v>4467.18</v>
      </c>
      <c r="O536">
        <v>4467.18</v>
      </c>
      <c r="P536">
        <v>4467.18</v>
      </c>
      <c r="Q536">
        <v>0</v>
      </c>
      <c r="R536">
        <v>0</v>
      </c>
      <c r="S536">
        <v>0</v>
      </c>
      <c r="T536">
        <v>20019.02</v>
      </c>
      <c r="U536">
        <v>5069.0900000000011</v>
      </c>
      <c r="V536">
        <v>5181.9800000000014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f>SUMPRODUCT(DB_ThemeSOFAcct[[#This Row],[Plan01]:[Plan12]],$E$14:$P$14)/valUnits2</f>
        <v>30.281216000000001</v>
      </c>
      <c r="AD536">
        <f>SUMPRODUCT(DB_ThemeSOFAcct[[#This Row],[Act01]:[Act12]],$Q$14:$AB$14)/valUnits2</f>
        <v>30.270090000000003</v>
      </c>
      <c r="AE536">
        <f>DB_ThemeSOFAcct[[#This Row],[Actuals]]-DB_ThemeSOFAcct[[#This Row],[Plan]]</f>
        <v>-1.1125999999997305E-2</v>
      </c>
      <c r="AF536">
        <f>IF(DB_ThemeSOFAcct[[#This Row],[Plan]]&lt;&gt;0,DB_ThemeSOFAcct[[#This Row],[Actuals]]/DB_ThemeSOFAcct[[#This Row],[Plan]],1.000011000011)</f>
        <v>0.99963257750283219</v>
      </c>
      <c r="AG536" s="34">
        <f>SUM(DB_ThemeSOFAcct[[#This Row],[Plan01]:[Plan12]])/valUnits2</f>
        <v>57.084296000000002</v>
      </c>
      <c r="AH536" s="34">
        <f>SUMPRODUCT(DB_ThemeSOFAcct[[#This Row],[Act01]:[Act12]],$Q$3:$AB$3)/valUnits2</f>
        <v>30.270090000000003</v>
      </c>
    </row>
    <row r="537" spans="2:34" x14ac:dyDescent="0.2">
      <c r="B537" t="s">
        <v>351</v>
      </c>
      <c r="C537" t="s">
        <v>919</v>
      </c>
      <c r="D537" t="s">
        <v>235</v>
      </c>
      <c r="E537">
        <v>0</v>
      </c>
      <c r="F537">
        <v>0</v>
      </c>
      <c r="G537">
        <v>0</v>
      </c>
      <c r="H537">
        <v>1164.229</v>
      </c>
      <c r="I537">
        <v>1492.2639999999999</v>
      </c>
      <c r="J537">
        <v>942.44100000000003</v>
      </c>
      <c r="K537">
        <v>3206.4780000000001</v>
      </c>
      <c r="L537">
        <v>942.44100000000003</v>
      </c>
      <c r="M537">
        <v>942.44100000000003</v>
      </c>
      <c r="N537">
        <v>3206.4780000000001</v>
      </c>
      <c r="O537">
        <v>942.44100000000003</v>
      </c>
      <c r="P537">
        <v>942.44100000000003</v>
      </c>
      <c r="Q537">
        <v>0</v>
      </c>
      <c r="R537">
        <v>0</v>
      </c>
      <c r="S537">
        <v>0</v>
      </c>
      <c r="T537">
        <v>1958.9699999999998</v>
      </c>
      <c r="U537">
        <v>1661.9399999999998</v>
      </c>
      <c r="V537">
        <v>874.10000000000014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f>SUMPRODUCT(DB_ThemeSOFAcct[[#This Row],[Plan01]:[Plan12]],$E$14:$P$14)/valUnits2</f>
        <v>3.5989340000000003</v>
      </c>
      <c r="AD537">
        <f>SUMPRODUCT(DB_ThemeSOFAcct[[#This Row],[Act01]:[Act12]],$Q$14:$AB$14)/valUnits2</f>
        <v>4.4950100000000006</v>
      </c>
      <c r="AE537">
        <f>DB_ThemeSOFAcct[[#This Row],[Actuals]]-DB_ThemeSOFAcct[[#This Row],[Plan]]</f>
        <v>0.89607600000000032</v>
      </c>
      <c r="AF537">
        <f>IF(DB_ThemeSOFAcct[[#This Row],[Plan]]&lt;&gt;0,DB_ThemeSOFAcct[[#This Row],[Actuals]]/DB_ThemeSOFAcct[[#This Row],[Plan]],1.000011000011)</f>
        <v>1.2489837268480055</v>
      </c>
      <c r="AG537" s="34">
        <f>SUM(DB_ThemeSOFAcct[[#This Row],[Plan01]:[Plan12]])/valUnits2</f>
        <v>13.781654000000001</v>
      </c>
      <c r="AH537" s="34">
        <f>SUMPRODUCT(DB_ThemeSOFAcct[[#This Row],[Act01]:[Act12]],$Q$3:$AB$3)/valUnits2</f>
        <v>4.4950100000000006</v>
      </c>
    </row>
    <row r="538" spans="2:34" x14ac:dyDescent="0.2">
      <c r="B538" t="s">
        <v>351</v>
      </c>
      <c r="C538" t="s">
        <v>919</v>
      </c>
      <c r="D538" t="s">
        <v>142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f>SUMPRODUCT(DB_ThemeSOFAcct[[#This Row],[Plan01]:[Plan12]],$E$14:$P$14)/valUnits2</f>
        <v>0</v>
      </c>
      <c r="AD538">
        <f>SUMPRODUCT(DB_ThemeSOFAcct[[#This Row],[Act01]:[Act12]],$Q$14:$AB$14)/valUnits2</f>
        <v>0</v>
      </c>
      <c r="AE538">
        <f>DB_ThemeSOFAcct[[#This Row],[Actuals]]-DB_ThemeSOFAcct[[#This Row],[Plan]]</f>
        <v>0</v>
      </c>
      <c r="AF538">
        <f>IF(DB_ThemeSOFAcct[[#This Row],[Plan]]&lt;&gt;0,DB_ThemeSOFAcct[[#This Row],[Actuals]]/DB_ThemeSOFAcct[[#This Row],[Plan]],1.000011000011)</f>
        <v>1.0000110000110001</v>
      </c>
      <c r="AG538" s="34">
        <f>SUM(DB_ThemeSOFAcct[[#This Row],[Plan01]:[Plan12]])/valUnits2</f>
        <v>0</v>
      </c>
      <c r="AH538" s="34">
        <f>SUMPRODUCT(DB_ThemeSOFAcct[[#This Row],[Act01]:[Act12]],$Q$3:$AB$3)/valUnits2</f>
        <v>0</v>
      </c>
    </row>
    <row r="539" spans="2:34" x14ac:dyDescent="0.2">
      <c r="B539" t="s">
        <v>351</v>
      </c>
      <c r="C539" t="s">
        <v>919</v>
      </c>
      <c r="D539" t="s">
        <v>140</v>
      </c>
      <c r="E539">
        <v>597.99300000000005</v>
      </c>
      <c r="F539">
        <v>6056.0060000000003</v>
      </c>
      <c r="G539">
        <v>7339.7320000000009</v>
      </c>
      <c r="H539">
        <v>14843.055999999999</v>
      </c>
      <c r="I539">
        <v>3776.2599999999998</v>
      </c>
      <c r="J539">
        <v>6314.7689999999993</v>
      </c>
      <c r="K539">
        <v>6314.7689999999993</v>
      </c>
      <c r="L539">
        <v>6314.7689999999984</v>
      </c>
      <c r="M539">
        <v>6314.7689999999993</v>
      </c>
      <c r="N539">
        <v>6314.7689999999984</v>
      </c>
      <c r="O539">
        <v>6314.7689999999993</v>
      </c>
      <c r="P539">
        <v>6314.7689999999993</v>
      </c>
      <c r="Q539">
        <v>589.15</v>
      </c>
      <c r="R539">
        <v>6182.14</v>
      </c>
      <c r="S539">
        <v>7405.1600000000008</v>
      </c>
      <c r="T539">
        <v>14863.160000000003</v>
      </c>
      <c r="U539">
        <v>3731.55</v>
      </c>
      <c r="V539">
        <v>4632.7599999999993</v>
      </c>
      <c r="W539">
        <v>1895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f>SUMPRODUCT(DB_ThemeSOFAcct[[#This Row],[Plan01]:[Plan12]],$E$14:$P$14)/valUnits2</f>
        <v>38.927816</v>
      </c>
      <c r="AD539">
        <f>SUMPRODUCT(DB_ThemeSOFAcct[[#This Row],[Act01]:[Act12]],$Q$14:$AB$14)/valUnits2</f>
        <v>37.403920000000006</v>
      </c>
      <c r="AE539">
        <f>DB_ThemeSOFAcct[[#This Row],[Actuals]]-DB_ThemeSOFAcct[[#This Row],[Plan]]</f>
        <v>-1.5238959999999935</v>
      </c>
      <c r="AF539">
        <f>IF(DB_ThemeSOFAcct[[#This Row],[Plan]]&lt;&gt;0,DB_ThemeSOFAcct[[#This Row],[Actuals]]/DB_ThemeSOFAcct[[#This Row],[Plan]],1.000011000011)</f>
        <v>0.96085328804472381</v>
      </c>
      <c r="AG539" s="34">
        <f>SUM(DB_ThemeSOFAcct[[#This Row],[Plan01]:[Plan12]])/valUnits2</f>
        <v>76.816429999999997</v>
      </c>
      <c r="AH539" s="34">
        <f>SUMPRODUCT(DB_ThemeSOFAcct[[#This Row],[Act01]:[Act12]],$Q$3:$AB$3)/valUnits2</f>
        <v>37.403920000000006</v>
      </c>
    </row>
    <row r="540" spans="2:34" x14ac:dyDescent="0.2">
      <c r="B540" t="s">
        <v>351</v>
      </c>
      <c r="C540" t="s">
        <v>919</v>
      </c>
      <c r="D540" t="s">
        <v>236</v>
      </c>
      <c r="G540">
        <v>6.2370000000000001</v>
      </c>
      <c r="I540">
        <v>1570.8920000000001</v>
      </c>
      <c r="J540">
        <v>0</v>
      </c>
      <c r="S540">
        <v>6.36</v>
      </c>
      <c r="U540">
        <v>1561.33</v>
      </c>
      <c r="V540">
        <v>5.3599999999999994</v>
      </c>
      <c r="AC540">
        <f>SUMPRODUCT(DB_ThemeSOFAcct[[#This Row],[Plan01]:[Plan12]],$E$14:$P$14)/valUnits2</f>
        <v>1.5771290000000002</v>
      </c>
      <c r="AD540">
        <f>SUMPRODUCT(DB_ThemeSOFAcct[[#This Row],[Act01]:[Act12]],$Q$14:$AB$14)/valUnits2</f>
        <v>1.5730499999999998</v>
      </c>
      <c r="AE540">
        <f>DB_ThemeSOFAcct[[#This Row],[Actuals]]-DB_ThemeSOFAcct[[#This Row],[Plan]]</f>
        <v>-4.0790000000003879E-3</v>
      </c>
      <c r="AF540">
        <f>IF(DB_ThemeSOFAcct[[#This Row],[Plan]]&lt;&gt;0,DB_ThemeSOFAcct[[#This Row],[Actuals]]/DB_ThemeSOFAcct[[#This Row],[Plan]],1.000011000011)</f>
        <v>0.99741365481200306</v>
      </c>
      <c r="AG540" s="34">
        <f>SUM(DB_ThemeSOFAcct[[#This Row],[Plan01]:[Plan12]])/valUnits2</f>
        <v>1.5771290000000002</v>
      </c>
      <c r="AH540" s="34">
        <f>SUMPRODUCT(DB_ThemeSOFAcct[[#This Row],[Act01]:[Act12]],$Q$3:$AB$3)/valUnits2</f>
        <v>1.5730499999999998</v>
      </c>
    </row>
    <row r="541" spans="2:34" x14ac:dyDescent="0.2">
      <c r="B541" t="s">
        <v>351</v>
      </c>
      <c r="C541" t="s">
        <v>919</v>
      </c>
      <c r="D541" t="s">
        <v>237</v>
      </c>
      <c r="H541">
        <v>525.97</v>
      </c>
      <c r="I541">
        <v>15.646000000000001</v>
      </c>
      <c r="T541">
        <v>522.39</v>
      </c>
      <c r="U541">
        <v>15.62</v>
      </c>
      <c r="AC541">
        <f>SUMPRODUCT(DB_ThemeSOFAcct[[#This Row],[Plan01]:[Plan12]],$E$14:$P$14)/valUnits2</f>
        <v>0.54161599999999999</v>
      </c>
      <c r="AD541">
        <f>SUMPRODUCT(DB_ThemeSOFAcct[[#This Row],[Act01]:[Act12]],$Q$14:$AB$14)/valUnits2</f>
        <v>0.53800999999999999</v>
      </c>
      <c r="AE541">
        <f>DB_ThemeSOFAcct[[#This Row],[Actuals]]-DB_ThemeSOFAcct[[#This Row],[Plan]]</f>
        <v>-3.6059999999999981E-3</v>
      </c>
      <c r="AF541">
        <f>IF(DB_ThemeSOFAcct[[#This Row],[Plan]]&lt;&gt;0,DB_ThemeSOFAcct[[#This Row],[Actuals]]/DB_ThemeSOFAcct[[#This Row],[Plan]],1.000011000011)</f>
        <v>0.99334214646539243</v>
      </c>
      <c r="AG541" s="34">
        <f>SUM(DB_ThemeSOFAcct[[#This Row],[Plan01]:[Plan12]])/valUnits2</f>
        <v>0.54161599999999999</v>
      </c>
      <c r="AH541" s="34">
        <f>SUMPRODUCT(DB_ThemeSOFAcct[[#This Row],[Act01]:[Act12]],$Q$3:$AB$3)/valUnits2</f>
        <v>0.53800999999999999</v>
      </c>
    </row>
    <row r="542" spans="2:34" x14ac:dyDescent="0.2">
      <c r="B542" t="s">
        <v>351</v>
      </c>
      <c r="C542" t="s">
        <v>919</v>
      </c>
      <c r="D542" t="s">
        <v>141</v>
      </c>
      <c r="G542">
        <v>17.602</v>
      </c>
      <c r="H542">
        <v>450.76900000000001</v>
      </c>
      <c r="I542">
        <v>633.72800000000007</v>
      </c>
      <c r="J542">
        <v>0</v>
      </c>
      <c r="S542">
        <v>17.95</v>
      </c>
      <c r="T542">
        <v>450.27000000000004</v>
      </c>
      <c r="U542">
        <v>630.69000000000005</v>
      </c>
      <c r="V542">
        <v>69.45</v>
      </c>
      <c r="AC542">
        <f>SUMPRODUCT(DB_ThemeSOFAcct[[#This Row],[Plan01]:[Plan12]],$E$14:$P$14)/valUnits2</f>
        <v>1.1020990000000002</v>
      </c>
      <c r="AD542">
        <f>SUMPRODUCT(DB_ThemeSOFAcct[[#This Row],[Act01]:[Act12]],$Q$14:$AB$14)/valUnits2</f>
        <v>1.1683600000000001</v>
      </c>
      <c r="AE542">
        <f>DB_ThemeSOFAcct[[#This Row],[Actuals]]-DB_ThemeSOFAcct[[#This Row],[Plan]]</f>
        <v>6.6260999999999903E-2</v>
      </c>
      <c r="AF542">
        <f>IF(DB_ThemeSOFAcct[[#This Row],[Plan]]&lt;&gt;0,DB_ThemeSOFAcct[[#This Row],[Actuals]]/DB_ThemeSOFAcct[[#This Row],[Plan]],1.000011000011)</f>
        <v>1.0601225479743652</v>
      </c>
      <c r="AG542" s="34">
        <f>SUM(DB_ThemeSOFAcct[[#This Row],[Plan01]:[Plan12]])/valUnits2</f>
        <v>1.1020990000000002</v>
      </c>
      <c r="AH542" s="34">
        <f>SUMPRODUCT(DB_ThemeSOFAcct[[#This Row],[Act01]:[Act12]],$Q$3:$AB$3)/valUnits2</f>
        <v>1.1683600000000001</v>
      </c>
    </row>
    <row r="543" spans="2:34" x14ac:dyDescent="0.2">
      <c r="B543" t="s">
        <v>351</v>
      </c>
      <c r="C543" t="s">
        <v>920</v>
      </c>
      <c r="D543" t="s">
        <v>143</v>
      </c>
      <c r="J543">
        <v>0</v>
      </c>
      <c r="V543">
        <v>3550.5499999999997</v>
      </c>
      <c r="AC543">
        <f>SUMPRODUCT(DB_ThemeSOFAcct[[#This Row],[Plan01]:[Plan12]],$E$14:$P$14)/valUnits2</f>
        <v>0</v>
      </c>
      <c r="AD543">
        <f>SUMPRODUCT(DB_ThemeSOFAcct[[#This Row],[Act01]:[Act12]],$Q$14:$AB$14)/valUnits2</f>
        <v>3.5505499999999999</v>
      </c>
      <c r="AE543">
        <f>DB_ThemeSOFAcct[[#This Row],[Actuals]]-DB_ThemeSOFAcct[[#This Row],[Plan]]</f>
        <v>3.5505499999999999</v>
      </c>
      <c r="AF543">
        <f>IF(DB_ThemeSOFAcct[[#This Row],[Plan]]&lt;&gt;0,DB_ThemeSOFAcct[[#This Row],[Actuals]]/DB_ThemeSOFAcct[[#This Row],[Plan]],1.000011000011)</f>
        <v>1.0000110000110001</v>
      </c>
      <c r="AG543" s="34">
        <f>SUM(DB_ThemeSOFAcct[[#This Row],[Plan01]:[Plan12]])/valUnits2</f>
        <v>0</v>
      </c>
      <c r="AH543" s="34">
        <f>SUMPRODUCT(DB_ThemeSOFAcct[[#This Row],[Act01]:[Act12]],$Q$3:$AB$3)/valUnits2</f>
        <v>3.5505499999999999</v>
      </c>
    </row>
    <row r="544" spans="2:34" x14ac:dyDescent="0.2">
      <c r="B544" t="s">
        <v>351</v>
      </c>
      <c r="C544" t="s">
        <v>920</v>
      </c>
      <c r="D544" t="s">
        <v>235</v>
      </c>
      <c r="J544">
        <v>0</v>
      </c>
      <c r="V544">
        <v>156.59</v>
      </c>
      <c r="AC544">
        <f>SUMPRODUCT(DB_ThemeSOFAcct[[#This Row],[Plan01]:[Plan12]],$E$14:$P$14)/valUnits2</f>
        <v>0</v>
      </c>
      <c r="AD544">
        <f>SUMPRODUCT(DB_ThemeSOFAcct[[#This Row],[Act01]:[Act12]],$Q$14:$AB$14)/valUnits2</f>
        <v>0.15659000000000001</v>
      </c>
      <c r="AE544">
        <f>DB_ThemeSOFAcct[[#This Row],[Actuals]]-DB_ThemeSOFAcct[[#This Row],[Plan]]</f>
        <v>0.15659000000000001</v>
      </c>
      <c r="AF544">
        <f>IF(DB_ThemeSOFAcct[[#This Row],[Plan]]&lt;&gt;0,DB_ThemeSOFAcct[[#This Row],[Actuals]]/DB_ThemeSOFAcct[[#This Row],[Plan]],1.000011000011)</f>
        <v>1.0000110000110001</v>
      </c>
      <c r="AG544" s="34">
        <f>SUM(DB_ThemeSOFAcct[[#This Row],[Plan01]:[Plan12]])/valUnits2</f>
        <v>0</v>
      </c>
      <c r="AH544" s="34">
        <f>SUMPRODUCT(DB_ThemeSOFAcct[[#This Row],[Act01]:[Act12]],$Q$3:$AB$3)/valUnits2</f>
        <v>0.15659000000000001</v>
      </c>
    </row>
    <row r="545" spans="2:34" x14ac:dyDescent="0.2">
      <c r="B545" t="s">
        <v>351</v>
      </c>
      <c r="C545" t="s">
        <v>920</v>
      </c>
      <c r="D545" t="s">
        <v>236</v>
      </c>
      <c r="J545">
        <v>0</v>
      </c>
      <c r="V545">
        <v>155.81</v>
      </c>
      <c r="AC545">
        <f>SUMPRODUCT(DB_ThemeSOFAcct[[#This Row],[Plan01]:[Plan12]],$E$14:$P$14)/valUnits2</f>
        <v>0</v>
      </c>
      <c r="AD545">
        <f>SUMPRODUCT(DB_ThemeSOFAcct[[#This Row],[Act01]:[Act12]],$Q$14:$AB$14)/valUnits2</f>
        <v>0.15581</v>
      </c>
      <c r="AE545">
        <f>DB_ThemeSOFAcct[[#This Row],[Actuals]]-DB_ThemeSOFAcct[[#This Row],[Plan]]</f>
        <v>0.15581</v>
      </c>
      <c r="AF545">
        <f>IF(DB_ThemeSOFAcct[[#This Row],[Plan]]&lt;&gt;0,DB_ThemeSOFAcct[[#This Row],[Actuals]]/DB_ThemeSOFAcct[[#This Row],[Plan]],1.000011000011)</f>
        <v>1.0000110000110001</v>
      </c>
      <c r="AG545" s="34">
        <f>SUM(DB_ThemeSOFAcct[[#This Row],[Plan01]:[Plan12]])/valUnits2</f>
        <v>0</v>
      </c>
      <c r="AH545" s="34">
        <f>SUMPRODUCT(DB_ThemeSOFAcct[[#This Row],[Act01]:[Act12]],$Q$3:$AB$3)/valUnits2</f>
        <v>0.15581</v>
      </c>
    </row>
    <row r="546" spans="2:34" x14ac:dyDescent="0.2">
      <c r="B546" t="s">
        <v>351</v>
      </c>
      <c r="C546" t="s">
        <v>920</v>
      </c>
      <c r="D546" t="s">
        <v>237</v>
      </c>
      <c r="J546">
        <v>0</v>
      </c>
      <c r="V546">
        <v>27.06</v>
      </c>
      <c r="AC546">
        <f>SUMPRODUCT(DB_ThemeSOFAcct[[#This Row],[Plan01]:[Plan12]],$E$14:$P$14)/valUnits2</f>
        <v>0</v>
      </c>
      <c r="AD546">
        <f>SUMPRODUCT(DB_ThemeSOFAcct[[#This Row],[Act01]:[Act12]],$Q$14:$AB$14)/valUnits2</f>
        <v>2.7059999999999997E-2</v>
      </c>
      <c r="AE546">
        <f>DB_ThemeSOFAcct[[#This Row],[Actuals]]-DB_ThemeSOFAcct[[#This Row],[Plan]]</f>
        <v>2.7059999999999997E-2</v>
      </c>
      <c r="AF546">
        <f>IF(DB_ThemeSOFAcct[[#This Row],[Plan]]&lt;&gt;0,DB_ThemeSOFAcct[[#This Row],[Actuals]]/DB_ThemeSOFAcct[[#This Row],[Plan]],1.000011000011)</f>
        <v>1.0000110000110001</v>
      </c>
      <c r="AG546" s="34">
        <f>SUM(DB_ThemeSOFAcct[[#This Row],[Plan01]:[Plan12]])/valUnits2</f>
        <v>0</v>
      </c>
      <c r="AH546" s="34">
        <f>SUMPRODUCT(DB_ThemeSOFAcct[[#This Row],[Act01]:[Act12]],$Q$3:$AB$3)/valUnits2</f>
        <v>2.7059999999999997E-2</v>
      </c>
    </row>
    <row r="547" spans="2:34" x14ac:dyDescent="0.2">
      <c r="B547" t="s">
        <v>351</v>
      </c>
      <c r="C547" t="s">
        <v>920</v>
      </c>
      <c r="D547" t="s">
        <v>141</v>
      </c>
      <c r="J547">
        <v>0</v>
      </c>
      <c r="V547">
        <v>8.2200000000000006</v>
      </c>
      <c r="AC547">
        <f>SUMPRODUCT(DB_ThemeSOFAcct[[#This Row],[Plan01]:[Plan12]],$E$14:$P$14)/valUnits2</f>
        <v>0</v>
      </c>
      <c r="AD547">
        <f>SUMPRODUCT(DB_ThemeSOFAcct[[#This Row],[Act01]:[Act12]],$Q$14:$AB$14)/valUnits2</f>
        <v>8.2199999999999999E-3</v>
      </c>
      <c r="AE547">
        <f>DB_ThemeSOFAcct[[#This Row],[Actuals]]-DB_ThemeSOFAcct[[#This Row],[Plan]]</f>
        <v>8.2199999999999999E-3</v>
      </c>
      <c r="AF547">
        <f>IF(DB_ThemeSOFAcct[[#This Row],[Plan]]&lt;&gt;0,DB_ThemeSOFAcct[[#This Row],[Actuals]]/DB_ThemeSOFAcct[[#This Row],[Plan]],1.000011000011)</f>
        <v>1.0000110000110001</v>
      </c>
      <c r="AG547" s="34">
        <f>SUM(DB_ThemeSOFAcct[[#This Row],[Plan01]:[Plan12]])/valUnits2</f>
        <v>0</v>
      </c>
      <c r="AH547" s="34">
        <f>SUMPRODUCT(DB_ThemeSOFAcct[[#This Row],[Act01]:[Act12]],$Q$3:$AB$3)/valUnits2</f>
        <v>8.2199999999999999E-3</v>
      </c>
    </row>
    <row r="548" spans="2:34" x14ac:dyDescent="0.2">
      <c r="B548" t="s">
        <v>351</v>
      </c>
      <c r="C548" t="s">
        <v>921</v>
      </c>
      <c r="D548" t="s">
        <v>143</v>
      </c>
      <c r="E548">
        <v>56.327999999999989</v>
      </c>
      <c r="F548">
        <v>205.67099999999999</v>
      </c>
      <c r="G548">
        <v>63.671999999999997</v>
      </c>
      <c r="H548">
        <v>177.45400000000001</v>
      </c>
      <c r="I548">
        <v>15.365</v>
      </c>
      <c r="Q548">
        <v>54.519999999999996</v>
      </c>
      <c r="R548">
        <v>202.04999999999995</v>
      </c>
      <c r="S548">
        <v>62.290000000000006</v>
      </c>
      <c r="T548">
        <v>192.57</v>
      </c>
      <c r="U548">
        <v>15.24</v>
      </c>
      <c r="AC548">
        <f>SUMPRODUCT(DB_ThemeSOFAcct[[#This Row],[Plan01]:[Plan12]],$E$14:$P$14)/valUnits2</f>
        <v>0.5184899999999999</v>
      </c>
      <c r="AD548">
        <f>SUMPRODUCT(DB_ThemeSOFAcct[[#This Row],[Act01]:[Act12]],$Q$14:$AB$14)/valUnits2</f>
        <v>0.52666999999999997</v>
      </c>
      <c r="AE548">
        <f>DB_ThemeSOFAcct[[#This Row],[Actuals]]-DB_ThemeSOFAcct[[#This Row],[Plan]]</f>
        <v>8.1800000000000761E-3</v>
      </c>
      <c r="AF548">
        <f>IF(DB_ThemeSOFAcct[[#This Row],[Plan]]&lt;&gt;0,DB_ThemeSOFAcct[[#This Row],[Actuals]]/DB_ThemeSOFAcct[[#This Row],[Plan]],1.000011000011)</f>
        <v>1.0157765819977242</v>
      </c>
      <c r="AG548" s="34">
        <f>SUM(DB_ThemeSOFAcct[[#This Row],[Plan01]:[Plan12]])/valUnits2</f>
        <v>0.5184899999999999</v>
      </c>
      <c r="AH548" s="34">
        <f>SUMPRODUCT(DB_ThemeSOFAcct[[#This Row],[Act01]:[Act12]],$Q$3:$AB$3)/valUnits2</f>
        <v>0.52666999999999997</v>
      </c>
    </row>
    <row r="549" spans="2:34" x14ac:dyDescent="0.2">
      <c r="B549" t="s">
        <v>351</v>
      </c>
      <c r="C549" t="s">
        <v>921</v>
      </c>
      <c r="D549" t="s">
        <v>235</v>
      </c>
      <c r="E549">
        <v>0</v>
      </c>
      <c r="F549">
        <v>6.9290000000000003</v>
      </c>
      <c r="G549">
        <v>0</v>
      </c>
      <c r="H549">
        <v>4.4770000000000003</v>
      </c>
      <c r="I549">
        <v>1.046</v>
      </c>
      <c r="Q549">
        <v>1.79</v>
      </c>
      <c r="R549">
        <v>8.73</v>
      </c>
      <c r="S549">
        <v>1.33</v>
      </c>
      <c r="T549">
        <v>11.77</v>
      </c>
      <c r="U549">
        <v>1.25</v>
      </c>
      <c r="AC549">
        <f>SUMPRODUCT(DB_ThemeSOFAcct[[#This Row],[Plan01]:[Plan12]],$E$14:$P$14)/valUnits2</f>
        <v>1.2452E-2</v>
      </c>
      <c r="AD549">
        <f>SUMPRODUCT(DB_ThemeSOFAcct[[#This Row],[Act01]:[Act12]],$Q$14:$AB$14)/valUnits2</f>
        <v>2.4869999999999996E-2</v>
      </c>
      <c r="AE549">
        <f>DB_ThemeSOFAcct[[#This Row],[Actuals]]-DB_ThemeSOFAcct[[#This Row],[Plan]]</f>
        <v>1.2417999999999997E-2</v>
      </c>
      <c r="AF549">
        <f>IF(DB_ThemeSOFAcct[[#This Row],[Plan]]&lt;&gt;0,DB_ThemeSOFAcct[[#This Row],[Actuals]]/DB_ThemeSOFAcct[[#This Row],[Plan]],1.000011000011)</f>
        <v>1.9972695149373592</v>
      </c>
      <c r="AG549" s="34">
        <f>SUM(DB_ThemeSOFAcct[[#This Row],[Plan01]:[Plan12]])/valUnits2</f>
        <v>1.2452E-2</v>
      </c>
      <c r="AH549" s="34">
        <f>SUMPRODUCT(DB_ThemeSOFAcct[[#This Row],[Act01]:[Act12]],$Q$3:$AB$3)/valUnits2</f>
        <v>2.4869999999999996E-2</v>
      </c>
    </row>
    <row r="550" spans="2:34" x14ac:dyDescent="0.2">
      <c r="B550" t="s">
        <v>351</v>
      </c>
      <c r="C550" t="s">
        <v>921</v>
      </c>
      <c r="D550" t="s">
        <v>140</v>
      </c>
      <c r="E550">
        <v>0</v>
      </c>
      <c r="F550">
        <v>596.10900000000004</v>
      </c>
      <c r="G550">
        <v>683.49900000000002</v>
      </c>
      <c r="I550">
        <v>352.012</v>
      </c>
      <c r="Q550">
        <v>0</v>
      </c>
      <c r="R550">
        <v>595.97</v>
      </c>
      <c r="S550">
        <v>679.06999999999994</v>
      </c>
      <c r="U550">
        <v>353.68</v>
      </c>
      <c r="AC550">
        <f>SUMPRODUCT(DB_ThemeSOFAcct[[#This Row],[Plan01]:[Plan12]],$E$14:$P$14)/valUnits2</f>
        <v>1.6316200000000001</v>
      </c>
      <c r="AD550">
        <f>SUMPRODUCT(DB_ThemeSOFAcct[[#This Row],[Act01]:[Act12]],$Q$14:$AB$14)/valUnits2</f>
        <v>1.6287199999999999</v>
      </c>
      <c r="AE550">
        <f>DB_ThemeSOFAcct[[#This Row],[Actuals]]-DB_ThemeSOFAcct[[#This Row],[Plan]]</f>
        <v>-2.9000000000001247E-3</v>
      </c>
      <c r="AF550">
        <f>IF(DB_ThemeSOFAcct[[#This Row],[Plan]]&lt;&gt;0,DB_ThemeSOFAcct[[#This Row],[Actuals]]/DB_ThemeSOFAcct[[#This Row],[Plan]],1.000011000011)</f>
        <v>0.99822262536620043</v>
      </c>
      <c r="AG550" s="34">
        <f>SUM(DB_ThemeSOFAcct[[#This Row],[Plan01]:[Plan12]])/valUnits2</f>
        <v>1.6316200000000001</v>
      </c>
      <c r="AH550" s="34">
        <f>SUMPRODUCT(DB_ThemeSOFAcct[[#This Row],[Act01]:[Act12]],$Q$3:$AB$3)/valUnits2</f>
        <v>1.6287199999999999</v>
      </c>
    </row>
    <row r="551" spans="2:34" x14ac:dyDescent="0.2">
      <c r="B551" t="s">
        <v>351</v>
      </c>
      <c r="C551" t="s">
        <v>921</v>
      </c>
      <c r="D551" t="s">
        <v>236</v>
      </c>
      <c r="E551">
        <v>21.754999999999999</v>
      </c>
      <c r="F551">
        <v>23.789000000000001</v>
      </c>
      <c r="G551">
        <v>116.077</v>
      </c>
      <c r="H551">
        <v>60.587999999999994</v>
      </c>
      <c r="I551">
        <v>7.5999999999999998E-2</v>
      </c>
      <c r="Q551">
        <v>21.74</v>
      </c>
      <c r="R551">
        <v>23.72</v>
      </c>
      <c r="S551">
        <v>115.23</v>
      </c>
      <c r="T551">
        <v>60.78</v>
      </c>
      <c r="U551">
        <v>0.08</v>
      </c>
      <c r="AC551">
        <f>SUMPRODUCT(DB_ThemeSOFAcct[[#This Row],[Plan01]:[Plan12]],$E$14:$P$14)/valUnits2</f>
        <v>0.22228499999999995</v>
      </c>
      <c r="AD551">
        <f>SUMPRODUCT(DB_ThemeSOFAcct[[#This Row],[Act01]:[Act12]],$Q$14:$AB$14)/valUnits2</f>
        <v>0.22155000000000002</v>
      </c>
      <c r="AE551">
        <f>DB_ThemeSOFAcct[[#This Row],[Actuals]]-DB_ThemeSOFAcct[[#This Row],[Plan]]</f>
        <v>-7.3499999999993015E-4</v>
      </c>
      <c r="AF551">
        <f>IF(DB_ThemeSOFAcct[[#This Row],[Plan]]&lt;&gt;0,DB_ThemeSOFAcct[[#This Row],[Actuals]]/DB_ThemeSOFAcct[[#This Row],[Plan]],1.000011000011)</f>
        <v>0.99669343410486566</v>
      </c>
      <c r="AG551" s="34">
        <f>SUM(DB_ThemeSOFAcct[[#This Row],[Plan01]:[Plan12]])/valUnits2</f>
        <v>0.22228499999999995</v>
      </c>
      <c r="AH551" s="34">
        <f>SUMPRODUCT(DB_ThemeSOFAcct[[#This Row],[Act01]:[Act12]],$Q$3:$AB$3)/valUnits2</f>
        <v>0.22155000000000002</v>
      </c>
    </row>
    <row r="552" spans="2:34" x14ac:dyDescent="0.2">
      <c r="B552" t="s">
        <v>351</v>
      </c>
      <c r="C552" t="s">
        <v>921</v>
      </c>
      <c r="D552" t="s">
        <v>237</v>
      </c>
      <c r="E552">
        <v>1.1399999999999999</v>
      </c>
      <c r="H552">
        <v>5.0880000000000001</v>
      </c>
      <c r="Q552">
        <v>1.1399999999999999</v>
      </c>
      <c r="T552">
        <v>5.08</v>
      </c>
      <c r="AC552">
        <f>SUMPRODUCT(DB_ThemeSOFAcct[[#This Row],[Plan01]:[Plan12]],$E$14:$P$14)/valUnits2</f>
        <v>6.228E-3</v>
      </c>
      <c r="AD552">
        <f>SUMPRODUCT(DB_ThemeSOFAcct[[#This Row],[Act01]:[Act12]],$Q$14:$AB$14)/valUnits2</f>
        <v>6.2199999999999998E-3</v>
      </c>
      <c r="AE552">
        <f>DB_ThemeSOFAcct[[#This Row],[Actuals]]-DB_ThemeSOFAcct[[#This Row],[Plan]]</f>
        <v>-8.0000000000001945E-6</v>
      </c>
      <c r="AF552">
        <f>IF(DB_ThemeSOFAcct[[#This Row],[Plan]]&lt;&gt;0,DB_ThemeSOFAcct[[#This Row],[Actuals]]/DB_ThemeSOFAcct[[#This Row],[Plan]],1.000011000011)</f>
        <v>0.99871547848426456</v>
      </c>
      <c r="AG552" s="34">
        <f>SUM(DB_ThemeSOFAcct[[#This Row],[Plan01]:[Plan12]])/valUnits2</f>
        <v>6.228E-3</v>
      </c>
      <c r="AH552" s="34">
        <f>SUMPRODUCT(DB_ThemeSOFAcct[[#This Row],[Act01]:[Act12]],$Q$3:$AB$3)/valUnits2</f>
        <v>6.2199999999999998E-3</v>
      </c>
    </row>
    <row r="553" spans="2:34" x14ac:dyDescent="0.2">
      <c r="B553" t="s">
        <v>351</v>
      </c>
      <c r="C553" t="s">
        <v>921</v>
      </c>
      <c r="D553" t="s">
        <v>141</v>
      </c>
      <c r="E553">
        <v>58.158000000000001</v>
      </c>
      <c r="F553">
        <v>12.93</v>
      </c>
      <c r="G553">
        <v>24.152000000000001</v>
      </c>
      <c r="H553">
        <v>3.79</v>
      </c>
      <c r="I553">
        <v>0.64700000000000002</v>
      </c>
      <c r="Q553">
        <v>58.149999999999991</v>
      </c>
      <c r="R553">
        <v>12.799999999999999</v>
      </c>
      <c r="S553">
        <v>23.98</v>
      </c>
      <c r="T553">
        <v>3.8</v>
      </c>
      <c r="U553">
        <v>0.6399999999999999</v>
      </c>
      <c r="AC553">
        <f>SUMPRODUCT(DB_ThemeSOFAcct[[#This Row],[Plan01]:[Plan12]],$E$14:$P$14)/valUnits2</f>
        <v>9.9677000000000002E-2</v>
      </c>
      <c r="AD553">
        <f>SUMPRODUCT(DB_ThemeSOFAcct[[#This Row],[Act01]:[Act12]],$Q$14:$AB$14)/valUnits2</f>
        <v>9.9369999999999986E-2</v>
      </c>
      <c r="AE553">
        <f>DB_ThemeSOFAcct[[#This Row],[Actuals]]-DB_ThemeSOFAcct[[#This Row],[Plan]]</f>
        <v>-3.0700000000001559E-4</v>
      </c>
      <c r="AF553">
        <f>IF(DB_ThemeSOFAcct[[#This Row],[Plan]]&lt;&gt;0,DB_ThemeSOFAcct[[#This Row],[Actuals]]/DB_ThemeSOFAcct[[#This Row],[Plan]],1.000011000011)</f>
        <v>0.99692005176720788</v>
      </c>
      <c r="AG553" s="34">
        <f>SUM(DB_ThemeSOFAcct[[#This Row],[Plan01]:[Plan12]])/valUnits2</f>
        <v>9.9677000000000002E-2</v>
      </c>
      <c r="AH553" s="34">
        <f>SUMPRODUCT(DB_ThemeSOFAcct[[#This Row],[Act01]:[Act12]],$Q$3:$AB$3)/valUnits2</f>
        <v>9.9369999999999986E-2</v>
      </c>
    </row>
    <row r="554" spans="2:34" x14ac:dyDescent="0.2">
      <c r="B554" t="s">
        <v>351</v>
      </c>
      <c r="C554" t="s">
        <v>922</v>
      </c>
      <c r="D554" t="s">
        <v>143</v>
      </c>
      <c r="E554">
        <v>24.536000000000001</v>
      </c>
      <c r="F554">
        <v>23.646000000000001</v>
      </c>
      <c r="G554">
        <v>15.087</v>
      </c>
      <c r="H554">
        <v>218.92</v>
      </c>
      <c r="I554">
        <v>208.62299999999999</v>
      </c>
      <c r="J554">
        <v>365.20500000000004</v>
      </c>
      <c r="K554">
        <v>365.20500000000004</v>
      </c>
      <c r="L554">
        <v>365.20500000000004</v>
      </c>
      <c r="M554">
        <v>365.20500000000004</v>
      </c>
      <c r="N554">
        <v>365.20500000000004</v>
      </c>
      <c r="O554">
        <v>365.20500000000004</v>
      </c>
      <c r="P554">
        <v>365.20500000000004</v>
      </c>
      <c r="Q554">
        <v>19.32</v>
      </c>
      <c r="R554">
        <v>19.73</v>
      </c>
      <c r="S554">
        <v>13.070000000000002</v>
      </c>
      <c r="T554">
        <v>262.69</v>
      </c>
      <c r="U554">
        <v>190.76</v>
      </c>
      <c r="V554">
        <v>238.32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f>SUMPRODUCT(DB_ThemeSOFAcct[[#This Row],[Plan01]:[Plan12]],$E$14:$P$14)/valUnits2</f>
        <v>0.85601700000000003</v>
      </c>
      <c r="AD554">
        <f>SUMPRODUCT(DB_ThemeSOFAcct[[#This Row],[Act01]:[Act12]],$Q$14:$AB$14)/valUnits2</f>
        <v>0.74388999999999994</v>
      </c>
      <c r="AE554">
        <f>DB_ThemeSOFAcct[[#This Row],[Actuals]]-DB_ThemeSOFAcct[[#This Row],[Plan]]</f>
        <v>-0.11212700000000009</v>
      </c>
      <c r="AF554">
        <f>IF(DB_ThemeSOFAcct[[#This Row],[Plan]]&lt;&gt;0,DB_ThemeSOFAcct[[#This Row],[Actuals]]/DB_ThemeSOFAcct[[#This Row],[Plan]],1.000011000011)</f>
        <v>0.86901311539373627</v>
      </c>
      <c r="AG554" s="34">
        <f>SUM(DB_ThemeSOFAcct[[#This Row],[Plan01]:[Plan12]])/valUnits2</f>
        <v>3.047247</v>
      </c>
      <c r="AH554" s="34">
        <f>SUMPRODUCT(DB_ThemeSOFAcct[[#This Row],[Act01]:[Act12]],$Q$3:$AB$3)/valUnits2</f>
        <v>0.74388999999999994</v>
      </c>
    </row>
    <row r="555" spans="2:34" x14ac:dyDescent="0.2">
      <c r="B555" t="s">
        <v>351</v>
      </c>
      <c r="C555" t="s">
        <v>922</v>
      </c>
      <c r="D555" t="s">
        <v>235</v>
      </c>
      <c r="E555">
        <v>95.248000000000005</v>
      </c>
      <c r="F555">
        <v>16.974</v>
      </c>
      <c r="G555">
        <v>0</v>
      </c>
      <c r="H555">
        <v>0</v>
      </c>
      <c r="I555">
        <v>69.658999999999992</v>
      </c>
      <c r="J555">
        <v>65.215000000000003</v>
      </c>
      <c r="K555">
        <v>65.215000000000003</v>
      </c>
      <c r="L555">
        <v>65.215000000000003</v>
      </c>
      <c r="M555">
        <v>65.215000000000003</v>
      </c>
      <c r="N555">
        <v>65.215000000000003</v>
      </c>
      <c r="O555">
        <v>65.215000000000003</v>
      </c>
      <c r="P555">
        <v>65.215000000000003</v>
      </c>
      <c r="Q555">
        <v>98.320000000000007</v>
      </c>
      <c r="R555">
        <v>21.82</v>
      </c>
      <c r="S555">
        <v>3.3</v>
      </c>
      <c r="T555">
        <v>10.64</v>
      </c>
      <c r="U555">
        <v>88.29</v>
      </c>
      <c r="V555">
        <v>72.489999999999995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f>SUMPRODUCT(DB_ThemeSOFAcct[[#This Row],[Plan01]:[Plan12]],$E$14:$P$14)/valUnits2</f>
        <v>0.24709600000000001</v>
      </c>
      <c r="AD555">
        <f>SUMPRODUCT(DB_ThemeSOFAcct[[#This Row],[Act01]:[Act12]],$Q$14:$AB$14)/valUnits2</f>
        <v>0.29486000000000001</v>
      </c>
      <c r="AE555">
        <f>DB_ThemeSOFAcct[[#This Row],[Actuals]]-DB_ThemeSOFAcct[[#This Row],[Plan]]</f>
        <v>4.7764000000000001E-2</v>
      </c>
      <c r="AF555">
        <f>IF(DB_ThemeSOFAcct[[#This Row],[Plan]]&lt;&gt;0,DB_ThemeSOFAcct[[#This Row],[Actuals]]/DB_ThemeSOFAcct[[#This Row],[Plan]],1.000011000011)</f>
        <v>1.1933013889338557</v>
      </c>
      <c r="AG555" s="34">
        <f>SUM(DB_ThemeSOFAcct[[#This Row],[Plan01]:[Plan12]])/valUnits2</f>
        <v>0.63838600000000023</v>
      </c>
      <c r="AH555" s="34">
        <f>SUMPRODUCT(DB_ThemeSOFAcct[[#This Row],[Act01]:[Act12]],$Q$3:$AB$3)/valUnits2</f>
        <v>0.29486000000000001</v>
      </c>
    </row>
    <row r="556" spans="2:34" x14ac:dyDescent="0.2">
      <c r="B556" t="s">
        <v>351</v>
      </c>
      <c r="C556" t="s">
        <v>922</v>
      </c>
      <c r="D556" t="s">
        <v>140</v>
      </c>
      <c r="E556">
        <v>386.62700000000001</v>
      </c>
      <c r="F556">
        <v>323.43299999999999</v>
      </c>
      <c r="G556">
        <v>383.459</v>
      </c>
      <c r="H556">
        <v>843.38800000000003</v>
      </c>
      <c r="I556">
        <v>337.50099999999998</v>
      </c>
      <c r="J556">
        <v>1232.134</v>
      </c>
      <c r="K556">
        <v>1232.134</v>
      </c>
      <c r="L556">
        <v>1232.134</v>
      </c>
      <c r="M556">
        <v>1232.134</v>
      </c>
      <c r="N556">
        <v>1232.134</v>
      </c>
      <c r="O556">
        <v>1232.134</v>
      </c>
      <c r="P556">
        <v>1232.134</v>
      </c>
      <c r="Q556">
        <v>380.90999999999997</v>
      </c>
      <c r="R556">
        <v>330.22999999999996</v>
      </c>
      <c r="S556">
        <v>386.92999999999995</v>
      </c>
      <c r="T556">
        <v>844.44999999999993</v>
      </c>
      <c r="U556">
        <v>333.40999999999997</v>
      </c>
      <c r="V556">
        <v>395.32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f>SUMPRODUCT(DB_ThemeSOFAcct[[#This Row],[Plan01]:[Plan12]],$E$14:$P$14)/valUnits2</f>
        <v>3.5065420000000005</v>
      </c>
      <c r="AD556">
        <f>SUMPRODUCT(DB_ThemeSOFAcct[[#This Row],[Act01]:[Act12]],$Q$14:$AB$14)/valUnits2</f>
        <v>2.6712499999999997</v>
      </c>
      <c r="AE556">
        <f>DB_ThemeSOFAcct[[#This Row],[Actuals]]-DB_ThemeSOFAcct[[#This Row],[Plan]]</f>
        <v>-0.83529200000000081</v>
      </c>
      <c r="AF556">
        <f>IF(DB_ThemeSOFAcct[[#This Row],[Plan]]&lt;&gt;0,DB_ThemeSOFAcct[[#This Row],[Actuals]]/DB_ThemeSOFAcct[[#This Row],[Plan]],1.000011000011)</f>
        <v>0.76179039064696763</v>
      </c>
      <c r="AG556" s="34">
        <f>SUM(DB_ThemeSOFAcct[[#This Row],[Plan01]:[Plan12]])/valUnits2</f>
        <v>10.899346000000001</v>
      </c>
      <c r="AH556" s="34">
        <f>SUMPRODUCT(DB_ThemeSOFAcct[[#This Row],[Act01]:[Act12]],$Q$3:$AB$3)/valUnits2</f>
        <v>2.6712499999999997</v>
      </c>
    </row>
    <row r="557" spans="2:34" x14ac:dyDescent="0.2">
      <c r="B557" t="s">
        <v>351</v>
      </c>
      <c r="C557" t="s">
        <v>922</v>
      </c>
      <c r="D557" t="s">
        <v>236</v>
      </c>
      <c r="E557">
        <v>26.106999999999999</v>
      </c>
      <c r="F557">
        <v>26.925000000000001</v>
      </c>
      <c r="G557">
        <v>255.31699999999998</v>
      </c>
      <c r="H557">
        <v>28.885999999999999</v>
      </c>
      <c r="I557">
        <v>74.89500000000001</v>
      </c>
      <c r="J557">
        <v>0</v>
      </c>
      <c r="Q557">
        <v>25.3</v>
      </c>
      <c r="R557">
        <v>27.82</v>
      </c>
      <c r="S557">
        <v>260.29000000000002</v>
      </c>
      <c r="T557">
        <v>28.36</v>
      </c>
      <c r="U557">
        <v>74.72</v>
      </c>
      <c r="V557">
        <v>38.71</v>
      </c>
      <c r="AC557">
        <f>SUMPRODUCT(DB_ThemeSOFAcct[[#This Row],[Plan01]:[Plan12]],$E$14:$P$14)/valUnits2</f>
        <v>0.41213</v>
      </c>
      <c r="AD557">
        <f>SUMPRODUCT(DB_ThemeSOFAcct[[#This Row],[Act01]:[Act12]],$Q$14:$AB$14)/valUnits2</f>
        <v>0.45519999999999999</v>
      </c>
      <c r="AE557">
        <f>DB_ThemeSOFAcct[[#This Row],[Actuals]]-DB_ThemeSOFAcct[[#This Row],[Plan]]</f>
        <v>4.3069999999999997E-2</v>
      </c>
      <c r="AF557">
        <f>IF(DB_ThemeSOFAcct[[#This Row],[Plan]]&lt;&gt;0,DB_ThemeSOFAcct[[#This Row],[Actuals]]/DB_ThemeSOFAcct[[#This Row],[Plan]],1.000011000011)</f>
        <v>1.1045058598015189</v>
      </c>
      <c r="AG557" s="34">
        <f>SUM(DB_ThemeSOFAcct[[#This Row],[Plan01]:[Plan12]])/valUnits2</f>
        <v>0.41213</v>
      </c>
      <c r="AH557" s="34">
        <f>SUMPRODUCT(DB_ThemeSOFAcct[[#This Row],[Act01]:[Act12]],$Q$3:$AB$3)/valUnits2</f>
        <v>0.45519999999999999</v>
      </c>
    </row>
    <row r="558" spans="2:34" x14ac:dyDescent="0.2">
      <c r="B558" t="s">
        <v>351</v>
      </c>
      <c r="C558" t="s">
        <v>922</v>
      </c>
      <c r="D558" t="s">
        <v>237</v>
      </c>
      <c r="E558">
        <v>2.9609999999999999</v>
      </c>
      <c r="H558">
        <v>25.251000000000001</v>
      </c>
      <c r="I558">
        <v>0.48099999999999998</v>
      </c>
      <c r="Q558">
        <v>2.87</v>
      </c>
      <c r="T558">
        <v>25.130000000000003</v>
      </c>
      <c r="U558">
        <v>0.48</v>
      </c>
      <c r="AC558">
        <f>SUMPRODUCT(DB_ThemeSOFAcct[[#This Row],[Plan01]:[Plan12]],$E$14:$P$14)/valUnits2</f>
        <v>2.8693E-2</v>
      </c>
      <c r="AD558">
        <f>SUMPRODUCT(DB_ThemeSOFAcct[[#This Row],[Act01]:[Act12]],$Q$14:$AB$14)/valUnits2</f>
        <v>2.8480000000000005E-2</v>
      </c>
      <c r="AE558">
        <f>DB_ThemeSOFAcct[[#This Row],[Actuals]]-DB_ThemeSOFAcct[[#This Row],[Plan]]</f>
        <v>-2.1299999999999444E-4</v>
      </c>
      <c r="AF558">
        <f>IF(DB_ThemeSOFAcct[[#This Row],[Plan]]&lt;&gt;0,DB_ThemeSOFAcct[[#This Row],[Actuals]]/DB_ThemeSOFAcct[[#This Row],[Plan]],1.000011000011)</f>
        <v>0.99257658662391546</v>
      </c>
      <c r="AG558" s="34">
        <f>SUM(DB_ThemeSOFAcct[[#This Row],[Plan01]:[Plan12]])/valUnits2</f>
        <v>2.8693E-2</v>
      </c>
      <c r="AH558" s="34">
        <f>SUMPRODUCT(DB_ThemeSOFAcct[[#This Row],[Act01]:[Act12]],$Q$3:$AB$3)/valUnits2</f>
        <v>2.8480000000000005E-2</v>
      </c>
    </row>
    <row r="559" spans="2:34" x14ac:dyDescent="0.2">
      <c r="B559" t="s">
        <v>351</v>
      </c>
      <c r="C559" t="s">
        <v>922</v>
      </c>
      <c r="D559" t="s">
        <v>141</v>
      </c>
      <c r="E559">
        <v>5.5679999999999996</v>
      </c>
      <c r="F559">
        <v>62.626999999999995</v>
      </c>
      <c r="G559">
        <v>28.807000000000002</v>
      </c>
      <c r="H559">
        <v>16.696000000000002</v>
      </c>
      <c r="I559">
        <v>36.259</v>
      </c>
      <c r="J559">
        <v>0</v>
      </c>
      <c r="Q559">
        <v>5.41</v>
      </c>
      <c r="R559">
        <v>64.34</v>
      </c>
      <c r="S559">
        <v>29.32</v>
      </c>
      <c r="T559">
        <v>16.649999999999999</v>
      </c>
      <c r="U559">
        <v>36.22</v>
      </c>
      <c r="V559">
        <v>17.220000000000002</v>
      </c>
      <c r="AC559">
        <f>SUMPRODUCT(DB_ThemeSOFAcct[[#This Row],[Plan01]:[Plan12]],$E$14:$P$14)/valUnits2</f>
        <v>0.14995700000000001</v>
      </c>
      <c r="AD559">
        <f>SUMPRODUCT(DB_ThemeSOFAcct[[#This Row],[Act01]:[Act12]],$Q$14:$AB$14)/valUnits2</f>
        <v>0.16916</v>
      </c>
      <c r="AE559">
        <f>DB_ThemeSOFAcct[[#This Row],[Actuals]]-DB_ThemeSOFAcct[[#This Row],[Plan]]</f>
        <v>1.9202999999999998E-2</v>
      </c>
      <c r="AF559">
        <f>IF(DB_ThemeSOFAcct[[#This Row],[Plan]]&lt;&gt;0,DB_ThemeSOFAcct[[#This Row],[Actuals]]/DB_ThemeSOFAcct[[#This Row],[Plan]],1.000011000011)</f>
        <v>1.1280567095900824</v>
      </c>
      <c r="AG559" s="34">
        <f>SUM(DB_ThemeSOFAcct[[#This Row],[Plan01]:[Plan12]])/valUnits2</f>
        <v>0.14995700000000001</v>
      </c>
      <c r="AH559" s="34">
        <f>SUMPRODUCT(DB_ThemeSOFAcct[[#This Row],[Act01]:[Act12]],$Q$3:$AB$3)/valUnits2</f>
        <v>0.16916</v>
      </c>
    </row>
    <row r="560" spans="2:34" x14ac:dyDescent="0.2">
      <c r="B560" t="s">
        <v>351</v>
      </c>
      <c r="C560" t="s">
        <v>924</v>
      </c>
      <c r="D560" t="s">
        <v>143</v>
      </c>
      <c r="E560">
        <v>0</v>
      </c>
      <c r="F560">
        <v>0</v>
      </c>
      <c r="G560">
        <v>0</v>
      </c>
      <c r="H560">
        <v>924.07100000000003</v>
      </c>
      <c r="I560">
        <v>218.369</v>
      </c>
      <c r="J560">
        <v>249.15600000000001</v>
      </c>
      <c r="K560">
        <v>249.15600000000001</v>
      </c>
      <c r="L560">
        <v>249.15600000000001</v>
      </c>
      <c r="M560">
        <v>249.15600000000001</v>
      </c>
      <c r="N560">
        <v>249.15600000000001</v>
      </c>
      <c r="O560">
        <v>249.15600000000001</v>
      </c>
      <c r="P560">
        <v>249.15600000000001</v>
      </c>
      <c r="Q560">
        <v>0</v>
      </c>
      <c r="R560">
        <v>0</v>
      </c>
      <c r="S560">
        <v>0</v>
      </c>
      <c r="T560">
        <v>898.15</v>
      </c>
      <c r="U560">
        <v>212.15</v>
      </c>
      <c r="V560">
        <v>216.88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f>SUMPRODUCT(DB_ThemeSOFAcct[[#This Row],[Plan01]:[Plan12]],$E$14:$P$14)/valUnits2</f>
        <v>1.3915960000000001</v>
      </c>
      <c r="AD560">
        <f>SUMPRODUCT(DB_ThemeSOFAcct[[#This Row],[Act01]:[Act12]],$Q$14:$AB$14)/valUnits2</f>
        <v>1.3271799999999998</v>
      </c>
      <c r="AE560">
        <f>DB_ThemeSOFAcct[[#This Row],[Actuals]]-DB_ThemeSOFAcct[[#This Row],[Plan]]</f>
        <v>-6.4416000000000251E-2</v>
      </c>
      <c r="AF560">
        <f>IF(DB_ThemeSOFAcct[[#This Row],[Plan]]&lt;&gt;0,DB_ThemeSOFAcct[[#This Row],[Actuals]]/DB_ThemeSOFAcct[[#This Row],[Plan]],1.000011000011)</f>
        <v>0.95371070339380093</v>
      </c>
      <c r="AG560" s="34">
        <f>SUM(DB_ThemeSOFAcct[[#This Row],[Plan01]:[Plan12]])/valUnits2</f>
        <v>2.8865319999999999</v>
      </c>
      <c r="AH560" s="34">
        <f>SUMPRODUCT(DB_ThemeSOFAcct[[#This Row],[Act01]:[Act12]],$Q$3:$AB$3)/valUnits2</f>
        <v>1.3271799999999998</v>
      </c>
    </row>
    <row r="561" spans="2:34" x14ac:dyDescent="0.2">
      <c r="B561" t="s">
        <v>351</v>
      </c>
      <c r="C561" t="s">
        <v>924</v>
      </c>
      <c r="D561" t="s">
        <v>235</v>
      </c>
      <c r="E561">
        <v>0</v>
      </c>
      <c r="H561">
        <v>53.637999999999998</v>
      </c>
      <c r="I561">
        <v>62.463999999999999</v>
      </c>
      <c r="J561">
        <v>0</v>
      </c>
      <c r="K561">
        <v>0</v>
      </c>
      <c r="N561">
        <v>0</v>
      </c>
      <c r="Q561">
        <v>0</v>
      </c>
      <c r="T561">
        <v>89.759999999999991</v>
      </c>
      <c r="U561">
        <v>69.570000000000007</v>
      </c>
      <c r="V561">
        <v>36.57</v>
      </c>
      <c r="W561">
        <v>0</v>
      </c>
      <c r="Z561">
        <v>0</v>
      </c>
      <c r="AC561">
        <f>SUMPRODUCT(DB_ThemeSOFAcct[[#This Row],[Plan01]:[Plan12]],$E$14:$P$14)/valUnits2</f>
        <v>0.11610200000000001</v>
      </c>
      <c r="AD561">
        <f>SUMPRODUCT(DB_ThemeSOFAcct[[#This Row],[Act01]:[Act12]],$Q$14:$AB$14)/valUnits2</f>
        <v>0.19589999999999999</v>
      </c>
      <c r="AE561">
        <f>DB_ThemeSOFAcct[[#This Row],[Actuals]]-DB_ThemeSOFAcct[[#This Row],[Plan]]</f>
        <v>7.979799999999998E-2</v>
      </c>
      <c r="AF561">
        <f>IF(DB_ThemeSOFAcct[[#This Row],[Plan]]&lt;&gt;0,DB_ThemeSOFAcct[[#This Row],[Actuals]]/DB_ThemeSOFAcct[[#This Row],[Plan]],1.000011000011)</f>
        <v>1.6873094348073243</v>
      </c>
      <c r="AG561" s="34">
        <f>SUM(DB_ThemeSOFAcct[[#This Row],[Plan01]:[Plan12]])/valUnits2</f>
        <v>0.11610200000000001</v>
      </c>
      <c r="AH561" s="34">
        <f>SUMPRODUCT(DB_ThemeSOFAcct[[#This Row],[Act01]:[Act12]],$Q$3:$AB$3)/valUnits2</f>
        <v>0.19589999999999999</v>
      </c>
    </row>
    <row r="562" spans="2:34" x14ac:dyDescent="0.2">
      <c r="B562" t="s">
        <v>351</v>
      </c>
      <c r="C562" t="s">
        <v>924</v>
      </c>
      <c r="D562" t="s">
        <v>140</v>
      </c>
      <c r="E562">
        <v>0</v>
      </c>
      <c r="F562">
        <v>0</v>
      </c>
      <c r="G562">
        <v>0</v>
      </c>
      <c r="H562">
        <v>270.18</v>
      </c>
      <c r="I562">
        <v>729.52499999999998</v>
      </c>
      <c r="J562">
        <v>1291.817</v>
      </c>
      <c r="K562">
        <v>1291.817</v>
      </c>
      <c r="L562">
        <v>1291.817</v>
      </c>
      <c r="M562">
        <v>1291.817</v>
      </c>
      <c r="N562">
        <v>1291.817</v>
      </c>
      <c r="O562">
        <v>1291.817</v>
      </c>
      <c r="P562">
        <v>1291.817</v>
      </c>
      <c r="Q562">
        <v>0</v>
      </c>
      <c r="R562">
        <v>0</v>
      </c>
      <c r="S562">
        <v>0</v>
      </c>
      <c r="T562">
        <v>268.64</v>
      </c>
      <c r="U562">
        <v>725.03</v>
      </c>
      <c r="V562">
        <v>1085.2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f>SUMPRODUCT(DB_ThemeSOFAcct[[#This Row],[Plan01]:[Plan12]],$E$14:$P$14)/valUnits2</f>
        <v>2.2915220000000001</v>
      </c>
      <c r="AD562">
        <f>SUMPRODUCT(DB_ThemeSOFAcct[[#This Row],[Act01]:[Act12]],$Q$14:$AB$14)/valUnits2</f>
        <v>2.0788699999999998</v>
      </c>
      <c r="AE562">
        <f>DB_ThemeSOFAcct[[#This Row],[Actuals]]-DB_ThemeSOFAcct[[#This Row],[Plan]]</f>
        <v>-0.21265200000000029</v>
      </c>
      <c r="AF562">
        <f>IF(DB_ThemeSOFAcct[[#This Row],[Plan]]&lt;&gt;0,DB_ThemeSOFAcct[[#This Row],[Actuals]]/DB_ThemeSOFAcct[[#This Row],[Plan]],1.000011000011)</f>
        <v>0.90720054182329457</v>
      </c>
      <c r="AG562" s="34">
        <f>SUM(DB_ThemeSOFAcct[[#This Row],[Plan01]:[Plan12]])/valUnits2</f>
        <v>10.042423999999999</v>
      </c>
      <c r="AH562" s="34">
        <f>SUMPRODUCT(DB_ThemeSOFAcct[[#This Row],[Act01]:[Act12]],$Q$3:$AB$3)/valUnits2</f>
        <v>2.0788699999999998</v>
      </c>
    </row>
    <row r="563" spans="2:34" x14ac:dyDescent="0.2">
      <c r="B563" t="s">
        <v>351</v>
      </c>
      <c r="C563" t="s">
        <v>924</v>
      </c>
      <c r="D563" t="s">
        <v>236</v>
      </c>
      <c r="I563">
        <v>64.64</v>
      </c>
      <c r="J563">
        <v>0</v>
      </c>
      <c r="U563">
        <v>65.069999999999993</v>
      </c>
      <c r="V563">
        <v>0.22</v>
      </c>
      <c r="AC563">
        <f>SUMPRODUCT(DB_ThemeSOFAcct[[#This Row],[Plan01]:[Plan12]],$E$14:$P$14)/valUnits2</f>
        <v>6.4640000000000003E-2</v>
      </c>
      <c r="AD563">
        <f>SUMPRODUCT(DB_ThemeSOFAcct[[#This Row],[Act01]:[Act12]],$Q$14:$AB$14)/valUnits2</f>
        <v>6.5289999999999987E-2</v>
      </c>
      <c r="AE563">
        <f>DB_ThemeSOFAcct[[#This Row],[Actuals]]-DB_ThemeSOFAcct[[#This Row],[Plan]]</f>
        <v>6.4999999999998392E-4</v>
      </c>
      <c r="AF563">
        <f>IF(DB_ThemeSOFAcct[[#This Row],[Plan]]&lt;&gt;0,DB_ThemeSOFAcct[[#This Row],[Actuals]]/DB_ThemeSOFAcct[[#This Row],[Plan]],1.000011000011)</f>
        <v>1.0100556930693068</v>
      </c>
      <c r="AG563" s="34">
        <f>SUM(DB_ThemeSOFAcct[[#This Row],[Plan01]:[Plan12]])/valUnits2</f>
        <v>6.4640000000000003E-2</v>
      </c>
      <c r="AH563" s="34">
        <f>SUMPRODUCT(DB_ThemeSOFAcct[[#This Row],[Act01]:[Act12]],$Q$3:$AB$3)/valUnits2</f>
        <v>6.5289999999999987E-2</v>
      </c>
    </row>
    <row r="564" spans="2:34" x14ac:dyDescent="0.2">
      <c r="B564" t="s">
        <v>351</v>
      </c>
      <c r="C564" t="s">
        <v>924</v>
      </c>
      <c r="D564" t="s">
        <v>237</v>
      </c>
      <c r="H564">
        <v>23.919</v>
      </c>
      <c r="I564">
        <v>0.65100000000000002</v>
      </c>
      <c r="T564">
        <v>23.87</v>
      </c>
      <c r="U564">
        <v>0.65</v>
      </c>
      <c r="AC564">
        <f>SUMPRODUCT(DB_ThemeSOFAcct[[#This Row],[Plan01]:[Plan12]],$E$14:$P$14)/valUnits2</f>
        <v>2.4570000000000002E-2</v>
      </c>
      <c r="AD564">
        <f>SUMPRODUCT(DB_ThemeSOFAcct[[#This Row],[Act01]:[Act12]],$Q$14:$AB$14)/valUnits2</f>
        <v>2.452E-2</v>
      </c>
      <c r="AE564">
        <f>DB_ThemeSOFAcct[[#This Row],[Actuals]]-DB_ThemeSOFAcct[[#This Row],[Plan]]</f>
        <v>-5.0000000000001432E-5</v>
      </c>
      <c r="AF564">
        <f>IF(DB_ThemeSOFAcct[[#This Row],[Plan]]&lt;&gt;0,DB_ThemeSOFAcct[[#This Row],[Actuals]]/DB_ThemeSOFAcct[[#This Row],[Plan]],1.000011000011)</f>
        <v>0.99796499796499794</v>
      </c>
      <c r="AG564" s="34">
        <f>SUM(DB_ThemeSOFAcct[[#This Row],[Plan01]:[Plan12]])/valUnits2</f>
        <v>2.4570000000000002E-2</v>
      </c>
      <c r="AH564" s="34">
        <f>SUMPRODUCT(DB_ThemeSOFAcct[[#This Row],[Act01]:[Act12]],$Q$3:$AB$3)/valUnits2</f>
        <v>2.452E-2</v>
      </c>
    </row>
    <row r="565" spans="2:34" x14ac:dyDescent="0.2">
      <c r="B565" t="s">
        <v>351</v>
      </c>
      <c r="C565" t="s">
        <v>924</v>
      </c>
      <c r="D565" t="s">
        <v>141</v>
      </c>
      <c r="H565">
        <v>5.9809999999999999</v>
      </c>
      <c r="I565">
        <v>8.9290000000000003</v>
      </c>
      <c r="T565">
        <v>6.13</v>
      </c>
      <c r="U565">
        <v>8.8699999999999992</v>
      </c>
      <c r="AC565">
        <f>SUMPRODUCT(DB_ThemeSOFAcct[[#This Row],[Plan01]:[Plan12]],$E$14:$P$14)/valUnits2</f>
        <v>1.491E-2</v>
      </c>
      <c r="AD565">
        <f>SUMPRODUCT(DB_ThemeSOFAcct[[#This Row],[Act01]:[Act12]],$Q$14:$AB$14)/valUnits2</f>
        <v>1.4999999999999999E-2</v>
      </c>
      <c r="AE565">
        <f>DB_ThemeSOFAcct[[#This Row],[Actuals]]-DB_ThemeSOFAcct[[#This Row],[Plan]]</f>
        <v>8.9999999999999802E-5</v>
      </c>
      <c r="AF565">
        <f>IF(DB_ThemeSOFAcct[[#This Row],[Plan]]&lt;&gt;0,DB_ThemeSOFAcct[[#This Row],[Actuals]]/DB_ThemeSOFAcct[[#This Row],[Plan]],1.000011000011)</f>
        <v>1.0060362173038229</v>
      </c>
      <c r="AG565" s="34">
        <f>SUM(DB_ThemeSOFAcct[[#This Row],[Plan01]:[Plan12]])/valUnits2</f>
        <v>1.491E-2</v>
      </c>
      <c r="AH565" s="34">
        <f>SUMPRODUCT(DB_ThemeSOFAcct[[#This Row],[Act01]:[Act12]],$Q$3:$AB$3)/valUnits2</f>
        <v>1.4999999999999999E-2</v>
      </c>
    </row>
    <row r="566" spans="2:34" x14ac:dyDescent="0.2">
      <c r="B566" t="s">
        <v>351</v>
      </c>
      <c r="C566" t="s">
        <v>925</v>
      </c>
      <c r="D566" t="s">
        <v>140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f>SUMPRODUCT(DB_ThemeSOFAcct[[#This Row],[Plan01]:[Plan12]],$E$14:$P$14)/valUnits2</f>
        <v>0</v>
      </c>
      <c r="AD566">
        <f>SUMPRODUCT(DB_ThemeSOFAcct[[#This Row],[Act01]:[Act12]],$Q$14:$AB$14)/valUnits2</f>
        <v>0</v>
      </c>
      <c r="AE566">
        <f>DB_ThemeSOFAcct[[#This Row],[Actuals]]-DB_ThemeSOFAcct[[#This Row],[Plan]]</f>
        <v>0</v>
      </c>
      <c r="AF566">
        <f>IF(DB_ThemeSOFAcct[[#This Row],[Plan]]&lt;&gt;0,DB_ThemeSOFAcct[[#This Row],[Actuals]]/DB_ThemeSOFAcct[[#This Row],[Plan]],1.000011000011)</f>
        <v>1.0000110000110001</v>
      </c>
      <c r="AG566" s="34">
        <f>SUM(DB_ThemeSOFAcct[[#This Row],[Plan01]:[Plan12]])/valUnits2</f>
        <v>0</v>
      </c>
      <c r="AH566" s="34">
        <f>SUMPRODUCT(DB_ThemeSOFAcct[[#This Row],[Act01]:[Act12]],$Q$3:$AB$3)/valUnits2</f>
        <v>0</v>
      </c>
    </row>
    <row r="567" spans="2:34" x14ac:dyDescent="0.2">
      <c r="B567" t="s">
        <v>351</v>
      </c>
      <c r="C567" t="s">
        <v>926</v>
      </c>
      <c r="D567" t="s">
        <v>235</v>
      </c>
      <c r="E567">
        <v>-300.334</v>
      </c>
      <c r="Q567">
        <v>-298</v>
      </c>
      <c r="AC567">
        <f>SUMPRODUCT(DB_ThemeSOFAcct[[#This Row],[Plan01]:[Plan12]],$E$14:$P$14)/valUnits2</f>
        <v>-0.30033399999999999</v>
      </c>
      <c r="AD567">
        <f>SUMPRODUCT(DB_ThemeSOFAcct[[#This Row],[Act01]:[Act12]],$Q$14:$AB$14)/valUnits2</f>
        <v>-0.29799999999999999</v>
      </c>
      <c r="AE567">
        <f>DB_ThemeSOFAcct[[#This Row],[Actuals]]-DB_ThemeSOFAcct[[#This Row],[Plan]]</f>
        <v>2.3340000000000027E-3</v>
      </c>
      <c r="AF567">
        <f>IF(DB_ThemeSOFAcct[[#This Row],[Plan]]&lt;&gt;0,DB_ThemeSOFAcct[[#This Row],[Actuals]]/DB_ThemeSOFAcct[[#This Row],[Plan]],1.000011000011)</f>
        <v>0.99222865210066125</v>
      </c>
      <c r="AG567" s="34">
        <f>SUM(DB_ThemeSOFAcct[[#This Row],[Plan01]:[Plan12]])/valUnits2</f>
        <v>-0.30033399999999999</v>
      </c>
      <c r="AH567" s="34">
        <f>SUMPRODUCT(DB_ThemeSOFAcct[[#This Row],[Act01]:[Act12]],$Q$3:$AB$3)/valUnits2</f>
        <v>-0.29799999999999999</v>
      </c>
    </row>
    <row r="568" spans="2:34" x14ac:dyDescent="0.2">
      <c r="B568" t="s">
        <v>351</v>
      </c>
      <c r="C568" t="s">
        <v>926</v>
      </c>
      <c r="D568" t="s">
        <v>237</v>
      </c>
      <c r="E568">
        <v>942.93100000000004</v>
      </c>
      <c r="Q568">
        <v>952.08</v>
      </c>
      <c r="AC568">
        <f>SUMPRODUCT(DB_ThemeSOFAcct[[#This Row],[Plan01]:[Plan12]],$E$14:$P$14)/valUnits2</f>
        <v>0.94293100000000007</v>
      </c>
      <c r="AD568">
        <f>SUMPRODUCT(DB_ThemeSOFAcct[[#This Row],[Act01]:[Act12]],$Q$14:$AB$14)/valUnits2</f>
        <v>0.95208000000000004</v>
      </c>
      <c r="AE568">
        <f>DB_ThemeSOFAcct[[#This Row],[Actuals]]-DB_ThemeSOFAcct[[#This Row],[Plan]]</f>
        <v>9.1489999999999627E-3</v>
      </c>
      <c r="AF568">
        <f>IF(DB_ThemeSOFAcct[[#This Row],[Plan]]&lt;&gt;0,DB_ThemeSOFAcct[[#This Row],[Actuals]]/DB_ThemeSOFAcct[[#This Row],[Plan]],1.000011000011)</f>
        <v>1.0097027248017088</v>
      </c>
      <c r="AG568" s="34">
        <f>SUM(DB_ThemeSOFAcct[[#This Row],[Plan01]:[Plan12]])/valUnits2</f>
        <v>0.94293100000000007</v>
      </c>
      <c r="AH568" s="34">
        <f>SUMPRODUCT(DB_ThemeSOFAcct[[#This Row],[Act01]:[Act12]],$Q$3:$AB$3)/valUnits2</f>
        <v>0.95208000000000004</v>
      </c>
    </row>
    <row r="569" spans="2:34" x14ac:dyDescent="0.2">
      <c r="B569" t="s">
        <v>351</v>
      </c>
      <c r="C569" t="s">
        <v>927</v>
      </c>
      <c r="D569" t="s">
        <v>143</v>
      </c>
      <c r="E569">
        <v>0</v>
      </c>
      <c r="F569">
        <v>0</v>
      </c>
      <c r="G569">
        <v>0</v>
      </c>
      <c r="H569">
        <v>14521.54</v>
      </c>
      <c r="I569">
        <v>3333.51</v>
      </c>
      <c r="J569">
        <v>8187</v>
      </c>
      <c r="K569">
        <v>8187</v>
      </c>
      <c r="L569">
        <v>8187</v>
      </c>
      <c r="M569">
        <v>8187</v>
      </c>
      <c r="N569">
        <v>8187</v>
      </c>
      <c r="O569">
        <v>8187</v>
      </c>
      <c r="P569">
        <v>8187</v>
      </c>
      <c r="Q569">
        <v>0</v>
      </c>
      <c r="R569">
        <v>0</v>
      </c>
      <c r="S569">
        <v>0</v>
      </c>
      <c r="T569">
        <v>13960.02</v>
      </c>
      <c r="U569">
        <v>3241.2400000000007</v>
      </c>
      <c r="V569">
        <v>3313.4200000000005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f>SUMPRODUCT(DB_ThemeSOFAcct[[#This Row],[Plan01]:[Plan12]],$E$14:$P$14)/valUnits2</f>
        <v>26.042050000000003</v>
      </c>
      <c r="AD569">
        <f>SUMPRODUCT(DB_ThemeSOFAcct[[#This Row],[Act01]:[Act12]],$Q$14:$AB$14)/valUnits2</f>
        <v>20.514680000000006</v>
      </c>
      <c r="AE569">
        <f>DB_ThemeSOFAcct[[#This Row],[Actuals]]-DB_ThemeSOFAcct[[#This Row],[Plan]]</f>
        <v>-5.5273699999999977</v>
      </c>
      <c r="AF569">
        <f>IF(DB_ThemeSOFAcct[[#This Row],[Plan]]&lt;&gt;0,DB_ThemeSOFAcct[[#This Row],[Actuals]]/DB_ThemeSOFAcct[[#This Row],[Plan]],1.000011000011)</f>
        <v>0.78775211628884834</v>
      </c>
      <c r="AG569" s="34">
        <f>SUM(DB_ThemeSOFAcct[[#This Row],[Plan01]:[Plan12]])/valUnits2</f>
        <v>75.164050000000003</v>
      </c>
      <c r="AH569" s="34">
        <f>SUMPRODUCT(DB_ThemeSOFAcct[[#This Row],[Act01]:[Act12]],$Q$3:$AB$3)/valUnits2</f>
        <v>20.514680000000006</v>
      </c>
    </row>
    <row r="570" spans="2:34" x14ac:dyDescent="0.2">
      <c r="B570" t="s">
        <v>351</v>
      </c>
      <c r="C570" t="s">
        <v>927</v>
      </c>
      <c r="D570" t="s">
        <v>235</v>
      </c>
      <c r="E570">
        <v>0</v>
      </c>
      <c r="F570">
        <v>0</v>
      </c>
      <c r="G570">
        <v>0</v>
      </c>
      <c r="H570">
        <v>818.5</v>
      </c>
      <c r="I570">
        <v>953.9</v>
      </c>
      <c r="J570">
        <v>409</v>
      </c>
      <c r="K570">
        <v>409</v>
      </c>
      <c r="L570">
        <v>409</v>
      </c>
      <c r="M570">
        <v>409</v>
      </c>
      <c r="N570">
        <v>409</v>
      </c>
      <c r="O570">
        <v>409</v>
      </c>
      <c r="P570">
        <v>409</v>
      </c>
      <c r="Q570">
        <v>0</v>
      </c>
      <c r="R570">
        <v>0</v>
      </c>
      <c r="S570">
        <v>0</v>
      </c>
      <c r="T570">
        <v>1380.02</v>
      </c>
      <c r="U570">
        <v>1061.53</v>
      </c>
      <c r="V570">
        <v>558.93000000000006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f>SUMPRODUCT(DB_ThemeSOFAcct[[#This Row],[Plan01]:[Plan12]],$E$14:$P$14)/valUnits2</f>
        <v>2.1814</v>
      </c>
      <c r="AD570">
        <f>SUMPRODUCT(DB_ThemeSOFAcct[[#This Row],[Act01]:[Act12]],$Q$14:$AB$14)/valUnits2</f>
        <v>3.0004800000000005</v>
      </c>
      <c r="AE570">
        <f>DB_ThemeSOFAcct[[#This Row],[Actuals]]-DB_ThemeSOFAcct[[#This Row],[Plan]]</f>
        <v>0.81908000000000047</v>
      </c>
      <c r="AF570">
        <f>IF(DB_ThemeSOFAcct[[#This Row],[Plan]]&lt;&gt;0,DB_ThemeSOFAcct[[#This Row],[Actuals]]/DB_ThemeSOFAcct[[#This Row],[Plan]],1.000011000011)</f>
        <v>1.3754836343632533</v>
      </c>
      <c r="AG570" s="34">
        <f>SUM(DB_ThemeSOFAcct[[#This Row],[Plan01]:[Plan12]])/valUnits2</f>
        <v>4.6353999999999997</v>
      </c>
      <c r="AH570" s="34">
        <f>SUMPRODUCT(DB_ThemeSOFAcct[[#This Row],[Act01]:[Act12]],$Q$3:$AB$3)/valUnits2</f>
        <v>3.0004800000000005</v>
      </c>
    </row>
    <row r="571" spans="2:34" x14ac:dyDescent="0.2">
      <c r="B571" t="s">
        <v>351</v>
      </c>
      <c r="C571" t="s">
        <v>927</v>
      </c>
      <c r="D571" t="s">
        <v>140</v>
      </c>
      <c r="E571">
        <v>657.14</v>
      </c>
      <c r="F571">
        <v>10744.79</v>
      </c>
      <c r="G571">
        <v>11014.239999999998</v>
      </c>
      <c r="H571">
        <v>29113.539999999997</v>
      </c>
      <c r="I571">
        <v>17736</v>
      </c>
      <c r="J571">
        <v>20313.584999999999</v>
      </c>
      <c r="K571">
        <v>20313.584999999999</v>
      </c>
      <c r="L571">
        <v>20313.584999999999</v>
      </c>
      <c r="M571">
        <v>20313.584999999999</v>
      </c>
      <c r="N571">
        <v>20313.584999999999</v>
      </c>
      <c r="O571">
        <v>20313.584999999999</v>
      </c>
      <c r="P571">
        <v>20313.584999999999</v>
      </c>
      <c r="Q571">
        <v>657.14</v>
      </c>
      <c r="R571">
        <v>10744.790000000005</v>
      </c>
      <c r="S571">
        <v>11014.239999999998</v>
      </c>
      <c r="T571">
        <v>29113.539999999994</v>
      </c>
      <c r="U571">
        <v>17735.999999999996</v>
      </c>
      <c r="V571">
        <v>10371.949999999999</v>
      </c>
      <c r="W571">
        <v>5935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f>SUMPRODUCT(DB_ThemeSOFAcct[[#This Row],[Plan01]:[Plan12]],$E$14:$P$14)/valUnits2</f>
        <v>89.579294999999988</v>
      </c>
      <c r="AD571">
        <f>SUMPRODUCT(DB_ThemeSOFAcct[[#This Row],[Act01]:[Act12]],$Q$14:$AB$14)/valUnits2</f>
        <v>79.637659999999983</v>
      </c>
      <c r="AE571">
        <f>DB_ThemeSOFAcct[[#This Row],[Actuals]]-DB_ThemeSOFAcct[[#This Row],[Plan]]</f>
        <v>-9.9416350000000051</v>
      </c>
      <c r="AF571">
        <f>IF(DB_ThemeSOFAcct[[#This Row],[Plan]]&lt;&gt;0,DB_ThemeSOFAcct[[#This Row],[Actuals]]/DB_ThemeSOFAcct[[#This Row],[Plan]],1.000011000011)</f>
        <v>0.88901860636433894</v>
      </c>
      <c r="AG571" s="34">
        <f>SUM(DB_ThemeSOFAcct[[#This Row],[Plan01]:[Plan12]])/valUnits2</f>
        <v>211.46080499999994</v>
      </c>
      <c r="AH571" s="34">
        <f>SUMPRODUCT(DB_ThemeSOFAcct[[#This Row],[Act01]:[Act12]],$Q$3:$AB$3)/valUnits2</f>
        <v>79.637659999999983</v>
      </c>
    </row>
    <row r="572" spans="2:34" x14ac:dyDescent="0.2">
      <c r="B572" t="s">
        <v>351</v>
      </c>
      <c r="C572" t="s">
        <v>927</v>
      </c>
      <c r="D572" t="s">
        <v>236</v>
      </c>
      <c r="I572">
        <v>998.34</v>
      </c>
      <c r="J572">
        <v>0</v>
      </c>
      <c r="U572">
        <v>998.34</v>
      </c>
      <c r="V572">
        <v>3.4299999999999997</v>
      </c>
      <c r="AC572">
        <f>SUMPRODUCT(DB_ThemeSOFAcct[[#This Row],[Plan01]:[Plan12]],$E$14:$P$14)/valUnits2</f>
        <v>0.99834000000000001</v>
      </c>
      <c r="AD572">
        <f>SUMPRODUCT(DB_ThemeSOFAcct[[#This Row],[Act01]:[Act12]],$Q$14:$AB$14)/valUnits2</f>
        <v>1.00177</v>
      </c>
      <c r="AE572">
        <f>DB_ThemeSOFAcct[[#This Row],[Actuals]]-DB_ThemeSOFAcct[[#This Row],[Plan]]</f>
        <v>3.4300000000000441E-3</v>
      </c>
      <c r="AF572">
        <f>IF(DB_ThemeSOFAcct[[#This Row],[Plan]]&lt;&gt;0,DB_ThemeSOFAcct[[#This Row],[Actuals]]/DB_ThemeSOFAcct[[#This Row],[Plan]],1.000011000011)</f>
        <v>1.0034357032674239</v>
      </c>
      <c r="AG572" s="34">
        <f>SUM(DB_ThemeSOFAcct[[#This Row],[Plan01]:[Plan12]])/valUnits2</f>
        <v>0.99834000000000001</v>
      </c>
      <c r="AH572" s="34">
        <f>SUMPRODUCT(DB_ThemeSOFAcct[[#This Row],[Act01]:[Act12]],$Q$3:$AB$3)/valUnits2</f>
        <v>1.00177</v>
      </c>
    </row>
    <row r="573" spans="2:34" x14ac:dyDescent="0.2">
      <c r="B573" t="s">
        <v>351</v>
      </c>
      <c r="C573" t="s">
        <v>927</v>
      </c>
      <c r="D573" t="s">
        <v>237</v>
      </c>
      <c r="H573">
        <v>367.86</v>
      </c>
      <c r="I573">
        <v>9.99</v>
      </c>
      <c r="T573">
        <v>367.86</v>
      </c>
      <c r="U573">
        <v>9.99</v>
      </c>
      <c r="AC573">
        <f>SUMPRODUCT(DB_ThemeSOFAcct[[#This Row],[Plan01]:[Plan12]],$E$14:$P$14)/valUnits2</f>
        <v>0.37785000000000002</v>
      </c>
      <c r="AD573">
        <f>SUMPRODUCT(DB_ThemeSOFAcct[[#This Row],[Act01]:[Act12]],$Q$14:$AB$14)/valUnits2</f>
        <v>0.37785000000000002</v>
      </c>
      <c r="AE573">
        <f>DB_ThemeSOFAcct[[#This Row],[Actuals]]-DB_ThemeSOFAcct[[#This Row],[Plan]]</f>
        <v>0</v>
      </c>
      <c r="AF573">
        <f>IF(DB_ThemeSOFAcct[[#This Row],[Plan]]&lt;&gt;0,DB_ThemeSOFAcct[[#This Row],[Actuals]]/DB_ThemeSOFAcct[[#This Row],[Plan]],1.000011000011)</f>
        <v>1</v>
      </c>
      <c r="AG573" s="34">
        <f>SUM(DB_ThemeSOFAcct[[#This Row],[Plan01]:[Plan12]])/valUnits2</f>
        <v>0.37785000000000002</v>
      </c>
      <c r="AH573" s="34">
        <f>SUMPRODUCT(DB_ThemeSOFAcct[[#This Row],[Act01]:[Act12]],$Q$3:$AB$3)/valUnits2</f>
        <v>0.37785000000000002</v>
      </c>
    </row>
    <row r="574" spans="2:34" x14ac:dyDescent="0.2">
      <c r="B574" t="s">
        <v>351</v>
      </c>
      <c r="C574" t="s">
        <v>927</v>
      </c>
      <c r="D574" t="s">
        <v>141</v>
      </c>
      <c r="H574">
        <v>488.22</v>
      </c>
      <c r="I574">
        <v>201.32999999999998</v>
      </c>
      <c r="T574">
        <v>488.22</v>
      </c>
      <c r="U574">
        <v>201.33</v>
      </c>
      <c r="AC574">
        <f>SUMPRODUCT(DB_ThemeSOFAcct[[#This Row],[Plan01]:[Plan12]],$E$14:$P$14)/valUnits2</f>
        <v>0.68955</v>
      </c>
      <c r="AD574">
        <f>SUMPRODUCT(DB_ThemeSOFAcct[[#This Row],[Act01]:[Act12]],$Q$14:$AB$14)/valUnits2</f>
        <v>0.68955000000000011</v>
      </c>
      <c r="AE574">
        <f>DB_ThemeSOFAcct[[#This Row],[Actuals]]-DB_ThemeSOFAcct[[#This Row],[Plan]]</f>
        <v>0</v>
      </c>
      <c r="AF574">
        <f>IF(DB_ThemeSOFAcct[[#This Row],[Plan]]&lt;&gt;0,DB_ThemeSOFAcct[[#This Row],[Actuals]]/DB_ThemeSOFAcct[[#This Row],[Plan]],1.000011000011)</f>
        <v>1.0000000000000002</v>
      </c>
      <c r="AG574" s="34">
        <f>SUM(DB_ThemeSOFAcct[[#This Row],[Plan01]:[Plan12]])/valUnits2</f>
        <v>0.68955</v>
      </c>
      <c r="AH574" s="34">
        <f>SUMPRODUCT(DB_ThemeSOFAcct[[#This Row],[Act01]:[Act12]],$Q$3:$AB$3)/valUnits2</f>
        <v>0.68955000000000011</v>
      </c>
    </row>
    <row r="575" spans="2:34" x14ac:dyDescent="0.2">
      <c r="B575" t="s">
        <v>351</v>
      </c>
      <c r="C575" t="s">
        <v>359</v>
      </c>
      <c r="D575" t="s">
        <v>143</v>
      </c>
      <c r="H575">
        <v>79.971000000000004</v>
      </c>
      <c r="I575">
        <v>26.193999999999999</v>
      </c>
      <c r="J575">
        <v>113.345</v>
      </c>
      <c r="T575">
        <v>78.260000000000005</v>
      </c>
      <c r="U575">
        <v>26.990000000000002</v>
      </c>
      <c r="V575">
        <v>27.62</v>
      </c>
      <c r="AC575">
        <f>SUMPRODUCT(DB_ThemeSOFAcct[[#This Row],[Plan01]:[Plan12]],$E$14:$P$14)/valUnits2</f>
        <v>0.21950999999999998</v>
      </c>
      <c r="AD575">
        <f>SUMPRODUCT(DB_ThemeSOFAcct[[#This Row],[Act01]:[Act12]],$Q$14:$AB$14)/valUnits2</f>
        <v>0.13287000000000002</v>
      </c>
      <c r="AE575">
        <f>DB_ThemeSOFAcct[[#This Row],[Actuals]]-DB_ThemeSOFAcct[[#This Row],[Plan]]</f>
        <v>-8.6639999999999967E-2</v>
      </c>
      <c r="AF575">
        <f>IF(DB_ThemeSOFAcct[[#This Row],[Plan]]&lt;&gt;0,DB_ThemeSOFAcct[[#This Row],[Actuals]]/DB_ThemeSOFAcct[[#This Row],[Plan]],1.000011000011)</f>
        <v>0.60530271969386373</v>
      </c>
      <c r="AG575" s="34">
        <f>SUM(DB_ThemeSOFAcct[[#This Row],[Plan01]:[Plan12]])/valUnits2</f>
        <v>0.21950999999999998</v>
      </c>
      <c r="AH575" s="34">
        <f>SUMPRODUCT(DB_ThemeSOFAcct[[#This Row],[Act01]:[Act12]],$Q$3:$AB$3)/valUnits2</f>
        <v>0.13287000000000002</v>
      </c>
    </row>
    <row r="576" spans="2:34" x14ac:dyDescent="0.2">
      <c r="B576" t="s">
        <v>351</v>
      </c>
      <c r="C576" t="s">
        <v>359</v>
      </c>
      <c r="D576" t="s">
        <v>235</v>
      </c>
      <c r="H576">
        <v>3.984</v>
      </c>
      <c r="I576">
        <v>7.41</v>
      </c>
      <c r="J576">
        <v>0</v>
      </c>
      <c r="T576">
        <v>6.8</v>
      </c>
      <c r="U576">
        <v>8.86</v>
      </c>
      <c r="V576">
        <v>4.6099999999999994</v>
      </c>
      <c r="AC576">
        <f>SUMPRODUCT(DB_ThemeSOFAcct[[#This Row],[Plan01]:[Plan12]],$E$14:$P$14)/valUnits2</f>
        <v>1.1394E-2</v>
      </c>
      <c r="AD576">
        <f>SUMPRODUCT(DB_ThemeSOFAcct[[#This Row],[Act01]:[Act12]],$Q$14:$AB$14)/valUnits2</f>
        <v>2.027E-2</v>
      </c>
      <c r="AE576">
        <f>DB_ThemeSOFAcct[[#This Row],[Actuals]]-DB_ThemeSOFAcct[[#This Row],[Plan]]</f>
        <v>8.8760000000000002E-3</v>
      </c>
      <c r="AF576">
        <f>IF(DB_ThemeSOFAcct[[#This Row],[Plan]]&lt;&gt;0,DB_ThemeSOFAcct[[#This Row],[Actuals]]/DB_ThemeSOFAcct[[#This Row],[Plan]],1.000011000011)</f>
        <v>1.7790064946463051</v>
      </c>
      <c r="AG576" s="34">
        <f>SUM(DB_ThemeSOFAcct[[#This Row],[Plan01]:[Plan12]])/valUnits2</f>
        <v>1.1394E-2</v>
      </c>
      <c r="AH576" s="34">
        <f>SUMPRODUCT(DB_ThemeSOFAcct[[#This Row],[Act01]:[Act12]],$Q$3:$AB$3)/valUnits2</f>
        <v>2.027E-2</v>
      </c>
    </row>
    <row r="577" spans="2:34" x14ac:dyDescent="0.2">
      <c r="B577" t="s">
        <v>351</v>
      </c>
      <c r="C577" t="s">
        <v>359</v>
      </c>
      <c r="D577" t="s">
        <v>140</v>
      </c>
      <c r="H577">
        <v>0</v>
      </c>
      <c r="I577">
        <v>0</v>
      </c>
      <c r="J577">
        <v>587.71500000000003</v>
      </c>
      <c r="T577">
        <v>0</v>
      </c>
      <c r="U577">
        <v>0</v>
      </c>
      <c r="V577">
        <v>0</v>
      </c>
      <c r="AC577">
        <f>SUMPRODUCT(DB_ThemeSOFAcct[[#This Row],[Plan01]:[Plan12]],$E$14:$P$14)/valUnits2</f>
        <v>0.58771499999999999</v>
      </c>
      <c r="AD577">
        <f>SUMPRODUCT(DB_ThemeSOFAcct[[#This Row],[Act01]:[Act12]],$Q$14:$AB$14)/valUnits2</f>
        <v>0</v>
      </c>
      <c r="AE577">
        <f>DB_ThemeSOFAcct[[#This Row],[Actuals]]-DB_ThemeSOFAcct[[#This Row],[Plan]]</f>
        <v>-0.58771499999999999</v>
      </c>
      <c r="AF577">
        <f>IF(DB_ThemeSOFAcct[[#This Row],[Plan]]&lt;&gt;0,DB_ThemeSOFAcct[[#This Row],[Actuals]]/DB_ThemeSOFAcct[[#This Row],[Plan]],1.000011000011)</f>
        <v>0</v>
      </c>
      <c r="AG577" s="34">
        <f>SUM(DB_ThemeSOFAcct[[#This Row],[Plan01]:[Plan12]])/valUnits2</f>
        <v>0.58771499999999999</v>
      </c>
      <c r="AH577" s="34">
        <f>SUMPRODUCT(DB_ThemeSOFAcct[[#This Row],[Act01]:[Act12]],$Q$3:$AB$3)/valUnits2</f>
        <v>0</v>
      </c>
    </row>
    <row r="578" spans="2:34" x14ac:dyDescent="0.2">
      <c r="B578" t="s">
        <v>351</v>
      </c>
      <c r="C578" t="s">
        <v>359</v>
      </c>
      <c r="D578" t="s">
        <v>236</v>
      </c>
      <c r="I578">
        <v>7.6779999999999999</v>
      </c>
      <c r="J578">
        <v>0</v>
      </c>
      <c r="U578">
        <v>8.3000000000000007</v>
      </c>
      <c r="V578">
        <v>0.04</v>
      </c>
      <c r="AC578">
        <f>SUMPRODUCT(DB_ThemeSOFAcct[[#This Row],[Plan01]:[Plan12]],$E$14:$P$14)/valUnits2</f>
        <v>7.6779999999999999E-3</v>
      </c>
      <c r="AD578">
        <f>SUMPRODUCT(DB_ThemeSOFAcct[[#This Row],[Act01]:[Act12]],$Q$14:$AB$14)/valUnits2</f>
        <v>8.3400000000000002E-3</v>
      </c>
      <c r="AE578">
        <f>DB_ThemeSOFAcct[[#This Row],[Actuals]]-DB_ThemeSOFAcct[[#This Row],[Plan]]</f>
        <v>6.6200000000000026E-4</v>
      </c>
      <c r="AF578">
        <f>IF(DB_ThemeSOFAcct[[#This Row],[Plan]]&lt;&gt;0,DB_ThemeSOFAcct[[#This Row],[Actuals]]/DB_ThemeSOFAcct[[#This Row],[Plan]],1.000011000011)</f>
        <v>1.0862203698879918</v>
      </c>
      <c r="AG578" s="34">
        <f>SUM(DB_ThemeSOFAcct[[#This Row],[Plan01]:[Plan12]])/valUnits2</f>
        <v>7.6779999999999999E-3</v>
      </c>
      <c r="AH578" s="34">
        <f>SUMPRODUCT(DB_ThemeSOFAcct[[#This Row],[Act01]:[Act12]],$Q$3:$AB$3)/valUnits2</f>
        <v>8.3400000000000002E-3</v>
      </c>
    </row>
    <row r="579" spans="2:34" x14ac:dyDescent="0.2">
      <c r="B579" t="s">
        <v>351</v>
      </c>
      <c r="C579" t="s">
        <v>359</v>
      </c>
      <c r="D579" t="s">
        <v>237</v>
      </c>
      <c r="H579">
        <v>1.8559999999999999</v>
      </c>
      <c r="I579">
        <v>7.4999999999999997E-2</v>
      </c>
      <c r="J579">
        <v>5.032</v>
      </c>
      <c r="T579">
        <v>1.8399999999999999</v>
      </c>
      <c r="U579">
        <v>0.08</v>
      </c>
      <c r="V579">
        <v>0</v>
      </c>
      <c r="AC579">
        <f>SUMPRODUCT(DB_ThemeSOFAcct[[#This Row],[Plan01]:[Plan12]],$E$14:$P$14)/valUnits2</f>
        <v>6.9630000000000004E-3</v>
      </c>
      <c r="AD579">
        <f>SUMPRODUCT(DB_ThemeSOFAcct[[#This Row],[Act01]:[Act12]],$Q$14:$AB$14)/valUnits2</f>
        <v>1.9199999999999998E-3</v>
      </c>
      <c r="AE579">
        <f>DB_ThemeSOFAcct[[#This Row],[Actuals]]-DB_ThemeSOFAcct[[#This Row],[Plan]]</f>
        <v>-5.0430000000000006E-3</v>
      </c>
      <c r="AF579">
        <f>IF(DB_ThemeSOFAcct[[#This Row],[Plan]]&lt;&gt;0,DB_ThemeSOFAcct[[#This Row],[Actuals]]/DB_ThemeSOFAcct[[#This Row],[Plan]],1.000011000011)</f>
        <v>0.27574321413183966</v>
      </c>
      <c r="AG579" s="34">
        <f>SUM(DB_ThemeSOFAcct[[#This Row],[Plan01]:[Plan12]])/valUnits2</f>
        <v>6.9630000000000004E-3</v>
      </c>
      <c r="AH579" s="34">
        <f>SUMPRODUCT(DB_ThemeSOFAcct[[#This Row],[Act01]:[Act12]],$Q$3:$AB$3)/valUnits2</f>
        <v>1.9199999999999998E-3</v>
      </c>
    </row>
    <row r="580" spans="2:34" x14ac:dyDescent="0.2">
      <c r="B580" t="s">
        <v>351</v>
      </c>
      <c r="C580" t="s">
        <v>359</v>
      </c>
      <c r="D580" t="s">
        <v>141</v>
      </c>
      <c r="H580">
        <v>0.45800000000000002</v>
      </c>
      <c r="I580">
        <v>1.0569999999999999</v>
      </c>
      <c r="T580">
        <v>0.46</v>
      </c>
      <c r="U580">
        <v>1.1100000000000001</v>
      </c>
      <c r="AC580">
        <f>SUMPRODUCT(DB_ThemeSOFAcct[[#This Row],[Plan01]:[Plan12]],$E$14:$P$14)/valUnits2</f>
        <v>1.5149999999999999E-3</v>
      </c>
      <c r="AD580">
        <f>SUMPRODUCT(DB_ThemeSOFAcct[[#This Row],[Act01]:[Act12]],$Q$14:$AB$14)/valUnits2</f>
        <v>1.57E-3</v>
      </c>
      <c r="AE580">
        <f>DB_ThemeSOFAcct[[#This Row],[Actuals]]-DB_ThemeSOFAcct[[#This Row],[Plan]]</f>
        <v>5.5000000000000144E-5</v>
      </c>
      <c r="AF580">
        <f>IF(DB_ThemeSOFAcct[[#This Row],[Plan]]&lt;&gt;0,DB_ThemeSOFAcct[[#This Row],[Actuals]]/DB_ThemeSOFAcct[[#This Row],[Plan]],1.000011000011)</f>
        <v>1.0363036303630364</v>
      </c>
      <c r="AG580" s="34">
        <f>SUM(DB_ThemeSOFAcct[[#This Row],[Plan01]:[Plan12]])/valUnits2</f>
        <v>1.5149999999999999E-3</v>
      </c>
      <c r="AH580" s="34">
        <f>SUMPRODUCT(DB_ThemeSOFAcct[[#This Row],[Act01]:[Act12]],$Q$3:$AB$3)/valUnits2</f>
        <v>1.57E-3</v>
      </c>
    </row>
    <row r="581" spans="2:34" x14ac:dyDescent="0.2">
      <c r="B581" t="s">
        <v>351</v>
      </c>
      <c r="C581" t="s">
        <v>360</v>
      </c>
      <c r="D581" t="s">
        <v>143</v>
      </c>
      <c r="H581">
        <v>352.25</v>
      </c>
      <c r="I581">
        <v>106.24299999999999</v>
      </c>
      <c r="J581">
        <v>398.16399999999999</v>
      </c>
      <c r="T581">
        <v>344.35999999999996</v>
      </c>
      <c r="U581">
        <v>109.44000000000001</v>
      </c>
      <c r="V581">
        <v>1349.3900000000003</v>
      </c>
      <c r="AC581">
        <f>SUMPRODUCT(DB_ThemeSOFAcct[[#This Row],[Plan01]:[Plan12]],$E$14:$P$14)/valUnits2</f>
        <v>0.85665699999999989</v>
      </c>
      <c r="AD581">
        <f>SUMPRODUCT(DB_ThemeSOFAcct[[#This Row],[Act01]:[Act12]],$Q$14:$AB$14)/valUnits2</f>
        <v>1.8031900000000003</v>
      </c>
      <c r="AE581">
        <f>DB_ThemeSOFAcct[[#This Row],[Actuals]]-DB_ThemeSOFAcct[[#This Row],[Plan]]</f>
        <v>0.9465330000000004</v>
      </c>
      <c r="AF581">
        <f>IF(DB_ThemeSOFAcct[[#This Row],[Plan]]&lt;&gt;0,DB_ThemeSOFAcct[[#This Row],[Actuals]]/DB_ThemeSOFAcct[[#This Row],[Plan]],1.000011000011)</f>
        <v>2.1049148025405739</v>
      </c>
      <c r="AG581" s="34">
        <f>SUM(DB_ThemeSOFAcct[[#This Row],[Plan01]:[Plan12]])/valUnits2</f>
        <v>0.85665699999999989</v>
      </c>
      <c r="AH581" s="34">
        <f>SUMPRODUCT(DB_ThemeSOFAcct[[#This Row],[Act01]:[Act12]],$Q$3:$AB$3)/valUnits2</f>
        <v>1.8031900000000003</v>
      </c>
    </row>
    <row r="582" spans="2:34" x14ac:dyDescent="0.2">
      <c r="B582" t="s">
        <v>351</v>
      </c>
      <c r="C582" t="s">
        <v>360</v>
      </c>
      <c r="D582" t="s">
        <v>235</v>
      </c>
      <c r="H582">
        <v>18.128</v>
      </c>
      <c r="I582">
        <v>30.001999999999999</v>
      </c>
      <c r="J582">
        <v>0</v>
      </c>
      <c r="T582">
        <v>30.92</v>
      </c>
      <c r="U582">
        <v>35.870000000000005</v>
      </c>
      <c r="V582">
        <v>283.19</v>
      </c>
      <c r="AC582">
        <f>SUMPRODUCT(DB_ThemeSOFAcct[[#This Row],[Plan01]:[Plan12]],$E$14:$P$14)/valUnits2</f>
        <v>4.8129999999999992E-2</v>
      </c>
      <c r="AD582">
        <f>SUMPRODUCT(DB_ThemeSOFAcct[[#This Row],[Act01]:[Act12]],$Q$14:$AB$14)/valUnits2</f>
        <v>0.34998000000000001</v>
      </c>
      <c r="AE582">
        <f>DB_ThemeSOFAcct[[#This Row],[Actuals]]-DB_ThemeSOFAcct[[#This Row],[Plan]]</f>
        <v>0.30185000000000001</v>
      </c>
      <c r="AF582">
        <f>IF(DB_ThemeSOFAcct[[#This Row],[Plan]]&lt;&gt;0,DB_ThemeSOFAcct[[#This Row],[Actuals]]/DB_ThemeSOFAcct[[#This Row],[Plan]],1.000011000011)</f>
        <v>7.2715562019530449</v>
      </c>
      <c r="AG582" s="34">
        <f>SUM(DB_ThemeSOFAcct[[#This Row],[Plan01]:[Plan12]])/valUnits2</f>
        <v>4.8129999999999992E-2</v>
      </c>
      <c r="AH582" s="34">
        <f>SUMPRODUCT(DB_ThemeSOFAcct[[#This Row],[Act01]:[Act12]],$Q$3:$AB$3)/valUnits2</f>
        <v>0.34998000000000001</v>
      </c>
    </row>
    <row r="583" spans="2:34" x14ac:dyDescent="0.2">
      <c r="B583" t="s">
        <v>351</v>
      </c>
      <c r="C583" t="s">
        <v>360</v>
      </c>
      <c r="D583" t="s">
        <v>140</v>
      </c>
      <c r="H583">
        <v>0</v>
      </c>
      <c r="I583">
        <v>0</v>
      </c>
      <c r="J583">
        <v>2064.5540000000001</v>
      </c>
      <c r="T583">
        <v>0</v>
      </c>
      <c r="U583">
        <v>0</v>
      </c>
      <c r="V583">
        <v>0</v>
      </c>
      <c r="AC583">
        <f>SUMPRODUCT(DB_ThemeSOFAcct[[#This Row],[Plan01]:[Plan12]],$E$14:$P$14)/valUnits2</f>
        <v>2.0645540000000002</v>
      </c>
      <c r="AD583">
        <f>SUMPRODUCT(DB_ThemeSOFAcct[[#This Row],[Act01]:[Act12]],$Q$14:$AB$14)/valUnits2</f>
        <v>0</v>
      </c>
      <c r="AE583">
        <f>DB_ThemeSOFAcct[[#This Row],[Actuals]]-DB_ThemeSOFAcct[[#This Row],[Plan]]</f>
        <v>-2.0645540000000002</v>
      </c>
      <c r="AF583">
        <f>IF(DB_ThemeSOFAcct[[#This Row],[Plan]]&lt;&gt;0,DB_ThemeSOFAcct[[#This Row],[Actuals]]/DB_ThemeSOFAcct[[#This Row],[Plan]],1.000011000011)</f>
        <v>0</v>
      </c>
      <c r="AG583" s="34">
        <f>SUM(DB_ThemeSOFAcct[[#This Row],[Plan01]:[Plan12]])/valUnits2</f>
        <v>2.0645540000000002</v>
      </c>
      <c r="AH583" s="34">
        <f>SUMPRODUCT(DB_ThemeSOFAcct[[#This Row],[Act01]:[Act12]],$Q$3:$AB$3)/valUnits2</f>
        <v>0</v>
      </c>
    </row>
    <row r="584" spans="2:34" x14ac:dyDescent="0.2">
      <c r="B584" t="s">
        <v>351</v>
      </c>
      <c r="C584" t="s">
        <v>360</v>
      </c>
      <c r="D584" t="s">
        <v>236</v>
      </c>
      <c r="I584">
        <v>31.141999999999999</v>
      </c>
      <c r="J584">
        <v>0</v>
      </c>
      <c r="U584">
        <v>33.64</v>
      </c>
      <c r="V584">
        <v>1.4600000000000002</v>
      </c>
      <c r="AC584">
        <f>SUMPRODUCT(DB_ThemeSOFAcct[[#This Row],[Plan01]:[Plan12]],$E$14:$P$14)/valUnits2</f>
        <v>3.1142E-2</v>
      </c>
      <c r="AD584">
        <f>SUMPRODUCT(DB_ThemeSOFAcct[[#This Row],[Act01]:[Act12]],$Q$14:$AB$14)/valUnits2</f>
        <v>3.5099999999999999E-2</v>
      </c>
      <c r="AE584">
        <f>DB_ThemeSOFAcct[[#This Row],[Actuals]]-DB_ThemeSOFAcct[[#This Row],[Plan]]</f>
        <v>3.9579999999999997E-3</v>
      </c>
      <c r="AF584">
        <f>IF(DB_ThemeSOFAcct[[#This Row],[Plan]]&lt;&gt;0,DB_ThemeSOFAcct[[#This Row],[Actuals]]/DB_ThemeSOFAcct[[#This Row],[Plan]],1.000011000011)</f>
        <v>1.1270952411534263</v>
      </c>
      <c r="AG584" s="34">
        <f>SUM(DB_ThemeSOFAcct[[#This Row],[Plan01]:[Plan12]])/valUnits2</f>
        <v>3.1142E-2</v>
      </c>
      <c r="AH584" s="34">
        <f>SUMPRODUCT(DB_ThemeSOFAcct[[#This Row],[Act01]:[Act12]],$Q$3:$AB$3)/valUnits2</f>
        <v>3.5099999999999999E-2</v>
      </c>
    </row>
    <row r="585" spans="2:34" x14ac:dyDescent="0.2">
      <c r="B585" t="s">
        <v>351</v>
      </c>
      <c r="C585" t="s">
        <v>360</v>
      </c>
      <c r="D585" t="s">
        <v>237</v>
      </c>
      <c r="G585">
        <v>0</v>
      </c>
      <c r="H585">
        <v>8.423</v>
      </c>
      <c r="I585">
        <v>0.32100000000000001</v>
      </c>
      <c r="J585">
        <v>17.376000000000001</v>
      </c>
      <c r="S585">
        <v>0</v>
      </c>
      <c r="T585">
        <v>8.35</v>
      </c>
      <c r="U585">
        <v>0.34</v>
      </c>
      <c r="V585">
        <v>0</v>
      </c>
      <c r="AC585">
        <f>SUMPRODUCT(DB_ThemeSOFAcct[[#This Row],[Plan01]:[Plan12]],$E$14:$P$14)/valUnits2</f>
        <v>2.6120000000000001E-2</v>
      </c>
      <c r="AD585">
        <f>SUMPRODUCT(DB_ThemeSOFAcct[[#This Row],[Act01]:[Act12]],$Q$14:$AB$14)/valUnits2</f>
        <v>8.6899999999999998E-3</v>
      </c>
      <c r="AE585">
        <f>DB_ThemeSOFAcct[[#This Row],[Actuals]]-DB_ThemeSOFAcct[[#This Row],[Plan]]</f>
        <v>-1.7430000000000001E-2</v>
      </c>
      <c r="AF585">
        <f>IF(DB_ThemeSOFAcct[[#This Row],[Plan]]&lt;&gt;0,DB_ThemeSOFAcct[[#This Row],[Actuals]]/DB_ThemeSOFAcct[[#This Row],[Plan]],1.000011000011)</f>
        <v>0.33269525267993871</v>
      </c>
      <c r="AG585" s="34">
        <f>SUM(DB_ThemeSOFAcct[[#This Row],[Plan01]:[Plan12]])/valUnits2</f>
        <v>2.6120000000000001E-2</v>
      </c>
      <c r="AH585" s="34">
        <f>SUMPRODUCT(DB_ThemeSOFAcct[[#This Row],[Act01]:[Act12]],$Q$3:$AB$3)/valUnits2</f>
        <v>8.6899999999999998E-3</v>
      </c>
    </row>
    <row r="586" spans="2:34" x14ac:dyDescent="0.2">
      <c r="B586" t="s">
        <v>351</v>
      </c>
      <c r="C586" t="s">
        <v>360</v>
      </c>
      <c r="D586" t="s">
        <v>141</v>
      </c>
      <c r="H586">
        <v>2.1019999999999999</v>
      </c>
      <c r="I586">
        <v>4.3440000000000003</v>
      </c>
      <c r="T586">
        <v>2.11</v>
      </c>
      <c r="U586">
        <v>4.5600000000000005</v>
      </c>
      <c r="AC586">
        <f>SUMPRODUCT(DB_ThemeSOFAcct[[#This Row],[Plan01]:[Plan12]],$E$14:$P$14)/valUnits2</f>
        <v>6.4459999999999995E-3</v>
      </c>
      <c r="AD586">
        <f>SUMPRODUCT(DB_ThemeSOFAcct[[#This Row],[Act01]:[Act12]],$Q$14:$AB$14)/valUnits2</f>
        <v>6.6699999999999997E-3</v>
      </c>
      <c r="AE586">
        <f>DB_ThemeSOFAcct[[#This Row],[Actuals]]-DB_ThemeSOFAcct[[#This Row],[Plan]]</f>
        <v>2.2400000000000024E-4</v>
      </c>
      <c r="AF586">
        <f>IF(DB_ThemeSOFAcct[[#This Row],[Plan]]&lt;&gt;0,DB_ThemeSOFAcct[[#This Row],[Actuals]]/DB_ThemeSOFAcct[[#This Row],[Plan]],1.000011000011)</f>
        <v>1.0347502327024511</v>
      </c>
      <c r="AG586" s="34">
        <f>SUM(DB_ThemeSOFAcct[[#This Row],[Plan01]:[Plan12]])/valUnits2</f>
        <v>6.4459999999999995E-3</v>
      </c>
      <c r="AH586" s="34">
        <f>SUMPRODUCT(DB_ThemeSOFAcct[[#This Row],[Act01]:[Act12]],$Q$3:$AB$3)/valUnits2</f>
        <v>6.6699999999999997E-3</v>
      </c>
    </row>
    <row r="587" spans="2:34" x14ac:dyDescent="0.2">
      <c r="B587" t="s">
        <v>351</v>
      </c>
      <c r="C587" t="s">
        <v>928</v>
      </c>
      <c r="D587" t="s">
        <v>143</v>
      </c>
      <c r="H587">
        <v>180.95099999999999</v>
      </c>
      <c r="J587">
        <v>0</v>
      </c>
      <c r="T587">
        <v>174.77</v>
      </c>
      <c r="V587">
        <v>-174.77</v>
      </c>
      <c r="AC587">
        <f>SUMPRODUCT(DB_ThemeSOFAcct[[#This Row],[Plan01]:[Plan12]],$E$14:$P$14)/valUnits2</f>
        <v>0.180951</v>
      </c>
      <c r="AD587">
        <f>SUMPRODUCT(DB_ThemeSOFAcct[[#This Row],[Act01]:[Act12]],$Q$14:$AB$14)/valUnits2</f>
        <v>0</v>
      </c>
      <c r="AE587">
        <f>DB_ThemeSOFAcct[[#This Row],[Actuals]]-DB_ThemeSOFAcct[[#This Row],[Plan]]</f>
        <v>-0.180951</v>
      </c>
      <c r="AF587">
        <f>IF(DB_ThemeSOFAcct[[#This Row],[Plan]]&lt;&gt;0,DB_ThemeSOFAcct[[#This Row],[Actuals]]/DB_ThemeSOFAcct[[#This Row],[Plan]],1.000011000011)</f>
        <v>0</v>
      </c>
      <c r="AG587" s="34">
        <f>SUM(DB_ThemeSOFAcct[[#This Row],[Plan01]:[Plan12]])/valUnits2</f>
        <v>0.180951</v>
      </c>
      <c r="AH587" s="34">
        <f>SUMPRODUCT(DB_ThemeSOFAcct[[#This Row],[Act01]:[Act12]],$Q$3:$AB$3)/valUnits2</f>
        <v>0</v>
      </c>
    </row>
    <row r="588" spans="2:34" x14ac:dyDescent="0.2">
      <c r="B588" t="s">
        <v>351</v>
      </c>
      <c r="C588" t="s">
        <v>928</v>
      </c>
      <c r="D588" t="s">
        <v>235</v>
      </c>
      <c r="H588">
        <v>13.098000000000001</v>
      </c>
      <c r="J588">
        <v>0</v>
      </c>
      <c r="T588">
        <v>21.92</v>
      </c>
      <c r="V588">
        <v>-21.92</v>
      </c>
      <c r="AC588">
        <f>SUMPRODUCT(DB_ThemeSOFAcct[[#This Row],[Plan01]:[Plan12]],$E$14:$P$14)/valUnits2</f>
        <v>1.3098E-2</v>
      </c>
      <c r="AD588">
        <f>SUMPRODUCT(DB_ThemeSOFAcct[[#This Row],[Act01]:[Act12]],$Q$14:$AB$14)/valUnits2</f>
        <v>0</v>
      </c>
      <c r="AE588">
        <f>DB_ThemeSOFAcct[[#This Row],[Actuals]]-DB_ThemeSOFAcct[[#This Row],[Plan]]</f>
        <v>-1.3098E-2</v>
      </c>
      <c r="AF588">
        <f>IF(DB_ThemeSOFAcct[[#This Row],[Plan]]&lt;&gt;0,DB_ThemeSOFAcct[[#This Row],[Actuals]]/DB_ThemeSOFAcct[[#This Row],[Plan]],1.000011000011)</f>
        <v>0</v>
      </c>
      <c r="AG588" s="34">
        <f>SUM(DB_ThemeSOFAcct[[#This Row],[Plan01]:[Plan12]])/valUnits2</f>
        <v>1.3098E-2</v>
      </c>
      <c r="AH588" s="34">
        <f>SUMPRODUCT(DB_ThemeSOFAcct[[#This Row],[Act01]:[Act12]],$Q$3:$AB$3)/valUnits2</f>
        <v>0</v>
      </c>
    </row>
    <row r="589" spans="2:34" x14ac:dyDescent="0.2">
      <c r="B589" t="s">
        <v>351</v>
      </c>
      <c r="C589" t="s">
        <v>928</v>
      </c>
      <c r="D589" t="s">
        <v>140</v>
      </c>
      <c r="E589">
        <v>8.7899999999999991</v>
      </c>
      <c r="F589">
        <v>1004.303</v>
      </c>
      <c r="G589">
        <v>928.56899999999996</v>
      </c>
      <c r="H589">
        <v>891.95499999999993</v>
      </c>
      <c r="I589">
        <v>241.041</v>
      </c>
      <c r="J589">
        <v>0</v>
      </c>
      <c r="Q589">
        <v>8.66</v>
      </c>
      <c r="R589">
        <v>1024.8300000000002</v>
      </c>
      <c r="S589">
        <v>936.34</v>
      </c>
      <c r="T589">
        <v>887.11000000000013</v>
      </c>
      <c r="U589">
        <v>246.42000000000002</v>
      </c>
      <c r="V589">
        <v>-3094.7000000000003</v>
      </c>
      <c r="AC589">
        <f>SUMPRODUCT(DB_ThemeSOFAcct[[#This Row],[Plan01]:[Plan12]],$E$14:$P$14)/valUnits2</f>
        <v>3.0746579999999999</v>
      </c>
      <c r="AD589">
        <f>SUMPRODUCT(DB_ThemeSOFAcct[[#This Row],[Act01]:[Act12]],$Q$14:$AB$14)/valUnits2</f>
        <v>8.6600000000003098E-3</v>
      </c>
      <c r="AE589">
        <f>DB_ThemeSOFAcct[[#This Row],[Actuals]]-DB_ThemeSOFAcct[[#This Row],[Plan]]</f>
        <v>-3.0659979999999996</v>
      </c>
      <c r="AF589">
        <f>IF(DB_ThemeSOFAcct[[#This Row],[Plan]]&lt;&gt;0,DB_ThemeSOFAcct[[#This Row],[Actuals]]/DB_ThemeSOFAcct[[#This Row],[Plan]],1.000011000011)</f>
        <v>2.8165734205236191E-3</v>
      </c>
      <c r="AG589" s="34">
        <f>SUM(DB_ThemeSOFAcct[[#This Row],[Plan01]:[Plan12]])/valUnits2</f>
        <v>3.0746579999999999</v>
      </c>
      <c r="AH589" s="34">
        <f>SUMPRODUCT(DB_ThemeSOFAcct[[#This Row],[Act01]:[Act12]],$Q$3:$AB$3)/valUnits2</f>
        <v>8.6600000000003098E-3</v>
      </c>
    </row>
    <row r="590" spans="2:34" x14ac:dyDescent="0.2">
      <c r="B590" t="s">
        <v>351</v>
      </c>
      <c r="C590" t="s">
        <v>928</v>
      </c>
      <c r="D590" t="s">
        <v>237</v>
      </c>
      <c r="H590">
        <v>5.88</v>
      </c>
      <c r="J590">
        <v>0</v>
      </c>
      <c r="T590">
        <v>5.83</v>
      </c>
      <c r="V590">
        <v>-5.83</v>
      </c>
      <c r="AC590">
        <f>SUMPRODUCT(DB_ThemeSOFAcct[[#This Row],[Plan01]:[Plan12]],$E$14:$P$14)/valUnits2</f>
        <v>5.8799999999999998E-3</v>
      </c>
      <c r="AD590">
        <f>SUMPRODUCT(DB_ThemeSOFAcct[[#This Row],[Act01]:[Act12]],$Q$14:$AB$14)/valUnits2</f>
        <v>0</v>
      </c>
      <c r="AE590">
        <f>DB_ThemeSOFAcct[[#This Row],[Actuals]]-DB_ThemeSOFAcct[[#This Row],[Plan]]</f>
        <v>-5.8799999999999998E-3</v>
      </c>
      <c r="AF590">
        <f>IF(DB_ThemeSOFAcct[[#This Row],[Plan]]&lt;&gt;0,DB_ThemeSOFAcct[[#This Row],[Actuals]]/DB_ThemeSOFAcct[[#This Row],[Plan]],1.000011000011)</f>
        <v>0</v>
      </c>
      <c r="AG590" s="34">
        <f>SUM(DB_ThemeSOFAcct[[#This Row],[Plan01]:[Plan12]])/valUnits2</f>
        <v>5.8799999999999998E-3</v>
      </c>
      <c r="AH590" s="34">
        <f>SUMPRODUCT(DB_ThemeSOFAcct[[#This Row],[Act01]:[Act12]],$Q$3:$AB$3)/valUnits2</f>
        <v>0</v>
      </c>
    </row>
    <row r="591" spans="2:34" x14ac:dyDescent="0.2">
      <c r="B591" t="s">
        <v>351</v>
      </c>
      <c r="C591" t="s">
        <v>928</v>
      </c>
      <c r="D591" t="s">
        <v>141</v>
      </c>
      <c r="H591">
        <v>80.475999999999999</v>
      </c>
      <c r="J591">
        <v>0</v>
      </c>
      <c r="T591">
        <v>80.239999999999995</v>
      </c>
      <c r="V591">
        <v>-80.239999999999995</v>
      </c>
      <c r="AC591">
        <f>SUMPRODUCT(DB_ThemeSOFAcct[[#This Row],[Plan01]:[Plan12]],$E$14:$P$14)/valUnits2</f>
        <v>8.0476000000000006E-2</v>
      </c>
      <c r="AD591">
        <f>SUMPRODUCT(DB_ThemeSOFAcct[[#This Row],[Act01]:[Act12]],$Q$14:$AB$14)/valUnits2</f>
        <v>0</v>
      </c>
      <c r="AE591">
        <f>DB_ThemeSOFAcct[[#This Row],[Actuals]]-DB_ThemeSOFAcct[[#This Row],[Plan]]</f>
        <v>-8.0476000000000006E-2</v>
      </c>
      <c r="AF591">
        <f>IF(DB_ThemeSOFAcct[[#This Row],[Plan]]&lt;&gt;0,DB_ThemeSOFAcct[[#This Row],[Actuals]]/DB_ThemeSOFAcct[[#This Row],[Plan]],1.000011000011)</f>
        <v>0</v>
      </c>
      <c r="AG591" s="34">
        <f>SUM(DB_ThemeSOFAcct[[#This Row],[Plan01]:[Plan12]])/valUnits2</f>
        <v>8.0476000000000006E-2</v>
      </c>
      <c r="AH591" s="34">
        <f>SUMPRODUCT(DB_ThemeSOFAcct[[#This Row],[Act01]:[Act12]],$Q$3:$AB$3)/valUnits2</f>
        <v>0</v>
      </c>
    </row>
    <row r="592" spans="2:34" x14ac:dyDescent="0.2">
      <c r="B592" t="s">
        <v>351</v>
      </c>
      <c r="C592" t="s">
        <v>929</v>
      </c>
      <c r="D592" t="s">
        <v>143</v>
      </c>
      <c r="E592">
        <v>0</v>
      </c>
      <c r="G592">
        <v>0</v>
      </c>
      <c r="H592">
        <v>163.691</v>
      </c>
      <c r="I592">
        <v>6.8449999999999998</v>
      </c>
      <c r="Q592">
        <v>0</v>
      </c>
      <c r="S592">
        <v>0</v>
      </c>
      <c r="T592">
        <v>163.13999999999999</v>
      </c>
      <c r="U592">
        <v>3.21</v>
      </c>
      <c r="AC592">
        <f>SUMPRODUCT(DB_ThemeSOFAcct[[#This Row],[Plan01]:[Plan12]],$E$14:$P$14)/valUnits2</f>
        <v>0.17053599999999999</v>
      </c>
      <c r="AD592">
        <f>SUMPRODUCT(DB_ThemeSOFAcct[[#This Row],[Act01]:[Act12]],$Q$14:$AB$14)/valUnits2</f>
        <v>0.16635</v>
      </c>
      <c r="AE592">
        <f>DB_ThemeSOFAcct[[#This Row],[Actuals]]-DB_ThemeSOFAcct[[#This Row],[Plan]]</f>
        <v>-4.1859999999999953E-3</v>
      </c>
      <c r="AF592">
        <f>IF(DB_ThemeSOFAcct[[#This Row],[Plan]]&lt;&gt;0,DB_ThemeSOFAcct[[#This Row],[Actuals]]/DB_ThemeSOFAcct[[#This Row],[Plan]],1.000011000011)</f>
        <v>0.97545386311394666</v>
      </c>
      <c r="AG592" s="34">
        <f>SUM(DB_ThemeSOFAcct[[#This Row],[Plan01]:[Plan12]])/valUnits2</f>
        <v>0.17053599999999999</v>
      </c>
      <c r="AH592" s="34">
        <f>SUMPRODUCT(DB_ThemeSOFAcct[[#This Row],[Act01]:[Act12]],$Q$3:$AB$3)/valUnits2</f>
        <v>0.16635</v>
      </c>
    </row>
    <row r="593" spans="2:34" x14ac:dyDescent="0.2">
      <c r="B593" t="s">
        <v>351</v>
      </c>
      <c r="C593" t="s">
        <v>929</v>
      </c>
      <c r="D593" t="s">
        <v>235</v>
      </c>
      <c r="E593">
        <v>0</v>
      </c>
      <c r="G593">
        <v>0</v>
      </c>
      <c r="H593">
        <v>0</v>
      </c>
      <c r="I593">
        <v>43.514000000000003</v>
      </c>
      <c r="Q593">
        <v>0</v>
      </c>
      <c r="S593">
        <v>0</v>
      </c>
      <c r="T593">
        <v>0</v>
      </c>
      <c r="U593">
        <v>46.58</v>
      </c>
      <c r="AC593">
        <f>SUMPRODUCT(DB_ThemeSOFAcct[[#This Row],[Plan01]:[Plan12]],$E$14:$P$14)/valUnits2</f>
        <v>4.3514000000000004E-2</v>
      </c>
      <c r="AD593">
        <f>SUMPRODUCT(DB_ThemeSOFAcct[[#This Row],[Act01]:[Act12]],$Q$14:$AB$14)/valUnits2</f>
        <v>4.6579999999999996E-2</v>
      </c>
      <c r="AE593">
        <f>DB_ThemeSOFAcct[[#This Row],[Actuals]]-DB_ThemeSOFAcct[[#This Row],[Plan]]</f>
        <v>3.0659999999999923E-3</v>
      </c>
      <c r="AF593">
        <f>IF(DB_ThemeSOFAcct[[#This Row],[Plan]]&lt;&gt;0,DB_ThemeSOFAcct[[#This Row],[Actuals]]/DB_ThemeSOFAcct[[#This Row],[Plan]],1.000011000011)</f>
        <v>1.0704600818127497</v>
      </c>
      <c r="AG593" s="34">
        <f>SUM(DB_ThemeSOFAcct[[#This Row],[Plan01]:[Plan12]])/valUnits2</f>
        <v>4.3514000000000004E-2</v>
      </c>
      <c r="AH593" s="34">
        <f>SUMPRODUCT(DB_ThemeSOFAcct[[#This Row],[Act01]:[Act12]],$Q$3:$AB$3)/valUnits2</f>
        <v>4.6579999999999996E-2</v>
      </c>
    </row>
    <row r="594" spans="2:34" x14ac:dyDescent="0.2">
      <c r="B594" t="s">
        <v>351</v>
      </c>
      <c r="C594" t="s">
        <v>929</v>
      </c>
      <c r="D594" t="s">
        <v>140</v>
      </c>
      <c r="G594">
        <v>0</v>
      </c>
      <c r="H594">
        <v>0</v>
      </c>
      <c r="I594">
        <v>314.13799999999998</v>
      </c>
      <c r="J594">
        <v>0</v>
      </c>
      <c r="S594">
        <v>0</v>
      </c>
      <c r="T594">
        <v>0</v>
      </c>
      <c r="U594">
        <v>310.33</v>
      </c>
      <c r="V594">
        <v>-310.33</v>
      </c>
      <c r="AC594">
        <f>SUMPRODUCT(DB_ThemeSOFAcct[[#This Row],[Plan01]:[Plan12]],$E$14:$P$14)/valUnits2</f>
        <v>0.31413799999999997</v>
      </c>
      <c r="AD594">
        <f>SUMPRODUCT(DB_ThemeSOFAcct[[#This Row],[Act01]:[Act12]],$Q$14:$AB$14)/valUnits2</f>
        <v>0</v>
      </c>
      <c r="AE594">
        <f>DB_ThemeSOFAcct[[#This Row],[Actuals]]-DB_ThemeSOFAcct[[#This Row],[Plan]]</f>
        <v>-0.31413799999999997</v>
      </c>
      <c r="AF594">
        <f>IF(DB_ThemeSOFAcct[[#This Row],[Plan]]&lt;&gt;0,DB_ThemeSOFAcct[[#This Row],[Actuals]]/DB_ThemeSOFAcct[[#This Row],[Plan]],1.000011000011)</f>
        <v>0</v>
      </c>
      <c r="AG594" s="34">
        <f>SUM(DB_ThemeSOFAcct[[#This Row],[Plan01]:[Plan12]])/valUnits2</f>
        <v>0.31413799999999997</v>
      </c>
      <c r="AH594" s="34">
        <f>SUMPRODUCT(DB_ThemeSOFAcct[[#This Row],[Act01]:[Act12]],$Q$3:$AB$3)/valUnits2</f>
        <v>0</v>
      </c>
    </row>
    <row r="595" spans="2:34" x14ac:dyDescent="0.2">
      <c r="B595" t="s">
        <v>351</v>
      </c>
      <c r="C595" t="s">
        <v>929</v>
      </c>
      <c r="D595" t="s">
        <v>236</v>
      </c>
      <c r="I595">
        <v>57.872</v>
      </c>
      <c r="U595">
        <v>57.52</v>
      </c>
      <c r="AC595">
        <f>SUMPRODUCT(DB_ThemeSOFAcct[[#This Row],[Plan01]:[Plan12]],$E$14:$P$14)/valUnits2</f>
        <v>5.7872E-2</v>
      </c>
      <c r="AD595">
        <f>SUMPRODUCT(DB_ThemeSOFAcct[[#This Row],[Act01]:[Act12]],$Q$14:$AB$14)/valUnits2</f>
        <v>5.7520000000000002E-2</v>
      </c>
      <c r="AE595">
        <f>DB_ThemeSOFAcct[[#This Row],[Actuals]]-DB_ThemeSOFAcct[[#This Row],[Plan]]</f>
        <v>-3.5199999999999815E-4</v>
      </c>
      <c r="AF595">
        <f>IF(DB_ThemeSOFAcct[[#This Row],[Plan]]&lt;&gt;0,DB_ThemeSOFAcct[[#This Row],[Actuals]]/DB_ThemeSOFAcct[[#This Row],[Plan]],1.000011000011)</f>
        <v>0.99391761128006639</v>
      </c>
      <c r="AG595" s="34">
        <f>SUM(DB_ThemeSOFAcct[[#This Row],[Plan01]:[Plan12]])/valUnits2</f>
        <v>5.7872E-2</v>
      </c>
      <c r="AH595" s="34">
        <f>SUMPRODUCT(DB_ThemeSOFAcct[[#This Row],[Act01]:[Act12]],$Q$3:$AB$3)/valUnits2</f>
        <v>5.7520000000000002E-2</v>
      </c>
    </row>
    <row r="596" spans="2:34" x14ac:dyDescent="0.2">
      <c r="B596" t="s">
        <v>351</v>
      </c>
      <c r="C596" t="s">
        <v>929</v>
      </c>
      <c r="D596" t="s">
        <v>237</v>
      </c>
      <c r="I596">
        <v>0.57999999999999996</v>
      </c>
      <c r="U596">
        <v>0.57999999999999996</v>
      </c>
      <c r="AC596">
        <f>SUMPRODUCT(DB_ThemeSOFAcct[[#This Row],[Plan01]:[Plan12]],$E$14:$P$14)/valUnits2</f>
        <v>5.8E-4</v>
      </c>
      <c r="AD596">
        <f>SUMPRODUCT(DB_ThemeSOFAcct[[#This Row],[Act01]:[Act12]],$Q$14:$AB$14)/valUnits2</f>
        <v>5.8E-4</v>
      </c>
      <c r="AE596">
        <f>DB_ThemeSOFAcct[[#This Row],[Actuals]]-DB_ThemeSOFAcct[[#This Row],[Plan]]</f>
        <v>0</v>
      </c>
      <c r="AF596">
        <f>IF(DB_ThemeSOFAcct[[#This Row],[Plan]]&lt;&gt;0,DB_ThemeSOFAcct[[#This Row],[Actuals]]/DB_ThemeSOFAcct[[#This Row],[Plan]],1.000011000011)</f>
        <v>1</v>
      </c>
      <c r="AG596" s="34">
        <f>SUM(DB_ThemeSOFAcct[[#This Row],[Plan01]:[Plan12]])/valUnits2</f>
        <v>5.8E-4</v>
      </c>
      <c r="AH596" s="34">
        <f>SUMPRODUCT(DB_ThemeSOFAcct[[#This Row],[Act01]:[Act12]],$Q$3:$AB$3)/valUnits2</f>
        <v>5.8E-4</v>
      </c>
    </row>
    <row r="597" spans="2:34" x14ac:dyDescent="0.2">
      <c r="B597" t="s">
        <v>351</v>
      </c>
      <c r="C597" t="s">
        <v>929</v>
      </c>
      <c r="D597" t="s">
        <v>141</v>
      </c>
      <c r="F597">
        <v>88.061000000000007</v>
      </c>
      <c r="R597">
        <v>87.97</v>
      </c>
      <c r="AC597">
        <f>SUMPRODUCT(DB_ThemeSOFAcct[[#This Row],[Plan01]:[Plan12]],$E$14:$P$14)/valUnits2</f>
        <v>8.8061E-2</v>
      </c>
      <c r="AD597">
        <f>SUMPRODUCT(DB_ThemeSOFAcct[[#This Row],[Act01]:[Act12]],$Q$14:$AB$14)/valUnits2</f>
        <v>8.7969999999999993E-2</v>
      </c>
      <c r="AE597">
        <f>DB_ThemeSOFAcct[[#This Row],[Actuals]]-DB_ThemeSOFAcct[[#This Row],[Plan]]</f>
        <v>-9.1000000000007741E-5</v>
      </c>
      <c r="AF597">
        <f>IF(DB_ThemeSOFAcct[[#This Row],[Plan]]&lt;&gt;0,DB_ThemeSOFAcct[[#This Row],[Actuals]]/DB_ThemeSOFAcct[[#This Row],[Plan]],1.000011000011)</f>
        <v>0.99896662540738801</v>
      </c>
      <c r="AG597" s="34">
        <f>SUM(DB_ThemeSOFAcct[[#This Row],[Plan01]:[Plan12]])/valUnits2</f>
        <v>8.8061E-2</v>
      </c>
      <c r="AH597" s="34">
        <f>SUMPRODUCT(DB_ThemeSOFAcct[[#This Row],[Act01]:[Act12]],$Q$3:$AB$3)/valUnits2</f>
        <v>8.7969999999999993E-2</v>
      </c>
    </row>
    <row r="598" spans="2:34" x14ac:dyDescent="0.2">
      <c r="B598" t="s">
        <v>351</v>
      </c>
      <c r="C598" t="s">
        <v>930</v>
      </c>
      <c r="D598" t="s">
        <v>143</v>
      </c>
      <c r="E598">
        <v>143.77000000000001</v>
      </c>
      <c r="F598">
        <v>238.21000000000004</v>
      </c>
      <c r="G598">
        <v>113.07000000000001</v>
      </c>
      <c r="H598">
        <v>853.31000000000006</v>
      </c>
      <c r="I598">
        <v>1146.8699999999999</v>
      </c>
      <c r="J598">
        <v>2050</v>
      </c>
      <c r="K598">
        <v>2050</v>
      </c>
      <c r="L598">
        <v>2050</v>
      </c>
      <c r="M598">
        <v>2050</v>
      </c>
      <c r="N598">
        <v>2050</v>
      </c>
      <c r="O598">
        <v>2050</v>
      </c>
      <c r="P598">
        <v>2050</v>
      </c>
      <c r="Q598">
        <v>112.63000000000002</v>
      </c>
      <c r="R598">
        <v>220.21</v>
      </c>
      <c r="S598">
        <v>108.55000000000001</v>
      </c>
      <c r="T598">
        <v>943.8</v>
      </c>
      <c r="U598">
        <v>1101.07</v>
      </c>
      <c r="V598">
        <v>1025.5500000000002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f>SUMPRODUCT(DB_ThemeSOFAcct[[#This Row],[Plan01]:[Plan12]],$E$14:$P$14)/valUnits2</f>
        <v>4.5452299999999992</v>
      </c>
      <c r="AD598">
        <f>SUMPRODUCT(DB_ThemeSOFAcct[[#This Row],[Act01]:[Act12]],$Q$14:$AB$14)/valUnits2</f>
        <v>3.5118100000000005</v>
      </c>
      <c r="AE598">
        <f>DB_ThemeSOFAcct[[#This Row],[Actuals]]-DB_ThemeSOFAcct[[#This Row],[Plan]]</f>
        <v>-1.0334199999999987</v>
      </c>
      <c r="AF598">
        <f>IF(DB_ThemeSOFAcct[[#This Row],[Plan]]&lt;&gt;0,DB_ThemeSOFAcct[[#This Row],[Actuals]]/DB_ThemeSOFAcct[[#This Row],[Plan]],1.000011000011)</f>
        <v>0.7726363682365911</v>
      </c>
      <c r="AG598" s="34">
        <f>SUM(DB_ThemeSOFAcct[[#This Row],[Plan01]:[Plan12]])/valUnits2</f>
        <v>16.845230000000001</v>
      </c>
      <c r="AH598" s="34">
        <f>SUMPRODUCT(DB_ThemeSOFAcct[[#This Row],[Act01]:[Act12]],$Q$3:$AB$3)/valUnits2</f>
        <v>3.5118100000000005</v>
      </c>
    </row>
    <row r="599" spans="2:34" x14ac:dyDescent="0.2">
      <c r="B599" t="s">
        <v>351</v>
      </c>
      <c r="C599" t="s">
        <v>930</v>
      </c>
      <c r="D599" t="s">
        <v>235</v>
      </c>
      <c r="E599">
        <v>599.01</v>
      </c>
      <c r="F599">
        <v>62.349999999999994</v>
      </c>
      <c r="G599">
        <v>53.39</v>
      </c>
      <c r="H599">
        <v>3.21</v>
      </c>
      <c r="I599">
        <v>453.92</v>
      </c>
      <c r="J599">
        <v>0</v>
      </c>
      <c r="Q599">
        <v>630.15</v>
      </c>
      <c r="R599">
        <v>80.349999999999994</v>
      </c>
      <c r="S599">
        <v>60.01</v>
      </c>
      <c r="T599">
        <v>24.48</v>
      </c>
      <c r="U599">
        <v>502.74</v>
      </c>
      <c r="V599">
        <v>253.35</v>
      </c>
      <c r="AC599">
        <f>SUMPRODUCT(DB_ThemeSOFAcct[[#This Row],[Plan01]:[Plan12]],$E$14:$P$14)/valUnits2</f>
        <v>1.17188</v>
      </c>
      <c r="AD599">
        <f>SUMPRODUCT(DB_ThemeSOFAcct[[#This Row],[Act01]:[Act12]],$Q$14:$AB$14)/valUnits2</f>
        <v>1.55108</v>
      </c>
      <c r="AE599">
        <f>DB_ThemeSOFAcct[[#This Row],[Actuals]]-DB_ThemeSOFAcct[[#This Row],[Plan]]</f>
        <v>0.37919999999999998</v>
      </c>
      <c r="AF599">
        <f>IF(DB_ThemeSOFAcct[[#This Row],[Plan]]&lt;&gt;0,DB_ThemeSOFAcct[[#This Row],[Actuals]]/DB_ThemeSOFAcct[[#This Row],[Plan]],1.000011000011)</f>
        <v>1.323582619380824</v>
      </c>
      <c r="AG599" s="34">
        <f>SUM(DB_ThemeSOFAcct[[#This Row],[Plan01]:[Plan12]])/valUnits2</f>
        <v>1.17188</v>
      </c>
      <c r="AH599" s="34">
        <f>SUMPRODUCT(DB_ThemeSOFAcct[[#This Row],[Act01]:[Act12]],$Q$3:$AB$3)/valUnits2</f>
        <v>1.55108</v>
      </c>
    </row>
    <row r="600" spans="2:34" x14ac:dyDescent="0.2">
      <c r="B600" t="s">
        <v>351</v>
      </c>
      <c r="C600" t="s">
        <v>930</v>
      </c>
      <c r="D600" t="s">
        <v>140</v>
      </c>
      <c r="E600">
        <v>517.98</v>
      </c>
      <c r="F600">
        <v>5499.06</v>
      </c>
      <c r="G600">
        <v>5685.4800000000005</v>
      </c>
      <c r="H600">
        <v>739.81000000000006</v>
      </c>
      <c r="I600">
        <v>996.4</v>
      </c>
      <c r="J600">
        <v>509.19799999999998</v>
      </c>
      <c r="K600">
        <v>509.19799999999998</v>
      </c>
      <c r="L600">
        <v>509.19799999999998</v>
      </c>
      <c r="M600">
        <v>509.19799999999998</v>
      </c>
      <c r="N600">
        <v>509.19799999999998</v>
      </c>
      <c r="O600">
        <v>509.19799999999998</v>
      </c>
      <c r="P600">
        <v>509.19799999999998</v>
      </c>
      <c r="Q600">
        <v>517.98</v>
      </c>
      <c r="R600">
        <v>5499.06</v>
      </c>
      <c r="S600">
        <v>5685.4800000000005</v>
      </c>
      <c r="T600">
        <v>739.81</v>
      </c>
      <c r="U600">
        <v>996.4</v>
      </c>
      <c r="V600">
        <v>1278.72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f>SUMPRODUCT(DB_ThemeSOFAcct[[#This Row],[Plan01]:[Plan12]],$E$14:$P$14)/valUnits2</f>
        <v>13.947927999999999</v>
      </c>
      <c r="AD600">
        <f>SUMPRODUCT(DB_ThemeSOFAcct[[#This Row],[Act01]:[Act12]],$Q$14:$AB$14)/valUnits2</f>
        <v>14.717449999999999</v>
      </c>
      <c r="AE600">
        <f>DB_ThemeSOFAcct[[#This Row],[Actuals]]-DB_ThemeSOFAcct[[#This Row],[Plan]]</f>
        <v>0.76952200000000026</v>
      </c>
      <c r="AF600">
        <f>IF(DB_ThemeSOFAcct[[#This Row],[Plan]]&lt;&gt;0,DB_ThemeSOFAcct[[#This Row],[Actuals]]/DB_ThemeSOFAcct[[#This Row],[Plan]],1.000011000011)</f>
        <v>1.0551710619670536</v>
      </c>
      <c r="AG600" s="34">
        <f>SUM(DB_ThemeSOFAcct[[#This Row],[Plan01]:[Plan12]])/valUnits2</f>
        <v>17.003116000000002</v>
      </c>
      <c r="AH600" s="34">
        <f>SUMPRODUCT(DB_ThemeSOFAcct[[#This Row],[Act01]:[Act12]],$Q$3:$AB$3)/valUnits2</f>
        <v>14.717449999999999</v>
      </c>
    </row>
    <row r="601" spans="2:34" x14ac:dyDescent="0.2">
      <c r="B601" t="s">
        <v>351</v>
      </c>
      <c r="C601" t="s">
        <v>930</v>
      </c>
      <c r="D601" t="s">
        <v>236</v>
      </c>
      <c r="E601">
        <v>212.56</v>
      </c>
      <c r="F601">
        <v>605.45000000000005</v>
      </c>
      <c r="G601">
        <v>679.65</v>
      </c>
      <c r="H601">
        <v>239.62000000000003</v>
      </c>
      <c r="I601">
        <v>413.35999999999996</v>
      </c>
      <c r="J601">
        <v>0</v>
      </c>
      <c r="Q601">
        <v>212.56</v>
      </c>
      <c r="R601">
        <v>605.45000000000005</v>
      </c>
      <c r="S601">
        <v>679.65</v>
      </c>
      <c r="T601">
        <v>239.62000000000003</v>
      </c>
      <c r="U601">
        <v>413.35999999999996</v>
      </c>
      <c r="V601">
        <v>581.14</v>
      </c>
      <c r="AC601">
        <f>SUMPRODUCT(DB_ThemeSOFAcct[[#This Row],[Plan01]:[Plan12]],$E$14:$P$14)/valUnits2</f>
        <v>2.1506399999999997</v>
      </c>
      <c r="AD601">
        <f>SUMPRODUCT(DB_ThemeSOFAcct[[#This Row],[Act01]:[Act12]],$Q$14:$AB$14)/valUnits2</f>
        <v>2.7317799999999997</v>
      </c>
      <c r="AE601">
        <f>DB_ThemeSOFAcct[[#This Row],[Actuals]]-DB_ThemeSOFAcct[[#This Row],[Plan]]</f>
        <v>0.58113999999999999</v>
      </c>
      <c r="AF601">
        <f>IF(DB_ThemeSOFAcct[[#This Row],[Plan]]&lt;&gt;0,DB_ThemeSOFAcct[[#This Row],[Actuals]]/DB_ThemeSOFAcct[[#This Row],[Plan]],1.000011000011)</f>
        <v>1.2702172376594874</v>
      </c>
      <c r="AG601" s="34">
        <f>SUM(DB_ThemeSOFAcct[[#This Row],[Plan01]:[Plan12]])/valUnits2</f>
        <v>2.1506399999999997</v>
      </c>
      <c r="AH601" s="34">
        <f>SUMPRODUCT(DB_ThemeSOFAcct[[#This Row],[Act01]:[Act12]],$Q$3:$AB$3)/valUnits2</f>
        <v>2.7317799999999997</v>
      </c>
    </row>
    <row r="602" spans="2:34" x14ac:dyDescent="0.2">
      <c r="B602" t="s">
        <v>351</v>
      </c>
      <c r="C602" t="s">
        <v>930</v>
      </c>
      <c r="D602" t="s">
        <v>237</v>
      </c>
      <c r="E602">
        <v>5.72</v>
      </c>
      <c r="H602">
        <v>15.530000000000001</v>
      </c>
      <c r="I602">
        <v>1.96</v>
      </c>
      <c r="Q602">
        <v>5.72</v>
      </c>
      <c r="T602">
        <v>15.530000000000001</v>
      </c>
      <c r="U602">
        <v>1.96</v>
      </c>
      <c r="AC602">
        <f>SUMPRODUCT(DB_ThemeSOFAcct[[#This Row],[Plan01]:[Plan12]],$E$14:$P$14)/valUnits2</f>
        <v>2.3210000000000001E-2</v>
      </c>
      <c r="AD602">
        <f>SUMPRODUCT(DB_ThemeSOFAcct[[#This Row],[Act01]:[Act12]],$Q$14:$AB$14)/valUnits2</f>
        <v>2.3210000000000001E-2</v>
      </c>
      <c r="AE602">
        <f>DB_ThemeSOFAcct[[#This Row],[Actuals]]-DB_ThemeSOFAcct[[#This Row],[Plan]]</f>
        <v>0</v>
      </c>
      <c r="AF602">
        <f>IF(DB_ThemeSOFAcct[[#This Row],[Plan]]&lt;&gt;0,DB_ThemeSOFAcct[[#This Row],[Actuals]]/DB_ThemeSOFAcct[[#This Row],[Plan]],1.000011000011)</f>
        <v>1</v>
      </c>
      <c r="AG602" s="34">
        <f>SUM(DB_ThemeSOFAcct[[#This Row],[Plan01]:[Plan12]])/valUnits2</f>
        <v>2.3210000000000001E-2</v>
      </c>
      <c r="AH602" s="34">
        <f>SUMPRODUCT(DB_ThemeSOFAcct[[#This Row],[Act01]:[Act12]],$Q$3:$AB$3)/valUnits2</f>
        <v>2.3210000000000001E-2</v>
      </c>
    </row>
    <row r="603" spans="2:34" x14ac:dyDescent="0.2">
      <c r="B603" t="s">
        <v>351</v>
      </c>
      <c r="C603" t="s">
        <v>930</v>
      </c>
      <c r="D603" t="s">
        <v>141</v>
      </c>
      <c r="E603">
        <v>65.92</v>
      </c>
      <c r="F603">
        <v>280.65999999999997</v>
      </c>
      <c r="G603">
        <v>53.16</v>
      </c>
      <c r="H603">
        <v>59.47</v>
      </c>
      <c r="I603">
        <v>89.93</v>
      </c>
      <c r="J603">
        <v>0</v>
      </c>
      <c r="Q603">
        <v>65.92</v>
      </c>
      <c r="R603">
        <v>280.65999999999997</v>
      </c>
      <c r="S603">
        <v>53.160000000000011</v>
      </c>
      <c r="T603">
        <v>59.47</v>
      </c>
      <c r="U603">
        <v>89.93</v>
      </c>
      <c r="V603">
        <v>152.02000000000001</v>
      </c>
      <c r="AC603">
        <f>SUMPRODUCT(DB_ThemeSOFAcct[[#This Row],[Plan01]:[Plan12]],$E$14:$P$14)/valUnits2</f>
        <v>0.54914000000000007</v>
      </c>
      <c r="AD603">
        <f>SUMPRODUCT(DB_ThemeSOFAcct[[#This Row],[Act01]:[Act12]],$Q$14:$AB$14)/valUnits2</f>
        <v>0.70116000000000012</v>
      </c>
      <c r="AE603">
        <f>DB_ThemeSOFAcct[[#This Row],[Actuals]]-DB_ThemeSOFAcct[[#This Row],[Plan]]</f>
        <v>0.15202000000000004</v>
      </c>
      <c r="AF603">
        <f>IF(DB_ThemeSOFAcct[[#This Row],[Plan]]&lt;&gt;0,DB_ThemeSOFAcct[[#This Row],[Actuals]]/DB_ThemeSOFAcct[[#This Row],[Plan]],1.000011000011)</f>
        <v>1.276832865935827</v>
      </c>
      <c r="AG603" s="34">
        <f>SUM(DB_ThemeSOFAcct[[#This Row],[Plan01]:[Plan12]])/valUnits2</f>
        <v>0.54914000000000007</v>
      </c>
      <c r="AH603" s="34">
        <f>SUMPRODUCT(DB_ThemeSOFAcct[[#This Row],[Act01]:[Act12]],$Q$3:$AB$3)/valUnits2</f>
        <v>0.70116000000000012</v>
      </c>
    </row>
    <row r="604" spans="2:34" x14ac:dyDescent="0.2">
      <c r="B604" t="s">
        <v>351</v>
      </c>
      <c r="C604" t="s">
        <v>932</v>
      </c>
      <c r="D604" t="s">
        <v>143</v>
      </c>
      <c r="H604">
        <v>321.41399999999999</v>
      </c>
      <c r="I604">
        <v>122.73099999999999</v>
      </c>
      <c r="J604">
        <v>122.73099999999999</v>
      </c>
      <c r="K604">
        <v>122.73099999999999</v>
      </c>
      <c r="L604">
        <v>122.73099999999999</v>
      </c>
      <c r="M604">
        <v>122.73099999999999</v>
      </c>
      <c r="N604">
        <v>122.73099999999999</v>
      </c>
      <c r="O604">
        <v>122.73099999999999</v>
      </c>
      <c r="P604">
        <v>122.73099999999999</v>
      </c>
      <c r="T604">
        <v>191.21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f>SUMPRODUCT(DB_ThemeSOFAcct[[#This Row],[Plan01]:[Plan12]],$E$14:$P$14)/valUnits2</f>
        <v>0.56687599999999994</v>
      </c>
      <c r="AD604">
        <f>SUMPRODUCT(DB_ThemeSOFAcct[[#This Row],[Act01]:[Act12]],$Q$14:$AB$14)/valUnits2</f>
        <v>0.19121000000000002</v>
      </c>
      <c r="AE604">
        <f>DB_ThemeSOFAcct[[#This Row],[Actuals]]-DB_ThemeSOFAcct[[#This Row],[Plan]]</f>
        <v>-0.37566599999999994</v>
      </c>
      <c r="AF604">
        <f>IF(DB_ThemeSOFAcct[[#This Row],[Plan]]&lt;&gt;0,DB_ThemeSOFAcct[[#This Row],[Actuals]]/DB_ThemeSOFAcct[[#This Row],[Plan]],1.000011000011)</f>
        <v>0.33730480740056035</v>
      </c>
      <c r="AG604" s="34">
        <f>SUM(DB_ThemeSOFAcct[[#This Row],[Plan01]:[Plan12]])/valUnits2</f>
        <v>1.3032619999999999</v>
      </c>
      <c r="AH604" s="34">
        <f>SUMPRODUCT(DB_ThemeSOFAcct[[#This Row],[Act01]:[Act12]],$Q$3:$AB$3)/valUnits2</f>
        <v>0.19121000000000002</v>
      </c>
    </row>
    <row r="605" spans="2:34" x14ac:dyDescent="0.2">
      <c r="B605" t="s">
        <v>351</v>
      </c>
      <c r="C605" t="s">
        <v>932</v>
      </c>
      <c r="D605" t="s">
        <v>235</v>
      </c>
      <c r="H605">
        <v>13.827</v>
      </c>
      <c r="T605">
        <v>23.72</v>
      </c>
      <c r="AC605">
        <f>SUMPRODUCT(DB_ThemeSOFAcct[[#This Row],[Plan01]:[Plan12]],$E$14:$P$14)/valUnits2</f>
        <v>1.3827000000000001E-2</v>
      </c>
      <c r="AD605">
        <f>SUMPRODUCT(DB_ThemeSOFAcct[[#This Row],[Act01]:[Act12]],$Q$14:$AB$14)/valUnits2</f>
        <v>2.3719999999999998E-2</v>
      </c>
      <c r="AE605">
        <f>DB_ThemeSOFAcct[[#This Row],[Actuals]]-DB_ThemeSOFAcct[[#This Row],[Plan]]</f>
        <v>9.8929999999999973E-3</v>
      </c>
      <c r="AF605">
        <f>IF(DB_ThemeSOFAcct[[#This Row],[Plan]]&lt;&gt;0,DB_ThemeSOFAcct[[#This Row],[Actuals]]/DB_ThemeSOFAcct[[#This Row],[Plan]],1.000011000011)</f>
        <v>1.7154841975844359</v>
      </c>
      <c r="AG605" s="34">
        <f>SUM(DB_ThemeSOFAcct[[#This Row],[Plan01]:[Plan12]])/valUnits2</f>
        <v>1.3827000000000001E-2</v>
      </c>
      <c r="AH605" s="34">
        <f>SUMPRODUCT(DB_ThemeSOFAcct[[#This Row],[Act01]:[Act12]],$Q$3:$AB$3)/valUnits2</f>
        <v>2.3719999999999998E-2</v>
      </c>
    </row>
    <row r="606" spans="2:34" x14ac:dyDescent="0.2">
      <c r="B606" t="s">
        <v>351</v>
      </c>
      <c r="C606" t="s">
        <v>932</v>
      </c>
      <c r="D606" t="s">
        <v>140</v>
      </c>
      <c r="H606">
        <v>1353.5219999999999</v>
      </c>
      <c r="I606">
        <v>2074.9490000000001</v>
      </c>
      <c r="J606">
        <v>890.74999999999989</v>
      </c>
      <c r="K606">
        <v>890.74999999999989</v>
      </c>
      <c r="L606">
        <v>890.74999999999989</v>
      </c>
      <c r="M606">
        <v>890.74999999999989</v>
      </c>
      <c r="N606">
        <v>890.74999999999989</v>
      </c>
      <c r="O606">
        <v>890.74999999999989</v>
      </c>
      <c r="P606">
        <v>890.74999999999989</v>
      </c>
      <c r="T606">
        <v>464.33</v>
      </c>
      <c r="U606">
        <v>1270.29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f>SUMPRODUCT(DB_ThemeSOFAcct[[#This Row],[Plan01]:[Plan12]],$E$14:$P$14)/valUnits2</f>
        <v>4.3192209999999998</v>
      </c>
      <c r="AD606">
        <f>SUMPRODUCT(DB_ThemeSOFAcct[[#This Row],[Act01]:[Act12]],$Q$14:$AB$14)/valUnits2</f>
        <v>1.7346199999999998</v>
      </c>
      <c r="AE606">
        <f>DB_ThemeSOFAcct[[#This Row],[Actuals]]-DB_ThemeSOFAcct[[#This Row],[Plan]]</f>
        <v>-2.5846010000000001</v>
      </c>
      <c r="AF606">
        <f>IF(DB_ThemeSOFAcct[[#This Row],[Plan]]&lt;&gt;0,DB_ThemeSOFAcct[[#This Row],[Actuals]]/DB_ThemeSOFAcct[[#This Row],[Plan]],1.000011000011)</f>
        <v>0.4016048264258763</v>
      </c>
      <c r="AG606" s="34">
        <f>SUM(DB_ThemeSOFAcct[[#This Row],[Plan01]:[Plan12]])/valUnits2</f>
        <v>9.6637209999999989</v>
      </c>
      <c r="AH606" s="34">
        <f>SUMPRODUCT(DB_ThemeSOFAcct[[#This Row],[Act01]:[Act12]],$Q$3:$AB$3)/valUnits2</f>
        <v>1.7346199999999998</v>
      </c>
    </row>
    <row r="607" spans="2:34" x14ac:dyDescent="0.2">
      <c r="B607" t="s">
        <v>351</v>
      </c>
      <c r="C607" t="s">
        <v>932</v>
      </c>
      <c r="D607" t="s">
        <v>237</v>
      </c>
      <c r="H607">
        <v>6.4249999999999998</v>
      </c>
      <c r="T607">
        <v>6.37</v>
      </c>
      <c r="AC607">
        <f>SUMPRODUCT(DB_ThemeSOFAcct[[#This Row],[Plan01]:[Plan12]],$E$14:$P$14)/valUnits2</f>
        <v>6.4250000000000002E-3</v>
      </c>
      <c r="AD607">
        <f>SUMPRODUCT(DB_ThemeSOFAcct[[#This Row],[Act01]:[Act12]],$Q$14:$AB$14)/valUnits2</f>
        <v>6.3699999999999998E-3</v>
      </c>
      <c r="AE607">
        <f>DB_ThemeSOFAcct[[#This Row],[Actuals]]-DB_ThemeSOFAcct[[#This Row],[Plan]]</f>
        <v>-5.5000000000000361E-5</v>
      </c>
      <c r="AF607">
        <f>IF(DB_ThemeSOFAcct[[#This Row],[Plan]]&lt;&gt;0,DB_ThemeSOFAcct[[#This Row],[Actuals]]/DB_ThemeSOFAcct[[#This Row],[Plan]],1.000011000011)</f>
        <v>0.99143968871595323</v>
      </c>
      <c r="AG607" s="34">
        <f>SUM(DB_ThemeSOFAcct[[#This Row],[Plan01]:[Plan12]])/valUnits2</f>
        <v>6.4250000000000002E-3</v>
      </c>
      <c r="AH607" s="34">
        <f>SUMPRODUCT(DB_ThemeSOFAcct[[#This Row],[Act01]:[Act12]],$Q$3:$AB$3)/valUnits2</f>
        <v>6.3699999999999998E-3</v>
      </c>
    </row>
    <row r="608" spans="2:34" x14ac:dyDescent="0.2">
      <c r="B608" t="s">
        <v>351</v>
      </c>
      <c r="C608" t="s">
        <v>932</v>
      </c>
      <c r="D608" t="s">
        <v>141</v>
      </c>
      <c r="H608">
        <v>1.6040000000000001</v>
      </c>
      <c r="T608">
        <v>1.61</v>
      </c>
      <c r="AC608">
        <f>SUMPRODUCT(DB_ThemeSOFAcct[[#This Row],[Plan01]:[Plan12]],$E$14:$P$14)/valUnits2</f>
        <v>1.6040000000000002E-3</v>
      </c>
      <c r="AD608">
        <f>SUMPRODUCT(DB_ThemeSOFAcct[[#This Row],[Act01]:[Act12]],$Q$14:$AB$14)/valUnits2</f>
        <v>1.6100000000000001E-3</v>
      </c>
      <c r="AE608">
        <f>DB_ThemeSOFAcct[[#This Row],[Actuals]]-DB_ThemeSOFAcct[[#This Row],[Plan]]</f>
        <v>5.999999999999929E-6</v>
      </c>
      <c r="AF608">
        <f>IF(DB_ThemeSOFAcct[[#This Row],[Plan]]&lt;&gt;0,DB_ThemeSOFAcct[[#This Row],[Actuals]]/DB_ThemeSOFAcct[[#This Row],[Plan]],1.000011000011)</f>
        <v>1.0037406483790523</v>
      </c>
      <c r="AG608" s="34">
        <f>SUM(DB_ThemeSOFAcct[[#This Row],[Plan01]:[Plan12]])/valUnits2</f>
        <v>1.6040000000000002E-3</v>
      </c>
      <c r="AH608" s="34">
        <f>SUMPRODUCT(DB_ThemeSOFAcct[[#This Row],[Act01]:[Act12]],$Q$3:$AB$3)/valUnits2</f>
        <v>1.6100000000000001E-3</v>
      </c>
    </row>
    <row r="609" spans="2:34" x14ac:dyDescent="0.2">
      <c r="B609" t="s">
        <v>351</v>
      </c>
      <c r="C609" t="s">
        <v>933</v>
      </c>
      <c r="D609" t="s">
        <v>143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97.9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f>SUMPRODUCT(DB_ThemeSOFAcct[[#This Row],[Plan01]:[Plan12]],$E$14:$P$14)/valUnits2</f>
        <v>0</v>
      </c>
      <c r="AD609">
        <f>SUMPRODUCT(DB_ThemeSOFAcct[[#This Row],[Act01]:[Act12]],$Q$14:$AB$14)/valUnits2</f>
        <v>9.7900000000000001E-2</v>
      </c>
      <c r="AE609">
        <f>DB_ThemeSOFAcct[[#This Row],[Actuals]]-DB_ThemeSOFAcct[[#This Row],[Plan]]</f>
        <v>9.7900000000000001E-2</v>
      </c>
      <c r="AF609">
        <f>IF(DB_ThemeSOFAcct[[#This Row],[Plan]]&lt;&gt;0,DB_ThemeSOFAcct[[#This Row],[Actuals]]/DB_ThemeSOFAcct[[#This Row],[Plan]],1.000011000011)</f>
        <v>1.0000110000110001</v>
      </c>
      <c r="AG609" s="34">
        <f>SUM(DB_ThemeSOFAcct[[#This Row],[Plan01]:[Plan12]])/valUnits2</f>
        <v>0</v>
      </c>
      <c r="AH609" s="34">
        <f>SUMPRODUCT(DB_ThemeSOFAcct[[#This Row],[Act01]:[Act12]],$Q$3:$AB$3)/valUnits2</f>
        <v>9.7900000000000001E-2</v>
      </c>
    </row>
    <row r="610" spans="2:34" x14ac:dyDescent="0.2">
      <c r="B610" t="s">
        <v>351</v>
      </c>
      <c r="C610" t="s">
        <v>933</v>
      </c>
      <c r="D610" t="s">
        <v>235</v>
      </c>
      <c r="E610">
        <v>0</v>
      </c>
      <c r="F610">
        <v>0</v>
      </c>
      <c r="G610">
        <v>34.409999999999997</v>
      </c>
      <c r="H610">
        <v>33.69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34.409999999999997</v>
      </c>
      <c r="T610">
        <v>33.69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f>SUMPRODUCT(DB_ThemeSOFAcct[[#This Row],[Plan01]:[Plan12]],$E$14:$P$14)/valUnits2</f>
        <v>6.8099999999999994E-2</v>
      </c>
      <c r="AD610">
        <f>SUMPRODUCT(DB_ThemeSOFAcct[[#This Row],[Act01]:[Act12]],$Q$14:$AB$14)/valUnits2</f>
        <v>6.8099999999999994E-2</v>
      </c>
      <c r="AE610">
        <f>DB_ThemeSOFAcct[[#This Row],[Actuals]]-DB_ThemeSOFAcct[[#This Row],[Plan]]</f>
        <v>0</v>
      </c>
      <c r="AF610">
        <f>IF(DB_ThemeSOFAcct[[#This Row],[Plan]]&lt;&gt;0,DB_ThemeSOFAcct[[#This Row],[Actuals]]/DB_ThemeSOFAcct[[#This Row],[Plan]],1.000011000011)</f>
        <v>1</v>
      </c>
      <c r="AG610" s="34">
        <f>SUM(DB_ThemeSOFAcct[[#This Row],[Plan01]:[Plan12]])/valUnits2</f>
        <v>6.8099999999999994E-2</v>
      </c>
      <c r="AH610" s="34">
        <f>SUMPRODUCT(DB_ThemeSOFAcct[[#This Row],[Act01]:[Act12]],$Q$3:$AB$3)/valUnits2</f>
        <v>6.8099999999999994E-2</v>
      </c>
    </row>
    <row r="611" spans="2:34" x14ac:dyDescent="0.2">
      <c r="B611" t="s">
        <v>351</v>
      </c>
      <c r="C611" t="s">
        <v>933</v>
      </c>
      <c r="D611" t="s">
        <v>140</v>
      </c>
      <c r="E611">
        <v>279.24</v>
      </c>
      <c r="F611">
        <v>3297.7799999999997</v>
      </c>
      <c r="G611">
        <v>2277.79</v>
      </c>
      <c r="H611">
        <v>1039.17</v>
      </c>
      <c r="I611">
        <v>0</v>
      </c>
      <c r="J611">
        <v>0</v>
      </c>
      <c r="Q611">
        <v>279.24</v>
      </c>
      <c r="R611">
        <v>3297.7799999999997</v>
      </c>
      <c r="S611">
        <v>2277.79</v>
      </c>
      <c r="T611">
        <v>1039.17</v>
      </c>
      <c r="U611">
        <v>0</v>
      </c>
      <c r="V611">
        <v>568.54999999999995</v>
      </c>
      <c r="AC611">
        <f>SUMPRODUCT(DB_ThemeSOFAcct[[#This Row],[Plan01]:[Plan12]],$E$14:$P$14)/valUnits2</f>
        <v>6.89398</v>
      </c>
      <c r="AD611">
        <f>SUMPRODUCT(DB_ThemeSOFAcct[[#This Row],[Act01]:[Act12]],$Q$14:$AB$14)/valUnits2</f>
        <v>7.4625300000000001</v>
      </c>
      <c r="AE611">
        <f>DB_ThemeSOFAcct[[#This Row],[Actuals]]-DB_ThemeSOFAcct[[#This Row],[Plan]]</f>
        <v>0.56855000000000011</v>
      </c>
      <c r="AF611">
        <f>IF(DB_ThemeSOFAcct[[#This Row],[Plan]]&lt;&gt;0,DB_ThemeSOFAcct[[#This Row],[Actuals]]/DB_ThemeSOFAcct[[#This Row],[Plan]],1.000011000011)</f>
        <v>1.0824705032506623</v>
      </c>
      <c r="AG611" s="34">
        <f>SUM(DB_ThemeSOFAcct[[#This Row],[Plan01]:[Plan12]])/valUnits2</f>
        <v>6.89398</v>
      </c>
      <c r="AH611" s="34">
        <f>SUMPRODUCT(DB_ThemeSOFAcct[[#This Row],[Act01]:[Act12]],$Q$3:$AB$3)/valUnits2</f>
        <v>7.4625300000000001</v>
      </c>
    </row>
    <row r="612" spans="2:34" x14ac:dyDescent="0.2">
      <c r="B612" t="s">
        <v>351</v>
      </c>
      <c r="C612" t="s">
        <v>933</v>
      </c>
      <c r="D612" t="s">
        <v>236</v>
      </c>
      <c r="J612">
        <v>0</v>
      </c>
      <c r="V612">
        <v>3.14</v>
      </c>
      <c r="AC612">
        <f>SUMPRODUCT(DB_ThemeSOFAcct[[#This Row],[Plan01]:[Plan12]],$E$14:$P$14)/valUnits2</f>
        <v>0</v>
      </c>
      <c r="AD612">
        <f>SUMPRODUCT(DB_ThemeSOFAcct[[#This Row],[Act01]:[Act12]],$Q$14:$AB$14)/valUnits2</f>
        <v>3.14E-3</v>
      </c>
      <c r="AE612">
        <f>DB_ThemeSOFAcct[[#This Row],[Actuals]]-DB_ThemeSOFAcct[[#This Row],[Plan]]</f>
        <v>3.14E-3</v>
      </c>
      <c r="AF612">
        <f>IF(DB_ThemeSOFAcct[[#This Row],[Plan]]&lt;&gt;0,DB_ThemeSOFAcct[[#This Row],[Actuals]]/DB_ThemeSOFAcct[[#This Row],[Plan]],1.000011000011)</f>
        <v>1.0000110000110001</v>
      </c>
      <c r="AG612" s="34">
        <f>SUM(DB_ThemeSOFAcct[[#This Row],[Plan01]:[Plan12]])/valUnits2</f>
        <v>0</v>
      </c>
      <c r="AH612" s="34">
        <f>SUMPRODUCT(DB_ThemeSOFAcct[[#This Row],[Act01]:[Act12]],$Q$3:$AB$3)/valUnits2</f>
        <v>3.14E-3</v>
      </c>
    </row>
    <row r="613" spans="2:34" x14ac:dyDescent="0.2">
      <c r="B613" t="s">
        <v>351</v>
      </c>
      <c r="C613" t="s">
        <v>933</v>
      </c>
      <c r="D613" t="s">
        <v>237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10</v>
      </c>
      <c r="K613">
        <v>10</v>
      </c>
      <c r="L613">
        <v>10</v>
      </c>
      <c r="M613">
        <v>10</v>
      </c>
      <c r="N613">
        <v>10</v>
      </c>
      <c r="O613">
        <v>10</v>
      </c>
      <c r="P613">
        <v>10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f>SUMPRODUCT(DB_ThemeSOFAcct[[#This Row],[Plan01]:[Plan12]],$E$14:$P$14)/valUnits2</f>
        <v>0.01</v>
      </c>
      <c r="AD613">
        <f>SUMPRODUCT(DB_ThemeSOFAcct[[#This Row],[Act01]:[Act12]],$Q$14:$AB$14)/valUnits2</f>
        <v>0</v>
      </c>
      <c r="AE613">
        <f>DB_ThemeSOFAcct[[#This Row],[Actuals]]-DB_ThemeSOFAcct[[#This Row],[Plan]]</f>
        <v>-0.01</v>
      </c>
      <c r="AF613">
        <f>IF(DB_ThemeSOFAcct[[#This Row],[Plan]]&lt;&gt;0,DB_ThemeSOFAcct[[#This Row],[Actuals]]/DB_ThemeSOFAcct[[#This Row],[Plan]],1.000011000011)</f>
        <v>0</v>
      </c>
      <c r="AG613" s="34">
        <f>SUM(DB_ThemeSOFAcct[[#This Row],[Plan01]:[Plan12]])/valUnits2</f>
        <v>7.0000000000000007E-2</v>
      </c>
      <c r="AH613" s="34">
        <f>SUMPRODUCT(DB_ThemeSOFAcct[[#This Row],[Act01]:[Act12]],$Q$3:$AB$3)/valUnits2</f>
        <v>0</v>
      </c>
    </row>
    <row r="614" spans="2:34" x14ac:dyDescent="0.2">
      <c r="B614" t="s">
        <v>351</v>
      </c>
      <c r="C614" t="s">
        <v>933</v>
      </c>
      <c r="D614" t="s">
        <v>141</v>
      </c>
      <c r="E614">
        <v>12.09</v>
      </c>
      <c r="F614">
        <v>20.03</v>
      </c>
      <c r="G614">
        <v>17.510000000000002</v>
      </c>
      <c r="H614">
        <v>9.9700000000000006</v>
      </c>
      <c r="I614">
        <v>7.55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12.09</v>
      </c>
      <c r="R614">
        <v>20.03</v>
      </c>
      <c r="S614">
        <v>17.509999999999998</v>
      </c>
      <c r="T614">
        <v>9.9700000000000006</v>
      </c>
      <c r="U614">
        <v>7.5500000000000007</v>
      </c>
      <c r="V614">
        <v>34.07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f>SUMPRODUCT(DB_ThemeSOFAcct[[#This Row],[Plan01]:[Plan12]],$E$14:$P$14)/valUnits2</f>
        <v>6.7150000000000001E-2</v>
      </c>
      <c r="AD614">
        <f>SUMPRODUCT(DB_ThemeSOFAcct[[#This Row],[Act01]:[Act12]],$Q$14:$AB$14)/valUnits2</f>
        <v>0.10122</v>
      </c>
      <c r="AE614">
        <f>DB_ThemeSOFAcct[[#This Row],[Actuals]]-DB_ThemeSOFAcct[[#This Row],[Plan]]</f>
        <v>3.4070000000000003E-2</v>
      </c>
      <c r="AF614">
        <f>IF(DB_ThemeSOFAcct[[#This Row],[Plan]]&lt;&gt;0,DB_ThemeSOFAcct[[#This Row],[Actuals]]/DB_ThemeSOFAcct[[#This Row],[Plan]],1.000011000011)</f>
        <v>1.5073715562174237</v>
      </c>
      <c r="AG614" s="34">
        <f>SUM(DB_ThemeSOFAcct[[#This Row],[Plan01]:[Plan12]])/valUnits2</f>
        <v>6.7150000000000001E-2</v>
      </c>
      <c r="AH614" s="34">
        <f>SUMPRODUCT(DB_ThemeSOFAcct[[#This Row],[Act01]:[Act12]],$Q$3:$AB$3)/valUnits2</f>
        <v>0.10122</v>
      </c>
    </row>
    <row r="615" spans="2:34" x14ac:dyDescent="0.2">
      <c r="B615" t="s">
        <v>351</v>
      </c>
      <c r="C615" t="s">
        <v>935</v>
      </c>
      <c r="D615" t="s">
        <v>143</v>
      </c>
      <c r="E615">
        <v>0</v>
      </c>
      <c r="F615">
        <v>0</v>
      </c>
      <c r="G615">
        <v>99.307000000000002</v>
      </c>
      <c r="H615">
        <v>7702.5079999999998</v>
      </c>
      <c r="I615">
        <v>3292.0460000000003</v>
      </c>
      <c r="J615">
        <v>904.93499999999995</v>
      </c>
      <c r="K615">
        <v>904.93499999999995</v>
      </c>
      <c r="L615">
        <v>904.93499999999995</v>
      </c>
      <c r="M615">
        <v>904.93499999999995</v>
      </c>
      <c r="N615">
        <v>904.93499999999995</v>
      </c>
      <c r="O615">
        <v>904.93499999999995</v>
      </c>
      <c r="P615">
        <v>904.93499999999995</v>
      </c>
      <c r="Q615">
        <v>0</v>
      </c>
      <c r="R615">
        <v>0</v>
      </c>
      <c r="S615">
        <v>97.36999999999999</v>
      </c>
      <c r="T615">
        <v>7529.25</v>
      </c>
      <c r="U615">
        <v>3215.9399999999996</v>
      </c>
      <c r="V615">
        <v>3287.57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f>SUMPRODUCT(DB_ThemeSOFAcct[[#This Row],[Plan01]:[Plan12]],$E$14:$P$14)/valUnits2</f>
        <v>11.998796</v>
      </c>
      <c r="AD615">
        <f>SUMPRODUCT(DB_ThemeSOFAcct[[#This Row],[Act01]:[Act12]],$Q$14:$AB$14)/valUnits2</f>
        <v>14.130129999999999</v>
      </c>
      <c r="AE615">
        <f>DB_ThemeSOFAcct[[#This Row],[Actuals]]-DB_ThemeSOFAcct[[#This Row],[Plan]]</f>
        <v>2.131333999999999</v>
      </c>
      <c r="AF615">
        <f>IF(DB_ThemeSOFAcct[[#This Row],[Plan]]&lt;&gt;0,DB_ThemeSOFAcct[[#This Row],[Actuals]]/DB_ThemeSOFAcct[[#This Row],[Plan]],1.000011000011)</f>
        <v>1.1776289887752069</v>
      </c>
      <c r="AG615" s="34">
        <f>SUM(DB_ThemeSOFAcct[[#This Row],[Plan01]:[Plan12]])/valUnits2</f>
        <v>17.428405999999999</v>
      </c>
      <c r="AH615" s="34">
        <f>SUMPRODUCT(DB_ThemeSOFAcct[[#This Row],[Act01]:[Act12]],$Q$3:$AB$3)/valUnits2</f>
        <v>14.130129999999999</v>
      </c>
    </row>
    <row r="616" spans="2:34" x14ac:dyDescent="0.2">
      <c r="B616" t="s">
        <v>351</v>
      </c>
      <c r="C616" t="s">
        <v>935</v>
      </c>
      <c r="D616" t="s">
        <v>235</v>
      </c>
      <c r="E616">
        <v>0</v>
      </c>
      <c r="F616">
        <v>229.27699999999999</v>
      </c>
      <c r="G616">
        <v>0</v>
      </c>
      <c r="H616">
        <v>364.947</v>
      </c>
      <c r="I616">
        <v>941.50999999999988</v>
      </c>
      <c r="J616">
        <v>736.53099999999995</v>
      </c>
      <c r="K616">
        <v>736.53100000000006</v>
      </c>
      <c r="L616">
        <v>736.53099999999995</v>
      </c>
      <c r="M616">
        <v>736.53099999999995</v>
      </c>
      <c r="N616">
        <v>736.53099999999995</v>
      </c>
      <c r="O616">
        <v>736.53099999999995</v>
      </c>
      <c r="P616">
        <v>977.59999999999991</v>
      </c>
      <c r="Q616">
        <v>0</v>
      </c>
      <c r="R616">
        <v>238.4</v>
      </c>
      <c r="S616">
        <v>0</v>
      </c>
      <c r="T616">
        <v>597.58000000000004</v>
      </c>
      <c r="U616">
        <v>1054.42</v>
      </c>
      <c r="V616">
        <v>554.56999999999994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f>SUMPRODUCT(DB_ThemeSOFAcct[[#This Row],[Plan01]:[Plan12]],$E$14:$P$14)/valUnits2</f>
        <v>2.272265</v>
      </c>
      <c r="AD616">
        <f>SUMPRODUCT(DB_ThemeSOFAcct[[#This Row],[Act01]:[Act12]],$Q$14:$AB$14)/valUnits2</f>
        <v>2.4449700000000001</v>
      </c>
      <c r="AE616">
        <f>DB_ThemeSOFAcct[[#This Row],[Actuals]]-DB_ThemeSOFAcct[[#This Row],[Plan]]</f>
        <v>0.17270500000000011</v>
      </c>
      <c r="AF616">
        <f>IF(DB_ThemeSOFAcct[[#This Row],[Plan]]&lt;&gt;0,DB_ThemeSOFAcct[[#This Row],[Actuals]]/DB_ThemeSOFAcct[[#This Row],[Plan]],1.000011000011)</f>
        <v>1.0760056595511527</v>
      </c>
      <c r="AG616" s="34">
        <f>SUM(DB_ThemeSOFAcct[[#This Row],[Plan01]:[Plan12]])/valUnits2</f>
        <v>6.9325200000000002</v>
      </c>
      <c r="AH616" s="34">
        <f>SUMPRODUCT(DB_ThemeSOFAcct[[#This Row],[Act01]:[Act12]],$Q$3:$AB$3)/valUnits2</f>
        <v>2.4449700000000001</v>
      </c>
    </row>
    <row r="617" spans="2:34" x14ac:dyDescent="0.2">
      <c r="B617" t="s">
        <v>351</v>
      </c>
      <c r="C617" t="s">
        <v>935</v>
      </c>
      <c r="D617" t="s">
        <v>142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f>SUMPRODUCT(DB_ThemeSOFAcct[[#This Row],[Plan01]:[Plan12]],$E$14:$P$14)/valUnits2</f>
        <v>0</v>
      </c>
      <c r="AD617">
        <f>SUMPRODUCT(DB_ThemeSOFAcct[[#This Row],[Act01]:[Act12]],$Q$14:$AB$14)/valUnits2</f>
        <v>0</v>
      </c>
      <c r="AE617">
        <f>DB_ThemeSOFAcct[[#This Row],[Actuals]]-DB_ThemeSOFAcct[[#This Row],[Plan]]</f>
        <v>0</v>
      </c>
      <c r="AF617">
        <f>IF(DB_ThemeSOFAcct[[#This Row],[Plan]]&lt;&gt;0,DB_ThemeSOFAcct[[#This Row],[Actuals]]/DB_ThemeSOFAcct[[#This Row],[Plan]],1.000011000011)</f>
        <v>1.0000110000110001</v>
      </c>
      <c r="AG617" s="34">
        <f>SUM(DB_ThemeSOFAcct[[#This Row],[Plan01]:[Plan12]])/valUnits2</f>
        <v>0</v>
      </c>
      <c r="AH617" s="34">
        <f>SUMPRODUCT(DB_ThemeSOFAcct[[#This Row],[Act01]:[Act12]],$Q$3:$AB$3)/valUnits2</f>
        <v>0</v>
      </c>
    </row>
    <row r="618" spans="2:34" x14ac:dyDescent="0.2">
      <c r="B618" t="s">
        <v>351</v>
      </c>
      <c r="C618" t="s">
        <v>935</v>
      </c>
      <c r="D618" t="s">
        <v>140</v>
      </c>
      <c r="E618">
        <v>1695.809</v>
      </c>
      <c r="F618">
        <v>6724.5320000000002</v>
      </c>
      <c r="G618">
        <v>6872.3469999999979</v>
      </c>
      <c r="H618">
        <v>13719.335000000001</v>
      </c>
      <c r="I618">
        <v>6487.0929999999998</v>
      </c>
      <c r="J618">
        <v>6572.6030000000001</v>
      </c>
      <c r="K618">
        <v>6572.6030000000001</v>
      </c>
      <c r="L618">
        <v>6572.6030000000001</v>
      </c>
      <c r="M618">
        <v>6572.6030000000001</v>
      </c>
      <c r="N618">
        <v>6572.6030000000001</v>
      </c>
      <c r="O618">
        <v>6572.6030000000001</v>
      </c>
      <c r="P618">
        <v>6572.6030000000001</v>
      </c>
      <c r="Q618">
        <v>1704.6799999999998</v>
      </c>
      <c r="R618">
        <v>6892.1000000000022</v>
      </c>
      <c r="S618">
        <v>6835.5399999999981</v>
      </c>
      <c r="T618">
        <v>13632.890000000003</v>
      </c>
      <c r="U618">
        <v>6509.2500000000018</v>
      </c>
      <c r="V618">
        <v>6078.6200000000035</v>
      </c>
      <c r="W618">
        <v>3717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f>SUMPRODUCT(DB_ThemeSOFAcct[[#This Row],[Plan01]:[Plan12]],$E$14:$P$14)/valUnits2</f>
        <v>42.071719000000002</v>
      </c>
      <c r="AD618">
        <f>SUMPRODUCT(DB_ThemeSOFAcct[[#This Row],[Act01]:[Act12]],$Q$14:$AB$14)/valUnits2</f>
        <v>41.65308000000001</v>
      </c>
      <c r="AE618">
        <f>DB_ThemeSOFAcct[[#This Row],[Actuals]]-DB_ThemeSOFAcct[[#This Row],[Plan]]</f>
        <v>-0.41863899999999177</v>
      </c>
      <c r="AF618">
        <f>IF(DB_ThemeSOFAcct[[#This Row],[Plan]]&lt;&gt;0,DB_ThemeSOFAcct[[#This Row],[Actuals]]/DB_ThemeSOFAcct[[#This Row],[Plan]],1.000011000011)</f>
        <v>0.99004939636528777</v>
      </c>
      <c r="AG618" s="34">
        <f>SUM(DB_ThemeSOFAcct[[#This Row],[Plan01]:[Plan12]])/valUnits2</f>
        <v>81.507337000000021</v>
      </c>
      <c r="AH618" s="34">
        <f>SUMPRODUCT(DB_ThemeSOFAcct[[#This Row],[Act01]:[Act12]],$Q$3:$AB$3)/valUnits2</f>
        <v>41.65308000000001</v>
      </c>
    </row>
    <row r="619" spans="2:34" x14ac:dyDescent="0.2">
      <c r="B619" t="s">
        <v>351</v>
      </c>
      <c r="C619" t="s">
        <v>935</v>
      </c>
      <c r="D619" t="s">
        <v>236</v>
      </c>
      <c r="I619">
        <v>989.43799999999999</v>
      </c>
      <c r="J619">
        <v>0</v>
      </c>
      <c r="U619">
        <v>990.54000000000008</v>
      </c>
      <c r="V619">
        <v>3.4</v>
      </c>
      <c r="AC619">
        <f>SUMPRODUCT(DB_ThemeSOFAcct[[#This Row],[Plan01]:[Plan12]],$E$14:$P$14)/valUnits2</f>
        <v>0.98943800000000004</v>
      </c>
      <c r="AD619">
        <f>SUMPRODUCT(DB_ThemeSOFAcct[[#This Row],[Act01]:[Act12]],$Q$14:$AB$14)/valUnits2</f>
        <v>0.99394000000000005</v>
      </c>
      <c r="AE619">
        <f>DB_ThemeSOFAcct[[#This Row],[Actuals]]-DB_ThemeSOFAcct[[#This Row],[Plan]]</f>
        <v>4.502000000000006E-3</v>
      </c>
      <c r="AF619">
        <f>IF(DB_ThemeSOFAcct[[#This Row],[Plan]]&lt;&gt;0,DB_ThemeSOFAcct[[#This Row],[Actuals]]/DB_ThemeSOFAcct[[#This Row],[Plan]],1.000011000011)</f>
        <v>1.0045500577095281</v>
      </c>
      <c r="AG619" s="34">
        <f>SUM(DB_ThemeSOFAcct[[#This Row],[Plan01]:[Plan12]])/valUnits2</f>
        <v>0.98943800000000004</v>
      </c>
      <c r="AH619" s="34">
        <f>SUMPRODUCT(DB_ThemeSOFAcct[[#This Row],[Act01]:[Act12]],$Q$3:$AB$3)/valUnits2</f>
        <v>0.99394000000000005</v>
      </c>
    </row>
    <row r="620" spans="2:34" x14ac:dyDescent="0.2">
      <c r="B620" t="s">
        <v>351</v>
      </c>
      <c r="C620" t="s">
        <v>935</v>
      </c>
      <c r="D620" t="s">
        <v>237</v>
      </c>
      <c r="H620">
        <v>164.12899999999999</v>
      </c>
      <c r="I620">
        <v>9.89</v>
      </c>
      <c r="T620">
        <v>158.88</v>
      </c>
      <c r="U620">
        <v>9.91</v>
      </c>
      <c r="AC620">
        <f>SUMPRODUCT(DB_ThemeSOFAcct[[#This Row],[Plan01]:[Plan12]],$E$14:$P$14)/valUnits2</f>
        <v>0.17401900000000001</v>
      </c>
      <c r="AD620">
        <f>SUMPRODUCT(DB_ThemeSOFAcct[[#This Row],[Act01]:[Act12]],$Q$14:$AB$14)/valUnits2</f>
        <v>0.16879</v>
      </c>
      <c r="AE620">
        <f>DB_ThemeSOFAcct[[#This Row],[Actuals]]-DB_ThemeSOFAcct[[#This Row],[Plan]]</f>
        <v>-5.2290000000000114E-3</v>
      </c>
      <c r="AF620">
        <f>IF(DB_ThemeSOFAcct[[#This Row],[Plan]]&lt;&gt;0,DB_ThemeSOFAcct[[#This Row],[Actuals]]/DB_ThemeSOFAcct[[#This Row],[Plan]],1.000011000011)</f>
        <v>0.96995155701388924</v>
      </c>
      <c r="AG620" s="34">
        <f>SUM(DB_ThemeSOFAcct[[#This Row],[Plan01]:[Plan12]])/valUnits2</f>
        <v>0.17401900000000001</v>
      </c>
      <c r="AH620" s="34">
        <f>SUMPRODUCT(DB_ThemeSOFAcct[[#This Row],[Act01]:[Act12]],$Q$3:$AB$3)/valUnits2</f>
        <v>0.16879</v>
      </c>
    </row>
    <row r="621" spans="2:34" x14ac:dyDescent="0.2">
      <c r="B621" t="s">
        <v>351</v>
      </c>
      <c r="C621" t="s">
        <v>935</v>
      </c>
      <c r="D621" t="s">
        <v>141</v>
      </c>
      <c r="F621">
        <v>3.6850000000000001</v>
      </c>
      <c r="H621">
        <v>279.39600000000002</v>
      </c>
      <c r="I621">
        <v>133.88</v>
      </c>
      <c r="R621">
        <v>3.81</v>
      </c>
      <c r="T621">
        <v>276.89999999999998</v>
      </c>
      <c r="U621">
        <v>134.28</v>
      </c>
      <c r="AC621">
        <f>SUMPRODUCT(DB_ThemeSOFAcct[[#This Row],[Plan01]:[Plan12]],$E$14:$P$14)/valUnits2</f>
        <v>0.41696100000000003</v>
      </c>
      <c r="AD621">
        <f>SUMPRODUCT(DB_ThemeSOFAcct[[#This Row],[Act01]:[Act12]],$Q$14:$AB$14)/valUnits2</f>
        <v>0.41499000000000003</v>
      </c>
      <c r="AE621">
        <f>DB_ThemeSOFAcct[[#This Row],[Actuals]]-DB_ThemeSOFAcct[[#This Row],[Plan]]</f>
        <v>-1.9710000000000005E-3</v>
      </c>
      <c r="AF621">
        <f>IF(DB_ThemeSOFAcct[[#This Row],[Plan]]&lt;&gt;0,DB_ThemeSOFAcct[[#This Row],[Actuals]]/DB_ThemeSOFAcct[[#This Row],[Plan]],1.000011000011)</f>
        <v>0.9952729391957521</v>
      </c>
      <c r="AG621" s="34">
        <f>SUM(DB_ThemeSOFAcct[[#This Row],[Plan01]:[Plan12]])/valUnits2</f>
        <v>0.41696100000000003</v>
      </c>
      <c r="AH621" s="34">
        <f>SUMPRODUCT(DB_ThemeSOFAcct[[#This Row],[Act01]:[Act12]],$Q$3:$AB$3)/valUnits2</f>
        <v>0.41499000000000003</v>
      </c>
    </row>
    <row r="622" spans="2:34" x14ac:dyDescent="0.2">
      <c r="B622" t="s">
        <v>351</v>
      </c>
      <c r="C622" t="s">
        <v>937</v>
      </c>
      <c r="D622" t="s">
        <v>143</v>
      </c>
      <c r="G622">
        <v>0</v>
      </c>
      <c r="H622">
        <v>170.22</v>
      </c>
      <c r="I622">
        <v>7.17</v>
      </c>
      <c r="J622">
        <v>117</v>
      </c>
      <c r="S622">
        <v>0</v>
      </c>
      <c r="T622">
        <v>170.22</v>
      </c>
      <c r="U622">
        <v>3.35</v>
      </c>
      <c r="V622">
        <v>0</v>
      </c>
      <c r="AC622">
        <f>SUMPRODUCT(DB_ThemeSOFAcct[[#This Row],[Plan01]:[Plan12]],$E$14:$P$14)/valUnits2</f>
        <v>0.29438999999999999</v>
      </c>
      <c r="AD622">
        <f>SUMPRODUCT(DB_ThemeSOFAcct[[#This Row],[Act01]:[Act12]],$Q$14:$AB$14)/valUnits2</f>
        <v>0.17357</v>
      </c>
      <c r="AE622">
        <f>DB_ThemeSOFAcct[[#This Row],[Actuals]]-DB_ThemeSOFAcct[[#This Row],[Plan]]</f>
        <v>-0.12081999999999998</v>
      </c>
      <c r="AF622">
        <f>IF(DB_ThemeSOFAcct[[#This Row],[Plan]]&lt;&gt;0,DB_ThemeSOFAcct[[#This Row],[Actuals]]/DB_ThemeSOFAcct[[#This Row],[Plan]],1.000011000011)</f>
        <v>0.58959203777302227</v>
      </c>
      <c r="AG622" s="34">
        <f>SUM(DB_ThemeSOFAcct[[#This Row],[Plan01]:[Plan12]])/valUnits2</f>
        <v>0.29438999999999999</v>
      </c>
      <c r="AH622" s="34">
        <f>SUMPRODUCT(DB_ThemeSOFAcct[[#This Row],[Act01]:[Act12]],$Q$3:$AB$3)/valUnits2</f>
        <v>0.17357</v>
      </c>
    </row>
    <row r="623" spans="2:34" x14ac:dyDescent="0.2">
      <c r="B623" t="s">
        <v>351</v>
      </c>
      <c r="C623" t="s">
        <v>937</v>
      </c>
      <c r="D623" t="s">
        <v>235</v>
      </c>
      <c r="H623">
        <v>0</v>
      </c>
      <c r="I623">
        <v>44.93</v>
      </c>
      <c r="J623">
        <v>689.25</v>
      </c>
      <c r="T623">
        <v>0</v>
      </c>
      <c r="U623">
        <v>48.75</v>
      </c>
      <c r="V623">
        <v>0</v>
      </c>
      <c r="AC623">
        <f>SUMPRODUCT(DB_ThemeSOFAcct[[#This Row],[Plan01]:[Plan12]],$E$14:$P$14)/valUnits2</f>
        <v>0.73417999999999994</v>
      </c>
      <c r="AD623">
        <f>SUMPRODUCT(DB_ThemeSOFAcct[[#This Row],[Act01]:[Act12]],$Q$14:$AB$14)/valUnits2</f>
        <v>4.8750000000000002E-2</v>
      </c>
      <c r="AE623">
        <f>DB_ThemeSOFAcct[[#This Row],[Actuals]]-DB_ThemeSOFAcct[[#This Row],[Plan]]</f>
        <v>-0.68542999999999998</v>
      </c>
      <c r="AF623">
        <f>IF(DB_ThemeSOFAcct[[#This Row],[Plan]]&lt;&gt;0,DB_ThemeSOFAcct[[#This Row],[Actuals]]/DB_ThemeSOFAcct[[#This Row],[Plan]],1.000011000011)</f>
        <v>6.6400610204581989E-2</v>
      </c>
      <c r="AG623" s="34">
        <f>SUM(DB_ThemeSOFAcct[[#This Row],[Plan01]:[Plan12]])/valUnits2</f>
        <v>0.73417999999999994</v>
      </c>
      <c r="AH623" s="34">
        <f>SUMPRODUCT(DB_ThemeSOFAcct[[#This Row],[Act01]:[Act12]],$Q$3:$AB$3)/valUnits2</f>
        <v>4.8750000000000002E-2</v>
      </c>
    </row>
    <row r="624" spans="2:34" x14ac:dyDescent="0.2">
      <c r="B624" t="s">
        <v>351</v>
      </c>
      <c r="C624" t="s">
        <v>937</v>
      </c>
      <c r="D624" t="s">
        <v>140</v>
      </c>
      <c r="H624">
        <v>3762.55</v>
      </c>
      <c r="I624">
        <v>2661.14</v>
      </c>
      <c r="J624">
        <v>6339.5129999999999</v>
      </c>
      <c r="T624">
        <v>3762.5499999999997</v>
      </c>
      <c r="U624">
        <v>2661.14</v>
      </c>
      <c r="V624">
        <v>2865.0400000000004</v>
      </c>
      <c r="AC624">
        <f>SUMPRODUCT(DB_ThemeSOFAcct[[#This Row],[Plan01]:[Plan12]],$E$14:$P$14)/valUnits2</f>
        <v>12.763203000000001</v>
      </c>
      <c r="AD624">
        <f>SUMPRODUCT(DB_ThemeSOFAcct[[#This Row],[Act01]:[Act12]],$Q$14:$AB$14)/valUnits2</f>
        <v>9.2887299999999993</v>
      </c>
      <c r="AE624">
        <f>DB_ThemeSOFAcct[[#This Row],[Actuals]]-DB_ThemeSOFAcct[[#This Row],[Plan]]</f>
        <v>-3.4744730000000015</v>
      </c>
      <c r="AF624">
        <f>IF(DB_ThemeSOFAcct[[#This Row],[Plan]]&lt;&gt;0,DB_ThemeSOFAcct[[#This Row],[Actuals]]/DB_ThemeSOFAcct[[#This Row],[Plan]],1.000011000011)</f>
        <v>0.72777421153608535</v>
      </c>
      <c r="AG624" s="34">
        <f>SUM(DB_ThemeSOFAcct[[#This Row],[Plan01]:[Plan12]])/valUnits2</f>
        <v>12.763203000000001</v>
      </c>
      <c r="AH624" s="34">
        <f>SUMPRODUCT(DB_ThemeSOFAcct[[#This Row],[Act01]:[Act12]],$Q$3:$AB$3)/valUnits2</f>
        <v>9.2887299999999993</v>
      </c>
    </row>
    <row r="625" spans="2:34" x14ac:dyDescent="0.2">
      <c r="B625" t="s">
        <v>351</v>
      </c>
      <c r="C625" t="s">
        <v>937</v>
      </c>
      <c r="D625" t="s">
        <v>236</v>
      </c>
      <c r="I625">
        <v>59.05</v>
      </c>
      <c r="U625">
        <v>59.05</v>
      </c>
      <c r="AC625">
        <f>SUMPRODUCT(DB_ThemeSOFAcct[[#This Row],[Plan01]:[Plan12]],$E$14:$P$14)/valUnits2</f>
        <v>5.9049999999999998E-2</v>
      </c>
      <c r="AD625">
        <f>SUMPRODUCT(DB_ThemeSOFAcct[[#This Row],[Act01]:[Act12]],$Q$14:$AB$14)/valUnits2</f>
        <v>5.9049999999999998E-2</v>
      </c>
      <c r="AE625">
        <f>DB_ThemeSOFAcct[[#This Row],[Actuals]]-DB_ThemeSOFAcct[[#This Row],[Plan]]</f>
        <v>0</v>
      </c>
      <c r="AF625">
        <f>IF(DB_ThemeSOFAcct[[#This Row],[Plan]]&lt;&gt;0,DB_ThemeSOFAcct[[#This Row],[Actuals]]/DB_ThemeSOFAcct[[#This Row],[Plan]],1.000011000011)</f>
        <v>1</v>
      </c>
      <c r="AG625" s="34">
        <f>SUM(DB_ThemeSOFAcct[[#This Row],[Plan01]:[Plan12]])/valUnits2</f>
        <v>5.9049999999999998E-2</v>
      </c>
      <c r="AH625" s="34">
        <f>SUMPRODUCT(DB_ThemeSOFAcct[[#This Row],[Act01]:[Act12]],$Q$3:$AB$3)/valUnits2</f>
        <v>5.9049999999999998E-2</v>
      </c>
    </row>
    <row r="626" spans="2:34" x14ac:dyDescent="0.2">
      <c r="B626" t="s">
        <v>351</v>
      </c>
      <c r="C626" t="s">
        <v>937</v>
      </c>
      <c r="D626" t="s">
        <v>237</v>
      </c>
      <c r="I626">
        <v>0.61</v>
      </c>
      <c r="U626">
        <v>0.61</v>
      </c>
      <c r="AC626">
        <f>SUMPRODUCT(DB_ThemeSOFAcct[[#This Row],[Plan01]:[Plan12]],$E$14:$P$14)/valUnits2</f>
        <v>6.0999999999999997E-4</v>
      </c>
      <c r="AD626">
        <f>SUMPRODUCT(DB_ThemeSOFAcct[[#This Row],[Act01]:[Act12]],$Q$14:$AB$14)/valUnits2</f>
        <v>6.0999999999999997E-4</v>
      </c>
      <c r="AE626">
        <f>DB_ThemeSOFAcct[[#This Row],[Actuals]]-DB_ThemeSOFAcct[[#This Row],[Plan]]</f>
        <v>0</v>
      </c>
      <c r="AF626">
        <f>IF(DB_ThemeSOFAcct[[#This Row],[Plan]]&lt;&gt;0,DB_ThemeSOFAcct[[#This Row],[Actuals]]/DB_ThemeSOFAcct[[#This Row],[Plan]],1.000011000011)</f>
        <v>1</v>
      </c>
      <c r="AG626" s="34">
        <f>SUM(DB_ThemeSOFAcct[[#This Row],[Plan01]:[Plan12]])/valUnits2</f>
        <v>6.0999999999999997E-4</v>
      </c>
      <c r="AH626" s="34">
        <f>SUMPRODUCT(DB_ThemeSOFAcct[[#This Row],[Act01]:[Act12]],$Q$3:$AB$3)/valUnits2</f>
        <v>6.0999999999999997E-4</v>
      </c>
    </row>
    <row r="627" spans="2:34" x14ac:dyDescent="0.2">
      <c r="B627" t="s">
        <v>343</v>
      </c>
      <c r="C627" t="s">
        <v>357</v>
      </c>
      <c r="D627" t="s">
        <v>142</v>
      </c>
      <c r="F627">
        <v>0</v>
      </c>
      <c r="G627">
        <v>38617.08</v>
      </c>
      <c r="H627">
        <v>0</v>
      </c>
      <c r="J627">
        <v>0</v>
      </c>
      <c r="R627">
        <v>0</v>
      </c>
      <c r="S627">
        <v>38617.08</v>
      </c>
      <c r="T627">
        <v>0</v>
      </c>
      <c r="V627">
        <v>58409.369999999995</v>
      </c>
      <c r="AC627">
        <f>SUMPRODUCT(DB_ThemeSOFAcct[[#This Row],[Plan01]:[Plan12]],$E$14:$P$14)/valUnits2</f>
        <v>38.617080000000001</v>
      </c>
      <c r="AD627">
        <f>SUMPRODUCT(DB_ThemeSOFAcct[[#This Row],[Act01]:[Act12]],$Q$14:$AB$14)/valUnits2</f>
        <v>97.026449999999997</v>
      </c>
      <c r="AE627">
        <f>DB_ThemeSOFAcct[[#This Row],[Actuals]]-DB_ThemeSOFAcct[[#This Row],[Plan]]</f>
        <v>58.409369999999996</v>
      </c>
      <c r="AF627">
        <f>IF(DB_ThemeSOFAcct[[#This Row],[Plan]]&lt;&gt;0,DB_ThemeSOFAcct[[#This Row],[Actuals]]/DB_ThemeSOFAcct[[#This Row],[Plan]],1.000011000011)</f>
        <v>2.5125268404550525</v>
      </c>
      <c r="AG627" s="34">
        <f>SUM(DB_ThemeSOFAcct[[#This Row],[Plan01]:[Plan12]])/valUnits2</f>
        <v>38.617080000000001</v>
      </c>
      <c r="AH627" s="34">
        <f>SUMPRODUCT(DB_ThemeSOFAcct[[#This Row],[Act01]:[Act12]],$Q$3:$AB$3)/valUnits2</f>
        <v>97.026449999999997</v>
      </c>
    </row>
    <row r="628" spans="2:34" x14ac:dyDescent="0.2">
      <c r="B628" t="s">
        <v>343</v>
      </c>
      <c r="C628" t="s">
        <v>357</v>
      </c>
      <c r="D628" t="s">
        <v>140</v>
      </c>
      <c r="E628">
        <v>866.66</v>
      </c>
      <c r="F628">
        <v>949.68</v>
      </c>
      <c r="G628">
        <v>1075.29</v>
      </c>
      <c r="H628">
        <v>925.32</v>
      </c>
      <c r="I628">
        <v>1390.75</v>
      </c>
      <c r="J628">
        <v>1048</v>
      </c>
      <c r="Q628">
        <v>866.66</v>
      </c>
      <c r="R628">
        <v>949.68</v>
      </c>
      <c r="S628">
        <v>1075.29</v>
      </c>
      <c r="T628">
        <v>925.32</v>
      </c>
      <c r="U628">
        <v>1390.75</v>
      </c>
      <c r="V628">
        <v>1059.98</v>
      </c>
      <c r="AC628">
        <f>SUMPRODUCT(DB_ThemeSOFAcct[[#This Row],[Plan01]:[Plan12]],$E$14:$P$14)/valUnits2</f>
        <v>6.2557000000000009</v>
      </c>
      <c r="AD628">
        <f>SUMPRODUCT(DB_ThemeSOFAcct[[#This Row],[Act01]:[Act12]],$Q$14:$AB$14)/valUnits2</f>
        <v>6.2676800000000004</v>
      </c>
      <c r="AE628">
        <f>DB_ThemeSOFAcct[[#This Row],[Actuals]]-DB_ThemeSOFAcct[[#This Row],[Plan]]</f>
        <v>1.1979999999999436E-2</v>
      </c>
      <c r="AF628">
        <f>IF(DB_ThemeSOFAcct[[#This Row],[Plan]]&lt;&gt;0,DB_ThemeSOFAcct[[#This Row],[Actuals]]/DB_ThemeSOFAcct[[#This Row],[Plan]],1.000011000011)</f>
        <v>1.0019150534712342</v>
      </c>
      <c r="AG628" s="34">
        <f>SUM(DB_ThemeSOFAcct[[#This Row],[Plan01]:[Plan12]])/valUnits2</f>
        <v>6.2557000000000009</v>
      </c>
      <c r="AH628" s="34">
        <f>SUMPRODUCT(DB_ThemeSOFAcct[[#This Row],[Act01]:[Act12]],$Q$3:$AB$3)/valUnits2</f>
        <v>6.2676800000000004</v>
      </c>
    </row>
    <row r="629" spans="2:34" x14ac:dyDescent="0.2">
      <c r="B629" t="s">
        <v>343</v>
      </c>
      <c r="C629" t="s">
        <v>357</v>
      </c>
      <c r="D629" t="s">
        <v>236</v>
      </c>
      <c r="H629">
        <v>0</v>
      </c>
      <c r="I629">
        <v>0</v>
      </c>
      <c r="J629">
        <v>1197.432</v>
      </c>
      <c r="T629">
        <v>0</v>
      </c>
      <c r="U629">
        <v>0</v>
      </c>
      <c r="V629">
        <v>0</v>
      </c>
      <c r="AC629">
        <f>SUMPRODUCT(DB_ThemeSOFAcct[[#This Row],[Plan01]:[Plan12]],$E$14:$P$14)/valUnits2</f>
        <v>1.1974320000000001</v>
      </c>
      <c r="AD629">
        <f>SUMPRODUCT(DB_ThemeSOFAcct[[#This Row],[Act01]:[Act12]],$Q$14:$AB$14)/valUnits2</f>
        <v>0</v>
      </c>
      <c r="AE629">
        <f>DB_ThemeSOFAcct[[#This Row],[Actuals]]-DB_ThemeSOFAcct[[#This Row],[Plan]]</f>
        <v>-1.1974320000000001</v>
      </c>
      <c r="AF629">
        <f>IF(DB_ThemeSOFAcct[[#This Row],[Plan]]&lt;&gt;0,DB_ThemeSOFAcct[[#This Row],[Actuals]]/DB_ThemeSOFAcct[[#This Row],[Plan]],1.000011000011)</f>
        <v>0</v>
      </c>
      <c r="AG629" s="34">
        <f>SUM(DB_ThemeSOFAcct[[#This Row],[Plan01]:[Plan12]])/valUnits2</f>
        <v>1.1974320000000001</v>
      </c>
      <c r="AH629" s="34">
        <f>SUMPRODUCT(DB_ThemeSOFAcct[[#This Row],[Act01]:[Act12]],$Q$3:$AB$3)/valUnits2</f>
        <v>0</v>
      </c>
    </row>
    <row r="630" spans="2:34" x14ac:dyDescent="0.2">
      <c r="B630" t="s">
        <v>343</v>
      </c>
      <c r="C630" t="s">
        <v>357</v>
      </c>
      <c r="D630" t="s">
        <v>237</v>
      </c>
      <c r="I630">
        <v>3076.2</v>
      </c>
      <c r="U630">
        <v>3076.2</v>
      </c>
      <c r="AC630">
        <f>SUMPRODUCT(DB_ThemeSOFAcct[[#This Row],[Plan01]:[Plan12]],$E$14:$P$14)/valUnits2</f>
        <v>3.0761999999999996</v>
      </c>
      <c r="AD630">
        <f>SUMPRODUCT(DB_ThemeSOFAcct[[#This Row],[Act01]:[Act12]],$Q$14:$AB$14)/valUnits2</f>
        <v>3.0761999999999996</v>
      </c>
      <c r="AE630">
        <f>DB_ThemeSOFAcct[[#This Row],[Actuals]]-DB_ThemeSOFAcct[[#This Row],[Plan]]</f>
        <v>0</v>
      </c>
      <c r="AF630">
        <f>IF(DB_ThemeSOFAcct[[#This Row],[Plan]]&lt;&gt;0,DB_ThemeSOFAcct[[#This Row],[Actuals]]/DB_ThemeSOFAcct[[#This Row],[Plan]],1.000011000011)</f>
        <v>1</v>
      </c>
      <c r="AG630" s="34">
        <f>SUM(DB_ThemeSOFAcct[[#This Row],[Plan01]:[Plan12]])/valUnits2</f>
        <v>3.0761999999999996</v>
      </c>
      <c r="AH630" s="34">
        <f>SUMPRODUCT(DB_ThemeSOFAcct[[#This Row],[Act01]:[Act12]],$Q$3:$AB$3)/valUnits2</f>
        <v>3.0761999999999996</v>
      </c>
    </row>
    <row r="631" spans="2:34" x14ac:dyDescent="0.2">
      <c r="B631" t="s">
        <v>343</v>
      </c>
      <c r="C631" t="s">
        <v>357</v>
      </c>
      <c r="D631" t="s">
        <v>141</v>
      </c>
      <c r="H631">
        <v>0</v>
      </c>
      <c r="I631">
        <v>693.03</v>
      </c>
      <c r="J631">
        <v>3051.9700000000003</v>
      </c>
      <c r="K631">
        <v>0</v>
      </c>
      <c r="T631">
        <v>0</v>
      </c>
      <c r="U631">
        <v>693.03</v>
      </c>
      <c r="V631">
        <v>3903.11</v>
      </c>
      <c r="W631">
        <v>-3.19</v>
      </c>
      <c r="AC631">
        <f>SUMPRODUCT(DB_ThemeSOFAcct[[#This Row],[Plan01]:[Plan12]],$E$14:$P$14)/valUnits2</f>
        <v>3.7450000000000001</v>
      </c>
      <c r="AD631">
        <f>SUMPRODUCT(DB_ThemeSOFAcct[[#This Row],[Act01]:[Act12]],$Q$14:$AB$14)/valUnits2</f>
        <v>4.5961400000000001</v>
      </c>
      <c r="AE631">
        <f>DB_ThemeSOFAcct[[#This Row],[Actuals]]-DB_ThemeSOFAcct[[#This Row],[Plan]]</f>
        <v>0.85114000000000001</v>
      </c>
      <c r="AF631">
        <f>IF(DB_ThemeSOFAcct[[#This Row],[Plan]]&lt;&gt;0,DB_ThemeSOFAcct[[#This Row],[Actuals]]/DB_ThemeSOFAcct[[#This Row],[Plan]],1.000011000011)</f>
        <v>1.2272736982643524</v>
      </c>
      <c r="AG631" s="34">
        <f>SUM(DB_ThemeSOFAcct[[#This Row],[Plan01]:[Plan12]])/valUnits2</f>
        <v>3.7450000000000001</v>
      </c>
      <c r="AH631" s="34">
        <f>SUMPRODUCT(DB_ThemeSOFAcct[[#This Row],[Act01]:[Act12]],$Q$3:$AB$3)/valUnits2</f>
        <v>4.5961400000000001</v>
      </c>
    </row>
    <row r="632" spans="2:34" x14ac:dyDescent="0.2">
      <c r="B632" t="s">
        <v>343</v>
      </c>
      <c r="C632" t="s">
        <v>846</v>
      </c>
      <c r="D632" t="s">
        <v>235</v>
      </c>
      <c r="F632">
        <v>70.91</v>
      </c>
      <c r="R632">
        <v>70.91</v>
      </c>
      <c r="AC632">
        <f>SUMPRODUCT(DB_ThemeSOFAcct[[#This Row],[Plan01]:[Plan12]],$E$14:$P$14)/valUnits2</f>
        <v>7.0910000000000001E-2</v>
      </c>
      <c r="AD632">
        <f>SUMPRODUCT(DB_ThemeSOFAcct[[#This Row],[Act01]:[Act12]],$Q$14:$AB$14)/valUnits2</f>
        <v>7.0910000000000001E-2</v>
      </c>
      <c r="AE632">
        <f>DB_ThemeSOFAcct[[#This Row],[Actuals]]-DB_ThemeSOFAcct[[#This Row],[Plan]]</f>
        <v>0</v>
      </c>
      <c r="AF632">
        <f>IF(DB_ThemeSOFAcct[[#This Row],[Plan]]&lt;&gt;0,DB_ThemeSOFAcct[[#This Row],[Actuals]]/DB_ThemeSOFAcct[[#This Row],[Plan]],1.000011000011)</f>
        <v>1</v>
      </c>
      <c r="AG632" s="34">
        <f>SUM(DB_ThemeSOFAcct[[#This Row],[Plan01]:[Plan12]])/valUnits2</f>
        <v>7.0910000000000001E-2</v>
      </c>
      <c r="AH632" s="34">
        <f>SUMPRODUCT(DB_ThemeSOFAcct[[#This Row],[Act01]:[Act12]],$Q$3:$AB$3)/valUnits2</f>
        <v>7.0910000000000001E-2</v>
      </c>
    </row>
    <row r="633" spans="2:34" x14ac:dyDescent="0.2">
      <c r="B633" t="s">
        <v>343</v>
      </c>
      <c r="C633" t="s">
        <v>846</v>
      </c>
      <c r="D633" t="s">
        <v>142</v>
      </c>
      <c r="E633">
        <v>10113.969999999998</v>
      </c>
      <c r="F633">
        <v>0</v>
      </c>
      <c r="G633">
        <v>5.999999999994543E-2</v>
      </c>
      <c r="H633">
        <v>2724.23</v>
      </c>
      <c r="I633">
        <v>0</v>
      </c>
      <c r="J633">
        <v>2400.5</v>
      </c>
      <c r="K633">
        <v>2400.5</v>
      </c>
      <c r="L633">
        <v>2400.5</v>
      </c>
      <c r="M633">
        <v>2400.5</v>
      </c>
      <c r="N633">
        <v>2400.5</v>
      </c>
      <c r="O633">
        <v>2400.5</v>
      </c>
      <c r="P633">
        <v>2400.5</v>
      </c>
      <c r="Q633">
        <v>10113.970000000003</v>
      </c>
      <c r="R633">
        <v>0</v>
      </c>
      <c r="S633">
        <v>5.999999999994543E-2</v>
      </c>
      <c r="T633">
        <v>2724.23</v>
      </c>
      <c r="U633">
        <v>0</v>
      </c>
      <c r="V633">
        <v>2630.0499999999997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f>SUMPRODUCT(DB_ThemeSOFAcct[[#This Row],[Plan01]:[Plan12]],$E$14:$P$14)/valUnits2</f>
        <v>15.238759999999997</v>
      </c>
      <c r="AD633">
        <f>SUMPRODUCT(DB_ThemeSOFAcct[[#This Row],[Act01]:[Act12]],$Q$14:$AB$14)/valUnits2</f>
        <v>15.468310000000001</v>
      </c>
      <c r="AE633">
        <f>DB_ThemeSOFAcct[[#This Row],[Actuals]]-DB_ThemeSOFAcct[[#This Row],[Plan]]</f>
        <v>0.22955000000000325</v>
      </c>
      <c r="AF633">
        <f>IF(DB_ThemeSOFAcct[[#This Row],[Plan]]&lt;&gt;0,DB_ThemeSOFAcct[[#This Row],[Actuals]]/DB_ThemeSOFAcct[[#This Row],[Plan]],1.000011000011)</f>
        <v>1.0150635616021253</v>
      </c>
      <c r="AG633" s="34">
        <f>SUM(DB_ThemeSOFAcct[[#This Row],[Plan01]:[Plan12]])/valUnits2</f>
        <v>29.641759999999994</v>
      </c>
      <c r="AH633" s="34">
        <f>SUMPRODUCT(DB_ThemeSOFAcct[[#This Row],[Act01]:[Act12]],$Q$3:$AB$3)/valUnits2</f>
        <v>15.468310000000001</v>
      </c>
    </row>
    <row r="634" spans="2:34" x14ac:dyDescent="0.2">
      <c r="B634" t="s">
        <v>343</v>
      </c>
      <c r="C634" t="s">
        <v>846</v>
      </c>
      <c r="D634" t="s">
        <v>140</v>
      </c>
      <c r="E634">
        <v>0</v>
      </c>
      <c r="F634">
        <v>0</v>
      </c>
      <c r="G634">
        <v>0</v>
      </c>
      <c r="H634">
        <v>0</v>
      </c>
      <c r="I634">
        <v>2810.61</v>
      </c>
      <c r="J634">
        <v>1287.511</v>
      </c>
      <c r="K634">
        <v>1287.511</v>
      </c>
      <c r="L634">
        <v>1287.511</v>
      </c>
      <c r="M634">
        <v>1287.511</v>
      </c>
      <c r="N634">
        <v>1287.511</v>
      </c>
      <c r="O634">
        <v>1287.511</v>
      </c>
      <c r="P634">
        <v>1287.511</v>
      </c>
      <c r="Q634">
        <v>0</v>
      </c>
      <c r="R634">
        <v>0</v>
      </c>
      <c r="S634">
        <v>0</v>
      </c>
      <c r="T634">
        <v>0</v>
      </c>
      <c r="U634">
        <v>2810.6099999999997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f>SUMPRODUCT(DB_ThemeSOFAcct[[#This Row],[Plan01]:[Plan12]],$E$14:$P$14)/valUnits2</f>
        <v>4.0981209999999999</v>
      </c>
      <c r="AD634">
        <f>SUMPRODUCT(DB_ThemeSOFAcct[[#This Row],[Act01]:[Act12]],$Q$14:$AB$14)/valUnits2</f>
        <v>2.8106099999999996</v>
      </c>
      <c r="AE634">
        <f>DB_ThemeSOFAcct[[#This Row],[Actuals]]-DB_ThemeSOFAcct[[#This Row],[Plan]]</f>
        <v>-1.2875110000000003</v>
      </c>
      <c r="AF634">
        <f>IF(DB_ThemeSOFAcct[[#This Row],[Plan]]&lt;&gt;0,DB_ThemeSOFAcct[[#This Row],[Actuals]]/DB_ThemeSOFAcct[[#This Row],[Plan]],1.000011000011)</f>
        <v>0.68582894453336041</v>
      </c>
      <c r="AG634" s="34">
        <f>SUM(DB_ThemeSOFAcct[[#This Row],[Plan01]:[Plan12]])/valUnits2</f>
        <v>11.823187000000003</v>
      </c>
      <c r="AH634" s="34">
        <f>SUMPRODUCT(DB_ThemeSOFAcct[[#This Row],[Act01]:[Act12]],$Q$3:$AB$3)/valUnits2</f>
        <v>2.8106099999999996</v>
      </c>
    </row>
    <row r="635" spans="2:34" x14ac:dyDescent="0.2">
      <c r="B635" t="s">
        <v>343</v>
      </c>
      <c r="C635" t="s">
        <v>846</v>
      </c>
      <c r="D635" t="s">
        <v>236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297.983</v>
      </c>
      <c r="K635">
        <v>297.983</v>
      </c>
      <c r="L635">
        <v>297.983</v>
      </c>
      <c r="M635">
        <v>297.983</v>
      </c>
      <c r="N635">
        <v>297.983</v>
      </c>
      <c r="O635">
        <v>297.983</v>
      </c>
      <c r="P635">
        <v>297.983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f>SUMPRODUCT(DB_ThemeSOFAcct[[#This Row],[Plan01]:[Plan12]],$E$14:$P$14)/valUnits2</f>
        <v>0.297983</v>
      </c>
      <c r="AD635">
        <f>SUMPRODUCT(DB_ThemeSOFAcct[[#This Row],[Act01]:[Act12]],$Q$14:$AB$14)/valUnits2</f>
        <v>0</v>
      </c>
      <c r="AE635">
        <f>DB_ThemeSOFAcct[[#This Row],[Actuals]]-DB_ThemeSOFAcct[[#This Row],[Plan]]</f>
        <v>-0.297983</v>
      </c>
      <c r="AF635">
        <f>IF(DB_ThemeSOFAcct[[#This Row],[Plan]]&lt;&gt;0,DB_ThemeSOFAcct[[#This Row],[Actuals]]/DB_ThemeSOFAcct[[#This Row],[Plan]],1.000011000011)</f>
        <v>0</v>
      </c>
      <c r="AG635" s="34">
        <f>SUM(DB_ThemeSOFAcct[[#This Row],[Plan01]:[Plan12]])/valUnits2</f>
        <v>2.0858809999999997</v>
      </c>
      <c r="AH635" s="34">
        <f>SUMPRODUCT(DB_ThemeSOFAcct[[#This Row],[Act01]:[Act12]],$Q$3:$AB$3)/valUnits2</f>
        <v>0</v>
      </c>
    </row>
    <row r="636" spans="2:34" x14ac:dyDescent="0.2">
      <c r="B636" t="s">
        <v>343</v>
      </c>
      <c r="C636" t="s">
        <v>846</v>
      </c>
      <c r="D636" t="s">
        <v>141</v>
      </c>
      <c r="E636">
        <v>0</v>
      </c>
      <c r="F636">
        <v>15.59</v>
      </c>
      <c r="G636">
        <v>79.11</v>
      </c>
      <c r="H636">
        <v>40.81</v>
      </c>
      <c r="I636">
        <v>0</v>
      </c>
      <c r="J636">
        <v>103.333</v>
      </c>
      <c r="K636">
        <v>103.333</v>
      </c>
      <c r="L636">
        <v>103.333</v>
      </c>
      <c r="M636">
        <v>103.333</v>
      </c>
      <c r="N636">
        <v>103.333</v>
      </c>
      <c r="O636">
        <v>103.333</v>
      </c>
      <c r="P636">
        <v>103.333</v>
      </c>
      <c r="Q636">
        <v>0</v>
      </c>
      <c r="R636">
        <v>15.590000000000002</v>
      </c>
      <c r="S636">
        <v>79.110000000000014</v>
      </c>
      <c r="T636">
        <v>40.81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f>SUMPRODUCT(DB_ThemeSOFAcct[[#This Row],[Plan01]:[Plan12]],$E$14:$P$14)/valUnits2</f>
        <v>0.238843</v>
      </c>
      <c r="AD636">
        <f>SUMPRODUCT(DB_ThemeSOFAcct[[#This Row],[Act01]:[Act12]],$Q$14:$AB$14)/valUnits2</f>
        <v>0.13551000000000002</v>
      </c>
      <c r="AE636">
        <f>DB_ThemeSOFAcct[[#This Row],[Actuals]]-DB_ThemeSOFAcct[[#This Row],[Plan]]</f>
        <v>-0.10333299999999998</v>
      </c>
      <c r="AF636">
        <f>IF(DB_ThemeSOFAcct[[#This Row],[Plan]]&lt;&gt;0,DB_ThemeSOFAcct[[#This Row],[Actuals]]/DB_ThemeSOFAcct[[#This Row],[Plan]],1.000011000011)</f>
        <v>0.56736014871693963</v>
      </c>
      <c r="AG636" s="34">
        <f>SUM(DB_ThemeSOFAcct[[#This Row],[Plan01]:[Plan12]])/valUnits2</f>
        <v>0.85884099999999985</v>
      </c>
      <c r="AH636" s="34">
        <f>SUMPRODUCT(DB_ThemeSOFAcct[[#This Row],[Act01]:[Act12]],$Q$3:$AB$3)/valUnits2</f>
        <v>0.13551000000000002</v>
      </c>
    </row>
    <row r="637" spans="2:34" x14ac:dyDescent="0.2">
      <c r="B637" t="s">
        <v>343</v>
      </c>
      <c r="C637" t="s">
        <v>366</v>
      </c>
      <c r="D637" t="s">
        <v>143</v>
      </c>
      <c r="H637">
        <v>0</v>
      </c>
      <c r="I637">
        <v>0</v>
      </c>
      <c r="J637">
        <v>47.594000000000001</v>
      </c>
      <c r="K637">
        <v>23.797000000000001</v>
      </c>
      <c r="L637">
        <v>47.594000000000001</v>
      </c>
      <c r="T637">
        <v>0</v>
      </c>
      <c r="U637">
        <v>0</v>
      </c>
      <c r="V637">
        <v>0</v>
      </c>
      <c r="W637">
        <v>0</v>
      </c>
      <c r="X637">
        <v>0</v>
      </c>
      <c r="AC637">
        <f>SUMPRODUCT(DB_ThemeSOFAcct[[#This Row],[Plan01]:[Plan12]],$E$14:$P$14)/valUnits2</f>
        <v>4.7594000000000004E-2</v>
      </c>
      <c r="AD637">
        <f>SUMPRODUCT(DB_ThemeSOFAcct[[#This Row],[Act01]:[Act12]],$Q$14:$AB$14)/valUnits2</f>
        <v>0</v>
      </c>
      <c r="AE637">
        <f>DB_ThemeSOFAcct[[#This Row],[Actuals]]-DB_ThemeSOFAcct[[#This Row],[Plan]]</f>
        <v>-4.7594000000000004E-2</v>
      </c>
      <c r="AF637">
        <f>IF(DB_ThemeSOFAcct[[#This Row],[Plan]]&lt;&gt;0,DB_ThemeSOFAcct[[#This Row],[Actuals]]/DB_ThemeSOFAcct[[#This Row],[Plan]],1.000011000011)</f>
        <v>0</v>
      </c>
      <c r="AG637" s="34">
        <f>SUM(DB_ThemeSOFAcct[[#This Row],[Plan01]:[Plan12]])/valUnits2</f>
        <v>0.11898500000000001</v>
      </c>
      <c r="AH637" s="34">
        <f>SUMPRODUCT(DB_ThemeSOFAcct[[#This Row],[Act01]:[Act12]],$Q$3:$AB$3)/valUnits2</f>
        <v>0</v>
      </c>
    </row>
    <row r="638" spans="2:34" x14ac:dyDescent="0.2">
      <c r="B638" t="s">
        <v>343</v>
      </c>
      <c r="C638" t="s">
        <v>366</v>
      </c>
      <c r="D638" t="s">
        <v>236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23634.82</v>
      </c>
      <c r="W638">
        <v>0</v>
      </c>
      <c r="X638">
        <v>0</v>
      </c>
      <c r="AC638">
        <f>SUMPRODUCT(DB_ThemeSOFAcct[[#This Row],[Plan01]:[Plan12]],$E$14:$P$14)/valUnits2</f>
        <v>0</v>
      </c>
      <c r="AD638">
        <f>SUMPRODUCT(DB_ThemeSOFAcct[[#This Row],[Act01]:[Act12]],$Q$14:$AB$14)/valUnits2</f>
        <v>23.634820000000001</v>
      </c>
      <c r="AE638">
        <f>DB_ThemeSOFAcct[[#This Row],[Actuals]]-DB_ThemeSOFAcct[[#This Row],[Plan]]</f>
        <v>23.634820000000001</v>
      </c>
      <c r="AF638">
        <f>IF(DB_ThemeSOFAcct[[#This Row],[Plan]]&lt;&gt;0,DB_ThemeSOFAcct[[#This Row],[Actuals]]/DB_ThemeSOFAcct[[#This Row],[Plan]],1.000011000011)</f>
        <v>1.0000110000110001</v>
      </c>
      <c r="AG638" s="34">
        <f>SUM(DB_ThemeSOFAcct[[#This Row],[Plan01]:[Plan12]])/valUnits2</f>
        <v>0</v>
      </c>
      <c r="AH638" s="34">
        <f>SUMPRODUCT(DB_ThemeSOFAcct[[#This Row],[Act01]:[Act12]],$Q$3:$AB$3)/valUnits2</f>
        <v>23.634820000000001</v>
      </c>
    </row>
    <row r="639" spans="2:34" x14ac:dyDescent="0.2">
      <c r="B639" t="s">
        <v>343</v>
      </c>
      <c r="C639" t="s">
        <v>366</v>
      </c>
      <c r="D639" t="s">
        <v>141</v>
      </c>
      <c r="H639">
        <v>0</v>
      </c>
      <c r="I639">
        <v>0</v>
      </c>
      <c r="J639">
        <v>1308.8220000000001</v>
      </c>
      <c r="K639">
        <v>654.41200000000003</v>
      </c>
      <c r="L639">
        <v>1308.8220000000001</v>
      </c>
      <c r="T639">
        <v>0</v>
      </c>
      <c r="U639">
        <v>0</v>
      </c>
      <c r="V639">
        <v>0</v>
      </c>
      <c r="W639">
        <v>0</v>
      </c>
      <c r="X639">
        <v>0</v>
      </c>
      <c r="AC639">
        <f>SUMPRODUCT(DB_ThemeSOFAcct[[#This Row],[Plan01]:[Plan12]],$E$14:$P$14)/valUnits2</f>
        <v>1.3088220000000002</v>
      </c>
      <c r="AD639">
        <f>SUMPRODUCT(DB_ThemeSOFAcct[[#This Row],[Act01]:[Act12]],$Q$14:$AB$14)/valUnits2</f>
        <v>0</v>
      </c>
      <c r="AE639">
        <f>DB_ThemeSOFAcct[[#This Row],[Actuals]]-DB_ThemeSOFAcct[[#This Row],[Plan]]</f>
        <v>-1.3088220000000002</v>
      </c>
      <c r="AF639">
        <f>IF(DB_ThemeSOFAcct[[#This Row],[Plan]]&lt;&gt;0,DB_ThemeSOFAcct[[#This Row],[Actuals]]/DB_ThemeSOFAcct[[#This Row],[Plan]],1.000011000011)</f>
        <v>0</v>
      </c>
      <c r="AG639" s="34">
        <f>SUM(DB_ThemeSOFAcct[[#This Row],[Plan01]:[Plan12]])/valUnits2</f>
        <v>3.2720560000000005</v>
      </c>
      <c r="AH639" s="34">
        <f>SUMPRODUCT(DB_ThemeSOFAcct[[#This Row],[Act01]:[Act12]],$Q$3:$AB$3)/valUnits2</f>
        <v>0</v>
      </c>
    </row>
    <row r="640" spans="2:34" x14ac:dyDescent="0.2">
      <c r="B640" t="s">
        <v>343</v>
      </c>
      <c r="C640" t="s">
        <v>858</v>
      </c>
      <c r="D640" t="s">
        <v>143</v>
      </c>
      <c r="E640">
        <v>164.69</v>
      </c>
      <c r="F640">
        <v>556.42000000000007</v>
      </c>
      <c r="G640">
        <v>1219.1799999999998</v>
      </c>
      <c r="H640">
        <v>379.42</v>
      </c>
      <c r="I640">
        <v>1143.24</v>
      </c>
      <c r="J640">
        <v>281.25</v>
      </c>
      <c r="K640">
        <v>281.25</v>
      </c>
      <c r="L640">
        <v>562.49599999999998</v>
      </c>
      <c r="M640">
        <v>281.25</v>
      </c>
      <c r="N640">
        <v>281.25</v>
      </c>
      <c r="O640">
        <v>281.25</v>
      </c>
      <c r="P640">
        <v>281.25</v>
      </c>
      <c r="Q640">
        <v>164.69</v>
      </c>
      <c r="R640">
        <v>622.32999999999993</v>
      </c>
      <c r="S640">
        <v>1219.18</v>
      </c>
      <c r="T640">
        <v>407.14</v>
      </c>
      <c r="U640">
        <v>1097.47</v>
      </c>
      <c r="V640">
        <v>543.3599999999999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f>SUMPRODUCT(DB_ThemeSOFAcct[[#This Row],[Plan01]:[Plan12]],$E$14:$P$14)/valUnits2</f>
        <v>3.7441999999999998</v>
      </c>
      <c r="AD640">
        <f>SUMPRODUCT(DB_ThemeSOFAcct[[#This Row],[Act01]:[Act12]],$Q$14:$AB$14)/valUnits2</f>
        <v>4.0541700000000001</v>
      </c>
      <c r="AE640">
        <f>DB_ThemeSOFAcct[[#This Row],[Actuals]]-DB_ThemeSOFAcct[[#This Row],[Plan]]</f>
        <v>0.3099700000000003</v>
      </c>
      <c r="AF640">
        <f>IF(DB_ThemeSOFAcct[[#This Row],[Plan]]&lt;&gt;0,DB_ThemeSOFAcct[[#This Row],[Actuals]]/DB_ThemeSOFAcct[[#This Row],[Plan]],1.000011000011)</f>
        <v>1.0827867101116395</v>
      </c>
      <c r="AG640" s="34">
        <f>SUM(DB_ThemeSOFAcct[[#This Row],[Plan01]:[Plan12]])/valUnits2</f>
        <v>5.7129459999999996</v>
      </c>
      <c r="AH640" s="34">
        <f>SUMPRODUCT(DB_ThemeSOFAcct[[#This Row],[Act01]:[Act12]],$Q$3:$AB$3)/valUnits2</f>
        <v>4.0541700000000001</v>
      </c>
    </row>
    <row r="641" spans="2:34" x14ac:dyDescent="0.2">
      <c r="B641" t="s">
        <v>343</v>
      </c>
      <c r="C641" t="s">
        <v>858</v>
      </c>
      <c r="D641" t="s">
        <v>235</v>
      </c>
      <c r="E641">
        <v>62.74</v>
      </c>
      <c r="F641">
        <v>567.77</v>
      </c>
      <c r="G641">
        <v>1607.47</v>
      </c>
      <c r="H641">
        <v>2086.77</v>
      </c>
      <c r="I641">
        <v>627.55999999999995</v>
      </c>
      <c r="J641">
        <v>166.667</v>
      </c>
      <c r="K641">
        <v>166.667</v>
      </c>
      <c r="L641">
        <v>333.33000000000004</v>
      </c>
      <c r="M641">
        <v>166.667</v>
      </c>
      <c r="N641">
        <v>166.667</v>
      </c>
      <c r="O641">
        <v>166.667</v>
      </c>
      <c r="P641">
        <v>166.667</v>
      </c>
      <c r="Q641">
        <v>62.74</v>
      </c>
      <c r="R641">
        <v>567.77</v>
      </c>
      <c r="S641">
        <v>1607.4700000000003</v>
      </c>
      <c r="T641">
        <v>2112.7599999999998</v>
      </c>
      <c r="U641">
        <v>733.65000000000009</v>
      </c>
      <c r="V641">
        <v>1674.27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f>SUMPRODUCT(DB_ThemeSOFAcct[[#This Row],[Plan01]:[Plan12]],$E$14:$P$14)/valUnits2</f>
        <v>5.1189770000000001</v>
      </c>
      <c r="AD641">
        <f>SUMPRODUCT(DB_ThemeSOFAcct[[#This Row],[Act01]:[Act12]],$Q$14:$AB$14)/valUnits2</f>
        <v>6.7586599999999999</v>
      </c>
      <c r="AE641">
        <f>DB_ThemeSOFAcct[[#This Row],[Actuals]]-DB_ThemeSOFAcct[[#This Row],[Plan]]</f>
        <v>1.6396829999999998</v>
      </c>
      <c r="AF641">
        <f>IF(DB_ThemeSOFAcct[[#This Row],[Plan]]&lt;&gt;0,DB_ThemeSOFAcct[[#This Row],[Actuals]]/DB_ThemeSOFAcct[[#This Row],[Plan]],1.000011000011)</f>
        <v>1.3203145862933159</v>
      </c>
      <c r="AG641" s="34">
        <f>SUM(DB_ThemeSOFAcct[[#This Row],[Plan01]:[Plan12]])/valUnits2</f>
        <v>6.2856420000000019</v>
      </c>
      <c r="AH641" s="34">
        <f>SUMPRODUCT(DB_ThemeSOFAcct[[#This Row],[Act01]:[Act12]],$Q$3:$AB$3)/valUnits2</f>
        <v>6.7586599999999999</v>
      </c>
    </row>
    <row r="642" spans="2:34" x14ac:dyDescent="0.2">
      <c r="B642" t="s">
        <v>343</v>
      </c>
      <c r="C642" t="s">
        <v>858</v>
      </c>
      <c r="D642" t="s">
        <v>142</v>
      </c>
      <c r="I642">
        <v>0</v>
      </c>
      <c r="J642">
        <v>16666.667000000001</v>
      </c>
      <c r="K642">
        <v>33333.332999999999</v>
      </c>
      <c r="L642">
        <v>16666.667000000001</v>
      </c>
      <c r="M642">
        <v>16666.667000000001</v>
      </c>
      <c r="N642">
        <v>33333.332999999999</v>
      </c>
      <c r="O642">
        <v>16666.667000000001</v>
      </c>
      <c r="P642">
        <v>49999.997000000003</v>
      </c>
      <c r="U642">
        <v>0</v>
      </c>
      <c r="V642">
        <v>46019.45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f>SUMPRODUCT(DB_ThemeSOFAcct[[#This Row],[Plan01]:[Plan12]],$E$14:$P$14)/valUnits2</f>
        <v>16.666667</v>
      </c>
      <c r="AD642">
        <f>SUMPRODUCT(DB_ThemeSOFAcct[[#This Row],[Act01]:[Act12]],$Q$14:$AB$14)/valUnits2</f>
        <v>46.019449999999999</v>
      </c>
      <c r="AE642">
        <f>DB_ThemeSOFAcct[[#This Row],[Actuals]]-DB_ThemeSOFAcct[[#This Row],[Plan]]</f>
        <v>29.352782999999999</v>
      </c>
      <c r="AF642">
        <f>IF(DB_ThemeSOFAcct[[#This Row],[Plan]]&lt;&gt;0,DB_ThemeSOFAcct[[#This Row],[Actuals]]/DB_ThemeSOFAcct[[#This Row],[Plan]],1.000011000011)</f>
        <v>2.7611669447766611</v>
      </c>
      <c r="AG642" s="34">
        <f>SUM(DB_ThemeSOFAcct[[#This Row],[Plan01]:[Plan12]])/valUnits2</f>
        <v>183.33333100000002</v>
      </c>
      <c r="AH642" s="34">
        <f>SUMPRODUCT(DB_ThemeSOFAcct[[#This Row],[Act01]:[Act12]],$Q$3:$AB$3)/valUnits2</f>
        <v>46.019449999999999</v>
      </c>
    </row>
    <row r="643" spans="2:34" x14ac:dyDescent="0.2">
      <c r="B643" t="s">
        <v>343</v>
      </c>
      <c r="C643" t="s">
        <v>858</v>
      </c>
      <c r="D643" t="s">
        <v>140</v>
      </c>
      <c r="E643">
        <v>7595.7</v>
      </c>
      <c r="F643">
        <v>8601.2199999999993</v>
      </c>
      <c r="G643">
        <v>10647.7</v>
      </c>
      <c r="H643">
        <v>9707.57</v>
      </c>
      <c r="I643">
        <v>10186.769999999999</v>
      </c>
      <c r="J643">
        <v>11747.229000000001</v>
      </c>
      <c r="K643">
        <v>11747.229000000001</v>
      </c>
      <c r="L643">
        <v>11747.229000000001</v>
      </c>
      <c r="M643">
        <v>11747.229000000001</v>
      </c>
      <c r="N643">
        <v>32486.020999999997</v>
      </c>
      <c r="O643">
        <v>11747.229000000001</v>
      </c>
      <c r="P643">
        <v>11747.229000000001</v>
      </c>
      <c r="Q643">
        <v>7595.7000000000007</v>
      </c>
      <c r="R643">
        <v>8601.2199999999993</v>
      </c>
      <c r="S643">
        <v>10647.7</v>
      </c>
      <c r="T643">
        <v>9707.57</v>
      </c>
      <c r="U643">
        <v>10186.77</v>
      </c>
      <c r="V643">
        <v>14482.470000000001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f>SUMPRODUCT(DB_ThemeSOFAcct[[#This Row],[Plan01]:[Plan12]],$E$14:$P$14)/valUnits2</f>
        <v>58.486188999999996</v>
      </c>
      <c r="AD643">
        <f>SUMPRODUCT(DB_ThemeSOFAcct[[#This Row],[Act01]:[Act12]],$Q$14:$AB$14)/valUnits2</f>
        <v>61.221430000000005</v>
      </c>
      <c r="AE643">
        <f>DB_ThemeSOFAcct[[#This Row],[Actuals]]-DB_ThemeSOFAcct[[#This Row],[Plan]]</f>
        <v>2.7352410000000091</v>
      </c>
      <c r="AF643">
        <f>IF(DB_ThemeSOFAcct[[#This Row],[Plan]]&lt;&gt;0,DB_ThemeSOFAcct[[#This Row],[Actuals]]/DB_ThemeSOFAcct[[#This Row],[Plan]],1.000011000011)</f>
        <v>1.0467672974896691</v>
      </c>
      <c r="AG643" s="34">
        <f>SUM(DB_ThemeSOFAcct[[#This Row],[Plan01]:[Plan12]])/valUnits2</f>
        <v>149.70835500000001</v>
      </c>
      <c r="AH643" s="34">
        <f>SUMPRODUCT(DB_ThemeSOFAcct[[#This Row],[Act01]:[Act12]],$Q$3:$AB$3)/valUnits2</f>
        <v>61.221430000000005</v>
      </c>
    </row>
    <row r="644" spans="2:34" x14ac:dyDescent="0.2">
      <c r="B644" t="s">
        <v>343</v>
      </c>
      <c r="C644" t="s">
        <v>858</v>
      </c>
      <c r="D644" t="s">
        <v>236</v>
      </c>
      <c r="E644">
        <v>0</v>
      </c>
      <c r="F644">
        <v>560.08000000000004</v>
      </c>
      <c r="G644">
        <v>2352.8100000000004</v>
      </c>
      <c r="H644">
        <v>187.82</v>
      </c>
      <c r="I644">
        <v>47.64</v>
      </c>
      <c r="J644">
        <v>2500.0009999999997</v>
      </c>
      <c r="K644">
        <v>2500.0009999999997</v>
      </c>
      <c r="L644">
        <v>4500.0010000000002</v>
      </c>
      <c r="M644">
        <v>4500.0010000000002</v>
      </c>
      <c r="N644">
        <v>4500.0010000000002</v>
      </c>
      <c r="O644">
        <v>2500.0009999999997</v>
      </c>
      <c r="P644">
        <v>2500.0009999999997</v>
      </c>
      <c r="Q644">
        <v>0</v>
      </c>
      <c r="R644">
        <v>560.08000000000004</v>
      </c>
      <c r="S644">
        <v>2352.81</v>
      </c>
      <c r="T644">
        <v>187.82</v>
      </c>
      <c r="U644">
        <v>47.64</v>
      </c>
      <c r="V644">
        <v>7.99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f>SUMPRODUCT(DB_ThemeSOFAcct[[#This Row],[Plan01]:[Plan12]],$E$14:$P$14)/valUnits2</f>
        <v>5.6483510000000008</v>
      </c>
      <c r="AD644">
        <f>SUMPRODUCT(DB_ThemeSOFAcct[[#This Row],[Act01]:[Act12]],$Q$14:$AB$14)/valUnits2</f>
        <v>3.1563399999999997</v>
      </c>
      <c r="AE644">
        <f>DB_ThemeSOFAcct[[#This Row],[Actuals]]-DB_ThemeSOFAcct[[#This Row],[Plan]]</f>
        <v>-2.4920110000000011</v>
      </c>
      <c r="AF644">
        <f>IF(DB_ThemeSOFAcct[[#This Row],[Plan]]&lt;&gt;0,DB_ThemeSOFAcct[[#This Row],[Actuals]]/DB_ThemeSOFAcct[[#This Row],[Plan]],1.000011000011)</f>
        <v>0.5588073404078463</v>
      </c>
      <c r="AG644" s="34">
        <f>SUM(DB_ThemeSOFAcct[[#This Row],[Plan01]:[Plan12]])/valUnits2</f>
        <v>26.648357000000001</v>
      </c>
      <c r="AH644" s="34">
        <f>SUMPRODUCT(DB_ThemeSOFAcct[[#This Row],[Act01]:[Act12]],$Q$3:$AB$3)/valUnits2</f>
        <v>3.1563399999999997</v>
      </c>
    </row>
    <row r="645" spans="2:34" x14ac:dyDescent="0.2">
      <c r="B645" t="s">
        <v>343</v>
      </c>
      <c r="C645" t="s">
        <v>858</v>
      </c>
      <c r="D645" t="s">
        <v>237</v>
      </c>
      <c r="F645">
        <v>427.96</v>
      </c>
      <c r="G645">
        <v>2425.02</v>
      </c>
      <c r="H645">
        <v>2961.83</v>
      </c>
      <c r="I645">
        <v>1042.8400000000001</v>
      </c>
      <c r="J645">
        <v>0</v>
      </c>
      <c r="R645">
        <v>427.96</v>
      </c>
      <c r="S645">
        <v>2425.02</v>
      </c>
      <c r="T645">
        <v>2961.83</v>
      </c>
      <c r="U645">
        <v>1042.8399999999999</v>
      </c>
      <c r="V645">
        <v>1313.01</v>
      </c>
      <c r="AC645">
        <f>SUMPRODUCT(DB_ThemeSOFAcct[[#This Row],[Plan01]:[Plan12]],$E$14:$P$14)/valUnits2</f>
        <v>6.8576499999999996</v>
      </c>
      <c r="AD645">
        <f>SUMPRODUCT(DB_ThemeSOFAcct[[#This Row],[Act01]:[Act12]],$Q$14:$AB$14)/valUnits2</f>
        <v>8.1706599999999998</v>
      </c>
      <c r="AE645">
        <f>DB_ThemeSOFAcct[[#This Row],[Actuals]]-DB_ThemeSOFAcct[[#This Row],[Plan]]</f>
        <v>1.3130100000000002</v>
      </c>
      <c r="AF645">
        <f>IF(DB_ThemeSOFAcct[[#This Row],[Plan]]&lt;&gt;0,DB_ThemeSOFAcct[[#This Row],[Actuals]]/DB_ThemeSOFAcct[[#This Row],[Plan]],1.000011000011)</f>
        <v>1.1914664644593993</v>
      </c>
      <c r="AG645" s="34">
        <f>SUM(DB_ThemeSOFAcct[[#This Row],[Plan01]:[Plan12]])/valUnits2</f>
        <v>6.8576499999999996</v>
      </c>
      <c r="AH645" s="34">
        <f>SUMPRODUCT(DB_ThemeSOFAcct[[#This Row],[Act01]:[Act12]],$Q$3:$AB$3)/valUnits2</f>
        <v>8.1706599999999998</v>
      </c>
    </row>
    <row r="646" spans="2:34" x14ac:dyDescent="0.2">
      <c r="B646" t="s">
        <v>343</v>
      </c>
      <c r="C646" t="s">
        <v>858</v>
      </c>
      <c r="D646" t="s">
        <v>141</v>
      </c>
      <c r="E646">
        <v>32.050000000000004</v>
      </c>
      <c r="F646">
        <v>450.09000000000003</v>
      </c>
      <c r="G646">
        <v>476.78</v>
      </c>
      <c r="H646">
        <v>1384.32</v>
      </c>
      <c r="I646">
        <v>618.04999999999995</v>
      </c>
      <c r="J646">
        <v>3166.6669999999999</v>
      </c>
      <c r="K646">
        <v>3166.6669999999999</v>
      </c>
      <c r="L646">
        <v>4666.6669999999995</v>
      </c>
      <c r="M646">
        <v>3166.6669999999999</v>
      </c>
      <c r="N646">
        <v>3166.6669999999999</v>
      </c>
      <c r="O646">
        <v>3166.6669999999999</v>
      </c>
      <c r="P646">
        <v>3166.6669999999999</v>
      </c>
      <c r="Q646">
        <v>32.049999999999997</v>
      </c>
      <c r="R646">
        <v>450.09</v>
      </c>
      <c r="S646">
        <v>476.78</v>
      </c>
      <c r="T646">
        <v>1384.3200000000002</v>
      </c>
      <c r="U646">
        <v>618.05000000000007</v>
      </c>
      <c r="V646">
        <v>816.89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f>SUMPRODUCT(DB_ThemeSOFAcct[[#This Row],[Plan01]:[Plan12]],$E$14:$P$14)/valUnits2</f>
        <v>6.1279570000000003</v>
      </c>
      <c r="AD646">
        <f>SUMPRODUCT(DB_ThemeSOFAcct[[#This Row],[Act01]:[Act12]],$Q$14:$AB$14)/valUnits2</f>
        <v>3.7781800000000003</v>
      </c>
      <c r="AE646">
        <f>DB_ThemeSOFAcct[[#This Row],[Actuals]]-DB_ThemeSOFAcct[[#This Row],[Plan]]</f>
        <v>-2.349777</v>
      </c>
      <c r="AF646">
        <f>IF(DB_ThemeSOFAcct[[#This Row],[Plan]]&lt;&gt;0,DB_ThemeSOFAcct[[#This Row],[Actuals]]/DB_ThemeSOFAcct[[#This Row],[Plan]],1.000011000011)</f>
        <v>0.61654805998149143</v>
      </c>
      <c r="AG646" s="34">
        <f>SUM(DB_ThemeSOFAcct[[#This Row],[Plan01]:[Plan12]])/valUnits2</f>
        <v>26.627959000000004</v>
      </c>
      <c r="AH646" s="34">
        <f>SUMPRODUCT(DB_ThemeSOFAcct[[#This Row],[Act01]:[Act12]],$Q$3:$AB$3)/valUnits2</f>
        <v>3.7781800000000003</v>
      </c>
    </row>
    <row r="647" spans="2:34" x14ac:dyDescent="0.2">
      <c r="B647" t="s">
        <v>343</v>
      </c>
      <c r="C647" t="s">
        <v>863</v>
      </c>
      <c r="D647" t="s">
        <v>143</v>
      </c>
      <c r="E647">
        <v>87.28</v>
      </c>
      <c r="F647">
        <v>69.709999999999994</v>
      </c>
      <c r="Q647">
        <v>87.28</v>
      </c>
      <c r="R647">
        <v>69.709999999999994</v>
      </c>
      <c r="AC647">
        <f>SUMPRODUCT(DB_ThemeSOFAcct[[#This Row],[Plan01]:[Plan12]],$E$14:$P$14)/valUnits2</f>
        <v>0.15699000000000002</v>
      </c>
      <c r="AD647">
        <f>SUMPRODUCT(DB_ThemeSOFAcct[[#This Row],[Act01]:[Act12]],$Q$14:$AB$14)/valUnits2</f>
        <v>0.15699000000000002</v>
      </c>
      <c r="AE647">
        <f>DB_ThemeSOFAcct[[#This Row],[Actuals]]-DB_ThemeSOFAcct[[#This Row],[Plan]]</f>
        <v>0</v>
      </c>
      <c r="AF647">
        <f>IF(DB_ThemeSOFAcct[[#This Row],[Plan]]&lt;&gt;0,DB_ThemeSOFAcct[[#This Row],[Actuals]]/DB_ThemeSOFAcct[[#This Row],[Plan]],1.000011000011)</f>
        <v>1</v>
      </c>
      <c r="AG647" s="34">
        <f>SUM(DB_ThemeSOFAcct[[#This Row],[Plan01]:[Plan12]])/valUnits2</f>
        <v>0.15699000000000002</v>
      </c>
      <c r="AH647" s="34">
        <f>SUMPRODUCT(DB_ThemeSOFAcct[[#This Row],[Act01]:[Act12]],$Q$3:$AB$3)/valUnits2</f>
        <v>0.15699000000000002</v>
      </c>
    </row>
    <row r="648" spans="2:34" x14ac:dyDescent="0.2">
      <c r="B648" t="s">
        <v>343</v>
      </c>
      <c r="C648" t="s">
        <v>863</v>
      </c>
      <c r="D648" t="s">
        <v>142</v>
      </c>
      <c r="E648">
        <v>-2964.9100000000003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-2964.9100000000017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f>SUMPRODUCT(DB_ThemeSOFAcct[[#This Row],[Plan01]:[Plan12]],$E$14:$P$14)/valUnits2</f>
        <v>-2.9649100000000002</v>
      </c>
      <c r="AD648">
        <f>SUMPRODUCT(DB_ThemeSOFAcct[[#This Row],[Act01]:[Act12]],$Q$14:$AB$14)/valUnits2</f>
        <v>-2.9649100000000015</v>
      </c>
      <c r="AE648">
        <f>DB_ThemeSOFAcct[[#This Row],[Actuals]]-DB_ThemeSOFAcct[[#This Row],[Plan]]</f>
        <v>0</v>
      </c>
      <c r="AF648">
        <f>IF(DB_ThemeSOFAcct[[#This Row],[Plan]]&lt;&gt;0,DB_ThemeSOFAcct[[#This Row],[Actuals]]/DB_ThemeSOFAcct[[#This Row],[Plan]],1.000011000011)</f>
        <v>1.0000000000000004</v>
      </c>
      <c r="AG648" s="34">
        <f>SUM(DB_ThemeSOFAcct[[#This Row],[Plan01]:[Plan12]])/valUnits2</f>
        <v>-2.9649100000000002</v>
      </c>
      <c r="AH648" s="34">
        <f>SUMPRODUCT(DB_ThemeSOFAcct[[#This Row],[Act01]:[Act12]],$Q$3:$AB$3)/valUnits2</f>
        <v>-2.9649100000000015</v>
      </c>
    </row>
    <row r="649" spans="2:34" x14ac:dyDescent="0.2">
      <c r="B649" t="s">
        <v>343</v>
      </c>
      <c r="C649" t="s">
        <v>863</v>
      </c>
      <c r="D649" t="s">
        <v>236</v>
      </c>
      <c r="E649">
        <v>0</v>
      </c>
      <c r="F649">
        <v>98.96</v>
      </c>
      <c r="G649">
        <v>1033.82</v>
      </c>
      <c r="H649">
        <v>5302.76</v>
      </c>
      <c r="I649">
        <v>703.97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98.96</v>
      </c>
      <c r="S649">
        <v>1033.82</v>
      </c>
      <c r="T649">
        <v>5302.76</v>
      </c>
      <c r="U649">
        <v>703.97</v>
      </c>
      <c r="V649">
        <v>271.08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f>SUMPRODUCT(DB_ThemeSOFAcct[[#This Row],[Plan01]:[Plan12]],$E$14:$P$14)/valUnits2</f>
        <v>7.1395100000000005</v>
      </c>
      <c r="AD649">
        <f>SUMPRODUCT(DB_ThemeSOFAcct[[#This Row],[Act01]:[Act12]],$Q$14:$AB$14)/valUnits2</f>
        <v>7.41059</v>
      </c>
      <c r="AE649">
        <f>DB_ThemeSOFAcct[[#This Row],[Actuals]]-DB_ThemeSOFAcct[[#This Row],[Plan]]</f>
        <v>0.27107999999999954</v>
      </c>
      <c r="AF649">
        <f>IF(DB_ThemeSOFAcct[[#This Row],[Plan]]&lt;&gt;0,DB_ThemeSOFAcct[[#This Row],[Actuals]]/DB_ThemeSOFAcct[[#This Row],[Plan]],1.000011000011)</f>
        <v>1.0379689922697775</v>
      </c>
      <c r="AG649" s="34">
        <f>SUM(DB_ThemeSOFAcct[[#This Row],[Plan01]:[Plan12]])/valUnits2</f>
        <v>7.1395100000000005</v>
      </c>
      <c r="AH649" s="34">
        <f>SUMPRODUCT(DB_ThemeSOFAcct[[#This Row],[Act01]:[Act12]],$Q$3:$AB$3)/valUnits2</f>
        <v>7.41059</v>
      </c>
    </row>
    <row r="650" spans="2:34" x14ac:dyDescent="0.2">
      <c r="B650" t="s">
        <v>343</v>
      </c>
      <c r="C650" t="s">
        <v>863</v>
      </c>
      <c r="D650" t="s">
        <v>141</v>
      </c>
      <c r="E650">
        <v>0</v>
      </c>
      <c r="F650">
        <v>0</v>
      </c>
      <c r="G650">
        <v>0</v>
      </c>
      <c r="H650">
        <v>1164.92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1164.92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f>SUMPRODUCT(DB_ThemeSOFAcct[[#This Row],[Plan01]:[Plan12]],$E$14:$P$14)/valUnits2</f>
        <v>1.1649200000000002</v>
      </c>
      <c r="AD650">
        <f>SUMPRODUCT(DB_ThemeSOFAcct[[#This Row],[Act01]:[Act12]],$Q$14:$AB$14)/valUnits2</f>
        <v>1.1649200000000002</v>
      </c>
      <c r="AE650">
        <f>DB_ThemeSOFAcct[[#This Row],[Actuals]]-DB_ThemeSOFAcct[[#This Row],[Plan]]</f>
        <v>0</v>
      </c>
      <c r="AF650">
        <f>IF(DB_ThemeSOFAcct[[#This Row],[Plan]]&lt;&gt;0,DB_ThemeSOFAcct[[#This Row],[Actuals]]/DB_ThemeSOFAcct[[#This Row],[Plan]],1.000011000011)</f>
        <v>1</v>
      </c>
      <c r="AG650" s="34">
        <f>SUM(DB_ThemeSOFAcct[[#This Row],[Plan01]:[Plan12]])/valUnits2</f>
        <v>1.1649200000000002</v>
      </c>
      <c r="AH650" s="34">
        <f>SUMPRODUCT(DB_ThemeSOFAcct[[#This Row],[Act01]:[Act12]],$Q$3:$AB$3)/valUnits2</f>
        <v>1.1649200000000002</v>
      </c>
    </row>
    <row r="651" spans="2:34" x14ac:dyDescent="0.2">
      <c r="B651" t="s">
        <v>343</v>
      </c>
      <c r="C651" t="s">
        <v>868</v>
      </c>
      <c r="D651" t="s">
        <v>142</v>
      </c>
      <c r="G651">
        <v>0</v>
      </c>
      <c r="S651">
        <v>0</v>
      </c>
      <c r="AC651">
        <f>SUMPRODUCT(DB_ThemeSOFAcct[[#This Row],[Plan01]:[Plan12]],$E$14:$P$14)/valUnits2</f>
        <v>0</v>
      </c>
      <c r="AD651">
        <f>SUMPRODUCT(DB_ThemeSOFAcct[[#This Row],[Act01]:[Act12]],$Q$14:$AB$14)/valUnits2</f>
        <v>0</v>
      </c>
      <c r="AE651">
        <f>DB_ThemeSOFAcct[[#This Row],[Actuals]]-DB_ThemeSOFAcct[[#This Row],[Plan]]</f>
        <v>0</v>
      </c>
      <c r="AF651">
        <f>IF(DB_ThemeSOFAcct[[#This Row],[Plan]]&lt;&gt;0,DB_ThemeSOFAcct[[#This Row],[Actuals]]/DB_ThemeSOFAcct[[#This Row],[Plan]],1.000011000011)</f>
        <v>1.0000110000110001</v>
      </c>
      <c r="AG651" s="34">
        <f>SUM(DB_ThemeSOFAcct[[#This Row],[Plan01]:[Plan12]])/valUnits2</f>
        <v>0</v>
      </c>
      <c r="AH651" s="34">
        <f>SUMPRODUCT(DB_ThemeSOFAcct[[#This Row],[Act01]:[Act12]],$Q$3:$AB$3)/valUnits2</f>
        <v>0</v>
      </c>
    </row>
    <row r="652" spans="2:34" x14ac:dyDescent="0.2">
      <c r="B652" t="s">
        <v>343</v>
      </c>
      <c r="C652" t="s">
        <v>868</v>
      </c>
      <c r="D652" t="s">
        <v>140</v>
      </c>
      <c r="J652">
        <v>0</v>
      </c>
      <c r="V652">
        <v>4108.28</v>
      </c>
      <c r="AC652">
        <f>SUMPRODUCT(DB_ThemeSOFAcct[[#This Row],[Plan01]:[Plan12]],$E$14:$P$14)/valUnits2</f>
        <v>0</v>
      </c>
      <c r="AD652">
        <f>SUMPRODUCT(DB_ThemeSOFAcct[[#This Row],[Act01]:[Act12]],$Q$14:$AB$14)/valUnits2</f>
        <v>4.1082799999999997</v>
      </c>
      <c r="AE652">
        <f>DB_ThemeSOFAcct[[#This Row],[Actuals]]-DB_ThemeSOFAcct[[#This Row],[Plan]]</f>
        <v>4.1082799999999997</v>
      </c>
      <c r="AF652">
        <f>IF(DB_ThemeSOFAcct[[#This Row],[Plan]]&lt;&gt;0,DB_ThemeSOFAcct[[#This Row],[Actuals]]/DB_ThemeSOFAcct[[#This Row],[Plan]],1.000011000011)</f>
        <v>1.0000110000110001</v>
      </c>
      <c r="AG652" s="34">
        <f>SUM(DB_ThemeSOFAcct[[#This Row],[Plan01]:[Plan12]])/valUnits2</f>
        <v>0</v>
      </c>
      <c r="AH652" s="34">
        <f>SUMPRODUCT(DB_ThemeSOFAcct[[#This Row],[Act01]:[Act12]],$Q$3:$AB$3)/valUnits2</f>
        <v>4.1082799999999997</v>
      </c>
    </row>
    <row r="653" spans="2:34" x14ac:dyDescent="0.2">
      <c r="B653" t="s">
        <v>343</v>
      </c>
      <c r="C653" t="s">
        <v>868</v>
      </c>
      <c r="D653" t="s">
        <v>236</v>
      </c>
      <c r="J653">
        <v>0</v>
      </c>
      <c r="V653">
        <v>62.5</v>
      </c>
      <c r="AC653">
        <f>SUMPRODUCT(DB_ThemeSOFAcct[[#This Row],[Plan01]:[Plan12]],$E$14:$P$14)/valUnits2</f>
        <v>0</v>
      </c>
      <c r="AD653">
        <f>SUMPRODUCT(DB_ThemeSOFAcct[[#This Row],[Act01]:[Act12]],$Q$14:$AB$14)/valUnits2</f>
        <v>6.25E-2</v>
      </c>
      <c r="AE653">
        <f>DB_ThemeSOFAcct[[#This Row],[Actuals]]-DB_ThemeSOFAcct[[#This Row],[Plan]]</f>
        <v>6.25E-2</v>
      </c>
      <c r="AF653">
        <f>IF(DB_ThemeSOFAcct[[#This Row],[Plan]]&lt;&gt;0,DB_ThemeSOFAcct[[#This Row],[Actuals]]/DB_ThemeSOFAcct[[#This Row],[Plan]],1.000011000011)</f>
        <v>1.0000110000110001</v>
      </c>
      <c r="AG653" s="34">
        <f>SUM(DB_ThemeSOFAcct[[#This Row],[Plan01]:[Plan12]])/valUnits2</f>
        <v>0</v>
      </c>
      <c r="AH653" s="34">
        <f>SUMPRODUCT(DB_ThemeSOFAcct[[#This Row],[Act01]:[Act12]],$Q$3:$AB$3)/valUnits2</f>
        <v>6.25E-2</v>
      </c>
    </row>
    <row r="654" spans="2:34" x14ac:dyDescent="0.2">
      <c r="B654" t="s">
        <v>343</v>
      </c>
      <c r="C654" t="s">
        <v>868</v>
      </c>
      <c r="D654" t="s">
        <v>237</v>
      </c>
      <c r="J654">
        <v>0</v>
      </c>
      <c r="V654">
        <v>1568.18</v>
      </c>
      <c r="AC654">
        <f>SUMPRODUCT(DB_ThemeSOFAcct[[#This Row],[Plan01]:[Plan12]],$E$14:$P$14)/valUnits2</f>
        <v>0</v>
      </c>
      <c r="AD654">
        <f>SUMPRODUCT(DB_ThemeSOFAcct[[#This Row],[Act01]:[Act12]],$Q$14:$AB$14)/valUnits2</f>
        <v>1.5681800000000001</v>
      </c>
      <c r="AE654">
        <f>DB_ThemeSOFAcct[[#This Row],[Actuals]]-DB_ThemeSOFAcct[[#This Row],[Plan]]</f>
        <v>1.5681800000000001</v>
      </c>
      <c r="AF654">
        <f>IF(DB_ThemeSOFAcct[[#This Row],[Plan]]&lt;&gt;0,DB_ThemeSOFAcct[[#This Row],[Actuals]]/DB_ThemeSOFAcct[[#This Row],[Plan]],1.000011000011)</f>
        <v>1.0000110000110001</v>
      </c>
      <c r="AG654" s="34">
        <f>SUM(DB_ThemeSOFAcct[[#This Row],[Plan01]:[Plan12]])/valUnits2</f>
        <v>0</v>
      </c>
      <c r="AH654" s="34">
        <f>SUMPRODUCT(DB_ThemeSOFAcct[[#This Row],[Act01]:[Act12]],$Q$3:$AB$3)/valUnits2</f>
        <v>1.5681800000000001</v>
      </c>
    </row>
    <row r="655" spans="2:34" x14ac:dyDescent="0.2">
      <c r="B655" t="s">
        <v>343</v>
      </c>
      <c r="C655" t="s">
        <v>868</v>
      </c>
      <c r="D655" t="s">
        <v>141</v>
      </c>
      <c r="J655">
        <v>0</v>
      </c>
      <c r="V655">
        <v>4976.3500000000004</v>
      </c>
      <c r="AC655">
        <f>SUMPRODUCT(DB_ThemeSOFAcct[[#This Row],[Plan01]:[Plan12]],$E$14:$P$14)/valUnits2</f>
        <v>0</v>
      </c>
      <c r="AD655">
        <f>SUMPRODUCT(DB_ThemeSOFAcct[[#This Row],[Act01]:[Act12]],$Q$14:$AB$14)/valUnits2</f>
        <v>4.9763500000000001</v>
      </c>
      <c r="AE655">
        <f>DB_ThemeSOFAcct[[#This Row],[Actuals]]-DB_ThemeSOFAcct[[#This Row],[Plan]]</f>
        <v>4.9763500000000001</v>
      </c>
      <c r="AF655">
        <f>IF(DB_ThemeSOFAcct[[#This Row],[Plan]]&lt;&gt;0,DB_ThemeSOFAcct[[#This Row],[Actuals]]/DB_ThemeSOFAcct[[#This Row],[Plan]],1.000011000011)</f>
        <v>1.0000110000110001</v>
      </c>
      <c r="AG655" s="34">
        <f>SUM(DB_ThemeSOFAcct[[#This Row],[Plan01]:[Plan12]])/valUnits2</f>
        <v>0</v>
      </c>
      <c r="AH655" s="34">
        <f>SUMPRODUCT(DB_ThemeSOFAcct[[#This Row],[Act01]:[Act12]],$Q$3:$AB$3)/valUnits2</f>
        <v>4.9763500000000001</v>
      </c>
    </row>
    <row r="656" spans="2:34" x14ac:dyDescent="0.2">
      <c r="B656" t="s">
        <v>343</v>
      </c>
      <c r="C656" t="s">
        <v>871</v>
      </c>
      <c r="D656" t="s">
        <v>235</v>
      </c>
      <c r="E656">
        <v>-58.91</v>
      </c>
      <c r="Q656">
        <v>-58.91</v>
      </c>
      <c r="AC656">
        <f>SUMPRODUCT(DB_ThemeSOFAcct[[#This Row],[Plan01]:[Plan12]],$E$14:$P$14)/valUnits2</f>
        <v>-5.8909999999999997E-2</v>
      </c>
      <c r="AD656">
        <f>SUMPRODUCT(DB_ThemeSOFAcct[[#This Row],[Act01]:[Act12]],$Q$14:$AB$14)/valUnits2</f>
        <v>-5.8909999999999997E-2</v>
      </c>
      <c r="AE656">
        <f>DB_ThemeSOFAcct[[#This Row],[Actuals]]-DB_ThemeSOFAcct[[#This Row],[Plan]]</f>
        <v>0</v>
      </c>
      <c r="AF656">
        <f>IF(DB_ThemeSOFAcct[[#This Row],[Plan]]&lt;&gt;0,DB_ThemeSOFAcct[[#This Row],[Actuals]]/DB_ThemeSOFAcct[[#This Row],[Plan]],1.000011000011)</f>
        <v>1</v>
      </c>
      <c r="AG656" s="34">
        <f>SUM(DB_ThemeSOFAcct[[#This Row],[Plan01]:[Plan12]])/valUnits2</f>
        <v>-5.8909999999999997E-2</v>
      </c>
      <c r="AH656" s="34">
        <f>SUMPRODUCT(DB_ThemeSOFAcct[[#This Row],[Act01]:[Act12]],$Q$3:$AB$3)/valUnits2</f>
        <v>-5.8909999999999997E-2</v>
      </c>
    </row>
    <row r="657" spans="2:34" x14ac:dyDescent="0.2">
      <c r="B657" t="s">
        <v>343</v>
      </c>
      <c r="C657" t="s">
        <v>871</v>
      </c>
      <c r="D657" t="s">
        <v>141</v>
      </c>
      <c r="E657">
        <v>367.03</v>
      </c>
      <c r="Q657">
        <v>367.03</v>
      </c>
      <c r="AC657">
        <f>SUMPRODUCT(DB_ThemeSOFAcct[[#This Row],[Plan01]:[Plan12]],$E$14:$P$14)/valUnits2</f>
        <v>0.36702999999999997</v>
      </c>
      <c r="AD657">
        <f>SUMPRODUCT(DB_ThemeSOFAcct[[#This Row],[Act01]:[Act12]],$Q$14:$AB$14)/valUnits2</f>
        <v>0.36702999999999997</v>
      </c>
      <c r="AE657">
        <f>DB_ThemeSOFAcct[[#This Row],[Actuals]]-DB_ThemeSOFAcct[[#This Row],[Plan]]</f>
        <v>0</v>
      </c>
      <c r="AF657">
        <f>IF(DB_ThemeSOFAcct[[#This Row],[Plan]]&lt;&gt;0,DB_ThemeSOFAcct[[#This Row],[Actuals]]/DB_ThemeSOFAcct[[#This Row],[Plan]],1.000011000011)</f>
        <v>1</v>
      </c>
      <c r="AG657" s="34">
        <f>SUM(DB_ThemeSOFAcct[[#This Row],[Plan01]:[Plan12]])/valUnits2</f>
        <v>0.36702999999999997</v>
      </c>
      <c r="AH657" s="34">
        <f>SUMPRODUCT(DB_ThemeSOFAcct[[#This Row],[Act01]:[Act12]],$Q$3:$AB$3)/valUnits2</f>
        <v>0.36702999999999997</v>
      </c>
    </row>
    <row r="658" spans="2:34" x14ac:dyDescent="0.2">
      <c r="B658" t="s">
        <v>343</v>
      </c>
      <c r="C658" t="s">
        <v>873</v>
      </c>
      <c r="D658" t="s">
        <v>142</v>
      </c>
      <c r="G658">
        <v>-34974.351000000002</v>
      </c>
      <c r="S658">
        <v>-34749.879999999997</v>
      </c>
      <c r="AC658">
        <f>SUMPRODUCT(DB_ThemeSOFAcct[[#This Row],[Plan01]:[Plan12]],$E$14:$P$14)/valUnits2</f>
        <v>-34.974351000000006</v>
      </c>
      <c r="AD658">
        <f>SUMPRODUCT(DB_ThemeSOFAcct[[#This Row],[Act01]:[Act12]],$Q$14:$AB$14)/valUnits2</f>
        <v>-34.749879999999997</v>
      </c>
      <c r="AE658">
        <f>DB_ThemeSOFAcct[[#This Row],[Actuals]]-DB_ThemeSOFAcct[[#This Row],[Plan]]</f>
        <v>0.2244710000000083</v>
      </c>
      <c r="AF658">
        <f>IF(DB_ThemeSOFAcct[[#This Row],[Plan]]&lt;&gt;0,DB_ThemeSOFAcct[[#This Row],[Actuals]]/DB_ThemeSOFAcct[[#This Row],[Plan]],1.000011000011)</f>
        <v>0.99358183944571243</v>
      </c>
      <c r="AG658" s="34">
        <f>SUM(DB_ThemeSOFAcct[[#This Row],[Plan01]:[Plan12]])/valUnits2</f>
        <v>-34.974351000000006</v>
      </c>
      <c r="AH658" s="34">
        <f>SUMPRODUCT(DB_ThemeSOFAcct[[#This Row],[Act01]:[Act12]],$Q$3:$AB$3)/valUnits2</f>
        <v>-34.749879999999997</v>
      </c>
    </row>
    <row r="659" spans="2:34" x14ac:dyDescent="0.2">
      <c r="B659" t="s">
        <v>343</v>
      </c>
      <c r="C659" t="s">
        <v>883</v>
      </c>
      <c r="D659" t="s">
        <v>143</v>
      </c>
      <c r="E659">
        <v>0</v>
      </c>
      <c r="Q659">
        <v>0</v>
      </c>
      <c r="AC659">
        <f>SUMPRODUCT(DB_ThemeSOFAcct[[#This Row],[Plan01]:[Plan12]],$E$14:$P$14)/valUnits2</f>
        <v>0</v>
      </c>
      <c r="AD659">
        <f>SUMPRODUCT(DB_ThemeSOFAcct[[#This Row],[Act01]:[Act12]],$Q$14:$AB$14)/valUnits2</f>
        <v>0</v>
      </c>
      <c r="AE659">
        <f>DB_ThemeSOFAcct[[#This Row],[Actuals]]-DB_ThemeSOFAcct[[#This Row],[Plan]]</f>
        <v>0</v>
      </c>
      <c r="AF659">
        <f>IF(DB_ThemeSOFAcct[[#This Row],[Plan]]&lt;&gt;0,DB_ThemeSOFAcct[[#This Row],[Actuals]]/DB_ThemeSOFAcct[[#This Row],[Plan]],1.000011000011)</f>
        <v>1.0000110000110001</v>
      </c>
      <c r="AG659" s="34">
        <f>SUM(DB_ThemeSOFAcct[[#This Row],[Plan01]:[Plan12]])/valUnits2</f>
        <v>0</v>
      </c>
      <c r="AH659" s="34">
        <f>SUMPRODUCT(DB_ThemeSOFAcct[[#This Row],[Act01]:[Act12]],$Q$3:$AB$3)/valUnits2</f>
        <v>0</v>
      </c>
    </row>
    <row r="660" spans="2:34" x14ac:dyDescent="0.2">
      <c r="B660" t="s">
        <v>343</v>
      </c>
      <c r="C660" t="s">
        <v>883</v>
      </c>
      <c r="D660" t="s">
        <v>235</v>
      </c>
      <c r="E660">
        <v>211.02599999999998</v>
      </c>
      <c r="F660">
        <v>167.62200000000001</v>
      </c>
      <c r="H660">
        <v>53.381</v>
      </c>
      <c r="I660">
        <v>69.239999999999995</v>
      </c>
      <c r="J660">
        <v>0</v>
      </c>
      <c r="Q660">
        <v>216.56</v>
      </c>
      <c r="R660">
        <v>172.72</v>
      </c>
      <c r="T660">
        <v>52.76</v>
      </c>
      <c r="U660">
        <v>70.37</v>
      </c>
      <c r="V660">
        <v>185.3</v>
      </c>
      <c r="AC660">
        <f>SUMPRODUCT(DB_ThemeSOFAcct[[#This Row],[Plan01]:[Plan12]],$E$14:$P$14)/valUnits2</f>
        <v>0.50126899999999996</v>
      </c>
      <c r="AD660">
        <f>SUMPRODUCT(DB_ThemeSOFAcct[[#This Row],[Act01]:[Act12]],$Q$14:$AB$14)/valUnits2</f>
        <v>0.69771000000000005</v>
      </c>
      <c r="AE660">
        <f>DB_ThemeSOFAcct[[#This Row],[Actuals]]-DB_ThemeSOFAcct[[#This Row],[Plan]]</f>
        <v>0.19644100000000009</v>
      </c>
      <c r="AF660">
        <f>IF(DB_ThemeSOFAcct[[#This Row],[Plan]]&lt;&gt;0,DB_ThemeSOFAcct[[#This Row],[Actuals]]/DB_ThemeSOFAcct[[#This Row],[Plan]],1.000011000011)</f>
        <v>1.391887389804676</v>
      </c>
      <c r="AG660" s="34">
        <f>SUM(DB_ThemeSOFAcct[[#This Row],[Plan01]:[Plan12]])/valUnits2</f>
        <v>0.50126899999999996</v>
      </c>
      <c r="AH660" s="34">
        <f>SUMPRODUCT(DB_ThemeSOFAcct[[#This Row],[Act01]:[Act12]],$Q$3:$AB$3)/valUnits2</f>
        <v>0.69771000000000005</v>
      </c>
    </row>
    <row r="661" spans="2:34" x14ac:dyDescent="0.2">
      <c r="B661" t="s">
        <v>343</v>
      </c>
      <c r="C661" t="s">
        <v>883</v>
      </c>
      <c r="D661" t="s">
        <v>142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153427.307</v>
      </c>
      <c r="K661">
        <v>13997.002000000002</v>
      </c>
      <c r="L661">
        <v>148856.80399999995</v>
      </c>
      <c r="M661">
        <v>15170.311</v>
      </c>
      <c r="N661">
        <v>152383.35500000001</v>
      </c>
      <c r="O661">
        <v>16658.696</v>
      </c>
      <c r="P661">
        <v>142198.81400000001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f>SUMPRODUCT(DB_ThemeSOFAcct[[#This Row],[Plan01]:[Plan12]],$E$14:$P$14)/valUnits2</f>
        <v>153.42730700000001</v>
      </c>
      <c r="AD661">
        <f>SUMPRODUCT(DB_ThemeSOFAcct[[#This Row],[Act01]:[Act12]],$Q$14:$AB$14)/valUnits2</f>
        <v>0</v>
      </c>
      <c r="AE661">
        <f>DB_ThemeSOFAcct[[#This Row],[Actuals]]-DB_ThemeSOFAcct[[#This Row],[Plan]]</f>
        <v>-153.42730700000001</v>
      </c>
      <c r="AF661">
        <f>IF(DB_ThemeSOFAcct[[#This Row],[Plan]]&lt;&gt;0,DB_ThemeSOFAcct[[#This Row],[Actuals]]/DB_ThemeSOFAcct[[#This Row],[Plan]],1.000011000011)</f>
        <v>0</v>
      </c>
      <c r="AG661" s="34">
        <f>SUM(DB_ThemeSOFAcct[[#This Row],[Plan01]:[Plan12]])/valUnits2</f>
        <v>642.69228899999996</v>
      </c>
      <c r="AH661" s="34">
        <f>SUMPRODUCT(DB_ThemeSOFAcct[[#This Row],[Act01]:[Act12]],$Q$3:$AB$3)/valUnits2</f>
        <v>0</v>
      </c>
    </row>
    <row r="662" spans="2:34" x14ac:dyDescent="0.2">
      <c r="B662" t="s">
        <v>343</v>
      </c>
      <c r="C662" t="s">
        <v>883</v>
      </c>
      <c r="D662" t="s">
        <v>140</v>
      </c>
      <c r="E662">
        <v>1844.0539999999999</v>
      </c>
      <c r="F662">
        <v>2302.1409999999996</v>
      </c>
      <c r="G662">
        <v>342.73399999999998</v>
      </c>
      <c r="H662">
        <v>3144.5430000000006</v>
      </c>
      <c r="I662">
        <v>4219.6320000000005</v>
      </c>
      <c r="J662">
        <v>6101.4930000000004</v>
      </c>
      <c r="K662">
        <v>6101.4929999999995</v>
      </c>
      <c r="L662">
        <v>6101.4929999999995</v>
      </c>
      <c r="M662">
        <v>6059.9750000000004</v>
      </c>
      <c r="N662">
        <v>6059.9750000000004</v>
      </c>
      <c r="O662">
        <v>6059.9750000000004</v>
      </c>
      <c r="P662">
        <v>6059.9750000000004</v>
      </c>
      <c r="Q662">
        <v>1854.68</v>
      </c>
      <c r="R662">
        <v>2358.59</v>
      </c>
      <c r="S662">
        <v>341.23</v>
      </c>
      <c r="T662">
        <v>3117.6800000000003</v>
      </c>
      <c r="U662">
        <v>4200.92</v>
      </c>
      <c r="V662">
        <v>2283.38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f>SUMPRODUCT(DB_ThemeSOFAcct[[#This Row],[Plan01]:[Plan12]],$E$14:$P$14)/valUnits2</f>
        <v>17.954597000000003</v>
      </c>
      <c r="AD662">
        <f>SUMPRODUCT(DB_ThemeSOFAcct[[#This Row],[Act01]:[Act12]],$Q$14:$AB$14)/valUnits2</f>
        <v>14.15648</v>
      </c>
      <c r="AE662">
        <f>DB_ThemeSOFAcct[[#This Row],[Actuals]]-DB_ThemeSOFAcct[[#This Row],[Plan]]</f>
        <v>-3.7981170000000031</v>
      </c>
      <c r="AF662">
        <f>IF(DB_ThemeSOFAcct[[#This Row],[Plan]]&lt;&gt;0,DB_ThemeSOFAcct[[#This Row],[Actuals]]/DB_ThemeSOFAcct[[#This Row],[Plan]],1.000011000011)</f>
        <v>0.78845991363660228</v>
      </c>
      <c r="AG662" s="34">
        <f>SUM(DB_ThemeSOFAcct[[#This Row],[Plan01]:[Plan12]])/valUnits2</f>
        <v>54.397482999999994</v>
      </c>
      <c r="AH662" s="34">
        <f>SUMPRODUCT(DB_ThemeSOFAcct[[#This Row],[Act01]:[Act12]],$Q$3:$AB$3)/valUnits2</f>
        <v>14.15648</v>
      </c>
    </row>
    <row r="663" spans="2:34" x14ac:dyDescent="0.2">
      <c r="B663" t="s">
        <v>343</v>
      </c>
      <c r="C663" t="s">
        <v>883</v>
      </c>
      <c r="D663" t="s">
        <v>236</v>
      </c>
      <c r="F663">
        <v>258.84699999999998</v>
      </c>
      <c r="G663">
        <v>23767.64</v>
      </c>
      <c r="J663">
        <v>0</v>
      </c>
      <c r="R663">
        <v>266.15999999999997</v>
      </c>
      <c r="S663">
        <v>23634.82</v>
      </c>
      <c r="V663">
        <v>-1139.3399999999999</v>
      </c>
      <c r="AC663">
        <f>SUMPRODUCT(DB_ThemeSOFAcct[[#This Row],[Plan01]:[Plan12]],$E$14:$P$14)/valUnits2</f>
        <v>24.026486999999999</v>
      </c>
      <c r="AD663">
        <f>SUMPRODUCT(DB_ThemeSOFAcct[[#This Row],[Act01]:[Act12]],$Q$14:$AB$14)/valUnits2</f>
        <v>22.76164</v>
      </c>
      <c r="AE663">
        <f>DB_ThemeSOFAcct[[#This Row],[Actuals]]-DB_ThemeSOFAcct[[#This Row],[Plan]]</f>
        <v>-1.2648469999999996</v>
      </c>
      <c r="AF663">
        <f>IF(DB_ThemeSOFAcct[[#This Row],[Plan]]&lt;&gt;0,DB_ThemeSOFAcct[[#This Row],[Actuals]]/DB_ThemeSOFAcct[[#This Row],[Plan]],1.000011000011)</f>
        <v>0.94735614074583607</v>
      </c>
      <c r="AG663" s="34">
        <f>SUM(DB_ThemeSOFAcct[[#This Row],[Plan01]:[Plan12]])/valUnits2</f>
        <v>24.026486999999999</v>
      </c>
      <c r="AH663" s="34">
        <f>SUMPRODUCT(DB_ThemeSOFAcct[[#This Row],[Act01]:[Act12]],$Q$3:$AB$3)/valUnits2</f>
        <v>22.76164</v>
      </c>
    </row>
    <row r="664" spans="2:34" x14ac:dyDescent="0.2">
      <c r="B664" t="s">
        <v>343</v>
      </c>
      <c r="C664" t="s">
        <v>883</v>
      </c>
      <c r="D664" t="s">
        <v>237</v>
      </c>
      <c r="E664">
        <v>1635.646</v>
      </c>
      <c r="F664">
        <v>27.917000000000002</v>
      </c>
      <c r="G664">
        <v>1279.971</v>
      </c>
      <c r="J664">
        <v>0</v>
      </c>
      <c r="Q664">
        <v>1644.2</v>
      </c>
      <c r="R664">
        <v>28.86</v>
      </c>
      <c r="S664">
        <v>1278.03</v>
      </c>
      <c r="V664">
        <v>14.97</v>
      </c>
      <c r="AC664">
        <f>SUMPRODUCT(DB_ThemeSOFAcct[[#This Row],[Plan01]:[Plan12]],$E$14:$P$14)/valUnits2</f>
        <v>2.9435339999999997</v>
      </c>
      <c r="AD664">
        <f>SUMPRODUCT(DB_ThemeSOFAcct[[#This Row],[Act01]:[Act12]],$Q$14:$AB$14)/valUnits2</f>
        <v>2.9660600000000001</v>
      </c>
      <c r="AE664">
        <f>DB_ThemeSOFAcct[[#This Row],[Actuals]]-DB_ThemeSOFAcct[[#This Row],[Plan]]</f>
        <v>2.252600000000049E-2</v>
      </c>
      <c r="AF664">
        <f>IF(DB_ThemeSOFAcct[[#This Row],[Plan]]&lt;&gt;0,DB_ThemeSOFAcct[[#This Row],[Actuals]]/DB_ThemeSOFAcct[[#This Row],[Plan]],1.000011000011)</f>
        <v>1.0076527058970612</v>
      </c>
      <c r="AG664" s="34">
        <f>SUM(DB_ThemeSOFAcct[[#This Row],[Plan01]:[Plan12]])/valUnits2</f>
        <v>2.9435339999999997</v>
      </c>
      <c r="AH664" s="34">
        <f>SUMPRODUCT(DB_ThemeSOFAcct[[#This Row],[Act01]:[Act12]],$Q$3:$AB$3)/valUnits2</f>
        <v>2.9660600000000001</v>
      </c>
    </row>
    <row r="665" spans="2:34" x14ac:dyDescent="0.2">
      <c r="B665" t="s">
        <v>343</v>
      </c>
      <c r="C665" t="s">
        <v>883</v>
      </c>
      <c r="D665" t="s">
        <v>141</v>
      </c>
      <c r="E665">
        <v>254.89500000000001</v>
      </c>
      <c r="F665">
        <v>382.49400000000003</v>
      </c>
      <c r="G665">
        <v>5853.46</v>
      </c>
      <c r="H665">
        <v>326.57299999999998</v>
      </c>
      <c r="I665">
        <v>190.505</v>
      </c>
      <c r="J665">
        <v>504.87900000000002</v>
      </c>
      <c r="K665">
        <v>504.87900000000002</v>
      </c>
      <c r="L665">
        <v>504.87900000000002</v>
      </c>
      <c r="M665">
        <v>501.44400000000002</v>
      </c>
      <c r="N665">
        <v>501.44400000000002</v>
      </c>
      <c r="O665">
        <v>501.44400000000002</v>
      </c>
      <c r="P665">
        <v>501.44400000000002</v>
      </c>
      <c r="Q665">
        <v>261.23</v>
      </c>
      <c r="R665">
        <v>395.07999999999993</v>
      </c>
      <c r="S665">
        <v>5820.7500000000009</v>
      </c>
      <c r="T665">
        <v>322.47999999999996</v>
      </c>
      <c r="U665">
        <v>193.45</v>
      </c>
      <c r="V665">
        <v>401.66999999999996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f>SUMPRODUCT(DB_ThemeSOFAcct[[#This Row],[Plan01]:[Plan12]],$E$14:$P$14)/valUnits2</f>
        <v>7.5128060000000003</v>
      </c>
      <c r="AD665">
        <f>SUMPRODUCT(DB_ThemeSOFAcct[[#This Row],[Act01]:[Act12]],$Q$14:$AB$14)/valUnits2</f>
        <v>7.3946600000000009</v>
      </c>
      <c r="AE665">
        <f>DB_ThemeSOFAcct[[#This Row],[Actuals]]-DB_ThemeSOFAcct[[#This Row],[Plan]]</f>
        <v>-0.11814599999999942</v>
      </c>
      <c r="AF665">
        <f>IF(DB_ThemeSOFAcct[[#This Row],[Plan]]&lt;&gt;0,DB_ThemeSOFAcct[[#This Row],[Actuals]]/DB_ThemeSOFAcct[[#This Row],[Plan]],1.000011000011)</f>
        <v>0.98427405153280956</v>
      </c>
      <c r="AG665" s="34">
        <f>SUM(DB_ThemeSOFAcct[[#This Row],[Plan01]:[Plan12]])/valUnits2</f>
        <v>10.528339999999998</v>
      </c>
      <c r="AH665" s="34">
        <f>SUMPRODUCT(DB_ThemeSOFAcct[[#This Row],[Act01]:[Act12]],$Q$3:$AB$3)/valUnits2</f>
        <v>7.3946600000000009</v>
      </c>
    </row>
    <row r="666" spans="2:34" x14ac:dyDescent="0.2">
      <c r="B666" t="s">
        <v>343</v>
      </c>
      <c r="C666" t="s">
        <v>884</v>
      </c>
      <c r="D666" t="s">
        <v>236</v>
      </c>
      <c r="E666">
        <v>4750</v>
      </c>
      <c r="F666">
        <v>4750</v>
      </c>
      <c r="G666">
        <v>4750</v>
      </c>
      <c r="H666">
        <v>4750</v>
      </c>
      <c r="I666">
        <v>4750</v>
      </c>
      <c r="J666">
        <v>4750</v>
      </c>
      <c r="K666">
        <v>4750</v>
      </c>
      <c r="L666">
        <v>4750</v>
      </c>
      <c r="M666">
        <v>4750</v>
      </c>
      <c r="N666">
        <v>4750</v>
      </c>
      <c r="O666">
        <v>4750</v>
      </c>
      <c r="P666">
        <v>4750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f>SUMPRODUCT(DB_ThemeSOFAcct[[#This Row],[Plan01]:[Plan12]],$E$14:$P$14)/valUnits2</f>
        <v>28.5</v>
      </c>
      <c r="AD666">
        <f>SUMPRODUCT(DB_ThemeSOFAcct[[#This Row],[Act01]:[Act12]],$Q$14:$AB$14)/valUnits2</f>
        <v>0</v>
      </c>
      <c r="AE666">
        <f>DB_ThemeSOFAcct[[#This Row],[Actuals]]-DB_ThemeSOFAcct[[#This Row],[Plan]]</f>
        <v>-28.5</v>
      </c>
      <c r="AF666">
        <f>IF(DB_ThemeSOFAcct[[#This Row],[Plan]]&lt;&gt;0,DB_ThemeSOFAcct[[#This Row],[Actuals]]/DB_ThemeSOFAcct[[#This Row],[Plan]],1.000011000011)</f>
        <v>0</v>
      </c>
      <c r="AG666" s="34">
        <f>SUM(DB_ThemeSOFAcct[[#This Row],[Plan01]:[Plan12]])/valUnits2</f>
        <v>57</v>
      </c>
      <c r="AH666" s="34">
        <f>SUMPRODUCT(DB_ThemeSOFAcct[[#This Row],[Act01]:[Act12]],$Q$3:$AB$3)/valUnits2</f>
        <v>0</v>
      </c>
    </row>
    <row r="667" spans="2:34" x14ac:dyDescent="0.2">
      <c r="B667" t="s">
        <v>343</v>
      </c>
      <c r="C667" t="s">
        <v>888</v>
      </c>
      <c r="D667" t="s">
        <v>142</v>
      </c>
      <c r="E667">
        <v>7181.5839999999998</v>
      </c>
      <c r="F667">
        <v>-7864.9250000000002</v>
      </c>
      <c r="G667">
        <v>750.12400000000002</v>
      </c>
      <c r="Q667">
        <v>7176.88</v>
      </c>
      <c r="R667">
        <v>-7955.51</v>
      </c>
      <c r="S667">
        <v>782.23</v>
      </c>
      <c r="AC667">
        <f>SUMPRODUCT(DB_ThemeSOFAcct[[#This Row],[Plan01]:[Plan12]],$E$14:$P$14)/valUnits2</f>
        <v>6.6782999999999676E-2</v>
      </c>
      <c r="AD667">
        <f>SUMPRODUCT(DB_ThemeSOFAcct[[#This Row],[Act01]:[Act12]],$Q$14:$AB$14)/valUnits2</f>
        <v>3.5999999999999093E-3</v>
      </c>
      <c r="AE667">
        <f>DB_ThemeSOFAcct[[#This Row],[Actuals]]-DB_ThemeSOFAcct[[#This Row],[Plan]]</f>
        <v>-6.3182999999999767E-2</v>
      </c>
      <c r="AF667">
        <f>IF(DB_ThemeSOFAcct[[#This Row],[Plan]]&lt;&gt;0,DB_ThemeSOFAcct[[#This Row],[Actuals]]/DB_ThemeSOFAcct[[#This Row],[Plan]],1.000011000011)</f>
        <v>5.3905934144916019E-2</v>
      </c>
      <c r="AG667" s="34">
        <f>SUM(DB_ThemeSOFAcct[[#This Row],[Plan01]:[Plan12]])/valUnits2</f>
        <v>6.6782999999999676E-2</v>
      </c>
      <c r="AH667" s="34">
        <f>SUMPRODUCT(DB_ThemeSOFAcct[[#This Row],[Act01]:[Act12]],$Q$3:$AB$3)/valUnits2</f>
        <v>3.5999999999999093E-3</v>
      </c>
    </row>
    <row r="668" spans="2:34" x14ac:dyDescent="0.2">
      <c r="B668" t="s">
        <v>343</v>
      </c>
      <c r="C668" t="s">
        <v>368</v>
      </c>
      <c r="D668" t="s">
        <v>143</v>
      </c>
      <c r="F668">
        <v>1064.6400000000001</v>
      </c>
      <c r="G668">
        <v>534.55999999999995</v>
      </c>
      <c r="H668">
        <v>1050.25</v>
      </c>
      <c r="I668">
        <v>800.11</v>
      </c>
      <c r="J668">
        <v>0</v>
      </c>
      <c r="R668">
        <v>1064.6400000000001</v>
      </c>
      <c r="S668">
        <v>534.55999999999995</v>
      </c>
      <c r="T668">
        <v>1050.25</v>
      </c>
      <c r="U668">
        <v>800.11</v>
      </c>
      <c r="V668">
        <v>1778.6800000000003</v>
      </c>
      <c r="AC668">
        <f>SUMPRODUCT(DB_ThemeSOFAcct[[#This Row],[Plan01]:[Plan12]],$E$14:$P$14)/valUnits2</f>
        <v>3.44956</v>
      </c>
      <c r="AD668">
        <f>SUMPRODUCT(DB_ThemeSOFAcct[[#This Row],[Act01]:[Act12]],$Q$14:$AB$14)/valUnits2</f>
        <v>5.2282399999999996</v>
      </c>
      <c r="AE668">
        <f>DB_ThemeSOFAcct[[#This Row],[Actuals]]-DB_ThemeSOFAcct[[#This Row],[Plan]]</f>
        <v>1.7786799999999996</v>
      </c>
      <c r="AF668">
        <f>IF(DB_ThemeSOFAcct[[#This Row],[Plan]]&lt;&gt;0,DB_ThemeSOFAcct[[#This Row],[Actuals]]/DB_ThemeSOFAcct[[#This Row],[Plan]],1.000011000011)</f>
        <v>1.5156251811825274</v>
      </c>
      <c r="AG668" s="34">
        <f>SUM(DB_ThemeSOFAcct[[#This Row],[Plan01]:[Plan12]])/valUnits2</f>
        <v>3.44956</v>
      </c>
      <c r="AH668" s="34">
        <f>SUMPRODUCT(DB_ThemeSOFAcct[[#This Row],[Act01]:[Act12]],$Q$3:$AB$3)/valUnits2</f>
        <v>5.2282399999999996</v>
      </c>
    </row>
    <row r="669" spans="2:34" x14ac:dyDescent="0.2">
      <c r="B669" t="s">
        <v>343</v>
      </c>
      <c r="C669" t="s">
        <v>368</v>
      </c>
      <c r="D669" t="s">
        <v>235</v>
      </c>
      <c r="E669">
        <v>314.08</v>
      </c>
      <c r="F669">
        <v>63.13</v>
      </c>
      <c r="G669">
        <v>119.04</v>
      </c>
      <c r="H669">
        <v>190.17</v>
      </c>
      <c r="I669">
        <v>308.29000000000002</v>
      </c>
      <c r="J669">
        <v>0</v>
      </c>
      <c r="Q669">
        <v>314.08</v>
      </c>
      <c r="R669">
        <v>63.13</v>
      </c>
      <c r="S669">
        <v>119.04</v>
      </c>
      <c r="T669">
        <v>190.17</v>
      </c>
      <c r="U669">
        <v>308.29000000000002</v>
      </c>
      <c r="V669">
        <v>320.95999999999992</v>
      </c>
      <c r="AC669">
        <f>SUMPRODUCT(DB_ThemeSOFAcct[[#This Row],[Plan01]:[Plan12]],$E$14:$P$14)/valUnits2</f>
        <v>0.99470999999999998</v>
      </c>
      <c r="AD669">
        <f>SUMPRODUCT(DB_ThemeSOFAcct[[#This Row],[Act01]:[Act12]],$Q$14:$AB$14)/valUnits2</f>
        <v>1.3156700000000001</v>
      </c>
      <c r="AE669">
        <f>DB_ThemeSOFAcct[[#This Row],[Actuals]]-DB_ThemeSOFAcct[[#This Row],[Plan]]</f>
        <v>0.32096000000000013</v>
      </c>
      <c r="AF669">
        <f>IF(DB_ThemeSOFAcct[[#This Row],[Plan]]&lt;&gt;0,DB_ThemeSOFAcct[[#This Row],[Actuals]]/DB_ThemeSOFAcct[[#This Row],[Plan]],1.000011000011)</f>
        <v>1.3226669079430187</v>
      </c>
      <c r="AG669" s="34">
        <f>SUM(DB_ThemeSOFAcct[[#This Row],[Plan01]:[Plan12]])/valUnits2</f>
        <v>0.99470999999999998</v>
      </c>
      <c r="AH669" s="34">
        <f>SUMPRODUCT(DB_ThemeSOFAcct[[#This Row],[Act01]:[Act12]],$Q$3:$AB$3)/valUnits2</f>
        <v>1.3156700000000001</v>
      </c>
    </row>
    <row r="670" spans="2:34" x14ac:dyDescent="0.2">
      <c r="B670" t="s">
        <v>343</v>
      </c>
      <c r="C670" t="s">
        <v>368</v>
      </c>
      <c r="D670" t="s">
        <v>142</v>
      </c>
      <c r="E670">
        <v>47267.41</v>
      </c>
      <c r="F670">
        <v>0</v>
      </c>
      <c r="G670">
        <v>30761.75</v>
      </c>
      <c r="H670">
        <v>27077.86</v>
      </c>
      <c r="I670">
        <v>367278.478</v>
      </c>
      <c r="J670">
        <v>385064.728</v>
      </c>
      <c r="K670">
        <v>385064.728</v>
      </c>
      <c r="L670">
        <v>385064.728</v>
      </c>
      <c r="M670">
        <v>385064.728</v>
      </c>
      <c r="N670">
        <v>280682.538</v>
      </c>
      <c r="O670">
        <v>335064.728</v>
      </c>
      <c r="Q670">
        <v>47267.41</v>
      </c>
      <c r="R670">
        <v>0</v>
      </c>
      <c r="S670">
        <v>30761.75</v>
      </c>
      <c r="T670">
        <v>27077.86</v>
      </c>
      <c r="U670">
        <v>-17786.25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C670">
        <f>SUMPRODUCT(DB_ThemeSOFAcct[[#This Row],[Plan01]:[Plan12]],$E$14:$P$14)/valUnits2</f>
        <v>857.45022600000004</v>
      </c>
      <c r="AD670">
        <f>SUMPRODUCT(DB_ThemeSOFAcct[[#This Row],[Act01]:[Act12]],$Q$14:$AB$14)/valUnits2</f>
        <v>87.32077000000001</v>
      </c>
      <c r="AE670">
        <f>DB_ThemeSOFAcct[[#This Row],[Actuals]]-DB_ThemeSOFAcct[[#This Row],[Plan]]</f>
        <v>-770.129456</v>
      </c>
      <c r="AF670">
        <f>IF(DB_ThemeSOFAcct[[#This Row],[Plan]]&lt;&gt;0,DB_ThemeSOFAcct[[#This Row],[Actuals]]/DB_ThemeSOFAcct[[#This Row],[Plan]],1.000011000011)</f>
        <v>0.10183771296830937</v>
      </c>
      <c r="AG670" s="34">
        <f>SUM(DB_ThemeSOFAcct[[#This Row],[Plan01]:[Plan12]])/valUnits2</f>
        <v>2628.3916760000006</v>
      </c>
      <c r="AH670" s="34">
        <f>SUMPRODUCT(DB_ThemeSOFAcct[[#This Row],[Act01]:[Act12]],$Q$3:$AB$3)/valUnits2</f>
        <v>87.32077000000001</v>
      </c>
    </row>
    <row r="671" spans="2:34" x14ac:dyDescent="0.2">
      <c r="B671" t="s">
        <v>343</v>
      </c>
      <c r="C671" t="s">
        <v>368</v>
      </c>
      <c r="D671" t="s">
        <v>140</v>
      </c>
      <c r="E671">
        <v>2871.28</v>
      </c>
      <c r="F671">
        <v>7426.06</v>
      </c>
      <c r="G671">
        <v>15295.710000000001</v>
      </c>
      <c r="H671">
        <v>19621.189999999999</v>
      </c>
      <c r="I671">
        <v>67353.243000000002</v>
      </c>
      <c r="J671">
        <v>39987.403000000006</v>
      </c>
      <c r="K671">
        <v>39987.402999999998</v>
      </c>
      <c r="L671">
        <v>39987.403000000006</v>
      </c>
      <c r="M671">
        <v>39987.402999999998</v>
      </c>
      <c r="N671">
        <v>39987.403000000006</v>
      </c>
      <c r="O671">
        <v>39987.403000000006</v>
      </c>
      <c r="Q671">
        <v>2871.28</v>
      </c>
      <c r="R671">
        <v>7426.0599999999995</v>
      </c>
      <c r="S671">
        <v>15295.709999999997</v>
      </c>
      <c r="T671">
        <v>19621.189999999999</v>
      </c>
      <c r="U671">
        <v>27365.84</v>
      </c>
      <c r="V671">
        <v>27010.469999999998</v>
      </c>
      <c r="W671">
        <v>0</v>
      </c>
      <c r="X671">
        <v>0</v>
      </c>
      <c r="Y671">
        <v>0</v>
      </c>
      <c r="Z671">
        <v>0</v>
      </c>
      <c r="AA671">
        <v>0</v>
      </c>
      <c r="AC671">
        <f>SUMPRODUCT(DB_ThemeSOFAcct[[#This Row],[Plan01]:[Plan12]],$E$14:$P$14)/valUnits2</f>
        <v>152.55488600000001</v>
      </c>
      <c r="AD671">
        <f>SUMPRODUCT(DB_ThemeSOFAcct[[#This Row],[Act01]:[Act12]],$Q$14:$AB$14)/valUnits2</f>
        <v>99.590549999999993</v>
      </c>
      <c r="AE671">
        <f>DB_ThemeSOFAcct[[#This Row],[Actuals]]-DB_ThemeSOFAcct[[#This Row],[Plan]]</f>
        <v>-52.964336000000017</v>
      </c>
      <c r="AF671">
        <f>IF(DB_ThemeSOFAcct[[#This Row],[Plan]]&lt;&gt;0,DB_ThemeSOFAcct[[#This Row],[Actuals]]/DB_ThemeSOFAcct[[#This Row],[Plan]],1.000011000011)</f>
        <v>0.65281783239640045</v>
      </c>
      <c r="AG671" s="34">
        <f>SUM(DB_ThemeSOFAcct[[#This Row],[Plan01]:[Plan12]])/valUnits2</f>
        <v>352.49190099999993</v>
      </c>
      <c r="AH671" s="34">
        <f>SUMPRODUCT(DB_ThemeSOFAcct[[#This Row],[Act01]:[Act12]],$Q$3:$AB$3)/valUnits2</f>
        <v>99.590549999999993</v>
      </c>
    </row>
    <row r="672" spans="2:34" x14ac:dyDescent="0.2">
      <c r="B672" t="s">
        <v>343</v>
      </c>
      <c r="C672" t="s">
        <v>368</v>
      </c>
      <c r="D672" t="s">
        <v>236</v>
      </c>
      <c r="E672">
        <v>8830.3799999999992</v>
      </c>
      <c r="G672">
        <v>3298.8700000000003</v>
      </c>
      <c r="H672">
        <v>15690.61</v>
      </c>
      <c r="I672">
        <v>6681.237000000001</v>
      </c>
      <c r="J672">
        <v>4826.5870000000004</v>
      </c>
      <c r="K672">
        <v>4826.5870000000004</v>
      </c>
      <c r="L672">
        <v>4826.5870000000004</v>
      </c>
      <c r="M672">
        <v>4826.5870000000004</v>
      </c>
      <c r="N672">
        <v>4826.5870000000004</v>
      </c>
      <c r="O672">
        <v>4826.5870000000004</v>
      </c>
      <c r="Q672">
        <v>8830.380000000001</v>
      </c>
      <c r="S672">
        <v>3298.8700000000003</v>
      </c>
      <c r="T672">
        <v>15690.609999999999</v>
      </c>
      <c r="U672">
        <v>1854.65</v>
      </c>
      <c r="V672">
        <v>61.419999999999163</v>
      </c>
      <c r="W672">
        <v>1993.2</v>
      </c>
      <c r="X672">
        <v>0</v>
      </c>
      <c r="Y672">
        <v>0</v>
      </c>
      <c r="Z672">
        <v>0</v>
      </c>
      <c r="AA672">
        <v>0</v>
      </c>
      <c r="AC672">
        <f>SUMPRODUCT(DB_ThemeSOFAcct[[#This Row],[Plan01]:[Plan12]],$E$14:$P$14)/valUnits2</f>
        <v>39.327683999999998</v>
      </c>
      <c r="AD672">
        <f>SUMPRODUCT(DB_ThemeSOFAcct[[#This Row],[Act01]:[Act12]],$Q$14:$AB$14)/valUnits2</f>
        <v>29.73593</v>
      </c>
      <c r="AE672">
        <f>DB_ThemeSOFAcct[[#This Row],[Actuals]]-DB_ThemeSOFAcct[[#This Row],[Plan]]</f>
        <v>-9.5917539999999981</v>
      </c>
      <c r="AF672">
        <f>IF(DB_ThemeSOFAcct[[#This Row],[Plan]]&lt;&gt;0,DB_ThemeSOFAcct[[#This Row],[Actuals]]/DB_ThemeSOFAcct[[#This Row],[Plan]],1.000011000011)</f>
        <v>0.75610681778260835</v>
      </c>
      <c r="AG672" s="34">
        <f>SUM(DB_ThemeSOFAcct[[#This Row],[Plan01]:[Plan12]])/valUnits2</f>
        <v>63.460619000000001</v>
      </c>
      <c r="AH672" s="34">
        <f>SUMPRODUCT(DB_ThemeSOFAcct[[#This Row],[Act01]:[Act12]],$Q$3:$AB$3)/valUnits2</f>
        <v>29.73593</v>
      </c>
    </row>
    <row r="673" spans="2:34" x14ac:dyDescent="0.2">
      <c r="B673" t="s">
        <v>343</v>
      </c>
      <c r="C673" t="s">
        <v>368</v>
      </c>
      <c r="D673" t="s">
        <v>237</v>
      </c>
      <c r="E673">
        <v>11484.26</v>
      </c>
      <c r="F673">
        <v>3.69</v>
      </c>
      <c r="G673">
        <v>5256.34</v>
      </c>
      <c r="H673">
        <v>8168.34</v>
      </c>
      <c r="I673">
        <v>6658.95</v>
      </c>
      <c r="J673">
        <v>0</v>
      </c>
      <c r="Q673">
        <v>11484.26</v>
      </c>
      <c r="R673">
        <v>3.69</v>
      </c>
      <c r="S673">
        <v>5256.34</v>
      </c>
      <c r="T673">
        <v>8168.34</v>
      </c>
      <c r="U673">
        <v>6658.95</v>
      </c>
      <c r="V673">
        <v>18317.98</v>
      </c>
      <c r="AC673">
        <f>SUMPRODUCT(DB_ThemeSOFAcct[[#This Row],[Plan01]:[Plan12]],$E$14:$P$14)/valUnits2</f>
        <v>31.571580000000001</v>
      </c>
      <c r="AD673">
        <f>SUMPRODUCT(DB_ThemeSOFAcct[[#This Row],[Act01]:[Act12]],$Q$14:$AB$14)/valUnits2</f>
        <v>49.889559999999996</v>
      </c>
      <c r="AE673">
        <f>DB_ThemeSOFAcct[[#This Row],[Actuals]]-DB_ThemeSOFAcct[[#This Row],[Plan]]</f>
        <v>18.317979999999995</v>
      </c>
      <c r="AF673">
        <f>IF(DB_ThemeSOFAcct[[#This Row],[Plan]]&lt;&gt;0,DB_ThemeSOFAcct[[#This Row],[Actuals]]/DB_ThemeSOFAcct[[#This Row],[Plan]],1.000011000011)</f>
        <v>1.5802047284298091</v>
      </c>
      <c r="AG673" s="34">
        <f>SUM(DB_ThemeSOFAcct[[#This Row],[Plan01]:[Plan12]])/valUnits2</f>
        <v>31.571580000000001</v>
      </c>
      <c r="AH673" s="34">
        <f>SUMPRODUCT(DB_ThemeSOFAcct[[#This Row],[Act01]:[Act12]],$Q$3:$AB$3)/valUnits2</f>
        <v>49.889559999999996</v>
      </c>
    </row>
    <row r="674" spans="2:34" x14ac:dyDescent="0.2">
      <c r="B674" t="s">
        <v>343</v>
      </c>
      <c r="C674" t="s">
        <v>368</v>
      </c>
      <c r="D674" t="s">
        <v>141</v>
      </c>
      <c r="E674">
        <v>6188.57</v>
      </c>
      <c r="F674">
        <v>1358.22</v>
      </c>
      <c r="G674">
        <v>1102.3399999999999</v>
      </c>
      <c r="H674">
        <v>41103.61</v>
      </c>
      <c r="I674">
        <v>13226.14</v>
      </c>
      <c r="J674">
        <v>6042.17</v>
      </c>
      <c r="K674">
        <v>7310.17</v>
      </c>
      <c r="L674">
        <v>8342.17</v>
      </c>
      <c r="M674">
        <v>8342.17</v>
      </c>
      <c r="N674">
        <v>2581.5389999999998</v>
      </c>
      <c r="O674">
        <v>4809.17</v>
      </c>
      <c r="Q674">
        <v>6188.57</v>
      </c>
      <c r="R674">
        <v>1358.22</v>
      </c>
      <c r="S674">
        <v>1102.3400000000001</v>
      </c>
      <c r="T674">
        <v>41103.609999999986</v>
      </c>
      <c r="U674">
        <v>6183.9700000000012</v>
      </c>
      <c r="V674">
        <v>10164.630000000003</v>
      </c>
      <c r="W674">
        <v>0</v>
      </c>
      <c r="X674">
        <v>0</v>
      </c>
      <c r="Y674">
        <v>0</v>
      </c>
      <c r="Z674">
        <v>0</v>
      </c>
      <c r="AA674">
        <v>0</v>
      </c>
      <c r="AC674">
        <f>SUMPRODUCT(DB_ThemeSOFAcct[[#This Row],[Plan01]:[Plan12]],$E$14:$P$14)/valUnits2</f>
        <v>69.021050000000002</v>
      </c>
      <c r="AD674">
        <f>SUMPRODUCT(DB_ThemeSOFAcct[[#This Row],[Act01]:[Act12]],$Q$14:$AB$14)/valUnits2</f>
        <v>66.101339999999993</v>
      </c>
      <c r="AE674">
        <f>DB_ThemeSOFAcct[[#This Row],[Actuals]]-DB_ThemeSOFAcct[[#This Row],[Plan]]</f>
        <v>-2.9197100000000091</v>
      </c>
      <c r="AF674">
        <f>IF(DB_ThemeSOFAcct[[#This Row],[Plan]]&lt;&gt;0,DB_ThemeSOFAcct[[#This Row],[Actuals]]/DB_ThemeSOFAcct[[#This Row],[Plan]],1.000011000011)</f>
        <v>0.95769826741262254</v>
      </c>
      <c r="AG674" s="34">
        <f>SUM(DB_ThemeSOFAcct[[#This Row],[Plan01]:[Plan12]])/valUnits2</f>
        <v>100.40626899999999</v>
      </c>
      <c r="AH674" s="34">
        <f>SUMPRODUCT(DB_ThemeSOFAcct[[#This Row],[Act01]:[Act12]],$Q$3:$AB$3)/valUnits2</f>
        <v>66.101339999999993</v>
      </c>
    </row>
    <row r="675" spans="2:34" x14ac:dyDescent="0.2">
      <c r="B675" t="s">
        <v>343</v>
      </c>
      <c r="C675" t="s">
        <v>905</v>
      </c>
      <c r="D675" t="s">
        <v>143</v>
      </c>
      <c r="E675">
        <v>121.02</v>
      </c>
      <c r="F675">
        <v>0</v>
      </c>
      <c r="G675">
        <v>128.75</v>
      </c>
      <c r="H675">
        <v>371.24</v>
      </c>
      <c r="I675">
        <v>-621.01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121.02</v>
      </c>
      <c r="R675">
        <v>0</v>
      </c>
      <c r="S675">
        <v>128.75</v>
      </c>
      <c r="T675">
        <v>371.24</v>
      </c>
      <c r="U675">
        <v>-621.01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f>SUMPRODUCT(DB_ThemeSOFAcct[[#This Row],[Plan01]:[Plan12]],$E$14:$P$14)/valUnits2</f>
        <v>0</v>
      </c>
      <c r="AD675">
        <f>SUMPRODUCT(DB_ThemeSOFAcct[[#This Row],[Act01]:[Act12]],$Q$14:$AB$14)/valUnits2</f>
        <v>0</v>
      </c>
      <c r="AE675">
        <f>DB_ThemeSOFAcct[[#This Row],[Actuals]]-DB_ThemeSOFAcct[[#This Row],[Plan]]</f>
        <v>0</v>
      </c>
      <c r="AF675">
        <f>IF(DB_ThemeSOFAcct[[#This Row],[Plan]]&lt;&gt;0,DB_ThemeSOFAcct[[#This Row],[Actuals]]/DB_ThemeSOFAcct[[#This Row],[Plan]],1.000011000011)</f>
        <v>1.0000110000110001</v>
      </c>
      <c r="AG675" s="34">
        <f>SUM(DB_ThemeSOFAcct[[#This Row],[Plan01]:[Plan12]])/valUnits2</f>
        <v>0</v>
      </c>
      <c r="AH675" s="34">
        <f>SUMPRODUCT(DB_ThemeSOFAcct[[#This Row],[Act01]:[Act12]],$Q$3:$AB$3)/valUnits2</f>
        <v>0</v>
      </c>
    </row>
    <row r="676" spans="2:34" x14ac:dyDescent="0.2">
      <c r="B676" t="s">
        <v>343</v>
      </c>
      <c r="C676" t="s">
        <v>905</v>
      </c>
      <c r="D676" t="s">
        <v>235</v>
      </c>
      <c r="E676">
        <v>61.37</v>
      </c>
      <c r="F676">
        <v>0</v>
      </c>
      <c r="G676">
        <v>0</v>
      </c>
      <c r="H676">
        <v>0</v>
      </c>
      <c r="I676">
        <v>-61.37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61.37</v>
      </c>
      <c r="R676">
        <v>0</v>
      </c>
      <c r="S676">
        <v>0</v>
      </c>
      <c r="T676">
        <v>0</v>
      </c>
      <c r="U676">
        <v>-61.37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f>SUMPRODUCT(DB_ThemeSOFAcct[[#This Row],[Plan01]:[Plan12]],$E$14:$P$14)/valUnits2</f>
        <v>0</v>
      </c>
      <c r="AD676">
        <f>SUMPRODUCT(DB_ThemeSOFAcct[[#This Row],[Act01]:[Act12]],$Q$14:$AB$14)/valUnits2</f>
        <v>0</v>
      </c>
      <c r="AE676">
        <f>DB_ThemeSOFAcct[[#This Row],[Actuals]]-DB_ThemeSOFAcct[[#This Row],[Plan]]</f>
        <v>0</v>
      </c>
      <c r="AF676">
        <f>IF(DB_ThemeSOFAcct[[#This Row],[Plan]]&lt;&gt;0,DB_ThemeSOFAcct[[#This Row],[Actuals]]/DB_ThemeSOFAcct[[#This Row],[Plan]],1.000011000011)</f>
        <v>1.0000110000110001</v>
      </c>
      <c r="AG676" s="34">
        <f>SUM(DB_ThemeSOFAcct[[#This Row],[Plan01]:[Plan12]])/valUnits2</f>
        <v>0</v>
      </c>
      <c r="AH676" s="34">
        <f>SUMPRODUCT(DB_ThemeSOFAcct[[#This Row],[Act01]:[Act12]],$Q$3:$AB$3)/valUnits2</f>
        <v>0</v>
      </c>
    </row>
    <row r="677" spans="2:34" x14ac:dyDescent="0.2">
      <c r="B677" t="s">
        <v>343</v>
      </c>
      <c r="C677" t="s">
        <v>905</v>
      </c>
      <c r="D677" t="s">
        <v>142</v>
      </c>
      <c r="G677">
        <v>535.62</v>
      </c>
      <c r="S677">
        <v>535.62</v>
      </c>
      <c r="AC677">
        <f>SUMPRODUCT(DB_ThemeSOFAcct[[#This Row],[Plan01]:[Plan12]],$E$14:$P$14)/valUnits2</f>
        <v>0.53561999999999999</v>
      </c>
      <c r="AD677">
        <f>SUMPRODUCT(DB_ThemeSOFAcct[[#This Row],[Act01]:[Act12]],$Q$14:$AB$14)/valUnits2</f>
        <v>0.53561999999999999</v>
      </c>
      <c r="AE677">
        <f>DB_ThemeSOFAcct[[#This Row],[Actuals]]-DB_ThemeSOFAcct[[#This Row],[Plan]]</f>
        <v>0</v>
      </c>
      <c r="AF677">
        <f>IF(DB_ThemeSOFAcct[[#This Row],[Plan]]&lt;&gt;0,DB_ThemeSOFAcct[[#This Row],[Actuals]]/DB_ThemeSOFAcct[[#This Row],[Plan]],1.000011000011)</f>
        <v>1</v>
      </c>
      <c r="AG677" s="34">
        <f>SUM(DB_ThemeSOFAcct[[#This Row],[Plan01]:[Plan12]])/valUnits2</f>
        <v>0.53561999999999999</v>
      </c>
      <c r="AH677" s="34">
        <f>SUMPRODUCT(DB_ThemeSOFAcct[[#This Row],[Act01]:[Act12]],$Q$3:$AB$3)/valUnits2</f>
        <v>0.53561999999999999</v>
      </c>
    </row>
    <row r="678" spans="2:34" x14ac:dyDescent="0.2">
      <c r="B678" t="s">
        <v>343</v>
      </c>
      <c r="C678" t="s">
        <v>905</v>
      </c>
      <c r="D678" t="s">
        <v>140</v>
      </c>
      <c r="E678">
        <v>0</v>
      </c>
      <c r="F678">
        <v>427.21</v>
      </c>
      <c r="G678">
        <v>0</v>
      </c>
      <c r="H678">
        <v>0</v>
      </c>
      <c r="I678">
        <v>-427.21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427.21</v>
      </c>
      <c r="S678">
        <v>0</v>
      </c>
      <c r="T678">
        <v>0</v>
      </c>
      <c r="U678">
        <v>-427.21</v>
      </c>
      <c r="V678">
        <v>-19.079999999999998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f>SUMPRODUCT(DB_ThemeSOFAcct[[#This Row],[Plan01]:[Plan12]],$E$14:$P$14)/valUnits2</f>
        <v>0</v>
      </c>
      <c r="AD678">
        <f>SUMPRODUCT(DB_ThemeSOFAcct[[#This Row],[Act01]:[Act12]],$Q$14:$AB$14)/valUnits2</f>
        <v>-1.908E-2</v>
      </c>
      <c r="AE678">
        <f>DB_ThemeSOFAcct[[#This Row],[Actuals]]-DB_ThemeSOFAcct[[#This Row],[Plan]]</f>
        <v>-1.908E-2</v>
      </c>
      <c r="AF678">
        <f>IF(DB_ThemeSOFAcct[[#This Row],[Plan]]&lt;&gt;0,DB_ThemeSOFAcct[[#This Row],[Actuals]]/DB_ThemeSOFAcct[[#This Row],[Plan]],1.000011000011)</f>
        <v>1.0000110000110001</v>
      </c>
      <c r="AG678" s="34">
        <f>SUM(DB_ThemeSOFAcct[[#This Row],[Plan01]:[Plan12]])/valUnits2</f>
        <v>0</v>
      </c>
      <c r="AH678" s="34">
        <f>SUMPRODUCT(DB_ThemeSOFAcct[[#This Row],[Act01]:[Act12]],$Q$3:$AB$3)/valUnits2</f>
        <v>-1.908E-2</v>
      </c>
    </row>
    <row r="679" spans="2:34" x14ac:dyDescent="0.2">
      <c r="B679" t="s">
        <v>343</v>
      </c>
      <c r="C679" t="s">
        <v>905</v>
      </c>
      <c r="D679" t="s">
        <v>141</v>
      </c>
      <c r="F679">
        <v>1.27</v>
      </c>
      <c r="I679">
        <v>-1.27</v>
      </c>
      <c r="R679">
        <v>1.27</v>
      </c>
      <c r="U679">
        <v>-1.27</v>
      </c>
      <c r="AC679">
        <f>SUMPRODUCT(DB_ThemeSOFAcct[[#This Row],[Plan01]:[Plan12]],$E$14:$P$14)/valUnits2</f>
        <v>0</v>
      </c>
      <c r="AD679">
        <f>SUMPRODUCT(DB_ThemeSOFAcct[[#This Row],[Act01]:[Act12]],$Q$14:$AB$14)/valUnits2</f>
        <v>0</v>
      </c>
      <c r="AE679">
        <f>DB_ThemeSOFAcct[[#This Row],[Actuals]]-DB_ThemeSOFAcct[[#This Row],[Plan]]</f>
        <v>0</v>
      </c>
      <c r="AF679">
        <f>IF(DB_ThemeSOFAcct[[#This Row],[Plan]]&lt;&gt;0,DB_ThemeSOFAcct[[#This Row],[Actuals]]/DB_ThemeSOFAcct[[#This Row],[Plan]],1.000011000011)</f>
        <v>1.0000110000110001</v>
      </c>
      <c r="AG679" s="34">
        <f>SUM(DB_ThemeSOFAcct[[#This Row],[Plan01]:[Plan12]])/valUnits2</f>
        <v>0</v>
      </c>
      <c r="AH679" s="34">
        <f>SUMPRODUCT(DB_ThemeSOFAcct[[#This Row],[Act01]:[Act12]],$Q$3:$AB$3)/valUnits2</f>
        <v>0</v>
      </c>
    </row>
    <row r="680" spans="2:34" x14ac:dyDescent="0.2">
      <c r="B680" t="s">
        <v>343</v>
      </c>
      <c r="C680" t="s">
        <v>911</v>
      </c>
      <c r="D680" t="s">
        <v>143</v>
      </c>
      <c r="E680">
        <v>1026.5170000000001</v>
      </c>
      <c r="F680">
        <v>1291.98</v>
      </c>
      <c r="G680">
        <v>6103.9249999999993</v>
      </c>
      <c r="H680">
        <v>6208.1549999999997</v>
      </c>
      <c r="I680">
        <v>6073.9849999999997</v>
      </c>
      <c r="J680">
        <v>4867.0749999999998</v>
      </c>
      <c r="K680">
        <v>4867.0749999999998</v>
      </c>
      <c r="L680">
        <v>4867.0749999999998</v>
      </c>
      <c r="M680">
        <v>4867.0749999999998</v>
      </c>
      <c r="N680">
        <v>4867.0749999999998</v>
      </c>
      <c r="Q680">
        <v>962.33</v>
      </c>
      <c r="R680">
        <v>1277.52</v>
      </c>
      <c r="S680">
        <v>1241.24</v>
      </c>
      <c r="T680">
        <v>1341.08</v>
      </c>
      <c r="U680">
        <v>1434.6799999999998</v>
      </c>
      <c r="V680">
        <v>1243.01</v>
      </c>
      <c r="W680">
        <v>0</v>
      </c>
      <c r="X680">
        <v>0</v>
      </c>
      <c r="Y680">
        <v>0</v>
      </c>
      <c r="Z680">
        <v>0</v>
      </c>
      <c r="AC680">
        <f>SUMPRODUCT(DB_ThemeSOFAcct[[#This Row],[Plan01]:[Plan12]],$E$14:$P$14)/valUnits2</f>
        <v>25.571636999999999</v>
      </c>
      <c r="AD680">
        <f>SUMPRODUCT(DB_ThemeSOFAcct[[#This Row],[Act01]:[Act12]],$Q$14:$AB$14)/valUnits2</f>
        <v>7.4998600000000009</v>
      </c>
      <c r="AE680">
        <f>DB_ThemeSOFAcct[[#This Row],[Actuals]]-DB_ThemeSOFAcct[[#This Row],[Plan]]</f>
        <v>-18.071776999999997</v>
      </c>
      <c r="AF680">
        <f>IF(DB_ThemeSOFAcct[[#This Row],[Plan]]&lt;&gt;0,DB_ThemeSOFAcct[[#This Row],[Actuals]]/DB_ThemeSOFAcct[[#This Row],[Plan]],1.000011000011)</f>
        <v>0.29328822398034199</v>
      </c>
      <c r="AG680" s="34">
        <f>SUM(DB_ThemeSOFAcct[[#This Row],[Plan01]:[Plan12]])/valUnits2</f>
        <v>45.039936999999988</v>
      </c>
      <c r="AH680" s="34">
        <f>SUMPRODUCT(DB_ThemeSOFAcct[[#This Row],[Act01]:[Act12]],$Q$3:$AB$3)/valUnits2</f>
        <v>7.4998600000000009</v>
      </c>
    </row>
    <row r="681" spans="2:34" x14ac:dyDescent="0.2">
      <c r="B681" t="s">
        <v>343</v>
      </c>
      <c r="C681" t="s">
        <v>911</v>
      </c>
      <c r="D681" t="s">
        <v>235</v>
      </c>
      <c r="E681">
        <v>1112.21</v>
      </c>
      <c r="F681">
        <v>1867.5099999999998</v>
      </c>
      <c r="G681">
        <v>1507.6399999999999</v>
      </c>
      <c r="H681">
        <v>1645.74</v>
      </c>
      <c r="I681">
        <v>1254.3600000000001</v>
      </c>
      <c r="J681">
        <v>0</v>
      </c>
      <c r="Q681">
        <v>1126.67</v>
      </c>
      <c r="R681">
        <v>1881.9700000000003</v>
      </c>
      <c r="S681">
        <v>1522.34</v>
      </c>
      <c r="T681">
        <v>1645.7400000000002</v>
      </c>
      <c r="U681">
        <v>1254.3599999999999</v>
      </c>
      <c r="V681">
        <v>1665.67</v>
      </c>
      <c r="AC681">
        <f>SUMPRODUCT(DB_ThemeSOFAcct[[#This Row],[Plan01]:[Plan12]],$E$14:$P$14)/valUnits2</f>
        <v>7.387459999999999</v>
      </c>
      <c r="AD681">
        <f>SUMPRODUCT(DB_ThemeSOFAcct[[#This Row],[Act01]:[Act12]],$Q$14:$AB$14)/valUnits2</f>
        <v>9.0967500000000001</v>
      </c>
      <c r="AE681">
        <f>DB_ThemeSOFAcct[[#This Row],[Actuals]]-DB_ThemeSOFAcct[[#This Row],[Plan]]</f>
        <v>1.7092900000000011</v>
      </c>
      <c r="AF681">
        <f>IF(DB_ThemeSOFAcct[[#This Row],[Plan]]&lt;&gt;0,DB_ThemeSOFAcct[[#This Row],[Actuals]]/DB_ThemeSOFAcct[[#This Row],[Plan]],1.000011000011)</f>
        <v>1.2313772257311717</v>
      </c>
      <c r="AG681" s="34">
        <f>SUM(DB_ThemeSOFAcct[[#This Row],[Plan01]:[Plan12]])/valUnits2</f>
        <v>7.387459999999999</v>
      </c>
      <c r="AH681" s="34">
        <f>SUMPRODUCT(DB_ThemeSOFAcct[[#This Row],[Act01]:[Act12]],$Q$3:$AB$3)/valUnits2</f>
        <v>9.0967500000000001</v>
      </c>
    </row>
    <row r="682" spans="2:34" x14ac:dyDescent="0.2">
      <c r="B682" t="s">
        <v>343</v>
      </c>
      <c r="C682" t="s">
        <v>911</v>
      </c>
      <c r="D682" t="s">
        <v>142</v>
      </c>
      <c r="E682">
        <v>76494.989000000001</v>
      </c>
      <c r="F682">
        <v>339780.06</v>
      </c>
      <c r="G682">
        <v>250854.00100000002</v>
      </c>
      <c r="H682">
        <v>410609.42300000007</v>
      </c>
      <c r="I682">
        <v>288996.83300000004</v>
      </c>
      <c r="J682">
        <v>251073.04300000001</v>
      </c>
      <c r="K682">
        <v>224480.693</v>
      </c>
      <c r="L682">
        <v>239436.79300000001</v>
      </c>
      <c r="M682">
        <v>227993.49299999999</v>
      </c>
      <c r="N682">
        <v>230907.54300000001</v>
      </c>
      <c r="Q682">
        <v>784.75999999999476</v>
      </c>
      <c r="R682">
        <v>195326.37</v>
      </c>
      <c r="S682">
        <v>104453.75999999998</v>
      </c>
      <c r="T682">
        <v>159536.38</v>
      </c>
      <c r="U682">
        <v>64516.14</v>
      </c>
      <c r="V682">
        <v>58800.49000000002</v>
      </c>
      <c r="W682">
        <v>0</v>
      </c>
      <c r="X682">
        <v>0</v>
      </c>
      <c r="Y682">
        <v>0</v>
      </c>
      <c r="Z682">
        <v>0</v>
      </c>
      <c r="AC682">
        <f>SUMPRODUCT(DB_ThemeSOFAcct[[#This Row],[Plan01]:[Plan12]],$E$14:$P$14)/valUnits2</f>
        <v>1617.8083490000004</v>
      </c>
      <c r="AD682">
        <f>SUMPRODUCT(DB_ThemeSOFAcct[[#This Row],[Act01]:[Act12]],$Q$14:$AB$14)/valUnits2</f>
        <v>583.41790000000003</v>
      </c>
      <c r="AE682">
        <f>DB_ThemeSOFAcct[[#This Row],[Actuals]]-DB_ThemeSOFAcct[[#This Row],[Plan]]</f>
        <v>-1034.3904490000004</v>
      </c>
      <c r="AF682">
        <f>IF(DB_ThemeSOFAcct[[#This Row],[Plan]]&lt;&gt;0,DB_ThemeSOFAcct[[#This Row],[Actuals]]/DB_ThemeSOFAcct[[#This Row],[Plan]],1.000011000011)</f>
        <v>0.36062238173058153</v>
      </c>
      <c r="AG682" s="34">
        <f>SUM(DB_ThemeSOFAcct[[#This Row],[Plan01]:[Plan12]])/valUnits2</f>
        <v>2540.6268710000004</v>
      </c>
      <c r="AH682" s="34">
        <f>SUMPRODUCT(DB_ThemeSOFAcct[[#This Row],[Act01]:[Act12]],$Q$3:$AB$3)/valUnits2</f>
        <v>583.41790000000003</v>
      </c>
    </row>
    <row r="683" spans="2:34" x14ac:dyDescent="0.2">
      <c r="B683" t="s">
        <v>343</v>
      </c>
      <c r="C683" t="s">
        <v>911</v>
      </c>
      <c r="D683" t="s">
        <v>140</v>
      </c>
      <c r="E683">
        <v>31656.984</v>
      </c>
      <c r="F683">
        <v>45203.040000000001</v>
      </c>
      <c r="G683">
        <v>50396.022999999994</v>
      </c>
      <c r="H683">
        <v>52108.505999999994</v>
      </c>
      <c r="I683">
        <v>54457.935999999987</v>
      </c>
      <c r="J683">
        <v>29373.405999999999</v>
      </c>
      <c r="K683">
        <v>29373.406000000003</v>
      </c>
      <c r="L683">
        <v>29373.405999999999</v>
      </c>
      <c r="M683">
        <v>29373.405999999999</v>
      </c>
      <c r="N683">
        <v>29373.405999999999</v>
      </c>
      <c r="Q683">
        <v>14690.93</v>
      </c>
      <c r="R683">
        <v>19701.609999999997</v>
      </c>
      <c r="S683">
        <v>22641.760000000002</v>
      </c>
      <c r="T683">
        <v>22735.1</v>
      </c>
      <c r="U683">
        <v>25084.53</v>
      </c>
      <c r="V683">
        <v>19134.230000000003</v>
      </c>
      <c r="W683">
        <v>0</v>
      </c>
      <c r="X683">
        <v>0</v>
      </c>
      <c r="Y683">
        <v>0</v>
      </c>
      <c r="Z683">
        <v>0</v>
      </c>
      <c r="AC683">
        <f>SUMPRODUCT(DB_ThemeSOFAcct[[#This Row],[Plan01]:[Plan12]],$E$14:$P$14)/valUnits2</f>
        <v>263.19589499999995</v>
      </c>
      <c r="AD683">
        <f>SUMPRODUCT(DB_ThemeSOFAcct[[#This Row],[Act01]:[Act12]],$Q$14:$AB$14)/valUnits2</f>
        <v>123.98816000000001</v>
      </c>
      <c r="AE683">
        <f>DB_ThemeSOFAcct[[#This Row],[Actuals]]-DB_ThemeSOFAcct[[#This Row],[Plan]]</f>
        <v>-139.20773499999996</v>
      </c>
      <c r="AF683">
        <f>IF(DB_ThemeSOFAcct[[#This Row],[Plan]]&lt;&gt;0,DB_ThemeSOFAcct[[#This Row],[Actuals]]/DB_ThemeSOFAcct[[#This Row],[Plan]],1.000011000011)</f>
        <v>0.47108698256863024</v>
      </c>
      <c r="AG683" s="34">
        <f>SUM(DB_ThemeSOFAcct[[#This Row],[Plan01]:[Plan12]])/valUnits2</f>
        <v>380.68951900000002</v>
      </c>
      <c r="AH683" s="34">
        <f>SUMPRODUCT(DB_ThemeSOFAcct[[#This Row],[Act01]:[Act12]],$Q$3:$AB$3)/valUnits2</f>
        <v>123.98816000000001</v>
      </c>
    </row>
    <row r="684" spans="2:34" x14ac:dyDescent="0.2">
      <c r="B684" t="s">
        <v>343</v>
      </c>
      <c r="C684" t="s">
        <v>911</v>
      </c>
      <c r="D684" t="s">
        <v>236</v>
      </c>
      <c r="E684">
        <v>440.62</v>
      </c>
      <c r="F684">
        <v>917.63</v>
      </c>
      <c r="G684">
        <v>31876.99</v>
      </c>
      <c r="H684">
        <v>72.869999999999933</v>
      </c>
      <c r="I684">
        <v>1029.75</v>
      </c>
      <c r="J684">
        <v>0</v>
      </c>
      <c r="Q684">
        <v>440.62</v>
      </c>
      <c r="R684">
        <v>917.63</v>
      </c>
      <c r="S684">
        <v>31876.99</v>
      </c>
      <c r="T684">
        <v>72.870000000000147</v>
      </c>
      <c r="U684">
        <v>1029.75</v>
      </c>
      <c r="V684">
        <v>1319.45</v>
      </c>
      <c r="AC684">
        <f>SUMPRODUCT(DB_ThemeSOFAcct[[#This Row],[Plan01]:[Plan12]],$E$14:$P$14)/valUnits2</f>
        <v>34.337860000000006</v>
      </c>
      <c r="AD684">
        <f>SUMPRODUCT(DB_ThemeSOFAcct[[#This Row],[Act01]:[Act12]],$Q$14:$AB$14)/valUnits2</f>
        <v>35.657310000000003</v>
      </c>
      <c r="AE684">
        <f>DB_ThemeSOFAcct[[#This Row],[Actuals]]-DB_ThemeSOFAcct[[#This Row],[Plan]]</f>
        <v>1.3194499999999962</v>
      </c>
      <c r="AF684">
        <f>IF(DB_ThemeSOFAcct[[#This Row],[Plan]]&lt;&gt;0,DB_ThemeSOFAcct[[#This Row],[Actuals]]/DB_ThemeSOFAcct[[#This Row],[Plan]],1.000011000011)</f>
        <v>1.038425516325129</v>
      </c>
      <c r="AG684" s="34">
        <f>SUM(DB_ThemeSOFAcct[[#This Row],[Plan01]:[Plan12]])/valUnits2</f>
        <v>34.337860000000006</v>
      </c>
      <c r="AH684" s="34">
        <f>SUMPRODUCT(DB_ThemeSOFAcct[[#This Row],[Act01]:[Act12]],$Q$3:$AB$3)/valUnits2</f>
        <v>35.657310000000003</v>
      </c>
    </row>
    <row r="685" spans="2:34" x14ac:dyDescent="0.2">
      <c r="B685" t="s">
        <v>343</v>
      </c>
      <c r="C685" t="s">
        <v>911</v>
      </c>
      <c r="D685" t="s">
        <v>237</v>
      </c>
      <c r="E685">
        <v>37.590000000000003</v>
      </c>
      <c r="F685">
        <v>53.4</v>
      </c>
      <c r="G685">
        <v>10771.23</v>
      </c>
      <c r="H685">
        <v>331.9</v>
      </c>
      <c r="I685">
        <v>9270.4200000000019</v>
      </c>
      <c r="J685">
        <v>0</v>
      </c>
      <c r="K685">
        <v>0</v>
      </c>
      <c r="L685">
        <v>0</v>
      </c>
      <c r="M685">
        <v>0</v>
      </c>
      <c r="N685">
        <v>0</v>
      </c>
      <c r="Q685">
        <v>37.590000000000003</v>
      </c>
      <c r="R685">
        <v>53.4</v>
      </c>
      <c r="S685">
        <v>10771.23</v>
      </c>
      <c r="T685">
        <v>331.9</v>
      </c>
      <c r="U685">
        <v>9270.42</v>
      </c>
      <c r="V685">
        <v>-1355.45</v>
      </c>
      <c r="W685">
        <v>0</v>
      </c>
      <c r="X685">
        <v>0</v>
      </c>
      <c r="Y685">
        <v>0</v>
      </c>
      <c r="Z685">
        <v>0</v>
      </c>
      <c r="AC685">
        <f>SUMPRODUCT(DB_ThemeSOFAcct[[#This Row],[Plan01]:[Plan12]],$E$14:$P$14)/valUnits2</f>
        <v>20.46454</v>
      </c>
      <c r="AD685">
        <f>SUMPRODUCT(DB_ThemeSOFAcct[[#This Row],[Act01]:[Act12]],$Q$14:$AB$14)/valUnits2</f>
        <v>19.109090000000002</v>
      </c>
      <c r="AE685">
        <f>DB_ThemeSOFAcct[[#This Row],[Actuals]]-DB_ThemeSOFAcct[[#This Row],[Plan]]</f>
        <v>-1.3554499999999976</v>
      </c>
      <c r="AF685">
        <f>IF(DB_ThemeSOFAcct[[#This Row],[Plan]]&lt;&gt;0,DB_ThemeSOFAcct[[#This Row],[Actuals]]/DB_ThemeSOFAcct[[#This Row],[Plan]],1.000011000011)</f>
        <v>0.93376591899940098</v>
      </c>
      <c r="AG685" s="34">
        <f>SUM(DB_ThemeSOFAcct[[#This Row],[Plan01]:[Plan12]])/valUnits2</f>
        <v>20.46454</v>
      </c>
      <c r="AH685" s="34">
        <f>SUMPRODUCT(DB_ThemeSOFAcct[[#This Row],[Act01]:[Act12]],$Q$3:$AB$3)/valUnits2</f>
        <v>19.109090000000002</v>
      </c>
    </row>
    <row r="686" spans="2:34" x14ac:dyDescent="0.2">
      <c r="B686" t="s">
        <v>343</v>
      </c>
      <c r="C686" t="s">
        <v>911</v>
      </c>
      <c r="D686" t="s">
        <v>141</v>
      </c>
      <c r="E686">
        <v>-1458.9900000000007</v>
      </c>
      <c r="F686">
        <v>3681.2289999999998</v>
      </c>
      <c r="G686">
        <v>16244.719000000001</v>
      </c>
      <c r="H686">
        <v>-21176.421000000002</v>
      </c>
      <c r="I686">
        <v>37289.489000000001</v>
      </c>
      <c r="J686">
        <v>3051.8489999999997</v>
      </c>
      <c r="K686">
        <v>3051.8489999999997</v>
      </c>
      <c r="L686">
        <v>3051.8489999999997</v>
      </c>
      <c r="M686">
        <v>3051.8489999999997</v>
      </c>
      <c r="N686">
        <v>3051.8489999999997</v>
      </c>
      <c r="Q686">
        <v>-3838.9100000000003</v>
      </c>
      <c r="R686">
        <v>1666.76</v>
      </c>
      <c r="S686">
        <v>13192.869999999997</v>
      </c>
      <c r="T686">
        <v>-24228.27</v>
      </c>
      <c r="U686">
        <v>34237.639999999992</v>
      </c>
      <c r="V686">
        <v>-2379.9799999999996</v>
      </c>
      <c r="W686">
        <v>11046.51</v>
      </c>
      <c r="X686">
        <v>0</v>
      </c>
      <c r="Y686">
        <v>0</v>
      </c>
      <c r="Z686">
        <v>0</v>
      </c>
      <c r="AC686">
        <f>SUMPRODUCT(DB_ThemeSOFAcct[[#This Row],[Plan01]:[Plan12]],$E$14:$P$14)/valUnits2</f>
        <v>37.631875000000001</v>
      </c>
      <c r="AD686">
        <f>SUMPRODUCT(DB_ThemeSOFAcct[[#This Row],[Act01]:[Act12]],$Q$14:$AB$14)/valUnits2</f>
        <v>18.650109999999991</v>
      </c>
      <c r="AE686">
        <f>DB_ThemeSOFAcct[[#This Row],[Actuals]]-DB_ThemeSOFAcct[[#This Row],[Plan]]</f>
        <v>-18.98176500000001</v>
      </c>
      <c r="AF686">
        <f>IF(DB_ThemeSOFAcct[[#This Row],[Plan]]&lt;&gt;0,DB_ThemeSOFAcct[[#This Row],[Actuals]]/DB_ThemeSOFAcct[[#This Row],[Plan]],1.000011000011)</f>
        <v>0.4955934297719683</v>
      </c>
      <c r="AG686" s="34">
        <f>SUM(DB_ThemeSOFAcct[[#This Row],[Plan01]:[Plan12]])/valUnits2</f>
        <v>49.839271000000011</v>
      </c>
      <c r="AH686" s="34">
        <f>SUMPRODUCT(DB_ThemeSOFAcct[[#This Row],[Act01]:[Act12]],$Q$3:$AB$3)/valUnits2</f>
        <v>18.650109999999991</v>
      </c>
    </row>
    <row r="687" spans="2:34" x14ac:dyDescent="0.2">
      <c r="B687" t="s">
        <v>343</v>
      </c>
      <c r="C687" t="s">
        <v>930</v>
      </c>
      <c r="D687" t="s">
        <v>143</v>
      </c>
      <c r="E687">
        <v>107.82</v>
      </c>
      <c r="F687">
        <v>7.76</v>
      </c>
      <c r="G687">
        <v>136.61000000000001</v>
      </c>
      <c r="H687">
        <v>258.39</v>
      </c>
      <c r="I687">
        <v>198.36</v>
      </c>
      <c r="J687">
        <v>0</v>
      </c>
      <c r="Q687">
        <v>107.82</v>
      </c>
      <c r="R687">
        <v>4.41</v>
      </c>
      <c r="S687">
        <v>110.03</v>
      </c>
      <c r="T687">
        <v>258.39</v>
      </c>
      <c r="U687">
        <v>198.36</v>
      </c>
      <c r="V687">
        <v>23.26</v>
      </c>
      <c r="AC687">
        <f>SUMPRODUCT(DB_ThemeSOFAcct[[#This Row],[Plan01]:[Plan12]],$E$14:$P$14)/valUnits2</f>
        <v>0.70894000000000001</v>
      </c>
      <c r="AD687">
        <f>SUMPRODUCT(DB_ThemeSOFAcct[[#This Row],[Act01]:[Act12]],$Q$14:$AB$14)/valUnits2</f>
        <v>0.70226999999999995</v>
      </c>
      <c r="AE687">
        <f>DB_ThemeSOFAcct[[#This Row],[Actuals]]-DB_ThemeSOFAcct[[#This Row],[Plan]]</f>
        <v>-6.6700000000000648E-3</v>
      </c>
      <c r="AF687">
        <f>IF(DB_ThemeSOFAcct[[#This Row],[Plan]]&lt;&gt;0,DB_ThemeSOFAcct[[#This Row],[Actuals]]/DB_ThemeSOFAcct[[#This Row],[Plan]],1.000011000011)</f>
        <v>0.99059158744040388</v>
      </c>
      <c r="AG687" s="34">
        <f>SUM(DB_ThemeSOFAcct[[#This Row],[Plan01]:[Plan12]])/valUnits2</f>
        <v>0.70894000000000001</v>
      </c>
      <c r="AH687" s="34">
        <f>SUMPRODUCT(DB_ThemeSOFAcct[[#This Row],[Act01]:[Act12]],$Q$3:$AB$3)/valUnits2</f>
        <v>0.70226999999999995</v>
      </c>
    </row>
    <row r="688" spans="2:34" x14ac:dyDescent="0.2">
      <c r="B688" t="s">
        <v>343</v>
      </c>
      <c r="C688" t="s">
        <v>930</v>
      </c>
      <c r="D688" t="s">
        <v>235</v>
      </c>
      <c r="E688">
        <v>122.25</v>
      </c>
      <c r="F688">
        <v>1380</v>
      </c>
      <c r="G688">
        <v>1825.2</v>
      </c>
      <c r="H688">
        <v>971.17000000000007</v>
      </c>
      <c r="I688">
        <v>372.33</v>
      </c>
      <c r="J688">
        <v>0</v>
      </c>
      <c r="Q688">
        <v>122.25</v>
      </c>
      <c r="R688">
        <v>1383.35</v>
      </c>
      <c r="S688">
        <v>1851.7799999999997</v>
      </c>
      <c r="T688">
        <v>971.17</v>
      </c>
      <c r="U688">
        <v>372.33</v>
      </c>
      <c r="V688">
        <v>693.41000000000008</v>
      </c>
      <c r="AC688">
        <f>SUMPRODUCT(DB_ThemeSOFAcct[[#This Row],[Plan01]:[Plan12]],$E$14:$P$14)/valUnits2</f>
        <v>4.6709499999999995</v>
      </c>
      <c r="AD688">
        <f>SUMPRODUCT(DB_ThemeSOFAcct[[#This Row],[Act01]:[Act12]],$Q$14:$AB$14)/valUnits2</f>
        <v>5.3942899999999989</v>
      </c>
      <c r="AE688">
        <f>DB_ThemeSOFAcct[[#This Row],[Actuals]]-DB_ThemeSOFAcct[[#This Row],[Plan]]</f>
        <v>0.72333999999999943</v>
      </c>
      <c r="AF688">
        <f>IF(DB_ThemeSOFAcct[[#This Row],[Plan]]&lt;&gt;0,DB_ThemeSOFAcct[[#This Row],[Actuals]]/DB_ThemeSOFAcct[[#This Row],[Plan]],1.000011000011)</f>
        <v>1.154859289866087</v>
      </c>
      <c r="AG688" s="34">
        <f>SUM(DB_ThemeSOFAcct[[#This Row],[Plan01]:[Plan12]])/valUnits2</f>
        <v>4.6709499999999995</v>
      </c>
      <c r="AH688" s="34">
        <f>SUMPRODUCT(DB_ThemeSOFAcct[[#This Row],[Act01]:[Act12]],$Q$3:$AB$3)/valUnits2</f>
        <v>5.3942899999999989</v>
      </c>
    </row>
    <row r="689" spans="2:34" x14ac:dyDescent="0.2">
      <c r="B689" t="s">
        <v>343</v>
      </c>
      <c r="C689" t="s">
        <v>930</v>
      </c>
      <c r="D689" t="s">
        <v>140</v>
      </c>
      <c r="E689">
        <v>18278.490000000002</v>
      </c>
      <c r="F689">
        <v>17214.419999999998</v>
      </c>
      <c r="G689">
        <v>22715.279999999999</v>
      </c>
      <c r="H689">
        <v>19976.480000000003</v>
      </c>
      <c r="I689">
        <v>20396.78</v>
      </c>
      <c r="J689">
        <v>28210.288</v>
      </c>
      <c r="K689">
        <v>28210.288</v>
      </c>
      <c r="L689">
        <v>28210.288</v>
      </c>
      <c r="M689">
        <v>28210.288</v>
      </c>
      <c r="N689">
        <v>28210.288</v>
      </c>
      <c r="O689">
        <v>28210.288</v>
      </c>
      <c r="P689">
        <v>20992.522000000001</v>
      </c>
      <c r="Q689">
        <v>18278.489999999998</v>
      </c>
      <c r="R689">
        <v>17214.420000000002</v>
      </c>
      <c r="S689">
        <v>22715.279999999999</v>
      </c>
      <c r="T689">
        <v>19976.48</v>
      </c>
      <c r="U689">
        <v>20396.78</v>
      </c>
      <c r="V689">
        <v>31201.02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f>SUMPRODUCT(DB_ThemeSOFAcct[[#This Row],[Plan01]:[Plan12]],$E$14:$P$14)/valUnits2</f>
        <v>126.79173800000001</v>
      </c>
      <c r="AD689">
        <f>SUMPRODUCT(DB_ThemeSOFAcct[[#This Row],[Act01]:[Act12]],$Q$14:$AB$14)/valUnits2</f>
        <v>129.78246999999999</v>
      </c>
      <c r="AE689">
        <f>DB_ThemeSOFAcct[[#This Row],[Actuals]]-DB_ThemeSOFAcct[[#This Row],[Plan]]</f>
        <v>2.99073199999998</v>
      </c>
      <c r="AF689">
        <f>IF(DB_ThemeSOFAcct[[#This Row],[Plan]]&lt;&gt;0,DB_ThemeSOFAcct[[#This Row],[Actuals]]/DB_ThemeSOFAcct[[#This Row],[Plan]],1.000011000011)</f>
        <v>1.0235877514353497</v>
      </c>
      <c r="AG689" s="34">
        <f>SUM(DB_ThemeSOFAcct[[#This Row],[Plan01]:[Plan12]])/valUnits2</f>
        <v>288.83570000000003</v>
      </c>
      <c r="AH689" s="34">
        <f>SUMPRODUCT(DB_ThemeSOFAcct[[#This Row],[Act01]:[Act12]],$Q$3:$AB$3)/valUnits2</f>
        <v>129.78246999999999</v>
      </c>
    </row>
    <row r="690" spans="2:34" x14ac:dyDescent="0.2">
      <c r="B690" t="s">
        <v>343</v>
      </c>
      <c r="C690" t="s">
        <v>930</v>
      </c>
      <c r="D690" t="s">
        <v>236</v>
      </c>
      <c r="E690">
        <v>1158.5999999999999</v>
      </c>
      <c r="F690">
        <v>2927.57</v>
      </c>
      <c r="G690">
        <v>5693.9400000000005</v>
      </c>
      <c r="H690">
        <v>1918.11</v>
      </c>
      <c r="I690">
        <v>1167.42</v>
      </c>
      <c r="J690">
        <v>30500</v>
      </c>
      <c r="K690">
        <v>37500</v>
      </c>
      <c r="L690">
        <v>7500</v>
      </c>
      <c r="M690">
        <v>6620</v>
      </c>
      <c r="Q690">
        <v>1158.5999999999999</v>
      </c>
      <c r="R690">
        <v>2927.57</v>
      </c>
      <c r="S690">
        <v>5693.94</v>
      </c>
      <c r="T690">
        <v>1918.1099999999997</v>
      </c>
      <c r="U690">
        <v>1167.42</v>
      </c>
      <c r="V690">
        <v>6815.0599999999995</v>
      </c>
      <c r="W690">
        <v>0</v>
      </c>
      <c r="X690">
        <v>0</v>
      </c>
      <c r="Y690">
        <v>0</v>
      </c>
      <c r="AC690">
        <f>SUMPRODUCT(DB_ThemeSOFAcct[[#This Row],[Plan01]:[Plan12]],$E$14:$P$14)/valUnits2</f>
        <v>43.365639999999999</v>
      </c>
      <c r="AD690">
        <f>SUMPRODUCT(DB_ThemeSOFAcct[[#This Row],[Act01]:[Act12]],$Q$14:$AB$14)/valUnits2</f>
        <v>19.680700000000002</v>
      </c>
      <c r="AE690">
        <f>DB_ThemeSOFAcct[[#This Row],[Actuals]]-DB_ThemeSOFAcct[[#This Row],[Plan]]</f>
        <v>-23.684939999999997</v>
      </c>
      <c r="AF690">
        <f>IF(DB_ThemeSOFAcct[[#This Row],[Plan]]&lt;&gt;0,DB_ThemeSOFAcct[[#This Row],[Actuals]]/DB_ThemeSOFAcct[[#This Row],[Plan]],1.000011000011)</f>
        <v>0.45383165104907947</v>
      </c>
      <c r="AG690" s="34">
        <f>SUM(DB_ThemeSOFAcct[[#This Row],[Plan01]:[Plan12]])/valUnits2</f>
        <v>94.985640000000004</v>
      </c>
      <c r="AH690" s="34">
        <f>SUMPRODUCT(DB_ThemeSOFAcct[[#This Row],[Act01]:[Act12]],$Q$3:$AB$3)/valUnits2</f>
        <v>19.680700000000002</v>
      </c>
    </row>
    <row r="691" spans="2:34" x14ac:dyDescent="0.2">
      <c r="B691" t="s">
        <v>343</v>
      </c>
      <c r="C691" t="s">
        <v>930</v>
      </c>
      <c r="D691" t="s">
        <v>237</v>
      </c>
      <c r="E691">
        <v>341.99</v>
      </c>
      <c r="F691">
        <v>238.97</v>
      </c>
      <c r="G691">
        <v>3720.25</v>
      </c>
      <c r="I691">
        <v>226.95000000000002</v>
      </c>
      <c r="Q691">
        <v>341.99</v>
      </c>
      <c r="R691">
        <v>238.97</v>
      </c>
      <c r="S691">
        <v>3720.25</v>
      </c>
      <c r="U691">
        <v>226.95000000000002</v>
      </c>
      <c r="AC691">
        <f>SUMPRODUCT(DB_ThemeSOFAcct[[#This Row],[Plan01]:[Plan12]],$E$14:$P$14)/valUnits2</f>
        <v>4.5281599999999997</v>
      </c>
      <c r="AD691">
        <f>SUMPRODUCT(DB_ThemeSOFAcct[[#This Row],[Act01]:[Act12]],$Q$14:$AB$14)/valUnits2</f>
        <v>4.5281599999999997</v>
      </c>
      <c r="AE691">
        <f>DB_ThemeSOFAcct[[#This Row],[Actuals]]-DB_ThemeSOFAcct[[#This Row],[Plan]]</f>
        <v>0</v>
      </c>
      <c r="AF691">
        <f>IF(DB_ThemeSOFAcct[[#This Row],[Plan]]&lt;&gt;0,DB_ThemeSOFAcct[[#This Row],[Actuals]]/DB_ThemeSOFAcct[[#This Row],[Plan]],1.000011000011)</f>
        <v>1</v>
      </c>
      <c r="AG691" s="34">
        <f>SUM(DB_ThemeSOFAcct[[#This Row],[Plan01]:[Plan12]])/valUnits2</f>
        <v>4.5281599999999997</v>
      </c>
      <c r="AH691" s="34">
        <f>SUMPRODUCT(DB_ThemeSOFAcct[[#This Row],[Act01]:[Act12]],$Q$3:$AB$3)/valUnits2</f>
        <v>4.5281599999999997</v>
      </c>
    </row>
    <row r="692" spans="2:34" x14ac:dyDescent="0.2">
      <c r="B692" t="s">
        <v>343</v>
      </c>
      <c r="C692" t="s">
        <v>930</v>
      </c>
      <c r="D692" t="s">
        <v>141</v>
      </c>
      <c r="E692">
        <v>820.5</v>
      </c>
      <c r="F692">
        <v>1810.76</v>
      </c>
      <c r="G692">
        <v>1173.8399999999999</v>
      </c>
      <c r="H692">
        <v>1566.82</v>
      </c>
      <c r="I692">
        <v>1223.94</v>
      </c>
      <c r="J692">
        <v>4020.8330000000001</v>
      </c>
      <c r="K692">
        <v>4020.8330000000001</v>
      </c>
      <c r="L692">
        <v>4020.8330000000001</v>
      </c>
      <c r="M692">
        <v>4020.8330000000001</v>
      </c>
      <c r="N692">
        <v>4020.8330000000001</v>
      </c>
      <c r="O692">
        <v>4020.8330000000001</v>
      </c>
      <c r="P692">
        <v>4020.8330000000001</v>
      </c>
      <c r="Q692">
        <v>820.5</v>
      </c>
      <c r="R692">
        <v>1810.76</v>
      </c>
      <c r="S692">
        <v>1173.8399999999999</v>
      </c>
      <c r="T692">
        <v>1566.8200000000002</v>
      </c>
      <c r="U692">
        <v>1223.94</v>
      </c>
      <c r="V692">
        <v>2723.78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f>SUMPRODUCT(DB_ThemeSOFAcct[[#This Row],[Plan01]:[Plan12]],$E$14:$P$14)/valUnits2</f>
        <v>10.616693000000001</v>
      </c>
      <c r="AD692">
        <f>SUMPRODUCT(DB_ThemeSOFAcct[[#This Row],[Act01]:[Act12]],$Q$14:$AB$14)/valUnits2</f>
        <v>9.3196400000000015</v>
      </c>
      <c r="AE692">
        <f>DB_ThemeSOFAcct[[#This Row],[Actuals]]-DB_ThemeSOFAcct[[#This Row],[Plan]]</f>
        <v>-1.297053</v>
      </c>
      <c r="AF692">
        <f>IF(DB_ThemeSOFAcct[[#This Row],[Plan]]&lt;&gt;0,DB_ThemeSOFAcct[[#This Row],[Actuals]]/DB_ThemeSOFAcct[[#This Row],[Plan]],1.000011000011)</f>
        <v>0.87782890585608908</v>
      </c>
      <c r="AG692" s="34">
        <f>SUM(DB_ThemeSOFAcct[[#This Row],[Plan01]:[Plan12]])/valUnits2</f>
        <v>34.741690999999996</v>
      </c>
      <c r="AH692" s="34">
        <f>SUMPRODUCT(DB_ThemeSOFAcct[[#This Row],[Act01]:[Act12]],$Q$3:$AB$3)/valUnits2</f>
        <v>9.3196400000000015</v>
      </c>
    </row>
    <row r="693" spans="2:34" x14ac:dyDescent="0.2">
      <c r="B693" t="s">
        <v>343</v>
      </c>
      <c r="C693" t="s">
        <v>931</v>
      </c>
      <c r="D693" t="s">
        <v>235</v>
      </c>
      <c r="E693">
        <v>-282.483</v>
      </c>
      <c r="Q693">
        <v>-285.55</v>
      </c>
      <c r="AC693">
        <f>SUMPRODUCT(DB_ThemeSOFAcct[[#This Row],[Plan01]:[Plan12]],$E$14:$P$14)/valUnits2</f>
        <v>-0.28248299999999998</v>
      </c>
      <c r="AD693">
        <f>SUMPRODUCT(DB_ThemeSOFAcct[[#This Row],[Act01]:[Act12]],$Q$14:$AB$14)/valUnits2</f>
        <v>-0.28555000000000003</v>
      </c>
      <c r="AE693">
        <f>DB_ThemeSOFAcct[[#This Row],[Actuals]]-DB_ThemeSOFAcct[[#This Row],[Plan]]</f>
        <v>-3.0670000000000419E-3</v>
      </c>
      <c r="AF693">
        <f>IF(DB_ThemeSOFAcct[[#This Row],[Plan]]&lt;&gt;0,DB_ThemeSOFAcct[[#This Row],[Actuals]]/DB_ThemeSOFAcct[[#This Row],[Plan]],1.000011000011)</f>
        <v>1.0108572905272177</v>
      </c>
      <c r="AG693" s="34">
        <f>SUM(DB_ThemeSOFAcct[[#This Row],[Plan01]:[Plan12]])/valUnits2</f>
        <v>-0.28248299999999998</v>
      </c>
      <c r="AH693" s="34">
        <f>SUMPRODUCT(DB_ThemeSOFAcct[[#This Row],[Act01]:[Act12]],$Q$3:$AB$3)/valUnits2</f>
        <v>-0.28555000000000003</v>
      </c>
    </row>
    <row r="694" spans="2:34" x14ac:dyDescent="0.2">
      <c r="B694" t="s">
        <v>343</v>
      </c>
      <c r="C694" t="s">
        <v>931</v>
      </c>
      <c r="D694" t="s">
        <v>142</v>
      </c>
      <c r="E694">
        <v>14653.797</v>
      </c>
      <c r="F694">
        <v>-13696.876</v>
      </c>
      <c r="G694">
        <v>-750.12400000000002</v>
      </c>
      <c r="Q694">
        <v>14644.2</v>
      </c>
      <c r="R694">
        <v>-13854.63</v>
      </c>
      <c r="S694">
        <v>-782.23</v>
      </c>
      <c r="AC694">
        <f>SUMPRODUCT(DB_ThemeSOFAcct[[#This Row],[Plan01]:[Plan12]],$E$14:$P$14)/valUnits2</f>
        <v>0.20679700000000026</v>
      </c>
      <c r="AD694">
        <f>SUMPRODUCT(DB_ThemeSOFAcct[[#This Row],[Act01]:[Act12]],$Q$14:$AB$14)/valUnits2</f>
        <v>7.3400000000015094E-3</v>
      </c>
      <c r="AE694">
        <f>DB_ThemeSOFAcct[[#This Row],[Actuals]]-DB_ThemeSOFAcct[[#This Row],[Plan]]</f>
        <v>-0.19945699999999875</v>
      </c>
      <c r="AF694">
        <f>IF(DB_ThemeSOFAcct[[#This Row],[Plan]]&lt;&gt;0,DB_ThemeSOFAcct[[#This Row],[Actuals]]/DB_ThemeSOFAcct[[#This Row],[Plan]],1.000011000011)</f>
        <v>3.5493745073678536E-2</v>
      </c>
      <c r="AG694" s="34">
        <f>SUM(DB_ThemeSOFAcct[[#This Row],[Plan01]:[Plan12]])/valUnits2</f>
        <v>0.20679700000000026</v>
      </c>
      <c r="AH694" s="34">
        <f>SUMPRODUCT(DB_ThemeSOFAcct[[#This Row],[Act01]:[Act12]],$Q$3:$AB$3)/valUnits2</f>
        <v>7.3400000000015094E-3</v>
      </c>
    </row>
    <row r="695" spans="2:34" x14ac:dyDescent="0.2">
      <c r="B695" t="s">
        <v>343</v>
      </c>
      <c r="C695" t="s">
        <v>937</v>
      </c>
      <c r="D695" t="s">
        <v>235</v>
      </c>
      <c r="J695">
        <v>0</v>
      </c>
      <c r="V695">
        <v>70.97</v>
      </c>
      <c r="AC695">
        <f>SUMPRODUCT(DB_ThemeSOFAcct[[#This Row],[Plan01]:[Plan12]],$E$14:$P$14)/valUnits2</f>
        <v>0</v>
      </c>
      <c r="AD695">
        <f>SUMPRODUCT(DB_ThemeSOFAcct[[#This Row],[Act01]:[Act12]],$Q$14:$AB$14)/valUnits2</f>
        <v>7.0970000000000005E-2</v>
      </c>
      <c r="AE695">
        <f>DB_ThemeSOFAcct[[#This Row],[Actuals]]-DB_ThemeSOFAcct[[#This Row],[Plan]]</f>
        <v>7.0970000000000005E-2</v>
      </c>
      <c r="AF695">
        <f>IF(DB_ThemeSOFAcct[[#This Row],[Plan]]&lt;&gt;0,DB_ThemeSOFAcct[[#This Row],[Actuals]]/DB_ThemeSOFAcct[[#This Row],[Plan]],1.000011000011)</f>
        <v>1.0000110000110001</v>
      </c>
      <c r="AG695" s="34">
        <f>SUM(DB_ThemeSOFAcct[[#This Row],[Plan01]:[Plan12]])/valUnits2</f>
        <v>0</v>
      </c>
      <c r="AH695" s="34">
        <f>SUMPRODUCT(DB_ThemeSOFAcct[[#This Row],[Act01]:[Act12]],$Q$3:$AB$3)/valUnits2</f>
        <v>7.0970000000000005E-2</v>
      </c>
    </row>
    <row r="696" spans="2:34" x14ac:dyDescent="0.2">
      <c r="B696" t="s">
        <v>343</v>
      </c>
      <c r="C696" t="s">
        <v>937</v>
      </c>
      <c r="D696" t="s">
        <v>140</v>
      </c>
      <c r="H696">
        <v>21932.32</v>
      </c>
      <c r="I696">
        <v>7268.28</v>
      </c>
      <c r="J696">
        <v>20606.666999999998</v>
      </c>
      <c r="T696">
        <v>21932.32</v>
      </c>
      <c r="U696">
        <v>7268.28</v>
      </c>
      <c r="V696">
        <v>8661.35</v>
      </c>
      <c r="AC696">
        <f>SUMPRODUCT(DB_ThemeSOFAcct[[#This Row],[Plan01]:[Plan12]],$E$14:$P$14)/valUnits2</f>
        <v>49.807266999999996</v>
      </c>
      <c r="AD696">
        <f>SUMPRODUCT(DB_ThemeSOFAcct[[#This Row],[Act01]:[Act12]],$Q$14:$AB$14)/valUnits2</f>
        <v>37.86195</v>
      </c>
      <c r="AE696">
        <f>DB_ThemeSOFAcct[[#This Row],[Actuals]]-DB_ThemeSOFAcct[[#This Row],[Plan]]</f>
        <v>-11.945316999999996</v>
      </c>
      <c r="AF696">
        <f>IF(DB_ThemeSOFAcct[[#This Row],[Plan]]&lt;&gt;0,DB_ThemeSOFAcct[[#This Row],[Actuals]]/DB_ThemeSOFAcct[[#This Row],[Plan]],1.000011000011)</f>
        <v>0.76016919378451353</v>
      </c>
      <c r="AG696" s="34">
        <f>SUM(DB_ThemeSOFAcct[[#This Row],[Plan01]:[Plan12]])/valUnits2</f>
        <v>49.807266999999996</v>
      </c>
      <c r="AH696" s="34">
        <f>SUMPRODUCT(DB_ThemeSOFAcct[[#This Row],[Act01]:[Act12]],$Q$3:$AB$3)/valUnits2</f>
        <v>37.86195</v>
      </c>
    </row>
    <row r="697" spans="2:34" x14ac:dyDescent="0.2">
      <c r="B697" t="s">
        <v>343</v>
      </c>
      <c r="C697" t="s">
        <v>937</v>
      </c>
      <c r="D697" t="s">
        <v>236</v>
      </c>
      <c r="J697">
        <v>0</v>
      </c>
      <c r="V697">
        <v>297.89999999999998</v>
      </c>
      <c r="AC697">
        <f>SUMPRODUCT(DB_ThemeSOFAcct[[#This Row],[Plan01]:[Plan12]],$E$14:$P$14)/valUnits2</f>
        <v>0</v>
      </c>
      <c r="AD697">
        <f>SUMPRODUCT(DB_ThemeSOFAcct[[#This Row],[Act01]:[Act12]],$Q$14:$AB$14)/valUnits2</f>
        <v>0.2979</v>
      </c>
      <c r="AE697">
        <f>DB_ThemeSOFAcct[[#This Row],[Actuals]]-DB_ThemeSOFAcct[[#This Row],[Plan]]</f>
        <v>0.2979</v>
      </c>
      <c r="AF697">
        <f>IF(DB_ThemeSOFAcct[[#This Row],[Plan]]&lt;&gt;0,DB_ThemeSOFAcct[[#This Row],[Actuals]]/DB_ThemeSOFAcct[[#This Row],[Plan]],1.000011000011)</f>
        <v>1.0000110000110001</v>
      </c>
      <c r="AG697" s="34">
        <f>SUM(DB_ThemeSOFAcct[[#This Row],[Plan01]:[Plan12]])/valUnits2</f>
        <v>0</v>
      </c>
      <c r="AH697" s="34">
        <f>SUMPRODUCT(DB_ThemeSOFAcct[[#This Row],[Act01]:[Act12]],$Q$3:$AB$3)/valUnits2</f>
        <v>0.2979</v>
      </c>
    </row>
    <row r="698" spans="2:34" x14ac:dyDescent="0.2">
      <c r="B698" t="s">
        <v>343</v>
      </c>
      <c r="C698" t="s">
        <v>937</v>
      </c>
      <c r="D698" t="s">
        <v>237</v>
      </c>
      <c r="H698">
        <v>5091</v>
      </c>
      <c r="I698">
        <v>1069.3900000000001</v>
      </c>
      <c r="J698">
        <v>666.66700000000003</v>
      </c>
      <c r="T698">
        <v>5091</v>
      </c>
      <c r="U698">
        <v>1069.3900000000001</v>
      </c>
      <c r="V698">
        <v>0</v>
      </c>
      <c r="AC698">
        <f>SUMPRODUCT(DB_ThemeSOFAcct[[#This Row],[Plan01]:[Plan12]],$E$14:$P$14)/valUnits2</f>
        <v>6.8270570000000008</v>
      </c>
      <c r="AD698">
        <f>SUMPRODUCT(DB_ThemeSOFAcct[[#This Row],[Act01]:[Act12]],$Q$14:$AB$14)/valUnits2</f>
        <v>6.1603900000000005</v>
      </c>
      <c r="AE698">
        <f>DB_ThemeSOFAcct[[#This Row],[Actuals]]-DB_ThemeSOFAcct[[#This Row],[Plan]]</f>
        <v>-0.66666700000000034</v>
      </c>
      <c r="AF698">
        <f>IF(DB_ThemeSOFAcct[[#This Row],[Plan]]&lt;&gt;0,DB_ThemeSOFAcct[[#This Row],[Actuals]]/DB_ThemeSOFAcct[[#This Row],[Plan]],1.000011000011)</f>
        <v>0.90234928461854058</v>
      </c>
      <c r="AG698" s="34">
        <f>SUM(DB_ThemeSOFAcct[[#This Row],[Plan01]:[Plan12]])/valUnits2</f>
        <v>6.8270570000000008</v>
      </c>
      <c r="AH698" s="34">
        <f>SUMPRODUCT(DB_ThemeSOFAcct[[#This Row],[Act01]:[Act12]],$Q$3:$AB$3)/valUnits2</f>
        <v>6.1603900000000005</v>
      </c>
    </row>
    <row r="699" spans="2:34" x14ac:dyDescent="0.2">
      <c r="B699" t="s">
        <v>343</v>
      </c>
      <c r="C699" t="s">
        <v>937</v>
      </c>
      <c r="D699" t="s">
        <v>141</v>
      </c>
      <c r="H699">
        <v>12608.83</v>
      </c>
      <c r="I699">
        <v>41.15</v>
      </c>
      <c r="J699">
        <v>15516.66</v>
      </c>
      <c r="T699">
        <v>12608.829999999998</v>
      </c>
      <c r="U699">
        <v>41.15</v>
      </c>
      <c r="V699">
        <v>201.92999999999998</v>
      </c>
      <c r="AC699">
        <f>SUMPRODUCT(DB_ThemeSOFAcct[[#This Row],[Plan01]:[Plan12]],$E$14:$P$14)/valUnits2</f>
        <v>28.166640000000001</v>
      </c>
      <c r="AD699">
        <f>SUMPRODUCT(DB_ThemeSOFAcct[[#This Row],[Act01]:[Act12]],$Q$14:$AB$14)/valUnits2</f>
        <v>12.851909999999998</v>
      </c>
      <c r="AE699">
        <f>DB_ThemeSOFAcct[[#This Row],[Actuals]]-DB_ThemeSOFAcct[[#This Row],[Plan]]</f>
        <v>-15.314730000000003</v>
      </c>
      <c r="AF699">
        <f>IF(DB_ThemeSOFAcct[[#This Row],[Plan]]&lt;&gt;0,DB_ThemeSOFAcct[[#This Row],[Actuals]]/DB_ThemeSOFAcct[[#This Row],[Plan]],1.000011000011)</f>
        <v>0.45628126038462513</v>
      </c>
      <c r="AG699" s="34">
        <f>SUM(DB_ThemeSOFAcct[[#This Row],[Plan01]:[Plan12]])/valUnits2</f>
        <v>28.166640000000001</v>
      </c>
      <c r="AH699" s="34">
        <f>SUMPRODUCT(DB_ThemeSOFAcct[[#This Row],[Act01]:[Act12]],$Q$3:$AB$3)/valUnits2</f>
        <v>12.851909999999998</v>
      </c>
    </row>
    <row r="700" spans="2:34" x14ac:dyDescent="0.2">
      <c r="B700" t="s">
        <v>344</v>
      </c>
      <c r="C700" t="s">
        <v>860</v>
      </c>
      <c r="D700" t="s">
        <v>143</v>
      </c>
      <c r="E700">
        <v>0</v>
      </c>
      <c r="F700">
        <v>2037.02</v>
      </c>
      <c r="G700">
        <v>0</v>
      </c>
      <c r="H700">
        <v>0</v>
      </c>
      <c r="I700">
        <v>0</v>
      </c>
      <c r="J700">
        <v>1382.6680000000001</v>
      </c>
      <c r="K700">
        <v>1382.6680000000003</v>
      </c>
      <c r="L700">
        <v>1382.6680000000001</v>
      </c>
      <c r="M700">
        <v>1482.6680000000001</v>
      </c>
      <c r="Q700">
        <v>0</v>
      </c>
      <c r="R700">
        <v>2058.5700000000002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AC700">
        <f>SUMPRODUCT(DB_ThemeSOFAcct[[#This Row],[Plan01]:[Plan12]],$E$14:$P$14)/valUnits2</f>
        <v>3.4196880000000003</v>
      </c>
      <c r="AD700">
        <f>SUMPRODUCT(DB_ThemeSOFAcct[[#This Row],[Act01]:[Act12]],$Q$14:$AB$14)/valUnits2</f>
        <v>2.05857</v>
      </c>
      <c r="AE700">
        <f>DB_ThemeSOFAcct[[#This Row],[Actuals]]-DB_ThemeSOFAcct[[#This Row],[Plan]]</f>
        <v>-1.3611180000000003</v>
      </c>
      <c r="AF700">
        <f>IF(DB_ThemeSOFAcct[[#This Row],[Plan]]&lt;&gt;0,DB_ThemeSOFAcct[[#This Row],[Actuals]]/DB_ThemeSOFAcct[[#This Row],[Plan]],1.000011000011)</f>
        <v>0.60197596973759004</v>
      </c>
      <c r="AG700" s="34">
        <f>SUM(DB_ThemeSOFAcct[[#This Row],[Plan01]:[Plan12]])/valUnits2</f>
        <v>7.6676920000000006</v>
      </c>
      <c r="AH700" s="34">
        <f>SUMPRODUCT(DB_ThemeSOFAcct[[#This Row],[Act01]:[Act12]],$Q$3:$AB$3)/valUnits2</f>
        <v>2.05857</v>
      </c>
    </row>
    <row r="701" spans="2:34" x14ac:dyDescent="0.2">
      <c r="B701" t="s">
        <v>344</v>
      </c>
      <c r="C701" t="s">
        <v>860</v>
      </c>
      <c r="D701" t="s">
        <v>235</v>
      </c>
      <c r="E701">
        <v>33.229999999999997</v>
      </c>
      <c r="F701">
        <v>299.16000000000003</v>
      </c>
      <c r="G701">
        <v>375.34000000000003</v>
      </c>
      <c r="H701">
        <v>487.37</v>
      </c>
      <c r="I701">
        <v>3375.57</v>
      </c>
      <c r="J701">
        <v>266.66700000000003</v>
      </c>
      <c r="K701">
        <v>266.66700000000003</v>
      </c>
      <c r="L701">
        <v>266.66700000000003</v>
      </c>
      <c r="M701">
        <v>266.66700000000003</v>
      </c>
      <c r="Q701">
        <v>33.229999999999997</v>
      </c>
      <c r="R701">
        <v>299.15999999999997</v>
      </c>
      <c r="S701">
        <v>375.34000000000003</v>
      </c>
      <c r="T701">
        <v>487.37</v>
      </c>
      <c r="U701">
        <v>3375.57</v>
      </c>
      <c r="V701">
        <v>1843.1799999999998</v>
      </c>
      <c r="W701">
        <v>0</v>
      </c>
      <c r="X701">
        <v>0</v>
      </c>
      <c r="Y701">
        <v>0</v>
      </c>
      <c r="AC701">
        <f>SUMPRODUCT(DB_ThemeSOFAcct[[#This Row],[Plan01]:[Plan12]],$E$14:$P$14)/valUnits2</f>
        <v>4.8373370000000007</v>
      </c>
      <c r="AD701">
        <f>SUMPRODUCT(DB_ThemeSOFAcct[[#This Row],[Act01]:[Act12]],$Q$14:$AB$14)/valUnits2</f>
        <v>6.4138500000000001</v>
      </c>
      <c r="AE701">
        <f>DB_ThemeSOFAcct[[#This Row],[Actuals]]-DB_ThemeSOFAcct[[#This Row],[Plan]]</f>
        <v>1.5765129999999994</v>
      </c>
      <c r="AF701">
        <f>IF(DB_ThemeSOFAcct[[#This Row],[Plan]]&lt;&gt;0,DB_ThemeSOFAcct[[#This Row],[Actuals]]/DB_ThemeSOFAcct[[#This Row],[Plan]],1.000011000011)</f>
        <v>1.3259051416099394</v>
      </c>
      <c r="AG701" s="34">
        <f>SUM(DB_ThemeSOFAcct[[#This Row],[Plan01]:[Plan12]])/valUnits2</f>
        <v>5.6373380000000015</v>
      </c>
      <c r="AH701" s="34">
        <f>SUMPRODUCT(DB_ThemeSOFAcct[[#This Row],[Act01]:[Act12]],$Q$3:$AB$3)/valUnits2</f>
        <v>6.4138500000000001</v>
      </c>
    </row>
    <row r="702" spans="2:34" x14ac:dyDescent="0.2">
      <c r="B702" t="s">
        <v>344</v>
      </c>
      <c r="C702" t="s">
        <v>860</v>
      </c>
      <c r="D702" t="s">
        <v>142</v>
      </c>
      <c r="E702">
        <v>0</v>
      </c>
      <c r="F702">
        <v>0</v>
      </c>
      <c r="G702">
        <v>407611.17999999993</v>
      </c>
      <c r="H702">
        <v>260165.86</v>
      </c>
      <c r="I702">
        <v>23563.270000000008</v>
      </c>
      <c r="J702">
        <v>122222.22199999999</v>
      </c>
      <c r="K702">
        <v>122222.22199999999</v>
      </c>
      <c r="L702">
        <v>122222.22199999999</v>
      </c>
      <c r="M702">
        <v>122222.22200000001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407611.17999999993</v>
      </c>
      <c r="T702">
        <v>260165.86</v>
      </c>
      <c r="U702">
        <v>23563.269999999997</v>
      </c>
      <c r="V702">
        <v>171.02000000001499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f>SUMPRODUCT(DB_ThemeSOFAcct[[#This Row],[Plan01]:[Plan12]],$E$14:$P$14)/valUnits2</f>
        <v>813.56253199999992</v>
      </c>
      <c r="AD702">
        <f>SUMPRODUCT(DB_ThemeSOFAcct[[#This Row],[Act01]:[Act12]],$Q$14:$AB$14)/valUnits2</f>
        <v>691.51132999999993</v>
      </c>
      <c r="AE702">
        <f>DB_ThemeSOFAcct[[#This Row],[Actuals]]-DB_ThemeSOFAcct[[#This Row],[Plan]]</f>
        <v>-122.05120199999999</v>
      </c>
      <c r="AF702">
        <f>IF(DB_ThemeSOFAcct[[#This Row],[Plan]]&lt;&gt;0,DB_ThemeSOFAcct[[#This Row],[Actuals]]/DB_ThemeSOFAcct[[#This Row],[Plan]],1.000011000011)</f>
        <v>0.84997932279408361</v>
      </c>
      <c r="AG702" s="34">
        <f>SUM(DB_ThemeSOFAcct[[#This Row],[Plan01]:[Plan12]])/valUnits2</f>
        <v>1180.2291979999998</v>
      </c>
      <c r="AH702" s="34">
        <f>SUMPRODUCT(DB_ThemeSOFAcct[[#This Row],[Act01]:[Act12]],$Q$3:$AB$3)/valUnits2</f>
        <v>691.51132999999993</v>
      </c>
    </row>
    <row r="703" spans="2:34" x14ac:dyDescent="0.2">
      <c r="B703" t="s">
        <v>344</v>
      </c>
      <c r="C703" t="s">
        <v>860</v>
      </c>
      <c r="D703" t="s">
        <v>140</v>
      </c>
      <c r="E703">
        <v>9816.07</v>
      </c>
      <c r="F703">
        <v>12313.05</v>
      </c>
      <c r="G703">
        <v>12964.189999999999</v>
      </c>
      <c r="H703">
        <v>14095.22</v>
      </c>
      <c r="I703">
        <v>18062.709999999995</v>
      </c>
      <c r="J703">
        <v>25427.143</v>
      </c>
      <c r="K703">
        <v>25427.143</v>
      </c>
      <c r="L703">
        <v>25427.143</v>
      </c>
      <c r="M703">
        <v>25427.143</v>
      </c>
      <c r="N703">
        <v>0</v>
      </c>
      <c r="O703">
        <v>0</v>
      </c>
      <c r="P703">
        <v>0</v>
      </c>
      <c r="Q703">
        <v>9816.07</v>
      </c>
      <c r="R703">
        <v>12313.050000000001</v>
      </c>
      <c r="S703">
        <v>12964.19</v>
      </c>
      <c r="T703">
        <v>14095.220000000003</v>
      </c>
      <c r="U703">
        <v>18062.71</v>
      </c>
      <c r="V703">
        <v>23238.13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f>SUMPRODUCT(DB_ThemeSOFAcct[[#This Row],[Plan01]:[Plan12]],$E$14:$P$14)/valUnits2</f>
        <v>92.678382999999982</v>
      </c>
      <c r="AD703">
        <f>SUMPRODUCT(DB_ThemeSOFAcct[[#This Row],[Act01]:[Act12]],$Q$14:$AB$14)/valUnits2</f>
        <v>90.489370000000008</v>
      </c>
      <c r="AE703">
        <f>DB_ThemeSOFAcct[[#This Row],[Actuals]]-DB_ThemeSOFAcct[[#This Row],[Plan]]</f>
        <v>-2.1890129999999743</v>
      </c>
      <c r="AF703">
        <f>IF(DB_ThemeSOFAcct[[#This Row],[Plan]]&lt;&gt;0,DB_ThemeSOFAcct[[#This Row],[Actuals]]/DB_ThemeSOFAcct[[#This Row],[Plan]],1.000011000011)</f>
        <v>0.97638054388583828</v>
      </c>
      <c r="AG703" s="34">
        <f>SUM(DB_ThemeSOFAcct[[#This Row],[Plan01]:[Plan12]])/valUnits2</f>
        <v>168.959812</v>
      </c>
      <c r="AH703" s="34">
        <f>SUMPRODUCT(DB_ThemeSOFAcct[[#This Row],[Act01]:[Act12]],$Q$3:$AB$3)/valUnits2</f>
        <v>90.489370000000008</v>
      </c>
    </row>
    <row r="704" spans="2:34" x14ac:dyDescent="0.2">
      <c r="B704" t="s">
        <v>344</v>
      </c>
      <c r="C704" t="s">
        <v>860</v>
      </c>
      <c r="D704" t="s">
        <v>236</v>
      </c>
      <c r="E704">
        <v>432.11</v>
      </c>
      <c r="F704">
        <v>168.32999999999998</v>
      </c>
      <c r="G704">
        <v>3312.6799999999994</v>
      </c>
      <c r="H704">
        <v>1198.0999999999999</v>
      </c>
      <c r="I704">
        <v>5548.19</v>
      </c>
      <c r="J704">
        <v>0</v>
      </c>
      <c r="Q704">
        <v>432.11</v>
      </c>
      <c r="R704">
        <v>168.32999999999998</v>
      </c>
      <c r="S704">
        <v>3312.6800000000048</v>
      </c>
      <c r="T704">
        <v>1198.0999999999999</v>
      </c>
      <c r="U704">
        <v>5548.19</v>
      </c>
      <c r="V704">
        <v>3104.22</v>
      </c>
      <c r="AC704">
        <f>SUMPRODUCT(DB_ThemeSOFAcct[[#This Row],[Plan01]:[Plan12]],$E$14:$P$14)/valUnits2</f>
        <v>10.659409999999999</v>
      </c>
      <c r="AD704">
        <f>SUMPRODUCT(DB_ThemeSOFAcct[[#This Row],[Act01]:[Act12]],$Q$14:$AB$14)/valUnits2</f>
        <v>13.763630000000003</v>
      </c>
      <c r="AE704">
        <f>DB_ThemeSOFAcct[[#This Row],[Actuals]]-DB_ThemeSOFAcct[[#This Row],[Plan]]</f>
        <v>3.1042200000000033</v>
      </c>
      <c r="AF704">
        <f>IF(DB_ThemeSOFAcct[[#This Row],[Plan]]&lt;&gt;0,DB_ThemeSOFAcct[[#This Row],[Actuals]]/DB_ThemeSOFAcct[[#This Row],[Plan]],1.000011000011)</f>
        <v>1.2912187447522896</v>
      </c>
      <c r="AG704" s="34">
        <f>SUM(DB_ThemeSOFAcct[[#This Row],[Plan01]:[Plan12]])/valUnits2</f>
        <v>10.659409999999999</v>
      </c>
      <c r="AH704" s="34">
        <f>SUMPRODUCT(DB_ThemeSOFAcct[[#This Row],[Act01]:[Act12]],$Q$3:$AB$3)/valUnits2</f>
        <v>13.763630000000003</v>
      </c>
    </row>
    <row r="705" spans="2:34" x14ac:dyDescent="0.2">
      <c r="B705" t="s">
        <v>344</v>
      </c>
      <c r="C705" t="s">
        <v>860</v>
      </c>
      <c r="D705" t="s">
        <v>237</v>
      </c>
      <c r="E705">
        <v>19.489999999999998</v>
      </c>
      <c r="F705">
        <v>722.15</v>
      </c>
      <c r="G705">
        <v>4483.4100000000044</v>
      </c>
      <c r="H705">
        <v>55.38</v>
      </c>
      <c r="I705">
        <v>1129.3200000000002</v>
      </c>
      <c r="J705">
        <v>122.22200000000001</v>
      </c>
      <c r="K705">
        <v>122.22200000000001</v>
      </c>
      <c r="L705">
        <v>122.22200000000001</v>
      </c>
      <c r="M705">
        <v>122.22200000000001</v>
      </c>
      <c r="Q705">
        <v>19.489999999999998</v>
      </c>
      <c r="R705">
        <v>722.15</v>
      </c>
      <c r="S705">
        <v>4483.4100000000017</v>
      </c>
      <c r="T705">
        <v>55.38</v>
      </c>
      <c r="U705">
        <v>1129.32</v>
      </c>
      <c r="V705">
        <v>4201.87</v>
      </c>
      <c r="W705">
        <v>0</v>
      </c>
      <c r="X705">
        <v>0</v>
      </c>
      <c r="Y705">
        <v>0</v>
      </c>
      <c r="AC705">
        <f>SUMPRODUCT(DB_ThemeSOFAcct[[#This Row],[Plan01]:[Plan12]],$E$14:$P$14)/valUnits2</f>
        <v>6.531972000000005</v>
      </c>
      <c r="AD705">
        <f>SUMPRODUCT(DB_ThemeSOFAcct[[#This Row],[Act01]:[Act12]],$Q$14:$AB$14)/valUnits2</f>
        <v>10.611620000000002</v>
      </c>
      <c r="AE705">
        <f>DB_ThemeSOFAcct[[#This Row],[Actuals]]-DB_ThemeSOFAcct[[#This Row],[Plan]]</f>
        <v>4.0796479999999971</v>
      </c>
      <c r="AF705">
        <f>IF(DB_ThemeSOFAcct[[#This Row],[Plan]]&lt;&gt;0,DB_ThemeSOFAcct[[#This Row],[Actuals]]/DB_ThemeSOFAcct[[#This Row],[Plan]],1.000011000011)</f>
        <v>1.6245660575397436</v>
      </c>
      <c r="AG705" s="34">
        <f>SUM(DB_ThemeSOFAcct[[#This Row],[Plan01]:[Plan12]])/valUnits2</f>
        <v>6.8986380000000045</v>
      </c>
      <c r="AH705" s="34">
        <f>SUMPRODUCT(DB_ThemeSOFAcct[[#This Row],[Act01]:[Act12]],$Q$3:$AB$3)/valUnits2</f>
        <v>10.611620000000002</v>
      </c>
    </row>
    <row r="706" spans="2:34" x14ac:dyDescent="0.2">
      <c r="B706" t="s">
        <v>344</v>
      </c>
      <c r="C706" t="s">
        <v>860</v>
      </c>
      <c r="D706" t="s">
        <v>141</v>
      </c>
      <c r="E706">
        <v>490.65</v>
      </c>
      <c r="F706">
        <v>2057.1799999999998</v>
      </c>
      <c r="G706">
        <v>654.83000000000004</v>
      </c>
      <c r="H706">
        <v>1108.06</v>
      </c>
      <c r="I706">
        <v>1503.1499999999999</v>
      </c>
      <c r="J706">
        <v>6764.8889999999992</v>
      </c>
      <c r="K706">
        <v>6764.8889999999992</v>
      </c>
      <c r="L706">
        <v>6764.8889999999992</v>
      </c>
      <c r="M706">
        <v>6768.8889999999992</v>
      </c>
      <c r="N706">
        <v>0</v>
      </c>
      <c r="O706">
        <v>0</v>
      </c>
      <c r="P706">
        <v>0</v>
      </c>
      <c r="Q706">
        <v>490.65000000000003</v>
      </c>
      <c r="R706">
        <v>2057.1800000000003</v>
      </c>
      <c r="S706">
        <v>654.82999999999993</v>
      </c>
      <c r="T706">
        <v>1108.06</v>
      </c>
      <c r="U706">
        <v>1503.1499999999999</v>
      </c>
      <c r="V706">
        <v>12404.83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f>SUMPRODUCT(DB_ThemeSOFAcct[[#This Row],[Plan01]:[Plan12]],$E$14:$P$14)/valUnits2</f>
        <v>12.578758999999998</v>
      </c>
      <c r="AD706">
        <f>SUMPRODUCT(DB_ThemeSOFAcct[[#This Row],[Act01]:[Act12]],$Q$14:$AB$14)/valUnits2</f>
        <v>18.218700000000002</v>
      </c>
      <c r="AE706">
        <f>DB_ThemeSOFAcct[[#This Row],[Actuals]]-DB_ThemeSOFAcct[[#This Row],[Plan]]</f>
        <v>5.6399410000000039</v>
      </c>
      <c r="AF706">
        <f>IF(DB_ThemeSOFAcct[[#This Row],[Plan]]&lt;&gt;0,DB_ThemeSOFAcct[[#This Row],[Actuals]]/DB_ThemeSOFAcct[[#This Row],[Plan]],1.000011000011)</f>
        <v>1.4483702247574666</v>
      </c>
      <c r="AG706" s="34">
        <f>SUM(DB_ThemeSOFAcct[[#This Row],[Plan01]:[Plan12]])/valUnits2</f>
        <v>32.877425999999993</v>
      </c>
      <c r="AH706" s="34">
        <f>SUMPRODUCT(DB_ThemeSOFAcct[[#This Row],[Act01]:[Act12]],$Q$3:$AB$3)/valUnits2</f>
        <v>18.218700000000002</v>
      </c>
    </row>
    <row r="707" spans="2:34" x14ac:dyDescent="0.2">
      <c r="B707" t="s">
        <v>344</v>
      </c>
      <c r="C707" t="s">
        <v>869</v>
      </c>
      <c r="D707" t="s">
        <v>143</v>
      </c>
      <c r="F707">
        <v>151.75</v>
      </c>
      <c r="R707">
        <v>151.75</v>
      </c>
      <c r="AC707">
        <f>SUMPRODUCT(DB_ThemeSOFAcct[[#This Row],[Plan01]:[Plan12]],$E$14:$P$14)/valUnits2</f>
        <v>0.15175</v>
      </c>
      <c r="AD707">
        <f>SUMPRODUCT(DB_ThemeSOFAcct[[#This Row],[Act01]:[Act12]],$Q$14:$AB$14)/valUnits2</f>
        <v>0.15175</v>
      </c>
      <c r="AE707">
        <f>DB_ThemeSOFAcct[[#This Row],[Actuals]]-DB_ThemeSOFAcct[[#This Row],[Plan]]</f>
        <v>0</v>
      </c>
      <c r="AF707">
        <f>IF(DB_ThemeSOFAcct[[#This Row],[Plan]]&lt;&gt;0,DB_ThemeSOFAcct[[#This Row],[Actuals]]/DB_ThemeSOFAcct[[#This Row],[Plan]],1.000011000011)</f>
        <v>1</v>
      </c>
      <c r="AG707" s="34">
        <f>SUM(DB_ThemeSOFAcct[[#This Row],[Plan01]:[Plan12]])/valUnits2</f>
        <v>0.15175</v>
      </c>
      <c r="AH707" s="34">
        <f>SUMPRODUCT(DB_ThemeSOFAcct[[#This Row],[Act01]:[Act12]],$Q$3:$AB$3)/valUnits2</f>
        <v>0.15175</v>
      </c>
    </row>
    <row r="708" spans="2:34" x14ac:dyDescent="0.2">
      <c r="B708" t="s">
        <v>344</v>
      </c>
      <c r="C708" t="s">
        <v>869</v>
      </c>
      <c r="D708" t="s">
        <v>142</v>
      </c>
      <c r="E708">
        <v>105468.23</v>
      </c>
      <c r="F708">
        <v>1.0000000002946763E-2</v>
      </c>
      <c r="G708">
        <v>0</v>
      </c>
      <c r="H708">
        <v>126408.73</v>
      </c>
      <c r="I708">
        <v>9.9999999947613105E-3</v>
      </c>
      <c r="J708">
        <v>3507</v>
      </c>
      <c r="K708">
        <v>3507</v>
      </c>
      <c r="L708">
        <v>3507</v>
      </c>
      <c r="M708">
        <v>3507</v>
      </c>
      <c r="N708">
        <v>3507</v>
      </c>
      <c r="O708">
        <v>3507</v>
      </c>
      <c r="P708">
        <v>3507</v>
      </c>
      <c r="Q708">
        <v>105468.23</v>
      </c>
      <c r="R708">
        <v>1.0000000002037268E-2</v>
      </c>
      <c r="S708">
        <v>0</v>
      </c>
      <c r="T708">
        <v>126408.73</v>
      </c>
      <c r="U708">
        <v>9.9999999947613105E-3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f>SUMPRODUCT(DB_ThemeSOFAcct[[#This Row],[Plan01]:[Plan12]],$E$14:$P$14)/valUnits2</f>
        <v>235.38397999999998</v>
      </c>
      <c r="AD708">
        <f>SUMPRODUCT(DB_ThemeSOFAcct[[#This Row],[Act01]:[Act12]],$Q$14:$AB$14)/valUnits2</f>
        <v>231.87697999999997</v>
      </c>
      <c r="AE708">
        <f>DB_ThemeSOFAcct[[#This Row],[Actuals]]-DB_ThemeSOFAcct[[#This Row],[Plan]]</f>
        <v>-3.507000000000005</v>
      </c>
      <c r="AF708">
        <f>IF(DB_ThemeSOFAcct[[#This Row],[Plan]]&lt;&gt;0,DB_ThemeSOFAcct[[#This Row],[Actuals]]/DB_ThemeSOFAcct[[#This Row],[Plan]],1.000011000011)</f>
        <v>0.98510094017443328</v>
      </c>
      <c r="AG708" s="34">
        <f>SUM(DB_ThemeSOFAcct[[#This Row],[Plan01]:[Plan12]])/valUnits2</f>
        <v>256.42597999999998</v>
      </c>
      <c r="AH708" s="34">
        <f>SUMPRODUCT(DB_ThemeSOFAcct[[#This Row],[Act01]:[Act12]],$Q$3:$AB$3)/valUnits2</f>
        <v>231.87697999999997</v>
      </c>
    </row>
    <row r="709" spans="2:34" x14ac:dyDescent="0.2">
      <c r="B709" t="s">
        <v>344</v>
      </c>
      <c r="C709" t="s">
        <v>869</v>
      </c>
      <c r="D709" t="s">
        <v>140</v>
      </c>
      <c r="E709">
        <v>5169.3499999999995</v>
      </c>
      <c r="F709">
        <v>7444.81</v>
      </c>
      <c r="G709">
        <v>5489.99</v>
      </c>
      <c r="H709">
        <v>5302.5999999999995</v>
      </c>
      <c r="I709">
        <v>8621.7999999999993</v>
      </c>
      <c r="J709">
        <v>5503</v>
      </c>
      <c r="K709">
        <v>5503</v>
      </c>
      <c r="L709">
        <v>5503</v>
      </c>
      <c r="M709">
        <v>5503</v>
      </c>
      <c r="N709">
        <v>5503</v>
      </c>
      <c r="O709">
        <v>5503</v>
      </c>
      <c r="P709">
        <v>5503</v>
      </c>
      <c r="Q709">
        <v>5169.3499999999995</v>
      </c>
      <c r="R709">
        <v>7444.8099999999995</v>
      </c>
      <c r="S709">
        <v>5489.99</v>
      </c>
      <c r="T709">
        <v>5302.6</v>
      </c>
      <c r="U709">
        <v>8621.7999999999993</v>
      </c>
      <c r="V709">
        <v>8909.4399999999987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f>SUMPRODUCT(DB_ThemeSOFAcct[[#This Row],[Plan01]:[Plan12]],$E$14:$P$14)/valUnits2</f>
        <v>37.531550000000003</v>
      </c>
      <c r="AD709">
        <f>SUMPRODUCT(DB_ThemeSOFAcct[[#This Row],[Act01]:[Act12]],$Q$14:$AB$14)/valUnits2</f>
        <v>40.937989999999999</v>
      </c>
      <c r="AE709">
        <f>DB_ThemeSOFAcct[[#This Row],[Actuals]]-DB_ThemeSOFAcct[[#This Row],[Plan]]</f>
        <v>3.4064399999999964</v>
      </c>
      <c r="AF709">
        <f>IF(DB_ThemeSOFAcct[[#This Row],[Plan]]&lt;&gt;0,DB_ThemeSOFAcct[[#This Row],[Actuals]]/DB_ThemeSOFAcct[[#This Row],[Plan]],1.000011000011)</f>
        <v>1.0907620388712962</v>
      </c>
      <c r="AG709" s="34">
        <f>SUM(DB_ThemeSOFAcct[[#This Row],[Plan01]:[Plan12]])/valUnits2</f>
        <v>70.549549999999996</v>
      </c>
      <c r="AH709" s="34">
        <f>SUMPRODUCT(DB_ThemeSOFAcct[[#This Row],[Act01]:[Act12]],$Q$3:$AB$3)/valUnits2</f>
        <v>40.937989999999999</v>
      </c>
    </row>
    <row r="710" spans="2:34" x14ac:dyDescent="0.2">
      <c r="B710" t="s">
        <v>344</v>
      </c>
      <c r="C710" t="s">
        <v>869</v>
      </c>
      <c r="D710" t="s">
        <v>236</v>
      </c>
      <c r="E710">
        <v>0</v>
      </c>
      <c r="F710">
        <v>0</v>
      </c>
      <c r="G710">
        <v>91.77</v>
      </c>
      <c r="H710">
        <v>245.98</v>
      </c>
      <c r="I710">
        <v>0</v>
      </c>
      <c r="J710">
        <v>0</v>
      </c>
      <c r="Q710">
        <v>0</v>
      </c>
      <c r="R710">
        <v>0</v>
      </c>
      <c r="S710">
        <v>91.77</v>
      </c>
      <c r="T710">
        <v>245.98</v>
      </c>
      <c r="U710">
        <v>0</v>
      </c>
      <c r="V710">
        <v>227.93</v>
      </c>
      <c r="AC710">
        <f>SUMPRODUCT(DB_ThemeSOFAcct[[#This Row],[Plan01]:[Plan12]],$E$14:$P$14)/valUnits2</f>
        <v>0.33774999999999999</v>
      </c>
      <c r="AD710">
        <f>SUMPRODUCT(DB_ThemeSOFAcct[[#This Row],[Act01]:[Act12]],$Q$14:$AB$14)/valUnits2</f>
        <v>0.56568000000000007</v>
      </c>
      <c r="AE710">
        <f>DB_ThemeSOFAcct[[#This Row],[Actuals]]-DB_ThemeSOFAcct[[#This Row],[Plan]]</f>
        <v>0.22793000000000008</v>
      </c>
      <c r="AF710">
        <f>IF(DB_ThemeSOFAcct[[#This Row],[Plan]]&lt;&gt;0,DB_ThemeSOFAcct[[#This Row],[Actuals]]/DB_ThemeSOFAcct[[#This Row],[Plan]],1.000011000011)</f>
        <v>1.6748482605477426</v>
      </c>
      <c r="AG710" s="34">
        <f>SUM(DB_ThemeSOFAcct[[#This Row],[Plan01]:[Plan12]])/valUnits2</f>
        <v>0.33774999999999999</v>
      </c>
      <c r="AH710" s="34">
        <f>SUMPRODUCT(DB_ThemeSOFAcct[[#This Row],[Act01]:[Act12]],$Q$3:$AB$3)/valUnits2</f>
        <v>0.56568000000000007</v>
      </c>
    </row>
    <row r="711" spans="2:34" x14ac:dyDescent="0.2">
      <c r="B711" t="s">
        <v>344</v>
      </c>
      <c r="C711" t="s">
        <v>869</v>
      </c>
      <c r="D711" t="s">
        <v>141</v>
      </c>
      <c r="E711">
        <v>996.51</v>
      </c>
      <c r="F711">
        <v>399.51</v>
      </c>
      <c r="G711">
        <v>13845.55</v>
      </c>
      <c r="H711">
        <v>189.62</v>
      </c>
      <c r="I711">
        <v>21548.81</v>
      </c>
      <c r="J711">
        <v>1285</v>
      </c>
      <c r="K711">
        <v>1285</v>
      </c>
      <c r="L711">
        <v>1285</v>
      </c>
      <c r="M711">
        <v>1285</v>
      </c>
      <c r="N711">
        <v>1285</v>
      </c>
      <c r="O711">
        <v>1285</v>
      </c>
      <c r="P711">
        <v>1285</v>
      </c>
      <c r="Q711">
        <v>996.51</v>
      </c>
      <c r="R711">
        <v>399.51000000000005</v>
      </c>
      <c r="S711">
        <v>13845.55</v>
      </c>
      <c r="T711">
        <v>189.62</v>
      </c>
      <c r="U711">
        <v>21548.809999999998</v>
      </c>
      <c r="V711">
        <v>238.31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f>SUMPRODUCT(DB_ThemeSOFAcct[[#This Row],[Plan01]:[Plan12]],$E$14:$P$14)/valUnits2</f>
        <v>38.265000000000001</v>
      </c>
      <c r="AD711">
        <f>SUMPRODUCT(DB_ThemeSOFAcct[[#This Row],[Act01]:[Act12]],$Q$14:$AB$14)/valUnits2</f>
        <v>37.218309999999995</v>
      </c>
      <c r="AE711">
        <f>DB_ThemeSOFAcct[[#This Row],[Actuals]]-DB_ThemeSOFAcct[[#This Row],[Plan]]</f>
        <v>-1.0466900000000052</v>
      </c>
      <c r="AF711">
        <f>IF(DB_ThemeSOFAcct[[#This Row],[Plan]]&lt;&gt;0,DB_ThemeSOFAcct[[#This Row],[Actuals]]/DB_ThemeSOFAcct[[#This Row],[Plan]],1.000011000011)</f>
        <v>0.9726462825035932</v>
      </c>
      <c r="AG711" s="34">
        <f>SUM(DB_ThemeSOFAcct[[#This Row],[Plan01]:[Plan12]])/valUnits2</f>
        <v>45.975000000000001</v>
      </c>
      <c r="AH711" s="34">
        <f>SUMPRODUCT(DB_ThemeSOFAcct[[#This Row],[Act01]:[Act12]],$Q$3:$AB$3)/valUnits2</f>
        <v>37.218309999999995</v>
      </c>
    </row>
    <row r="712" spans="2:34" x14ac:dyDescent="0.2">
      <c r="B712" t="s">
        <v>344</v>
      </c>
      <c r="C712" t="s">
        <v>875</v>
      </c>
      <c r="D712" t="s">
        <v>143</v>
      </c>
      <c r="E712">
        <v>1022.343</v>
      </c>
      <c r="G712">
        <v>1425.0440000000001</v>
      </c>
      <c r="H712">
        <v>85.498000000000005</v>
      </c>
      <c r="I712">
        <v>1080.2719999999999</v>
      </c>
      <c r="J712">
        <v>0</v>
      </c>
      <c r="Q712">
        <v>1043.22</v>
      </c>
      <c r="S712">
        <v>1060.07</v>
      </c>
      <c r="T712">
        <v>32.21</v>
      </c>
      <c r="U712">
        <v>1117.1199999999999</v>
      </c>
      <c r="V712">
        <v>1074.71</v>
      </c>
      <c r="AC712">
        <f>SUMPRODUCT(DB_ThemeSOFAcct[[#This Row],[Plan01]:[Plan12]],$E$14:$P$14)/valUnits2</f>
        <v>3.6131570000000002</v>
      </c>
      <c r="AD712">
        <f>SUMPRODUCT(DB_ThemeSOFAcct[[#This Row],[Act01]:[Act12]],$Q$14:$AB$14)/valUnits2</f>
        <v>4.3273299999999999</v>
      </c>
      <c r="AE712">
        <f>DB_ThemeSOFAcct[[#This Row],[Actuals]]-DB_ThemeSOFAcct[[#This Row],[Plan]]</f>
        <v>0.71417299999999972</v>
      </c>
      <c r="AF712">
        <f>IF(DB_ThemeSOFAcct[[#This Row],[Plan]]&lt;&gt;0,DB_ThemeSOFAcct[[#This Row],[Actuals]]/DB_ThemeSOFAcct[[#This Row],[Plan]],1.000011000011)</f>
        <v>1.1976590001486234</v>
      </c>
      <c r="AG712" s="34">
        <f>SUM(DB_ThemeSOFAcct[[#This Row],[Plan01]:[Plan12]])/valUnits2</f>
        <v>3.6131570000000002</v>
      </c>
      <c r="AH712" s="34">
        <f>SUMPRODUCT(DB_ThemeSOFAcct[[#This Row],[Act01]:[Act12]],$Q$3:$AB$3)/valUnits2</f>
        <v>4.3273299999999999</v>
      </c>
    </row>
    <row r="713" spans="2:34" x14ac:dyDescent="0.2">
      <c r="B713" t="s">
        <v>344</v>
      </c>
      <c r="C713" t="s">
        <v>875</v>
      </c>
      <c r="D713" t="s">
        <v>235</v>
      </c>
      <c r="F713">
        <v>152.56799999999998</v>
      </c>
      <c r="G713">
        <v>136.71299999999999</v>
      </c>
      <c r="H713">
        <v>82.165999999999997</v>
      </c>
      <c r="I713">
        <v>77.833999999999946</v>
      </c>
      <c r="J713">
        <v>0</v>
      </c>
      <c r="R713">
        <v>152.03</v>
      </c>
      <c r="S713">
        <v>542.29999999999995</v>
      </c>
      <c r="T713">
        <v>131.01</v>
      </c>
      <c r="U713">
        <v>80.490000000000009</v>
      </c>
      <c r="V713">
        <v>398.45000000000005</v>
      </c>
      <c r="AC713">
        <f>SUMPRODUCT(DB_ThemeSOFAcct[[#This Row],[Plan01]:[Plan12]],$E$14:$P$14)/valUnits2</f>
        <v>0.44928099999999987</v>
      </c>
      <c r="AD713">
        <f>SUMPRODUCT(DB_ThemeSOFAcct[[#This Row],[Act01]:[Act12]],$Q$14:$AB$14)/valUnits2</f>
        <v>1.3042799999999999</v>
      </c>
      <c r="AE713">
        <f>DB_ThemeSOFAcct[[#This Row],[Actuals]]-DB_ThemeSOFAcct[[#This Row],[Plan]]</f>
        <v>0.85499900000000006</v>
      </c>
      <c r="AF713">
        <f>IF(DB_ThemeSOFAcct[[#This Row],[Plan]]&lt;&gt;0,DB_ThemeSOFAcct[[#This Row],[Actuals]]/DB_ThemeSOFAcct[[#This Row],[Plan]],1.000011000011)</f>
        <v>2.9030384102599491</v>
      </c>
      <c r="AG713" s="34">
        <f>SUM(DB_ThemeSOFAcct[[#This Row],[Plan01]:[Plan12]])/valUnits2</f>
        <v>0.44928099999999987</v>
      </c>
      <c r="AH713" s="34">
        <f>SUMPRODUCT(DB_ThemeSOFAcct[[#This Row],[Act01]:[Act12]],$Q$3:$AB$3)/valUnits2</f>
        <v>1.3042799999999999</v>
      </c>
    </row>
    <row r="714" spans="2:34" x14ac:dyDescent="0.2">
      <c r="B714" t="s">
        <v>344</v>
      </c>
      <c r="C714" t="s">
        <v>875</v>
      </c>
      <c r="D714" t="s">
        <v>142</v>
      </c>
      <c r="G714">
        <v>0</v>
      </c>
      <c r="H714">
        <v>0</v>
      </c>
      <c r="I714">
        <v>36050.013999999988</v>
      </c>
      <c r="J714">
        <v>7069.8159999999998</v>
      </c>
      <c r="K714">
        <v>7069.8159999999998</v>
      </c>
      <c r="L714">
        <v>7069.8159999999998</v>
      </c>
      <c r="M714">
        <v>7069.8160000000007</v>
      </c>
      <c r="N714">
        <v>7069.8159999999989</v>
      </c>
      <c r="O714">
        <v>7069.8160000000007</v>
      </c>
      <c r="P714">
        <v>7069.8159999999998</v>
      </c>
      <c r="S714">
        <v>0</v>
      </c>
      <c r="T714">
        <v>0</v>
      </c>
      <c r="U714">
        <v>37149.379999999997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f>SUMPRODUCT(DB_ThemeSOFAcct[[#This Row],[Plan01]:[Plan12]],$E$14:$P$14)/valUnits2</f>
        <v>43.119829999999986</v>
      </c>
      <c r="AD714">
        <f>SUMPRODUCT(DB_ThemeSOFAcct[[#This Row],[Act01]:[Act12]],$Q$14:$AB$14)/valUnits2</f>
        <v>37.149380000000001</v>
      </c>
      <c r="AE714">
        <f>DB_ThemeSOFAcct[[#This Row],[Actuals]]-DB_ThemeSOFAcct[[#This Row],[Plan]]</f>
        <v>-5.9704499999999854</v>
      </c>
      <c r="AF714">
        <f>IF(DB_ThemeSOFAcct[[#This Row],[Plan]]&lt;&gt;0,DB_ThemeSOFAcct[[#This Row],[Actuals]]/DB_ThemeSOFAcct[[#This Row],[Plan]],1.000011000011)</f>
        <v>0.86153818324422926</v>
      </c>
      <c r="AG714" s="34">
        <f>SUM(DB_ThemeSOFAcct[[#This Row],[Plan01]:[Plan12]])/valUnits2</f>
        <v>85.538725999999997</v>
      </c>
      <c r="AH714" s="34">
        <f>SUMPRODUCT(DB_ThemeSOFAcct[[#This Row],[Act01]:[Act12]],$Q$3:$AB$3)/valUnits2</f>
        <v>37.149380000000001</v>
      </c>
    </row>
    <row r="715" spans="2:34" x14ac:dyDescent="0.2">
      <c r="B715" t="s">
        <v>344</v>
      </c>
      <c r="C715" t="s">
        <v>875</v>
      </c>
      <c r="D715" t="s">
        <v>140</v>
      </c>
      <c r="E715">
        <v>22.305</v>
      </c>
      <c r="G715">
        <v>0</v>
      </c>
      <c r="H715">
        <v>2971.5530000000003</v>
      </c>
      <c r="I715">
        <v>3044.1589999999997</v>
      </c>
      <c r="J715">
        <v>1077.847</v>
      </c>
      <c r="K715">
        <v>1077.847</v>
      </c>
      <c r="L715">
        <v>1077.847</v>
      </c>
      <c r="M715">
        <v>1077.847</v>
      </c>
      <c r="N715">
        <v>1077.847</v>
      </c>
      <c r="O715">
        <v>1077.847</v>
      </c>
      <c r="P715">
        <v>1077.847</v>
      </c>
      <c r="Q715">
        <v>22.76</v>
      </c>
      <c r="S715">
        <v>0</v>
      </c>
      <c r="T715">
        <v>2923.31</v>
      </c>
      <c r="U715">
        <v>3117.8500000000004</v>
      </c>
      <c r="V715">
        <v>1915.9900000000002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f>SUMPRODUCT(DB_ThemeSOFAcct[[#This Row],[Plan01]:[Plan12]],$E$14:$P$14)/valUnits2</f>
        <v>7.1158639999999993</v>
      </c>
      <c r="AD715">
        <f>SUMPRODUCT(DB_ThemeSOFAcct[[#This Row],[Act01]:[Act12]],$Q$14:$AB$14)/valUnits2</f>
        <v>7.9799100000000003</v>
      </c>
      <c r="AE715">
        <f>DB_ThemeSOFAcct[[#This Row],[Actuals]]-DB_ThemeSOFAcct[[#This Row],[Plan]]</f>
        <v>0.86404600000000098</v>
      </c>
      <c r="AF715">
        <f>IF(DB_ThemeSOFAcct[[#This Row],[Plan]]&lt;&gt;0,DB_ThemeSOFAcct[[#This Row],[Actuals]]/DB_ThemeSOFAcct[[#This Row],[Plan]],1.000011000011)</f>
        <v>1.1214253111076886</v>
      </c>
      <c r="AG715" s="34">
        <f>SUM(DB_ThemeSOFAcct[[#This Row],[Plan01]:[Plan12]])/valUnits2</f>
        <v>13.582945999999998</v>
      </c>
      <c r="AH715" s="34">
        <f>SUMPRODUCT(DB_ThemeSOFAcct[[#This Row],[Act01]:[Act12]],$Q$3:$AB$3)/valUnits2</f>
        <v>7.9799100000000003</v>
      </c>
    </row>
    <row r="716" spans="2:34" x14ac:dyDescent="0.2">
      <c r="B716" t="s">
        <v>344</v>
      </c>
      <c r="C716" t="s">
        <v>875</v>
      </c>
      <c r="D716" t="s">
        <v>141</v>
      </c>
      <c r="F716">
        <v>539.44499999999994</v>
      </c>
      <c r="G716">
        <v>922.07600000000002</v>
      </c>
      <c r="H716">
        <v>672.68200000000002</v>
      </c>
      <c r="I716">
        <v>767.53200000000015</v>
      </c>
      <c r="J716">
        <v>320.87700000000007</v>
      </c>
      <c r="K716">
        <v>320.87700000000007</v>
      </c>
      <c r="L716">
        <v>320.87700000000007</v>
      </c>
      <c r="M716">
        <v>320.87700000000007</v>
      </c>
      <c r="N716">
        <v>320.87700000000001</v>
      </c>
      <c r="O716">
        <v>320.87699999999995</v>
      </c>
      <c r="P716">
        <v>320.87700000000001</v>
      </c>
      <c r="R716">
        <v>538.54</v>
      </c>
      <c r="S716">
        <v>939.5100000000001</v>
      </c>
      <c r="T716">
        <v>659.7600000000001</v>
      </c>
      <c r="U716">
        <v>781.22</v>
      </c>
      <c r="V716">
        <v>463.86999999999995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f>SUMPRODUCT(DB_ThemeSOFAcct[[#This Row],[Plan01]:[Plan12]],$E$14:$P$14)/valUnits2</f>
        <v>3.2226120000000003</v>
      </c>
      <c r="AD716">
        <f>SUMPRODUCT(DB_ThemeSOFAcct[[#This Row],[Act01]:[Act12]],$Q$14:$AB$14)/valUnits2</f>
        <v>3.3829000000000007</v>
      </c>
      <c r="AE716">
        <f>DB_ThemeSOFAcct[[#This Row],[Actuals]]-DB_ThemeSOFAcct[[#This Row],[Plan]]</f>
        <v>0.16028800000000043</v>
      </c>
      <c r="AF716">
        <f>IF(DB_ThemeSOFAcct[[#This Row],[Plan]]&lt;&gt;0,DB_ThemeSOFAcct[[#This Row],[Actuals]]/DB_ThemeSOFAcct[[#This Row],[Plan]],1.000011000011)</f>
        <v>1.0497385350765156</v>
      </c>
      <c r="AG716" s="34">
        <f>SUM(DB_ThemeSOFAcct[[#This Row],[Plan01]:[Plan12]])/valUnits2</f>
        <v>5.1478740000000016</v>
      </c>
      <c r="AH716" s="34">
        <f>SUMPRODUCT(DB_ThemeSOFAcct[[#This Row],[Act01]:[Act12]],$Q$3:$AB$3)/valUnits2</f>
        <v>3.3829000000000007</v>
      </c>
    </row>
    <row r="717" spans="2:34" x14ac:dyDescent="0.2">
      <c r="B717" t="s">
        <v>344</v>
      </c>
      <c r="C717" t="s">
        <v>876</v>
      </c>
      <c r="D717" t="s">
        <v>235</v>
      </c>
      <c r="E717">
        <v>234.54</v>
      </c>
      <c r="F717">
        <v>77.53</v>
      </c>
      <c r="G717">
        <v>53.65</v>
      </c>
      <c r="H717">
        <v>45.03</v>
      </c>
      <c r="I717">
        <v>109.77</v>
      </c>
      <c r="J717">
        <v>0</v>
      </c>
      <c r="Q717">
        <v>234.54</v>
      </c>
      <c r="R717">
        <v>77.53</v>
      </c>
      <c r="S717">
        <v>53.65</v>
      </c>
      <c r="T717">
        <v>45.03</v>
      </c>
      <c r="U717">
        <v>109.77</v>
      </c>
      <c r="V717">
        <v>298.21999999999997</v>
      </c>
      <c r="AC717">
        <f>SUMPRODUCT(DB_ThemeSOFAcct[[#This Row],[Plan01]:[Plan12]],$E$14:$P$14)/valUnits2</f>
        <v>0.52051999999999998</v>
      </c>
      <c r="AD717">
        <f>SUMPRODUCT(DB_ThemeSOFAcct[[#This Row],[Act01]:[Act12]],$Q$14:$AB$14)/valUnits2</f>
        <v>0.81874000000000002</v>
      </c>
      <c r="AE717">
        <f>DB_ThemeSOFAcct[[#This Row],[Actuals]]-DB_ThemeSOFAcct[[#This Row],[Plan]]</f>
        <v>0.29822000000000004</v>
      </c>
      <c r="AF717">
        <f>IF(DB_ThemeSOFAcct[[#This Row],[Plan]]&lt;&gt;0,DB_ThemeSOFAcct[[#This Row],[Actuals]]/DB_ThemeSOFAcct[[#This Row],[Plan]],1.000011000011)</f>
        <v>1.572927072927073</v>
      </c>
      <c r="AG717" s="34">
        <f>SUM(DB_ThemeSOFAcct[[#This Row],[Plan01]:[Plan12]])/valUnits2</f>
        <v>0.52051999999999998</v>
      </c>
      <c r="AH717" s="34">
        <f>SUMPRODUCT(DB_ThemeSOFAcct[[#This Row],[Act01]:[Act12]],$Q$3:$AB$3)/valUnits2</f>
        <v>0.81874000000000002</v>
      </c>
    </row>
    <row r="718" spans="2:34" x14ac:dyDescent="0.2">
      <c r="B718" t="s">
        <v>344</v>
      </c>
      <c r="C718" t="s">
        <v>876</v>
      </c>
      <c r="D718" t="s">
        <v>142</v>
      </c>
      <c r="E718">
        <v>0</v>
      </c>
      <c r="F718">
        <v>68635.259999999995</v>
      </c>
      <c r="G718">
        <v>0</v>
      </c>
      <c r="H718">
        <v>0</v>
      </c>
      <c r="I718">
        <v>19076.23</v>
      </c>
      <c r="J718">
        <v>29070.819</v>
      </c>
      <c r="K718">
        <v>5359.0590000000002</v>
      </c>
      <c r="L718">
        <v>5359.0590000000002</v>
      </c>
      <c r="M718">
        <v>5359.0590000000002</v>
      </c>
      <c r="Q718">
        <v>0</v>
      </c>
      <c r="R718">
        <v>68658.61</v>
      </c>
      <c r="S718">
        <v>0</v>
      </c>
      <c r="T718">
        <v>0</v>
      </c>
      <c r="U718">
        <v>19076.23</v>
      </c>
      <c r="V718">
        <v>39342.17</v>
      </c>
      <c r="W718">
        <v>0</v>
      </c>
      <c r="X718">
        <v>0</v>
      </c>
      <c r="Y718">
        <v>0</v>
      </c>
      <c r="AC718">
        <f>SUMPRODUCT(DB_ThemeSOFAcct[[#This Row],[Plan01]:[Plan12]],$E$14:$P$14)/valUnits2</f>
        <v>116.782309</v>
      </c>
      <c r="AD718">
        <f>SUMPRODUCT(DB_ThemeSOFAcct[[#This Row],[Act01]:[Act12]],$Q$14:$AB$14)/valUnits2</f>
        <v>127.07701</v>
      </c>
      <c r="AE718">
        <f>DB_ThemeSOFAcct[[#This Row],[Actuals]]-DB_ThemeSOFAcct[[#This Row],[Plan]]</f>
        <v>10.294701000000003</v>
      </c>
      <c r="AF718">
        <f>IF(DB_ThemeSOFAcct[[#This Row],[Plan]]&lt;&gt;0,DB_ThemeSOFAcct[[#This Row],[Actuals]]/DB_ThemeSOFAcct[[#This Row],[Plan]],1.000011000011)</f>
        <v>1.0881529153529581</v>
      </c>
      <c r="AG718" s="34">
        <f>SUM(DB_ThemeSOFAcct[[#This Row],[Plan01]:[Plan12]])/valUnits2</f>
        <v>132.85948599999998</v>
      </c>
      <c r="AH718" s="34">
        <f>SUMPRODUCT(DB_ThemeSOFAcct[[#This Row],[Act01]:[Act12]],$Q$3:$AB$3)/valUnits2</f>
        <v>127.07701</v>
      </c>
    </row>
    <row r="719" spans="2:34" x14ac:dyDescent="0.2">
      <c r="B719" t="s">
        <v>344</v>
      </c>
      <c r="C719" t="s">
        <v>876</v>
      </c>
      <c r="D719" t="s">
        <v>140</v>
      </c>
      <c r="E719">
        <v>4719.7299999999996</v>
      </c>
      <c r="F719">
        <v>6691.81</v>
      </c>
      <c r="G719">
        <v>6540.2</v>
      </c>
      <c r="H719">
        <v>-9768.67</v>
      </c>
      <c r="I719">
        <v>8804.08</v>
      </c>
      <c r="J719">
        <v>6137.6</v>
      </c>
      <c r="K719">
        <v>6137.6</v>
      </c>
      <c r="L719">
        <v>6137.6</v>
      </c>
      <c r="M719">
        <v>6137.6</v>
      </c>
      <c r="Q719">
        <v>4719.7300000000005</v>
      </c>
      <c r="R719">
        <v>6691.8099999999995</v>
      </c>
      <c r="S719">
        <v>6540.2000000000007</v>
      </c>
      <c r="T719">
        <v>-9768.67</v>
      </c>
      <c r="U719">
        <v>8804.08</v>
      </c>
      <c r="V719">
        <v>5580.09</v>
      </c>
      <c r="W719">
        <v>0</v>
      </c>
      <c r="X719">
        <v>0</v>
      </c>
      <c r="Y719">
        <v>0</v>
      </c>
      <c r="AC719">
        <f>SUMPRODUCT(DB_ThemeSOFAcct[[#This Row],[Plan01]:[Plan12]],$E$14:$P$14)/valUnits2</f>
        <v>23.124749999999999</v>
      </c>
      <c r="AD719">
        <f>SUMPRODUCT(DB_ThemeSOFAcct[[#This Row],[Act01]:[Act12]],$Q$14:$AB$14)/valUnits2</f>
        <v>22.567240000000002</v>
      </c>
      <c r="AE719">
        <f>DB_ThemeSOFAcct[[#This Row],[Actuals]]-DB_ThemeSOFAcct[[#This Row],[Plan]]</f>
        <v>-0.55750999999999706</v>
      </c>
      <c r="AF719">
        <f>IF(DB_ThemeSOFAcct[[#This Row],[Plan]]&lt;&gt;0,DB_ThemeSOFAcct[[#This Row],[Actuals]]/DB_ThemeSOFAcct[[#This Row],[Plan]],1.000011000011)</f>
        <v>0.97589119882377118</v>
      </c>
      <c r="AG719" s="34">
        <f>SUM(DB_ThemeSOFAcct[[#This Row],[Plan01]:[Plan12]])/valUnits2</f>
        <v>41.537549999999996</v>
      </c>
      <c r="AH719" s="34">
        <f>SUMPRODUCT(DB_ThemeSOFAcct[[#This Row],[Act01]:[Act12]],$Q$3:$AB$3)/valUnits2</f>
        <v>22.567240000000002</v>
      </c>
    </row>
    <row r="720" spans="2:34" x14ac:dyDescent="0.2">
      <c r="B720" t="s">
        <v>344</v>
      </c>
      <c r="C720" t="s">
        <v>876</v>
      </c>
      <c r="D720" t="s">
        <v>236</v>
      </c>
      <c r="E720">
        <v>0</v>
      </c>
      <c r="F720">
        <v>5.07</v>
      </c>
      <c r="G720">
        <v>48783.990000000005</v>
      </c>
      <c r="H720">
        <v>96.49</v>
      </c>
      <c r="I720">
        <v>51.61</v>
      </c>
      <c r="J720">
        <v>0</v>
      </c>
      <c r="Q720">
        <v>0</v>
      </c>
      <c r="R720">
        <v>5.07</v>
      </c>
      <c r="S720">
        <v>48783.99</v>
      </c>
      <c r="T720">
        <v>96.49</v>
      </c>
      <c r="U720">
        <v>51.61</v>
      </c>
      <c r="V720">
        <v>129.03</v>
      </c>
      <c r="AC720">
        <f>SUMPRODUCT(DB_ThemeSOFAcct[[#This Row],[Plan01]:[Plan12]],$E$14:$P$14)/valUnits2</f>
        <v>48.937160000000006</v>
      </c>
      <c r="AD720">
        <f>SUMPRODUCT(DB_ThemeSOFAcct[[#This Row],[Act01]:[Act12]],$Q$14:$AB$14)/valUnits2</f>
        <v>49.066189999999992</v>
      </c>
      <c r="AE720">
        <f>DB_ThemeSOFAcct[[#This Row],[Actuals]]-DB_ThemeSOFAcct[[#This Row],[Plan]]</f>
        <v>0.12902999999998599</v>
      </c>
      <c r="AF720">
        <f>IF(DB_ThemeSOFAcct[[#This Row],[Plan]]&lt;&gt;0,DB_ThemeSOFAcct[[#This Row],[Actuals]]/DB_ThemeSOFAcct[[#This Row],[Plan]],1.000011000011)</f>
        <v>1.0026366466709549</v>
      </c>
      <c r="AG720" s="34">
        <f>SUM(DB_ThemeSOFAcct[[#This Row],[Plan01]:[Plan12]])/valUnits2</f>
        <v>48.937160000000006</v>
      </c>
      <c r="AH720" s="34">
        <f>SUMPRODUCT(DB_ThemeSOFAcct[[#This Row],[Act01]:[Act12]],$Q$3:$AB$3)/valUnits2</f>
        <v>49.066189999999992</v>
      </c>
    </row>
    <row r="721" spans="2:34" x14ac:dyDescent="0.2">
      <c r="B721" t="s">
        <v>344</v>
      </c>
      <c r="C721" t="s">
        <v>876</v>
      </c>
      <c r="D721" t="s">
        <v>237</v>
      </c>
      <c r="G721">
        <v>298.7</v>
      </c>
      <c r="I721">
        <v>1501.19</v>
      </c>
      <c r="S721">
        <v>298.7</v>
      </c>
      <c r="U721">
        <v>1501.19</v>
      </c>
      <c r="AC721">
        <f>SUMPRODUCT(DB_ThemeSOFAcct[[#This Row],[Plan01]:[Plan12]],$E$14:$P$14)/valUnits2</f>
        <v>1.79989</v>
      </c>
      <c r="AD721">
        <f>SUMPRODUCT(DB_ThemeSOFAcct[[#This Row],[Act01]:[Act12]],$Q$14:$AB$14)/valUnits2</f>
        <v>1.79989</v>
      </c>
      <c r="AE721">
        <f>DB_ThemeSOFAcct[[#This Row],[Actuals]]-DB_ThemeSOFAcct[[#This Row],[Plan]]</f>
        <v>0</v>
      </c>
      <c r="AF721">
        <f>IF(DB_ThemeSOFAcct[[#This Row],[Plan]]&lt;&gt;0,DB_ThemeSOFAcct[[#This Row],[Actuals]]/DB_ThemeSOFAcct[[#This Row],[Plan]],1.000011000011)</f>
        <v>1</v>
      </c>
      <c r="AG721" s="34">
        <f>SUM(DB_ThemeSOFAcct[[#This Row],[Plan01]:[Plan12]])/valUnits2</f>
        <v>1.79989</v>
      </c>
      <c r="AH721" s="34">
        <f>SUMPRODUCT(DB_ThemeSOFAcct[[#This Row],[Act01]:[Act12]],$Q$3:$AB$3)/valUnits2</f>
        <v>1.79989</v>
      </c>
    </row>
    <row r="722" spans="2:34" x14ac:dyDescent="0.2">
      <c r="B722" t="s">
        <v>344</v>
      </c>
      <c r="C722" t="s">
        <v>876</v>
      </c>
      <c r="D722" t="s">
        <v>141</v>
      </c>
      <c r="E722">
        <v>383.76</v>
      </c>
      <c r="F722">
        <v>1122.1300000000001</v>
      </c>
      <c r="G722">
        <v>36.6</v>
      </c>
      <c r="H722">
        <v>3310.1</v>
      </c>
      <c r="I722">
        <v>1347.33</v>
      </c>
      <c r="J722">
        <v>17751.978999999999</v>
      </c>
      <c r="K722">
        <v>3181.0330000000004</v>
      </c>
      <c r="L722">
        <v>3181.0330000000004</v>
      </c>
      <c r="M722">
        <v>3181.0330000000004</v>
      </c>
      <c r="Q722">
        <v>383.76</v>
      </c>
      <c r="R722">
        <v>1122.1299999999999</v>
      </c>
      <c r="S722">
        <v>36.6</v>
      </c>
      <c r="T722">
        <v>3310.1</v>
      </c>
      <c r="U722">
        <v>1347.33</v>
      </c>
      <c r="V722">
        <v>1079.9000000000001</v>
      </c>
      <c r="W722">
        <v>449.41</v>
      </c>
      <c r="X722">
        <v>0</v>
      </c>
      <c r="Y722">
        <v>0</v>
      </c>
      <c r="AC722">
        <f>SUMPRODUCT(DB_ThemeSOFAcct[[#This Row],[Plan01]:[Plan12]],$E$14:$P$14)/valUnits2</f>
        <v>23.951898999999997</v>
      </c>
      <c r="AD722">
        <f>SUMPRODUCT(DB_ThemeSOFAcct[[#This Row],[Act01]:[Act12]],$Q$14:$AB$14)/valUnits2</f>
        <v>7.27982</v>
      </c>
      <c r="AE722">
        <f>DB_ThemeSOFAcct[[#This Row],[Actuals]]-DB_ThemeSOFAcct[[#This Row],[Plan]]</f>
        <v>-16.672078999999997</v>
      </c>
      <c r="AF722">
        <f>IF(DB_ThemeSOFAcct[[#This Row],[Plan]]&lt;&gt;0,DB_ThemeSOFAcct[[#This Row],[Actuals]]/DB_ThemeSOFAcct[[#This Row],[Plan]],1.000011000011)</f>
        <v>0.30393498235776634</v>
      </c>
      <c r="AG722" s="34">
        <f>SUM(DB_ThemeSOFAcct[[#This Row],[Plan01]:[Plan12]])/valUnits2</f>
        <v>33.494998000000002</v>
      </c>
      <c r="AH722" s="34">
        <f>SUMPRODUCT(DB_ThemeSOFAcct[[#This Row],[Act01]:[Act12]],$Q$3:$AB$3)/valUnits2</f>
        <v>7.27982</v>
      </c>
    </row>
    <row r="723" spans="2:34" x14ac:dyDescent="0.2">
      <c r="B723" t="s">
        <v>344</v>
      </c>
      <c r="C723" t="s">
        <v>879</v>
      </c>
      <c r="D723" t="s">
        <v>142</v>
      </c>
      <c r="G723">
        <v>0</v>
      </c>
      <c r="H723">
        <v>0</v>
      </c>
      <c r="I723">
        <v>58059.58</v>
      </c>
      <c r="J723">
        <v>10048.280000000001</v>
      </c>
      <c r="K723">
        <v>10083.751</v>
      </c>
      <c r="L723">
        <v>10048.280000000001</v>
      </c>
      <c r="M723">
        <v>10048.281000000001</v>
      </c>
      <c r="N723">
        <v>10048.281000000001</v>
      </c>
      <c r="O723">
        <v>10048.281000000001</v>
      </c>
      <c r="P723">
        <v>10048.281000000001</v>
      </c>
      <c r="S723">
        <v>0</v>
      </c>
      <c r="T723">
        <v>0</v>
      </c>
      <c r="U723">
        <v>59748.4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f>SUMPRODUCT(DB_ThemeSOFAcct[[#This Row],[Plan01]:[Plan12]],$E$14:$P$14)/valUnits2</f>
        <v>68.107860000000002</v>
      </c>
      <c r="AD723">
        <f>SUMPRODUCT(DB_ThemeSOFAcct[[#This Row],[Act01]:[Act12]],$Q$14:$AB$14)/valUnits2</f>
        <v>59.748400000000004</v>
      </c>
      <c r="AE723">
        <f>DB_ThemeSOFAcct[[#This Row],[Actuals]]-DB_ThemeSOFAcct[[#This Row],[Plan]]</f>
        <v>-8.3594599999999986</v>
      </c>
      <c r="AF723">
        <f>IF(DB_ThemeSOFAcct[[#This Row],[Plan]]&lt;&gt;0,DB_ThemeSOFAcct[[#This Row],[Actuals]]/DB_ThemeSOFAcct[[#This Row],[Plan]],1.000011000011)</f>
        <v>0.87726144970639219</v>
      </c>
      <c r="AG723" s="34">
        <f>SUM(DB_ThemeSOFAcct[[#This Row],[Plan01]:[Plan12]])/valUnits2</f>
        <v>128.43301500000001</v>
      </c>
      <c r="AH723" s="34">
        <f>SUMPRODUCT(DB_ThemeSOFAcct[[#This Row],[Act01]:[Act12]],$Q$3:$AB$3)/valUnits2</f>
        <v>59.748400000000004</v>
      </c>
    </row>
    <row r="724" spans="2:34" x14ac:dyDescent="0.2">
      <c r="B724" t="s">
        <v>344</v>
      </c>
      <c r="C724" t="s">
        <v>879</v>
      </c>
      <c r="D724" t="s">
        <v>237</v>
      </c>
      <c r="F724">
        <v>1347.7660000000001</v>
      </c>
      <c r="G724">
        <v>26199.86</v>
      </c>
      <c r="R724">
        <v>1346.3</v>
      </c>
      <c r="S724">
        <v>26928.3</v>
      </c>
      <c r="AC724">
        <f>SUMPRODUCT(DB_ThemeSOFAcct[[#This Row],[Plan01]:[Plan12]],$E$14:$P$14)/valUnits2</f>
        <v>27.547626000000001</v>
      </c>
      <c r="AD724">
        <f>SUMPRODUCT(DB_ThemeSOFAcct[[#This Row],[Act01]:[Act12]],$Q$14:$AB$14)/valUnits2</f>
        <v>28.2746</v>
      </c>
      <c r="AE724">
        <f>DB_ThemeSOFAcct[[#This Row],[Actuals]]-DB_ThemeSOFAcct[[#This Row],[Plan]]</f>
        <v>0.72697399999999845</v>
      </c>
      <c r="AF724">
        <f>IF(DB_ThemeSOFAcct[[#This Row],[Plan]]&lt;&gt;0,DB_ThemeSOFAcct[[#This Row],[Actuals]]/DB_ThemeSOFAcct[[#This Row],[Plan]],1.000011000011)</f>
        <v>1.0263897150338834</v>
      </c>
      <c r="AG724" s="34">
        <f>SUM(DB_ThemeSOFAcct[[#This Row],[Plan01]:[Plan12]])/valUnits2</f>
        <v>27.547626000000001</v>
      </c>
      <c r="AH724" s="34">
        <f>SUMPRODUCT(DB_ThemeSOFAcct[[#This Row],[Act01]:[Act12]],$Q$3:$AB$3)/valUnits2</f>
        <v>28.2746</v>
      </c>
    </row>
    <row r="725" spans="2:34" x14ac:dyDescent="0.2">
      <c r="B725" t="s">
        <v>344</v>
      </c>
      <c r="C725" t="s">
        <v>891</v>
      </c>
      <c r="D725" t="s">
        <v>143</v>
      </c>
      <c r="E725">
        <v>0</v>
      </c>
      <c r="F725">
        <v>0</v>
      </c>
      <c r="G725">
        <v>42.158000000000001</v>
      </c>
      <c r="I725">
        <v>0</v>
      </c>
      <c r="J725">
        <v>1790.3219999999999</v>
      </c>
      <c r="K725">
        <v>1631.627</v>
      </c>
      <c r="L725">
        <v>1631.8489999999999</v>
      </c>
      <c r="M725">
        <v>1432.942</v>
      </c>
      <c r="N725">
        <v>1432.942</v>
      </c>
      <c r="O725">
        <v>1432.942</v>
      </c>
      <c r="P725">
        <v>1432.942</v>
      </c>
      <c r="Q725">
        <v>0</v>
      </c>
      <c r="R725">
        <v>0</v>
      </c>
      <c r="S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f>SUMPRODUCT(DB_ThemeSOFAcct[[#This Row],[Plan01]:[Plan12]],$E$14:$P$14)/valUnits2</f>
        <v>1.8324799999999999</v>
      </c>
      <c r="AD725">
        <f>SUMPRODUCT(DB_ThemeSOFAcct[[#This Row],[Act01]:[Act12]],$Q$14:$AB$14)/valUnits2</f>
        <v>0</v>
      </c>
      <c r="AE725">
        <f>DB_ThemeSOFAcct[[#This Row],[Actuals]]-DB_ThemeSOFAcct[[#This Row],[Plan]]</f>
        <v>-1.8324799999999999</v>
      </c>
      <c r="AF725">
        <f>IF(DB_ThemeSOFAcct[[#This Row],[Plan]]&lt;&gt;0,DB_ThemeSOFAcct[[#This Row],[Actuals]]/DB_ThemeSOFAcct[[#This Row],[Plan]],1.000011000011)</f>
        <v>0</v>
      </c>
      <c r="AG725" s="34">
        <f>SUM(DB_ThemeSOFAcct[[#This Row],[Plan01]:[Plan12]])/valUnits2</f>
        <v>10.827723999999998</v>
      </c>
      <c r="AH725" s="34">
        <f>SUMPRODUCT(DB_ThemeSOFAcct[[#This Row],[Act01]:[Act12]],$Q$3:$AB$3)/valUnits2</f>
        <v>0</v>
      </c>
    </row>
    <row r="726" spans="2:34" x14ac:dyDescent="0.2">
      <c r="B726" t="s">
        <v>344</v>
      </c>
      <c r="C726" t="s">
        <v>891</v>
      </c>
      <c r="D726" t="s">
        <v>235</v>
      </c>
      <c r="G726">
        <v>0</v>
      </c>
      <c r="H726">
        <v>56.646999999999998</v>
      </c>
      <c r="J726">
        <v>0</v>
      </c>
      <c r="S726">
        <v>42.54</v>
      </c>
      <c r="T726">
        <v>55.55</v>
      </c>
      <c r="V726">
        <v>333.45</v>
      </c>
      <c r="AC726">
        <f>SUMPRODUCT(DB_ThemeSOFAcct[[#This Row],[Plan01]:[Plan12]],$E$14:$P$14)/valUnits2</f>
        <v>5.6646999999999996E-2</v>
      </c>
      <c r="AD726">
        <f>SUMPRODUCT(DB_ThemeSOFAcct[[#This Row],[Act01]:[Act12]],$Q$14:$AB$14)/valUnits2</f>
        <v>0.43153999999999998</v>
      </c>
      <c r="AE726">
        <f>DB_ThemeSOFAcct[[#This Row],[Actuals]]-DB_ThemeSOFAcct[[#This Row],[Plan]]</f>
        <v>0.37489299999999998</v>
      </c>
      <c r="AF726">
        <f>IF(DB_ThemeSOFAcct[[#This Row],[Plan]]&lt;&gt;0,DB_ThemeSOFAcct[[#This Row],[Actuals]]/DB_ThemeSOFAcct[[#This Row],[Plan]],1.000011000011)</f>
        <v>7.6180556781471216</v>
      </c>
      <c r="AG726" s="34">
        <f>SUM(DB_ThemeSOFAcct[[#This Row],[Plan01]:[Plan12]])/valUnits2</f>
        <v>5.6646999999999996E-2</v>
      </c>
      <c r="AH726" s="34">
        <f>SUMPRODUCT(DB_ThemeSOFAcct[[#This Row],[Act01]:[Act12]],$Q$3:$AB$3)/valUnits2</f>
        <v>0.43153999999999998</v>
      </c>
    </row>
    <row r="727" spans="2:34" x14ac:dyDescent="0.2">
      <c r="B727" t="s">
        <v>344</v>
      </c>
      <c r="C727" t="s">
        <v>891</v>
      </c>
      <c r="D727" t="s">
        <v>140</v>
      </c>
      <c r="E727">
        <v>1158.665</v>
      </c>
      <c r="F727">
        <v>3443.5129999999999</v>
      </c>
      <c r="G727">
        <v>3363.4989999999998</v>
      </c>
      <c r="H727">
        <v>3263.9190000000003</v>
      </c>
      <c r="I727">
        <v>5262.6319999999996</v>
      </c>
      <c r="J727">
        <v>7395.8229999999994</v>
      </c>
      <c r="K727">
        <v>7395.8230000000003</v>
      </c>
      <c r="L727">
        <v>7395.8229999999994</v>
      </c>
      <c r="M727">
        <v>7395.8230000000003</v>
      </c>
      <c r="N727">
        <v>7395.8230000000003</v>
      </c>
      <c r="O727">
        <v>7395.8229999999994</v>
      </c>
      <c r="P727">
        <v>7395.8229999999994</v>
      </c>
      <c r="Q727">
        <v>1141.53</v>
      </c>
      <c r="R727">
        <v>3513.2599999999998</v>
      </c>
      <c r="S727">
        <v>3397.13</v>
      </c>
      <c r="T727">
        <v>3244.0499999999997</v>
      </c>
      <c r="U727">
        <v>5260.3499999999995</v>
      </c>
      <c r="V727">
        <v>5476.4600000000009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f>SUMPRODUCT(DB_ThemeSOFAcct[[#This Row],[Plan01]:[Plan12]],$E$14:$P$14)/valUnits2</f>
        <v>23.888051000000001</v>
      </c>
      <c r="AD727">
        <f>SUMPRODUCT(DB_ThemeSOFAcct[[#This Row],[Act01]:[Act12]],$Q$14:$AB$14)/valUnits2</f>
        <v>22.032779999999999</v>
      </c>
      <c r="AE727">
        <f>DB_ThemeSOFAcct[[#This Row],[Actuals]]-DB_ThemeSOFAcct[[#This Row],[Plan]]</f>
        <v>-1.8552710000000019</v>
      </c>
      <c r="AF727">
        <f>IF(DB_ThemeSOFAcct[[#This Row],[Plan]]&lt;&gt;0,DB_ThemeSOFAcct[[#This Row],[Actuals]]/DB_ThemeSOFAcct[[#This Row],[Plan]],1.000011000011)</f>
        <v>0.92233476896043121</v>
      </c>
      <c r="AG727" s="34">
        <f>SUM(DB_ThemeSOFAcct[[#This Row],[Plan01]:[Plan12]])/valUnits2</f>
        <v>68.262989000000005</v>
      </c>
      <c r="AH727" s="34">
        <f>SUMPRODUCT(DB_ThemeSOFAcct[[#This Row],[Act01]:[Act12]],$Q$3:$AB$3)/valUnits2</f>
        <v>22.032779999999999</v>
      </c>
    </row>
    <row r="728" spans="2:34" x14ac:dyDescent="0.2">
      <c r="B728" t="s">
        <v>344</v>
      </c>
      <c r="C728" t="s">
        <v>891</v>
      </c>
      <c r="D728" t="s">
        <v>236</v>
      </c>
      <c r="E728">
        <v>0</v>
      </c>
      <c r="F728">
        <v>0</v>
      </c>
      <c r="G728">
        <v>583.61299999999994</v>
      </c>
      <c r="H728">
        <v>238.24200000000002</v>
      </c>
      <c r="I728">
        <v>0</v>
      </c>
      <c r="J728">
        <v>6417.9449999999997</v>
      </c>
      <c r="K728">
        <v>5113.6400000000003</v>
      </c>
      <c r="L728">
        <v>2505.0300000000002</v>
      </c>
      <c r="M728">
        <v>2765.8910000000001</v>
      </c>
      <c r="N728">
        <v>2505.0299999999997</v>
      </c>
      <c r="O728">
        <v>3548.4740000000002</v>
      </c>
      <c r="P728">
        <v>3809.335</v>
      </c>
      <c r="Q728">
        <v>0</v>
      </c>
      <c r="R728">
        <v>0</v>
      </c>
      <c r="S728">
        <v>595.13</v>
      </c>
      <c r="T728">
        <v>237.35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f>SUMPRODUCT(DB_ThemeSOFAcct[[#This Row],[Plan01]:[Plan12]],$E$14:$P$14)/valUnits2</f>
        <v>7.2397999999999989</v>
      </c>
      <c r="AD728">
        <f>SUMPRODUCT(DB_ThemeSOFAcct[[#This Row],[Act01]:[Act12]],$Q$14:$AB$14)/valUnits2</f>
        <v>0.83248</v>
      </c>
      <c r="AE728">
        <f>DB_ThemeSOFAcct[[#This Row],[Actuals]]-DB_ThemeSOFAcct[[#This Row],[Plan]]</f>
        <v>-6.4073199999999986</v>
      </c>
      <c r="AF728">
        <f>IF(DB_ThemeSOFAcct[[#This Row],[Plan]]&lt;&gt;0,DB_ThemeSOFAcct[[#This Row],[Actuals]]/DB_ThemeSOFAcct[[#This Row],[Plan]],1.000011000011)</f>
        <v>0.11498660183982985</v>
      </c>
      <c r="AG728" s="34">
        <f>SUM(DB_ThemeSOFAcct[[#This Row],[Plan01]:[Plan12]])/valUnits2</f>
        <v>27.487199999999998</v>
      </c>
      <c r="AH728" s="34">
        <f>SUMPRODUCT(DB_ThemeSOFAcct[[#This Row],[Act01]:[Act12]],$Q$3:$AB$3)/valUnits2</f>
        <v>0.83248</v>
      </c>
    </row>
    <row r="729" spans="2:34" x14ac:dyDescent="0.2">
      <c r="B729" t="s">
        <v>344</v>
      </c>
      <c r="C729" t="s">
        <v>891</v>
      </c>
      <c r="D729" t="s">
        <v>237</v>
      </c>
      <c r="G729">
        <v>43.825000000000003</v>
      </c>
      <c r="I729">
        <v>354.73099999999999</v>
      </c>
      <c r="J729">
        <v>0</v>
      </c>
      <c r="S729">
        <v>44.55</v>
      </c>
      <c r="U729">
        <v>356.54</v>
      </c>
      <c r="V729">
        <v>634.12</v>
      </c>
      <c r="AC729">
        <f>SUMPRODUCT(DB_ThemeSOFAcct[[#This Row],[Plan01]:[Plan12]],$E$14:$P$14)/valUnits2</f>
        <v>0.39855599999999997</v>
      </c>
      <c r="AD729">
        <f>SUMPRODUCT(DB_ThemeSOFAcct[[#This Row],[Act01]:[Act12]],$Q$14:$AB$14)/valUnits2</f>
        <v>1.03521</v>
      </c>
      <c r="AE729">
        <f>DB_ThemeSOFAcct[[#This Row],[Actuals]]-DB_ThemeSOFAcct[[#This Row],[Plan]]</f>
        <v>0.63665400000000005</v>
      </c>
      <c r="AF729">
        <f>IF(DB_ThemeSOFAcct[[#This Row],[Plan]]&lt;&gt;0,DB_ThemeSOFAcct[[#This Row],[Actuals]]/DB_ThemeSOFAcct[[#This Row],[Plan]],1.000011000011)</f>
        <v>2.5974016198476502</v>
      </c>
      <c r="AG729" s="34">
        <f>SUM(DB_ThemeSOFAcct[[#This Row],[Plan01]:[Plan12]])/valUnits2</f>
        <v>0.39855599999999997</v>
      </c>
      <c r="AH729" s="34">
        <f>SUMPRODUCT(DB_ThemeSOFAcct[[#This Row],[Act01]:[Act12]],$Q$3:$AB$3)/valUnits2</f>
        <v>1.03521</v>
      </c>
    </row>
    <row r="730" spans="2:34" x14ac:dyDescent="0.2">
      <c r="B730" t="s">
        <v>344</v>
      </c>
      <c r="C730" t="s">
        <v>891</v>
      </c>
      <c r="D730" t="s">
        <v>141</v>
      </c>
      <c r="E730">
        <v>42.68</v>
      </c>
      <c r="F730">
        <v>422.79599999999999</v>
      </c>
      <c r="G730">
        <v>371.08600000000001</v>
      </c>
      <c r="H730">
        <v>1625.3339999999998</v>
      </c>
      <c r="I730">
        <v>61.686999999999998</v>
      </c>
      <c r="J730">
        <v>1955.7740000000001</v>
      </c>
      <c r="K730">
        <v>1955.7740000000001</v>
      </c>
      <c r="L730">
        <v>1392.3140000000001</v>
      </c>
      <c r="M730">
        <v>1788.8230000000001</v>
      </c>
      <c r="N730">
        <v>1392.3140000000001</v>
      </c>
      <c r="O730">
        <v>1392.3140000000001</v>
      </c>
      <c r="P730">
        <v>1392.3140000000001</v>
      </c>
      <c r="Q730">
        <v>41.36</v>
      </c>
      <c r="R730">
        <v>437.09000000000003</v>
      </c>
      <c r="S730">
        <v>378.40999999999997</v>
      </c>
      <c r="T730">
        <v>1612.63</v>
      </c>
      <c r="U730">
        <v>61.679999999999993</v>
      </c>
      <c r="V730">
        <v>1028.8699999999999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f>SUMPRODUCT(DB_ThemeSOFAcct[[#This Row],[Plan01]:[Plan12]],$E$14:$P$14)/valUnits2</f>
        <v>4.4793570000000003</v>
      </c>
      <c r="AD730">
        <f>SUMPRODUCT(DB_ThemeSOFAcct[[#This Row],[Act01]:[Act12]],$Q$14:$AB$14)/valUnits2</f>
        <v>3.5600399999999999</v>
      </c>
      <c r="AE730">
        <f>DB_ThemeSOFAcct[[#This Row],[Actuals]]-DB_ThemeSOFAcct[[#This Row],[Plan]]</f>
        <v>-0.91931700000000038</v>
      </c>
      <c r="AF730">
        <f>IF(DB_ThemeSOFAcct[[#This Row],[Plan]]&lt;&gt;0,DB_ThemeSOFAcct[[#This Row],[Actuals]]/DB_ThemeSOFAcct[[#This Row],[Plan]],1.000011000011)</f>
        <v>0.79476585590297888</v>
      </c>
      <c r="AG730" s="34">
        <f>SUM(DB_ThemeSOFAcct[[#This Row],[Plan01]:[Plan12]])/valUnits2</f>
        <v>13.79321</v>
      </c>
      <c r="AH730" s="34">
        <f>SUMPRODUCT(DB_ThemeSOFAcct[[#This Row],[Act01]:[Act12]],$Q$3:$AB$3)/valUnits2</f>
        <v>3.5600399999999999</v>
      </c>
    </row>
    <row r="731" spans="2:34" x14ac:dyDescent="0.2">
      <c r="B731" t="s">
        <v>344</v>
      </c>
      <c r="C731" t="s">
        <v>365</v>
      </c>
      <c r="D731" t="s">
        <v>143</v>
      </c>
      <c r="H731">
        <v>0</v>
      </c>
      <c r="I731">
        <v>0</v>
      </c>
      <c r="J731">
        <v>290.89400000000001</v>
      </c>
      <c r="K731">
        <v>290.89400000000001</v>
      </c>
      <c r="L731">
        <v>290.89400000000001</v>
      </c>
      <c r="T731">
        <v>0</v>
      </c>
      <c r="U731">
        <v>0</v>
      </c>
      <c r="V731">
        <v>0</v>
      </c>
      <c r="W731">
        <v>0</v>
      </c>
      <c r="X731">
        <v>0</v>
      </c>
      <c r="AC731">
        <f>SUMPRODUCT(DB_ThemeSOFAcct[[#This Row],[Plan01]:[Plan12]],$E$14:$P$14)/valUnits2</f>
        <v>0.29089399999999999</v>
      </c>
      <c r="AD731">
        <f>SUMPRODUCT(DB_ThemeSOFAcct[[#This Row],[Act01]:[Act12]],$Q$14:$AB$14)/valUnits2</f>
        <v>0</v>
      </c>
      <c r="AE731">
        <f>DB_ThemeSOFAcct[[#This Row],[Actuals]]-DB_ThemeSOFAcct[[#This Row],[Plan]]</f>
        <v>-0.29089399999999999</v>
      </c>
      <c r="AF731">
        <f>IF(DB_ThemeSOFAcct[[#This Row],[Plan]]&lt;&gt;0,DB_ThemeSOFAcct[[#This Row],[Actuals]]/DB_ThemeSOFAcct[[#This Row],[Plan]],1.000011000011)</f>
        <v>0</v>
      </c>
      <c r="AG731" s="34">
        <f>SUM(DB_ThemeSOFAcct[[#This Row],[Plan01]:[Plan12]])/valUnits2</f>
        <v>0.87268200000000007</v>
      </c>
      <c r="AH731" s="34">
        <f>SUMPRODUCT(DB_ThemeSOFAcct[[#This Row],[Act01]:[Act12]],$Q$3:$AB$3)/valUnits2</f>
        <v>0</v>
      </c>
    </row>
    <row r="732" spans="2:34" x14ac:dyDescent="0.2">
      <c r="B732" t="s">
        <v>344</v>
      </c>
      <c r="C732" t="s">
        <v>365</v>
      </c>
      <c r="D732" t="s">
        <v>235</v>
      </c>
      <c r="E732">
        <v>0</v>
      </c>
      <c r="H732">
        <v>0</v>
      </c>
      <c r="I732">
        <v>0</v>
      </c>
      <c r="J732">
        <v>738.24</v>
      </c>
      <c r="K732">
        <v>738.24</v>
      </c>
      <c r="L732">
        <v>738.24</v>
      </c>
      <c r="Q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AC732">
        <f>SUMPRODUCT(DB_ThemeSOFAcct[[#This Row],[Plan01]:[Plan12]],$E$14:$P$14)/valUnits2</f>
        <v>0.73824000000000001</v>
      </c>
      <c r="AD732">
        <f>SUMPRODUCT(DB_ThemeSOFAcct[[#This Row],[Act01]:[Act12]],$Q$14:$AB$14)/valUnits2</f>
        <v>0</v>
      </c>
      <c r="AE732">
        <f>DB_ThemeSOFAcct[[#This Row],[Actuals]]-DB_ThemeSOFAcct[[#This Row],[Plan]]</f>
        <v>-0.73824000000000001</v>
      </c>
      <c r="AF732">
        <f>IF(DB_ThemeSOFAcct[[#This Row],[Plan]]&lt;&gt;0,DB_ThemeSOFAcct[[#This Row],[Actuals]]/DB_ThemeSOFAcct[[#This Row],[Plan]],1.000011000011)</f>
        <v>0</v>
      </c>
      <c r="AG732" s="34">
        <f>SUM(DB_ThemeSOFAcct[[#This Row],[Plan01]:[Plan12]])/valUnits2</f>
        <v>2.2147200000000002</v>
      </c>
      <c r="AH732" s="34">
        <f>SUMPRODUCT(DB_ThemeSOFAcct[[#This Row],[Act01]:[Act12]],$Q$3:$AB$3)/valUnits2</f>
        <v>0</v>
      </c>
    </row>
    <row r="733" spans="2:34" x14ac:dyDescent="0.2">
      <c r="B733" t="s">
        <v>344</v>
      </c>
      <c r="C733" t="s">
        <v>365</v>
      </c>
      <c r="D733" t="s">
        <v>140</v>
      </c>
      <c r="E733">
        <v>0</v>
      </c>
      <c r="F733">
        <v>0</v>
      </c>
      <c r="G733">
        <v>0</v>
      </c>
      <c r="H733">
        <v>0</v>
      </c>
      <c r="I733">
        <v>2054.8409999999999</v>
      </c>
      <c r="J733">
        <v>2258.5639999999999</v>
      </c>
      <c r="K733">
        <v>2258.5639999999999</v>
      </c>
      <c r="L733">
        <v>2258.5639999999999</v>
      </c>
      <c r="Q733">
        <v>0</v>
      </c>
      <c r="R733">
        <v>0</v>
      </c>
      <c r="S733">
        <v>0</v>
      </c>
      <c r="T733">
        <v>0</v>
      </c>
      <c r="U733">
        <v>2129.0299999999997</v>
      </c>
      <c r="V733">
        <v>0</v>
      </c>
      <c r="W733">
        <v>0</v>
      </c>
      <c r="X733">
        <v>0</v>
      </c>
      <c r="AC733">
        <f>SUMPRODUCT(DB_ThemeSOFAcct[[#This Row],[Plan01]:[Plan12]],$E$14:$P$14)/valUnits2</f>
        <v>4.3134049999999995</v>
      </c>
      <c r="AD733">
        <f>SUMPRODUCT(DB_ThemeSOFAcct[[#This Row],[Act01]:[Act12]],$Q$14:$AB$14)/valUnits2</f>
        <v>2.1290299999999998</v>
      </c>
      <c r="AE733">
        <f>DB_ThemeSOFAcct[[#This Row],[Actuals]]-DB_ThemeSOFAcct[[#This Row],[Plan]]</f>
        <v>-2.1843749999999997</v>
      </c>
      <c r="AF733">
        <f>IF(DB_ThemeSOFAcct[[#This Row],[Plan]]&lt;&gt;0,DB_ThemeSOFAcct[[#This Row],[Actuals]]/DB_ThemeSOFAcct[[#This Row],[Plan]],1.000011000011)</f>
        <v>0.49358453472372754</v>
      </c>
      <c r="AG733" s="34">
        <f>SUM(DB_ThemeSOFAcct[[#This Row],[Plan01]:[Plan12]])/valUnits2</f>
        <v>8.8305329999999991</v>
      </c>
      <c r="AH733" s="34">
        <f>SUMPRODUCT(DB_ThemeSOFAcct[[#This Row],[Act01]:[Act12]],$Q$3:$AB$3)/valUnits2</f>
        <v>2.1290299999999998</v>
      </c>
    </row>
    <row r="734" spans="2:34" x14ac:dyDescent="0.2">
      <c r="B734" t="s">
        <v>344</v>
      </c>
      <c r="C734" t="s">
        <v>365</v>
      </c>
      <c r="D734" t="s">
        <v>236</v>
      </c>
      <c r="E734">
        <v>53.243000000000002</v>
      </c>
      <c r="F734">
        <v>48.295999999999999</v>
      </c>
      <c r="G734">
        <v>0</v>
      </c>
      <c r="H734">
        <v>0</v>
      </c>
      <c r="I734">
        <v>14467.279</v>
      </c>
      <c r="J734">
        <v>4606.3509999999997</v>
      </c>
      <c r="K734">
        <v>6839.1850000000004</v>
      </c>
      <c r="L734">
        <v>6839.1850000000004</v>
      </c>
      <c r="Q734">
        <v>54.33</v>
      </c>
      <c r="R734">
        <v>47.96</v>
      </c>
      <c r="S734">
        <v>0</v>
      </c>
      <c r="T734">
        <v>0</v>
      </c>
      <c r="U734">
        <v>14851.849999999999</v>
      </c>
      <c r="V734">
        <v>13.42</v>
      </c>
      <c r="W734">
        <v>0</v>
      </c>
      <c r="X734">
        <v>0</v>
      </c>
      <c r="AC734">
        <f>SUMPRODUCT(DB_ThemeSOFAcct[[#This Row],[Plan01]:[Plan12]],$E$14:$P$14)/valUnits2</f>
        <v>19.175169</v>
      </c>
      <c r="AD734">
        <f>SUMPRODUCT(DB_ThemeSOFAcct[[#This Row],[Act01]:[Act12]],$Q$14:$AB$14)/valUnits2</f>
        <v>14.967559999999999</v>
      </c>
      <c r="AE734">
        <f>DB_ThemeSOFAcct[[#This Row],[Actuals]]-DB_ThemeSOFAcct[[#This Row],[Plan]]</f>
        <v>-4.2076090000000015</v>
      </c>
      <c r="AF734">
        <f>IF(DB_ThemeSOFAcct[[#This Row],[Plan]]&lt;&gt;0,DB_ThemeSOFAcct[[#This Row],[Actuals]]/DB_ThemeSOFAcct[[#This Row],[Plan]],1.000011000011)</f>
        <v>0.78056991309959245</v>
      </c>
      <c r="AG734" s="34">
        <f>SUM(DB_ThemeSOFAcct[[#This Row],[Plan01]:[Plan12]])/valUnits2</f>
        <v>32.853539000000005</v>
      </c>
      <c r="AH734" s="34">
        <f>SUMPRODUCT(DB_ThemeSOFAcct[[#This Row],[Act01]:[Act12]],$Q$3:$AB$3)/valUnits2</f>
        <v>14.967559999999999</v>
      </c>
    </row>
    <row r="735" spans="2:34" x14ac:dyDescent="0.2">
      <c r="B735" t="s">
        <v>344</v>
      </c>
      <c r="C735" t="s">
        <v>365</v>
      </c>
      <c r="D735" t="s">
        <v>141</v>
      </c>
      <c r="E735">
        <v>9602.8269999999993</v>
      </c>
      <c r="G735">
        <v>26.175999999999998</v>
      </c>
      <c r="H735">
        <v>0</v>
      </c>
      <c r="I735">
        <v>57.906999999999996</v>
      </c>
      <c r="J735">
        <v>58.722999999999999</v>
      </c>
      <c r="K735">
        <v>58.722999999999999</v>
      </c>
      <c r="L735">
        <v>58.722999999999999</v>
      </c>
      <c r="Q735">
        <v>9596.83</v>
      </c>
      <c r="S735">
        <v>26.34</v>
      </c>
      <c r="T735">
        <v>0</v>
      </c>
      <c r="U735">
        <v>58.53</v>
      </c>
      <c r="V735">
        <v>70.41</v>
      </c>
      <c r="W735">
        <v>0</v>
      </c>
      <c r="X735">
        <v>0</v>
      </c>
      <c r="AC735">
        <f>SUMPRODUCT(DB_ThemeSOFAcct[[#This Row],[Plan01]:[Plan12]],$E$14:$P$14)/valUnits2</f>
        <v>9.745632999999998</v>
      </c>
      <c r="AD735">
        <f>SUMPRODUCT(DB_ThemeSOFAcct[[#This Row],[Act01]:[Act12]],$Q$14:$AB$14)/valUnits2</f>
        <v>9.7521100000000001</v>
      </c>
      <c r="AE735">
        <f>DB_ThemeSOFAcct[[#This Row],[Actuals]]-DB_ThemeSOFAcct[[#This Row],[Plan]]</f>
        <v>6.4770000000020644E-3</v>
      </c>
      <c r="AF735">
        <f>IF(DB_ThemeSOFAcct[[#This Row],[Plan]]&lt;&gt;0,DB_ThemeSOFAcct[[#This Row],[Actuals]]/DB_ThemeSOFAcct[[#This Row],[Plan]],1.000011000011)</f>
        <v>1.0006646053673478</v>
      </c>
      <c r="AG735" s="34">
        <f>SUM(DB_ThemeSOFAcct[[#This Row],[Plan01]:[Plan12]])/valUnits2</f>
        <v>9.8630789999999973</v>
      </c>
      <c r="AH735" s="34">
        <f>SUMPRODUCT(DB_ThemeSOFAcct[[#This Row],[Act01]:[Act12]],$Q$3:$AB$3)/valUnits2</f>
        <v>9.7521100000000001</v>
      </c>
    </row>
    <row r="736" spans="2:34" x14ac:dyDescent="0.2">
      <c r="B736" t="s">
        <v>344</v>
      </c>
      <c r="C736" t="s">
        <v>906</v>
      </c>
      <c r="D736" t="s">
        <v>142</v>
      </c>
      <c r="E736">
        <v>1550.828</v>
      </c>
      <c r="F736">
        <v>-1449.3440000000001</v>
      </c>
      <c r="Q736">
        <v>1546.44</v>
      </c>
      <c r="R736">
        <v>-1545.67</v>
      </c>
      <c r="AC736">
        <f>SUMPRODUCT(DB_ThemeSOFAcct[[#This Row],[Plan01]:[Plan12]],$E$14:$P$14)/valUnits2</f>
        <v>0.10148399999999992</v>
      </c>
      <c r="AD736">
        <f>SUMPRODUCT(DB_ThemeSOFAcct[[#This Row],[Act01]:[Act12]],$Q$14:$AB$14)/valUnits2</f>
        <v>7.6999999999998185E-4</v>
      </c>
      <c r="AE736">
        <f>DB_ThemeSOFAcct[[#This Row],[Actuals]]-DB_ThemeSOFAcct[[#This Row],[Plan]]</f>
        <v>-0.10071399999999994</v>
      </c>
      <c r="AF736">
        <f>IF(DB_ThemeSOFAcct[[#This Row],[Plan]]&lt;&gt;0,DB_ThemeSOFAcct[[#This Row],[Actuals]]/DB_ThemeSOFAcct[[#This Row],[Plan]],1.000011000011)</f>
        <v>7.5874029403648104E-3</v>
      </c>
      <c r="AG736" s="34">
        <f>SUM(DB_ThemeSOFAcct[[#This Row],[Plan01]:[Plan12]])/valUnits2</f>
        <v>0.10148399999999992</v>
      </c>
      <c r="AH736" s="34">
        <f>SUMPRODUCT(DB_ThemeSOFAcct[[#This Row],[Act01]:[Act12]],$Q$3:$AB$3)/valUnits2</f>
        <v>7.6999999999998185E-4</v>
      </c>
    </row>
    <row r="737" spans="2:34" x14ac:dyDescent="0.2">
      <c r="B737" t="s">
        <v>344</v>
      </c>
      <c r="C737" t="s">
        <v>906</v>
      </c>
      <c r="D737" t="s">
        <v>236</v>
      </c>
      <c r="E737">
        <v>-1401.318</v>
      </c>
      <c r="Q737">
        <v>-1433.87</v>
      </c>
      <c r="AC737">
        <f>SUMPRODUCT(DB_ThemeSOFAcct[[#This Row],[Plan01]:[Plan12]],$E$14:$P$14)/valUnits2</f>
        <v>-1.4013180000000001</v>
      </c>
      <c r="AD737">
        <f>SUMPRODUCT(DB_ThemeSOFAcct[[#This Row],[Act01]:[Act12]],$Q$14:$AB$14)/valUnits2</f>
        <v>-1.43387</v>
      </c>
      <c r="AE737">
        <f>DB_ThemeSOFAcct[[#This Row],[Actuals]]-DB_ThemeSOFAcct[[#This Row],[Plan]]</f>
        <v>-3.2551999999999914E-2</v>
      </c>
      <c r="AF737">
        <f>IF(DB_ThemeSOFAcct[[#This Row],[Plan]]&lt;&gt;0,DB_ThemeSOFAcct[[#This Row],[Actuals]]/DB_ThemeSOFAcct[[#This Row],[Plan]],1.000011000011)</f>
        <v>1.0232295596003191</v>
      </c>
      <c r="AG737" s="34">
        <f>SUM(DB_ThemeSOFAcct[[#This Row],[Plan01]:[Plan12]])/valUnits2</f>
        <v>-1.4013180000000001</v>
      </c>
      <c r="AH737" s="34">
        <f>SUMPRODUCT(DB_ThemeSOFAcct[[#This Row],[Act01]:[Act12]],$Q$3:$AB$3)/valUnits2</f>
        <v>-1.43387</v>
      </c>
    </row>
    <row r="738" spans="2:34" x14ac:dyDescent="0.2">
      <c r="B738" t="s">
        <v>344</v>
      </c>
      <c r="C738" t="s">
        <v>909</v>
      </c>
      <c r="D738" t="s">
        <v>143</v>
      </c>
      <c r="E738">
        <v>199.87</v>
      </c>
      <c r="I738">
        <v>7.74</v>
      </c>
      <c r="Q738">
        <v>0</v>
      </c>
      <c r="U738">
        <v>7.74</v>
      </c>
      <c r="AC738">
        <f>SUMPRODUCT(DB_ThemeSOFAcct[[#This Row],[Plan01]:[Plan12]],$E$14:$P$14)/valUnits2</f>
        <v>0.20761000000000002</v>
      </c>
      <c r="AD738">
        <f>SUMPRODUCT(DB_ThemeSOFAcct[[#This Row],[Act01]:[Act12]],$Q$14:$AB$14)/valUnits2</f>
        <v>7.7400000000000004E-3</v>
      </c>
      <c r="AE738">
        <f>DB_ThemeSOFAcct[[#This Row],[Actuals]]-DB_ThemeSOFAcct[[#This Row],[Plan]]</f>
        <v>-0.19987000000000002</v>
      </c>
      <c r="AF738">
        <f>IF(DB_ThemeSOFAcct[[#This Row],[Plan]]&lt;&gt;0,DB_ThemeSOFAcct[[#This Row],[Actuals]]/DB_ThemeSOFAcct[[#This Row],[Plan]],1.000011000011)</f>
        <v>3.7281441163720438E-2</v>
      </c>
      <c r="AG738" s="34">
        <f>SUM(DB_ThemeSOFAcct[[#This Row],[Plan01]:[Plan12]])/valUnits2</f>
        <v>0.20761000000000002</v>
      </c>
      <c r="AH738" s="34">
        <f>SUMPRODUCT(DB_ThemeSOFAcct[[#This Row],[Act01]:[Act12]],$Q$3:$AB$3)/valUnits2</f>
        <v>7.7400000000000004E-3</v>
      </c>
    </row>
    <row r="739" spans="2:34" x14ac:dyDescent="0.2">
      <c r="B739" t="s">
        <v>344</v>
      </c>
      <c r="C739" t="s">
        <v>909</v>
      </c>
      <c r="D739" t="s">
        <v>235</v>
      </c>
      <c r="E739">
        <v>150.54</v>
      </c>
      <c r="F739">
        <v>635.37</v>
      </c>
      <c r="G739">
        <v>396.33999999999992</v>
      </c>
      <c r="H739">
        <v>2536.0100000000002</v>
      </c>
      <c r="I739">
        <v>366.41999999999996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350.40999999999997</v>
      </c>
      <c r="R739">
        <v>635.37</v>
      </c>
      <c r="S739">
        <v>396.34000000000003</v>
      </c>
      <c r="T739">
        <v>2536.0099999999998</v>
      </c>
      <c r="U739">
        <v>366.41999999999996</v>
      </c>
      <c r="V739">
        <v>-67.080000000000084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f>SUMPRODUCT(DB_ThemeSOFAcct[[#This Row],[Plan01]:[Plan12]],$E$14:$P$14)/valUnits2</f>
        <v>4.0846800000000005</v>
      </c>
      <c r="AD739">
        <f>SUMPRODUCT(DB_ThemeSOFAcct[[#This Row],[Act01]:[Act12]],$Q$14:$AB$14)/valUnits2</f>
        <v>4.2174699999999996</v>
      </c>
      <c r="AE739">
        <f>DB_ThemeSOFAcct[[#This Row],[Actuals]]-DB_ThemeSOFAcct[[#This Row],[Plan]]</f>
        <v>0.13278999999999908</v>
      </c>
      <c r="AF739">
        <f>IF(DB_ThemeSOFAcct[[#This Row],[Plan]]&lt;&gt;0,DB_ThemeSOFAcct[[#This Row],[Actuals]]/DB_ThemeSOFAcct[[#This Row],[Plan]],1.000011000011)</f>
        <v>1.0325092785726175</v>
      </c>
      <c r="AG739" s="34">
        <f>SUM(DB_ThemeSOFAcct[[#This Row],[Plan01]:[Plan12]])/valUnits2</f>
        <v>4.0846800000000005</v>
      </c>
      <c r="AH739" s="34">
        <f>SUMPRODUCT(DB_ThemeSOFAcct[[#This Row],[Act01]:[Act12]],$Q$3:$AB$3)/valUnits2</f>
        <v>4.2174699999999996</v>
      </c>
    </row>
    <row r="740" spans="2:34" x14ac:dyDescent="0.2">
      <c r="B740" t="s">
        <v>344</v>
      </c>
      <c r="C740" t="s">
        <v>909</v>
      </c>
      <c r="D740" t="s">
        <v>142</v>
      </c>
      <c r="E740">
        <v>95332.17</v>
      </c>
      <c r="F740">
        <v>1.0000000002037268E-2</v>
      </c>
      <c r="G740">
        <v>-9.9999999947613105E-3</v>
      </c>
      <c r="H740">
        <v>123356.78</v>
      </c>
      <c r="I740">
        <v>174403.19999999998</v>
      </c>
      <c r="J740">
        <v>86433</v>
      </c>
      <c r="K740">
        <v>86433.000000000015</v>
      </c>
      <c r="L740">
        <v>86433</v>
      </c>
      <c r="M740">
        <v>136433</v>
      </c>
      <c r="N740">
        <v>136432.99999999997</v>
      </c>
      <c r="O740">
        <v>154167.99999999997</v>
      </c>
      <c r="P740">
        <v>86433.000000000015</v>
      </c>
      <c r="Q740">
        <v>95332.170000000013</v>
      </c>
      <c r="R740">
        <v>1.0000000009313226E-2</v>
      </c>
      <c r="S740">
        <v>-9.9999999947613105E-3</v>
      </c>
      <c r="T740">
        <v>123356.78</v>
      </c>
      <c r="U740">
        <v>174403.20000000001</v>
      </c>
      <c r="V740">
        <v>1.4551915228366852E-11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f>SUMPRODUCT(DB_ThemeSOFAcct[[#This Row],[Plan01]:[Plan12]],$E$14:$P$14)/valUnits2</f>
        <v>479.52515</v>
      </c>
      <c r="AD740">
        <f>SUMPRODUCT(DB_ThemeSOFAcct[[#This Row],[Act01]:[Act12]],$Q$14:$AB$14)/valUnits2</f>
        <v>393.09215</v>
      </c>
      <c r="AE740">
        <f>DB_ThemeSOFAcct[[#This Row],[Actuals]]-DB_ThemeSOFAcct[[#This Row],[Plan]]</f>
        <v>-86.432999999999993</v>
      </c>
      <c r="AF740">
        <f>IF(DB_ThemeSOFAcct[[#This Row],[Plan]]&lt;&gt;0,DB_ThemeSOFAcct[[#This Row],[Actuals]]/DB_ThemeSOFAcct[[#This Row],[Plan]],1.000011000011)</f>
        <v>0.81975293683761952</v>
      </c>
      <c r="AG740" s="34">
        <f>SUM(DB_ThemeSOFAcct[[#This Row],[Plan01]:[Plan12]])/valUnits2</f>
        <v>1165.8581499999998</v>
      </c>
      <c r="AH740" s="34">
        <f>SUMPRODUCT(DB_ThemeSOFAcct[[#This Row],[Act01]:[Act12]],$Q$3:$AB$3)/valUnits2</f>
        <v>393.09215</v>
      </c>
    </row>
    <row r="741" spans="2:34" x14ac:dyDescent="0.2">
      <c r="B741" t="s">
        <v>344</v>
      </c>
      <c r="C741" t="s">
        <v>909</v>
      </c>
      <c r="D741" t="s">
        <v>140</v>
      </c>
      <c r="E741">
        <v>2710.25</v>
      </c>
      <c r="F741">
        <v>7518.1399999999994</v>
      </c>
      <c r="G741">
        <v>8438.7899999999991</v>
      </c>
      <c r="H741">
        <v>6208.67</v>
      </c>
      <c r="I741">
        <v>9867.3700000000026</v>
      </c>
      <c r="J741">
        <v>18347.75</v>
      </c>
      <c r="K741">
        <v>18347.75</v>
      </c>
      <c r="L741">
        <v>18347.75</v>
      </c>
      <c r="M741">
        <v>17605.75</v>
      </c>
      <c r="N741">
        <v>18347.75</v>
      </c>
      <c r="O741">
        <v>18347.75</v>
      </c>
      <c r="P741">
        <v>18347.75</v>
      </c>
      <c r="Q741">
        <v>2710.25</v>
      </c>
      <c r="R741">
        <v>7518.1400000000012</v>
      </c>
      <c r="S741">
        <v>8438.7900000000009</v>
      </c>
      <c r="T741">
        <v>6208.6699999999992</v>
      </c>
      <c r="U741">
        <v>9867.369999999999</v>
      </c>
      <c r="V741">
        <v>6678.12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f>SUMPRODUCT(DB_ThemeSOFAcct[[#This Row],[Plan01]:[Plan12]],$E$14:$P$14)/valUnits2</f>
        <v>53.090969999999999</v>
      </c>
      <c r="AD741">
        <f>SUMPRODUCT(DB_ThemeSOFAcct[[#This Row],[Act01]:[Act12]],$Q$14:$AB$14)/valUnits2</f>
        <v>41.421340000000001</v>
      </c>
      <c r="AE741">
        <f>DB_ThemeSOFAcct[[#This Row],[Actuals]]-DB_ThemeSOFAcct[[#This Row],[Plan]]</f>
        <v>-11.669629999999998</v>
      </c>
      <c r="AF741">
        <f>IF(DB_ThemeSOFAcct[[#This Row],[Plan]]&lt;&gt;0,DB_ThemeSOFAcct[[#This Row],[Actuals]]/DB_ThemeSOFAcct[[#This Row],[Plan]],1.000011000011)</f>
        <v>0.78019557751534774</v>
      </c>
      <c r="AG741" s="34">
        <f>SUM(DB_ThemeSOFAcct[[#This Row],[Plan01]:[Plan12]])/valUnits2</f>
        <v>162.43547000000001</v>
      </c>
      <c r="AH741" s="34">
        <f>SUMPRODUCT(DB_ThemeSOFAcct[[#This Row],[Act01]:[Act12]],$Q$3:$AB$3)/valUnits2</f>
        <v>41.421340000000001</v>
      </c>
    </row>
    <row r="742" spans="2:34" x14ac:dyDescent="0.2">
      <c r="B742" t="s">
        <v>344</v>
      </c>
      <c r="C742" t="s">
        <v>909</v>
      </c>
      <c r="D742" t="s">
        <v>236</v>
      </c>
      <c r="E742">
        <v>118.96</v>
      </c>
      <c r="F742">
        <v>563.53000000000009</v>
      </c>
      <c r="G742">
        <v>3568.7900000000004</v>
      </c>
      <c r="H742">
        <v>441.65</v>
      </c>
      <c r="I742">
        <v>297.07</v>
      </c>
      <c r="J742">
        <v>398.08</v>
      </c>
      <c r="K742">
        <v>398.08</v>
      </c>
      <c r="L742">
        <v>398.08</v>
      </c>
      <c r="M742">
        <v>398.08</v>
      </c>
      <c r="N742">
        <v>398.08</v>
      </c>
      <c r="O742">
        <v>398.08</v>
      </c>
      <c r="P742">
        <v>398.08</v>
      </c>
      <c r="Q742">
        <v>118.96</v>
      </c>
      <c r="R742">
        <v>563.53000000000009</v>
      </c>
      <c r="S742">
        <v>3568.7900000000004</v>
      </c>
      <c r="T742">
        <v>441.65</v>
      </c>
      <c r="U742">
        <v>297.07</v>
      </c>
      <c r="V742">
        <v>879.93999999999994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f>SUMPRODUCT(DB_ThemeSOFAcct[[#This Row],[Plan01]:[Plan12]],$E$14:$P$14)/valUnits2</f>
        <v>5.3880799999999995</v>
      </c>
      <c r="AD742">
        <f>SUMPRODUCT(DB_ThemeSOFAcct[[#This Row],[Act01]:[Act12]],$Q$14:$AB$14)/valUnits2</f>
        <v>5.8699399999999997</v>
      </c>
      <c r="AE742">
        <f>DB_ThemeSOFAcct[[#This Row],[Actuals]]-DB_ThemeSOFAcct[[#This Row],[Plan]]</f>
        <v>0.48186000000000018</v>
      </c>
      <c r="AF742">
        <f>IF(DB_ThemeSOFAcct[[#This Row],[Plan]]&lt;&gt;0,DB_ThemeSOFAcct[[#This Row],[Actuals]]/DB_ThemeSOFAcct[[#This Row],[Plan]],1.000011000011)</f>
        <v>1.089430743418806</v>
      </c>
      <c r="AG742" s="34">
        <f>SUM(DB_ThemeSOFAcct[[#This Row],[Plan01]:[Plan12]])/valUnits2</f>
        <v>7.7765599999999999</v>
      </c>
      <c r="AH742" s="34">
        <f>SUMPRODUCT(DB_ThemeSOFAcct[[#This Row],[Act01]:[Act12]],$Q$3:$AB$3)/valUnits2</f>
        <v>5.8699399999999997</v>
      </c>
    </row>
    <row r="743" spans="2:34" x14ac:dyDescent="0.2">
      <c r="B743" t="s">
        <v>344</v>
      </c>
      <c r="C743" t="s">
        <v>909</v>
      </c>
      <c r="D743" t="s">
        <v>237</v>
      </c>
      <c r="G743">
        <v>1507.29</v>
      </c>
      <c r="H743">
        <v>1042.51</v>
      </c>
      <c r="S743">
        <v>1507.29</v>
      </c>
      <c r="T743">
        <v>1042.51</v>
      </c>
      <c r="AC743">
        <f>SUMPRODUCT(DB_ThemeSOFAcct[[#This Row],[Plan01]:[Plan12]],$E$14:$P$14)/valUnits2</f>
        <v>2.5498000000000003</v>
      </c>
      <c r="AD743">
        <f>SUMPRODUCT(DB_ThemeSOFAcct[[#This Row],[Act01]:[Act12]],$Q$14:$AB$14)/valUnits2</f>
        <v>2.5498000000000003</v>
      </c>
      <c r="AE743">
        <f>DB_ThemeSOFAcct[[#This Row],[Actuals]]-DB_ThemeSOFAcct[[#This Row],[Plan]]</f>
        <v>0</v>
      </c>
      <c r="AF743">
        <f>IF(DB_ThemeSOFAcct[[#This Row],[Plan]]&lt;&gt;0,DB_ThemeSOFAcct[[#This Row],[Actuals]]/DB_ThemeSOFAcct[[#This Row],[Plan]],1.000011000011)</f>
        <v>1</v>
      </c>
      <c r="AG743" s="34">
        <f>SUM(DB_ThemeSOFAcct[[#This Row],[Plan01]:[Plan12]])/valUnits2</f>
        <v>2.5498000000000003</v>
      </c>
      <c r="AH743" s="34">
        <f>SUMPRODUCT(DB_ThemeSOFAcct[[#This Row],[Act01]:[Act12]],$Q$3:$AB$3)/valUnits2</f>
        <v>2.5498000000000003</v>
      </c>
    </row>
    <row r="744" spans="2:34" x14ac:dyDescent="0.2">
      <c r="B744" t="s">
        <v>344</v>
      </c>
      <c r="C744" t="s">
        <v>909</v>
      </c>
      <c r="D744" t="s">
        <v>141</v>
      </c>
      <c r="E744">
        <v>4585.9600000000009</v>
      </c>
      <c r="F744">
        <v>1898.72</v>
      </c>
      <c r="G744">
        <v>892.89</v>
      </c>
      <c r="H744">
        <v>1479.29</v>
      </c>
      <c r="I744">
        <v>2369.59</v>
      </c>
      <c r="J744">
        <v>3875</v>
      </c>
      <c r="K744">
        <v>3875</v>
      </c>
      <c r="L744">
        <v>3875</v>
      </c>
      <c r="M744">
        <v>3875</v>
      </c>
      <c r="N744">
        <v>3875</v>
      </c>
      <c r="O744">
        <v>3875</v>
      </c>
      <c r="P744">
        <v>3875</v>
      </c>
      <c r="Q744">
        <v>4585.96</v>
      </c>
      <c r="R744">
        <v>1898.72</v>
      </c>
      <c r="S744">
        <v>892.89</v>
      </c>
      <c r="T744">
        <v>1479.2899999999995</v>
      </c>
      <c r="U744">
        <v>2369.59</v>
      </c>
      <c r="V744">
        <v>1175.8799999999997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f>SUMPRODUCT(DB_ThemeSOFAcct[[#This Row],[Plan01]:[Plan12]],$E$14:$P$14)/valUnits2</f>
        <v>15.101450000000002</v>
      </c>
      <c r="AD744">
        <f>SUMPRODUCT(DB_ThemeSOFAcct[[#This Row],[Act01]:[Act12]],$Q$14:$AB$14)/valUnits2</f>
        <v>12.402329999999999</v>
      </c>
      <c r="AE744">
        <f>DB_ThemeSOFAcct[[#This Row],[Actuals]]-DB_ThemeSOFAcct[[#This Row],[Plan]]</f>
        <v>-2.6991200000000024</v>
      </c>
      <c r="AF744">
        <f>IF(DB_ThemeSOFAcct[[#This Row],[Plan]]&lt;&gt;0,DB_ThemeSOFAcct[[#This Row],[Actuals]]/DB_ThemeSOFAcct[[#This Row],[Plan]],1.000011000011)</f>
        <v>0.82126749418102218</v>
      </c>
      <c r="AG744" s="34">
        <f>SUM(DB_ThemeSOFAcct[[#This Row],[Plan01]:[Plan12]])/valUnits2</f>
        <v>38.35145</v>
      </c>
      <c r="AH744" s="34">
        <f>SUMPRODUCT(DB_ThemeSOFAcct[[#This Row],[Act01]:[Act12]],$Q$3:$AB$3)/valUnits2</f>
        <v>12.402329999999999</v>
      </c>
    </row>
    <row r="745" spans="2:34" x14ac:dyDescent="0.2">
      <c r="B745" t="s">
        <v>344</v>
      </c>
      <c r="C745" t="s">
        <v>917</v>
      </c>
      <c r="D745" t="s">
        <v>235</v>
      </c>
      <c r="J745">
        <v>0</v>
      </c>
      <c r="V745">
        <v>460.14</v>
      </c>
      <c r="AC745">
        <f>SUMPRODUCT(DB_ThemeSOFAcct[[#This Row],[Plan01]:[Plan12]],$E$14:$P$14)/valUnits2</f>
        <v>0</v>
      </c>
      <c r="AD745">
        <f>SUMPRODUCT(DB_ThemeSOFAcct[[#This Row],[Act01]:[Act12]],$Q$14:$AB$14)/valUnits2</f>
        <v>0.46013999999999999</v>
      </c>
      <c r="AE745">
        <f>DB_ThemeSOFAcct[[#This Row],[Actuals]]-DB_ThemeSOFAcct[[#This Row],[Plan]]</f>
        <v>0.46013999999999999</v>
      </c>
      <c r="AF745">
        <f>IF(DB_ThemeSOFAcct[[#This Row],[Plan]]&lt;&gt;0,DB_ThemeSOFAcct[[#This Row],[Actuals]]/DB_ThemeSOFAcct[[#This Row],[Plan]],1.000011000011)</f>
        <v>1.0000110000110001</v>
      </c>
      <c r="AG745" s="34">
        <f>SUM(DB_ThemeSOFAcct[[#This Row],[Plan01]:[Plan12]])/valUnits2</f>
        <v>0</v>
      </c>
      <c r="AH745" s="34">
        <f>SUMPRODUCT(DB_ThemeSOFAcct[[#This Row],[Act01]:[Act12]],$Q$3:$AB$3)/valUnits2</f>
        <v>0.46013999999999999</v>
      </c>
    </row>
    <row r="746" spans="2:34" x14ac:dyDescent="0.2">
      <c r="B746" t="s">
        <v>344</v>
      </c>
      <c r="C746" t="s">
        <v>917</v>
      </c>
      <c r="D746" t="s">
        <v>140</v>
      </c>
      <c r="E746">
        <v>1051.4290000000001</v>
      </c>
      <c r="F746">
        <v>0</v>
      </c>
      <c r="G746">
        <v>0</v>
      </c>
      <c r="H746">
        <v>1073.396</v>
      </c>
      <c r="I746">
        <v>1077.5340000000001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1051.43</v>
      </c>
      <c r="R746">
        <v>0</v>
      </c>
      <c r="S746">
        <v>0</v>
      </c>
      <c r="T746">
        <v>1079.42</v>
      </c>
      <c r="U746">
        <v>1082.6299999999999</v>
      </c>
      <c r="V746">
        <v>1261.48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f>SUMPRODUCT(DB_ThemeSOFAcct[[#This Row],[Plan01]:[Plan12]],$E$14:$P$14)/valUnits2</f>
        <v>3.202359</v>
      </c>
      <c r="AD746">
        <f>SUMPRODUCT(DB_ThemeSOFAcct[[#This Row],[Act01]:[Act12]],$Q$14:$AB$14)/valUnits2</f>
        <v>4.4749600000000012</v>
      </c>
      <c r="AE746">
        <f>DB_ThemeSOFAcct[[#This Row],[Actuals]]-DB_ThemeSOFAcct[[#This Row],[Plan]]</f>
        <v>1.2726010000000012</v>
      </c>
      <c r="AF746">
        <f>IF(DB_ThemeSOFAcct[[#This Row],[Plan]]&lt;&gt;0,DB_ThemeSOFAcct[[#This Row],[Actuals]]/DB_ThemeSOFAcct[[#This Row],[Plan]],1.000011000011)</f>
        <v>1.3973948579781346</v>
      </c>
      <c r="AG746" s="34">
        <f>SUM(DB_ThemeSOFAcct[[#This Row],[Plan01]:[Plan12]])/valUnits2</f>
        <v>3.202359</v>
      </c>
      <c r="AH746" s="34">
        <f>SUMPRODUCT(DB_ThemeSOFAcct[[#This Row],[Act01]:[Act12]],$Q$3:$AB$3)/valUnits2</f>
        <v>4.4749600000000012</v>
      </c>
    </row>
    <row r="747" spans="2:34" x14ac:dyDescent="0.2">
      <c r="B747" t="s">
        <v>344</v>
      </c>
      <c r="C747" t="s">
        <v>917</v>
      </c>
      <c r="D747" t="s">
        <v>236</v>
      </c>
      <c r="E747">
        <v>9894.3250000000007</v>
      </c>
      <c r="F747">
        <v>4768.2910000000002</v>
      </c>
      <c r="G747">
        <v>0</v>
      </c>
      <c r="H747">
        <v>0</v>
      </c>
      <c r="I747">
        <v>0</v>
      </c>
      <c r="J747">
        <v>0</v>
      </c>
      <c r="Q747">
        <v>9889.3700000000008</v>
      </c>
      <c r="R747">
        <v>4753.18</v>
      </c>
      <c r="S747">
        <v>0</v>
      </c>
      <c r="T747">
        <v>0</v>
      </c>
      <c r="U747">
        <v>0</v>
      </c>
      <c r="V747">
        <v>0</v>
      </c>
      <c r="AC747">
        <f>SUMPRODUCT(DB_ThemeSOFAcct[[#This Row],[Plan01]:[Plan12]],$E$14:$P$14)/valUnits2</f>
        <v>14.662616000000002</v>
      </c>
      <c r="AD747">
        <f>SUMPRODUCT(DB_ThemeSOFAcct[[#This Row],[Act01]:[Act12]],$Q$14:$AB$14)/valUnits2</f>
        <v>14.642550000000002</v>
      </c>
      <c r="AE747">
        <f>DB_ThemeSOFAcct[[#This Row],[Actuals]]-DB_ThemeSOFAcct[[#This Row],[Plan]]</f>
        <v>-2.0065999999999917E-2</v>
      </c>
      <c r="AF747">
        <f>IF(DB_ThemeSOFAcct[[#This Row],[Plan]]&lt;&gt;0,DB_ThemeSOFAcct[[#This Row],[Actuals]]/DB_ThemeSOFAcct[[#This Row],[Plan]],1.000011000011)</f>
        <v>0.99863148567758986</v>
      </c>
      <c r="AG747" s="34">
        <f>SUM(DB_ThemeSOFAcct[[#This Row],[Plan01]:[Plan12]])/valUnits2</f>
        <v>14.662616000000002</v>
      </c>
      <c r="AH747" s="34">
        <f>SUMPRODUCT(DB_ThemeSOFAcct[[#This Row],[Act01]:[Act12]],$Q$3:$AB$3)/valUnits2</f>
        <v>14.642550000000002</v>
      </c>
    </row>
    <row r="748" spans="2:34" x14ac:dyDescent="0.2">
      <c r="B748" t="s">
        <v>344</v>
      </c>
      <c r="C748" t="s">
        <v>917</v>
      </c>
      <c r="D748" t="s">
        <v>237</v>
      </c>
      <c r="E748">
        <v>2.82</v>
      </c>
      <c r="Q748">
        <v>2.82</v>
      </c>
      <c r="AC748">
        <f>SUMPRODUCT(DB_ThemeSOFAcct[[#This Row],[Plan01]:[Plan12]],$E$14:$P$14)/valUnits2</f>
        <v>2.82E-3</v>
      </c>
      <c r="AD748">
        <f>SUMPRODUCT(DB_ThemeSOFAcct[[#This Row],[Act01]:[Act12]],$Q$14:$AB$14)/valUnits2</f>
        <v>2.82E-3</v>
      </c>
      <c r="AE748">
        <f>DB_ThemeSOFAcct[[#This Row],[Actuals]]-DB_ThemeSOFAcct[[#This Row],[Plan]]</f>
        <v>0</v>
      </c>
      <c r="AF748">
        <f>IF(DB_ThemeSOFAcct[[#This Row],[Plan]]&lt;&gt;0,DB_ThemeSOFAcct[[#This Row],[Actuals]]/DB_ThemeSOFAcct[[#This Row],[Plan]],1.000011000011)</f>
        <v>1</v>
      </c>
      <c r="AG748" s="34">
        <f>SUM(DB_ThemeSOFAcct[[#This Row],[Plan01]:[Plan12]])/valUnits2</f>
        <v>2.82E-3</v>
      </c>
      <c r="AH748" s="34">
        <f>SUMPRODUCT(DB_ThemeSOFAcct[[#This Row],[Act01]:[Act12]],$Q$3:$AB$3)/valUnits2</f>
        <v>2.82E-3</v>
      </c>
    </row>
    <row r="749" spans="2:34" x14ac:dyDescent="0.2">
      <c r="B749" t="s">
        <v>344</v>
      </c>
      <c r="C749" t="s">
        <v>917</v>
      </c>
      <c r="D749" t="s">
        <v>141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314.83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f>SUMPRODUCT(DB_ThemeSOFAcct[[#This Row],[Plan01]:[Plan12]],$E$14:$P$14)/valUnits2</f>
        <v>0</v>
      </c>
      <c r="AD749">
        <f>SUMPRODUCT(DB_ThemeSOFAcct[[#This Row],[Act01]:[Act12]],$Q$14:$AB$14)/valUnits2</f>
        <v>0.31483</v>
      </c>
      <c r="AE749">
        <f>DB_ThemeSOFAcct[[#This Row],[Actuals]]-DB_ThemeSOFAcct[[#This Row],[Plan]]</f>
        <v>0.31483</v>
      </c>
      <c r="AF749">
        <f>IF(DB_ThemeSOFAcct[[#This Row],[Plan]]&lt;&gt;0,DB_ThemeSOFAcct[[#This Row],[Actuals]]/DB_ThemeSOFAcct[[#This Row],[Plan]],1.000011000011)</f>
        <v>1.0000110000110001</v>
      </c>
      <c r="AG749" s="34">
        <f>SUM(DB_ThemeSOFAcct[[#This Row],[Plan01]:[Plan12]])/valUnits2</f>
        <v>0</v>
      </c>
      <c r="AH749" s="34">
        <f>SUMPRODUCT(DB_ThemeSOFAcct[[#This Row],[Act01]:[Act12]],$Q$3:$AB$3)/valUnits2</f>
        <v>0.31483</v>
      </c>
    </row>
    <row r="750" spans="2:34" x14ac:dyDescent="0.2">
      <c r="B750" t="s">
        <v>344</v>
      </c>
      <c r="C750" t="s">
        <v>922</v>
      </c>
      <c r="D750" t="s">
        <v>143</v>
      </c>
      <c r="E750">
        <v>45.026000000000003</v>
      </c>
      <c r="F750">
        <v>0</v>
      </c>
      <c r="G750">
        <v>36.896000000000001</v>
      </c>
      <c r="H750">
        <v>0</v>
      </c>
      <c r="I750">
        <v>0</v>
      </c>
      <c r="J750">
        <v>80.433000000000007</v>
      </c>
      <c r="K750">
        <v>80.433000000000007</v>
      </c>
      <c r="L750">
        <v>80.433000000000007</v>
      </c>
      <c r="M750">
        <v>80.433000000000007</v>
      </c>
      <c r="N750">
        <v>80.433000000000007</v>
      </c>
      <c r="O750">
        <v>80.433000000000007</v>
      </c>
      <c r="P750">
        <v>80.433000000000007</v>
      </c>
      <c r="Q750">
        <v>0</v>
      </c>
      <c r="R750">
        <v>12.67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f>SUMPRODUCT(DB_ThemeSOFAcct[[#This Row],[Plan01]:[Plan12]],$E$14:$P$14)/valUnits2</f>
        <v>0.16235500000000003</v>
      </c>
      <c r="AD750">
        <f>SUMPRODUCT(DB_ThemeSOFAcct[[#This Row],[Act01]:[Act12]],$Q$14:$AB$14)/valUnits2</f>
        <v>1.2670000000000001E-2</v>
      </c>
      <c r="AE750">
        <f>DB_ThemeSOFAcct[[#This Row],[Actuals]]-DB_ThemeSOFAcct[[#This Row],[Plan]]</f>
        <v>-0.14968500000000001</v>
      </c>
      <c r="AF750">
        <f>IF(DB_ThemeSOFAcct[[#This Row],[Plan]]&lt;&gt;0,DB_ThemeSOFAcct[[#This Row],[Actuals]]/DB_ThemeSOFAcct[[#This Row],[Plan]],1.000011000011)</f>
        <v>7.803886544917002E-2</v>
      </c>
      <c r="AG750" s="34">
        <f>SUM(DB_ThemeSOFAcct[[#This Row],[Plan01]:[Plan12]])/valUnits2</f>
        <v>0.644953</v>
      </c>
      <c r="AH750" s="34">
        <f>SUMPRODUCT(DB_ThemeSOFAcct[[#This Row],[Act01]:[Act12]],$Q$3:$AB$3)/valUnits2</f>
        <v>1.2670000000000001E-2</v>
      </c>
    </row>
    <row r="751" spans="2:34" x14ac:dyDescent="0.2">
      <c r="B751" t="s">
        <v>344</v>
      </c>
      <c r="C751" t="s">
        <v>922</v>
      </c>
      <c r="D751" t="s">
        <v>235</v>
      </c>
      <c r="E751">
        <v>24.042999999999999</v>
      </c>
      <c r="F751">
        <v>44.43</v>
      </c>
      <c r="G751">
        <v>64.239000000000004</v>
      </c>
      <c r="H751">
        <v>20.324000000000002</v>
      </c>
      <c r="I751">
        <v>23.3</v>
      </c>
      <c r="J751">
        <v>721.49700000000007</v>
      </c>
      <c r="K751">
        <v>721.49700000000007</v>
      </c>
      <c r="L751">
        <v>721.49700000000007</v>
      </c>
      <c r="M751">
        <v>721.49700000000007</v>
      </c>
      <c r="N751">
        <v>721.49700000000007</v>
      </c>
      <c r="O751">
        <v>721.49700000000007</v>
      </c>
      <c r="P751">
        <v>721.49700000000007</v>
      </c>
      <c r="Q751">
        <v>67.66</v>
      </c>
      <c r="R751">
        <v>45.519999999999996</v>
      </c>
      <c r="S751">
        <v>102.21000000000001</v>
      </c>
      <c r="T751">
        <v>20.310000000000002</v>
      </c>
      <c r="U751">
        <v>23.38</v>
      </c>
      <c r="V751">
        <v>55.32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f>SUMPRODUCT(DB_ThemeSOFAcct[[#This Row],[Plan01]:[Plan12]],$E$14:$P$14)/valUnits2</f>
        <v>0.8978330000000001</v>
      </c>
      <c r="AD751">
        <f>SUMPRODUCT(DB_ThemeSOFAcct[[#This Row],[Act01]:[Act12]],$Q$14:$AB$14)/valUnits2</f>
        <v>0.31439999999999996</v>
      </c>
      <c r="AE751">
        <f>DB_ThemeSOFAcct[[#This Row],[Actuals]]-DB_ThemeSOFAcct[[#This Row],[Plan]]</f>
        <v>-0.58343300000000009</v>
      </c>
      <c r="AF751">
        <f>IF(DB_ThemeSOFAcct[[#This Row],[Plan]]&lt;&gt;0,DB_ThemeSOFAcct[[#This Row],[Actuals]]/DB_ThemeSOFAcct[[#This Row],[Plan]],1.000011000011)</f>
        <v>0.35017648048133665</v>
      </c>
      <c r="AG751" s="34">
        <f>SUM(DB_ThemeSOFAcct[[#This Row],[Plan01]:[Plan12]])/valUnits2</f>
        <v>5.2268150000000011</v>
      </c>
      <c r="AH751" s="34">
        <f>SUMPRODUCT(DB_ThemeSOFAcct[[#This Row],[Act01]:[Act12]],$Q$3:$AB$3)/valUnits2</f>
        <v>0.31439999999999996</v>
      </c>
    </row>
    <row r="752" spans="2:34" x14ac:dyDescent="0.2">
      <c r="B752" t="s">
        <v>344</v>
      </c>
      <c r="C752" t="s">
        <v>922</v>
      </c>
      <c r="D752" t="s">
        <v>140</v>
      </c>
      <c r="E752">
        <v>3857.1089999999999</v>
      </c>
      <c r="F752">
        <v>5425.2739999999994</v>
      </c>
      <c r="G752">
        <v>4591.1130000000003</v>
      </c>
      <c r="H752">
        <v>5591.2099999999991</v>
      </c>
      <c r="I752">
        <v>4830.1230000000005</v>
      </c>
      <c r="J752">
        <v>7028.4309999999996</v>
      </c>
      <c r="K752">
        <v>7028.4309999999996</v>
      </c>
      <c r="L752">
        <v>7028.4309999999996</v>
      </c>
      <c r="M752">
        <v>7028.4309999999996</v>
      </c>
      <c r="N752">
        <v>7028.4309999999996</v>
      </c>
      <c r="O752">
        <v>7028.4309999999996</v>
      </c>
      <c r="P752">
        <v>7028.4310000000005</v>
      </c>
      <c r="Q752">
        <v>3800.0699999999997</v>
      </c>
      <c r="R752">
        <v>5539.04</v>
      </c>
      <c r="S752">
        <v>4632.67</v>
      </c>
      <c r="T752">
        <v>5559.33</v>
      </c>
      <c r="U752">
        <v>4773.2299999999996</v>
      </c>
      <c r="V752">
        <v>12419.14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f>SUMPRODUCT(DB_ThemeSOFAcct[[#This Row],[Plan01]:[Plan12]],$E$14:$P$14)/valUnits2</f>
        <v>31.323259999999998</v>
      </c>
      <c r="AD752">
        <f>SUMPRODUCT(DB_ThemeSOFAcct[[#This Row],[Act01]:[Act12]],$Q$14:$AB$14)/valUnits2</f>
        <v>36.723479999999995</v>
      </c>
      <c r="AE752">
        <f>DB_ThemeSOFAcct[[#This Row],[Actuals]]-DB_ThemeSOFAcct[[#This Row],[Plan]]</f>
        <v>5.4002199999999974</v>
      </c>
      <c r="AF752">
        <f>IF(DB_ThemeSOFAcct[[#This Row],[Plan]]&lt;&gt;0,DB_ThemeSOFAcct[[#This Row],[Actuals]]/DB_ThemeSOFAcct[[#This Row],[Plan]],1.000011000011)</f>
        <v>1.1724028724979456</v>
      </c>
      <c r="AG752" s="34">
        <f>SUM(DB_ThemeSOFAcct[[#This Row],[Plan01]:[Plan12]])/valUnits2</f>
        <v>73.493845999999991</v>
      </c>
      <c r="AH752" s="34">
        <f>SUMPRODUCT(DB_ThemeSOFAcct[[#This Row],[Act01]:[Act12]],$Q$3:$AB$3)/valUnits2</f>
        <v>36.723479999999995</v>
      </c>
    </row>
    <row r="753" spans="2:34" x14ac:dyDescent="0.2">
      <c r="B753" t="s">
        <v>344</v>
      </c>
      <c r="C753" t="s">
        <v>922</v>
      </c>
      <c r="D753" t="s">
        <v>236</v>
      </c>
      <c r="E753">
        <v>707.47</v>
      </c>
      <c r="F753">
        <v>1067.1309999999999</v>
      </c>
      <c r="G753">
        <v>1648.963</v>
      </c>
      <c r="H753">
        <v>1051.2760000000001</v>
      </c>
      <c r="I753">
        <v>3311.8840000000005</v>
      </c>
      <c r="J753">
        <v>0</v>
      </c>
      <c r="Q753">
        <v>685.59</v>
      </c>
      <c r="R753">
        <v>1096.8400000000001</v>
      </c>
      <c r="S753">
        <v>1690.5800000000002</v>
      </c>
      <c r="T753">
        <v>1039.71</v>
      </c>
      <c r="U753">
        <v>3322.34</v>
      </c>
      <c r="V753">
        <v>877.83</v>
      </c>
      <c r="AC753">
        <f>SUMPRODUCT(DB_ThemeSOFAcct[[#This Row],[Plan01]:[Plan12]],$E$14:$P$14)/valUnits2</f>
        <v>7.7867240000000004</v>
      </c>
      <c r="AD753">
        <f>SUMPRODUCT(DB_ThemeSOFAcct[[#This Row],[Act01]:[Act12]],$Q$14:$AB$14)/valUnits2</f>
        <v>8.7128900000000016</v>
      </c>
      <c r="AE753">
        <f>DB_ThemeSOFAcct[[#This Row],[Actuals]]-DB_ThemeSOFAcct[[#This Row],[Plan]]</f>
        <v>0.92616600000000116</v>
      </c>
      <c r="AF753">
        <f>IF(DB_ThemeSOFAcct[[#This Row],[Plan]]&lt;&gt;0,DB_ThemeSOFAcct[[#This Row],[Actuals]]/DB_ThemeSOFAcct[[#This Row],[Plan]],1.000011000011)</f>
        <v>1.1189416756006765</v>
      </c>
      <c r="AG753" s="34">
        <f>SUM(DB_ThemeSOFAcct[[#This Row],[Plan01]:[Plan12]])/valUnits2</f>
        <v>7.7867240000000004</v>
      </c>
      <c r="AH753" s="34">
        <f>SUMPRODUCT(DB_ThemeSOFAcct[[#This Row],[Act01]:[Act12]],$Q$3:$AB$3)/valUnits2</f>
        <v>8.7128900000000016</v>
      </c>
    </row>
    <row r="754" spans="2:34" x14ac:dyDescent="0.2">
      <c r="B754" t="s">
        <v>344</v>
      </c>
      <c r="C754" t="s">
        <v>922</v>
      </c>
      <c r="D754" t="s">
        <v>237</v>
      </c>
      <c r="F754">
        <v>1073.44</v>
      </c>
      <c r="G754">
        <v>98.137</v>
      </c>
      <c r="H754">
        <v>9.5519999999999996</v>
      </c>
      <c r="R754">
        <v>1104.6500000000001</v>
      </c>
      <c r="S754">
        <v>99.76</v>
      </c>
      <c r="T754">
        <v>9.52</v>
      </c>
      <c r="AC754">
        <f>SUMPRODUCT(DB_ThemeSOFAcct[[#This Row],[Plan01]:[Plan12]],$E$14:$P$14)/valUnits2</f>
        <v>1.1811289999999999</v>
      </c>
      <c r="AD754">
        <f>SUMPRODUCT(DB_ThemeSOFAcct[[#This Row],[Act01]:[Act12]],$Q$14:$AB$14)/valUnits2</f>
        <v>1.21393</v>
      </c>
      <c r="AE754">
        <f>DB_ThemeSOFAcct[[#This Row],[Actuals]]-DB_ThemeSOFAcct[[#This Row],[Plan]]</f>
        <v>3.280100000000008E-2</v>
      </c>
      <c r="AF754">
        <f>IF(DB_ThemeSOFAcct[[#This Row],[Plan]]&lt;&gt;0,DB_ThemeSOFAcct[[#This Row],[Actuals]]/DB_ThemeSOFAcct[[#This Row],[Plan]],1.000011000011)</f>
        <v>1.0277708870072617</v>
      </c>
      <c r="AG754" s="34">
        <f>SUM(DB_ThemeSOFAcct[[#This Row],[Plan01]:[Plan12]])/valUnits2</f>
        <v>1.1811289999999999</v>
      </c>
      <c r="AH754" s="34">
        <f>SUMPRODUCT(DB_ThemeSOFAcct[[#This Row],[Act01]:[Act12]],$Q$3:$AB$3)/valUnits2</f>
        <v>1.21393</v>
      </c>
    </row>
    <row r="755" spans="2:34" x14ac:dyDescent="0.2">
      <c r="B755" t="s">
        <v>344</v>
      </c>
      <c r="C755" t="s">
        <v>922</v>
      </c>
      <c r="D755" t="s">
        <v>141</v>
      </c>
      <c r="E755">
        <v>304.54300000000001</v>
      </c>
      <c r="F755">
        <v>498.279</v>
      </c>
      <c r="G755">
        <v>5661.0379999999996</v>
      </c>
      <c r="H755">
        <v>253.20099999999999</v>
      </c>
      <c r="I755">
        <v>90.725999999999999</v>
      </c>
      <c r="J755">
        <v>971.88900000000001</v>
      </c>
      <c r="K755">
        <v>971.88900000000001</v>
      </c>
      <c r="L755">
        <v>971.88900000000001</v>
      </c>
      <c r="M755">
        <v>971.88900000000001</v>
      </c>
      <c r="N755">
        <v>971.88900000000001</v>
      </c>
      <c r="O755">
        <v>971.88900000000001</v>
      </c>
      <c r="P755">
        <v>971.88900000000001</v>
      </c>
      <c r="Q755">
        <v>296.95</v>
      </c>
      <c r="R755">
        <v>511.15</v>
      </c>
      <c r="S755">
        <v>5715.9500000000007</v>
      </c>
      <c r="T755">
        <v>251.27</v>
      </c>
      <c r="U755">
        <v>91.1</v>
      </c>
      <c r="V755">
        <v>247.55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f>SUMPRODUCT(DB_ThemeSOFAcct[[#This Row],[Plan01]:[Plan12]],$E$14:$P$14)/valUnits2</f>
        <v>7.7796759999999994</v>
      </c>
      <c r="AD755">
        <f>SUMPRODUCT(DB_ThemeSOFAcct[[#This Row],[Act01]:[Act12]],$Q$14:$AB$14)/valUnits2</f>
        <v>7.1139700000000019</v>
      </c>
      <c r="AE755">
        <f>DB_ThemeSOFAcct[[#This Row],[Actuals]]-DB_ThemeSOFAcct[[#This Row],[Plan]]</f>
        <v>-0.66570599999999747</v>
      </c>
      <c r="AF755">
        <f>IF(DB_ThemeSOFAcct[[#This Row],[Plan]]&lt;&gt;0,DB_ThemeSOFAcct[[#This Row],[Actuals]]/DB_ThemeSOFAcct[[#This Row],[Plan]],1.000011000011)</f>
        <v>0.91443011251368345</v>
      </c>
      <c r="AG755" s="34">
        <f>SUM(DB_ThemeSOFAcct[[#This Row],[Plan01]:[Plan12]])/valUnits2</f>
        <v>13.611009999999995</v>
      </c>
      <c r="AH755" s="34">
        <f>SUMPRODUCT(DB_ThemeSOFAcct[[#This Row],[Act01]:[Act12]],$Q$3:$AB$3)/valUnits2</f>
        <v>7.1139700000000019</v>
      </c>
    </row>
    <row r="756" spans="2:34" x14ac:dyDescent="0.2">
      <c r="B756" t="s">
        <v>344</v>
      </c>
      <c r="C756" t="s">
        <v>933</v>
      </c>
      <c r="D756" t="s">
        <v>143</v>
      </c>
      <c r="E756">
        <v>3737.54</v>
      </c>
      <c r="F756">
        <v>-10938.42</v>
      </c>
      <c r="G756">
        <v>2142.1600000000003</v>
      </c>
      <c r="H756">
        <v>168.5</v>
      </c>
      <c r="I756">
        <v>21561.81</v>
      </c>
      <c r="J756">
        <v>10986</v>
      </c>
      <c r="K756">
        <v>10986</v>
      </c>
      <c r="L756">
        <v>10986</v>
      </c>
      <c r="M756">
        <v>10986</v>
      </c>
      <c r="N756">
        <v>10986</v>
      </c>
      <c r="O756">
        <v>10986</v>
      </c>
      <c r="P756">
        <v>10986</v>
      </c>
      <c r="Q756">
        <v>3730.02</v>
      </c>
      <c r="R756">
        <v>-10938.419999999998</v>
      </c>
      <c r="S756">
        <v>2142.1600000000003</v>
      </c>
      <c r="T756">
        <v>190.95</v>
      </c>
      <c r="U756">
        <v>21359.72</v>
      </c>
      <c r="V756">
        <v>12224.769999999999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f>SUMPRODUCT(DB_ThemeSOFAcct[[#This Row],[Plan01]:[Plan12]],$E$14:$P$14)/valUnits2</f>
        <v>27.657590000000003</v>
      </c>
      <c r="AD756">
        <f>SUMPRODUCT(DB_ThemeSOFAcct[[#This Row],[Act01]:[Act12]],$Q$14:$AB$14)/valUnits2</f>
        <v>28.709200000000003</v>
      </c>
      <c r="AE756">
        <f>DB_ThemeSOFAcct[[#This Row],[Actuals]]-DB_ThemeSOFAcct[[#This Row],[Plan]]</f>
        <v>1.0516100000000002</v>
      </c>
      <c r="AF756">
        <f>IF(DB_ThemeSOFAcct[[#This Row],[Plan]]&lt;&gt;0,DB_ThemeSOFAcct[[#This Row],[Actuals]]/DB_ThemeSOFAcct[[#This Row],[Plan]],1.000011000011)</f>
        <v>1.0380224741201241</v>
      </c>
      <c r="AG756" s="34">
        <f>SUM(DB_ThemeSOFAcct[[#This Row],[Plan01]:[Plan12]])/valUnits2</f>
        <v>93.573589999999996</v>
      </c>
      <c r="AH756" s="34">
        <f>SUMPRODUCT(DB_ThemeSOFAcct[[#This Row],[Act01]:[Act12]],$Q$3:$AB$3)/valUnits2</f>
        <v>28.709200000000003</v>
      </c>
    </row>
    <row r="757" spans="2:34" x14ac:dyDescent="0.2">
      <c r="B757" t="s">
        <v>344</v>
      </c>
      <c r="C757" t="s">
        <v>933</v>
      </c>
      <c r="D757" t="s">
        <v>235</v>
      </c>
      <c r="E757">
        <v>9877.7999999999993</v>
      </c>
      <c r="F757">
        <v>-2633.8900000000003</v>
      </c>
      <c r="G757">
        <v>13529.689999999999</v>
      </c>
      <c r="H757">
        <v>29546.150000000005</v>
      </c>
      <c r="I757">
        <v>5542.41</v>
      </c>
      <c r="J757">
        <v>455</v>
      </c>
      <c r="K757">
        <v>455</v>
      </c>
      <c r="L757">
        <v>453.5</v>
      </c>
      <c r="M757">
        <v>453.5</v>
      </c>
      <c r="N757">
        <v>453.5</v>
      </c>
      <c r="O757">
        <v>453.5</v>
      </c>
      <c r="P757">
        <v>453.5</v>
      </c>
      <c r="Q757">
        <v>9885.32</v>
      </c>
      <c r="R757">
        <v>-2633.8900000000003</v>
      </c>
      <c r="S757">
        <v>13529.69</v>
      </c>
      <c r="T757">
        <v>29546.15</v>
      </c>
      <c r="U757">
        <v>5744.4999999999991</v>
      </c>
      <c r="V757">
        <v>9124.6999999999989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f>SUMPRODUCT(DB_ThemeSOFAcct[[#This Row],[Plan01]:[Plan12]],$E$14:$P$14)/valUnits2</f>
        <v>56.317160000000001</v>
      </c>
      <c r="AD757">
        <f>SUMPRODUCT(DB_ThemeSOFAcct[[#This Row],[Act01]:[Act12]],$Q$14:$AB$14)/valUnits2</f>
        <v>65.196470000000005</v>
      </c>
      <c r="AE757">
        <f>DB_ThemeSOFAcct[[#This Row],[Actuals]]-DB_ThemeSOFAcct[[#This Row],[Plan]]</f>
        <v>8.8793100000000038</v>
      </c>
      <c r="AF757">
        <f>IF(DB_ThemeSOFAcct[[#This Row],[Plan]]&lt;&gt;0,DB_ThemeSOFAcct[[#This Row],[Actuals]]/DB_ThemeSOFAcct[[#This Row],[Plan]],1.000011000011)</f>
        <v>1.1576661536199624</v>
      </c>
      <c r="AG757" s="34">
        <f>SUM(DB_ThemeSOFAcct[[#This Row],[Plan01]:[Plan12]])/valUnits2</f>
        <v>59.039660000000005</v>
      </c>
      <c r="AH757" s="34">
        <f>SUMPRODUCT(DB_ThemeSOFAcct[[#This Row],[Act01]:[Act12]],$Q$3:$AB$3)/valUnits2</f>
        <v>65.196470000000005</v>
      </c>
    </row>
    <row r="758" spans="2:34" x14ac:dyDescent="0.2">
      <c r="B758" t="s">
        <v>344</v>
      </c>
      <c r="C758" t="s">
        <v>933</v>
      </c>
      <c r="D758" t="s">
        <v>142</v>
      </c>
      <c r="E758">
        <v>9393.5600000000013</v>
      </c>
      <c r="F758">
        <v>-1.8189894035458565E-12</v>
      </c>
      <c r="G758">
        <v>19975.240000000002</v>
      </c>
      <c r="H758">
        <v>22002.720000000001</v>
      </c>
      <c r="I758">
        <v>0</v>
      </c>
      <c r="J758">
        <v>5072</v>
      </c>
      <c r="K758">
        <v>5072</v>
      </c>
      <c r="L758">
        <v>5072</v>
      </c>
      <c r="M758">
        <v>5072</v>
      </c>
      <c r="N758">
        <v>5072</v>
      </c>
      <c r="O758">
        <v>5072</v>
      </c>
      <c r="P758">
        <v>5072</v>
      </c>
      <c r="Q758">
        <v>9393.5600000000013</v>
      </c>
      <c r="R758">
        <v>0</v>
      </c>
      <c r="S758">
        <v>19975.240000000002</v>
      </c>
      <c r="T758">
        <v>22002.720000000001</v>
      </c>
      <c r="U758">
        <v>0</v>
      </c>
      <c r="V758">
        <v>20181.78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f>SUMPRODUCT(DB_ThemeSOFAcct[[#This Row],[Plan01]:[Plan12]],$E$14:$P$14)/valUnits2</f>
        <v>56.443520000000007</v>
      </c>
      <c r="AD758">
        <f>SUMPRODUCT(DB_ThemeSOFAcct[[#This Row],[Act01]:[Act12]],$Q$14:$AB$14)/valUnits2</f>
        <v>71.553300000000007</v>
      </c>
      <c r="AE758">
        <f>DB_ThemeSOFAcct[[#This Row],[Actuals]]-DB_ThemeSOFAcct[[#This Row],[Plan]]</f>
        <v>15.109780000000001</v>
      </c>
      <c r="AF758">
        <f>IF(DB_ThemeSOFAcct[[#This Row],[Plan]]&lt;&gt;0,DB_ThemeSOFAcct[[#This Row],[Actuals]]/DB_ThemeSOFAcct[[#This Row],[Plan]],1.000011000011)</f>
        <v>1.2676973370902453</v>
      </c>
      <c r="AG758" s="34">
        <f>SUM(DB_ThemeSOFAcct[[#This Row],[Plan01]:[Plan12]])/valUnits2</f>
        <v>86.875520000000009</v>
      </c>
      <c r="AH758" s="34">
        <f>SUMPRODUCT(DB_ThemeSOFAcct[[#This Row],[Act01]:[Act12]],$Q$3:$AB$3)/valUnits2</f>
        <v>71.553300000000007</v>
      </c>
    </row>
    <row r="759" spans="2:34" x14ac:dyDescent="0.2">
      <c r="B759" t="s">
        <v>344</v>
      </c>
      <c r="C759" t="s">
        <v>933</v>
      </c>
      <c r="D759" t="s">
        <v>140</v>
      </c>
      <c r="E759">
        <v>22291.75</v>
      </c>
      <c r="F759">
        <v>24975.43</v>
      </c>
      <c r="G759">
        <v>27641.73</v>
      </c>
      <c r="H759">
        <v>25346.02</v>
      </c>
      <c r="I759">
        <v>25918.11</v>
      </c>
      <c r="J759">
        <v>8038.5</v>
      </c>
      <c r="K759">
        <v>8038.5</v>
      </c>
      <c r="L759">
        <v>8038.5</v>
      </c>
      <c r="M759">
        <v>8038.5</v>
      </c>
      <c r="N759">
        <v>8038.5</v>
      </c>
      <c r="O759">
        <v>8038.5</v>
      </c>
      <c r="P759">
        <v>8038.5</v>
      </c>
      <c r="Q759">
        <v>22291.749999999996</v>
      </c>
      <c r="R759">
        <v>24975.43</v>
      </c>
      <c r="S759">
        <v>27641.729999999992</v>
      </c>
      <c r="T759">
        <v>25346.019999999997</v>
      </c>
      <c r="U759">
        <v>25918.11</v>
      </c>
      <c r="V759">
        <v>26996.999999999996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f>SUMPRODUCT(DB_ThemeSOFAcct[[#This Row],[Plan01]:[Plan12]],$E$14:$P$14)/valUnits2</f>
        <v>134.21154000000001</v>
      </c>
      <c r="AD759">
        <f>SUMPRODUCT(DB_ThemeSOFAcct[[#This Row],[Act01]:[Act12]],$Q$14:$AB$14)/valUnits2</f>
        <v>153.17003999999997</v>
      </c>
      <c r="AE759">
        <f>DB_ThemeSOFAcct[[#This Row],[Actuals]]-DB_ThemeSOFAcct[[#This Row],[Plan]]</f>
        <v>18.958499999999958</v>
      </c>
      <c r="AF759">
        <f>IF(DB_ThemeSOFAcct[[#This Row],[Plan]]&lt;&gt;0,DB_ThemeSOFAcct[[#This Row],[Actuals]]/DB_ThemeSOFAcct[[#This Row],[Plan]],1.000011000011)</f>
        <v>1.1412583448487363</v>
      </c>
      <c r="AG759" s="34">
        <f>SUM(DB_ThemeSOFAcct[[#This Row],[Plan01]:[Plan12]])/valUnits2</f>
        <v>182.44254000000001</v>
      </c>
      <c r="AH759" s="34">
        <f>SUMPRODUCT(DB_ThemeSOFAcct[[#This Row],[Act01]:[Act12]],$Q$3:$AB$3)/valUnits2</f>
        <v>153.17003999999997</v>
      </c>
    </row>
    <row r="760" spans="2:34" x14ac:dyDescent="0.2">
      <c r="B760" t="s">
        <v>344</v>
      </c>
      <c r="C760" t="s">
        <v>933</v>
      </c>
      <c r="D760" t="s">
        <v>236</v>
      </c>
      <c r="E760">
        <v>6842.35</v>
      </c>
      <c r="F760">
        <v>216.58000000000004</v>
      </c>
      <c r="G760">
        <v>3512.26</v>
      </c>
      <c r="H760">
        <v>7359.68</v>
      </c>
      <c r="I760">
        <v>4632.7</v>
      </c>
      <c r="J760">
        <v>0</v>
      </c>
      <c r="Q760">
        <v>6842.35</v>
      </c>
      <c r="R760">
        <v>216.57999999999981</v>
      </c>
      <c r="S760">
        <v>3512.26</v>
      </c>
      <c r="T760">
        <v>7359.68</v>
      </c>
      <c r="U760">
        <v>4632.7</v>
      </c>
      <c r="V760">
        <v>2959.3799999999997</v>
      </c>
      <c r="AC760">
        <f>SUMPRODUCT(DB_ThemeSOFAcct[[#This Row],[Plan01]:[Plan12]],$E$14:$P$14)/valUnits2</f>
        <v>22.563570000000002</v>
      </c>
      <c r="AD760">
        <f>SUMPRODUCT(DB_ThemeSOFAcct[[#This Row],[Act01]:[Act12]],$Q$14:$AB$14)/valUnits2</f>
        <v>25.522950000000005</v>
      </c>
      <c r="AE760">
        <f>DB_ThemeSOFAcct[[#This Row],[Actuals]]-DB_ThemeSOFAcct[[#This Row],[Plan]]</f>
        <v>2.959380000000003</v>
      </c>
      <c r="AF760">
        <f>IF(DB_ThemeSOFAcct[[#This Row],[Plan]]&lt;&gt;0,DB_ThemeSOFAcct[[#This Row],[Actuals]]/DB_ThemeSOFAcct[[#This Row],[Plan]],1.000011000011)</f>
        <v>1.131157436522678</v>
      </c>
      <c r="AG760" s="34">
        <f>SUM(DB_ThemeSOFAcct[[#This Row],[Plan01]:[Plan12]])/valUnits2</f>
        <v>22.563570000000002</v>
      </c>
      <c r="AH760" s="34">
        <f>SUMPRODUCT(DB_ThemeSOFAcct[[#This Row],[Act01]:[Act12]],$Q$3:$AB$3)/valUnits2</f>
        <v>25.522950000000005</v>
      </c>
    </row>
    <row r="761" spans="2:34" x14ac:dyDescent="0.2">
      <c r="B761" t="s">
        <v>344</v>
      </c>
      <c r="C761" t="s">
        <v>933</v>
      </c>
      <c r="D761" t="s">
        <v>237</v>
      </c>
      <c r="G761">
        <v>16.88</v>
      </c>
      <c r="H761">
        <v>0</v>
      </c>
      <c r="I761">
        <v>0</v>
      </c>
      <c r="S761">
        <v>16.88</v>
      </c>
      <c r="T761">
        <v>0</v>
      </c>
      <c r="U761">
        <v>0</v>
      </c>
      <c r="AC761">
        <f>SUMPRODUCT(DB_ThemeSOFAcct[[#This Row],[Plan01]:[Plan12]],$E$14:$P$14)/valUnits2</f>
        <v>1.6879999999999999E-2</v>
      </c>
      <c r="AD761">
        <f>SUMPRODUCT(DB_ThemeSOFAcct[[#This Row],[Act01]:[Act12]],$Q$14:$AB$14)/valUnits2</f>
        <v>1.6879999999999999E-2</v>
      </c>
      <c r="AE761">
        <f>DB_ThemeSOFAcct[[#This Row],[Actuals]]-DB_ThemeSOFAcct[[#This Row],[Plan]]</f>
        <v>0</v>
      </c>
      <c r="AF761">
        <f>IF(DB_ThemeSOFAcct[[#This Row],[Plan]]&lt;&gt;0,DB_ThemeSOFAcct[[#This Row],[Actuals]]/DB_ThemeSOFAcct[[#This Row],[Plan]],1.000011000011)</f>
        <v>1</v>
      </c>
      <c r="AG761" s="34">
        <f>SUM(DB_ThemeSOFAcct[[#This Row],[Plan01]:[Plan12]])/valUnits2</f>
        <v>1.6879999999999999E-2</v>
      </c>
      <c r="AH761" s="34">
        <f>SUMPRODUCT(DB_ThemeSOFAcct[[#This Row],[Act01]:[Act12]],$Q$3:$AB$3)/valUnits2</f>
        <v>1.6879999999999999E-2</v>
      </c>
    </row>
    <row r="762" spans="2:34" x14ac:dyDescent="0.2">
      <c r="B762" t="s">
        <v>344</v>
      </c>
      <c r="C762" t="s">
        <v>933</v>
      </c>
      <c r="D762" t="s">
        <v>141</v>
      </c>
      <c r="E762">
        <v>2018.5100000000002</v>
      </c>
      <c r="F762">
        <v>2954.12</v>
      </c>
      <c r="G762">
        <v>5023.51</v>
      </c>
      <c r="H762">
        <v>1803.48</v>
      </c>
      <c r="I762">
        <v>2107.11</v>
      </c>
      <c r="J762">
        <v>64991</v>
      </c>
      <c r="K762">
        <v>29564</v>
      </c>
      <c r="L762">
        <v>29564</v>
      </c>
      <c r="M762">
        <v>29564</v>
      </c>
      <c r="N762">
        <v>29564</v>
      </c>
      <c r="O762">
        <v>29564</v>
      </c>
      <c r="P762">
        <v>29564</v>
      </c>
      <c r="Q762">
        <v>2018.51</v>
      </c>
      <c r="R762">
        <v>2954.1200000000003</v>
      </c>
      <c r="S762">
        <v>5023.5100000000011</v>
      </c>
      <c r="T762">
        <v>1803.48</v>
      </c>
      <c r="U762">
        <v>2107.11</v>
      </c>
      <c r="V762">
        <v>2524.4000000000005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f>SUMPRODUCT(DB_ThemeSOFAcct[[#This Row],[Plan01]:[Plan12]],$E$14:$P$14)/valUnits2</f>
        <v>78.897729999999996</v>
      </c>
      <c r="AD762">
        <f>SUMPRODUCT(DB_ThemeSOFAcct[[#This Row],[Act01]:[Act12]],$Q$14:$AB$14)/valUnits2</f>
        <v>16.43113</v>
      </c>
      <c r="AE762">
        <f>DB_ThemeSOFAcct[[#This Row],[Actuals]]-DB_ThemeSOFAcct[[#This Row],[Plan]]</f>
        <v>-62.4666</v>
      </c>
      <c r="AF762">
        <f>IF(DB_ThemeSOFAcct[[#This Row],[Plan]]&lt;&gt;0,DB_ThemeSOFAcct[[#This Row],[Actuals]]/DB_ThemeSOFAcct[[#This Row],[Plan]],1.000011000011)</f>
        <v>0.20825858994929258</v>
      </c>
      <c r="AG762" s="34">
        <f>SUM(DB_ThemeSOFAcct[[#This Row],[Plan01]:[Plan12]])/valUnits2</f>
        <v>256.28172999999998</v>
      </c>
      <c r="AH762" s="34">
        <f>SUMPRODUCT(DB_ThemeSOFAcct[[#This Row],[Act01]:[Act12]],$Q$3:$AB$3)/valUnits2</f>
        <v>16.43113</v>
      </c>
    </row>
    <row r="763" spans="2:34" x14ac:dyDescent="0.2">
      <c r="B763" t="s">
        <v>344</v>
      </c>
      <c r="C763" t="s">
        <v>934</v>
      </c>
      <c r="D763" t="s">
        <v>236</v>
      </c>
      <c r="E763">
        <v>0</v>
      </c>
      <c r="F763">
        <v>0</v>
      </c>
      <c r="G763">
        <v>0</v>
      </c>
      <c r="H763">
        <v>1605695.61</v>
      </c>
      <c r="I763">
        <v>0</v>
      </c>
      <c r="J763">
        <v>1491983.7069999999</v>
      </c>
      <c r="K763">
        <v>0</v>
      </c>
      <c r="L763">
        <v>0</v>
      </c>
      <c r="M763">
        <v>1491983.7069999999</v>
      </c>
      <c r="N763">
        <v>0</v>
      </c>
      <c r="O763">
        <v>0</v>
      </c>
      <c r="P763">
        <v>1478955.7069999999</v>
      </c>
      <c r="Q763">
        <v>0</v>
      </c>
      <c r="R763">
        <v>0</v>
      </c>
      <c r="S763">
        <v>0</v>
      </c>
      <c r="T763">
        <v>1605695.61</v>
      </c>
      <c r="U763">
        <v>0</v>
      </c>
      <c r="V763">
        <v>572741.81999999995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f>SUMPRODUCT(DB_ThemeSOFAcct[[#This Row],[Plan01]:[Plan12]],$E$14:$P$14)/valUnits2</f>
        <v>3097.6793169999996</v>
      </c>
      <c r="AD763">
        <f>SUMPRODUCT(DB_ThemeSOFAcct[[#This Row],[Act01]:[Act12]],$Q$14:$AB$14)/valUnits2</f>
        <v>2178.4374299999999</v>
      </c>
      <c r="AE763">
        <f>DB_ThemeSOFAcct[[#This Row],[Actuals]]-DB_ThemeSOFAcct[[#This Row],[Plan]]</f>
        <v>-919.24188699999968</v>
      </c>
      <c r="AF763">
        <f>IF(DB_ThemeSOFAcct[[#This Row],[Plan]]&lt;&gt;0,DB_ThemeSOFAcct[[#This Row],[Actuals]]/DB_ThemeSOFAcct[[#This Row],[Plan]],1.000011000011)</f>
        <v>0.70324820843938907</v>
      </c>
      <c r="AG763" s="34">
        <f>SUM(DB_ThemeSOFAcct[[#This Row],[Plan01]:[Plan12]])/valUnits2</f>
        <v>6068.6187310000005</v>
      </c>
      <c r="AH763" s="34">
        <f>SUMPRODUCT(DB_ThemeSOFAcct[[#This Row],[Act01]:[Act12]],$Q$3:$AB$3)/valUnits2</f>
        <v>2178.4374299999999</v>
      </c>
    </row>
    <row r="764" spans="2:34" x14ac:dyDescent="0.2">
      <c r="B764" t="s">
        <v>345</v>
      </c>
      <c r="C764" t="s">
        <v>843</v>
      </c>
      <c r="D764" t="s">
        <v>235</v>
      </c>
      <c r="J764">
        <v>0</v>
      </c>
      <c r="V764">
        <v>80.849999999999994</v>
      </c>
      <c r="AC764">
        <f>SUMPRODUCT(DB_ThemeSOFAcct[[#This Row],[Plan01]:[Plan12]],$E$14:$P$14)/valUnits2</f>
        <v>0</v>
      </c>
      <c r="AD764">
        <f>SUMPRODUCT(DB_ThemeSOFAcct[[#This Row],[Act01]:[Act12]],$Q$14:$AB$14)/valUnits2</f>
        <v>8.0849999999999991E-2</v>
      </c>
      <c r="AE764">
        <f>DB_ThemeSOFAcct[[#This Row],[Actuals]]-DB_ThemeSOFAcct[[#This Row],[Plan]]</f>
        <v>8.0849999999999991E-2</v>
      </c>
      <c r="AF764">
        <f>IF(DB_ThemeSOFAcct[[#This Row],[Plan]]&lt;&gt;0,DB_ThemeSOFAcct[[#This Row],[Actuals]]/DB_ThemeSOFAcct[[#This Row],[Plan]],1.000011000011)</f>
        <v>1.0000110000110001</v>
      </c>
      <c r="AG764" s="34">
        <f>SUM(DB_ThemeSOFAcct[[#This Row],[Plan01]:[Plan12]])/valUnits2</f>
        <v>0</v>
      </c>
      <c r="AH764" s="34">
        <f>SUMPRODUCT(DB_ThemeSOFAcct[[#This Row],[Act01]:[Act12]],$Q$3:$AB$3)/valUnits2</f>
        <v>8.0849999999999991E-2</v>
      </c>
    </row>
    <row r="765" spans="2:34" x14ac:dyDescent="0.2">
      <c r="B765" t="s">
        <v>345</v>
      </c>
      <c r="C765" t="s">
        <v>843</v>
      </c>
      <c r="D765" t="s">
        <v>142</v>
      </c>
      <c r="H765">
        <v>62091.199999999997</v>
      </c>
      <c r="I765">
        <v>31867.084999999999</v>
      </c>
      <c r="J765">
        <v>37121.783000000003</v>
      </c>
      <c r="K765">
        <v>37121.783000000003</v>
      </c>
      <c r="L765">
        <v>37121.783000000003</v>
      </c>
      <c r="M765">
        <v>37121.782999999996</v>
      </c>
      <c r="N765">
        <v>37121.783000000003</v>
      </c>
      <c r="O765">
        <v>37121.783000000003</v>
      </c>
      <c r="P765">
        <v>37121.782999999996</v>
      </c>
      <c r="T765">
        <v>63483.14</v>
      </c>
      <c r="U765">
        <v>31658.769999999997</v>
      </c>
      <c r="V765">
        <v>9.0949470177292824E-13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f>SUMPRODUCT(DB_ThemeSOFAcct[[#This Row],[Plan01]:[Plan12]],$E$14:$P$14)/valUnits2</f>
        <v>131.08006800000001</v>
      </c>
      <c r="AD765">
        <f>SUMPRODUCT(DB_ThemeSOFAcct[[#This Row],[Act01]:[Act12]],$Q$14:$AB$14)/valUnits2</f>
        <v>95.14191000000001</v>
      </c>
      <c r="AE765">
        <f>DB_ThemeSOFAcct[[#This Row],[Actuals]]-DB_ThemeSOFAcct[[#This Row],[Plan]]</f>
        <v>-35.938158000000001</v>
      </c>
      <c r="AF765">
        <f>IF(DB_ThemeSOFAcct[[#This Row],[Plan]]&lt;&gt;0,DB_ThemeSOFAcct[[#This Row],[Actuals]]/DB_ThemeSOFAcct[[#This Row],[Plan]],1.000011000011)</f>
        <v>0.72583049010929723</v>
      </c>
      <c r="AG765" s="34">
        <f>SUM(DB_ThemeSOFAcct[[#This Row],[Plan01]:[Plan12]])/valUnits2</f>
        <v>353.810766</v>
      </c>
      <c r="AH765" s="34">
        <f>SUMPRODUCT(DB_ThemeSOFAcct[[#This Row],[Act01]:[Act12]],$Q$3:$AB$3)/valUnits2</f>
        <v>95.14191000000001</v>
      </c>
    </row>
    <row r="766" spans="2:34" x14ac:dyDescent="0.2">
      <c r="B766" t="s">
        <v>345</v>
      </c>
      <c r="C766" t="s">
        <v>843</v>
      </c>
      <c r="D766" t="s">
        <v>140</v>
      </c>
      <c r="H766">
        <v>6670.5630000000001</v>
      </c>
      <c r="I766">
        <v>12304.335999999998</v>
      </c>
      <c r="J766">
        <v>5532.4390000000003</v>
      </c>
      <c r="K766">
        <v>5532.4390000000003</v>
      </c>
      <c r="L766">
        <v>5532.4389999999994</v>
      </c>
      <c r="M766">
        <v>5532.4389999999994</v>
      </c>
      <c r="N766">
        <v>5532.4389999999994</v>
      </c>
      <c r="O766">
        <v>5532.4389999999994</v>
      </c>
      <c r="P766">
        <v>5532.4389999999994</v>
      </c>
      <c r="T766">
        <v>6652.1900000000005</v>
      </c>
      <c r="U766">
        <v>12396.460000000001</v>
      </c>
      <c r="V766">
        <v>5479.6500000000005</v>
      </c>
      <c r="W766">
        <v>681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f>SUMPRODUCT(DB_ThemeSOFAcct[[#This Row],[Plan01]:[Plan12]],$E$14:$P$14)/valUnits2</f>
        <v>24.507337999999997</v>
      </c>
      <c r="AD766">
        <f>SUMPRODUCT(DB_ThemeSOFAcct[[#This Row],[Act01]:[Act12]],$Q$14:$AB$14)/valUnits2</f>
        <v>24.528300000000002</v>
      </c>
      <c r="AE766">
        <f>DB_ThemeSOFAcct[[#This Row],[Actuals]]-DB_ThemeSOFAcct[[#This Row],[Plan]]</f>
        <v>2.0962000000004366E-2</v>
      </c>
      <c r="AF766">
        <f>IF(DB_ThemeSOFAcct[[#This Row],[Plan]]&lt;&gt;0,DB_ThemeSOFAcct[[#This Row],[Actuals]]/DB_ThemeSOFAcct[[#This Row],[Plan]],1.000011000011)</f>
        <v>1.0008553356549783</v>
      </c>
      <c r="AG766" s="34">
        <f>SUM(DB_ThemeSOFAcct[[#This Row],[Plan01]:[Plan12]])/valUnits2</f>
        <v>57.701971999999984</v>
      </c>
      <c r="AH766" s="34">
        <f>SUMPRODUCT(DB_ThemeSOFAcct[[#This Row],[Act01]:[Act12]],$Q$3:$AB$3)/valUnits2</f>
        <v>24.528300000000002</v>
      </c>
    </row>
    <row r="767" spans="2:34" x14ac:dyDescent="0.2">
      <c r="B767" t="s">
        <v>345</v>
      </c>
      <c r="C767" t="s">
        <v>843</v>
      </c>
      <c r="D767" t="s">
        <v>236</v>
      </c>
      <c r="J767">
        <v>0</v>
      </c>
      <c r="V767">
        <v>147.1</v>
      </c>
      <c r="AC767">
        <f>SUMPRODUCT(DB_ThemeSOFAcct[[#This Row],[Plan01]:[Plan12]],$E$14:$P$14)/valUnits2</f>
        <v>0</v>
      </c>
      <c r="AD767">
        <f>SUMPRODUCT(DB_ThemeSOFAcct[[#This Row],[Act01]:[Act12]],$Q$14:$AB$14)/valUnits2</f>
        <v>0.14709999999999998</v>
      </c>
      <c r="AE767">
        <f>DB_ThemeSOFAcct[[#This Row],[Actuals]]-DB_ThemeSOFAcct[[#This Row],[Plan]]</f>
        <v>0.14709999999999998</v>
      </c>
      <c r="AF767">
        <f>IF(DB_ThemeSOFAcct[[#This Row],[Plan]]&lt;&gt;0,DB_ThemeSOFAcct[[#This Row],[Actuals]]/DB_ThemeSOFAcct[[#This Row],[Plan]],1.000011000011)</f>
        <v>1.0000110000110001</v>
      </c>
      <c r="AG767" s="34">
        <f>SUM(DB_ThemeSOFAcct[[#This Row],[Plan01]:[Plan12]])/valUnits2</f>
        <v>0</v>
      </c>
      <c r="AH767" s="34">
        <f>SUMPRODUCT(DB_ThemeSOFAcct[[#This Row],[Act01]:[Act12]],$Q$3:$AB$3)/valUnits2</f>
        <v>0.14709999999999998</v>
      </c>
    </row>
    <row r="768" spans="2:34" x14ac:dyDescent="0.2">
      <c r="B768" t="s">
        <v>345</v>
      </c>
      <c r="C768" t="s">
        <v>843</v>
      </c>
      <c r="D768" t="s">
        <v>237</v>
      </c>
      <c r="I768">
        <v>56.542000000000002</v>
      </c>
      <c r="J768">
        <v>0</v>
      </c>
      <c r="U768">
        <v>55.87</v>
      </c>
      <c r="V768">
        <v>120.51</v>
      </c>
      <c r="AC768">
        <f>SUMPRODUCT(DB_ThemeSOFAcct[[#This Row],[Plan01]:[Plan12]],$E$14:$P$14)/valUnits2</f>
        <v>5.6542000000000002E-2</v>
      </c>
      <c r="AD768">
        <f>SUMPRODUCT(DB_ThemeSOFAcct[[#This Row],[Act01]:[Act12]],$Q$14:$AB$14)/valUnits2</f>
        <v>0.17638000000000001</v>
      </c>
      <c r="AE768">
        <f>DB_ThemeSOFAcct[[#This Row],[Actuals]]-DB_ThemeSOFAcct[[#This Row],[Plan]]</f>
        <v>0.119838</v>
      </c>
      <c r="AF768">
        <f>IF(DB_ThemeSOFAcct[[#This Row],[Plan]]&lt;&gt;0,DB_ThemeSOFAcct[[#This Row],[Actuals]]/DB_ThemeSOFAcct[[#This Row],[Plan]],1.000011000011)</f>
        <v>3.1194510275547382</v>
      </c>
      <c r="AG768" s="34">
        <f>SUM(DB_ThemeSOFAcct[[#This Row],[Plan01]:[Plan12]])/valUnits2</f>
        <v>5.6542000000000002E-2</v>
      </c>
      <c r="AH768" s="34">
        <f>SUMPRODUCT(DB_ThemeSOFAcct[[#This Row],[Act01]:[Act12]],$Q$3:$AB$3)/valUnits2</f>
        <v>0.17638000000000001</v>
      </c>
    </row>
    <row r="769" spans="2:34" x14ac:dyDescent="0.2">
      <c r="B769" t="s">
        <v>345</v>
      </c>
      <c r="C769" t="s">
        <v>843</v>
      </c>
      <c r="D769" t="s">
        <v>141</v>
      </c>
      <c r="H769">
        <v>2653.0419999999999</v>
      </c>
      <c r="I769">
        <v>381.959</v>
      </c>
      <c r="J769">
        <v>1611.6749999999997</v>
      </c>
      <c r="K769">
        <v>1611.6749999999997</v>
      </c>
      <c r="L769">
        <v>1611.675</v>
      </c>
      <c r="M769">
        <v>1611.675</v>
      </c>
      <c r="N769">
        <v>1611.675</v>
      </c>
      <c r="O769">
        <v>1611.675</v>
      </c>
      <c r="P769">
        <v>1611.6749999999997</v>
      </c>
      <c r="T769">
        <v>2709.1099999999997</v>
      </c>
      <c r="U769">
        <v>377.40000000000003</v>
      </c>
      <c r="V769">
        <v>1311.44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f>SUMPRODUCT(DB_ThemeSOFAcct[[#This Row],[Plan01]:[Plan12]],$E$14:$P$14)/valUnits2</f>
        <v>4.6466759999999994</v>
      </c>
      <c r="AD769">
        <f>SUMPRODUCT(DB_ThemeSOFAcct[[#This Row],[Act01]:[Act12]],$Q$14:$AB$14)/valUnits2</f>
        <v>4.3979499999999998</v>
      </c>
      <c r="AE769">
        <f>DB_ThemeSOFAcct[[#This Row],[Actuals]]-DB_ThemeSOFAcct[[#This Row],[Plan]]</f>
        <v>-0.24872599999999956</v>
      </c>
      <c r="AF769">
        <f>IF(DB_ThemeSOFAcct[[#This Row],[Plan]]&lt;&gt;0,DB_ThemeSOFAcct[[#This Row],[Actuals]]/DB_ThemeSOFAcct[[#This Row],[Plan]],1.000011000011)</f>
        <v>0.94647227394378275</v>
      </c>
      <c r="AG769" s="34">
        <f>SUM(DB_ThemeSOFAcct[[#This Row],[Plan01]:[Plan12]])/valUnits2</f>
        <v>14.316725999999997</v>
      </c>
      <c r="AH769" s="34">
        <f>SUMPRODUCT(DB_ThemeSOFAcct[[#This Row],[Act01]:[Act12]],$Q$3:$AB$3)/valUnits2</f>
        <v>4.3979499999999998</v>
      </c>
    </row>
    <row r="770" spans="2:34" x14ac:dyDescent="0.2">
      <c r="B770" t="s">
        <v>345</v>
      </c>
      <c r="C770" t="s">
        <v>848</v>
      </c>
      <c r="D770" t="s">
        <v>140</v>
      </c>
      <c r="E770">
        <v>0</v>
      </c>
      <c r="F770">
        <v>0</v>
      </c>
      <c r="G770">
        <v>6.09</v>
      </c>
      <c r="H770">
        <v>7541.78</v>
      </c>
      <c r="I770">
        <v>1400.9970000000001</v>
      </c>
      <c r="Q770">
        <v>0</v>
      </c>
      <c r="R770">
        <v>0</v>
      </c>
      <c r="S770">
        <v>6.09</v>
      </c>
      <c r="T770">
        <v>3876.5599999999995</v>
      </c>
      <c r="U770">
        <v>1385.13</v>
      </c>
      <c r="AC770">
        <f>SUMPRODUCT(DB_ThemeSOFAcct[[#This Row],[Plan01]:[Plan12]],$E$14:$P$14)/valUnits2</f>
        <v>8.9488669999999999</v>
      </c>
      <c r="AD770">
        <f>SUMPRODUCT(DB_ThemeSOFAcct[[#This Row],[Act01]:[Act12]],$Q$14:$AB$14)/valUnits2</f>
        <v>5.2677800000000001</v>
      </c>
      <c r="AE770">
        <f>DB_ThemeSOFAcct[[#This Row],[Actuals]]-DB_ThemeSOFAcct[[#This Row],[Plan]]</f>
        <v>-3.6810869999999998</v>
      </c>
      <c r="AF770">
        <f>IF(DB_ThemeSOFAcct[[#This Row],[Plan]]&lt;&gt;0,DB_ThemeSOFAcct[[#This Row],[Actuals]]/DB_ThemeSOFAcct[[#This Row],[Plan]],1.000011000011)</f>
        <v>0.58865328985222376</v>
      </c>
      <c r="AG770" s="34">
        <f>SUM(DB_ThemeSOFAcct[[#This Row],[Plan01]:[Plan12]])/valUnits2</f>
        <v>8.9488669999999999</v>
      </c>
      <c r="AH770" s="34">
        <f>SUMPRODUCT(DB_ThemeSOFAcct[[#This Row],[Act01]:[Act12]],$Q$3:$AB$3)/valUnits2</f>
        <v>5.2677800000000001</v>
      </c>
    </row>
    <row r="771" spans="2:34" x14ac:dyDescent="0.2">
      <c r="B771" t="s">
        <v>345</v>
      </c>
      <c r="C771" t="s">
        <v>848</v>
      </c>
      <c r="D771" t="s">
        <v>141</v>
      </c>
      <c r="E771">
        <v>83.542000000000002</v>
      </c>
      <c r="F771">
        <v>84.763000000000005</v>
      </c>
      <c r="G771">
        <v>538.35199999999998</v>
      </c>
      <c r="I771">
        <v>259.315</v>
      </c>
      <c r="Q771">
        <v>0</v>
      </c>
      <c r="R771">
        <v>0</v>
      </c>
      <c r="S771">
        <v>453.59</v>
      </c>
      <c r="U771">
        <v>257.39</v>
      </c>
      <c r="AC771">
        <f>SUMPRODUCT(DB_ThemeSOFAcct[[#This Row],[Plan01]:[Plan12]],$E$14:$P$14)/valUnits2</f>
        <v>0.96597199999999994</v>
      </c>
      <c r="AD771">
        <f>SUMPRODUCT(DB_ThemeSOFAcct[[#This Row],[Act01]:[Act12]],$Q$14:$AB$14)/valUnits2</f>
        <v>0.71098000000000006</v>
      </c>
      <c r="AE771">
        <f>DB_ThemeSOFAcct[[#This Row],[Actuals]]-DB_ThemeSOFAcct[[#This Row],[Plan]]</f>
        <v>-0.25499199999999989</v>
      </c>
      <c r="AF771">
        <f>IF(DB_ThemeSOFAcct[[#This Row],[Plan]]&lt;&gt;0,DB_ThemeSOFAcct[[#This Row],[Actuals]]/DB_ThemeSOFAcct[[#This Row],[Plan]],1.000011000011)</f>
        <v>0.73602547485848457</v>
      </c>
      <c r="AG771" s="34">
        <f>SUM(DB_ThemeSOFAcct[[#This Row],[Plan01]:[Plan12]])/valUnits2</f>
        <v>0.96597199999999994</v>
      </c>
      <c r="AH771" s="34">
        <f>SUMPRODUCT(DB_ThemeSOFAcct[[#This Row],[Act01]:[Act12]],$Q$3:$AB$3)/valUnits2</f>
        <v>0.71098000000000006</v>
      </c>
    </row>
    <row r="772" spans="2:34" x14ac:dyDescent="0.2">
      <c r="B772" t="s">
        <v>345</v>
      </c>
      <c r="C772" t="s">
        <v>850</v>
      </c>
      <c r="D772" t="s">
        <v>143</v>
      </c>
      <c r="G772">
        <v>0</v>
      </c>
      <c r="I772">
        <v>0</v>
      </c>
      <c r="S772">
        <v>45.209999999999994</v>
      </c>
      <c r="U772">
        <v>57.42</v>
      </c>
      <c r="AC772">
        <f>SUMPRODUCT(DB_ThemeSOFAcct[[#This Row],[Plan01]:[Plan12]],$E$14:$P$14)/valUnits2</f>
        <v>0</v>
      </c>
      <c r="AD772">
        <f>SUMPRODUCT(DB_ThemeSOFAcct[[#This Row],[Act01]:[Act12]],$Q$14:$AB$14)/valUnits2</f>
        <v>0.10263</v>
      </c>
      <c r="AE772">
        <f>DB_ThemeSOFAcct[[#This Row],[Actuals]]-DB_ThemeSOFAcct[[#This Row],[Plan]]</f>
        <v>0.10263</v>
      </c>
      <c r="AF772">
        <f>IF(DB_ThemeSOFAcct[[#This Row],[Plan]]&lt;&gt;0,DB_ThemeSOFAcct[[#This Row],[Actuals]]/DB_ThemeSOFAcct[[#This Row],[Plan]],1.000011000011)</f>
        <v>1.0000110000110001</v>
      </c>
      <c r="AG772" s="34">
        <f>SUM(DB_ThemeSOFAcct[[#This Row],[Plan01]:[Plan12]])/valUnits2</f>
        <v>0</v>
      </c>
      <c r="AH772" s="34">
        <f>SUMPRODUCT(DB_ThemeSOFAcct[[#This Row],[Act01]:[Act12]],$Q$3:$AB$3)/valUnits2</f>
        <v>0.10263</v>
      </c>
    </row>
    <row r="773" spans="2:34" x14ac:dyDescent="0.2">
      <c r="B773" t="s">
        <v>345</v>
      </c>
      <c r="C773" t="s">
        <v>850</v>
      </c>
      <c r="D773" t="s">
        <v>235</v>
      </c>
      <c r="I773">
        <v>21.742000000000001</v>
      </c>
      <c r="U773">
        <v>21.85</v>
      </c>
      <c r="AC773">
        <f>SUMPRODUCT(DB_ThemeSOFAcct[[#This Row],[Plan01]:[Plan12]],$E$14:$P$14)/valUnits2</f>
        <v>2.1742000000000001E-2</v>
      </c>
      <c r="AD773">
        <f>SUMPRODUCT(DB_ThemeSOFAcct[[#This Row],[Act01]:[Act12]],$Q$14:$AB$14)/valUnits2</f>
        <v>2.1850000000000001E-2</v>
      </c>
      <c r="AE773">
        <f>DB_ThemeSOFAcct[[#This Row],[Actuals]]-DB_ThemeSOFAcct[[#This Row],[Plan]]</f>
        <v>1.0800000000000046E-4</v>
      </c>
      <c r="AF773">
        <f>IF(DB_ThemeSOFAcct[[#This Row],[Plan]]&lt;&gt;0,DB_ThemeSOFAcct[[#This Row],[Actuals]]/DB_ThemeSOFAcct[[#This Row],[Plan]],1.000011000011)</f>
        <v>1.0049673443105511</v>
      </c>
      <c r="AG773" s="34">
        <f>SUM(DB_ThemeSOFAcct[[#This Row],[Plan01]:[Plan12]])/valUnits2</f>
        <v>2.1742000000000001E-2</v>
      </c>
      <c r="AH773" s="34">
        <f>SUMPRODUCT(DB_ThemeSOFAcct[[#This Row],[Act01]:[Act12]],$Q$3:$AB$3)/valUnits2</f>
        <v>2.1850000000000001E-2</v>
      </c>
    </row>
    <row r="774" spans="2:34" x14ac:dyDescent="0.2">
      <c r="B774" t="s">
        <v>345</v>
      </c>
      <c r="C774" t="s">
        <v>850</v>
      </c>
      <c r="D774" t="s">
        <v>142</v>
      </c>
      <c r="E774">
        <v>6209.75</v>
      </c>
      <c r="F774">
        <v>-6300.5479999999998</v>
      </c>
      <c r="G774">
        <v>4750.82</v>
      </c>
      <c r="H774">
        <v>34087.987999999998</v>
      </c>
      <c r="I774">
        <v>5751.0069999999996</v>
      </c>
      <c r="J774">
        <v>9862.01</v>
      </c>
      <c r="K774">
        <v>9862.01</v>
      </c>
      <c r="L774">
        <v>9862.01</v>
      </c>
      <c r="M774">
        <v>9862.01</v>
      </c>
      <c r="N774">
        <v>9862.01</v>
      </c>
      <c r="O774">
        <v>9862.01</v>
      </c>
      <c r="P774">
        <v>9862.01</v>
      </c>
      <c r="Q774">
        <v>6209.75</v>
      </c>
      <c r="R774">
        <v>-6206.65</v>
      </c>
      <c r="S774">
        <v>4716.3500000000004</v>
      </c>
      <c r="T774">
        <v>34279.31</v>
      </c>
      <c r="U774">
        <v>5778.9699999999993</v>
      </c>
      <c r="V774">
        <v>273.5600000000004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f>SUMPRODUCT(DB_ThemeSOFAcct[[#This Row],[Plan01]:[Plan12]],$E$14:$P$14)/valUnits2</f>
        <v>54.361026999999993</v>
      </c>
      <c r="AD774">
        <f>SUMPRODUCT(DB_ThemeSOFAcct[[#This Row],[Act01]:[Act12]],$Q$14:$AB$14)/valUnits2</f>
        <v>45.051289999999995</v>
      </c>
      <c r="AE774">
        <f>DB_ThemeSOFAcct[[#This Row],[Actuals]]-DB_ThemeSOFAcct[[#This Row],[Plan]]</f>
        <v>-9.3097369999999984</v>
      </c>
      <c r="AF774">
        <f>IF(DB_ThemeSOFAcct[[#This Row],[Plan]]&lt;&gt;0,DB_ThemeSOFAcct[[#This Row],[Actuals]]/DB_ThemeSOFAcct[[#This Row],[Plan]],1.000011000011)</f>
        <v>0.82874243711400086</v>
      </c>
      <c r="AG774" s="34">
        <f>SUM(DB_ThemeSOFAcct[[#This Row],[Plan01]:[Plan12]])/valUnits2</f>
        <v>113.53308699999997</v>
      </c>
      <c r="AH774" s="34">
        <f>SUMPRODUCT(DB_ThemeSOFAcct[[#This Row],[Act01]:[Act12]],$Q$3:$AB$3)/valUnits2</f>
        <v>45.051289999999995</v>
      </c>
    </row>
    <row r="775" spans="2:34" x14ac:dyDescent="0.2">
      <c r="B775" t="s">
        <v>345</v>
      </c>
      <c r="C775" t="s">
        <v>850</v>
      </c>
      <c r="D775" t="s">
        <v>140</v>
      </c>
      <c r="E775">
        <v>0</v>
      </c>
      <c r="F775">
        <v>9517.7620000000006</v>
      </c>
      <c r="G775">
        <v>1768.5850000000003</v>
      </c>
      <c r="H775">
        <v>10428.405000000001</v>
      </c>
      <c r="I775">
        <v>14025.995000000001</v>
      </c>
      <c r="J775">
        <v>8117.4410000000007</v>
      </c>
      <c r="K775">
        <v>8117.4410000000007</v>
      </c>
      <c r="L775">
        <v>8117.4410000000007</v>
      </c>
      <c r="M775">
        <v>8117.4409999999989</v>
      </c>
      <c r="N775">
        <v>8117.4410000000007</v>
      </c>
      <c r="O775">
        <v>8117.4410000000007</v>
      </c>
      <c r="P775">
        <v>8117.4410000000007</v>
      </c>
      <c r="Q775">
        <v>0</v>
      </c>
      <c r="R775">
        <v>9492.260000000002</v>
      </c>
      <c r="S775">
        <v>1757.1000000000001</v>
      </c>
      <c r="T775">
        <v>10458.540000000001</v>
      </c>
      <c r="U775">
        <v>13965.11</v>
      </c>
      <c r="V775">
        <v>8535.7799999999988</v>
      </c>
      <c r="W775">
        <v>1324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f>SUMPRODUCT(DB_ThemeSOFAcct[[#This Row],[Plan01]:[Plan12]],$E$14:$P$14)/valUnits2</f>
        <v>43.858187999999998</v>
      </c>
      <c r="AD775">
        <f>SUMPRODUCT(DB_ThemeSOFAcct[[#This Row],[Act01]:[Act12]],$Q$14:$AB$14)/valUnits2</f>
        <v>44.20879</v>
      </c>
      <c r="AE775">
        <f>DB_ThemeSOFAcct[[#This Row],[Actuals]]-DB_ThemeSOFAcct[[#This Row],[Plan]]</f>
        <v>0.35060200000000208</v>
      </c>
      <c r="AF775">
        <f>IF(DB_ThemeSOFAcct[[#This Row],[Plan]]&lt;&gt;0,DB_ThemeSOFAcct[[#This Row],[Actuals]]/DB_ThemeSOFAcct[[#This Row],[Plan]],1.000011000011)</f>
        <v>1.0079939919086489</v>
      </c>
      <c r="AG775" s="34">
        <f>SUM(DB_ThemeSOFAcct[[#This Row],[Plan01]:[Plan12]])/valUnits2</f>
        <v>92.562834000000024</v>
      </c>
      <c r="AH775" s="34">
        <f>SUMPRODUCT(DB_ThemeSOFAcct[[#This Row],[Act01]:[Act12]],$Q$3:$AB$3)/valUnits2</f>
        <v>44.20879</v>
      </c>
    </row>
    <row r="776" spans="2:34" x14ac:dyDescent="0.2">
      <c r="B776" t="s">
        <v>345</v>
      </c>
      <c r="C776" t="s">
        <v>850</v>
      </c>
      <c r="D776" t="s">
        <v>237</v>
      </c>
      <c r="F776">
        <v>331</v>
      </c>
      <c r="G776">
        <v>83.5</v>
      </c>
      <c r="H776">
        <v>107.462</v>
      </c>
      <c r="I776">
        <v>294.92699999999996</v>
      </c>
      <c r="R776">
        <v>331</v>
      </c>
      <c r="S776">
        <v>83.01</v>
      </c>
      <c r="T776">
        <v>108.07</v>
      </c>
      <c r="U776">
        <v>296.34000000000003</v>
      </c>
      <c r="AC776">
        <f>SUMPRODUCT(DB_ThemeSOFAcct[[#This Row],[Plan01]:[Plan12]],$E$14:$P$14)/valUnits2</f>
        <v>0.81688899999999987</v>
      </c>
      <c r="AD776">
        <f>SUMPRODUCT(DB_ThemeSOFAcct[[#This Row],[Act01]:[Act12]],$Q$14:$AB$14)/valUnits2</f>
        <v>0.81841999999999993</v>
      </c>
      <c r="AE776">
        <f>DB_ThemeSOFAcct[[#This Row],[Actuals]]-DB_ThemeSOFAcct[[#This Row],[Plan]]</f>
        <v>1.5310000000000601E-3</v>
      </c>
      <c r="AF776">
        <f>IF(DB_ThemeSOFAcct[[#This Row],[Plan]]&lt;&gt;0,DB_ThemeSOFAcct[[#This Row],[Actuals]]/DB_ThemeSOFAcct[[#This Row],[Plan]],1.000011000011)</f>
        <v>1.0018741836406171</v>
      </c>
      <c r="AG776" s="34">
        <f>SUM(DB_ThemeSOFAcct[[#This Row],[Plan01]:[Plan12]])/valUnits2</f>
        <v>0.81688899999999987</v>
      </c>
      <c r="AH776" s="34">
        <f>SUMPRODUCT(DB_ThemeSOFAcct[[#This Row],[Act01]:[Act12]],$Q$3:$AB$3)/valUnits2</f>
        <v>0.81841999999999993</v>
      </c>
    </row>
    <row r="777" spans="2:34" x14ac:dyDescent="0.2">
      <c r="B777" t="s">
        <v>345</v>
      </c>
      <c r="C777" t="s">
        <v>850</v>
      </c>
      <c r="D777" t="s">
        <v>141</v>
      </c>
      <c r="F777">
        <v>122.31400000000001</v>
      </c>
      <c r="G777">
        <v>12.179</v>
      </c>
      <c r="H777">
        <v>17.462</v>
      </c>
      <c r="I777">
        <v>42.701000000000001</v>
      </c>
      <c r="J777">
        <v>428.08199999999999</v>
      </c>
      <c r="K777">
        <v>428.08199999999999</v>
      </c>
      <c r="L777">
        <v>428.08199999999999</v>
      </c>
      <c r="M777">
        <v>428.08199999999999</v>
      </c>
      <c r="N777">
        <v>428.08199999999999</v>
      </c>
      <c r="O777">
        <v>428.08199999999999</v>
      </c>
      <c r="P777">
        <v>428.08199999999999</v>
      </c>
      <c r="R777">
        <v>122.28999999999999</v>
      </c>
      <c r="S777">
        <v>12.1</v>
      </c>
      <c r="T777">
        <v>17.559999999999999</v>
      </c>
      <c r="U777">
        <v>42.919999999999995</v>
      </c>
      <c r="V777">
        <v>-81.739999999999995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f>SUMPRODUCT(DB_ThemeSOFAcct[[#This Row],[Plan01]:[Plan12]],$E$14:$P$14)/valUnits2</f>
        <v>0.6227379999999999</v>
      </c>
      <c r="AD777">
        <f>SUMPRODUCT(DB_ThemeSOFAcct[[#This Row],[Act01]:[Act12]],$Q$14:$AB$14)/valUnits2</f>
        <v>0.11312999999999998</v>
      </c>
      <c r="AE777">
        <f>DB_ThemeSOFAcct[[#This Row],[Actuals]]-DB_ThemeSOFAcct[[#This Row],[Plan]]</f>
        <v>-0.50960799999999995</v>
      </c>
      <c r="AF777">
        <f>IF(DB_ThemeSOFAcct[[#This Row],[Plan]]&lt;&gt;0,DB_ThemeSOFAcct[[#This Row],[Actuals]]/DB_ThemeSOFAcct[[#This Row],[Plan]],1.000011000011)</f>
        <v>0.18166548371867464</v>
      </c>
      <c r="AG777" s="34">
        <f>SUM(DB_ThemeSOFAcct[[#This Row],[Plan01]:[Plan12]])/valUnits2</f>
        <v>3.1912299999999996</v>
      </c>
      <c r="AH777" s="34">
        <f>SUMPRODUCT(DB_ThemeSOFAcct[[#This Row],[Act01]:[Act12]],$Q$3:$AB$3)/valUnits2</f>
        <v>0.11312999999999998</v>
      </c>
    </row>
    <row r="778" spans="2:34" x14ac:dyDescent="0.2">
      <c r="B778" t="s">
        <v>345</v>
      </c>
      <c r="C778" t="s">
        <v>851</v>
      </c>
      <c r="D778" t="s">
        <v>140</v>
      </c>
      <c r="H778">
        <v>403.30500000000001</v>
      </c>
      <c r="I778">
        <v>6206.9160000000002</v>
      </c>
      <c r="J778">
        <v>4567.9160000000002</v>
      </c>
      <c r="K778">
        <v>4567.9160000000002</v>
      </c>
      <c r="L778">
        <v>4567.9160000000002</v>
      </c>
      <c r="M778">
        <v>4567.9160000000002</v>
      </c>
      <c r="N778">
        <v>4567.9160000000002</v>
      </c>
      <c r="O778">
        <v>4567.9160000000002</v>
      </c>
      <c r="P778">
        <v>4567.9160000000002</v>
      </c>
      <c r="T778">
        <v>400.34999999999997</v>
      </c>
      <c r="U778">
        <v>6247.6799999999994</v>
      </c>
      <c r="V778">
        <v>13505.09</v>
      </c>
      <c r="W778">
        <v>453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f>SUMPRODUCT(DB_ThemeSOFAcct[[#This Row],[Plan01]:[Plan12]],$E$14:$P$14)/valUnits2</f>
        <v>11.178137000000001</v>
      </c>
      <c r="AD778">
        <f>SUMPRODUCT(DB_ThemeSOFAcct[[#This Row],[Act01]:[Act12]],$Q$14:$AB$14)/valUnits2</f>
        <v>20.153119999999998</v>
      </c>
      <c r="AE778">
        <f>DB_ThemeSOFAcct[[#This Row],[Actuals]]-DB_ThemeSOFAcct[[#This Row],[Plan]]</f>
        <v>8.9749829999999964</v>
      </c>
      <c r="AF778">
        <f>IF(DB_ThemeSOFAcct[[#This Row],[Plan]]&lt;&gt;0,DB_ThemeSOFAcct[[#This Row],[Actuals]]/DB_ThemeSOFAcct[[#This Row],[Plan]],1.000011000011)</f>
        <v>1.8029050815891767</v>
      </c>
      <c r="AG778" s="34">
        <f>SUM(DB_ThemeSOFAcct[[#This Row],[Plan01]:[Plan12]])/valUnits2</f>
        <v>38.585633000000001</v>
      </c>
      <c r="AH778" s="34">
        <f>SUMPRODUCT(DB_ThemeSOFAcct[[#This Row],[Act01]:[Act12]],$Q$3:$AB$3)/valUnits2</f>
        <v>20.153119999999998</v>
      </c>
    </row>
    <row r="779" spans="2:34" x14ac:dyDescent="0.2">
      <c r="B779" t="s">
        <v>345</v>
      </c>
      <c r="C779" t="s">
        <v>851</v>
      </c>
      <c r="D779" t="s">
        <v>141</v>
      </c>
      <c r="G779">
        <v>0</v>
      </c>
      <c r="H779">
        <v>0</v>
      </c>
      <c r="I779">
        <v>0</v>
      </c>
      <c r="J779">
        <v>182.71699999999998</v>
      </c>
      <c r="K779">
        <v>182.71699999999998</v>
      </c>
      <c r="L779">
        <v>182.71699999999998</v>
      </c>
      <c r="M779">
        <v>182.71699999999998</v>
      </c>
      <c r="N779">
        <v>182.71699999999998</v>
      </c>
      <c r="O779">
        <v>182.71699999999998</v>
      </c>
      <c r="P779">
        <v>182.71699999999998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f>SUMPRODUCT(DB_ThemeSOFAcct[[#This Row],[Plan01]:[Plan12]],$E$14:$P$14)/valUnits2</f>
        <v>0.18271699999999999</v>
      </c>
      <c r="AD779">
        <f>SUMPRODUCT(DB_ThemeSOFAcct[[#This Row],[Act01]:[Act12]],$Q$14:$AB$14)/valUnits2</f>
        <v>0</v>
      </c>
      <c r="AE779">
        <f>DB_ThemeSOFAcct[[#This Row],[Actuals]]-DB_ThemeSOFAcct[[#This Row],[Plan]]</f>
        <v>-0.18271699999999999</v>
      </c>
      <c r="AF779">
        <f>IF(DB_ThemeSOFAcct[[#This Row],[Plan]]&lt;&gt;0,DB_ThemeSOFAcct[[#This Row],[Actuals]]/DB_ThemeSOFAcct[[#This Row],[Plan]],1.000011000011)</f>
        <v>0</v>
      </c>
      <c r="AG779" s="34">
        <f>SUM(DB_ThemeSOFAcct[[#This Row],[Plan01]:[Plan12]])/valUnits2</f>
        <v>1.2790189999999997</v>
      </c>
      <c r="AH779" s="34">
        <f>SUMPRODUCT(DB_ThemeSOFAcct[[#This Row],[Act01]:[Act12]],$Q$3:$AB$3)/valUnits2</f>
        <v>0</v>
      </c>
    </row>
    <row r="780" spans="2:34" x14ac:dyDescent="0.2">
      <c r="B780" t="s">
        <v>345</v>
      </c>
      <c r="C780" t="s">
        <v>887</v>
      </c>
      <c r="D780" t="s">
        <v>235</v>
      </c>
      <c r="G780">
        <v>44.423000000000002</v>
      </c>
      <c r="H780">
        <v>0</v>
      </c>
      <c r="I780">
        <v>687.40200000000004</v>
      </c>
      <c r="S780">
        <v>44.42</v>
      </c>
      <c r="T780">
        <v>0</v>
      </c>
      <c r="U780">
        <v>681.48</v>
      </c>
      <c r="AC780">
        <f>SUMPRODUCT(DB_ThemeSOFAcct[[#This Row],[Plan01]:[Plan12]],$E$14:$P$14)/valUnits2</f>
        <v>0.73182500000000006</v>
      </c>
      <c r="AD780">
        <f>SUMPRODUCT(DB_ThemeSOFAcct[[#This Row],[Act01]:[Act12]],$Q$14:$AB$14)/valUnits2</f>
        <v>0.72589999999999999</v>
      </c>
      <c r="AE780">
        <f>DB_ThemeSOFAcct[[#This Row],[Actuals]]-DB_ThemeSOFAcct[[#This Row],[Plan]]</f>
        <v>-5.9250000000000691E-3</v>
      </c>
      <c r="AF780">
        <f>IF(DB_ThemeSOFAcct[[#This Row],[Plan]]&lt;&gt;0,DB_ThemeSOFAcct[[#This Row],[Actuals]]/DB_ThemeSOFAcct[[#This Row],[Plan]],1.000011000011)</f>
        <v>0.99190380213848928</v>
      </c>
      <c r="AG780" s="34">
        <f>SUM(DB_ThemeSOFAcct[[#This Row],[Plan01]:[Plan12]])/valUnits2</f>
        <v>0.73182500000000006</v>
      </c>
      <c r="AH780" s="34">
        <f>SUMPRODUCT(DB_ThemeSOFAcct[[#This Row],[Act01]:[Act12]],$Q$3:$AB$3)/valUnits2</f>
        <v>0.72589999999999999</v>
      </c>
    </row>
    <row r="781" spans="2:34" x14ac:dyDescent="0.2">
      <c r="B781" t="s">
        <v>345</v>
      </c>
      <c r="C781" t="s">
        <v>887</v>
      </c>
      <c r="D781" t="s">
        <v>140</v>
      </c>
      <c r="E781">
        <v>383.459</v>
      </c>
      <c r="F781">
        <v>1554.152</v>
      </c>
      <c r="G781">
        <v>4197.973</v>
      </c>
      <c r="H781">
        <v>6338.152</v>
      </c>
      <c r="I781">
        <v>-1400.9969999999998</v>
      </c>
      <c r="Q781">
        <v>383.46</v>
      </c>
      <c r="R781">
        <v>1554.14</v>
      </c>
      <c r="S781">
        <v>4173.75</v>
      </c>
      <c r="T781">
        <v>6281.76</v>
      </c>
      <c r="U781">
        <v>-1385.1299999999999</v>
      </c>
      <c r="AC781">
        <f>SUMPRODUCT(DB_ThemeSOFAcct[[#This Row],[Plan01]:[Plan12]],$E$14:$P$14)/valUnits2</f>
        <v>11.072739000000002</v>
      </c>
      <c r="AD781">
        <f>SUMPRODUCT(DB_ThemeSOFAcct[[#This Row],[Act01]:[Act12]],$Q$14:$AB$14)/valUnits2</f>
        <v>11.007980000000002</v>
      </c>
      <c r="AE781">
        <f>DB_ThemeSOFAcct[[#This Row],[Actuals]]-DB_ThemeSOFAcct[[#This Row],[Plan]]</f>
        <v>-6.4759000000000455E-2</v>
      </c>
      <c r="AF781">
        <f>IF(DB_ThemeSOFAcct[[#This Row],[Plan]]&lt;&gt;0,DB_ThemeSOFAcct[[#This Row],[Actuals]]/DB_ThemeSOFAcct[[#This Row],[Plan]],1.000011000011)</f>
        <v>0.99415149223692523</v>
      </c>
      <c r="AG781" s="34">
        <f>SUM(DB_ThemeSOFAcct[[#This Row],[Plan01]:[Plan12]])/valUnits2</f>
        <v>11.072739000000002</v>
      </c>
      <c r="AH781" s="34">
        <f>SUMPRODUCT(DB_ThemeSOFAcct[[#This Row],[Act01]:[Act12]],$Q$3:$AB$3)/valUnits2</f>
        <v>11.007980000000002</v>
      </c>
    </row>
    <row r="782" spans="2:34" x14ac:dyDescent="0.2">
      <c r="B782" t="s">
        <v>345</v>
      </c>
      <c r="C782" t="s">
        <v>887</v>
      </c>
      <c r="D782" t="s">
        <v>236</v>
      </c>
      <c r="G782">
        <v>826.154</v>
      </c>
      <c r="H782">
        <v>0</v>
      </c>
      <c r="S782">
        <v>826.15</v>
      </c>
      <c r="T782">
        <v>0</v>
      </c>
      <c r="AC782">
        <f>SUMPRODUCT(DB_ThemeSOFAcct[[#This Row],[Plan01]:[Plan12]],$E$14:$P$14)/valUnits2</f>
        <v>0.82615399999999994</v>
      </c>
      <c r="AD782">
        <f>SUMPRODUCT(DB_ThemeSOFAcct[[#This Row],[Act01]:[Act12]],$Q$14:$AB$14)/valUnits2</f>
        <v>0.82614999999999994</v>
      </c>
      <c r="AE782">
        <f>DB_ThemeSOFAcct[[#This Row],[Actuals]]-DB_ThemeSOFAcct[[#This Row],[Plan]]</f>
        <v>-4.0000000000040004E-6</v>
      </c>
      <c r="AF782">
        <f>IF(DB_ThemeSOFAcct[[#This Row],[Plan]]&lt;&gt;0,DB_ThemeSOFAcct[[#This Row],[Actuals]]/DB_ThemeSOFAcct[[#This Row],[Plan]],1.000011000011)</f>
        <v>0.99999515828768004</v>
      </c>
      <c r="AG782" s="34">
        <f>SUM(DB_ThemeSOFAcct[[#This Row],[Plan01]:[Plan12]])/valUnits2</f>
        <v>0.82615399999999994</v>
      </c>
      <c r="AH782" s="34">
        <f>SUMPRODUCT(DB_ThemeSOFAcct[[#This Row],[Act01]:[Act12]],$Q$3:$AB$3)/valUnits2</f>
        <v>0.82614999999999994</v>
      </c>
    </row>
    <row r="783" spans="2:34" x14ac:dyDescent="0.2">
      <c r="B783" t="s">
        <v>345</v>
      </c>
      <c r="C783" t="s">
        <v>887</v>
      </c>
      <c r="D783" t="s">
        <v>237</v>
      </c>
      <c r="I783">
        <v>0</v>
      </c>
      <c r="U783">
        <v>0</v>
      </c>
      <c r="AC783">
        <f>SUMPRODUCT(DB_ThemeSOFAcct[[#This Row],[Plan01]:[Plan12]],$E$14:$P$14)/valUnits2</f>
        <v>0</v>
      </c>
      <c r="AD783">
        <f>SUMPRODUCT(DB_ThemeSOFAcct[[#This Row],[Act01]:[Act12]],$Q$14:$AB$14)/valUnits2</f>
        <v>0</v>
      </c>
      <c r="AE783">
        <f>DB_ThemeSOFAcct[[#This Row],[Actuals]]-DB_ThemeSOFAcct[[#This Row],[Plan]]</f>
        <v>0</v>
      </c>
      <c r="AF783">
        <f>IF(DB_ThemeSOFAcct[[#This Row],[Plan]]&lt;&gt;0,DB_ThemeSOFAcct[[#This Row],[Actuals]]/DB_ThemeSOFAcct[[#This Row],[Plan]],1.000011000011)</f>
        <v>1.0000110000110001</v>
      </c>
      <c r="AG783" s="34">
        <f>SUM(DB_ThemeSOFAcct[[#This Row],[Plan01]:[Plan12]])/valUnits2</f>
        <v>0</v>
      </c>
      <c r="AH783" s="34">
        <f>SUMPRODUCT(DB_ThemeSOFAcct[[#This Row],[Act01]:[Act12]],$Q$3:$AB$3)/valUnits2</f>
        <v>0</v>
      </c>
    </row>
    <row r="784" spans="2:34" x14ac:dyDescent="0.2">
      <c r="B784" t="s">
        <v>345</v>
      </c>
      <c r="C784" t="s">
        <v>887</v>
      </c>
      <c r="D784" t="s">
        <v>141</v>
      </c>
      <c r="F784">
        <v>1.2709999999999999</v>
      </c>
      <c r="G784">
        <v>732.24299999999994</v>
      </c>
      <c r="H784">
        <v>16.885999999999999</v>
      </c>
      <c r="I784">
        <v>-259.315</v>
      </c>
      <c r="R784">
        <v>1.27</v>
      </c>
      <c r="S784">
        <v>730.6099999999999</v>
      </c>
      <c r="T784">
        <v>16.98</v>
      </c>
      <c r="U784">
        <v>-257.39</v>
      </c>
      <c r="AC784">
        <f>SUMPRODUCT(DB_ThemeSOFAcct[[#This Row],[Plan01]:[Plan12]],$E$14:$P$14)/valUnits2</f>
        <v>0.49108499999999988</v>
      </c>
      <c r="AD784">
        <f>SUMPRODUCT(DB_ThemeSOFAcct[[#This Row],[Act01]:[Act12]],$Q$14:$AB$14)/valUnits2</f>
        <v>0.49146999999999991</v>
      </c>
      <c r="AE784">
        <f>DB_ThemeSOFAcct[[#This Row],[Actuals]]-DB_ThemeSOFAcct[[#This Row],[Plan]]</f>
        <v>3.8500000000002421E-4</v>
      </c>
      <c r="AF784">
        <f>IF(DB_ThemeSOFAcct[[#This Row],[Plan]]&lt;&gt;0,DB_ThemeSOFAcct[[#This Row],[Actuals]]/DB_ThemeSOFAcct[[#This Row],[Plan]],1.000011000011)</f>
        <v>1.0007839783336898</v>
      </c>
      <c r="AG784" s="34">
        <f>SUM(DB_ThemeSOFAcct[[#This Row],[Plan01]:[Plan12]])/valUnits2</f>
        <v>0.49108499999999988</v>
      </c>
      <c r="AH784" s="34">
        <f>SUMPRODUCT(DB_ThemeSOFAcct[[#This Row],[Act01]:[Act12]],$Q$3:$AB$3)/valUnits2</f>
        <v>0.49146999999999991</v>
      </c>
    </row>
    <row r="785" spans="2:34" x14ac:dyDescent="0.2">
      <c r="B785" t="s">
        <v>345</v>
      </c>
      <c r="C785" t="s">
        <v>895</v>
      </c>
      <c r="D785" t="s">
        <v>235</v>
      </c>
      <c r="F785">
        <v>54.97</v>
      </c>
      <c r="J785">
        <v>0</v>
      </c>
      <c r="R785">
        <v>55.98</v>
      </c>
      <c r="V785">
        <v>133.30000000000001</v>
      </c>
      <c r="AC785">
        <f>SUMPRODUCT(DB_ThemeSOFAcct[[#This Row],[Plan01]:[Plan12]],$E$14:$P$14)/valUnits2</f>
        <v>5.4969999999999998E-2</v>
      </c>
      <c r="AD785">
        <f>SUMPRODUCT(DB_ThemeSOFAcct[[#This Row],[Act01]:[Act12]],$Q$14:$AB$14)/valUnits2</f>
        <v>0.18928</v>
      </c>
      <c r="AE785">
        <f>DB_ThemeSOFAcct[[#This Row],[Actuals]]-DB_ThemeSOFAcct[[#This Row],[Plan]]</f>
        <v>0.13431000000000001</v>
      </c>
      <c r="AF785">
        <f>IF(DB_ThemeSOFAcct[[#This Row],[Plan]]&lt;&gt;0,DB_ThemeSOFAcct[[#This Row],[Actuals]]/DB_ThemeSOFAcct[[#This Row],[Plan]],1.000011000011)</f>
        <v>3.4433327269419687</v>
      </c>
      <c r="AG785" s="34">
        <f>SUM(DB_ThemeSOFAcct[[#This Row],[Plan01]:[Plan12]])/valUnits2</f>
        <v>5.4969999999999998E-2</v>
      </c>
      <c r="AH785" s="34">
        <f>SUMPRODUCT(DB_ThemeSOFAcct[[#This Row],[Act01]:[Act12]],$Q$3:$AB$3)/valUnits2</f>
        <v>0.18928</v>
      </c>
    </row>
    <row r="786" spans="2:34" x14ac:dyDescent="0.2">
      <c r="B786" t="s">
        <v>345</v>
      </c>
      <c r="C786" t="s">
        <v>895</v>
      </c>
      <c r="D786" t="s">
        <v>142</v>
      </c>
      <c r="E786">
        <v>55452.755000000034</v>
      </c>
      <c r="F786">
        <v>4.9000000003832866E-2</v>
      </c>
      <c r="G786">
        <v>67155.391000000003</v>
      </c>
      <c r="H786">
        <v>-3.799999998864223E-2</v>
      </c>
      <c r="I786">
        <v>42492.58</v>
      </c>
      <c r="J786">
        <v>23330.670000000002</v>
      </c>
      <c r="K786">
        <v>23330.670000000006</v>
      </c>
      <c r="L786">
        <v>25992.756000000001</v>
      </c>
      <c r="M786">
        <v>23330.670000000002</v>
      </c>
      <c r="N786">
        <v>23330.670000000006</v>
      </c>
      <c r="O786">
        <v>28122.686000000012</v>
      </c>
      <c r="P786">
        <v>23330.670000000002</v>
      </c>
      <c r="Q786">
        <v>54632.710000000006</v>
      </c>
      <c r="R786">
        <v>5.0000000004970957E-2</v>
      </c>
      <c r="S786">
        <v>67763.289999999994</v>
      </c>
      <c r="T786">
        <v>-4.0000000004397407E-2</v>
      </c>
      <c r="U786">
        <v>42601.19999999999</v>
      </c>
      <c r="V786">
        <v>42869.869999999988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f>SUMPRODUCT(DB_ThemeSOFAcct[[#This Row],[Plan01]:[Plan12]],$E$14:$P$14)/valUnits2</f>
        <v>188.43140700000006</v>
      </c>
      <c r="AD786">
        <f>SUMPRODUCT(DB_ThemeSOFAcct[[#This Row],[Act01]:[Act12]],$Q$14:$AB$14)/valUnits2</f>
        <v>207.86707999999999</v>
      </c>
      <c r="AE786">
        <f>DB_ThemeSOFAcct[[#This Row],[Actuals]]-DB_ThemeSOFAcct[[#This Row],[Plan]]</f>
        <v>19.435672999999923</v>
      </c>
      <c r="AF786">
        <f>IF(DB_ThemeSOFAcct[[#This Row],[Plan]]&lt;&gt;0,DB_ThemeSOFAcct[[#This Row],[Actuals]]/DB_ThemeSOFAcct[[#This Row],[Plan]],1.000011000011)</f>
        <v>1.1031445516935503</v>
      </c>
      <c r="AG786" s="34">
        <f>SUM(DB_ThemeSOFAcct[[#This Row],[Plan01]:[Plan12]])/valUnits2</f>
        <v>335.86952900000006</v>
      </c>
      <c r="AH786" s="34">
        <f>SUMPRODUCT(DB_ThemeSOFAcct[[#This Row],[Act01]:[Act12]],$Q$3:$AB$3)/valUnits2</f>
        <v>207.86707999999999</v>
      </c>
    </row>
    <row r="787" spans="2:34" x14ac:dyDescent="0.2">
      <c r="B787" t="s">
        <v>345</v>
      </c>
      <c r="C787" t="s">
        <v>895</v>
      </c>
      <c r="D787" t="s">
        <v>140</v>
      </c>
      <c r="E787">
        <v>1117.221</v>
      </c>
      <c r="F787">
        <v>274.59699999999998</v>
      </c>
      <c r="G787">
        <v>104.49299999999999</v>
      </c>
      <c r="H787">
        <v>1647.557</v>
      </c>
      <c r="I787">
        <v>4150.1640000000007</v>
      </c>
      <c r="J787">
        <v>1030.249</v>
      </c>
      <c r="K787">
        <v>1030.249</v>
      </c>
      <c r="L787">
        <v>1030.249</v>
      </c>
      <c r="M787">
        <v>1030.249</v>
      </c>
      <c r="N787">
        <v>1030.249</v>
      </c>
      <c r="O787">
        <v>1030.249</v>
      </c>
      <c r="P787">
        <v>1030.249</v>
      </c>
      <c r="Q787">
        <v>1100.7</v>
      </c>
      <c r="R787">
        <v>280.44</v>
      </c>
      <c r="S787">
        <v>105.44000000000001</v>
      </c>
      <c r="T787">
        <v>1638.27</v>
      </c>
      <c r="U787">
        <v>4146.08</v>
      </c>
      <c r="V787">
        <v>1598.77</v>
      </c>
      <c r="W787">
        <v>57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f>SUMPRODUCT(DB_ThemeSOFAcct[[#This Row],[Plan01]:[Plan12]],$E$14:$P$14)/valUnits2</f>
        <v>8.3242810000000009</v>
      </c>
      <c r="AD787">
        <f>SUMPRODUCT(DB_ThemeSOFAcct[[#This Row],[Act01]:[Act12]],$Q$14:$AB$14)/valUnits2</f>
        <v>8.8696999999999999</v>
      </c>
      <c r="AE787">
        <f>DB_ThemeSOFAcct[[#This Row],[Actuals]]-DB_ThemeSOFAcct[[#This Row],[Plan]]</f>
        <v>0.54541899999999899</v>
      </c>
      <c r="AF787">
        <f>IF(DB_ThemeSOFAcct[[#This Row],[Plan]]&lt;&gt;0,DB_ThemeSOFAcct[[#This Row],[Actuals]]/DB_ThemeSOFAcct[[#This Row],[Plan]],1.000011000011)</f>
        <v>1.0655214546457525</v>
      </c>
      <c r="AG787" s="34">
        <f>SUM(DB_ThemeSOFAcct[[#This Row],[Plan01]:[Plan12]])/valUnits2</f>
        <v>14.505775</v>
      </c>
      <c r="AH787" s="34">
        <f>SUMPRODUCT(DB_ThemeSOFAcct[[#This Row],[Act01]:[Act12]],$Q$3:$AB$3)/valUnits2</f>
        <v>8.8696999999999999</v>
      </c>
    </row>
    <row r="788" spans="2:34" x14ac:dyDescent="0.2">
      <c r="B788" t="s">
        <v>345</v>
      </c>
      <c r="C788" t="s">
        <v>895</v>
      </c>
      <c r="D788" t="s">
        <v>236</v>
      </c>
      <c r="E788">
        <v>838.76499999999999</v>
      </c>
      <c r="Q788">
        <v>834.59</v>
      </c>
      <c r="AC788">
        <f>SUMPRODUCT(DB_ThemeSOFAcct[[#This Row],[Plan01]:[Plan12]],$E$14:$P$14)/valUnits2</f>
        <v>0.83876499999999998</v>
      </c>
      <c r="AD788">
        <f>SUMPRODUCT(DB_ThemeSOFAcct[[#This Row],[Act01]:[Act12]],$Q$14:$AB$14)/valUnits2</f>
        <v>0.83459000000000005</v>
      </c>
      <c r="AE788">
        <f>DB_ThemeSOFAcct[[#This Row],[Actuals]]-DB_ThemeSOFAcct[[#This Row],[Plan]]</f>
        <v>-4.1749999999999288E-3</v>
      </c>
      <c r="AF788">
        <f>IF(DB_ThemeSOFAcct[[#This Row],[Plan]]&lt;&gt;0,DB_ThemeSOFAcct[[#This Row],[Actuals]]/DB_ThemeSOFAcct[[#This Row],[Plan]],1.000011000011)</f>
        <v>0.99502244371188597</v>
      </c>
      <c r="AG788" s="34">
        <f>SUM(DB_ThemeSOFAcct[[#This Row],[Plan01]:[Plan12]])/valUnits2</f>
        <v>0.83876499999999998</v>
      </c>
      <c r="AH788" s="34">
        <f>SUMPRODUCT(DB_ThemeSOFAcct[[#This Row],[Act01]:[Act12]],$Q$3:$AB$3)/valUnits2</f>
        <v>0.83459000000000005</v>
      </c>
    </row>
    <row r="789" spans="2:34" x14ac:dyDescent="0.2">
      <c r="B789" t="s">
        <v>345</v>
      </c>
      <c r="C789" t="s">
        <v>895</v>
      </c>
      <c r="D789" t="s">
        <v>237</v>
      </c>
      <c r="E789">
        <v>0</v>
      </c>
      <c r="F789">
        <v>0</v>
      </c>
      <c r="G789">
        <v>0</v>
      </c>
      <c r="H789">
        <v>96.734999999999999</v>
      </c>
      <c r="I789">
        <v>26.771999999999998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96.75</v>
      </c>
      <c r="U789">
        <v>26.84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f>SUMPRODUCT(DB_ThemeSOFAcct[[#This Row],[Plan01]:[Plan12]],$E$14:$P$14)/valUnits2</f>
        <v>0.12350700000000001</v>
      </c>
      <c r="AD789">
        <f>SUMPRODUCT(DB_ThemeSOFAcct[[#This Row],[Act01]:[Act12]],$Q$14:$AB$14)/valUnits2</f>
        <v>0.12359000000000001</v>
      </c>
      <c r="AE789">
        <f>DB_ThemeSOFAcct[[#This Row],[Actuals]]-DB_ThemeSOFAcct[[#This Row],[Plan]]</f>
        <v>8.2999999999999741E-5</v>
      </c>
      <c r="AF789">
        <f>IF(DB_ThemeSOFAcct[[#This Row],[Plan]]&lt;&gt;0,DB_ThemeSOFAcct[[#This Row],[Actuals]]/DB_ThemeSOFAcct[[#This Row],[Plan]],1.000011000011)</f>
        <v>1.0006720266867466</v>
      </c>
      <c r="AG789" s="34">
        <f>SUM(DB_ThemeSOFAcct[[#This Row],[Plan01]:[Plan12]])/valUnits2</f>
        <v>0.12350700000000001</v>
      </c>
      <c r="AH789" s="34">
        <f>SUMPRODUCT(DB_ThemeSOFAcct[[#This Row],[Act01]:[Act12]],$Q$3:$AB$3)/valUnits2</f>
        <v>0.12359000000000001</v>
      </c>
    </row>
    <row r="790" spans="2:34" x14ac:dyDescent="0.2">
      <c r="B790" t="s">
        <v>345</v>
      </c>
      <c r="C790" t="s">
        <v>895</v>
      </c>
      <c r="D790" t="s">
        <v>141</v>
      </c>
      <c r="F790">
        <v>77.998000000000005</v>
      </c>
      <c r="G790">
        <v>3155.7440000000001</v>
      </c>
      <c r="I790">
        <v>341.84500000000003</v>
      </c>
      <c r="J790">
        <v>13043.049000000001</v>
      </c>
      <c r="N790">
        <v>0</v>
      </c>
      <c r="R790">
        <v>80</v>
      </c>
      <c r="S790">
        <v>3184.31</v>
      </c>
      <c r="U790">
        <v>343.59</v>
      </c>
      <c r="V790">
        <v>293.46000000000004</v>
      </c>
      <c r="Z790">
        <v>0</v>
      </c>
      <c r="AC790">
        <f>SUMPRODUCT(DB_ThemeSOFAcct[[#This Row],[Plan01]:[Plan12]],$E$14:$P$14)/valUnits2</f>
        <v>16.618636000000002</v>
      </c>
      <c r="AD790">
        <f>SUMPRODUCT(DB_ThemeSOFAcct[[#This Row],[Act01]:[Act12]],$Q$14:$AB$14)/valUnits2</f>
        <v>3.9013599999999999</v>
      </c>
      <c r="AE790">
        <f>DB_ThemeSOFAcct[[#This Row],[Actuals]]-DB_ThemeSOFAcct[[#This Row],[Plan]]</f>
        <v>-12.717276000000002</v>
      </c>
      <c r="AF790">
        <f>IF(DB_ThemeSOFAcct[[#This Row],[Plan]]&lt;&gt;0,DB_ThemeSOFAcct[[#This Row],[Actuals]]/DB_ThemeSOFAcct[[#This Row],[Plan]],1.000011000011)</f>
        <v>0.23475813538487753</v>
      </c>
      <c r="AG790" s="34">
        <f>SUM(DB_ThemeSOFAcct[[#This Row],[Plan01]:[Plan12]])/valUnits2</f>
        <v>16.618636000000002</v>
      </c>
      <c r="AH790" s="34">
        <f>SUMPRODUCT(DB_ThemeSOFAcct[[#This Row],[Act01]:[Act12]],$Q$3:$AB$3)/valUnits2</f>
        <v>3.9013599999999999</v>
      </c>
    </row>
    <row r="791" spans="2:34" x14ac:dyDescent="0.2">
      <c r="B791" t="s">
        <v>345</v>
      </c>
      <c r="C791" t="s">
        <v>907</v>
      </c>
      <c r="D791" t="s">
        <v>143</v>
      </c>
      <c r="F791">
        <v>1061.2260000000001</v>
      </c>
      <c r="R791">
        <v>625.38</v>
      </c>
      <c r="AC791">
        <f>SUMPRODUCT(DB_ThemeSOFAcct[[#This Row],[Plan01]:[Plan12]],$E$14:$P$14)/valUnits2</f>
        <v>1.061226</v>
      </c>
      <c r="AD791">
        <f>SUMPRODUCT(DB_ThemeSOFAcct[[#This Row],[Act01]:[Act12]],$Q$14:$AB$14)/valUnits2</f>
        <v>0.62538000000000005</v>
      </c>
      <c r="AE791">
        <f>DB_ThemeSOFAcct[[#This Row],[Actuals]]-DB_ThemeSOFAcct[[#This Row],[Plan]]</f>
        <v>-0.43584599999999996</v>
      </c>
      <c r="AF791">
        <f>IF(DB_ThemeSOFAcct[[#This Row],[Plan]]&lt;&gt;0,DB_ThemeSOFAcct[[#This Row],[Actuals]]/DB_ThemeSOFAcct[[#This Row],[Plan]],1.000011000011)</f>
        <v>0.58929954599680001</v>
      </c>
      <c r="AG791" s="34">
        <f>SUM(DB_ThemeSOFAcct[[#This Row],[Plan01]:[Plan12]])/valUnits2</f>
        <v>1.061226</v>
      </c>
      <c r="AH791" s="34">
        <f>SUMPRODUCT(DB_ThemeSOFAcct[[#This Row],[Act01]:[Act12]],$Q$3:$AB$3)/valUnits2</f>
        <v>0.62538000000000005</v>
      </c>
    </row>
    <row r="792" spans="2:34" x14ac:dyDescent="0.2">
      <c r="B792" t="s">
        <v>345</v>
      </c>
      <c r="C792" t="s">
        <v>907</v>
      </c>
      <c r="D792" t="s">
        <v>235</v>
      </c>
      <c r="F792">
        <v>0</v>
      </c>
      <c r="R792">
        <v>382.17</v>
      </c>
      <c r="AC792">
        <f>SUMPRODUCT(DB_ThemeSOFAcct[[#This Row],[Plan01]:[Plan12]],$E$14:$P$14)/valUnits2</f>
        <v>0</v>
      </c>
      <c r="AD792">
        <f>SUMPRODUCT(DB_ThemeSOFAcct[[#This Row],[Act01]:[Act12]],$Q$14:$AB$14)/valUnits2</f>
        <v>0.38217000000000001</v>
      </c>
      <c r="AE792">
        <f>DB_ThemeSOFAcct[[#This Row],[Actuals]]-DB_ThemeSOFAcct[[#This Row],[Plan]]</f>
        <v>0.38217000000000001</v>
      </c>
      <c r="AF792">
        <f>IF(DB_ThemeSOFAcct[[#This Row],[Plan]]&lt;&gt;0,DB_ThemeSOFAcct[[#This Row],[Actuals]]/DB_ThemeSOFAcct[[#This Row],[Plan]],1.000011000011)</f>
        <v>1.0000110000110001</v>
      </c>
      <c r="AG792" s="34">
        <f>SUM(DB_ThemeSOFAcct[[#This Row],[Plan01]:[Plan12]])/valUnits2</f>
        <v>0</v>
      </c>
      <c r="AH792" s="34">
        <f>SUMPRODUCT(DB_ThemeSOFAcct[[#This Row],[Act01]:[Act12]],$Q$3:$AB$3)/valUnits2</f>
        <v>0.38217000000000001</v>
      </c>
    </row>
    <row r="793" spans="2:34" x14ac:dyDescent="0.2">
      <c r="B793" t="s">
        <v>345</v>
      </c>
      <c r="C793" t="s">
        <v>907</v>
      </c>
      <c r="D793" t="s">
        <v>142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18.95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f>SUMPRODUCT(DB_ThemeSOFAcct[[#This Row],[Plan01]:[Plan12]],$E$14:$P$14)/valUnits2</f>
        <v>0</v>
      </c>
      <c r="AD793">
        <f>SUMPRODUCT(DB_ThemeSOFAcct[[#This Row],[Act01]:[Act12]],$Q$14:$AB$14)/valUnits2</f>
        <v>1.8949999999999998E-2</v>
      </c>
      <c r="AE793">
        <f>DB_ThemeSOFAcct[[#This Row],[Actuals]]-DB_ThemeSOFAcct[[#This Row],[Plan]]</f>
        <v>1.8949999999999998E-2</v>
      </c>
      <c r="AF793">
        <f>IF(DB_ThemeSOFAcct[[#This Row],[Plan]]&lt;&gt;0,DB_ThemeSOFAcct[[#This Row],[Actuals]]/DB_ThemeSOFAcct[[#This Row],[Plan]],1.000011000011)</f>
        <v>1.0000110000110001</v>
      </c>
      <c r="AG793" s="34">
        <f>SUM(DB_ThemeSOFAcct[[#This Row],[Plan01]:[Plan12]])/valUnits2</f>
        <v>0</v>
      </c>
      <c r="AH793" s="34">
        <f>SUMPRODUCT(DB_ThemeSOFAcct[[#This Row],[Act01]:[Act12]],$Q$3:$AB$3)/valUnits2</f>
        <v>1.8949999999999998E-2</v>
      </c>
    </row>
    <row r="794" spans="2:34" x14ac:dyDescent="0.2">
      <c r="B794" t="s">
        <v>345</v>
      </c>
      <c r="C794" t="s">
        <v>907</v>
      </c>
      <c r="D794" t="s">
        <v>140</v>
      </c>
      <c r="E794">
        <v>27.443999999999999</v>
      </c>
      <c r="F794">
        <v>0</v>
      </c>
      <c r="H794">
        <v>-26.7</v>
      </c>
      <c r="Q794">
        <v>26.79</v>
      </c>
      <c r="R794">
        <v>0</v>
      </c>
      <c r="T794">
        <v>-26.79</v>
      </c>
      <c r="AC794">
        <f>SUMPRODUCT(DB_ThemeSOFAcct[[#This Row],[Plan01]:[Plan12]],$E$14:$P$14)/valUnits2</f>
        <v>7.4399999999999976E-4</v>
      </c>
      <c r="AD794">
        <f>SUMPRODUCT(DB_ThemeSOFAcct[[#This Row],[Act01]:[Act12]],$Q$14:$AB$14)/valUnits2</f>
        <v>0</v>
      </c>
      <c r="AE794">
        <f>DB_ThemeSOFAcct[[#This Row],[Actuals]]-DB_ThemeSOFAcct[[#This Row],[Plan]]</f>
        <v>-7.4399999999999976E-4</v>
      </c>
      <c r="AF794">
        <f>IF(DB_ThemeSOFAcct[[#This Row],[Plan]]&lt;&gt;0,DB_ThemeSOFAcct[[#This Row],[Actuals]]/DB_ThemeSOFAcct[[#This Row],[Plan]],1.000011000011)</f>
        <v>0</v>
      </c>
      <c r="AG794" s="34">
        <f>SUM(DB_ThemeSOFAcct[[#This Row],[Plan01]:[Plan12]])/valUnits2</f>
        <v>7.4399999999999976E-4</v>
      </c>
      <c r="AH794" s="34">
        <f>SUMPRODUCT(DB_ThemeSOFAcct[[#This Row],[Act01]:[Act12]],$Q$3:$AB$3)/valUnits2</f>
        <v>0</v>
      </c>
    </row>
    <row r="795" spans="2:34" x14ac:dyDescent="0.2">
      <c r="B795" t="s">
        <v>345</v>
      </c>
      <c r="C795" t="s">
        <v>907</v>
      </c>
      <c r="D795" t="s">
        <v>236</v>
      </c>
      <c r="E795">
        <v>2072.444</v>
      </c>
      <c r="Q795">
        <v>2044.48</v>
      </c>
      <c r="AC795">
        <f>SUMPRODUCT(DB_ThemeSOFAcct[[#This Row],[Plan01]:[Plan12]],$E$14:$P$14)/valUnits2</f>
        <v>2.072444</v>
      </c>
      <c r="AD795">
        <f>SUMPRODUCT(DB_ThemeSOFAcct[[#This Row],[Act01]:[Act12]],$Q$14:$AB$14)/valUnits2</f>
        <v>2.0444800000000001</v>
      </c>
      <c r="AE795">
        <f>DB_ThemeSOFAcct[[#This Row],[Actuals]]-DB_ThemeSOFAcct[[#This Row],[Plan]]</f>
        <v>-2.7963999999999878E-2</v>
      </c>
      <c r="AF795">
        <f>IF(DB_ThemeSOFAcct[[#This Row],[Plan]]&lt;&gt;0,DB_ThemeSOFAcct[[#This Row],[Actuals]]/DB_ThemeSOFAcct[[#This Row],[Plan]],1.000011000011)</f>
        <v>0.98650675241405805</v>
      </c>
      <c r="AG795" s="34">
        <f>SUM(DB_ThemeSOFAcct[[#This Row],[Plan01]:[Plan12]])/valUnits2</f>
        <v>2.072444</v>
      </c>
      <c r="AH795" s="34">
        <f>SUMPRODUCT(DB_ThemeSOFAcct[[#This Row],[Act01]:[Act12]],$Q$3:$AB$3)/valUnits2</f>
        <v>2.0444800000000001</v>
      </c>
    </row>
    <row r="796" spans="2:34" x14ac:dyDescent="0.2">
      <c r="B796" t="s">
        <v>345</v>
      </c>
      <c r="C796" t="s">
        <v>907</v>
      </c>
      <c r="D796" t="s">
        <v>141</v>
      </c>
      <c r="E796">
        <v>1.2809999999999999</v>
      </c>
      <c r="F796">
        <v>70.867999999999995</v>
      </c>
      <c r="H796">
        <v>-71.152000000000001</v>
      </c>
      <c r="Q796">
        <v>1.25</v>
      </c>
      <c r="R796">
        <v>72.209999999999994</v>
      </c>
      <c r="T796">
        <v>-73.459999999999994</v>
      </c>
      <c r="AC796">
        <f>SUMPRODUCT(DB_ThemeSOFAcct[[#This Row],[Plan01]:[Plan12]],$E$14:$P$14)/valUnits2</f>
        <v>9.9699999999999984E-4</v>
      </c>
      <c r="AD796">
        <f>SUMPRODUCT(DB_ThemeSOFAcct[[#This Row],[Act01]:[Act12]],$Q$14:$AB$14)/valUnits2</f>
        <v>0</v>
      </c>
      <c r="AE796">
        <f>DB_ThemeSOFAcct[[#This Row],[Actuals]]-DB_ThemeSOFAcct[[#This Row],[Plan]]</f>
        <v>-9.9699999999999984E-4</v>
      </c>
      <c r="AF796">
        <f>IF(DB_ThemeSOFAcct[[#This Row],[Plan]]&lt;&gt;0,DB_ThemeSOFAcct[[#This Row],[Actuals]]/DB_ThemeSOFAcct[[#This Row],[Plan]],1.000011000011)</f>
        <v>0</v>
      </c>
      <c r="AG796" s="34">
        <f>SUM(DB_ThemeSOFAcct[[#This Row],[Plan01]:[Plan12]])/valUnits2</f>
        <v>9.9699999999999984E-4</v>
      </c>
      <c r="AH796" s="34">
        <f>SUMPRODUCT(DB_ThemeSOFAcct[[#This Row],[Act01]:[Act12]],$Q$3:$AB$3)/valUnits2</f>
        <v>0</v>
      </c>
    </row>
    <row r="797" spans="2:34" x14ac:dyDescent="0.2">
      <c r="B797" t="s">
        <v>345</v>
      </c>
      <c r="C797" t="s">
        <v>932</v>
      </c>
      <c r="D797" t="s">
        <v>140</v>
      </c>
      <c r="H797">
        <v>14942.26</v>
      </c>
      <c r="I797">
        <v>1721.943</v>
      </c>
      <c r="T797">
        <v>14988.4</v>
      </c>
      <c r="U797">
        <v>1855.28</v>
      </c>
      <c r="AC797">
        <f>SUMPRODUCT(DB_ThemeSOFAcct[[#This Row],[Plan01]:[Plan12]],$E$14:$P$14)/valUnits2</f>
        <v>16.664203000000001</v>
      </c>
      <c r="AD797">
        <f>SUMPRODUCT(DB_ThemeSOFAcct[[#This Row],[Act01]:[Act12]],$Q$14:$AB$14)/valUnits2</f>
        <v>16.843679999999999</v>
      </c>
      <c r="AE797">
        <f>DB_ThemeSOFAcct[[#This Row],[Actuals]]-DB_ThemeSOFAcct[[#This Row],[Plan]]</f>
        <v>0.17947699999999855</v>
      </c>
      <c r="AF797">
        <f>IF(DB_ThemeSOFAcct[[#This Row],[Plan]]&lt;&gt;0,DB_ThemeSOFAcct[[#This Row],[Actuals]]/DB_ThemeSOFAcct[[#This Row],[Plan]],1.000011000011)</f>
        <v>1.0107702120527455</v>
      </c>
      <c r="AG797" s="34">
        <f>SUM(DB_ThemeSOFAcct[[#This Row],[Plan01]:[Plan12]])/valUnits2</f>
        <v>16.664203000000001</v>
      </c>
      <c r="AH797" s="34">
        <f>SUMPRODUCT(DB_ThemeSOFAcct[[#This Row],[Act01]:[Act12]],$Q$3:$AB$3)/valUnits2</f>
        <v>16.843679999999999</v>
      </c>
    </row>
    <row r="798" spans="2:34" x14ac:dyDescent="0.2">
      <c r="B798" t="s">
        <v>346</v>
      </c>
      <c r="C798" t="s">
        <v>853</v>
      </c>
      <c r="D798" t="s">
        <v>235</v>
      </c>
      <c r="G798">
        <v>0</v>
      </c>
      <c r="H798">
        <v>0</v>
      </c>
      <c r="I798">
        <v>0</v>
      </c>
      <c r="J798">
        <v>29.613</v>
      </c>
      <c r="K798">
        <v>29.613</v>
      </c>
      <c r="L798">
        <v>29.613</v>
      </c>
      <c r="M798">
        <v>29.613</v>
      </c>
      <c r="N798">
        <v>29.613</v>
      </c>
      <c r="O798">
        <v>29.613</v>
      </c>
      <c r="P798">
        <v>29.613</v>
      </c>
      <c r="S798">
        <v>0</v>
      </c>
      <c r="T798">
        <v>0</v>
      </c>
      <c r="U798">
        <v>0</v>
      </c>
      <c r="V798">
        <v>66.97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f>SUMPRODUCT(DB_ThemeSOFAcct[[#This Row],[Plan01]:[Plan12]],$E$14:$P$14)/valUnits2</f>
        <v>2.9613E-2</v>
      </c>
      <c r="AD798">
        <f>SUMPRODUCT(DB_ThemeSOFAcct[[#This Row],[Act01]:[Act12]],$Q$14:$AB$14)/valUnits2</f>
        <v>6.6970000000000002E-2</v>
      </c>
      <c r="AE798">
        <f>DB_ThemeSOFAcct[[#This Row],[Actuals]]-DB_ThemeSOFAcct[[#This Row],[Plan]]</f>
        <v>3.7357000000000001E-2</v>
      </c>
      <c r="AF798">
        <f>IF(DB_ThemeSOFAcct[[#This Row],[Plan]]&lt;&gt;0,DB_ThemeSOFAcct[[#This Row],[Actuals]]/DB_ThemeSOFAcct[[#This Row],[Plan]],1.000011000011)</f>
        <v>2.2615067706750414</v>
      </c>
      <c r="AG798" s="34">
        <f>SUM(DB_ThemeSOFAcct[[#This Row],[Plan01]:[Plan12]])/valUnits2</f>
        <v>0.207291</v>
      </c>
      <c r="AH798" s="34">
        <f>SUMPRODUCT(DB_ThemeSOFAcct[[#This Row],[Act01]:[Act12]],$Q$3:$AB$3)/valUnits2</f>
        <v>6.6970000000000002E-2</v>
      </c>
    </row>
    <row r="799" spans="2:34" x14ac:dyDescent="0.2">
      <c r="B799" t="s">
        <v>346</v>
      </c>
      <c r="C799" t="s">
        <v>853</v>
      </c>
      <c r="D799" t="s">
        <v>140</v>
      </c>
      <c r="H799">
        <v>24.516999999999999</v>
      </c>
      <c r="I799">
        <v>2.5750000000000002</v>
      </c>
      <c r="J799">
        <v>507.66399999999999</v>
      </c>
      <c r="K799">
        <v>507.66399999999999</v>
      </c>
      <c r="L799">
        <v>507.66399999999999</v>
      </c>
      <c r="M799">
        <v>507.66399999999999</v>
      </c>
      <c r="N799">
        <v>507.66399999999999</v>
      </c>
      <c r="O799">
        <v>507.66399999999999</v>
      </c>
      <c r="P799">
        <v>507.66399999999999</v>
      </c>
      <c r="T799">
        <v>24.03</v>
      </c>
      <c r="U799">
        <v>2.58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f>SUMPRODUCT(DB_ThemeSOFAcct[[#This Row],[Plan01]:[Plan12]],$E$14:$P$14)/valUnits2</f>
        <v>0.53475600000000001</v>
      </c>
      <c r="AD799">
        <f>SUMPRODUCT(DB_ThemeSOFAcct[[#This Row],[Act01]:[Act12]],$Q$14:$AB$14)/valUnits2</f>
        <v>2.6609999999999998E-2</v>
      </c>
      <c r="AE799">
        <f>DB_ThemeSOFAcct[[#This Row],[Actuals]]-DB_ThemeSOFAcct[[#This Row],[Plan]]</f>
        <v>-0.50814599999999999</v>
      </c>
      <c r="AF799">
        <f>IF(DB_ThemeSOFAcct[[#This Row],[Plan]]&lt;&gt;0,DB_ThemeSOFAcct[[#This Row],[Actuals]]/DB_ThemeSOFAcct[[#This Row],[Plan]],1.000011000011)</f>
        <v>4.9761012499158493E-2</v>
      </c>
      <c r="AG799" s="34">
        <f>SUM(DB_ThemeSOFAcct[[#This Row],[Plan01]:[Plan12]])/valUnits2</f>
        <v>3.5807399999999996</v>
      </c>
      <c r="AH799" s="34">
        <f>SUMPRODUCT(DB_ThemeSOFAcct[[#This Row],[Act01]:[Act12]],$Q$3:$AB$3)/valUnits2</f>
        <v>2.6609999999999998E-2</v>
      </c>
    </row>
    <row r="800" spans="2:34" x14ac:dyDescent="0.2">
      <c r="B800" t="s">
        <v>346</v>
      </c>
      <c r="C800" t="s">
        <v>853</v>
      </c>
      <c r="D800" t="s">
        <v>236</v>
      </c>
      <c r="H800">
        <v>116.473</v>
      </c>
      <c r="I800">
        <v>138.745</v>
      </c>
      <c r="J800">
        <v>0</v>
      </c>
      <c r="K800">
        <v>1370.694</v>
      </c>
      <c r="L800">
        <v>1370.694</v>
      </c>
      <c r="N800">
        <v>1370.694</v>
      </c>
      <c r="O800">
        <v>1370.694</v>
      </c>
      <c r="T800">
        <v>114.36</v>
      </c>
      <c r="U800">
        <v>139.02000000000001</v>
      </c>
      <c r="V800">
        <v>119.02</v>
      </c>
      <c r="W800">
        <v>0</v>
      </c>
      <c r="X800">
        <v>0</v>
      </c>
      <c r="Z800">
        <v>0</v>
      </c>
      <c r="AA800">
        <v>0</v>
      </c>
      <c r="AC800">
        <f>SUMPRODUCT(DB_ThemeSOFAcct[[#This Row],[Plan01]:[Plan12]],$E$14:$P$14)/valUnits2</f>
        <v>0.255218</v>
      </c>
      <c r="AD800">
        <f>SUMPRODUCT(DB_ThemeSOFAcct[[#This Row],[Act01]:[Act12]],$Q$14:$AB$14)/valUnits2</f>
        <v>0.37239999999999995</v>
      </c>
      <c r="AE800">
        <f>DB_ThemeSOFAcct[[#This Row],[Actuals]]-DB_ThemeSOFAcct[[#This Row],[Plan]]</f>
        <v>0.11718199999999995</v>
      </c>
      <c r="AF800">
        <f>IF(DB_ThemeSOFAcct[[#This Row],[Plan]]&lt;&gt;0,DB_ThemeSOFAcct[[#This Row],[Actuals]]/DB_ThemeSOFAcct[[#This Row],[Plan]],1.000011000011)</f>
        <v>1.4591447311709986</v>
      </c>
      <c r="AG800" s="34">
        <f>SUM(DB_ThemeSOFAcct[[#This Row],[Plan01]:[Plan12]])/valUnits2</f>
        <v>5.7379939999999987</v>
      </c>
      <c r="AH800" s="34">
        <f>SUMPRODUCT(DB_ThemeSOFAcct[[#This Row],[Act01]:[Act12]],$Q$3:$AB$3)/valUnits2</f>
        <v>0.37239999999999995</v>
      </c>
    </row>
    <row r="801" spans="2:34" x14ac:dyDescent="0.2">
      <c r="B801" t="s">
        <v>346</v>
      </c>
      <c r="C801" t="s">
        <v>853</v>
      </c>
      <c r="D801" t="s">
        <v>141</v>
      </c>
      <c r="G801">
        <v>336.26799999999997</v>
      </c>
      <c r="H801">
        <v>179.666</v>
      </c>
      <c r="I801">
        <v>33.768999999999998</v>
      </c>
      <c r="J801">
        <v>16.922000000000001</v>
      </c>
      <c r="K801">
        <v>16.922000000000001</v>
      </c>
      <c r="L801">
        <v>16.922000000000001</v>
      </c>
      <c r="M801">
        <v>16.922000000000001</v>
      </c>
      <c r="N801">
        <v>16.922000000000001</v>
      </c>
      <c r="O801">
        <v>16.922000000000001</v>
      </c>
      <c r="P801">
        <v>16.922000000000001</v>
      </c>
      <c r="S801">
        <v>335.14</v>
      </c>
      <c r="T801">
        <v>176.28</v>
      </c>
      <c r="U801">
        <v>34.32</v>
      </c>
      <c r="V801">
        <v>411.65000000000003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f>SUMPRODUCT(DB_ThemeSOFAcct[[#This Row],[Plan01]:[Plan12]],$E$14:$P$14)/valUnits2</f>
        <v>0.56662500000000005</v>
      </c>
      <c r="AD801">
        <f>SUMPRODUCT(DB_ThemeSOFAcct[[#This Row],[Act01]:[Act12]],$Q$14:$AB$14)/valUnits2</f>
        <v>0.95739000000000007</v>
      </c>
      <c r="AE801">
        <f>DB_ThemeSOFAcct[[#This Row],[Actuals]]-DB_ThemeSOFAcct[[#This Row],[Plan]]</f>
        <v>0.39076500000000003</v>
      </c>
      <c r="AF801">
        <f>IF(DB_ThemeSOFAcct[[#This Row],[Plan]]&lt;&gt;0,DB_ThemeSOFAcct[[#This Row],[Actuals]]/DB_ThemeSOFAcct[[#This Row],[Plan]],1.000011000011)</f>
        <v>1.6896360026472534</v>
      </c>
      <c r="AG801" s="34">
        <f>SUM(DB_ThemeSOFAcct[[#This Row],[Plan01]:[Plan12]])/valUnits2</f>
        <v>0.66815700000000011</v>
      </c>
      <c r="AH801" s="34">
        <f>SUMPRODUCT(DB_ThemeSOFAcct[[#This Row],[Act01]:[Act12]],$Q$3:$AB$3)/valUnits2</f>
        <v>0.95739000000000007</v>
      </c>
    </row>
    <row r="802" spans="2:34" x14ac:dyDescent="0.2">
      <c r="B802" t="s">
        <v>346</v>
      </c>
      <c r="C802" t="s">
        <v>858</v>
      </c>
      <c r="D802" t="s">
        <v>235</v>
      </c>
      <c r="J802">
        <v>0</v>
      </c>
      <c r="V802">
        <v>44.22</v>
      </c>
      <c r="AC802">
        <f>SUMPRODUCT(DB_ThemeSOFAcct[[#This Row],[Plan01]:[Plan12]],$E$14:$P$14)/valUnits2</f>
        <v>0</v>
      </c>
      <c r="AD802">
        <f>SUMPRODUCT(DB_ThemeSOFAcct[[#This Row],[Act01]:[Act12]],$Q$14:$AB$14)/valUnits2</f>
        <v>4.4219999999999995E-2</v>
      </c>
      <c r="AE802">
        <f>DB_ThemeSOFAcct[[#This Row],[Actuals]]-DB_ThemeSOFAcct[[#This Row],[Plan]]</f>
        <v>4.4219999999999995E-2</v>
      </c>
      <c r="AF802">
        <f>IF(DB_ThemeSOFAcct[[#This Row],[Plan]]&lt;&gt;0,DB_ThemeSOFAcct[[#This Row],[Actuals]]/DB_ThemeSOFAcct[[#This Row],[Plan]],1.000011000011)</f>
        <v>1.0000110000110001</v>
      </c>
      <c r="AG802" s="34">
        <f>SUM(DB_ThemeSOFAcct[[#This Row],[Plan01]:[Plan12]])/valUnits2</f>
        <v>0</v>
      </c>
      <c r="AH802" s="34">
        <f>SUMPRODUCT(DB_ThemeSOFAcct[[#This Row],[Act01]:[Act12]],$Q$3:$AB$3)/valUnits2</f>
        <v>4.4219999999999995E-2</v>
      </c>
    </row>
    <row r="803" spans="2:34" x14ac:dyDescent="0.2">
      <c r="B803" t="s">
        <v>346</v>
      </c>
      <c r="C803" t="s">
        <v>858</v>
      </c>
      <c r="D803" t="s">
        <v>140</v>
      </c>
      <c r="E803">
        <v>1531.98</v>
      </c>
      <c r="F803">
        <v>1678.72</v>
      </c>
      <c r="G803">
        <v>1988.5</v>
      </c>
      <c r="H803">
        <v>2269.4499999999998</v>
      </c>
      <c r="I803">
        <v>3221.83</v>
      </c>
      <c r="J803">
        <v>1931.75</v>
      </c>
      <c r="K803">
        <v>1931.75</v>
      </c>
      <c r="L803">
        <v>1931.75</v>
      </c>
      <c r="M803">
        <v>1931.75</v>
      </c>
      <c r="N803">
        <v>1931.75</v>
      </c>
      <c r="O803">
        <v>1931.75</v>
      </c>
      <c r="P803">
        <v>1931.75</v>
      </c>
      <c r="Q803">
        <v>1531.98</v>
      </c>
      <c r="R803">
        <v>1678.72</v>
      </c>
      <c r="S803">
        <v>1988.5</v>
      </c>
      <c r="T803">
        <v>2269.4500000000003</v>
      </c>
      <c r="U803">
        <v>3221.83</v>
      </c>
      <c r="V803">
        <v>2606.19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f>SUMPRODUCT(DB_ThemeSOFAcct[[#This Row],[Plan01]:[Plan12]],$E$14:$P$14)/valUnits2</f>
        <v>12.62223</v>
      </c>
      <c r="AD803">
        <f>SUMPRODUCT(DB_ThemeSOFAcct[[#This Row],[Act01]:[Act12]],$Q$14:$AB$14)/valUnits2</f>
        <v>13.296670000000001</v>
      </c>
      <c r="AE803">
        <f>DB_ThemeSOFAcct[[#This Row],[Actuals]]-DB_ThemeSOFAcct[[#This Row],[Plan]]</f>
        <v>0.67444000000000059</v>
      </c>
      <c r="AF803">
        <f>IF(DB_ThemeSOFAcct[[#This Row],[Plan]]&lt;&gt;0,DB_ThemeSOFAcct[[#This Row],[Actuals]]/DB_ThemeSOFAcct[[#This Row],[Plan]],1.000011000011)</f>
        <v>1.0534327135537858</v>
      </c>
      <c r="AG803" s="34">
        <f>SUM(DB_ThemeSOFAcct[[#This Row],[Plan01]:[Plan12]])/valUnits2</f>
        <v>24.212730000000001</v>
      </c>
      <c r="AH803" s="34">
        <f>SUMPRODUCT(DB_ThemeSOFAcct[[#This Row],[Act01]:[Act12]],$Q$3:$AB$3)/valUnits2</f>
        <v>13.296670000000001</v>
      </c>
    </row>
    <row r="804" spans="2:34" x14ac:dyDescent="0.2">
      <c r="B804" t="s">
        <v>346</v>
      </c>
      <c r="C804" t="s">
        <v>858</v>
      </c>
      <c r="D804" t="s">
        <v>236</v>
      </c>
      <c r="E804">
        <v>0</v>
      </c>
      <c r="F804">
        <v>21.74</v>
      </c>
      <c r="G804">
        <v>0</v>
      </c>
      <c r="H804">
        <v>0</v>
      </c>
      <c r="I804">
        <v>0</v>
      </c>
      <c r="J804">
        <v>1083.3330000000001</v>
      </c>
      <c r="K804">
        <v>1083.3330000000001</v>
      </c>
      <c r="L804">
        <v>1083.3330000000001</v>
      </c>
      <c r="M804">
        <v>1083.3330000000001</v>
      </c>
      <c r="N804">
        <v>1083.3330000000001</v>
      </c>
      <c r="O804">
        <v>1083.3330000000001</v>
      </c>
      <c r="P804">
        <v>1083.3330000000001</v>
      </c>
      <c r="Q804">
        <v>0</v>
      </c>
      <c r="R804">
        <v>21.74</v>
      </c>
      <c r="S804">
        <v>0</v>
      </c>
      <c r="T804">
        <v>0</v>
      </c>
      <c r="U804">
        <v>0</v>
      </c>
      <c r="V804">
        <v>58.06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f>SUMPRODUCT(DB_ThemeSOFAcct[[#This Row],[Plan01]:[Plan12]],$E$14:$P$14)/valUnits2</f>
        <v>1.1050730000000002</v>
      </c>
      <c r="AD804">
        <f>SUMPRODUCT(DB_ThemeSOFAcct[[#This Row],[Act01]:[Act12]],$Q$14:$AB$14)/valUnits2</f>
        <v>7.9799999999999996E-2</v>
      </c>
      <c r="AE804">
        <f>DB_ThemeSOFAcct[[#This Row],[Actuals]]-DB_ThemeSOFAcct[[#This Row],[Plan]]</f>
        <v>-1.0252730000000001</v>
      </c>
      <c r="AF804">
        <f>IF(DB_ThemeSOFAcct[[#This Row],[Plan]]&lt;&gt;0,DB_ThemeSOFAcct[[#This Row],[Actuals]]/DB_ThemeSOFAcct[[#This Row],[Plan]],1.000011000011)</f>
        <v>7.2212423975610646E-2</v>
      </c>
      <c r="AG804" s="34">
        <f>SUM(DB_ThemeSOFAcct[[#This Row],[Plan01]:[Plan12]])/valUnits2</f>
        <v>7.6050710000000015</v>
      </c>
      <c r="AH804" s="34">
        <f>SUMPRODUCT(DB_ThemeSOFAcct[[#This Row],[Act01]:[Act12]],$Q$3:$AB$3)/valUnits2</f>
        <v>7.9799999999999996E-2</v>
      </c>
    </row>
    <row r="805" spans="2:34" x14ac:dyDescent="0.2">
      <c r="B805" t="s">
        <v>346</v>
      </c>
      <c r="C805" t="s">
        <v>858</v>
      </c>
      <c r="D805" t="s">
        <v>237</v>
      </c>
      <c r="F805">
        <v>58.49</v>
      </c>
      <c r="H805">
        <v>100.6</v>
      </c>
      <c r="I805">
        <v>254.98</v>
      </c>
      <c r="J805">
        <v>0</v>
      </c>
      <c r="R805">
        <v>58.49</v>
      </c>
      <c r="T805">
        <v>100.6</v>
      </c>
      <c r="U805">
        <v>254.98</v>
      </c>
      <c r="V805">
        <v>153.68</v>
      </c>
      <c r="AC805">
        <f>SUMPRODUCT(DB_ThemeSOFAcct[[#This Row],[Plan01]:[Plan12]],$E$14:$P$14)/valUnits2</f>
        <v>0.41406999999999999</v>
      </c>
      <c r="AD805">
        <f>SUMPRODUCT(DB_ThemeSOFAcct[[#This Row],[Act01]:[Act12]],$Q$14:$AB$14)/valUnits2</f>
        <v>0.56774999999999998</v>
      </c>
      <c r="AE805">
        <f>DB_ThemeSOFAcct[[#This Row],[Actuals]]-DB_ThemeSOFAcct[[#This Row],[Plan]]</f>
        <v>0.15367999999999998</v>
      </c>
      <c r="AF805">
        <f>IF(DB_ThemeSOFAcct[[#This Row],[Plan]]&lt;&gt;0,DB_ThemeSOFAcct[[#This Row],[Actuals]]/DB_ThemeSOFAcct[[#This Row],[Plan]],1.000011000011)</f>
        <v>1.3711449754872365</v>
      </c>
      <c r="AG805" s="34">
        <f>SUM(DB_ThemeSOFAcct[[#This Row],[Plan01]:[Plan12]])/valUnits2</f>
        <v>0.41406999999999999</v>
      </c>
      <c r="AH805" s="34">
        <f>SUMPRODUCT(DB_ThemeSOFAcct[[#This Row],[Act01]:[Act12]],$Q$3:$AB$3)/valUnits2</f>
        <v>0.56774999999999998</v>
      </c>
    </row>
    <row r="806" spans="2:34" x14ac:dyDescent="0.2">
      <c r="B806" t="s">
        <v>346</v>
      </c>
      <c r="C806" t="s">
        <v>858</v>
      </c>
      <c r="D806" t="s">
        <v>141</v>
      </c>
      <c r="E806">
        <v>0</v>
      </c>
      <c r="F806">
        <v>308.60000000000002</v>
      </c>
      <c r="G806">
        <v>287.14999999999998</v>
      </c>
      <c r="H806">
        <v>125.87</v>
      </c>
      <c r="I806">
        <v>3360.42</v>
      </c>
      <c r="J806">
        <v>3125</v>
      </c>
      <c r="K806">
        <v>3125</v>
      </c>
      <c r="L806">
        <v>4000</v>
      </c>
      <c r="M806">
        <v>3125</v>
      </c>
      <c r="N806">
        <v>3125</v>
      </c>
      <c r="O806">
        <v>3125</v>
      </c>
      <c r="P806">
        <v>3125</v>
      </c>
      <c r="Q806">
        <v>0</v>
      </c>
      <c r="R806">
        <v>308.60000000000002</v>
      </c>
      <c r="S806">
        <v>287.14999999999998</v>
      </c>
      <c r="T806">
        <v>125.87</v>
      </c>
      <c r="U806">
        <v>3360.42</v>
      </c>
      <c r="V806">
        <v>2132.25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f>SUMPRODUCT(DB_ThemeSOFAcct[[#This Row],[Plan01]:[Plan12]],$E$14:$P$14)/valUnits2</f>
        <v>7.2070400000000001</v>
      </c>
      <c r="AD806">
        <f>SUMPRODUCT(DB_ThemeSOFAcct[[#This Row],[Act01]:[Act12]],$Q$14:$AB$14)/valUnits2</f>
        <v>6.2142900000000001</v>
      </c>
      <c r="AE806">
        <f>DB_ThemeSOFAcct[[#This Row],[Actuals]]-DB_ThemeSOFAcct[[#This Row],[Plan]]</f>
        <v>-0.99275000000000002</v>
      </c>
      <c r="AF806">
        <f>IF(DB_ThemeSOFAcct[[#This Row],[Plan]]&lt;&gt;0,DB_ThemeSOFAcct[[#This Row],[Actuals]]/DB_ThemeSOFAcct[[#This Row],[Plan]],1.000011000011)</f>
        <v>0.86225274176360889</v>
      </c>
      <c r="AG806" s="34">
        <f>SUM(DB_ThemeSOFAcct[[#This Row],[Plan01]:[Plan12]])/valUnits2</f>
        <v>26.832039999999999</v>
      </c>
      <c r="AH806" s="34">
        <f>SUMPRODUCT(DB_ThemeSOFAcct[[#This Row],[Act01]:[Act12]],$Q$3:$AB$3)/valUnits2</f>
        <v>6.2142900000000001</v>
      </c>
    </row>
    <row r="807" spans="2:34" x14ac:dyDescent="0.2">
      <c r="B807" t="s">
        <v>346</v>
      </c>
      <c r="C807" t="s">
        <v>859</v>
      </c>
      <c r="D807" t="s">
        <v>143</v>
      </c>
      <c r="H807">
        <v>0</v>
      </c>
      <c r="I807">
        <v>0</v>
      </c>
      <c r="J807">
        <v>1677.8579999999999</v>
      </c>
      <c r="K807">
        <v>1677.8579999999999</v>
      </c>
      <c r="L807">
        <v>1677.8579999999999</v>
      </c>
      <c r="M807">
        <v>1677.8580000000002</v>
      </c>
      <c r="N807">
        <v>1677.8580000000002</v>
      </c>
      <c r="O807">
        <v>1677.8579999999999</v>
      </c>
      <c r="P807">
        <v>1677.8579999999999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f>SUMPRODUCT(DB_ThemeSOFAcct[[#This Row],[Plan01]:[Plan12]],$E$14:$P$14)/valUnits2</f>
        <v>1.6778579999999998</v>
      </c>
      <c r="AD807">
        <f>SUMPRODUCT(DB_ThemeSOFAcct[[#This Row],[Act01]:[Act12]],$Q$14:$AB$14)/valUnits2</f>
        <v>0</v>
      </c>
      <c r="AE807">
        <f>DB_ThemeSOFAcct[[#This Row],[Actuals]]-DB_ThemeSOFAcct[[#This Row],[Plan]]</f>
        <v>-1.6778579999999998</v>
      </c>
      <c r="AF807">
        <f>IF(DB_ThemeSOFAcct[[#This Row],[Plan]]&lt;&gt;0,DB_ThemeSOFAcct[[#This Row],[Actuals]]/DB_ThemeSOFAcct[[#This Row],[Plan]],1.000011000011)</f>
        <v>0</v>
      </c>
      <c r="AG807" s="34">
        <f>SUM(DB_ThemeSOFAcct[[#This Row],[Plan01]:[Plan12]])/valUnits2</f>
        <v>11.745006000000002</v>
      </c>
      <c r="AH807" s="34">
        <f>SUMPRODUCT(DB_ThemeSOFAcct[[#This Row],[Act01]:[Act12]],$Q$3:$AB$3)/valUnits2</f>
        <v>0</v>
      </c>
    </row>
    <row r="808" spans="2:34" x14ac:dyDescent="0.2">
      <c r="B808" t="s">
        <v>346</v>
      </c>
      <c r="C808" t="s">
        <v>859</v>
      </c>
      <c r="D808" t="s">
        <v>235</v>
      </c>
      <c r="E808">
        <v>0</v>
      </c>
      <c r="F808">
        <v>0</v>
      </c>
      <c r="G808">
        <v>98.397999999999996</v>
      </c>
      <c r="H808">
        <v>0</v>
      </c>
      <c r="I808">
        <v>0</v>
      </c>
      <c r="J808">
        <v>547.80799999999999</v>
      </c>
      <c r="K808">
        <v>547.80799999999999</v>
      </c>
      <c r="L808">
        <v>547.80799999999999</v>
      </c>
      <c r="M808">
        <v>547.80799999999999</v>
      </c>
      <c r="N808">
        <v>547.80799999999999</v>
      </c>
      <c r="O808">
        <v>547.80799999999999</v>
      </c>
      <c r="P808">
        <v>547.80799999999999</v>
      </c>
      <c r="Q808">
        <v>0</v>
      </c>
      <c r="R808">
        <v>0</v>
      </c>
      <c r="S808">
        <v>100.34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f>SUMPRODUCT(DB_ThemeSOFAcct[[#This Row],[Plan01]:[Plan12]],$E$14:$P$14)/valUnits2</f>
        <v>0.64620600000000006</v>
      </c>
      <c r="AD808">
        <f>SUMPRODUCT(DB_ThemeSOFAcct[[#This Row],[Act01]:[Act12]],$Q$14:$AB$14)/valUnits2</f>
        <v>0.10034</v>
      </c>
      <c r="AE808">
        <f>DB_ThemeSOFAcct[[#This Row],[Actuals]]-DB_ThemeSOFAcct[[#This Row],[Plan]]</f>
        <v>-0.54586600000000007</v>
      </c>
      <c r="AF808">
        <f>IF(DB_ThemeSOFAcct[[#This Row],[Plan]]&lt;&gt;0,DB_ThemeSOFAcct[[#This Row],[Actuals]]/DB_ThemeSOFAcct[[#This Row],[Plan]],1.000011000011)</f>
        <v>0.15527556228199674</v>
      </c>
      <c r="AG808" s="34">
        <f>SUM(DB_ThemeSOFAcct[[#This Row],[Plan01]:[Plan12]])/valUnits2</f>
        <v>3.9330540000000003</v>
      </c>
      <c r="AH808" s="34">
        <f>SUMPRODUCT(DB_ThemeSOFAcct[[#This Row],[Act01]:[Act12]],$Q$3:$AB$3)/valUnits2</f>
        <v>0.10034</v>
      </c>
    </row>
    <row r="809" spans="2:34" x14ac:dyDescent="0.2">
      <c r="B809" t="s">
        <v>346</v>
      </c>
      <c r="C809" t="s">
        <v>859</v>
      </c>
      <c r="D809" t="s">
        <v>142</v>
      </c>
      <c r="E809">
        <v>-1.999999988925083E-3</v>
      </c>
      <c r="F809">
        <v>25166.040999999994</v>
      </c>
      <c r="G809">
        <v>4.3000000005974925E-2</v>
      </c>
      <c r="H809">
        <v>128003.79600000002</v>
      </c>
      <c r="I809">
        <v>-7.4999999997089617E-2</v>
      </c>
      <c r="J809">
        <v>87161.30700000003</v>
      </c>
      <c r="K809">
        <v>41494.204000000005</v>
      </c>
      <c r="L809">
        <v>41727.429000000004</v>
      </c>
      <c r="M809">
        <v>39287.747000000003</v>
      </c>
      <c r="N809">
        <v>37635.716999999997</v>
      </c>
      <c r="O809">
        <v>60121.562000000013</v>
      </c>
      <c r="P809">
        <v>49079.70600000002</v>
      </c>
      <c r="Q809">
        <v>-1.1652900866465643E-12</v>
      </c>
      <c r="R809">
        <v>26016.94000000001</v>
      </c>
      <c r="S809">
        <v>3.9999999998274305E-2</v>
      </c>
      <c r="T809">
        <v>126426.82999999999</v>
      </c>
      <c r="U809">
        <v>-6.9999999997993001E-2</v>
      </c>
      <c r="V809">
        <v>-6.0000000000803411E-2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f>SUMPRODUCT(DB_ThemeSOFAcct[[#This Row],[Plan01]:[Plan12]],$E$14:$P$14)/valUnits2</f>
        <v>240.33111000000005</v>
      </c>
      <c r="AD809">
        <f>SUMPRODUCT(DB_ThemeSOFAcct[[#This Row],[Act01]:[Act12]],$Q$14:$AB$14)/valUnits2</f>
        <v>152.44368</v>
      </c>
      <c r="AE809">
        <f>DB_ThemeSOFAcct[[#This Row],[Actuals]]-DB_ThemeSOFAcct[[#This Row],[Plan]]</f>
        <v>-87.887430000000052</v>
      </c>
      <c r="AF809">
        <f>IF(DB_ThemeSOFAcct[[#This Row],[Plan]]&lt;&gt;0,DB_ThemeSOFAcct[[#This Row],[Actuals]]/DB_ThemeSOFAcct[[#This Row],[Plan]],1.000011000011)</f>
        <v>0.63430689435088106</v>
      </c>
      <c r="AG809" s="34">
        <f>SUM(DB_ThemeSOFAcct[[#This Row],[Plan01]:[Plan12]])/valUnits2</f>
        <v>509.67747500000013</v>
      </c>
      <c r="AH809" s="34">
        <f>SUMPRODUCT(DB_ThemeSOFAcct[[#This Row],[Act01]:[Act12]],$Q$3:$AB$3)/valUnits2</f>
        <v>152.44368</v>
      </c>
    </row>
    <row r="810" spans="2:34" x14ac:dyDescent="0.2">
      <c r="B810" t="s">
        <v>346</v>
      </c>
      <c r="C810" t="s">
        <v>859</v>
      </c>
      <c r="D810" t="s">
        <v>140</v>
      </c>
      <c r="E810">
        <v>761.67399999999998</v>
      </c>
      <c r="F810">
        <v>845.61199999999997</v>
      </c>
      <c r="G810">
        <v>942.35</v>
      </c>
      <c r="H810">
        <v>1105.1220000000001</v>
      </c>
      <c r="I810">
        <v>1263.598</v>
      </c>
      <c r="J810">
        <v>1280.828</v>
      </c>
      <c r="K810">
        <v>1280.828</v>
      </c>
      <c r="L810">
        <v>1280.828</v>
      </c>
      <c r="M810">
        <v>1280.828</v>
      </c>
      <c r="N810">
        <v>1280.828</v>
      </c>
      <c r="O810">
        <v>1280.828</v>
      </c>
      <c r="P810">
        <v>1280.828</v>
      </c>
      <c r="Q810">
        <v>750.41</v>
      </c>
      <c r="R810">
        <v>863.28</v>
      </c>
      <c r="S810">
        <v>950.88</v>
      </c>
      <c r="T810">
        <v>1098.82</v>
      </c>
      <c r="U810">
        <v>1248.28</v>
      </c>
      <c r="V810">
        <v>2185.5399999999995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f>SUMPRODUCT(DB_ThemeSOFAcct[[#This Row],[Plan01]:[Plan12]],$E$14:$P$14)/valUnits2</f>
        <v>6.1991839999999989</v>
      </c>
      <c r="AD810">
        <f>SUMPRODUCT(DB_ThemeSOFAcct[[#This Row],[Act01]:[Act12]],$Q$14:$AB$14)/valUnits2</f>
        <v>7.0972099999999987</v>
      </c>
      <c r="AE810">
        <f>DB_ThemeSOFAcct[[#This Row],[Actuals]]-DB_ThemeSOFAcct[[#This Row],[Plan]]</f>
        <v>0.89802599999999977</v>
      </c>
      <c r="AF810">
        <f>IF(DB_ThemeSOFAcct[[#This Row],[Plan]]&lt;&gt;0,DB_ThemeSOFAcct[[#This Row],[Actuals]]/DB_ThemeSOFAcct[[#This Row],[Plan]],1.000011000011)</f>
        <v>1.1448619689301043</v>
      </c>
      <c r="AG810" s="34">
        <f>SUM(DB_ThemeSOFAcct[[#This Row],[Plan01]:[Plan12]])/valUnits2</f>
        <v>13.884151999999997</v>
      </c>
      <c r="AH810" s="34">
        <f>SUMPRODUCT(DB_ThemeSOFAcct[[#This Row],[Act01]:[Act12]],$Q$3:$AB$3)/valUnits2</f>
        <v>7.0972099999999987</v>
      </c>
    </row>
    <row r="811" spans="2:34" x14ac:dyDescent="0.2">
      <c r="B811" t="s">
        <v>346</v>
      </c>
      <c r="C811" t="s">
        <v>859</v>
      </c>
      <c r="D811" t="s">
        <v>236</v>
      </c>
      <c r="J811">
        <v>0</v>
      </c>
      <c r="V811">
        <v>0</v>
      </c>
      <c r="AC811">
        <f>SUMPRODUCT(DB_ThemeSOFAcct[[#This Row],[Plan01]:[Plan12]],$E$14:$P$14)/valUnits2</f>
        <v>0</v>
      </c>
      <c r="AD811">
        <f>SUMPRODUCT(DB_ThemeSOFAcct[[#This Row],[Act01]:[Act12]],$Q$14:$AB$14)/valUnits2</f>
        <v>0</v>
      </c>
      <c r="AE811">
        <f>DB_ThemeSOFAcct[[#This Row],[Actuals]]-DB_ThemeSOFAcct[[#This Row],[Plan]]</f>
        <v>0</v>
      </c>
      <c r="AF811">
        <f>IF(DB_ThemeSOFAcct[[#This Row],[Plan]]&lt;&gt;0,DB_ThemeSOFAcct[[#This Row],[Actuals]]/DB_ThemeSOFAcct[[#This Row],[Plan]],1.000011000011)</f>
        <v>1.0000110000110001</v>
      </c>
      <c r="AG811" s="34">
        <f>SUM(DB_ThemeSOFAcct[[#This Row],[Plan01]:[Plan12]])/valUnits2</f>
        <v>0</v>
      </c>
      <c r="AH811" s="34">
        <f>SUMPRODUCT(DB_ThemeSOFAcct[[#This Row],[Act01]:[Act12]],$Q$3:$AB$3)/valUnits2</f>
        <v>0</v>
      </c>
    </row>
    <row r="812" spans="2:34" x14ac:dyDescent="0.2">
      <c r="B812" t="s">
        <v>346</v>
      </c>
      <c r="C812" t="s">
        <v>859</v>
      </c>
      <c r="D812" t="s">
        <v>237</v>
      </c>
      <c r="J812">
        <v>0</v>
      </c>
      <c r="V812">
        <v>0</v>
      </c>
      <c r="AC812">
        <f>SUMPRODUCT(DB_ThemeSOFAcct[[#This Row],[Plan01]:[Plan12]],$E$14:$P$14)/valUnits2</f>
        <v>0</v>
      </c>
      <c r="AD812">
        <f>SUMPRODUCT(DB_ThemeSOFAcct[[#This Row],[Act01]:[Act12]],$Q$14:$AB$14)/valUnits2</f>
        <v>0</v>
      </c>
      <c r="AE812">
        <f>DB_ThemeSOFAcct[[#This Row],[Actuals]]-DB_ThemeSOFAcct[[#This Row],[Plan]]</f>
        <v>0</v>
      </c>
      <c r="AF812">
        <f>IF(DB_ThemeSOFAcct[[#This Row],[Plan]]&lt;&gt;0,DB_ThemeSOFAcct[[#This Row],[Actuals]]/DB_ThemeSOFAcct[[#This Row],[Plan]],1.000011000011)</f>
        <v>1.0000110000110001</v>
      </c>
      <c r="AG812" s="34">
        <f>SUM(DB_ThemeSOFAcct[[#This Row],[Plan01]:[Plan12]])/valUnits2</f>
        <v>0</v>
      </c>
      <c r="AH812" s="34">
        <f>SUMPRODUCT(DB_ThemeSOFAcct[[#This Row],[Act01]:[Act12]],$Q$3:$AB$3)/valUnits2</f>
        <v>0</v>
      </c>
    </row>
    <row r="813" spans="2:34" x14ac:dyDescent="0.2">
      <c r="B813" t="s">
        <v>346</v>
      </c>
      <c r="C813" t="s">
        <v>859</v>
      </c>
      <c r="D813" t="s">
        <v>141</v>
      </c>
      <c r="E813">
        <v>-4559.2419999999993</v>
      </c>
      <c r="F813">
        <v>253.50199999999998</v>
      </c>
      <c r="G813">
        <v>33.978999999999999</v>
      </c>
      <c r="H813">
        <v>1.29</v>
      </c>
      <c r="I813">
        <v>4370.5429999999997</v>
      </c>
      <c r="J813">
        <v>84.236000000000004</v>
      </c>
      <c r="K813">
        <v>84.236000000000004</v>
      </c>
      <c r="L813">
        <v>84.236000000000004</v>
      </c>
      <c r="M813">
        <v>84.236000000000004</v>
      </c>
      <c r="N813">
        <v>84.236000000000004</v>
      </c>
      <c r="O813">
        <v>84.236000000000004</v>
      </c>
      <c r="P813">
        <v>84.236000000000004</v>
      </c>
      <c r="Q813">
        <v>-4450.12</v>
      </c>
      <c r="R813">
        <v>260.5</v>
      </c>
      <c r="S813">
        <v>34.65</v>
      </c>
      <c r="T813">
        <v>1.29</v>
      </c>
      <c r="U813">
        <v>4392.7199999999993</v>
      </c>
      <c r="V813">
        <v>5590.53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f>SUMPRODUCT(DB_ThemeSOFAcct[[#This Row],[Plan01]:[Plan12]],$E$14:$P$14)/valUnits2</f>
        <v>0.18430800000000103</v>
      </c>
      <c r="AD813">
        <f>SUMPRODUCT(DB_ThemeSOFAcct[[#This Row],[Act01]:[Act12]],$Q$14:$AB$14)/valUnits2</f>
        <v>5.8295699999999986</v>
      </c>
      <c r="AE813">
        <f>DB_ThemeSOFAcct[[#This Row],[Actuals]]-DB_ThemeSOFAcct[[#This Row],[Plan]]</f>
        <v>5.6452619999999971</v>
      </c>
      <c r="AF813">
        <f>IF(DB_ThemeSOFAcct[[#This Row],[Plan]]&lt;&gt;0,DB_ThemeSOFAcct[[#This Row],[Actuals]]/DB_ThemeSOFAcct[[#This Row],[Plan]],1.000011000011)</f>
        <v>31.629500618529669</v>
      </c>
      <c r="AG813" s="34">
        <f>SUM(DB_ThemeSOFAcct[[#This Row],[Plan01]:[Plan12]])/valUnits2</f>
        <v>0.689724000000001</v>
      </c>
      <c r="AH813" s="34">
        <f>SUMPRODUCT(DB_ThemeSOFAcct[[#This Row],[Act01]:[Act12]],$Q$3:$AB$3)/valUnits2</f>
        <v>5.8295699999999986</v>
      </c>
    </row>
    <row r="814" spans="2:34" x14ac:dyDescent="0.2">
      <c r="B814" t="s">
        <v>346</v>
      </c>
      <c r="C814" t="s">
        <v>862</v>
      </c>
      <c r="D814" t="s">
        <v>235</v>
      </c>
      <c r="I814">
        <v>6.5279999999999996</v>
      </c>
      <c r="J814">
        <v>0</v>
      </c>
      <c r="U814">
        <v>6.45</v>
      </c>
      <c r="V814">
        <v>0</v>
      </c>
      <c r="AC814">
        <f>SUMPRODUCT(DB_ThemeSOFAcct[[#This Row],[Plan01]:[Plan12]],$E$14:$P$14)/valUnits2</f>
        <v>6.5279999999999999E-3</v>
      </c>
      <c r="AD814">
        <f>SUMPRODUCT(DB_ThemeSOFAcct[[#This Row],[Act01]:[Act12]],$Q$14:$AB$14)/valUnits2</f>
        <v>6.45E-3</v>
      </c>
      <c r="AE814">
        <f>DB_ThemeSOFAcct[[#This Row],[Actuals]]-DB_ThemeSOFAcct[[#This Row],[Plan]]</f>
        <v>-7.7999999999999944E-5</v>
      </c>
      <c r="AF814">
        <f>IF(DB_ThemeSOFAcct[[#This Row],[Plan]]&lt;&gt;0,DB_ThemeSOFAcct[[#This Row],[Actuals]]/DB_ThemeSOFAcct[[#This Row],[Plan]],1.000011000011)</f>
        <v>0.98805147058823528</v>
      </c>
      <c r="AG814" s="34">
        <f>SUM(DB_ThemeSOFAcct[[#This Row],[Plan01]:[Plan12]])/valUnits2</f>
        <v>6.5279999999999999E-3</v>
      </c>
      <c r="AH814" s="34">
        <f>SUMPRODUCT(DB_ThemeSOFAcct[[#This Row],[Act01]:[Act12]],$Q$3:$AB$3)/valUnits2</f>
        <v>6.45E-3</v>
      </c>
    </row>
    <row r="815" spans="2:34" x14ac:dyDescent="0.2">
      <c r="B815" t="s">
        <v>346</v>
      </c>
      <c r="C815" t="s">
        <v>862</v>
      </c>
      <c r="D815" t="s">
        <v>142</v>
      </c>
      <c r="H815">
        <v>0</v>
      </c>
      <c r="I815">
        <v>74459.046000000002</v>
      </c>
      <c r="J815">
        <v>26091.985000000004</v>
      </c>
      <c r="K815">
        <v>26091.985000000004</v>
      </c>
      <c r="L815">
        <v>26091.985000000004</v>
      </c>
      <c r="M815">
        <v>26091.985000000001</v>
      </c>
      <c r="N815">
        <v>26091.985000000001</v>
      </c>
      <c r="O815">
        <v>26091.984999999997</v>
      </c>
      <c r="P815">
        <v>26091.985000000004</v>
      </c>
      <c r="T815">
        <v>0</v>
      </c>
      <c r="U815">
        <v>73513</v>
      </c>
      <c r="V815">
        <v>5555.8900000000031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f>SUMPRODUCT(DB_ThemeSOFAcct[[#This Row],[Plan01]:[Plan12]],$E$14:$P$14)/valUnits2</f>
        <v>100.55103100000001</v>
      </c>
      <c r="AD815">
        <f>SUMPRODUCT(DB_ThemeSOFAcct[[#This Row],[Act01]:[Act12]],$Q$14:$AB$14)/valUnits2</f>
        <v>79.068889999999996</v>
      </c>
      <c r="AE815">
        <f>DB_ThemeSOFAcct[[#This Row],[Actuals]]-DB_ThemeSOFAcct[[#This Row],[Plan]]</f>
        <v>-21.482141000000013</v>
      </c>
      <c r="AF815">
        <f>IF(DB_ThemeSOFAcct[[#This Row],[Plan]]&lt;&gt;0,DB_ThemeSOFAcct[[#This Row],[Actuals]]/DB_ThemeSOFAcct[[#This Row],[Plan]],1.000011000011)</f>
        <v>0.7863558355756689</v>
      </c>
      <c r="AG815" s="34">
        <f>SUM(DB_ThemeSOFAcct[[#This Row],[Plan01]:[Plan12]])/valUnits2</f>
        <v>257.10294100000004</v>
      </c>
      <c r="AH815" s="34">
        <f>SUMPRODUCT(DB_ThemeSOFAcct[[#This Row],[Act01]:[Act12]],$Q$3:$AB$3)/valUnits2</f>
        <v>79.068889999999996</v>
      </c>
    </row>
    <row r="816" spans="2:34" x14ac:dyDescent="0.2">
      <c r="B816" t="s">
        <v>346</v>
      </c>
      <c r="C816" t="s">
        <v>862</v>
      </c>
      <c r="D816" t="s">
        <v>140</v>
      </c>
      <c r="H816">
        <v>5814.4440000000004</v>
      </c>
      <c r="I816">
        <v>5093.3350000000009</v>
      </c>
      <c r="J816">
        <v>4867.1550000000007</v>
      </c>
      <c r="K816">
        <v>4867.1549999999997</v>
      </c>
      <c r="L816">
        <v>4867.1550000000007</v>
      </c>
      <c r="M816">
        <v>4867.1549999999997</v>
      </c>
      <c r="N816">
        <v>4867.1549999999997</v>
      </c>
      <c r="O816">
        <v>4867.1549999999997</v>
      </c>
      <c r="P816">
        <v>4867.1550000000007</v>
      </c>
      <c r="T816">
        <v>5859.6299999999992</v>
      </c>
      <c r="U816">
        <v>5092.0300000000007</v>
      </c>
      <c r="V816">
        <v>7365.45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f>SUMPRODUCT(DB_ThemeSOFAcct[[#This Row],[Plan01]:[Plan12]],$E$14:$P$14)/valUnits2</f>
        <v>15.774934000000004</v>
      </c>
      <c r="AD816">
        <f>SUMPRODUCT(DB_ThemeSOFAcct[[#This Row],[Act01]:[Act12]],$Q$14:$AB$14)/valUnits2</f>
        <v>18.31711</v>
      </c>
      <c r="AE816">
        <f>DB_ThemeSOFAcct[[#This Row],[Actuals]]-DB_ThemeSOFAcct[[#This Row],[Plan]]</f>
        <v>2.542175999999996</v>
      </c>
      <c r="AF816">
        <f>IF(DB_ThemeSOFAcct[[#This Row],[Plan]]&lt;&gt;0,DB_ThemeSOFAcct[[#This Row],[Actuals]]/DB_ThemeSOFAcct[[#This Row],[Plan]],1.000011000011)</f>
        <v>1.1611528770896915</v>
      </c>
      <c r="AG816" s="34">
        <f>SUM(DB_ThemeSOFAcct[[#This Row],[Plan01]:[Plan12]])/valUnits2</f>
        <v>44.977864000000004</v>
      </c>
      <c r="AH816" s="34">
        <f>SUMPRODUCT(DB_ThemeSOFAcct[[#This Row],[Act01]:[Act12]],$Q$3:$AB$3)/valUnits2</f>
        <v>18.31711</v>
      </c>
    </row>
    <row r="817" spans="2:34" x14ac:dyDescent="0.2">
      <c r="B817" t="s">
        <v>346</v>
      </c>
      <c r="C817" t="s">
        <v>862</v>
      </c>
      <c r="D817" t="s">
        <v>237</v>
      </c>
      <c r="I817">
        <v>61.689</v>
      </c>
      <c r="U817">
        <v>61.49</v>
      </c>
      <c r="AC817">
        <f>SUMPRODUCT(DB_ThemeSOFAcct[[#This Row],[Plan01]:[Plan12]],$E$14:$P$14)/valUnits2</f>
        <v>6.1689000000000001E-2</v>
      </c>
      <c r="AD817">
        <f>SUMPRODUCT(DB_ThemeSOFAcct[[#This Row],[Act01]:[Act12]],$Q$14:$AB$14)/valUnits2</f>
        <v>6.1490000000000003E-2</v>
      </c>
      <c r="AE817">
        <f>DB_ThemeSOFAcct[[#This Row],[Actuals]]-DB_ThemeSOFAcct[[#This Row],[Plan]]</f>
        <v>-1.9899999999999779E-4</v>
      </c>
      <c r="AF817">
        <f>IF(DB_ThemeSOFAcct[[#This Row],[Plan]]&lt;&gt;0,DB_ThemeSOFAcct[[#This Row],[Actuals]]/DB_ThemeSOFAcct[[#This Row],[Plan]],1.000011000011)</f>
        <v>0.99677414125695019</v>
      </c>
      <c r="AG817" s="34">
        <f>SUM(DB_ThemeSOFAcct[[#This Row],[Plan01]:[Plan12]])/valUnits2</f>
        <v>6.1689000000000001E-2</v>
      </c>
      <c r="AH817" s="34">
        <f>SUMPRODUCT(DB_ThemeSOFAcct[[#This Row],[Act01]:[Act12]],$Q$3:$AB$3)/valUnits2</f>
        <v>6.1490000000000003E-2</v>
      </c>
    </row>
    <row r="818" spans="2:34" x14ac:dyDescent="0.2">
      <c r="B818" t="s">
        <v>346</v>
      </c>
      <c r="C818" t="s">
        <v>862</v>
      </c>
      <c r="D818" t="s">
        <v>141</v>
      </c>
      <c r="G818">
        <v>99.876999999999995</v>
      </c>
      <c r="H818">
        <v>1115.5819999999999</v>
      </c>
      <c r="I818">
        <v>855.90500000000009</v>
      </c>
      <c r="J818">
        <v>641.125</v>
      </c>
      <c r="K818">
        <v>641.125</v>
      </c>
      <c r="L818">
        <v>641.125</v>
      </c>
      <c r="M818">
        <v>641.125</v>
      </c>
      <c r="N818">
        <v>641.125</v>
      </c>
      <c r="O818">
        <v>641.125</v>
      </c>
      <c r="P818">
        <v>641.125</v>
      </c>
      <c r="S818">
        <v>101.13</v>
      </c>
      <c r="T818">
        <v>1113.8599999999999</v>
      </c>
      <c r="U818">
        <v>858.46</v>
      </c>
      <c r="V818">
        <v>269.19000000000005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f>SUMPRODUCT(DB_ThemeSOFAcct[[#This Row],[Plan01]:[Plan12]],$E$14:$P$14)/valUnits2</f>
        <v>2.7124890000000001</v>
      </c>
      <c r="AD818">
        <f>SUMPRODUCT(DB_ThemeSOFAcct[[#This Row],[Act01]:[Act12]],$Q$14:$AB$14)/valUnits2</f>
        <v>2.3426399999999998</v>
      </c>
      <c r="AE818">
        <f>DB_ThemeSOFAcct[[#This Row],[Actuals]]-DB_ThemeSOFAcct[[#This Row],[Plan]]</f>
        <v>-0.36984900000000032</v>
      </c>
      <c r="AF818">
        <f>IF(DB_ThemeSOFAcct[[#This Row],[Plan]]&lt;&gt;0,DB_ThemeSOFAcct[[#This Row],[Actuals]]/DB_ThemeSOFAcct[[#This Row],[Plan]],1.000011000011)</f>
        <v>0.86364958530707392</v>
      </c>
      <c r="AG818" s="34">
        <f>SUM(DB_ThemeSOFAcct[[#This Row],[Plan01]:[Plan12]])/valUnits2</f>
        <v>6.5592389999999998</v>
      </c>
      <c r="AH818" s="34">
        <f>SUMPRODUCT(DB_ThemeSOFAcct[[#This Row],[Act01]:[Act12]],$Q$3:$AB$3)/valUnits2</f>
        <v>2.3426399999999998</v>
      </c>
    </row>
    <row r="819" spans="2:34" x14ac:dyDescent="0.2">
      <c r="B819" t="s">
        <v>346</v>
      </c>
      <c r="C819" t="s">
        <v>865</v>
      </c>
      <c r="D819" t="s">
        <v>142</v>
      </c>
      <c r="E819">
        <v>865.33799999999997</v>
      </c>
      <c r="F819">
        <v>-877.99099999999999</v>
      </c>
      <c r="G819">
        <v>0</v>
      </c>
      <c r="H819">
        <v>0</v>
      </c>
      <c r="I819">
        <v>11295.225999999999</v>
      </c>
      <c r="J819">
        <v>2932.069</v>
      </c>
      <c r="K819">
        <v>2932.069</v>
      </c>
      <c r="L819">
        <v>2932.069</v>
      </c>
      <c r="M819">
        <v>2932.069</v>
      </c>
      <c r="N819">
        <v>2932.069</v>
      </c>
      <c r="O819">
        <v>2932.069</v>
      </c>
      <c r="P819">
        <v>2932.069</v>
      </c>
      <c r="Q819">
        <v>865.34</v>
      </c>
      <c r="R819">
        <v>-864.9</v>
      </c>
      <c r="S819">
        <v>0</v>
      </c>
      <c r="T819">
        <v>0</v>
      </c>
      <c r="U819">
        <v>11310.3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f>SUMPRODUCT(DB_ThemeSOFAcct[[#This Row],[Plan01]:[Plan12]],$E$14:$P$14)/valUnits2</f>
        <v>14.214641999999998</v>
      </c>
      <c r="AD819">
        <f>SUMPRODUCT(DB_ThemeSOFAcct[[#This Row],[Act01]:[Act12]],$Q$14:$AB$14)/valUnits2</f>
        <v>11.310739999999999</v>
      </c>
      <c r="AE819">
        <f>DB_ThemeSOFAcct[[#This Row],[Actuals]]-DB_ThemeSOFAcct[[#This Row],[Plan]]</f>
        <v>-2.9039019999999987</v>
      </c>
      <c r="AF819">
        <f>IF(DB_ThemeSOFAcct[[#This Row],[Plan]]&lt;&gt;0,DB_ThemeSOFAcct[[#This Row],[Actuals]]/DB_ThemeSOFAcct[[#This Row],[Plan]],1.000011000011)</f>
        <v>0.79571050751753025</v>
      </c>
      <c r="AG819" s="34">
        <f>SUM(DB_ThemeSOFAcct[[#This Row],[Plan01]:[Plan12]])/valUnits2</f>
        <v>31.807055999999996</v>
      </c>
      <c r="AH819" s="34">
        <f>SUMPRODUCT(DB_ThemeSOFAcct[[#This Row],[Act01]:[Act12]],$Q$3:$AB$3)/valUnits2</f>
        <v>11.310739999999999</v>
      </c>
    </row>
    <row r="820" spans="2:34" x14ac:dyDescent="0.2">
      <c r="B820" t="s">
        <v>346</v>
      </c>
      <c r="C820" t="s">
        <v>362</v>
      </c>
      <c r="D820" t="s">
        <v>143</v>
      </c>
      <c r="E820">
        <v>0</v>
      </c>
      <c r="H820">
        <v>0</v>
      </c>
      <c r="I820">
        <v>0</v>
      </c>
      <c r="J820">
        <v>457.964</v>
      </c>
      <c r="Q820">
        <v>0</v>
      </c>
      <c r="T820">
        <v>0</v>
      </c>
      <c r="U820">
        <v>0</v>
      </c>
      <c r="V820">
        <v>360.5</v>
      </c>
      <c r="AC820">
        <f>SUMPRODUCT(DB_ThemeSOFAcct[[#This Row],[Plan01]:[Plan12]],$E$14:$P$14)/valUnits2</f>
        <v>0.45796399999999998</v>
      </c>
      <c r="AD820">
        <f>SUMPRODUCT(DB_ThemeSOFAcct[[#This Row],[Act01]:[Act12]],$Q$14:$AB$14)/valUnits2</f>
        <v>0.36049999999999999</v>
      </c>
      <c r="AE820">
        <f>DB_ThemeSOFAcct[[#This Row],[Actuals]]-DB_ThemeSOFAcct[[#This Row],[Plan]]</f>
        <v>-9.7463999999999995E-2</v>
      </c>
      <c r="AF820">
        <f>IF(DB_ThemeSOFAcct[[#This Row],[Plan]]&lt;&gt;0,DB_ThemeSOFAcct[[#This Row],[Actuals]]/DB_ThemeSOFAcct[[#This Row],[Plan]],1.000011000011)</f>
        <v>0.78717977832318697</v>
      </c>
      <c r="AG820" s="34">
        <f>SUM(DB_ThemeSOFAcct[[#This Row],[Plan01]:[Plan12]])/valUnits2</f>
        <v>0.45796399999999998</v>
      </c>
      <c r="AH820" s="34">
        <f>SUMPRODUCT(DB_ThemeSOFAcct[[#This Row],[Act01]:[Act12]],$Q$3:$AB$3)/valUnits2</f>
        <v>0.36049999999999999</v>
      </c>
    </row>
    <row r="821" spans="2:34" x14ac:dyDescent="0.2">
      <c r="B821" t="s">
        <v>346</v>
      </c>
      <c r="C821" t="s">
        <v>362</v>
      </c>
      <c r="D821" t="s">
        <v>235</v>
      </c>
      <c r="E821">
        <v>0</v>
      </c>
      <c r="H821">
        <v>0</v>
      </c>
      <c r="I821">
        <v>0</v>
      </c>
      <c r="J821">
        <v>61.29</v>
      </c>
      <c r="Q821">
        <v>0</v>
      </c>
      <c r="T821">
        <v>0</v>
      </c>
      <c r="U821">
        <v>0</v>
      </c>
      <c r="V821">
        <v>185.39999999999998</v>
      </c>
      <c r="AC821">
        <f>SUMPRODUCT(DB_ThemeSOFAcct[[#This Row],[Plan01]:[Plan12]],$E$14:$P$14)/valUnits2</f>
        <v>6.1289999999999997E-2</v>
      </c>
      <c r="AD821">
        <f>SUMPRODUCT(DB_ThemeSOFAcct[[#This Row],[Act01]:[Act12]],$Q$14:$AB$14)/valUnits2</f>
        <v>0.18539999999999998</v>
      </c>
      <c r="AE821">
        <f>DB_ThemeSOFAcct[[#This Row],[Actuals]]-DB_ThemeSOFAcct[[#This Row],[Plan]]</f>
        <v>0.12410999999999998</v>
      </c>
      <c r="AF821">
        <f>IF(DB_ThemeSOFAcct[[#This Row],[Plan]]&lt;&gt;0,DB_ThemeSOFAcct[[#This Row],[Actuals]]/DB_ThemeSOFAcct[[#This Row],[Plan]],1.000011000011)</f>
        <v>3.0249632892804699</v>
      </c>
      <c r="AG821" s="34">
        <f>SUM(DB_ThemeSOFAcct[[#This Row],[Plan01]:[Plan12]])/valUnits2</f>
        <v>6.1289999999999997E-2</v>
      </c>
      <c r="AH821" s="34">
        <f>SUMPRODUCT(DB_ThemeSOFAcct[[#This Row],[Act01]:[Act12]],$Q$3:$AB$3)/valUnits2</f>
        <v>0.18539999999999998</v>
      </c>
    </row>
    <row r="822" spans="2:34" x14ac:dyDescent="0.2">
      <c r="B822" t="s">
        <v>346</v>
      </c>
      <c r="C822" t="s">
        <v>362</v>
      </c>
      <c r="D822" t="s">
        <v>142</v>
      </c>
      <c r="E822">
        <v>0</v>
      </c>
      <c r="H822">
        <v>0</v>
      </c>
      <c r="I822">
        <v>0</v>
      </c>
      <c r="J822">
        <v>7841.4530000000004</v>
      </c>
      <c r="Q822">
        <v>0</v>
      </c>
      <c r="T822">
        <v>0</v>
      </c>
      <c r="U822">
        <v>0</v>
      </c>
      <c r="V822">
        <v>37170.21</v>
      </c>
      <c r="AC822">
        <f>SUMPRODUCT(DB_ThemeSOFAcct[[#This Row],[Plan01]:[Plan12]],$E$14:$P$14)/valUnits2</f>
        <v>7.8414530000000005</v>
      </c>
      <c r="AD822">
        <f>SUMPRODUCT(DB_ThemeSOFAcct[[#This Row],[Act01]:[Act12]],$Q$14:$AB$14)/valUnits2</f>
        <v>37.170209999999997</v>
      </c>
      <c r="AE822">
        <f>DB_ThemeSOFAcct[[#This Row],[Actuals]]-DB_ThemeSOFAcct[[#This Row],[Plan]]</f>
        <v>29.328756999999996</v>
      </c>
      <c r="AF822">
        <f>IF(DB_ThemeSOFAcct[[#This Row],[Plan]]&lt;&gt;0,DB_ThemeSOFAcct[[#This Row],[Actuals]]/DB_ThemeSOFAcct[[#This Row],[Plan]],1.000011000011)</f>
        <v>4.7402197016292762</v>
      </c>
      <c r="AG822" s="34">
        <f>SUM(DB_ThemeSOFAcct[[#This Row],[Plan01]:[Plan12]])/valUnits2</f>
        <v>7.8414530000000005</v>
      </c>
      <c r="AH822" s="34">
        <f>SUMPRODUCT(DB_ThemeSOFAcct[[#This Row],[Act01]:[Act12]],$Q$3:$AB$3)/valUnits2</f>
        <v>37.170209999999997</v>
      </c>
    </row>
    <row r="823" spans="2:34" x14ac:dyDescent="0.2">
      <c r="B823" t="s">
        <v>346</v>
      </c>
      <c r="C823" t="s">
        <v>362</v>
      </c>
      <c r="D823" t="s">
        <v>140</v>
      </c>
      <c r="E823">
        <v>0</v>
      </c>
      <c r="H823">
        <v>0</v>
      </c>
      <c r="I823">
        <v>788.58999999999992</v>
      </c>
      <c r="J823">
        <v>825.16099999999994</v>
      </c>
      <c r="Q823">
        <v>0</v>
      </c>
      <c r="T823">
        <v>0</v>
      </c>
      <c r="U823">
        <v>787.09</v>
      </c>
      <c r="V823">
        <v>9947.6200000000008</v>
      </c>
      <c r="AC823">
        <f>SUMPRODUCT(DB_ThemeSOFAcct[[#This Row],[Plan01]:[Plan12]],$E$14:$P$14)/valUnits2</f>
        <v>1.6137509999999997</v>
      </c>
      <c r="AD823">
        <f>SUMPRODUCT(DB_ThemeSOFAcct[[#This Row],[Act01]:[Act12]],$Q$14:$AB$14)/valUnits2</f>
        <v>10.734710000000002</v>
      </c>
      <c r="AE823">
        <f>DB_ThemeSOFAcct[[#This Row],[Actuals]]-DB_ThemeSOFAcct[[#This Row],[Plan]]</f>
        <v>9.1209590000000027</v>
      </c>
      <c r="AF823">
        <f>IF(DB_ThemeSOFAcct[[#This Row],[Plan]]&lt;&gt;0,DB_ThemeSOFAcct[[#This Row],[Actuals]]/DB_ThemeSOFAcct[[#This Row],[Plan]],1.000011000011)</f>
        <v>6.6520237632695522</v>
      </c>
      <c r="AG823" s="34">
        <f>SUM(DB_ThemeSOFAcct[[#This Row],[Plan01]:[Plan12]])/valUnits2</f>
        <v>1.6137509999999997</v>
      </c>
      <c r="AH823" s="34">
        <f>SUMPRODUCT(DB_ThemeSOFAcct[[#This Row],[Act01]:[Act12]],$Q$3:$AB$3)/valUnits2</f>
        <v>10.734710000000002</v>
      </c>
    </row>
    <row r="824" spans="2:34" x14ac:dyDescent="0.2">
      <c r="B824" t="s">
        <v>346</v>
      </c>
      <c r="C824" t="s">
        <v>362</v>
      </c>
      <c r="D824" t="s">
        <v>237</v>
      </c>
      <c r="J824">
        <v>0</v>
      </c>
      <c r="V824">
        <v>635.7600000000001</v>
      </c>
      <c r="AC824">
        <f>SUMPRODUCT(DB_ThemeSOFAcct[[#This Row],[Plan01]:[Plan12]],$E$14:$P$14)/valUnits2</f>
        <v>0</v>
      </c>
      <c r="AD824">
        <f>SUMPRODUCT(DB_ThemeSOFAcct[[#This Row],[Act01]:[Act12]],$Q$14:$AB$14)/valUnits2</f>
        <v>0.6357600000000001</v>
      </c>
      <c r="AE824">
        <f>DB_ThemeSOFAcct[[#This Row],[Actuals]]-DB_ThemeSOFAcct[[#This Row],[Plan]]</f>
        <v>0.6357600000000001</v>
      </c>
      <c r="AF824">
        <f>IF(DB_ThemeSOFAcct[[#This Row],[Plan]]&lt;&gt;0,DB_ThemeSOFAcct[[#This Row],[Actuals]]/DB_ThemeSOFAcct[[#This Row],[Plan]],1.000011000011)</f>
        <v>1.0000110000110001</v>
      </c>
      <c r="AG824" s="34">
        <f>SUM(DB_ThemeSOFAcct[[#This Row],[Plan01]:[Plan12]])/valUnits2</f>
        <v>0</v>
      </c>
      <c r="AH824" s="34">
        <f>SUMPRODUCT(DB_ThemeSOFAcct[[#This Row],[Act01]:[Act12]],$Q$3:$AB$3)/valUnits2</f>
        <v>0.6357600000000001</v>
      </c>
    </row>
    <row r="825" spans="2:34" x14ac:dyDescent="0.2">
      <c r="B825" t="s">
        <v>346</v>
      </c>
      <c r="C825" t="s">
        <v>362</v>
      </c>
      <c r="D825" t="s">
        <v>141</v>
      </c>
      <c r="E825">
        <v>0</v>
      </c>
      <c r="H825">
        <v>773.56600000000003</v>
      </c>
      <c r="I825">
        <v>10531.585999999999</v>
      </c>
      <c r="J825">
        <v>668.19799999999987</v>
      </c>
      <c r="Q825">
        <v>0</v>
      </c>
      <c r="T825">
        <v>762.01</v>
      </c>
      <c r="U825">
        <v>10555.94</v>
      </c>
      <c r="V825">
        <v>13797.049999999997</v>
      </c>
      <c r="AC825">
        <f>SUMPRODUCT(DB_ThemeSOFAcct[[#This Row],[Plan01]:[Plan12]],$E$14:$P$14)/valUnits2</f>
        <v>11.97335</v>
      </c>
      <c r="AD825">
        <f>SUMPRODUCT(DB_ThemeSOFAcct[[#This Row],[Act01]:[Act12]],$Q$14:$AB$14)/valUnits2</f>
        <v>25.114999999999998</v>
      </c>
      <c r="AE825">
        <f>DB_ThemeSOFAcct[[#This Row],[Actuals]]-DB_ThemeSOFAcct[[#This Row],[Plan]]</f>
        <v>13.141649999999998</v>
      </c>
      <c r="AF825">
        <f>IF(DB_ThemeSOFAcct[[#This Row],[Plan]]&lt;&gt;0,DB_ThemeSOFAcct[[#This Row],[Actuals]]/DB_ThemeSOFAcct[[#This Row],[Plan]],1.000011000011)</f>
        <v>2.0975750312151571</v>
      </c>
      <c r="AG825" s="34">
        <f>SUM(DB_ThemeSOFAcct[[#This Row],[Plan01]:[Plan12]])/valUnits2</f>
        <v>11.97335</v>
      </c>
      <c r="AH825" s="34">
        <f>SUMPRODUCT(DB_ThemeSOFAcct[[#This Row],[Act01]:[Act12]],$Q$3:$AB$3)/valUnits2</f>
        <v>25.114999999999998</v>
      </c>
    </row>
    <row r="826" spans="2:34" x14ac:dyDescent="0.2">
      <c r="B826" t="s">
        <v>346</v>
      </c>
      <c r="C826" t="s">
        <v>885</v>
      </c>
      <c r="D826" t="s">
        <v>143</v>
      </c>
      <c r="G826">
        <v>0</v>
      </c>
      <c r="S826">
        <v>19.739999999999998</v>
      </c>
      <c r="AC826">
        <f>SUMPRODUCT(DB_ThemeSOFAcct[[#This Row],[Plan01]:[Plan12]],$E$14:$P$14)/valUnits2</f>
        <v>0</v>
      </c>
      <c r="AD826">
        <f>SUMPRODUCT(DB_ThemeSOFAcct[[#This Row],[Act01]:[Act12]],$Q$14:$AB$14)/valUnits2</f>
        <v>1.9739999999999997E-2</v>
      </c>
      <c r="AE826">
        <f>DB_ThemeSOFAcct[[#This Row],[Actuals]]-DB_ThemeSOFAcct[[#This Row],[Plan]]</f>
        <v>1.9739999999999997E-2</v>
      </c>
      <c r="AF826">
        <f>IF(DB_ThemeSOFAcct[[#This Row],[Plan]]&lt;&gt;0,DB_ThemeSOFAcct[[#This Row],[Actuals]]/DB_ThemeSOFAcct[[#This Row],[Plan]],1.000011000011)</f>
        <v>1.0000110000110001</v>
      </c>
      <c r="AG826" s="34">
        <f>SUM(DB_ThemeSOFAcct[[#This Row],[Plan01]:[Plan12]])/valUnits2</f>
        <v>0</v>
      </c>
      <c r="AH826" s="34">
        <f>SUMPRODUCT(DB_ThemeSOFAcct[[#This Row],[Act01]:[Act12]],$Q$3:$AB$3)/valUnits2</f>
        <v>1.9739999999999997E-2</v>
      </c>
    </row>
    <row r="827" spans="2:34" x14ac:dyDescent="0.2">
      <c r="B827" t="s">
        <v>346</v>
      </c>
      <c r="C827" t="s">
        <v>885</v>
      </c>
      <c r="D827" t="s">
        <v>235</v>
      </c>
      <c r="I827">
        <v>10.273999999999999</v>
      </c>
      <c r="J827">
        <v>0</v>
      </c>
      <c r="U827">
        <v>10.32</v>
      </c>
      <c r="V827">
        <v>101.7</v>
      </c>
      <c r="AC827">
        <f>SUMPRODUCT(DB_ThemeSOFAcct[[#This Row],[Plan01]:[Plan12]],$E$14:$P$14)/valUnits2</f>
        <v>1.0273999999999998E-2</v>
      </c>
      <c r="AD827">
        <f>SUMPRODUCT(DB_ThemeSOFAcct[[#This Row],[Act01]:[Act12]],$Q$14:$AB$14)/valUnits2</f>
        <v>0.11202000000000001</v>
      </c>
      <c r="AE827">
        <f>DB_ThemeSOFAcct[[#This Row],[Actuals]]-DB_ThemeSOFAcct[[#This Row],[Plan]]</f>
        <v>0.101746</v>
      </c>
      <c r="AF827">
        <f>IF(DB_ThemeSOFAcct[[#This Row],[Plan]]&lt;&gt;0,DB_ThemeSOFAcct[[#This Row],[Actuals]]/DB_ThemeSOFAcct[[#This Row],[Plan]],1.000011000011)</f>
        <v>10.903250924664203</v>
      </c>
      <c r="AG827" s="34">
        <f>SUM(DB_ThemeSOFAcct[[#This Row],[Plan01]:[Plan12]])/valUnits2</f>
        <v>1.0273999999999998E-2</v>
      </c>
      <c r="AH827" s="34">
        <f>SUMPRODUCT(DB_ThemeSOFAcct[[#This Row],[Act01]:[Act12]],$Q$3:$AB$3)/valUnits2</f>
        <v>0.11202000000000001</v>
      </c>
    </row>
    <row r="828" spans="2:34" x14ac:dyDescent="0.2">
      <c r="B828" t="s">
        <v>346</v>
      </c>
      <c r="C828" t="s">
        <v>885</v>
      </c>
      <c r="D828" t="s">
        <v>142</v>
      </c>
      <c r="E828">
        <v>24079.916000000001</v>
      </c>
      <c r="F828">
        <v>-24432.006000000001</v>
      </c>
      <c r="G828">
        <v>0</v>
      </c>
      <c r="H828">
        <v>82824.197</v>
      </c>
      <c r="I828">
        <v>65819.817999999999</v>
      </c>
      <c r="J828">
        <v>35411.023000000001</v>
      </c>
      <c r="K828">
        <v>35411.023000000001</v>
      </c>
      <c r="L828">
        <v>35411.023000000001</v>
      </c>
      <c r="M828">
        <v>35411.022999999994</v>
      </c>
      <c r="N828">
        <v>35411.023000000001</v>
      </c>
      <c r="O828">
        <v>35411.023000000001</v>
      </c>
      <c r="P828">
        <v>35411.023000000001</v>
      </c>
      <c r="Q828">
        <v>24079.91</v>
      </c>
      <c r="R828">
        <v>-24067.85</v>
      </c>
      <c r="S828">
        <v>0</v>
      </c>
      <c r="T828">
        <v>83171.429999999993</v>
      </c>
      <c r="U828">
        <v>66139.78</v>
      </c>
      <c r="V828">
        <v>195.07999999999811</v>
      </c>
      <c r="W828">
        <v>10521.87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f>SUMPRODUCT(DB_ThemeSOFAcct[[#This Row],[Plan01]:[Plan12]],$E$14:$P$14)/valUnits2</f>
        <v>183.70294799999996</v>
      </c>
      <c r="AD828">
        <f>SUMPRODUCT(DB_ThemeSOFAcct[[#This Row],[Act01]:[Act12]],$Q$14:$AB$14)/valUnits2</f>
        <v>149.51834999999997</v>
      </c>
      <c r="AE828">
        <f>DB_ThemeSOFAcct[[#This Row],[Actuals]]-DB_ThemeSOFAcct[[#This Row],[Plan]]</f>
        <v>-34.184597999999994</v>
      </c>
      <c r="AF828">
        <f>IF(DB_ThemeSOFAcct[[#This Row],[Plan]]&lt;&gt;0,DB_ThemeSOFAcct[[#This Row],[Actuals]]/DB_ThemeSOFAcct[[#This Row],[Plan]],1.000011000011)</f>
        <v>0.81391372118862237</v>
      </c>
      <c r="AG828" s="34">
        <f>SUM(DB_ThemeSOFAcct[[#This Row],[Plan01]:[Plan12]])/valUnits2</f>
        <v>396.16908599999988</v>
      </c>
      <c r="AH828" s="34">
        <f>SUMPRODUCT(DB_ThemeSOFAcct[[#This Row],[Act01]:[Act12]],$Q$3:$AB$3)/valUnits2</f>
        <v>149.51834999999997</v>
      </c>
    </row>
    <row r="829" spans="2:34" x14ac:dyDescent="0.2">
      <c r="B829" t="s">
        <v>346</v>
      </c>
      <c r="C829" t="s">
        <v>885</v>
      </c>
      <c r="D829" t="s">
        <v>140</v>
      </c>
      <c r="E829">
        <v>1810.1379999999999</v>
      </c>
      <c r="F829">
        <v>8859.1450000000004</v>
      </c>
      <c r="G829">
        <v>2667.1209999999996</v>
      </c>
      <c r="H829">
        <v>8680.6639999999989</v>
      </c>
      <c r="I829">
        <v>6730.7470000000003</v>
      </c>
      <c r="J829">
        <v>4925.0959999999986</v>
      </c>
      <c r="K829">
        <v>4925.0959999999986</v>
      </c>
      <c r="L829">
        <v>4925.0959999999986</v>
      </c>
      <c r="M829">
        <v>4925.0959999999995</v>
      </c>
      <c r="N829">
        <v>4925.0959999999986</v>
      </c>
      <c r="O829">
        <v>4925.0959999999986</v>
      </c>
      <c r="P829">
        <v>4925.0959999999995</v>
      </c>
      <c r="Q829">
        <v>1810.14</v>
      </c>
      <c r="R829">
        <v>8820.66</v>
      </c>
      <c r="S829">
        <v>2649.8</v>
      </c>
      <c r="T829">
        <v>8691.3599999999988</v>
      </c>
      <c r="U829">
        <v>6733.48</v>
      </c>
      <c r="V829">
        <v>6239.329999999999</v>
      </c>
      <c r="W829">
        <v>511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f>SUMPRODUCT(DB_ThemeSOFAcct[[#This Row],[Plan01]:[Plan12]],$E$14:$P$14)/valUnits2</f>
        <v>33.672910999999999</v>
      </c>
      <c r="AD829">
        <f>SUMPRODUCT(DB_ThemeSOFAcct[[#This Row],[Act01]:[Act12]],$Q$14:$AB$14)/valUnits2</f>
        <v>34.944769999999998</v>
      </c>
      <c r="AE829">
        <f>DB_ThemeSOFAcct[[#This Row],[Actuals]]-DB_ThemeSOFAcct[[#This Row],[Plan]]</f>
        <v>1.2718589999999992</v>
      </c>
      <c r="AF829">
        <f>IF(DB_ThemeSOFAcct[[#This Row],[Plan]]&lt;&gt;0,DB_ThemeSOFAcct[[#This Row],[Actuals]]/DB_ThemeSOFAcct[[#This Row],[Plan]],1.000011000011)</f>
        <v>1.0377709845163074</v>
      </c>
      <c r="AG829" s="34">
        <f>SUM(DB_ThemeSOFAcct[[#This Row],[Plan01]:[Plan12]])/valUnits2</f>
        <v>63.223486999999984</v>
      </c>
      <c r="AH829" s="34">
        <f>SUMPRODUCT(DB_ThemeSOFAcct[[#This Row],[Act01]:[Act12]],$Q$3:$AB$3)/valUnits2</f>
        <v>34.944769999999998</v>
      </c>
    </row>
    <row r="830" spans="2:34" x14ac:dyDescent="0.2">
      <c r="B830" t="s">
        <v>346</v>
      </c>
      <c r="C830" t="s">
        <v>885</v>
      </c>
      <c r="D830" t="s">
        <v>236</v>
      </c>
      <c r="H830">
        <v>868.65499999999997</v>
      </c>
      <c r="T830">
        <v>870.51</v>
      </c>
      <c r="AC830">
        <f>SUMPRODUCT(DB_ThemeSOFAcct[[#This Row],[Plan01]:[Plan12]],$E$14:$P$14)/valUnits2</f>
        <v>0.86865499999999995</v>
      </c>
      <c r="AD830">
        <f>SUMPRODUCT(DB_ThemeSOFAcct[[#This Row],[Act01]:[Act12]],$Q$14:$AB$14)/valUnits2</f>
        <v>0.87051000000000001</v>
      </c>
      <c r="AE830">
        <f>DB_ThemeSOFAcct[[#This Row],[Actuals]]-DB_ThemeSOFAcct[[#This Row],[Plan]]</f>
        <v>1.8550000000000511E-3</v>
      </c>
      <c r="AF830">
        <f>IF(DB_ThemeSOFAcct[[#This Row],[Plan]]&lt;&gt;0,DB_ThemeSOFAcct[[#This Row],[Actuals]]/DB_ThemeSOFAcct[[#This Row],[Plan]],1.000011000011)</f>
        <v>1.0021354853192579</v>
      </c>
      <c r="AG830" s="34">
        <f>SUM(DB_ThemeSOFAcct[[#This Row],[Plan01]:[Plan12]])/valUnits2</f>
        <v>0.86865499999999995</v>
      </c>
      <c r="AH830" s="34">
        <f>SUMPRODUCT(DB_ThemeSOFAcct[[#This Row],[Act01]:[Act12]],$Q$3:$AB$3)/valUnits2</f>
        <v>0.87051000000000001</v>
      </c>
    </row>
    <row r="831" spans="2:34" x14ac:dyDescent="0.2">
      <c r="B831" t="s">
        <v>346</v>
      </c>
      <c r="C831" t="s">
        <v>885</v>
      </c>
      <c r="D831" t="s">
        <v>237</v>
      </c>
      <c r="F831">
        <v>11.265000000000001</v>
      </c>
      <c r="I831">
        <v>85.555999999999997</v>
      </c>
      <c r="J831">
        <v>0</v>
      </c>
      <c r="R831">
        <v>11.27</v>
      </c>
      <c r="U831">
        <v>85.96</v>
      </c>
      <c r="V831">
        <v>770.29</v>
      </c>
      <c r="AC831">
        <f>SUMPRODUCT(DB_ThemeSOFAcct[[#This Row],[Plan01]:[Plan12]],$E$14:$P$14)/valUnits2</f>
        <v>9.6821000000000004E-2</v>
      </c>
      <c r="AD831">
        <f>SUMPRODUCT(DB_ThemeSOFAcct[[#This Row],[Act01]:[Act12]],$Q$14:$AB$14)/valUnits2</f>
        <v>0.86751999999999996</v>
      </c>
      <c r="AE831">
        <f>DB_ThemeSOFAcct[[#This Row],[Actuals]]-DB_ThemeSOFAcct[[#This Row],[Plan]]</f>
        <v>0.77069899999999991</v>
      </c>
      <c r="AF831">
        <f>IF(DB_ThemeSOFAcct[[#This Row],[Plan]]&lt;&gt;0,DB_ThemeSOFAcct[[#This Row],[Actuals]]/DB_ThemeSOFAcct[[#This Row],[Plan]],1.000011000011)</f>
        <v>8.9600396608173831</v>
      </c>
      <c r="AG831" s="34">
        <f>SUM(DB_ThemeSOFAcct[[#This Row],[Plan01]:[Plan12]])/valUnits2</f>
        <v>9.6821000000000004E-2</v>
      </c>
      <c r="AH831" s="34">
        <f>SUMPRODUCT(DB_ThemeSOFAcct[[#This Row],[Act01]:[Act12]],$Q$3:$AB$3)/valUnits2</f>
        <v>0.86751999999999996</v>
      </c>
    </row>
    <row r="832" spans="2:34" x14ac:dyDescent="0.2">
      <c r="B832" t="s">
        <v>346</v>
      </c>
      <c r="C832" t="s">
        <v>885</v>
      </c>
      <c r="D832" t="s">
        <v>141</v>
      </c>
      <c r="G832">
        <v>311.577</v>
      </c>
      <c r="H832">
        <v>953.20799999999997</v>
      </c>
      <c r="I832">
        <v>657.61099999999999</v>
      </c>
      <c r="J832">
        <v>285.38799999999998</v>
      </c>
      <c r="K832">
        <v>285.38799999999998</v>
      </c>
      <c r="L832">
        <v>285.38799999999998</v>
      </c>
      <c r="M832">
        <v>285.38799999999998</v>
      </c>
      <c r="N832">
        <v>285.38799999999998</v>
      </c>
      <c r="O832">
        <v>285.38799999999998</v>
      </c>
      <c r="P832">
        <v>285.38799999999998</v>
      </c>
      <c r="S832">
        <v>309.32</v>
      </c>
      <c r="T832">
        <v>955.65</v>
      </c>
      <c r="U832">
        <v>660.76</v>
      </c>
      <c r="V832">
        <v>236.71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f>SUMPRODUCT(DB_ThemeSOFAcct[[#This Row],[Plan01]:[Plan12]],$E$14:$P$14)/valUnits2</f>
        <v>2.2077839999999997</v>
      </c>
      <c r="AD832">
        <f>SUMPRODUCT(DB_ThemeSOFAcct[[#This Row],[Act01]:[Act12]],$Q$14:$AB$14)/valUnits2</f>
        <v>2.1624400000000001</v>
      </c>
      <c r="AE832">
        <f>DB_ThemeSOFAcct[[#This Row],[Actuals]]-DB_ThemeSOFAcct[[#This Row],[Plan]]</f>
        <v>-4.5343999999999607E-2</v>
      </c>
      <c r="AF832">
        <f>IF(DB_ThemeSOFAcct[[#This Row],[Plan]]&lt;&gt;0,DB_ThemeSOFAcct[[#This Row],[Actuals]]/DB_ThemeSOFAcct[[#This Row],[Plan]],1.000011000011)</f>
        <v>0.97946175894018639</v>
      </c>
      <c r="AG832" s="34">
        <f>SUM(DB_ThemeSOFAcct[[#This Row],[Plan01]:[Plan12]])/valUnits2</f>
        <v>3.9201119999999992</v>
      </c>
      <c r="AH832" s="34">
        <f>SUMPRODUCT(DB_ThemeSOFAcct[[#This Row],[Act01]:[Act12]],$Q$3:$AB$3)/valUnits2</f>
        <v>2.1624400000000001</v>
      </c>
    </row>
    <row r="833" spans="2:34" x14ac:dyDescent="0.2">
      <c r="B833" t="s">
        <v>346</v>
      </c>
      <c r="C833" t="s">
        <v>361</v>
      </c>
      <c r="D833" t="s">
        <v>143</v>
      </c>
      <c r="E833">
        <v>0</v>
      </c>
      <c r="F833">
        <v>0</v>
      </c>
      <c r="H833">
        <v>0</v>
      </c>
      <c r="I833">
        <v>0</v>
      </c>
      <c r="Q833">
        <v>0</v>
      </c>
      <c r="R833">
        <v>0</v>
      </c>
      <c r="T833">
        <v>0</v>
      </c>
      <c r="U833">
        <v>0</v>
      </c>
      <c r="AC833">
        <f>SUMPRODUCT(DB_ThemeSOFAcct[[#This Row],[Plan01]:[Plan12]],$E$14:$P$14)/valUnits2</f>
        <v>0</v>
      </c>
      <c r="AD833">
        <f>SUMPRODUCT(DB_ThemeSOFAcct[[#This Row],[Act01]:[Act12]],$Q$14:$AB$14)/valUnits2</f>
        <v>0</v>
      </c>
      <c r="AE833">
        <f>DB_ThemeSOFAcct[[#This Row],[Actuals]]-DB_ThemeSOFAcct[[#This Row],[Plan]]</f>
        <v>0</v>
      </c>
      <c r="AF833">
        <f>IF(DB_ThemeSOFAcct[[#This Row],[Plan]]&lt;&gt;0,DB_ThemeSOFAcct[[#This Row],[Actuals]]/DB_ThemeSOFAcct[[#This Row],[Plan]],1.000011000011)</f>
        <v>1.0000110000110001</v>
      </c>
      <c r="AG833" s="34">
        <f>SUM(DB_ThemeSOFAcct[[#This Row],[Plan01]:[Plan12]])/valUnits2</f>
        <v>0</v>
      </c>
      <c r="AH833" s="34">
        <f>SUMPRODUCT(DB_ThemeSOFAcct[[#This Row],[Act01]:[Act12]],$Q$3:$AB$3)/valUnits2</f>
        <v>0</v>
      </c>
    </row>
    <row r="834" spans="2:34" x14ac:dyDescent="0.2">
      <c r="B834" t="s">
        <v>346</v>
      </c>
      <c r="C834" t="s">
        <v>361</v>
      </c>
      <c r="D834" t="s">
        <v>235</v>
      </c>
      <c r="E834">
        <v>137.24700000000001</v>
      </c>
      <c r="F834">
        <v>198.29400000000001</v>
      </c>
      <c r="G834">
        <v>88.68</v>
      </c>
      <c r="H834">
        <v>77.326999999999998</v>
      </c>
      <c r="I834">
        <v>249.626</v>
      </c>
      <c r="J834">
        <v>0</v>
      </c>
      <c r="Q834">
        <v>140.05000000000001</v>
      </c>
      <c r="R834">
        <v>198.28</v>
      </c>
      <c r="S834">
        <v>90.43</v>
      </c>
      <c r="T834">
        <v>75.52</v>
      </c>
      <c r="U834">
        <v>252.83</v>
      </c>
      <c r="V834">
        <v>412.11</v>
      </c>
      <c r="AC834">
        <f>SUMPRODUCT(DB_ThemeSOFAcct[[#This Row],[Plan01]:[Plan12]],$E$14:$P$14)/valUnits2</f>
        <v>0.75117400000000012</v>
      </c>
      <c r="AD834">
        <f>SUMPRODUCT(DB_ThemeSOFAcct[[#This Row],[Act01]:[Act12]],$Q$14:$AB$14)/valUnits2</f>
        <v>1.1692199999999999</v>
      </c>
      <c r="AE834">
        <f>DB_ThemeSOFAcct[[#This Row],[Actuals]]-DB_ThemeSOFAcct[[#This Row],[Plan]]</f>
        <v>0.41804599999999981</v>
      </c>
      <c r="AF834">
        <f>IF(DB_ThemeSOFAcct[[#This Row],[Plan]]&lt;&gt;0,DB_ThemeSOFAcct[[#This Row],[Actuals]]/DB_ThemeSOFAcct[[#This Row],[Plan]],1.000011000011)</f>
        <v>1.5565235218471349</v>
      </c>
      <c r="AG834" s="34">
        <f>SUM(DB_ThemeSOFAcct[[#This Row],[Plan01]:[Plan12]])/valUnits2</f>
        <v>0.75117400000000012</v>
      </c>
      <c r="AH834" s="34">
        <f>SUMPRODUCT(DB_ThemeSOFAcct[[#This Row],[Act01]:[Act12]],$Q$3:$AB$3)/valUnits2</f>
        <v>1.1692199999999999</v>
      </c>
    </row>
    <row r="835" spans="2:34" x14ac:dyDescent="0.2">
      <c r="B835" t="s">
        <v>346</v>
      </c>
      <c r="C835" t="s">
        <v>361</v>
      </c>
      <c r="D835" t="s">
        <v>142</v>
      </c>
      <c r="E835">
        <v>26245.209000000006</v>
      </c>
      <c r="F835">
        <v>-9.9999999952160579E-4</v>
      </c>
      <c r="G835">
        <v>-9.0000000004692993E-3</v>
      </c>
      <c r="H835">
        <v>9959.8340000000007</v>
      </c>
      <c r="I835">
        <v>1.9999999999924967E-2</v>
      </c>
      <c r="J835">
        <v>9968.6620000000003</v>
      </c>
      <c r="Q835">
        <v>26746.999999999996</v>
      </c>
      <c r="R835">
        <v>-4.5474735088646412E-13</v>
      </c>
      <c r="S835">
        <v>-1.0000000000218279E-2</v>
      </c>
      <c r="T835">
        <v>9642.75</v>
      </c>
      <c r="U835">
        <v>1.9999999999583906E-2</v>
      </c>
      <c r="V835">
        <v>7572.4299999999994</v>
      </c>
      <c r="AC835">
        <f>SUMPRODUCT(DB_ThemeSOFAcct[[#This Row],[Plan01]:[Plan12]],$E$14:$P$14)/valUnits2</f>
        <v>46.173714999999994</v>
      </c>
      <c r="AD835">
        <f>SUMPRODUCT(DB_ThemeSOFAcct[[#This Row],[Act01]:[Act12]],$Q$14:$AB$14)/valUnits2</f>
        <v>43.962189999999993</v>
      </c>
      <c r="AE835">
        <f>DB_ThemeSOFAcct[[#This Row],[Actuals]]-DB_ThemeSOFAcct[[#This Row],[Plan]]</f>
        <v>-2.2115250000000017</v>
      </c>
      <c r="AF835">
        <f>IF(DB_ThemeSOFAcct[[#This Row],[Plan]]&lt;&gt;0,DB_ThemeSOFAcct[[#This Row],[Actuals]]/DB_ThemeSOFAcct[[#This Row],[Plan]],1.000011000011)</f>
        <v>0.95210424372394553</v>
      </c>
      <c r="AG835" s="34">
        <f>SUM(DB_ThemeSOFAcct[[#This Row],[Plan01]:[Plan12]])/valUnits2</f>
        <v>46.173714999999994</v>
      </c>
      <c r="AH835" s="34">
        <f>SUMPRODUCT(DB_ThemeSOFAcct[[#This Row],[Act01]:[Act12]],$Q$3:$AB$3)/valUnits2</f>
        <v>43.962189999999993</v>
      </c>
    </row>
    <row r="836" spans="2:34" x14ac:dyDescent="0.2">
      <c r="B836" t="s">
        <v>346</v>
      </c>
      <c r="C836" t="s">
        <v>361</v>
      </c>
      <c r="D836" t="s">
        <v>140</v>
      </c>
      <c r="E836">
        <v>2457.3049999999998</v>
      </c>
      <c r="F836">
        <v>3669.7080000000001</v>
      </c>
      <c r="G836">
        <v>3058.1790000000001</v>
      </c>
      <c r="H836">
        <v>4567.7129999999997</v>
      </c>
      <c r="I836">
        <v>4859.2909999999993</v>
      </c>
      <c r="J836">
        <v>4267.2860000000001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2506.9499999999998</v>
      </c>
      <c r="R836">
        <v>3696.3600000000006</v>
      </c>
      <c r="S836">
        <v>3077.4</v>
      </c>
      <c r="T836">
        <v>4510.2299999999996</v>
      </c>
      <c r="U836">
        <v>4927.6900000000005</v>
      </c>
      <c r="V836">
        <v>6008.82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f>SUMPRODUCT(DB_ThemeSOFAcct[[#This Row],[Plan01]:[Plan12]],$E$14:$P$14)/valUnits2</f>
        <v>22.879481999999996</v>
      </c>
      <c r="AD836">
        <f>SUMPRODUCT(DB_ThemeSOFAcct[[#This Row],[Act01]:[Act12]],$Q$14:$AB$14)/valUnits2</f>
        <v>24.727450000000001</v>
      </c>
      <c r="AE836">
        <f>DB_ThemeSOFAcct[[#This Row],[Actuals]]-DB_ThemeSOFAcct[[#This Row],[Plan]]</f>
        <v>1.8479680000000052</v>
      </c>
      <c r="AF836">
        <f>IF(DB_ThemeSOFAcct[[#This Row],[Plan]]&lt;&gt;0,DB_ThemeSOFAcct[[#This Row],[Actuals]]/DB_ThemeSOFAcct[[#This Row],[Plan]],1.000011000011)</f>
        <v>1.0807696607816561</v>
      </c>
      <c r="AG836" s="34">
        <f>SUM(DB_ThemeSOFAcct[[#This Row],[Plan01]:[Plan12]])/valUnits2</f>
        <v>22.879481999999996</v>
      </c>
      <c r="AH836" s="34">
        <f>SUMPRODUCT(DB_ThemeSOFAcct[[#This Row],[Act01]:[Act12]],$Q$3:$AB$3)/valUnits2</f>
        <v>24.727450000000001</v>
      </c>
    </row>
    <row r="837" spans="2:34" x14ac:dyDescent="0.2">
      <c r="B837" t="s">
        <v>346</v>
      </c>
      <c r="C837" t="s">
        <v>361</v>
      </c>
      <c r="D837" t="s">
        <v>236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f>SUMPRODUCT(DB_ThemeSOFAcct[[#This Row],[Plan01]:[Plan12]],$E$14:$P$14)/valUnits2</f>
        <v>0</v>
      </c>
      <c r="AD837">
        <f>SUMPRODUCT(DB_ThemeSOFAcct[[#This Row],[Act01]:[Act12]],$Q$14:$AB$14)/valUnits2</f>
        <v>0</v>
      </c>
      <c r="AE837">
        <f>DB_ThemeSOFAcct[[#This Row],[Actuals]]-DB_ThemeSOFAcct[[#This Row],[Plan]]</f>
        <v>0</v>
      </c>
      <c r="AF837">
        <f>IF(DB_ThemeSOFAcct[[#This Row],[Plan]]&lt;&gt;0,DB_ThemeSOFAcct[[#This Row],[Actuals]]/DB_ThemeSOFAcct[[#This Row],[Plan]],1.000011000011)</f>
        <v>1.0000110000110001</v>
      </c>
      <c r="AG837" s="34">
        <f>SUM(DB_ThemeSOFAcct[[#This Row],[Plan01]:[Plan12]])/valUnits2</f>
        <v>0</v>
      </c>
      <c r="AH837" s="34">
        <f>SUMPRODUCT(DB_ThemeSOFAcct[[#This Row],[Act01]:[Act12]],$Q$3:$AB$3)/valUnits2</f>
        <v>0</v>
      </c>
    </row>
    <row r="838" spans="2:34" x14ac:dyDescent="0.2">
      <c r="B838" t="s">
        <v>346</v>
      </c>
      <c r="C838" t="s">
        <v>361</v>
      </c>
      <c r="D838" t="s">
        <v>237</v>
      </c>
      <c r="E838">
        <v>14.454000000000001</v>
      </c>
      <c r="F838">
        <v>370.57</v>
      </c>
      <c r="I838">
        <v>487.48099999999999</v>
      </c>
      <c r="J838">
        <v>0</v>
      </c>
      <c r="Q838">
        <v>14.73</v>
      </c>
      <c r="R838">
        <v>371.37</v>
      </c>
      <c r="U838">
        <v>496.39</v>
      </c>
      <c r="V838">
        <v>4564.51</v>
      </c>
      <c r="AC838">
        <f>SUMPRODUCT(DB_ThemeSOFAcct[[#This Row],[Plan01]:[Plan12]],$E$14:$P$14)/valUnits2</f>
        <v>0.87250499999999998</v>
      </c>
      <c r="AD838">
        <f>SUMPRODUCT(DB_ThemeSOFAcct[[#This Row],[Act01]:[Act12]],$Q$14:$AB$14)/valUnits2</f>
        <v>5.4470000000000001</v>
      </c>
      <c r="AE838">
        <f>DB_ThemeSOFAcct[[#This Row],[Actuals]]-DB_ThemeSOFAcct[[#This Row],[Plan]]</f>
        <v>4.5744949999999998</v>
      </c>
      <c r="AF838">
        <f>IF(DB_ThemeSOFAcct[[#This Row],[Plan]]&lt;&gt;0,DB_ThemeSOFAcct[[#This Row],[Actuals]]/DB_ThemeSOFAcct[[#This Row],[Plan]],1.000011000011)</f>
        <v>6.2429441665090746</v>
      </c>
      <c r="AG838" s="34">
        <f>SUM(DB_ThemeSOFAcct[[#This Row],[Plan01]:[Plan12]])/valUnits2</f>
        <v>0.87250499999999998</v>
      </c>
      <c r="AH838" s="34">
        <f>SUMPRODUCT(DB_ThemeSOFAcct[[#This Row],[Act01]:[Act12]],$Q$3:$AB$3)/valUnits2</f>
        <v>5.4470000000000001</v>
      </c>
    </row>
    <row r="839" spans="2:34" x14ac:dyDescent="0.2">
      <c r="B839" t="s">
        <v>346</v>
      </c>
      <c r="C839" t="s">
        <v>361</v>
      </c>
      <c r="D839" t="s">
        <v>141</v>
      </c>
      <c r="E839">
        <v>321.20999999999998</v>
      </c>
      <c r="F839">
        <v>1153.018</v>
      </c>
      <c r="G839">
        <v>512.54199999999992</v>
      </c>
      <c r="H839">
        <v>693.31399999999996</v>
      </c>
      <c r="I839">
        <v>391.673</v>
      </c>
      <c r="J839">
        <v>385.78499999999997</v>
      </c>
      <c r="Q839">
        <v>327.58</v>
      </c>
      <c r="R839">
        <v>1153.8699999999999</v>
      </c>
      <c r="S839">
        <v>521.87</v>
      </c>
      <c r="T839">
        <v>680.82999999999993</v>
      </c>
      <c r="U839">
        <v>399.88</v>
      </c>
      <c r="V839">
        <v>644.61999999999989</v>
      </c>
      <c r="AC839">
        <f>SUMPRODUCT(DB_ThemeSOFAcct[[#This Row],[Plan01]:[Plan12]],$E$14:$P$14)/valUnits2</f>
        <v>3.4575419999999997</v>
      </c>
      <c r="AD839">
        <f>SUMPRODUCT(DB_ThemeSOFAcct[[#This Row],[Act01]:[Act12]],$Q$14:$AB$14)/valUnits2</f>
        <v>3.7286499999999996</v>
      </c>
      <c r="AE839">
        <f>DB_ThemeSOFAcct[[#This Row],[Actuals]]-DB_ThemeSOFAcct[[#This Row],[Plan]]</f>
        <v>0.2711079999999999</v>
      </c>
      <c r="AF839">
        <f>IF(DB_ThemeSOFAcct[[#This Row],[Plan]]&lt;&gt;0,DB_ThemeSOFAcct[[#This Row],[Actuals]]/DB_ThemeSOFAcct[[#This Row],[Plan]],1.000011000011)</f>
        <v>1.0784106165593939</v>
      </c>
      <c r="AG839" s="34">
        <f>SUM(DB_ThemeSOFAcct[[#This Row],[Plan01]:[Plan12]])/valUnits2</f>
        <v>3.4575419999999997</v>
      </c>
      <c r="AH839" s="34">
        <f>SUMPRODUCT(DB_ThemeSOFAcct[[#This Row],[Act01]:[Act12]],$Q$3:$AB$3)/valUnits2</f>
        <v>3.7286499999999996</v>
      </c>
    </row>
    <row r="840" spans="2:34" x14ac:dyDescent="0.2">
      <c r="B840" t="s">
        <v>346</v>
      </c>
      <c r="C840" t="s">
        <v>358</v>
      </c>
      <c r="D840" t="s">
        <v>143</v>
      </c>
      <c r="H840">
        <v>0</v>
      </c>
      <c r="I840">
        <v>20.068999999999999</v>
      </c>
      <c r="J840">
        <v>707.27100000000007</v>
      </c>
      <c r="K840">
        <v>64.296999999999997</v>
      </c>
      <c r="L840">
        <v>64.296999999999997</v>
      </c>
      <c r="M840">
        <v>64.296999999999997</v>
      </c>
      <c r="N840">
        <v>64.296999999999997</v>
      </c>
      <c r="O840">
        <v>64.296999999999997</v>
      </c>
      <c r="T840">
        <v>0</v>
      </c>
      <c r="U840">
        <v>20.399999999999999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C840">
        <f>SUMPRODUCT(DB_ThemeSOFAcct[[#This Row],[Plan01]:[Plan12]],$E$14:$P$14)/valUnits2</f>
        <v>0.72733999999999999</v>
      </c>
      <c r="AD840">
        <f>SUMPRODUCT(DB_ThemeSOFAcct[[#This Row],[Act01]:[Act12]],$Q$14:$AB$14)/valUnits2</f>
        <v>2.0399999999999998E-2</v>
      </c>
      <c r="AE840">
        <f>DB_ThemeSOFAcct[[#This Row],[Actuals]]-DB_ThemeSOFAcct[[#This Row],[Plan]]</f>
        <v>-0.70694000000000001</v>
      </c>
      <c r="AF840">
        <f>IF(DB_ThemeSOFAcct[[#This Row],[Plan]]&lt;&gt;0,DB_ThemeSOFAcct[[#This Row],[Actuals]]/DB_ThemeSOFAcct[[#This Row],[Plan]],1.000011000011)</f>
        <v>2.8047405614980613E-2</v>
      </c>
      <c r="AG840" s="34">
        <f>SUM(DB_ThemeSOFAcct[[#This Row],[Plan01]:[Plan12]])/valUnits2</f>
        <v>1.0488250000000001</v>
      </c>
      <c r="AH840" s="34">
        <f>SUMPRODUCT(DB_ThemeSOFAcct[[#This Row],[Act01]:[Act12]],$Q$3:$AB$3)/valUnits2</f>
        <v>2.0399999999999998E-2</v>
      </c>
    </row>
    <row r="841" spans="2:34" x14ac:dyDescent="0.2">
      <c r="B841" t="s">
        <v>346</v>
      </c>
      <c r="C841" t="s">
        <v>358</v>
      </c>
      <c r="D841" t="s">
        <v>142</v>
      </c>
      <c r="E841">
        <v>0</v>
      </c>
      <c r="F841">
        <v>0</v>
      </c>
      <c r="G841">
        <v>0</v>
      </c>
      <c r="H841">
        <v>32760.712</v>
      </c>
      <c r="I841">
        <v>-4.5474735088646412E-13</v>
      </c>
      <c r="J841">
        <v>19064.310999999998</v>
      </c>
      <c r="K841">
        <v>22347.011999999995</v>
      </c>
      <c r="L841">
        <v>24605.393000000004</v>
      </c>
      <c r="M841">
        <v>28248.804000000004</v>
      </c>
      <c r="N841">
        <v>28106.383999999998</v>
      </c>
      <c r="O841">
        <v>28307.956999999999</v>
      </c>
      <c r="Q841">
        <v>0</v>
      </c>
      <c r="R841">
        <v>0</v>
      </c>
      <c r="S841">
        <v>0</v>
      </c>
      <c r="T841">
        <v>32629.68</v>
      </c>
      <c r="U841">
        <v>0</v>
      </c>
      <c r="V841">
        <v>47035.45</v>
      </c>
      <c r="W841">
        <v>0</v>
      </c>
      <c r="X841">
        <v>0</v>
      </c>
      <c r="Y841">
        <v>0</v>
      </c>
      <c r="Z841">
        <v>0</v>
      </c>
      <c r="AA841">
        <v>0</v>
      </c>
      <c r="AC841">
        <f>SUMPRODUCT(DB_ThemeSOFAcct[[#This Row],[Plan01]:[Plan12]],$E$14:$P$14)/valUnits2</f>
        <v>51.825023000000002</v>
      </c>
      <c r="AD841">
        <f>SUMPRODUCT(DB_ThemeSOFAcct[[#This Row],[Act01]:[Act12]],$Q$14:$AB$14)/valUnits2</f>
        <v>79.665130000000005</v>
      </c>
      <c r="AE841">
        <f>DB_ThemeSOFAcct[[#This Row],[Actuals]]-DB_ThemeSOFAcct[[#This Row],[Plan]]</f>
        <v>27.840107000000003</v>
      </c>
      <c r="AF841">
        <f>IF(DB_ThemeSOFAcct[[#This Row],[Plan]]&lt;&gt;0,DB_ThemeSOFAcct[[#This Row],[Actuals]]/DB_ThemeSOFAcct[[#This Row],[Plan]],1.000011000011)</f>
        <v>1.537194300907498</v>
      </c>
      <c r="AG841" s="34">
        <f>SUM(DB_ThemeSOFAcct[[#This Row],[Plan01]:[Plan12]])/valUnits2</f>
        <v>183.440573</v>
      </c>
      <c r="AH841" s="34">
        <f>SUMPRODUCT(DB_ThemeSOFAcct[[#This Row],[Act01]:[Act12]],$Q$3:$AB$3)/valUnits2</f>
        <v>79.665130000000005</v>
      </c>
    </row>
    <row r="842" spans="2:34" x14ac:dyDescent="0.2">
      <c r="B842" t="s">
        <v>346</v>
      </c>
      <c r="C842" t="s">
        <v>358</v>
      </c>
      <c r="D842" t="s">
        <v>140</v>
      </c>
      <c r="E842">
        <v>1612.9280000000001</v>
      </c>
      <c r="F842">
        <v>2458.1759999999999</v>
      </c>
      <c r="G842">
        <v>1741.93</v>
      </c>
      <c r="H842">
        <v>4362.25</v>
      </c>
      <c r="I842">
        <v>7531.692</v>
      </c>
      <c r="J842">
        <v>9191.9880000000012</v>
      </c>
      <c r="K842">
        <v>9191.9879999999994</v>
      </c>
      <c r="L842">
        <v>9191.9879999999994</v>
      </c>
      <c r="M842">
        <v>9191.9879999999994</v>
      </c>
      <c r="N842">
        <v>9191.9879999999994</v>
      </c>
      <c r="O842">
        <v>9191.9879999999994</v>
      </c>
      <c r="Q842">
        <v>1645.5099999999998</v>
      </c>
      <c r="R842">
        <v>2485.08</v>
      </c>
      <c r="S842">
        <v>1753.92</v>
      </c>
      <c r="T842">
        <v>4318.87</v>
      </c>
      <c r="U842">
        <v>7655.97</v>
      </c>
      <c r="V842">
        <v>31044.440000000002</v>
      </c>
      <c r="W842">
        <v>0</v>
      </c>
      <c r="X842">
        <v>0</v>
      </c>
      <c r="Y842">
        <v>0</v>
      </c>
      <c r="Z842">
        <v>0</v>
      </c>
      <c r="AA842">
        <v>0</v>
      </c>
      <c r="AC842">
        <f>SUMPRODUCT(DB_ThemeSOFAcct[[#This Row],[Plan01]:[Plan12]],$E$14:$P$14)/valUnits2</f>
        <v>26.898963999999999</v>
      </c>
      <c r="AD842">
        <f>SUMPRODUCT(DB_ThemeSOFAcct[[#This Row],[Act01]:[Act12]],$Q$14:$AB$14)/valUnits2</f>
        <v>48.903790000000008</v>
      </c>
      <c r="AE842">
        <f>DB_ThemeSOFAcct[[#This Row],[Actuals]]-DB_ThemeSOFAcct[[#This Row],[Plan]]</f>
        <v>22.004826000000008</v>
      </c>
      <c r="AF842">
        <f>IF(DB_ThemeSOFAcct[[#This Row],[Plan]]&lt;&gt;0,DB_ThemeSOFAcct[[#This Row],[Actuals]]/DB_ThemeSOFAcct[[#This Row],[Plan]],1.000011000011)</f>
        <v>1.8180547771282198</v>
      </c>
      <c r="AG842" s="34">
        <f>SUM(DB_ThemeSOFAcct[[#This Row],[Plan01]:[Plan12]])/valUnits2</f>
        <v>72.858903999999995</v>
      </c>
      <c r="AH842" s="34">
        <f>SUMPRODUCT(DB_ThemeSOFAcct[[#This Row],[Act01]:[Act12]],$Q$3:$AB$3)/valUnits2</f>
        <v>48.903790000000008</v>
      </c>
    </row>
    <row r="843" spans="2:34" x14ac:dyDescent="0.2">
      <c r="B843" t="s">
        <v>346</v>
      </c>
      <c r="C843" t="s">
        <v>358</v>
      </c>
      <c r="D843" t="s">
        <v>236</v>
      </c>
      <c r="G843">
        <v>685.45799999999997</v>
      </c>
      <c r="I843">
        <v>0</v>
      </c>
      <c r="S843">
        <v>700.59</v>
      </c>
      <c r="U843">
        <v>0</v>
      </c>
      <c r="AC843">
        <f>SUMPRODUCT(DB_ThemeSOFAcct[[#This Row],[Plan01]:[Plan12]],$E$14:$P$14)/valUnits2</f>
        <v>0.68545800000000001</v>
      </c>
      <c r="AD843">
        <f>SUMPRODUCT(DB_ThemeSOFAcct[[#This Row],[Act01]:[Act12]],$Q$14:$AB$14)/valUnits2</f>
        <v>0.70059000000000005</v>
      </c>
      <c r="AE843">
        <f>DB_ThemeSOFAcct[[#This Row],[Actuals]]-DB_ThemeSOFAcct[[#This Row],[Plan]]</f>
        <v>1.5132000000000034E-2</v>
      </c>
      <c r="AF843">
        <f>IF(DB_ThemeSOFAcct[[#This Row],[Plan]]&lt;&gt;0,DB_ThemeSOFAcct[[#This Row],[Actuals]]/DB_ThemeSOFAcct[[#This Row],[Plan]],1.000011000011)</f>
        <v>1.0220757508118661</v>
      </c>
      <c r="AG843" s="34">
        <f>SUM(DB_ThemeSOFAcct[[#This Row],[Plan01]:[Plan12]])/valUnits2</f>
        <v>0.68545800000000001</v>
      </c>
      <c r="AH843" s="34">
        <f>SUMPRODUCT(DB_ThemeSOFAcct[[#This Row],[Act01]:[Act12]],$Q$3:$AB$3)/valUnits2</f>
        <v>0.70059000000000005</v>
      </c>
    </row>
    <row r="844" spans="2:34" x14ac:dyDescent="0.2">
      <c r="B844" t="s">
        <v>346</v>
      </c>
      <c r="C844" t="s">
        <v>358</v>
      </c>
      <c r="D844" t="s">
        <v>237</v>
      </c>
      <c r="H844">
        <v>20.335999999999999</v>
      </c>
      <c r="I844">
        <v>177.52200000000002</v>
      </c>
      <c r="T844">
        <v>20.100000000000001</v>
      </c>
      <c r="U844">
        <v>181.43</v>
      </c>
      <c r="AC844">
        <f>SUMPRODUCT(DB_ThemeSOFAcct[[#This Row],[Plan01]:[Plan12]],$E$14:$P$14)/valUnits2</f>
        <v>0.19785800000000001</v>
      </c>
      <c r="AD844">
        <f>SUMPRODUCT(DB_ThemeSOFAcct[[#This Row],[Act01]:[Act12]],$Q$14:$AB$14)/valUnits2</f>
        <v>0.20153000000000001</v>
      </c>
      <c r="AE844">
        <f>DB_ThemeSOFAcct[[#This Row],[Actuals]]-DB_ThemeSOFAcct[[#This Row],[Plan]]</f>
        <v>3.6720000000000086E-3</v>
      </c>
      <c r="AF844">
        <f>IF(DB_ThemeSOFAcct[[#This Row],[Plan]]&lt;&gt;0,DB_ThemeSOFAcct[[#This Row],[Actuals]]/DB_ThemeSOFAcct[[#This Row],[Plan]],1.000011000011)</f>
        <v>1.0185587643663638</v>
      </c>
      <c r="AG844" s="34">
        <f>SUM(DB_ThemeSOFAcct[[#This Row],[Plan01]:[Plan12]])/valUnits2</f>
        <v>0.19785800000000001</v>
      </c>
      <c r="AH844" s="34">
        <f>SUMPRODUCT(DB_ThemeSOFAcct[[#This Row],[Act01]:[Act12]],$Q$3:$AB$3)/valUnits2</f>
        <v>0.20153000000000001</v>
      </c>
    </row>
    <row r="845" spans="2:34" x14ac:dyDescent="0.2">
      <c r="B845" t="s">
        <v>346</v>
      </c>
      <c r="C845" t="s">
        <v>358</v>
      </c>
      <c r="D845" t="s">
        <v>141</v>
      </c>
      <c r="F845">
        <v>6.5810000000000004</v>
      </c>
      <c r="H845">
        <v>2.6</v>
      </c>
      <c r="J845">
        <v>0</v>
      </c>
      <c r="R845">
        <v>6.61</v>
      </c>
      <c r="T845">
        <v>2.57</v>
      </c>
      <c r="V845">
        <v>147.73999999999998</v>
      </c>
      <c r="AC845">
        <f>SUMPRODUCT(DB_ThemeSOFAcct[[#This Row],[Plan01]:[Plan12]],$E$14:$P$14)/valUnits2</f>
        <v>9.1810000000000017E-3</v>
      </c>
      <c r="AD845">
        <f>SUMPRODUCT(DB_ThemeSOFAcct[[#This Row],[Act01]:[Act12]],$Q$14:$AB$14)/valUnits2</f>
        <v>0.15691999999999998</v>
      </c>
      <c r="AE845">
        <f>DB_ThemeSOFAcct[[#This Row],[Actuals]]-DB_ThemeSOFAcct[[#This Row],[Plan]]</f>
        <v>0.14773899999999998</v>
      </c>
      <c r="AF845">
        <f>IF(DB_ThemeSOFAcct[[#This Row],[Plan]]&lt;&gt;0,DB_ThemeSOFAcct[[#This Row],[Actuals]]/DB_ThemeSOFAcct[[#This Row],[Plan]],1.000011000011)</f>
        <v>17.091820063173941</v>
      </c>
      <c r="AG845" s="34">
        <f>SUM(DB_ThemeSOFAcct[[#This Row],[Plan01]:[Plan12]])/valUnits2</f>
        <v>9.1810000000000017E-3</v>
      </c>
      <c r="AH845" s="34">
        <f>SUMPRODUCT(DB_ThemeSOFAcct[[#This Row],[Act01]:[Act12]],$Q$3:$AB$3)/valUnits2</f>
        <v>0.15691999999999998</v>
      </c>
    </row>
    <row r="846" spans="2:34" x14ac:dyDescent="0.2">
      <c r="B846" t="s">
        <v>346</v>
      </c>
      <c r="C846" t="s">
        <v>894</v>
      </c>
      <c r="D846" t="s">
        <v>142</v>
      </c>
      <c r="E846">
        <v>4243.8900000000003</v>
      </c>
      <c r="F846">
        <v>-4204.5349999999999</v>
      </c>
      <c r="G846">
        <v>-0.26100000000000001</v>
      </c>
      <c r="H846">
        <v>9433.9760000000006</v>
      </c>
      <c r="I846">
        <v>9589.4180000000015</v>
      </c>
      <c r="J846">
        <v>4154.3329999999996</v>
      </c>
      <c r="K846">
        <v>4154.3329999999996</v>
      </c>
      <c r="L846">
        <v>4154.3329999999996</v>
      </c>
      <c r="M846">
        <v>4154.3329999999996</v>
      </c>
      <c r="N846">
        <v>4154.3329999999996</v>
      </c>
      <c r="O846">
        <v>4154.3329999999996</v>
      </c>
      <c r="P846">
        <v>4154.3329999999996</v>
      </c>
      <c r="Q846">
        <v>4256.37</v>
      </c>
      <c r="R846">
        <v>-4117</v>
      </c>
      <c r="S846">
        <v>-0.26000000000021828</v>
      </c>
      <c r="T846">
        <v>9444.2000000000007</v>
      </c>
      <c r="U846">
        <v>9987.7999999999993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f>SUMPRODUCT(DB_ThemeSOFAcct[[#This Row],[Plan01]:[Plan12]],$E$14:$P$14)/valUnits2</f>
        <v>23.216821000000003</v>
      </c>
      <c r="AD846">
        <f>SUMPRODUCT(DB_ThemeSOFAcct[[#This Row],[Act01]:[Act12]],$Q$14:$AB$14)/valUnits2</f>
        <v>19.571110000000001</v>
      </c>
      <c r="AE846">
        <f>DB_ThemeSOFAcct[[#This Row],[Actuals]]-DB_ThemeSOFAcct[[#This Row],[Plan]]</f>
        <v>-3.6457110000000021</v>
      </c>
      <c r="AF846">
        <f>IF(DB_ThemeSOFAcct[[#This Row],[Plan]]&lt;&gt;0,DB_ThemeSOFAcct[[#This Row],[Actuals]]/DB_ThemeSOFAcct[[#This Row],[Plan]],1.000011000011)</f>
        <v>0.84297113717679084</v>
      </c>
      <c r="AG846" s="34">
        <f>SUM(DB_ThemeSOFAcct[[#This Row],[Plan01]:[Plan12]])/valUnits2</f>
        <v>48.142818999999996</v>
      </c>
      <c r="AH846" s="34">
        <f>SUMPRODUCT(DB_ThemeSOFAcct[[#This Row],[Act01]:[Act12]],$Q$3:$AB$3)/valUnits2</f>
        <v>19.571110000000001</v>
      </c>
    </row>
    <row r="847" spans="2:34" x14ac:dyDescent="0.2">
      <c r="B847" t="s">
        <v>346</v>
      </c>
      <c r="C847" t="s">
        <v>894</v>
      </c>
      <c r="D847" t="s">
        <v>140</v>
      </c>
      <c r="G847">
        <v>-242.04</v>
      </c>
      <c r="S847">
        <v>-245.8</v>
      </c>
      <c r="AC847">
        <f>SUMPRODUCT(DB_ThemeSOFAcct[[#This Row],[Plan01]:[Plan12]],$E$14:$P$14)/valUnits2</f>
        <v>-0.24204000000000001</v>
      </c>
      <c r="AD847">
        <f>SUMPRODUCT(DB_ThemeSOFAcct[[#This Row],[Act01]:[Act12]],$Q$14:$AB$14)/valUnits2</f>
        <v>-0.24580000000000002</v>
      </c>
      <c r="AE847">
        <f>DB_ThemeSOFAcct[[#This Row],[Actuals]]-DB_ThemeSOFAcct[[#This Row],[Plan]]</f>
        <v>-3.7600000000000133E-3</v>
      </c>
      <c r="AF847">
        <f>IF(DB_ThemeSOFAcct[[#This Row],[Plan]]&lt;&gt;0,DB_ThemeSOFAcct[[#This Row],[Actuals]]/DB_ThemeSOFAcct[[#This Row],[Plan]],1.000011000011)</f>
        <v>1.0155346223764667</v>
      </c>
      <c r="AG847" s="34">
        <f>SUM(DB_ThemeSOFAcct[[#This Row],[Plan01]:[Plan12]])/valUnits2</f>
        <v>-0.24204000000000001</v>
      </c>
      <c r="AH847" s="34">
        <f>SUMPRODUCT(DB_ThemeSOFAcct[[#This Row],[Act01]:[Act12]],$Q$3:$AB$3)/valUnits2</f>
        <v>-0.24580000000000002</v>
      </c>
    </row>
    <row r="848" spans="2:34" x14ac:dyDescent="0.2">
      <c r="B848" t="s">
        <v>346</v>
      </c>
      <c r="C848" t="s">
        <v>900</v>
      </c>
      <c r="D848" t="s">
        <v>142</v>
      </c>
      <c r="G848">
        <v>-9.5000000001675744E-2</v>
      </c>
      <c r="S848">
        <v>-8.9999999999406555E-2</v>
      </c>
      <c r="AC848">
        <f>SUMPRODUCT(DB_ThemeSOFAcct[[#This Row],[Plan01]:[Plan12]],$E$14:$P$14)/valUnits2</f>
        <v>-9.5000000001675748E-5</v>
      </c>
      <c r="AD848">
        <f>SUMPRODUCT(DB_ThemeSOFAcct[[#This Row],[Act01]:[Act12]],$Q$14:$AB$14)/valUnits2</f>
        <v>-8.9999999999406554E-5</v>
      </c>
      <c r="AE848">
        <f>DB_ThemeSOFAcct[[#This Row],[Actuals]]-DB_ThemeSOFAcct[[#This Row],[Plan]]</f>
        <v>5.0000000022691941E-6</v>
      </c>
      <c r="AF848">
        <f>IF(DB_ThemeSOFAcct[[#This Row],[Plan]]&lt;&gt;0,DB_ThemeSOFAcct[[#This Row],[Actuals]]/DB_ThemeSOFAcct[[#This Row],[Plan]],1.000011000011)</f>
        <v>0.94736842102967367</v>
      </c>
      <c r="AG848" s="34">
        <f>SUM(DB_ThemeSOFAcct[[#This Row],[Plan01]:[Plan12]])/valUnits2</f>
        <v>-9.5000000001675748E-5</v>
      </c>
      <c r="AH848" s="34">
        <f>SUMPRODUCT(DB_ThemeSOFAcct[[#This Row],[Act01]:[Act12]],$Q$3:$AB$3)/valUnits2</f>
        <v>-8.9999999999406554E-5</v>
      </c>
    </row>
    <row r="849" spans="2:34" x14ac:dyDescent="0.2">
      <c r="B849" t="s">
        <v>346</v>
      </c>
      <c r="C849" t="s">
        <v>905</v>
      </c>
      <c r="D849" t="s">
        <v>140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f>SUMPRODUCT(DB_ThemeSOFAcct[[#This Row],[Plan01]:[Plan12]],$E$14:$P$14)/valUnits2</f>
        <v>0</v>
      </c>
      <c r="AD849">
        <f>SUMPRODUCT(DB_ThemeSOFAcct[[#This Row],[Act01]:[Act12]],$Q$14:$AB$14)/valUnits2</f>
        <v>0</v>
      </c>
      <c r="AE849">
        <f>DB_ThemeSOFAcct[[#This Row],[Actuals]]-DB_ThemeSOFAcct[[#This Row],[Plan]]</f>
        <v>0</v>
      </c>
      <c r="AF849">
        <f>IF(DB_ThemeSOFAcct[[#This Row],[Plan]]&lt;&gt;0,DB_ThemeSOFAcct[[#This Row],[Actuals]]/DB_ThemeSOFAcct[[#This Row],[Plan]],1.000011000011)</f>
        <v>1.0000110000110001</v>
      </c>
      <c r="AG849" s="34">
        <f>SUM(DB_ThemeSOFAcct[[#This Row],[Plan01]:[Plan12]])/valUnits2</f>
        <v>0</v>
      </c>
      <c r="AH849" s="34">
        <f>SUMPRODUCT(DB_ThemeSOFAcct[[#This Row],[Act01]:[Act12]],$Q$3:$AB$3)/valUnits2</f>
        <v>0</v>
      </c>
    </row>
    <row r="850" spans="2:34" x14ac:dyDescent="0.2">
      <c r="B850" t="s">
        <v>346</v>
      </c>
      <c r="C850" t="s">
        <v>905</v>
      </c>
      <c r="D850" t="s">
        <v>236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f>SUMPRODUCT(DB_ThemeSOFAcct[[#This Row],[Plan01]:[Plan12]],$E$14:$P$14)/valUnits2</f>
        <v>0</v>
      </c>
      <c r="AD850">
        <f>SUMPRODUCT(DB_ThemeSOFAcct[[#This Row],[Act01]:[Act12]],$Q$14:$AB$14)/valUnits2</f>
        <v>0</v>
      </c>
      <c r="AE850">
        <f>DB_ThemeSOFAcct[[#This Row],[Actuals]]-DB_ThemeSOFAcct[[#This Row],[Plan]]</f>
        <v>0</v>
      </c>
      <c r="AF850">
        <f>IF(DB_ThemeSOFAcct[[#This Row],[Plan]]&lt;&gt;0,DB_ThemeSOFAcct[[#This Row],[Actuals]]/DB_ThemeSOFAcct[[#This Row],[Plan]],1.000011000011)</f>
        <v>1.0000110000110001</v>
      </c>
      <c r="AG850" s="34">
        <f>SUM(DB_ThemeSOFAcct[[#This Row],[Plan01]:[Plan12]])/valUnits2</f>
        <v>0</v>
      </c>
      <c r="AH850" s="34">
        <f>SUMPRODUCT(DB_ThemeSOFAcct[[#This Row],[Act01]:[Act12]],$Q$3:$AB$3)/valUnits2</f>
        <v>0</v>
      </c>
    </row>
    <row r="851" spans="2:34" x14ac:dyDescent="0.2">
      <c r="B851" t="s">
        <v>346</v>
      </c>
      <c r="C851" t="s">
        <v>905</v>
      </c>
      <c r="D851" t="s">
        <v>141</v>
      </c>
      <c r="E851">
        <v>-2459.02</v>
      </c>
      <c r="F851">
        <v>615.39</v>
      </c>
      <c r="G851">
        <v>0</v>
      </c>
      <c r="H851">
        <v>0</v>
      </c>
      <c r="I851">
        <v>1917.8700000000003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-2459.02</v>
      </c>
      <c r="R851">
        <v>615.39</v>
      </c>
      <c r="S851">
        <v>0</v>
      </c>
      <c r="T851">
        <v>0</v>
      </c>
      <c r="U851">
        <v>1917.8700000000003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f>SUMPRODUCT(DB_ThemeSOFAcct[[#This Row],[Plan01]:[Plan12]],$E$14:$P$14)/valUnits2</f>
        <v>7.4240000000000236E-2</v>
      </c>
      <c r="AD851">
        <f>SUMPRODUCT(DB_ThemeSOFAcct[[#This Row],[Act01]:[Act12]],$Q$14:$AB$14)/valUnits2</f>
        <v>7.4240000000000236E-2</v>
      </c>
      <c r="AE851">
        <f>DB_ThemeSOFAcct[[#This Row],[Actuals]]-DB_ThemeSOFAcct[[#This Row],[Plan]]</f>
        <v>0</v>
      </c>
      <c r="AF851">
        <f>IF(DB_ThemeSOFAcct[[#This Row],[Plan]]&lt;&gt;0,DB_ThemeSOFAcct[[#This Row],[Actuals]]/DB_ThemeSOFAcct[[#This Row],[Plan]],1.000011000011)</f>
        <v>1</v>
      </c>
      <c r="AG851" s="34">
        <f>SUM(DB_ThemeSOFAcct[[#This Row],[Plan01]:[Plan12]])/valUnits2</f>
        <v>7.4240000000000236E-2</v>
      </c>
      <c r="AH851" s="34">
        <f>SUMPRODUCT(DB_ThemeSOFAcct[[#This Row],[Act01]:[Act12]],$Q$3:$AB$3)/valUnits2</f>
        <v>7.4240000000000236E-2</v>
      </c>
    </row>
    <row r="852" spans="2:34" x14ac:dyDescent="0.2">
      <c r="B852" t="s">
        <v>346</v>
      </c>
      <c r="C852" t="s">
        <v>354</v>
      </c>
      <c r="D852" t="s">
        <v>235</v>
      </c>
      <c r="E852">
        <v>98.831999999999994</v>
      </c>
      <c r="G852">
        <v>98.495999999999995</v>
      </c>
      <c r="Q852">
        <v>100.85</v>
      </c>
      <c r="S852">
        <v>100.67</v>
      </c>
      <c r="AC852">
        <f>SUMPRODUCT(DB_ThemeSOFAcct[[#This Row],[Plan01]:[Plan12]],$E$14:$P$14)/valUnits2</f>
        <v>0.19732799999999998</v>
      </c>
      <c r="AD852">
        <f>SUMPRODUCT(DB_ThemeSOFAcct[[#This Row],[Act01]:[Act12]],$Q$14:$AB$14)/valUnits2</f>
        <v>0.20151999999999998</v>
      </c>
      <c r="AE852">
        <f>DB_ThemeSOFAcct[[#This Row],[Actuals]]-DB_ThemeSOFAcct[[#This Row],[Plan]]</f>
        <v>4.1920000000000013E-3</v>
      </c>
      <c r="AF852">
        <f>IF(DB_ThemeSOFAcct[[#This Row],[Plan]]&lt;&gt;0,DB_ThemeSOFAcct[[#This Row],[Actuals]]/DB_ThemeSOFAcct[[#This Row],[Plan]],1.000011000011)</f>
        <v>1.0212438174004703</v>
      </c>
      <c r="AG852" s="34">
        <f>SUM(DB_ThemeSOFAcct[[#This Row],[Plan01]:[Plan12]])/valUnits2</f>
        <v>0.19732799999999998</v>
      </c>
      <c r="AH852" s="34">
        <f>SUMPRODUCT(DB_ThemeSOFAcct[[#This Row],[Act01]:[Act12]],$Q$3:$AB$3)/valUnits2</f>
        <v>0.20151999999999998</v>
      </c>
    </row>
    <row r="853" spans="2:34" x14ac:dyDescent="0.2">
      <c r="B853" t="s">
        <v>346</v>
      </c>
      <c r="C853" t="s">
        <v>354</v>
      </c>
      <c r="D853" t="s">
        <v>142</v>
      </c>
      <c r="E853">
        <v>2.9220000000002528</v>
      </c>
      <c r="F853">
        <v>1.1000000000308319E-2</v>
      </c>
      <c r="G853">
        <v>2133.1179999999999</v>
      </c>
      <c r="H853">
        <v>841.11699999999996</v>
      </c>
      <c r="I853">
        <v>12179.108</v>
      </c>
      <c r="J853">
        <v>10433.85</v>
      </c>
      <c r="Q853">
        <v>2.9199999999997317</v>
      </c>
      <c r="R853">
        <v>9.9999999995361577E-3</v>
      </c>
      <c r="S853">
        <v>2192.6300000000006</v>
      </c>
      <c r="T853">
        <v>814.34000000000015</v>
      </c>
      <c r="U853">
        <v>12374.620000000004</v>
      </c>
      <c r="V853">
        <v>2805.1200000000003</v>
      </c>
      <c r="AC853">
        <f>SUMPRODUCT(DB_ThemeSOFAcct[[#This Row],[Plan01]:[Plan12]],$E$14:$P$14)/valUnits2</f>
        <v>25.590126000000005</v>
      </c>
      <c r="AD853">
        <f>SUMPRODUCT(DB_ThemeSOFAcct[[#This Row],[Act01]:[Act12]],$Q$14:$AB$14)/valUnits2</f>
        <v>18.189640000000004</v>
      </c>
      <c r="AE853">
        <f>DB_ThemeSOFAcct[[#This Row],[Actuals]]-DB_ThemeSOFAcct[[#This Row],[Plan]]</f>
        <v>-7.4004860000000008</v>
      </c>
      <c r="AF853">
        <f>IF(DB_ThemeSOFAcct[[#This Row],[Plan]]&lt;&gt;0,DB_ThemeSOFAcct[[#This Row],[Actuals]]/DB_ThemeSOFAcct[[#This Row],[Plan]],1.000011000011)</f>
        <v>0.71080697297074669</v>
      </c>
      <c r="AG853" s="34">
        <f>SUM(DB_ThemeSOFAcct[[#This Row],[Plan01]:[Plan12]])/valUnits2</f>
        <v>25.590126000000005</v>
      </c>
      <c r="AH853" s="34">
        <f>SUMPRODUCT(DB_ThemeSOFAcct[[#This Row],[Act01]:[Act12]],$Q$3:$AB$3)/valUnits2</f>
        <v>18.189640000000004</v>
      </c>
    </row>
    <row r="854" spans="2:34" x14ac:dyDescent="0.2">
      <c r="B854" t="s">
        <v>346</v>
      </c>
      <c r="C854" t="s">
        <v>354</v>
      </c>
      <c r="D854" t="s">
        <v>140</v>
      </c>
      <c r="E854">
        <v>1558.88</v>
      </c>
      <c r="F854">
        <v>2927.16</v>
      </c>
      <c r="G854">
        <v>2648.904</v>
      </c>
      <c r="H854">
        <v>2509.5229999999997</v>
      </c>
      <c r="I854">
        <v>3464.2620000000002</v>
      </c>
      <c r="J854">
        <v>2314.7040000000002</v>
      </c>
      <c r="Q854">
        <v>1590.37</v>
      </c>
      <c r="R854">
        <v>2945.2000000000003</v>
      </c>
      <c r="S854">
        <v>2665.95</v>
      </c>
      <c r="T854">
        <v>2483.59</v>
      </c>
      <c r="U854">
        <v>3508.99</v>
      </c>
      <c r="V854">
        <v>4622.8799999999992</v>
      </c>
      <c r="AC854">
        <f>SUMPRODUCT(DB_ThemeSOFAcct[[#This Row],[Plan01]:[Plan12]],$E$14:$P$14)/valUnits2</f>
        <v>15.423432999999999</v>
      </c>
      <c r="AD854">
        <f>SUMPRODUCT(DB_ThemeSOFAcct[[#This Row],[Act01]:[Act12]],$Q$14:$AB$14)/valUnits2</f>
        <v>17.816980000000001</v>
      </c>
      <c r="AE854">
        <f>DB_ThemeSOFAcct[[#This Row],[Actuals]]-DB_ThemeSOFAcct[[#This Row],[Plan]]</f>
        <v>2.3935470000000016</v>
      </c>
      <c r="AF854">
        <f>IF(DB_ThemeSOFAcct[[#This Row],[Plan]]&lt;&gt;0,DB_ThemeSOFAcct[[#This Row],[Actuals]]/DB_ThemeSOFAcct[[#This Row],[Plan]],1.000011000011)</f>
        <v>1.1551889906741257</v>
      </c>
      <c r="AG854" s="34">
        <f>SUM(DB_ThemeSOFAcct[[#This Row],[Plan01]:[Plan12]])/valUnits2</f>
        <v>15.423432999999999</v>
      </c>
      <c r="AH854" s="34">
        <f>SUMPRODUCT(DB_ThemeSOFAcct[[#This Row],[Act01]:[Act12]],$Q$3:$AB$3)/valUnits2</f>
        <v>17.816980000000001</v>
      </c>
    </row>
    <row r="855" spans="2:34" x14ac:dyDescent="0.2">
      <c r="B855" t="s">
        <v>346</v>
      </c>
      <c r="C855" t="s">
        <v>354</v>
      </c>
      <c r="D855" t="s">
        <v>236</v>
      </c>
      <c r="J855">
        <v>0</v>
      </c>
      <c r="V855">
        <v>129.03</v>
      </c>
      <c r="AC855">
        <f>SUMPRODUCT(DB_ThemeSOFAcct[[#This Row],[Plan01]:[Plan12]],$E$14:$P$14)/valUnits2</f>
        <v>0</v>
      </c>
      <c r="AD855">
        <f>SUMPRODUCT(DB_ThemeSOFAcct[[#This Row],[Act01]:[Act12]],$Q$14:$AB$14)/valUnits2</f>
        <v>0.12903000000000001</v>
      </c>
      <c r="AE855">
        <f>DB_ThemeSOFAcct[[#This Row],[Actuals]]-DB_ThemeSOFAcct[[#This Row],[Plan]]</f>
        <v>0.12903000000000001</v>
      </c>
      <c r="AF855">
        <f>IF(DB_ThemeSOFAcct[[#This Row],[Plan]]&lt;&gt;0,DB_ThemeSOFAcct[[#This Row],[Actuals]]/DB_ThemeSOFAcct[[#This Row],[Plan]],1.000011000011)</f>
        <v>1.0000110000110001</v>
      </c>
      <c r="AG855" s="34">
        <f>SUM(DB_ThemeSOFAcct[[#This Row],[Plan01]:[Plan12]])/valUnits2</f>
        <v>0</v>
      </c>
      <c r="AH855" s="34">
        <f>SUMPRODUCT(DB_ThemeSOFAcct[[#This Row],[Act01]:[Act12]],$Q$3:$AB$3)/valUnits2</f>
        <v>0.12903000000000001</v>
      </c>
    </row>
    <row r="856" spans="2:34" x14ac:dyDescent="0.2">
      <c r="B856" t="s">
        <v>346</v>
      </c>
      <c r="C856" t="s">
        <v>354</v>
      </c>
      <c r="D856" t="s">
        <v>237</v>
      </c>
      <c r="E856">
        <v>4.7240000000000002</v>
      </c>
      <c r="F856">
        <v>314.28399999999999</v>
      </c>
      <c r="H856">
        <v>44.277000000000001</v>
      </c>
      <c r="Q856">
        <v>4.82</v>
      </c>
      <c r="R856">
        <v>313.89999999999998</v>
      </c>
      <c r="T856">
        <v>44.1</v>
      </c>
      <c r="AC856">
        <f>SUMPRODUCT(DB_ThemeSOFAcct[[#This Row],[Plan01]:[Plan12]],$E$14:$P$14)/valUnits2</f>
        <v>0.36328499999999997</v>
      </c>
      <c r="AD856">
        <f>SUMPRODUCT(DB_ThemeSOFAcct[[#This Row],[Act01]:[Act12]],$Q$14:$AB$14)/valUnits2</f>
        <v>0.36281999999999998</v>
      </c>
      <c r="AE856">
        <f>DB_ThemeSOFAcct[[#This Row],[Actuals]]-DB_ThemeSOFAcct[[#This Row],[Plan]]</f>
        <v>-4.649999999999932E-4</v>
      </c>
      <c r="AF856">
        <f>IF(DB_ThemeSOFAcct[[#This Row],[Plan]]&lt;&gt;0,DB_ThemeSOFAcct[[#This Row],[Actuals]]/DB_ThemeSOFAcct[[#This Row],[Plan]],1.000011000011)</f>
        <v>0.99872001321276682</v>
      </c>
      <c r="AG856" s="34">
        <f>SUM(DB_ThemeSOFAcct[[#This Row],[Plan01]:[Plan12]])/valUnits2</f>
        <v>0.36328499999999997</v>
      </c>
      <c r="AH856" s="34">
        <f>SUMPRODUCT(DB_ThemeSOFAcct[[#This Row],[Act01]:[Act12]],$Q$3:$AB$3)/valUnits2</f>
        <v>0.36281999999999998</v>
      </c>
    </row>
    <row r="857" spans="2:34" x14ac:dyDescent="0.2">
      <c r="B857" t="s">
        <v>346</v>
      </c>
      <c r="C857" t="s">
        <v>354</v>
      </c>
      <c r="D857" t="s">
        <v>141</v>
      </c>
      <c r="E857">
        <v>331.55400000000003</v>
      </c>
      <c r="F857">
        <v>195.86</v>
      </c>
      <c r="G857">
        <v>168.001</v>
      </c>
      <c r="H857">
        <v>122.21599999999999</v>
      </c>
      <c r="I857">
        <v>153.15100000000001</v>
      </c>
      <c r="J857">
        <v>0</v>
      </c>
      <c r="Q857">
        <v>338.27</v>
      </c>
      <c r="R857">
        <v>195.82</v>
      </c>
      <c r="S857">
        <v>171.71</v>
      </c>
      <c r="T857">
        <v>120.8</v>
      </c>
      <c r="U857">
        <v>155.42000000000002</v>
      </c>
      <c r="V857">
        <v>211.48000000000002</v>
      </c>
      <c r="AC857">
        <f>SUMPRODUCT(DB_ThemeSOFAcct[[#This Row],[Plan01]:[Plan12]],$E$14:$P$14)/valUnits2</f>
        <v>0.97078199999999992</v>
      </c>
      <c r="AD857">
        <f>SUMPRODUCT(DB_ThemeSOFAcct[[#This Row],[Act01]:[Act12]],$Q$14:$AB$14)/valUnits2</f>
        <v>1.1935</v>
      </c>
      <c r="AE857">
        <f>DB_ThemeSOFAcct[[#This Row],[Actuals]]-DB_ThemeSOFAcct[[#This Row],[Plan]]</f>
        <v>0.22271800000000008</v>
      </c>
      <c r="AF857">
        <f>IF(DB_ThemeSOFAcct[[#This Row],[Plan]]&lt;&gt;0,DB_ThemeSOFAcct[[#This Row],[Actuals]]/DB_ThemeSOFAcct[[#This Row],[Plan]],1.000011000011)</f>
        <v>1.2294212294830353</v>
      </c>
      <c r="AG857" s="34">
        <f>SUM(DB_ThemeSOFAcct[[#This Row],[Plan01]:[Plan12]])/valUnits2</f>
        <v>0.97078199999999992</v>
      </c>
      <c r="AH857" s="34">
        <f>SUMPRODUCT(DB_ThemeSOFAcct[[#This Row],[Act01]:[Act12]],$Q$3:$AB$3)/valUnits2</f>
        <v>1.1935</v>
      </c>
    </row>
    <row r="858" spans="2:34" x14ac:dyDescent="0.2">
      <c r="B858" t="s">
        <v>346</v>
      </c>
      <c r="C858" t="s">
        <v>918</v>
      </c>
      <c r="D858" t="s">
        <v>143</v>
      </c>
      <c r="E858">
        <v>0</v>
      </c>
      <c r="H858">
        <v>0</v>
      </c>
      <c r="K858">
        <v>0</v>
      </c>
      <c r="N858">
        <v>0</v>
      </c>
      <c r="Q858">
        <v>0</v>
      </c>
      <c r="T858">
        <v>0</v>
      </c>
      <c r="W858">
        <v>0</v>
      </c>
      <c r="Z858">
        <v>0</v>
      </c>
      <c r="AC858">
        <f>SUMPRODUCT(DB_ThemeSOFAcct[[#This Row],[Plan01]:[Plan12]],$E$14:$P$14)/valUnits2</f>
        <v>0</v>
      </c>
      <c r="AD858">
        <f>SUMPRODUCT(DB_ThemeSOFAcct[[#This Row],[Act01]:[Act12]],$Q$14:$AB$14)/valUnits2</f>
        <v>0</v>
      </c>
      <c r="AE858">
        <f>DB_ThemeSOFAcct[[#This Row],[Actuals]]-DB_ThemeSOFAcct[[#This Row],[Plan]]</f>
        <v>0</v>
      </c>
      <c r="AF858">
        <f>IF(DB_ThemeSOFAcct[[#This Row],[Plan]]&lt;&gt;0,DB_ThemeSOFAcct[[#This Row],[Actuals]]/DB_ThemeSOFAcct[[#This Row],[Plan]],1.000011000011)</f>
        <v>1.0000110000110001</v>
      </c>
      <c r="AG858" s="34">
        <f>SUM(DB_ThemeSOFAcct[[#This Row],[Plan01]:[Plan12]])/valUnits2</f>
        <v>0</v>
      </c>
      <c r="AH858" s="34">
        <f>SUMPRODUCT(DB_ThemeSOFAcct[[#This Row],[Act01]:[Act12]],$Q$3:$AB$3)/valUnits2</f>
        <v>0</v>
      </c>
    </row>
    <row r="859" spans="2:34" x14ac:dyDescent="0.2">
      <c r="B859" t="s">
        <v>346</v>
      </c>
      <c r="C859" t="s">
        <v>918</v>
      </c>
      <c r="D859" t="s">
        <v>235</v>
      </c>
      <c r="G859">
        <v>0</v>
      </c>
      <c r="H859">
        <v>0</v>
      </c>
      <c r="I859">
        <v>0</v>
      </c>
      <c r="J859">
        <v>60.198999999999998</v>
      </c>
      <c r="K859">
        <v>60.198999999999998</v>
      </c>
      <c r="L859">
        <v>60.198999999999998</v>
      </c>
      <c r="M859">
        <v>60.198999999999998</v>
      </c>
      <c r="N859">
        <v>60.198999999999998</v>
      </c>
      <c r="O859">
        <v>60.198999999999998</v>
      </c>
      <c r="P859">
        <v>60.198999999999998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f>SUMPRODUCT(DB_ThemeSOFAcct[[#This Row],[Plan01]:[Plan12]],$E$14:$P$14)/valUnits2</f>
        <v>6.0198999999999996E-2</v>
      </c>
      <c r="AD859">
        <f>SUMPRODUCT(DB_ThemeSOFAcct[[#This Row],[Act01]:[Act12]],$Q$14:$AB$14)/valUnits2</f>
        <v>0</v>
      </c>
      <c r="AE859">
        <f>DB_ThemeSOFAcct[[#This Row],[Actuals]]-DB_ThemeSOFAcct[[#This Row],[Plan]]</f>
        <v>-6.0198999999999996E-2</v>
      </c>
      <c r="AF859">
        <f>IF(DB_ThemeSOFAcct[[#This Row],[Plan]]&lt;&gt;0,DB_ThemeSOFAcct[[#This Row],[Actuals]]/DB_ThemeSOFAcct[[#This Row],[Plan]],1.000011000011)</f>
        <v>0</v>
      </c>
      <c r="AG859" s="34">
        <f>SUM(DB_ThemeSOFAcct[[#This Row],[Plan01]:[Plan12]])/valUnits2</f>
        <v>0.42139300000000002</v>
      </c>
      <c r="AH859" s="34">
        <f>SUMPRODUCT(DB_ThemeSOFAcct[[#This Row],[Act01]:[Act12]],$Q$3:$AB$3)/valUnits2</f>
        <v>0</v>
      </c>
    </row>
    <row r="860" spans="2:34" x14ac:dyDescent="0.2">
      <c r="B860" t="s">
        <v>346</v>
      </c>
      <c r="C860" t="s">
        <v>918</v>
      </c>
      <c r="D860" t="s">
        <v>142</v>
      </c>
      <c r="E860">
        <v>70933.031000000003</v>
      </c>
      <c r="F860">
        <v>9.9999999656574801E-4</v>
      </c>
      <c r="G860">
        <v>41.058000000000902</v>
      </c>
      <c r="H860">
        <v>14367.632999999989</v>
      </c>
      <c r="I860">
        <v>-36.554000000000087</v>
      </c>
      <c r="J860">
        <v>15508.056</v>
      </c>
      <c r="K860">
        <v>15142.660000000003</v>
      </c>
      <c r="L860">
        <v>14585.536</v>
      </c>
      <c r="M860">
        <v>13318.643000000002</v>
      </c>
      <c r="N860">
        <v>19025.39</v>
      </c>
      <c r="O860">
        <v>12899.034999999998</v>
      </c>
      <c r="P860">
        <v>12235.066000000001</v>
      </c>
      <c r="Q860">
        <v>68741.8</v>
      </c>
      <c r="R860">
        <v>1.3216094885137863E-12</v>
      </c>
      <c r="S860">
        <v>41.739999999999085</v>
      </c>
      <c r="T860">
        <v>14284.809999999996</v>
      </c>
      <c r="U860">
        <v>-36.589999999997531</v>
      </c>
      <c r="V860">
        <v>15814.429999999997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f>SUMPRODUCT(DB_ThemeSOFAcct[[#This Row],[Plan01]:[Plan12]],$E$14:$P$14)/valUnits2</f>
        <v>100.81322499999999</v>
      </c>
      <c r="AD860">
        <f>SUMPRODUCT(DB_ThemeSOFAcct[[#This Row],[Act01]:[Act12]],$Q$14:$AB$14)/valUnits2</f>
        <v>98.846190000000007</v>
      </c>
      <c r="AE860">
        <f>DB_ThemeSOFAcct[[#This Row],[Actuals]]-DB_ThemeSOFAcct[[#This Row],[Plan]]</f>
        <v>-1.9670349999999814</v>
      </c>
      <c r="AF860">
        <f>IF(DB_ThemeSOFAcct[[#This Row],[Plan]]&lt;&gt;0,DB_ThemeSOFAcct[[#This Row],[Actuals]]/DB_ThemeSOFAcct[[#This Row],[Plan]],1.000011000011)</f>
        <v>0.98048832382854545</v>
      </c>
      <c r="AG860" s="34">
        <f>SUM(DB_ThemeSOFAcct[[#This Row],[Plan01]:[Plan12]])/valUnits2</f>
        <v>188.01955500000003</v>
      </c>
      <c r="AH860" s="34">
        <f>SUMPRODUCT(DB_ThemeSOFAcct[[#This Row],[Act01]:[Act12]],$Q$3:$AB$3)/valUnits2</f>
        <v>98.846190000000007</v>
      </c>
    </row>
    <row r="861" spans="2:34" x14ac:dyDescent="0.2">
      <c r="B861" t="s">
        <v>346</v>
      </c>
      <c r="C861" t="s">
        <v>918</v>
      </c>
      <c r="D861" t="s">
        <v>140</v>
      </c>
      <c r="E861">
        <v>0</v>
      </c>
      <c r="F861">
        <v>0</v>
      </c>
      <c r="G861">
        <v>0</v>
      </c>
      <c r="H861">
        <v>0</v>
      </c>
      <c r="I861">
        <v>1948.9449999999999</v>
      </c>
      <c r="J861">
        <v>1665.028</v>
      </c>
      <c r="K861">
        <v>1665.028</v>
      </c>
      <c r="L861">
        <v>1665.028</v>
      </c>
      <c r="M861">
        <v>1665.028</v>
      </c>
      <c r="N861">
        <v>1665.028</v>
      </c>
      <c r="O861">
        <v>1665.028</v>
      </c>
      <c r="P861">
        <v>1665.028</v>
      </c>
      <c r="Q861">
        <v>0</v>
      </c>
      <c r="R861">
        <v>0</v>
      </c>
      <c r="S861">
        <v>0</v>
      </c>
      <c r="T861">
        <v>0</v>
      </c>
      <c r="U861">
        <v>1934.65</v>
      </c>
      <c r="V861">
        <v>814.89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f>SUMPRODUCT(DB_ThemeSOFAcct[[#This Row],[Plan01]:[Plan12]],$E$14:$P$14)/valUnits2</f>
        <v>3.6139730000000001</v>
      </c>
      <c r="AD861">
        <f>SUMPRODUCT(DB_ThemeSOFAcct[[#This Row],[Act01]:[Act12]],$Q$14:$AB$14)/valUnits2</f>
        <v>2.7495400000000001</v>
      </c>
      <c r="AE861">
        <f>DB_ThemeSOFAcct[[#This Row],[Actuals]]-DB_ThemeSOFAcct[[#This Row],[Plan]]</f>
        <v>-0.86443300000000001</v>
      </c>
      <c r="AF861">
        <f>IF(DB_ThemeSOFAcct[[#This Row],[Plan]]&lt;&gt;0,DB_ThemeSOFAcct[[#This Row],[Actuals]]/DB_ThemeSOFAcct[[#This Row],[Plan]],1.000011000011)</f>
        <v>0.76080811893171307</v>
      </c>
      <c r="AG861" s="34">
        <f>SUM(DB_ThemeSOFAcct[[#This Row],[Plan01]:[Plan12]])/valUnits2</f>
        <v>13.604141000000002</v>
      </c>
      <c r="AH861" s="34">
        <f>SUMPRODUCT(DB_ThemeSOFAcct[[#This Row],[Act01]:[Act12]],$Q$3:$AB$3)/valUnits2</f>
        <v>2.7495400000000001</v>
      </c>
    </row>
    <row r="862" spans="2:34" x14ac:dyDescent="0.2">
      <c r="B862" t="s">
        <v>346</v>
      </c>
      <c r="C862" t="s">
        <v>918</v>
      </c>
      <c r="D862" t="s">
        <v>236</v>
      </c>
      <c r="E862">
        <v>0</v>
      </c>
      <c r="H862">
        <v>0</v>
      </c>
      <c r="K862">
        <v>1254.1389999999999</v>
      </c>
      <c r="N862">
        <v>0</v>
      </c>
      <c r="Q862">
        <v>0</v>
      </c>
      <c r="T862">
        <v>0</v>
      </c>
      <c r="W862">
        <v>0</v>
      </c>
      <c r="Z862">
        <v>0</v>
      </c>
      <c r="AC862">
        <f>SUMPRODUCT(DB_ThemeSOFAcct[[#This Row],[Plan01]:[Plan12]],$E$14:$P$14)/valUnits2</f>
        <v>0</v>
      </c>
      <c r="AD862">
        <f>SUMPRODUCT(DB_ThemeSOFAcct[[#This Row],[Act01]:[Act12]],$Q$14:$AB$14)/valUnits2</f>
        <v>0</v>
      </c>
      <c r="AE862">
        <f>DB_ThemeSOFAcct[[#This Row],[Actuals]]-DB_ThemeSOFAcct[[#This Row],[Plan]]</f>
        <v>0</v>
      </c>
      <c r="AF862">
        <f>IF(DB_ThemeSOFAcct[[#This Row],[Plan]]&lt;&gt;0,DB_ThemeSOFAcct[[#This Row],[Actuals]]/DB_ThemeSOFAcct[[#This Row],[Plan]],1.000011000011)</f>
        <v>1.0000110000110001</v>
      </c>
      <c r="AG862" s="34">
        <f>SUM(DB_ThemeSOFAcct[[#This Row],[Plan01]:[Plan12]])/valUnits2</f>
        <v>1.2541389999999999</v>
      </c>
      <c r="AH862" s="34">
        <f>SUMPRODUCT(DB_ThemeSOFAcct[[#This Row],[Act01]:[Act12]],$Q$3:$AB$3)/valUnits2</f>
        <v>0</v>
      </c>
    </row>
    <row r="863" spans="2:34" x14ac:dyDescent="0.2">
      <c r="B863" t="s">
        <v>346</v>
      </c>
      <c r="C863" t="s">
        <v>918</v>
      </c>
      <c r="D863" t="s">
        <v>237</v>
      </c>
      <c r="I863">
        <v>1.5660000000000001</v>
      </c>
      <c r="U863">
        <v>1.57</v>
      </c>
      <c r="AC863">
        <f>SUMPRODUCT(DB_ThemeSOFAcct[[#This Row],[Plan01]:[Plan12]],$E$14:$P$14)/valUnits2</f>
        <v>1.5660000000000001E-3</v>
      </c>
      <c r="AD863">
        <f>SUMPRODUCT(DB_ThemeSOFAcct[[#This Row],[Act01]:[Act12]],$Q$14:$AB$14)/valUnits2</f>
        <v>1.57E-3</v>
      </c>
      <c r="AE863">
        <f>DB_ThemeSOFAcct[[#This Row],[Actuals]]-DB_ThemeSOFAcct[[#This Row],[Plan]]</f>
        <v>3.9999999999998804E-6</v>
      </c>
      <c r="AF863">
        <f>IF(DB_ThemeSOFAcct[[#This Row],[Plan]]&lt;&gt;0,DB_ThemeSOFAcct[[#This Row],[Actuals]]/DB_ThemeSOFAcct[[#This Row],[Plan]],1.000011000011)</f>
        <v>1.0025542784163473</v>
      </c>
      <c r="AG863" s="34">
        <f>SUM(DB_ThemeSOFAcct[[#This Row],[Plan01]:[Plan12]])/valUnits2</f>
        <v>1.5660000000000001E-3</v>
      </c>
      <c r="AH863" s="34">
        <f>SUMPRODUCT(DB_ThemeSOFAcct[[#This Row],[Act01]:[Act12]],$Q$3:$AB$3)/valUnits2</f>
        <v>1.57E-3</v>
      </c>
    </row>
    <row r="864" spans="2:34" x14ac:dyDescent="0.2">
      <c r="B864" t="s">
        <v>346</v>
      </c>
      <c r="C864" t="s">
        <v>918</v>
      </c>
      <c r="D864" t="s">
        <v>141</v>
      </c>
      <c r="E864">
        <v>0</v>
      </c>
      <c r="F864">
        <v>21.821999999999999</v>
      </c>
      <c r="G864">
        <v>0</v>
      </c>
      <c r="H864">
        <v>11.189</v>
      </c>
      <c r="I864">
        <v>0</v>
      </c>
      <c r="J864">
        <v>30.099</v>
      </c>
      <c r="K864">
        <v>30.099</v>
      </c>
      <c r="L864">
        <v>30.099</v>
      </c>
      <c r="M864">
        <v>30.099</v>
      </c>
      <c r="N864">
        <v>30.099</v>
      </c>
      <c r="O864">
        <v>30.099</v>
      </c>
      <c r="P864">
        <v>30.099</v>
      </c>
      <c r="Q864">
        <v>0</v>
      </c>
      <c r="R864">
        <v>22.56</v>
      </c>
      <c r="S864">
        <v>0</v>
      </c>
      <c r="T864">
        <v>11.190000000000001</v>
      </c>
      <c r="U864">
        <v>0</v>
      </c>
      <c r="V864">
        <v>74.23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f>SUMPRODUCT(DB_ThemeSOFAcct[[#This Row],[Plan01]:[Plan12]],$E$14:$P$14)/valUnits2</f>
        <v>6.3109999999999999E-2</v>
      </c>
      <c r="AD864">
        <f>SUMPRODUCT(DB_ThemeSOFAcct[[#This Row],[Act01]:[Act12]],$Q$14:$AB$14)/valUnits2</f>
        <v>0.10798000000000001</v>
      </c>
      <c r="AE864">
        <f>DB_ThemeSOFAcct[[#This Row],[Actuals]]-DB_ThemeSOFAcct[[#This Row],[Plan]]</f>
        <v>4.4870000000000007E-2</v>
      </c>
      <c r="AF864">
        <f>IF(DB_ThemeSOFAcct[[#This Row],[Plan]]&lt;&gt;0,DB_ThemeSOFAcct[[#This Row],[Actuals]]/DB_ThemeSOFAcct[[#This Row],[Plan]],1.000011000011)</f>
        <v>1.7109808271272382</v>
      </c>
      <c r="AG864" s="34">
        <f>SUM(DB_ThemeSOFAcct[[#This Row],[Plan01]:[Plan12]])/valUnits2</f>
        <v>0.24370399999999998</v>
      </c>
      <c r="AH864" s="34">
        <f>SUMPRODUCT(DB_ThemeSOFAcct[[#This Row],[Act01]:[Act12]],$Q$3:$AB$3)/valUnits2</f>
        <v>0.10798000000000001</v>
      </c>
    </row>
    <row r="865" spans="2:34" x14ac:dyDescent="0.2">
      <c r="B865" t="s">
        <v>346</v>
      </c>
      <c r="C865" t="s">
        <v>923</v>
      </c>
      <c r="D865" t="s">
        <v>142</v>
      </c>
      <c r="H865">
        <v>0</v>
      </c>
      <c r="I865">
        <v>0</v>
      </c>
      <c r="J865">
        <v>5075.4619999999995</v>
      </c>
      <c r="K865">
        <v>5075.4619999999995</v>
      </c>
      <c r="L865">
        <v>5075.4619999999995</v>
      </c>
      <c r="M865">
        <v>5075.4619999999995</v>
      </c>
      <c r="N865">
        <v>5075.4619999999995</v>
      </c>
      <c r="O865">
        <v>5075.4619999999995</v>
      </c>
      <c r="P865">
        <v>5075.4619999999995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f>SUMPRODUCT(DB_ThemeSOFAcct[[#This Row],[Plan01]:[Plan12]],$E$14:$P$14)/valUnits2</f>
        <v>5.0754619999999999</v>
      </c>
      <c r="AD865">
        <f>SUMPRODUCT(DB_ThemeSOFAcct[[#This Row],[Act01]:[Act12]],$Q$14:$AB$14)/valUnits2</f>
        <v>0</v>
      </c>
      <c r="AE865">
        <f>DB_ThemeSOFAcct[[#This Row],[Actuals]]-DB_ThemeSOFAcct[[#This Row],[Plan]]</f>
        <v>-5.0754619999999999</v>
      </c>
      <c r="AF865">
        <f>IF(DB_ThemeSOFAcct[[#This Row],[Plan]]&lt;&gt;0,DB_ThemeSOFAcct[[#This Row],[Actuals]]/DB_ThemeSOFAcct[[#This Row],[Plan]],1.000011000011)</f>
        <v>0</v>
      </c>
      <c r="AG865" s="34">
        <f>SUM(DB_ThemeSOFAcct[[#This Row],[Plan01]:[Plan12]])/valUnits2</f>
        <v>35.528233999999998</v>
      </c>
      <c r="AH865" s="34">
        <f>SUMPRODUCT(DB_ThemeSOFAcct[[#This Row],[Act01]:[Act12]],$Q$3:$AB$3)/valUnits2</f>
        <v>0</v>
      </c>
    </row>
    <row r="866" spans="2:34" x14ac:dyDescent="0.2">
      <c r="B866" t="s">
        <v>346</v>
      </c>
      <c r="C866" t="s">
        <v>925</v>
      </c>
      <c r="D866" t="s">
        <v>142</v>
      </c>
      <c r="E866">
        <v>5205.5609999999997</v>
      </c>
      <c r="F866">
        <v>-5216.0119999999997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5160.55</v>
      </c>
      <c r="R866">
        <v>-5157.97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f>SUMPRODUCT(DB_ThemeSOFAcct[[#This Row],[Plan01]:[Plan12]],$E$14:$P$14)/valUnits2</f>
        <v>-1.0451000000000021E-2</v>
      </c>
      <c r="AD866">
        <f>SUMPRODUCT(DB_ThemeSOFAcct[[#This Row],[Act01]:[Act12]],$Q$14:$AB$14)/valUnits2</f>
        <v>2.5799999999999274E-3</v>
      </c>
      <c r="AE866">
        <f>DB_ThemeSOFAcct[[#This Row],[Actuals]]-DB_ThemeSOFAcct[[#This Row],[Plan]]</f>
        <v>1.3030999999999949E-2</v>
      </c>
      <c r="AF866">
        <f>IF(DB_ThemeSOFAcct[[#This Row],[Plan]]&lt;&gt;0,DB_ThemeSOFAcct[[#This Row],[Actuals]]/DB_ThemeSOFAcct[[#This Row],[Plan]],1.000011000011)</f>
        <v>-0.24686632858098959</v>
      </c>
      <c r="AG866" s="34">
        <f>SUM(DB_ThemeSOFAcct[[#This Row],[Plan01]:[Plan12]])/valUnits2</f>
        <v>-1.0451000000000021E-2</v>
      </c>
      <c r="AH866" s="34">
        <f>SUMPRODUCT(DB_ThemeSOFAcct[[#This Row],[Act01]:[Act12]],$Q$3:$AB$3)/valUnits2</f>
        <v>2.5799999999999274E-3</v>
      </c>
    </row>
    <row r="867" spans="2:34" x14ac:dyDescent="0.2">
      <c r="B867" t="s">
        <v>346</v>
      </c>
      <c r="C867" t="s">
        <v>925</v>
      </c>
      <c r="D867" t="s">
        <v>140</v>
      </c>
      <c r="E867">
        <v>1614.386</v>
      </c>
      <c r="F867">
        <v>1802.1420000000001</v>
      </c>
      <c r="G867">
        <v>0</v>
      </c>
      <c r="H867">
        <v>-3348.2700000000004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1575.9</v>
      </c>
      <c r="R867">
        <v>1835.63</v>
      </c>
      <c r="S867">
        <v>0</v>
      </c>
      <c r="T867">
        <v>-3411.5299999999997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f>SUMPRODUCT(DB_ThemeSOFAcct[[#This Row],[Plan01]:[Plan12]],$E$14:$P$14)/valUnits2</f>
        <v>6.8257999999999805E-2</v>
      </c>
      <c r="AD867">
        <f>SUMPRODUCT(DB_ThemeSOFAcct[[#This Row],[Act01]:[Act12]],$Q$14:$AB$14)/valUnits2</f>
        <v>4.5474735088646413E-16</v>
      </c>
      <c r="AE867">
        <f>DB_ThemeSOFAcct[[#This Row],[Actuals]]-DB_ThemeSOFAcct[[#This Row],[Plan]]</f>
        <v>-6.8257999999999347E-2</v>
      </c>
      <c r="AF867">
        <f>IF(DB_ThemeSOFAcct[[#This Row],[Plan]]&lt;&gt;0,DB_ThemeSOFAcct[[#This Row],[Actuals]]/DB_ThemeSOFAcct[[#This Row],[Plan]],1.000011000011)</f>
        <v>6.6621839328205546E-15</v>
      </c>
      <c r="AG867" s="34">
        <f>SUM(DB_ThemeSOFAcct[[#This Row],[Plan01]:[Plan12]])/valUnits2</f>
        <v>6.8257999999999805E-2</v>
      </c>
      <c r="AH867" s="34">
        <f>SUMPRODUCT(DB_ThemeSOFAcct[[#This Row],[Act01]:[Act12]],$Q$3:$AB$3)/valUnits2</f>
        <v>4.5474735088646413E-16</v>
      </c>
    </row>
    <row r="868" spans="2:34" x14ac:dyDescent="0.2">
      <c r="B868" t="s">
        <v>346</v>
      </c>
      <c r="C868" t="s">
        <v>925</v>
      </c>
      <c r="D868" t="s">
        <v>141</v>
      </c>
      <c r="I868">
        <v>580.32799999999997</v>
      </c>
      <c r="U868">
        <v>583.55000000000007</v>
      </c>
      <c r="AC868">
        <f>SUMPRODUCT(DB_ThemeSOFAcct[[#This Row],[Plan01]:[Plan12]],$E$14:$P$14)/valUnits2</f>
        <v>0.58032799999999995</v>
      </c>
      <c r="AD868">
        <f>SUMPRODUCT(DB_ThemeSOFAcct[[#This Row],[Act01]:[Act12]],$Q$14:$AB$14)/valUnits2</f>
        <v>0.58355000000000001</v>
      </c>
      <c r="AE868">
        <f>DB_ThemeSOFAcct[[#This Row],[Actuals]]-DB_ThemeSOFAcct[[#This Row],[Plan]]</f>
        <v>3.2220000000000582E-3</v>
      </c>
      <c r="AF868">
        <f>IF(DB_ThemeSOFAcct[[#This Row],[Plan]]&lt;&gt;0,DB_ThemeSOFAcct[[#This Row],[Actuals]]/DB_ThemeSOFAcct[[#This Row],[Plan]],1.000011000011)</f>
        <v>1.0055520326436085</v>
      </c>
      <c r="AG868" s="34">
        <f>SUM(DB_ThemeSOFAcct[[#This Row],[Plan01]:[Plan12]])/valUnits2</f>
        <v>0.58032799999999995</v>
      </c>
      <c r="AH868" s="34">
        <f>SUMPRODUCT(DB_ThemeSOFAcct[[#This Row],[Act01]:[Act12]],$Q$3:$AB$3)/valUnits2</f>
        <v>0.58355000000000001</v>
      </c>
    </row>
    <row r="869" spans="2:34" x14ac:dyDescent="0.2">
      <c r="B869" t="s">
        <v>346</v>
      </c>
      <c r="C869" t="s">
        <v>359</v>
      </c>
      <c r="D869" t="s">
        <v>235</v>
      </c>
      <c r="H869">
        <v>0</v>
      </c>
      <c r="I869">
        <v>0</v>
      </c>
      <c r="J869">
        <v>14.374000000000001</v>
      </c>
      <c r="T869">
        <v>0</v>
      </c>
      <c r="U869">
        <v>0</v>
      </c>
      <c r="V869">
        <v>0</v>
      </c>
      <c r="AC869">
        <f>SUMPRODUCT(DB_ThemeSOFAcct[[#This Row],[Plan01]:[Plan12]],$E$14:$P$14)/valUnits2</f>
        <v>1.4374000000000001E-2</v>
      </c>
      <c r="AD869">
        <f>SUMPRODUCT(DB_ThemeSOFAcct[[#This Row],[Act01]:[Act12]],$Q$14:$AB$14)/valUnits2</f>
        <v>0</v>
      </c>
      <c r="AE869">
        <f>DB_ThemeSOFAcct[[#This Row],[Actuals]]-DB_ThemeSOFAcct[[#This Row],[Plan]]</f>
        <v>-1.4374000000000001E-2</v>
      </c>
      <c r="AF869">
        <f>IF(DB_ThemeSOFAcct[[#This Row],[Plan]]&lt;&gt;0,DB_ThemeSOFAcct[[#This Row],[Actuals]]/DB_ThemeSOFAcct[[#This Row],[Plan]],1.000011000011)</f>
        <v>0</v>
      </c>
      <c r="AG869" s="34">
        <f>SUM(DB_ThemeSOFAcct[[#This Row],[Plan01]:[Plan12]])/valUnits2</f>
        <v>1.4374000000000001E-2</v>
      </c>
      <c r="AH869" s="34">
        <f>SUMPRODUCT(DB_ThemeSOFAcct[[#This Row],[Act01]:[Act12]],$Q$3:$AB$3)/valUnits2</f>
        <v>0</v>
      </c>
    </row>
    <row r="870" spans="2:34" x14ac:dyDescent="0.2">
      <c r="B870" t="s">
        <v>346</v>
      </c>
      <c r="C870" t="s">
        <v>359</v>
      </c>
      <c r="D870" t="s">
        <v>142</v>
      </c>
      <c r="E870">
        <v>0</v>
      </c>
      <c r="F870">
        <v>0</v>
      </c>
      <c r="G870">
        <v>2453.7269999999999</v>
      </c>
      <c r="H870">
        <v>2163.9059999999999</v>
      </c>
      <c r="I870">
        <v>-7.7271522513910895E-14</v>
      </c>
      <c r="J870">
        <v>2156.8340000000003</v>
      </c>
      <c r="Q870">
        <v>0</v>
      </c>
      <c r="R870">
        <v>0</v>
      </c>
      <c r="S870">
        <v>2425.6799999999998</v>
      </c>
      <c r="T870">
        <v>2186.85</v>
      </c>
      <c r="U870">
        <v>7.1054273576010019E-14</v>
      </c>
      <c r="V870">
        <v>25.369999999999806</v>
      </c>
      <c r="AC870">
        <f>SUMPRODUCT(DB_ThemeSOFAcct[[#This Row],[Plan01]:[Plan12]],$E$14:$P$14)/valUnits2</f>
        <v>6.7744670000000005</v>
      </c>
      <c r="AD870">
        <f>SUMPRODUCT(DB_ThemeSOFAcct[[#This Row],[Act01]:[Act12]],$Q$14:$AB$14)/valUnits2</f>
        <v>4.6378999999999992</v>
      </c>
      <c r="AE870">
        <f>DB_ThemeSOFAcct[[#This Row],[Actuals]]-DB_ThemeSOFAcct[[#This Row],[Plan]]</f>
        <v>-2.1365670000000012</v>
      </c>
      <c r="AF870">
        <f>IF(DB_ThemeSOFAcct[[#This Row],[Plan]]&lt;&gt;0,DB_ThemeSOFAcct[[#This Row],[Actuals]]/DB_ThemeSOFAcct[[#This Row],[Plan]],1.000011000011)</f>
        <v>0.68461474533716071</v>
      </c>
      <c r="AG870" s="34">
        <f>SUM(DB_ThemeSOFAcct[[#This Row],[Plan01]:[Plan12]])/valUnits2</f>
        <v>6.7744670000000005</v>
      </c>
      <c r="AH870" s="34">
        <f>SUMPRODUCT(DB_ThemeSOFAcct[[#This Row],[Act01]:[Act12]],$Q$3:$AB$3)/valUnits2</f>
        <v>4.6378999999999992</v>
      </c>
    </row>
    <row r="871" spans="2:34" x14ac:dyDescent="0.2">
      <c r="B871" t="s">
        <v>346</v>
      </c>
      <c r="C871" t="s">
        <v>359</v>
      </c>
      <c r="D871" t="s">
        <v>140</v>
      </c>
      <c r="E871">
        <v>0</v>
      </c>
      <c r="F871">
        <v>0</v>
      </c>
      <c r="G871">
        <v>0</v>
      </c>
      <c r="H871">
        <v>801.35699999999997</v>
      </c>
      <c r="I871">
        <v>341.42400000000004</v>
      </c>
      <c r="J871">
        <v>1593.0070000000001</v>
      </c>
      <c r="Q871">
        <v>0</v>
      </c>
      <c r="R871">
        <v>0</v>
      </c>
      <c r="S871">
        <v>0</v>
      </c>
      <c r="T871">
        <v>797.01</v>
      </c>
      <c r="U871">
        <v>346.05</v>
      </c>
      <c r="V871">
        <v>497.32</v>
      </c>
      <c r="AC871">
        <f>SUMPRODUCT(DB_ThemeSOFAcct[[#This Row],[Plan01]:[Plan12]],$E$14:$P$14)/valUnits2</f>
        <v>2.7357879999999999</v>
      </c>
      <c r="AD871">
        <f>SUMPRODUCT(DB_ThemeSOFAcct[[#This Row],[Act01]:[Act12]],$Q$14:$AB$14)/valUnits2</f>
        <v>1.6403799999999999</v>
      </c>
      <c r="AE871">
        <f>DB_ThemeSOFAcct[[#This Row],[Actuals]]-DB_ThemeSOFAcct[[#This Row],[Plan]]</f>
        <v>-1.0954079999999999</v>
      </c>
      <c r="AF871">
        <f>IF(DB_ThemeSOFAcct[[#This Row],[Plan]]&lt;&gt;0,DB_ThemeSOFAcct[[#This Row],[Actuals]]/DB_ThemeSOFAcct[[#This Row],[Plan]],1.000011000011)</f>
        <v>0.59960055384408439</v>
      </c>
      <c r="AG871" s="34">
        <f>SUM(DB_ThemeSOFAcct[[#This Row],[Plan01]:[Plan12]])/valUnits2</f>
        <v>2.7357879999999999</v>
      </c>
      <c r="AH871" s="34">
        <f>SUMPRODUCT(DB_ThemeSOFAcct[[#This Row],[Act01]:[Act12]],$Q$3:$AB$3)/valUnits2</f>
        <v>1.6403799999999999</v>
      </c>
    </row>
    <row r="872" spans="2:34" x14ac:dyDescent="0.2">
      <c r="B872" t="s">
        <v>346</v>
      </c>
      <c r="C872" t="s">
        <v>359</v>
      </c>
      <c r="D872" t="s">
        <v>236</v>
      </c>
      <c r="H872">
        <v>0</v>
      </c>
      <c r="I872">
        <v>0</v>
      </c>
      <c r="J872">
        <v>527.05700000000002</v>
      </c>
      <c r="T872">
        <v>0</v>
      </c>
      <c r="U872">
        <v>0</v>
      </c>
      <c r="V872">
        <v>0</v>
      </c>
      <c r="AC872">
        <f>SUMPRODUCT(DB_ThemeSOFAcct[[#This Row],[Plan01]:[Plan12]],$E$14:$P$14)/valUnits2</f>
        <v>0.527057</v>
      </c>
      <c r="AD872">
        <f>SUMPRODUCT(DB_ThemeSOFAcct[[#This Row],[Act01]:[Act12]],$Q$14:$AB$14)/valUnits2</f>
        <v>0</v>
      </c>
      <c r="AE872">
        <f>DB_ThemeSOFAcct[[#This Row],[Actuals]]-DB_ThemeSOFAcct[[#This Row],[Plan]]</f>
        <v>-0.527057</v>
      </c>
      <c r="AF872">
        <f>IF(DB_ThemeSOFAcct[[#This Row],[Plan]]&lt;&gt;0,DB_ThemeSOFAcct[[#This Row],[Actuals]]/DB_ThemeSOFAcct[[#This Row],[Plan]],1.000011000011)</f>
        <v>0</v>
      </c>
      <c r="AG872" s="34">
        <f>SUM(DB_ThemeSOFAcct[[#This Row],[Plan01]:[Plan12]])/valUnits2</f>
        <v>0.527057</v>
      </c>
      <c r="AH872" s="34">
        <f>SUMPRODUCT(DB_ThemeSOFAcct[[#This Row],[Act01]:[Act12]],$Q$3:$AB$3)/valUnits2</f>
        <v>0</v>
      </c>
    </row>
    <row r="873" spans="2:34" x14ac:dyDescent="0.2">
      <c r="B873" t="s">
        <v>346</v>
      </c>
      <c r="C873" t="s">
        <v>359</v>
      </c>
      <c r="D873" t="s">
        <v>237</v>
      </c>
      <c r="K873">
        <v>0</v>
      </c>
      <c r="W873">
        <v>238.23</v>
      </c>
      <c r="AC873">
        <f>SUMPRODUCT(DB_ThemeSOFAcct[[#This Row],[Plan01]:[Plan12]],$E$14:$P$14)/valUnits2</f>
        <v>0</v>
      </c>
      <c r="AD873">
        <f>SUMPRODUCT(DB_ThemeSOFAcct[[#This Row],[Act01]:[Act12]],$Q$14:$AB$14)/valUnits2</f>
        <v>0</v>
      </c>
      <c r="AE873">
        <f>DB_ThemeSOFAcct[[#This Row],[Actuals]]-DB_ThemeSOFAcct[[#This Row],[Plan]]</f>
        <v>0</v>
      </c>
      <c r="AF873">
        <f>IF(DB_ThemeSOFAcct[[#This Row],[Plan]]&lt;&gt;0,DB_ThemeSOFAcct[[#This Row],[Actuals]]/DB_ThemeSOFAcct[[#This Row],[Plan]],1.000011000011)</f>
        <v>1.0000110000110001</v>
      </c>
      <c r="AG873" s="34">
        <f>SUM(DB_ThemeSOFAcct[[#This Row],[Plan01]:[Plan12]])/valUnits2</f>
        <v>0</v>
      </c>
      <c r="AH873" s="34">
        <f>SUMPRODUCT(DB_ThemeSOFAcct[[#This Row],[Act01]:[Act12]],$Q$3:$AB$3)/valUnits2</f>
        <v>0</v>
      </c>
    </row>
    <row r="874" spans="2:34" x14ac:dyDescent="0.2">
      <c r="B874" t="s">
        <v>346</v>
      </c>
      <c r="C874" t="s">
        <v>359</v>
      </c>
      <c r="D874" t="s">
        <v>141</v>
      </c>
      <c r="H874">
        <v>1246.4299999999998</v>
      </c>
      <c r="I874">
        <v>6.9550000000000001</v>
      </c>
      <c r="J874">
        <v>57.496000000000002</v>
      </c>
      <c r="T874">
        <v>1258.47</v>
      </c>
      <c r="U874">
        <v>7.32</v>
      </c>
      <c r="V874">
        <v>11.61</v>
      </c>
      <c r="AC874">
        <f>SUMPRODUCT(DB_ThemeSOFAcct[[#This Row],[Plan01]:[Plan12]],$E$14:$P$14)/valUnits2</f>
        <v>1.310881</v>
      </c>
      <c r="AD874">
        <f>SUMPRODUCT(DB_ThemeSOFAcct[[#This Row],[Act01]:[Act12]],$Q$14:$AB$14)/valUnits2</f>
        <v>1.2773999999999999</v>
      </c>
      <c r="AE874">
        <f>DB_ThemeSOFAcct[[#This Row],[Actuals]]-DB_ThemeSOFAcct[[#This Row],[Plan]]</f>
        <v>-3.3481000000000094E-2</v>
      </c>
      <c r="AF874">
        <f>IF(DB_ThemeSOFAcct[[#This Row],[Plan]]&lt;&gt;0,DB_ThemeSOFAcct[[#This Row],[Actuals]]/DB_ThemeSOFAcct[[#This Row],[Plan]],1.000011000011)</f>
        <v>0.97445916143418043</v>
      </c>
      <c r="AG874" s="34">
        <f>SUM(DB_ThemeSOFAcct[[#This Row],[Plan01]:[Plan12]])/valUnits2</f>
        <v>1.310881</v>
      </c>
      <c r="AH874" s="34">
        <f>SUMPRODUCT(DB_ThemeSOFAcct[[#This Row],[Act01]:[Act12]],$Q$3:$AB$3)/valUnits2</f>
        <v>1.2773999999999999</v>
      </c>
    </row>
    <row r="875" spans="2:34" x14ac:dyDescent="0.2">
      <c r="B875" t="s">
        <v>346</v>
      </c>
      <c r="C875" t="s">
        <v>360</v>
      </c>
      <c r="D875" t="s">
        <v>235</v>
      </c>
      <c r="G875">
        <v>0</v>
      </c>
      <c r="H875">
        <v>0</v>
      </c>
      <c r="I875">
        <v>0</v>
      </c>
      <c r="J875">
        <v>36.192</v>
      </c>
      <c r="S875">
        <v>0</v>
      </c>
      <c r="T875">
        <v>0</v>
      </c>
      <c r="U875">
        <v>0</v>
      </c>
      <c r="V875">
        <v>0</v>
      </c>
      <c r="AC875">
        <f>SUMPRODUCT(DB_ThemeSOFAcct[[#This Row],[Plan01]:[Plan12]],$E$14:$P$14)/valUnits2</f>
        <v>3.6192000000000002E-2</v>
      </c>
      <c r="AD875">
        <f>SUMPRODUCT(DB_ThemeSOFAcct[[#This Row],[Act01]:[Act12]],$Q$14:$AB$14)/valUnits2</f>
        <v>0</v>
      </c>
      <c r="AE875">
        <f>DB_ThemeSOFAcct[[#This Row],[Actuals]]-DB_ThemeSOFAcct[[#This Row],[Plan]]</f>
        <v>-3.6192000000000002E-2</v>
      </c>
      <c r="AF875">
        <f>IF(DB_ThemeSOFAcct[[#This Row],[Plan]]&lt;&gt;0,DB_ThemeSOFAcct[[#This Row],[Actuals]]/DB_ThemeSOFAcct[[#This Row],[Plan]],1.000011000011)</f>
        <v>0</v>
      </c>
      <c r="AG875" s="34">
        <f>SUM(DB_ThemeSOFAcct[[#This Row],[Plan01]:[Plan12]])/valUnits2</f>
        <v>3.6192000000000002E-2</v>
      </c>
      <c r="AH875" s="34">
        <f>SUMPRODUCT(DB_ThemeSOFAcct[[#This Row],[Act01]:[Act12]],$Q$3:$AB$3)/valUnits2</f>
        <v>0</v>
      </c>
    </row>
    <row r="876" spans="2:34" x14ac:dyDescent="0.2">
      <c r="B876" t="s">
        <v>346</v>
      </c>
      <c r="C876" t="s">
        <v>360</v>
      </c>
      <c r="D876" t="s">
        <v>142</v>
      </c>
      <c r="E876">
        <v>0</v>
      </c>
      <c r="F876">
        <v>0</v>
      </c>
      <c r="G876">
        <v>11178.09</v>
      </c>
      <c r="H876">
        <v>9857.7670000000016</v>
      </c>
      <c r="I876">
        <v>-9.9999999999056399E-3</v>
      </c>
      <c r="J876">
        <v>9930.1810000000005</v>
      </c>
      <c r="Q876">
        <v>0</v>
      </c>
      <c r="R876">
        <v>0</v>
      </c>
      <c r="S876">
        <v>11050.32</v>
      </c>
      <c r="T876">
        <v>9962.2899999999991</v>
      </c>
      <c r="U876">
        <v>-1.0000000000331966E-2</v>
      </c>
      <c r="V876">
        <v>115.63000000000022</v>
      </c>
      <c r="AC876">
        <f>SUMPRODUCT(DB_ThemeSOFAcct[[#This Row],[Plan01]:[Plan12]],$E$14:$P$14)/valUnits2</f>
        <v>30.966028000000005</v>
      </c>
      <c r="AD876">
        <f>SUMPRODUCT(DB_ThemeSOFAcct[[#This Row],[Act01]:[Act12]],$Q$14:$AB$14)/valUnits2</f>
        <v>21.128229999999999</v>
      </c>
      <c r="AE876">
        <f>DB_ThemeSOFAcct[[#This Row],[Actuals]]-DB_ThemeSOFAcct[[#This Row],[Plan]]</f>
        <v>-9.8377980000000065</v>
      </c>
      <c r="AF876">
        <f>IF(DB_ThemeSOFAcct[[#This Row],[Plan]]&lt;&gt;0,DB_ThemeSOFAcct[[#This Row],[Actuals]]/DB_ThemeSOFAcct[[#This Row],[Plan]],1.000011000011)</f>
        <v>0.68230352307373732</v>
      </c>
      <c r="AG876" s="34">
        <f>SUM(DB_ThemeSOFAcct[[#This Row],[Plan01]:[Plan12]])/valUnits2</f>
        <v>30.966028000000005</v>
      </c>
      <c r="AH876" s="34">
        <f>SUMPRODUCT(DB_ThemeSOFAcct[[#This Row],[Act01]:[Act12]],$Q$3:$AB$3)/valUnits2</f>
        <v>21.128229999999999</v>
      </c>
    </row>
    <row r="877" spans="2:34" x14ac:dyDescent="0.2">
      <c r="B877" t="s">
        <v>346</v>
      </c>
      <c r="C877" t="s">
        <v>360</v>
      </c>
      <c r="D877" t="s">
        <v>140</v>
      </c>
      <c r="E877">
        <v>1081.4570000000001</v>
      </c>
      <c r="F877">
        <v>3682.498</v>
      </c>
      <c r="G877">
        <v>2449.2719999999999</v>
      </c>
      <c r="H877">
        <v>4037.8919999999998</v>
      </c>
      <c r="I877">
        <v>2463.998</v>
      </c>
      <c r="J877">
        <v>3266.7289999999998</v>
      </c>
      <c r="Q877">
        <v>1091.95</v>
      </c>
      <c r="R877">
        <v>3753.04</v>
      </c>
      <c r="S877">
        <v>2440.08</v>
      </c>
      <c r="T877">
        <v>4028.01</v>
      </c>
      <c r="U877">
        <v>2516.09</v>
      </c>
      <c r="V877">
        <v>2615.5300000000002</v>
      </c>
      <c r="AC877">
        <f>SUMPRODUCT(DB_ThemeSOFAcct[[#This Row],[Plan01]:[Plan12]],$E$14:$P$14)/valUnits2</f>
        <v>16.981845999999997</v>
      </c>
      <c r="AD877">
        <f>SUMPRODUCT(DB_ThemeSOFAcct[[#This Row],[Act01]:[Act12]],$Q$14:$AB$14)/valUnits2</f>
        <v>16.444700000000001</v>
      </c>
      <c r="AE877">
        <f>DB_ThemeSOFAcct[[#This Row],[Actuals]]-DB_ThemeSOFAcct[[#This Row],[Plan]]</f>
        <v>-0.53714599999999635</v>
      </c>
      <c r="AF877">
        <f>IF(DB_ThemeSOFAcct[[#This Row],[Plan]]&lt;&gt;0,DB_ThemeSOFAcct[[#This Row],[Actuals]]/DB_ThemeSOFAcct[[#This Row],[Plan]],1.000011000011)</f>
        <v>0.96836939870965755</v>
      </c>
      <c r="AG877" s="34">
        <f>SUM(DB_ThemeSOFAcct[[#This Row],[Plan01]:[Plan12]])/valUnits2</f>
        <v>16.981845999999997</v>
      </c>
      <c r="AH877" s="34">
        <f>SUMPRODUCT(DB_ThemeSOFAcct[[#This Row],[Act01]:[Act12]],$Q$3:$AB$3)/valUnits2</f>
        <v>16.444700000000001</v>
      </c>
    </row>
    <row r="878" spans="2:34" x14ac:dyDescent="0.2">
      <c r="B878" t="s">
        <v>346</v>
      </c>
      <c r="C878" t="s">
        <v>360</v>
      </c>
      <c r="D878" t="s">
        <v>236</v>
      </c>
      <c r="H878">
        <v>0</v>
      </c>
      <c r="I878">
        <v>0</v>
      </c>
      <c r="J878">
        <v>2424.732</v>
      </c>
      <c r="T878">
        <v>0</v>
      </c>
      <c r="U878">
        <v>0</v>
      </c>
      <c r="V878">
        <v>0</v>
      </c>
      <c r="AC878">
        <f>SUMPRODUCT(DB_ThemeSOFAcct[[#This Row],[Plan01]:[Plan12]],$E$14:$P$14)/valUnits2</f>
        <v>2.4247320000000001</v>
      </c>
      <c r="AD878">
        <f>SUMPRODUCT(DB_ThemeSOFAcct[[#This Row],[Act01]:[Act12]],$Q$14:$AB$14)/valUnits2</f>
        <v>0</v>
      </c>
      <c r="AE878">
        <f>DB_ThemeSOFAcct[[#This Row],[Actuals]]-DB_ThemeSOFAcct[[#This Row],[Plan]]</f>
        <v>-2.4247320000000001</v>
      </c>
      <c r="AF878">
        <f>IF(DB_ThemeSOFAcct[[#This Row],[Plan]]&lt;&gt;0,DB_ThemeSOFAcct[[#This Row],[Actuals]]/DB_ThemeSOFAcct[[#This Row],[Plan]],1.000011000011)</f>
        <v>0</v>
      </c>
      <c r="AG878" s="34">
        <f>SUM(DB_ThemeSOFAcct[[#This Row],[Plan01]:[Plan12]])/valUnits2</f>
        <v>2.4247320000000001</v>
      </c>
      <c r="AH878" s="34">
        <f>SUMPRODUCT(DB_ThemeSOFAcct[[#This Row],[Act01]:[Act12]],$Q$3:$AB$3)/valUnits2</f>
        <v>0</v>
      </c>
    </row>
    <row r="879" spans="2:34" x14ac:dyDescent="0.2">
      <c r="B879" t="s">
        <v>346</v>
      </c>
      <c r="C879" t="s">
        <v>360</v>
      </c>
      <c r="D879" t="s">
        <v>237</v>
      </c>
      <c r="G879">
        <v>166.96799999999999</v>
      </c>
      <c r="K879">
        <v>0</v>
      </c>
      <c r="S879">
        <v>166.28</v>
      </c>
      <c r="W879">
        <v>1085.23</v>
      </c>
      <c r="AC879">
        <f>SUMPRODUCT(DB_ThemeSOFAcct[[#This Row],[Plan01]:[Plan12]],$E$14:$P$14)/valUnits2</f>
        <v>0.16696799999999998</v>
      </c>
      <c r="AD879">
        <f>SUMPRODUCT(DB_ThemeSOFAcct[[#This Row],[Act01]:[Act12]],$Q$14:$AB$14)/valUnits2</f>
        <v>0.16628000000000001</v>
      </c>
      <c r="AE879">
        <f>DB_ThemeSOFAcct[[#This Row],[Actuals]]-DB_ThemeSOFAcct[[#This Row],[Plan]]</f>
        <v>-6.8799999999996642E-4</v>
      </c>
      <c r="AF879">
        <f>IF(DB_ThemeSOFAcct[[#This Row],[Plan]]&lt;&gt;0,DB_ThemeSOFAcct[[#This Row],[Actuals]]/DB_ThemeSOFAcct[[#This Row],[Plan]],1.000011000011)</f>
        <v>0.99587944995448252</v>
      </c>
      <c r="AG879" s="34">
        <f>SUM(DB_ThemeSOFAcct[[#This Row],[Plan01]:[Plan12]])/valUnits2</f>
        <v>0.16696799999999998</v>
      </c>
      <c r="AH879" s="34">
        <f>SUMPRODUCT(DB_ThemeSOFAcct[[#This Row],[Act01]:[Act12]],$Q$3:$AB$3)/valUnits2</f>
        <v>0.16628000000000001</v>
      </c>
    </row>
    <row r="880" spans="2:34" x14ac:dyDescent="0.2">
      <c r="B880" t="s">
        <v>346</v>
      </c>
      <c r="C880" t="s">
        <v>360</v>
      </c>
      <c r="D880" t="s">
        <v>141</v>
      </c>
      <c r="G880">
        <v>0</v>
      </c>
      <c r="H880">
        <v>5240.634</v>
      </c>
      <c r="I880">
        <v>31.664999999999999</v>
      </c>
      <c r="J880">
        <v>144.76999999999998</v>
      </c>
      <c r="S880">
        <v>0</v>
      </c>
      <c r="T880">
        <v>5291.7</v>
      </c>
      <c r="U880">
        <v>33.33</v>
      </c>
      <c r="V880">
        <v>22.11</v>
      </c>
      <c r="AC880">
        <f>SUMPRODUCT(DB_ThemeSOFAcct[[#This Row],[Plan01]:[Plan12]],$E$14:$P$14)/valUnits2</f>
        <v>5.4170689999999997</v>
      </c>
      <c r="AD880">
        <f>SUMPRODUCT(DB_ThemeSOFAcct[[#This Row],[Act01]:[Act12]],$Q$14:$AB$14)/valUnits2</f>
        <v>5.3471399999999996</v>
      </c>
      <c r="AE880">
        <f>DB_ThemeSOFAcct[[#This Row],[Actuals]]-DB_ThemeSOFAcct[[#This Row],[Plan]]</f>
        <v>-6.992900000000013E-2</v>
      </c>
      <c r="AF880">
        <f>IF(DB_ThemeSOFAcct[[#This Row],[Plan]]&lt;&gt;0,DB_ThemeSOFAcct[[#This Row],[Actuals]]/DB_ThemeSOFAcct[[#This Row],[Plan]],1.000011000011)</f>
        <v>0.98709098961080244</v>
      </c>
      <c r="AG880" s="34">
        <f>SUM(DB_ThemeSOFAcct[[#This Row],[Plan01]:[Plan12]])/valUnits2</f>
        <v>5.4170689999999997</v>
      </c>
      <c r="AH880" s="34">
        <f>SUMPRODUCT(DB_ThemeSOFAcct[[#This Row],[Act01]:[Act12]],$Q$3:$AB$3)/valUnits2</f>
        <v>5.3471399999999996</v>
      </c>
    </row>
    <row r="881" spans="2:34" x14ac:dyDescent="0.2">
      <c r="B881" t="s">
        <v>346</v>
      </c>
      <c r="C881" t="s">
        <v>928</v>
      </c>
      <c r="D881" t="s">
        <v>143</v>
      </c>
      <c r="E881">
        <v>0</v>
      </c>
      <c r="G881">
        <v>118.50700000000001</v>
      </c>
      <c r="J881">
        <v>0</v>
      </c>
      <c r="Q881">
        <v>0</v>
      </c>
      <c r="S881">
        <v>119.58</v>
      </c>
      <c r="V881">
        <v>-119.58</v>
      </c>
      <c r="AC881">
        <f>SUMPRODUCT(DB_ThemeSOFAcct[[#This Row],[Plan01]:[Plan12]],$E$14:$P$14)/valUnits2</f>
        <v>0.118507</v>
      </c>
      <c r="AD881">
        <f>SUMPRODUCT(DB_ThemeSOFAcct[[#This Row],[Act01]:[Act12]],$Q$14:$AB$14)/valUnits2</f>
        <v>0</v>
      </c>
      <c r="AE881">
        <f>DB_ThemeSOFAcct[[#This Row],[Actuals]]-DB_ThemeSOFAcct[[#This Row],[Plan]]</f>
        <v>-0.118507</v>
      </c>
      <c r="AF881">
        <f>IF(DB_ThemeSOFAcct[[#This Row],[Plan]]&lt;&gt;0,DB_ThemeSOFAcct[[#This Row],[Actuals]]/DB_ThemeSOFAcct[[#This Row],[Plan]],1.000011000011)</f>
        <v>0</v>
      </c>
      <c r="AG881" s="34">
        <f>SUM(DB_ThemeSOFAcct[[#This Row],[Plan01]:[Plan12]])/valUnits2</f>
        <v>0.118507</v>
      </c>
      <c r="AH881" s="34">
        <f>SUMPRODUCT(DB_ThemeSOFAcct[[#This Row],[Act01]:[Act12]],$Q$3:$AB$3)/valUnits2</f>
        <v>0</v>
      </c>
    </row>
    <row r="882" spans="2:34" x14ac:dyDescent="0.2">
      <c r="B882" t="s">
        <v>346</v>
      </c>
      <c r="C882" t="s">
        <v>928</v>
      </c>
      <c r="D882" t="s">
        <v>235</v>
      </c>
      <c r="E882">
        <v>0</v>
      </c>
      <c r="G882">
        <v>10.483000000000001</v>
      </c>
      <c r="J882">
        <v>0</v>
      </c>
      <c r="Q882">
        <v>0</v>
      </c>
      <c r="S882">
        <v>10.69</v>
      </c>
      <c r="V882">
        <v>-10.69</v>
      </c>
      <c r="AC882">
        <f>SUMPRODUCT(DB_ThemeSOFAcct[[#This Row],[Plan01]:[Plan12]],$E$14:$P$14)/valUnits2</f>
        <v>1.0483000000000001E-2</v>
      </c>
      <c r="AD882">
        <f>SUMPRODUCT(DB_ThemeSOFAcct[[#This Row],[Act01]:[Act12]],$Q$14:$AB$14)/valUnits2</f>
        <v>0</v>
      </c>
      <c r="AE882">
        <f>DB_ThemeSOFAcct[[#This Row],[Actuals]]-DB_ThemeSOFAcct[[#This Row],[Plan]]</f>
        <v>-1.0483000000000001E-2</v>
      </c>
      <c r="AF882">
        <f>IF(DB_ThemeSOFAcct[[#This Row],[Plan]]&lt;&gt;0,DB_ThemeSOFAcct[[#This Row],[Actuals]]/DB_ThemeSOFAcct[[#This Row],[Plan]],1.000011000011)</f>
        <v>0</v>
      </c>
      <c r="AG882" s="34">
        <f>SUM(DB_ThemeSOFAcct[[#This Row],[Plan01]:[Plan12]])/valUnits2</f>
        <v>1.0483000000000001E-2</v>
      </c>
      <c r="AH882" s="34">
        <f>SUMPRODUCT(DB_ThemeSOFAcct[[#This Row],[Act01]:[Act12]],$Q$3:$AB$3)/valUnits2</f>
        <v>0</v>
      </c>
    </row>
    <row r="883" spans="2:34" x14ac:dyDescent="0.2">
      <c r="B883" t="s">
        <v>346</v>
      </c>
      <c r="C883" t="s">
        <v>928</v>
      </c>
      <c r="D883" t="s">
        <v>142</v>
      </c>
      <c r="E883">
        <v>145.34100000000046</v>
      </c>
      <c r="J883">
        <v>0</v>
      </c>
      <c r="Q883">
        <v>143.18999999999505</v>
      </c>
      <c r="V883">
        <v>9646.92</v>
      </c>
      <c r="AC883">
        <f>SUMPRODUCT(DB_ThemeSOFAcct[[#This Row],[Plan01]:[Plan12]],$E$14:$P$14)/valUnits2</f>
        <v>0.14534100000000047</v>
      </c>
      <c r="AD883">
        <f>SUMPRODUCT(DB_ThemeSOFAcct[[#This Row],[Act01]:[Act12]],$Q$14:$AB$14)/valUnits2</f>
        <v>9.790109999999995</v>
      </c>
      <c r="AE883">
        <f>DB_ThemeSOFAcct[[#This Row],[Actuals]]-DB_ThemeSOFAcct[[#This Row],[Plan]]</f>
        <v>9.6447689999999948</v>
      </c>
      <c r="AF883">
        <f>IF(DB_ThemeSOFAcct[[#This Row],[Plan]]&lt;&gt;0,DB_ThemeSOFAcct[[#This Row],[Actuals]]/DB_ThemeSOFAcct[[#This Row],[Plan]],1.000011000011)</f>
        <v>67.359588829029406</v>
      </c>
      <c r="AG883" s="34">
        <f>SUM(DB_ThemeSOFAcct[[#This Row],[Plan01]:[Plan12]])/valUnits2</f>
        <v>0.14534100000000047</v>
      </c>
      <c r="AH883" s="34">
        <f>SUMPRODUCT(DB_ThemeSOFAcct[[#This Row],[Act01]:[Act12]],$Q$3:$AB$3)/valUnits2</f>
        <v>9.790109999999995</v>
      </c>
    </row>
    <row r="884" spans="2:34" x14ac:dyDescent="0.2">
      <c r="B884" t="s">
        <v>346</v>
      </c>
      <c r="C884" t="s">
        <v>928</v>
      </c>
      <c r="D884" t="s">
        <v>140</v>
      </c>
      <c r="E884">
        <v>4821.96</v>
      </c>
      <c r="F884">
        <v>7731.3749999999991</v>
      </c>
      <c r="G884">
        <v>6457.6120000000001</v>
      </c>
      <c r="H884">
        <v>15680.561999999998</v>
      </c>
      <c r="I884">
        <v>94.721000000000004</v>
      </c>
      <c r="J884">
        <v>0</v>
      </c>
      <c r="Q884">
        <v>4749.6899999999996</v>
      </c>
      <c r="R884">
        <v>7890.1799999999994</v>
      </c>
      <c r="S884">
        <v>6518.22</v>
      </c>
      <c r="T884">
        <v>15515.529999999999</v>
      </c>
      <c r="U884">
        <v>94.56</v>
      </c>
      <c r="V884">
        <v>-30018.489999999994</v>
      </c>
      <c r="AC884">
        <f>SUMPRODUCT(DB_ThemeSOFAcct[[#This Row],[Plan01]:[Plan12]],$E$14:$P$14)/valUnits2</f>
        <v>34.786229999999996</v>
      </c>
      <c r="AD884">
        <f>SUMPRODUCT(DB_ThemeSOFAcct[[#This Row],[Act01]:[Act12]],$Q$14:$AB$14)/valUnits2</f>
        <v>4.7496899999999984</v>
      </c>
      <c r="AE884">
        <f>DB_ThemeSOFAcct[[#This Row],[Actuals]]-DB_ThemeSOFAcct[[#This Row],[Plan]]</f>
        <v>-30.036539999999999</v>
      </c>
      <c r="AF884">
        <f>IF(DB_ThemeSOFAcct[[#This Row],[Plan]]&lt;&gt;0,DB_ThemeSOFAcct[[#This Row],[Actuals]]/DB_ThemeSOFAcct[[#This Row],[Plan]],1.000011000011)</f>
        <v>0.13653937204462796</v>
      </c>
      <c r="AG884" s="34">
        <f>SUM(DB_ThemeSOFAcct[[#This Row],[Plan01]:[Plan12]])/valUnits2</f>
        <v>34.786229999999996</v>
      </c>
      <c r="AH884" s="34">
        <f>SUMPRODUCT(DB_ThemeSOFAcct[[#This Row],[Act01]:[Act12]],$Q$3:$AB$3)/valUnits2</f>
        <v>4.7496899999999984</v>
      </c>
    </row>
    <row r="885" spans="2:34" x14ac:dyDescent="0.2">
      <c r="B885" t="s">
        <v>346</v>
      </c>
      <c r="C885" t="s">
        <v>928</v>
      </c>
      <c r="D885" t="s">
        <v>236</v>
      </c>
      <c r="E885">
        <v>10865.946</v>
      </c>
      <c r="Q885">
        <v>10554.01</v>
      </c>
      <c r="AC885">
        <f>SUMPRODUCT(DB_ThemeSOFAcct[[#This Row],[Plan01]:[Plan12]],$E$14:$P$14)/valUnits2</f>
        <v>10.865945999999999</v>
      </c>
      <c r="AD885">
        <f>SUMPRODUCT(DB_ThemeSOFAcct[[#This Row],[Act01]:[Act12]],$Q$14:$AB$14)/valUnits2</f>
        <v>10.55401</v>
      </c>
      <c r="AE885">
        <f>DB_ThemeSOFAcct[[#This Row],[Actuals]]-DB_ThemeSOFAcct[[#This Row],[Plan]]</f>
        <v>-0.31193599999999932</v>
      </c>
      <c r="AF885">
        <f>IF(DB_ThemeSOFAcct[[#This Row],[Plan]]&lt;&gt;0,DB_ThemeSOFAcct[[#This Row],[Actuals]]/DB_ThemeSOFAcct[[#This Row],[Plan]],1.000011000011)</f>
        <v>0.97129232926429054</v>
      </c>
      <c r="AG885" s="34">
        <f>SUM(DB_ThemeSOFAcct[[#This Row],[Plan01]:[Plan12]])/valUnits2</f>
        <v>10.865945999999999</v>
      </c>
      <c r="AH885" s="34">
        <f>SUMPRODUCT(DB_ThemeSOFAcct[[#This Row],[Act01]:[Act12]],$Q$3:$AB$3)/valUnits2</f>
        <v>10.55401</v>
      </c>
    </row>
    <row r="886" spans="2:34" x14ac:dyDescent="0.2">
      <c r="B886" t="s">
        <v>346</v>
      </c>
      <c r="C886" t="s">
        <v>928</v>
      </c>
      <c r="D886" t="s">
        <v>237</v>
      </c>
      <c r="F886">
        <v>604.40499999999997</v>
      </c>
      <c r="G886">
        <v>4.992</v>
      </c>
      <c r="J886">
        <v>0</v>
      </c>
      <c r="R886">
        <v>624.84</v>
      </c>
      <c r="S886">
        <v>5.09</v>
      </c>
      <c r="V886">
        <v>-629.93000000000006</v>
      </c>
      <c r="AC886">
        <f>SUMPRODUCT(DB_ThemeSOFAcct[[#This Row],[Plan01]:[Plan12]],$E$14:$P$14)/valUnits2</f>
        <v>0.60939699999999997</v>
      </c>
      <c r="AD886">
        <f>SUMPRODUCT(DB_ThemeSOFAcct[[#This Row],[Act01]:[Act12]],$Q$14:$AB$14)/valUnits2</f>
        <v>0</v>
      </c>
      <c r="AE886">
        <f>DB_ThemeSOFAcct[[#This Row],[Actuals]]-DB_ThemeSOFAcct[[#This Row],[Plan]]</f>
        <v>-0.60939699999999997</v>
      </c>
      <c r="AF886">
        <f>IF(DB_ThemeSOFAcct[[#This Row],[Plan]]&lt;&gt;0,DB_ThemeSOFAcct[[#This Row],[Actuals]]/DB_ThemeSOFAcct[[#This Row],[Plan]],1.000011000011)</f>
        <v>0</v>
      </c>
      <c r="AG886" s="34">
        <f>SUM(DB_ThemeSOFAcct[[#This Row],[Plan01]:[Plan12]])/valUnits2</f>
        <v>0.60939699999999997</v>
      </c>
      <c r="AH886" s="34">
        <f>SUMPRODUCT(DB_ThemeSOFAcct[[#This Row],[Act01]:[Act12]],$Q$3:$AB$3)/valUnits2</f>
        <v>0</v>
      </c>
    </row>
    <row r="887" spans="2:34" x14ac:dyDescent="0.2">
      <c r="B887" t="s">
        <v>346</v>
      </c>
      <c r="C887" t="s">
        <v>928</v>
      </c>
      <c r="D887" t="s">
        <v>141</v>
      </c>
      <c r="E887">
        <v>2155.8450000000003</v>
      </c>
      <c r="F887">
        <v>213.065</v>
      </c>
      <c r="G887">
        <v>1293.325</v>
      </c>
      <c r="H887">
        <v>11827.697000000002</v>
      </c>
      <c r="I887">
        <v>291.50700000000001</v>
      </c>
      <c r="J887">
        <v>0</v>
      </c>
      <c r="Q887">
        <v>2132.5300000000002</v>
      </c>
      <c r="R887">
        <v>218.4</v>
      </c>
      <c r="S887">
        <v>1315.8299999999997</v>
      </c>
      <c r="T887">
        <v>11769.23</v>
      </c>
      <c r="U887">
        <v>291.01000000000005</v>
      </c>
      <c r="V887">
        <v>-13594.47</v>
      </c>
      <c r="AC887">
        <f>SUMPRODUCT(DB_ThemeSOFAcct[[#This Row],[Plan01]:[Plan12]],$E$14:$P$14)/valUnits2</f>
        <v>15.781439000000002</v>
      </c>
      <c r="AD887">
        <f>SUMPRODUCT(DB_ThemeSOFAcct[[#This Row],[Act01]:[Act12]],$Q$14:$AB$14)/valUnits2</f>
        <v>2.1325300000000005</v>
      </c>
      <c r="AE887">
        <f>DB_ThemeSOFAcct[[#This Row],[Actuals]]-DB_ThemeSOFAcct[[#This Row],[Plan]]</f>
        <v>-13.648909000000002</v>
      </c>
      <c r="AF887">
        <f>IF(DB_ThemeSOFAcct[[#This Row],[Plan]]&lt;&gt;0,DB_ThemeSOFAcct[[#This Row],[Actuals]]/DB_ThemeSOFAcct[[#This Row],[Plan]],1.000011000011)</f>
        <v>0.13512899552442589</v>
      </c>
      <c r="AG887" s="34">
        <f>SUM(DB_ThemeSOFAcct[[#This Row],[Plan01]:[Plan12]])/valUnits2</f>
        <v>15.781439000000002</v>
      </c>
      <c r="AH887" s="34">
        <f>SUMPRODUCT(DB_ThemeSOFAcct[[#This Row],[Act01]:[Act12]],$Q$3:$AB$3)/valUnits2</f>
        <v>2.1325300000000005</v>
      </c>
    </row>
    <row r="888" spans="2:34" x14ac:dyDescent="0.2">
      <c r="B888" t="s">
        <v>347</v>
      </c>
      <c r="C888" t="s">
        <v>856</v>
      </c>
      <c r="D888" t="s">
        <v>143</v>
      </c>
      <c r="E888">
        <v>3490.8150000000001</v>
      </c>
      <c r="F888">
        <v>4127.9110000000001</v>
      </c>
      <c r="G888">
        <v>3782.5720000000001</v>
      </c>
      <c r="H888">
        <v>8741.5110000000004</v>
      </c>
      <c r="I888">
        <v>19578.954000000002</v>
      </c>
      <c r="J888">
        <v>1330.0070000000001</v>
      </c>
      <c r="K888">
        <v>1330.0070000000001</v>
      </c>
      <c r="L888">
        <v>1330.0070000000001</v>
      </c>
      <c r="M888">
        <v>1330.0070000000001</v>
      </c>
      <c r="N888">
        <v>1330.0070000000001</v>
      </c>
      <c r="O888">
        <v>1330.0070000000001</v>
      </c>
      <c r="P888">
        <v>1330.0070000000001</v>
      </c>
      <c r="Q888">
        <v>3273.4999999999995</v>
      </c>
      <c r="R888">
        <v>3981.99</v>
      </c>
      <c r="S888">
        <v>3704.3199999999997</v>
      </c>
      <c r="T888">
        <v>7521.99</v>
      </c>
      <c r="U888">
        <v>17569.859999999997</v>
      </c>
      <c r="V888">
        <v>5545.8799999999992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f>SUMPRODUCT(DB_ThemeSOFAcct[[#This Row],[Plan01]:[Plan12]],$E$14:$P$14)/valUnits2</f>
        <v>41.051770000000005</v>
      </c>
      <c r="AD888">
        <f>SUMPRODUCT(DB_ThemeSOFAcct[[#This Row],[Act01]:[Act12]],$Q$14:$AB$14)/valUnits2</f>
        <v>41.597539999999995</v>
      </c>
      <c r="AE888">
        <f>DB_ThemeSOFAcct[[#This Row],[Actuals]]-DB_ThemeSOFAcct[[#This Row],[Plan]]</f>
        <v>0.54576999999999032</v>
      </c>
      <c r="AF888">
        <f>IF(DB_ThemeSOFAcct[[#This Row],[Plan]]&lt;&gt;0,DB_ThemeSOFAcct[[#This Row],[Actuals]]/DB_ThemeSOFAcct[[#This Row],[Plan]],1.000011000011)</f>
        <v>1.0132946764536581</v>
      </c>
      <c r="AG888" s="34">
        <f>SUM(DB_ThemeSOFAcct[[#This Row],[Plan01]:[Plan12]])/valUnits2</f>
        <v>49.031811999999988</v>
      </c>
      <c r="AH888" s="34">
        <f>SUMPRODUCT(DB_ThemeSOFAcct[[#This Row],[Act01]:[Act12]],$Q$3:$AB$3)/valUnits2</f>
        <v>41.597539999999995</v>
      </c>
    </row>
    <row r="889" spans="2:34" x14ac:dyDescent="0.2">
      <c r="B889" t="s">
        <v>347</v>
      </c>
      <c r="C889" t="s">
        <v>856</v>
      </c>
      <c r="D889" t="s">
        <v>235</v>
      </c>
      <c r="E889">
        <v>416.99099999999999</v>
      </c>
      <c r="F889">
        <v>912.67</v>
      </c>
      <c r="G889">
        <v>3116.3290000000002</v>
      </c>
      <c r="H889">
        <v>2768.7299999999996</v>
      </c>
      <c r="I889">
        <v>2326.04</v>
      </c>
      <c r="J889">
        <v>443.33600000000001</v>
      </c>
      <c r="K889">
        <v>443.33600000000001</v>
      </c>
      <c r="L889">
        <v>443.33600000000001</v>
      </c>
      <c r="M889">
        <v>443.33600000000001</v>
      </c>
      <c r="N889">
        <v>443.33600000000001</v>
      </c>
      <c r="O889">
        <v>443.33600000000001</v>
      </c>
      <c r="P889">
        <v>443.33600000000001</v>
      </c>
      <c r="Q889">
        <v>420.24</v>
      </c>
      <c r="R889">
        <v>916.51</v>
      </c>
      <c r="S889">
        <v>3063.02</v>
      </c>
      <c r="T889">
        <v>2342.5300000000002</v>
      </c>
      <c r="U889">
        <v>2024.21</v>
      </c>
      <c r="V889">
        <v>3884.3700000000003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f>SUMPRODUCT(DB_ThemeSOFAcct[[#This Row],[Plan01]:[Plan12]],$E$14:$P$14)/valUnits2</f>
        <v>9.9840959999999974</v>
      </c>
      <c r="AD889">
        <f>SUMPRODUCT(DB_ThemeSOFAcct[[#This Row],[Act01]:[Act12]],$Q$14:$AB$14)/valUnits2</f>
        <v>12.650880000000003</v>
      </c>
      <c r="AE889">
        <f>DB_ThemeSOFAcct[[#This Row],[Actuals]]-DB_ThemeSOFAcct[[#This Row],[Plan]]</f>
        <v>2.6667840000000052</v>
      </c>
      <c r="AF889">
        <f>IF(DB_ThemeSOFAcct[[#This Row],[Plan]]&lt;&gt;0,DB_ThemeSOFAcct[[#This Row],[Actuals]]/DB_ThemeSOFAcct[[#This Row],[Plan]],1.000011000011)</f>
        <v>1.2671032009307608</v>
      </c>
      <c r="AG889" s="34">
        <f>SUM(DB_ThemeSOFAcct[[#This Row],[Plan01]:[Plan12]])/valUnits2</f>
        <v>12.644111999999994</v>
      </c>
      <c r="AH889" s="34">
        <f>SUMPRODUCT(DB_ThemeSOFAcct[[#This Row],[Act01]:[Act12]],$Q$3:$AB$3)/valUnits2</f>
        <v>12.650880000000003</v>
      </c>
    </row>
    <row r="890" spans="2:34" x14ac:dyDescent="0.2">
      <c r="B890" t="s">
        <v>347</v>
      </c>
      <c r="C890" t="s">
        <v>856</v>
      </c>
      <c r="D890" t="s">
        <v>142</v>
      </c>
      <c r="E890">
        <v>0</v>
      </c>
      <c r="F890">
        <v>-1.8303580873180181E-11</v>
      </c>
      <c r="G890">
        <v>1.0000000002037268E-3</v>
      </c>
      <c r="H890">
        <v>1614739.128</v>
      </c>
      <c r="I890">
        <v>0</v>
      </c>
      <c r="J890">
        <v>0</v>
      </c>
      <c r="K890">
        <v>1393382.9580000003</v>
      </c>
      <c r="L890">
        <v>0</v>
      </c>
      <c r="M890">
        <v>0</v>
      </c>
      <c r="N890">
        <v>1237808.2860000001</v>
      </c>
      <c r="O890">
        <v>0</v>
      </c>
      <c r="P890">
        <v>1353507.838</v>
      </c>
      <c r="Q890">
        <v>0</v>
      </c>
      <c r="R890">
        <v>4.9999999989523758E-2</v>
      </c>
      <c r="S890">
        <v>-1.0000000000111697E-2</v>
      </c>
      <c r="T890">
        <v>0</v>
      </c>
      <c r="U890">
        <v>0</v>
      </c>
      <c r="V890">
        <v>2374077.3600000003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f>SUMPRODUCT(DB_ThemeSOFAcct[[#This Row],[Plan01]:[Plan12]],$E$14:$P$14)/valUnits2</f>
        <v>1614.739129</v>
      </c>
      <c r="AD890">
        <f>SUMPRODUCT(DB_ThemeSOFAcct[[#This Row],[Act01]:[Act12]],$Q$14:$AB$14)/valUnits2</f>
        <v>2374.0774000000006</v>
      </c>
      <c r="AE890">
        <f>DB_ThemeSOFAcct[[#This Row],[Actuals]]-DB_ThemeSOFAcct[[#This Row],[Plan]]</f>
        <v>759.33827100000053</v>
      </c>
      <c r="AF890">
        <f>IF(DB_ThemeSOFAcct[[#This Row],[Plan]]&lt;&gt;0,DB_ThemeSOFAcct[[#This Row],[Actuals]]/DB_ThemeSOFAcct[[#This Row],[Plan]],1.000011000011)</f>
        <v>1.4702544561921003</v>
      </c>
      <c r="AG890" s="34">
        <f>SUM(DB_ThemeSOFAcct[[#This Row],[Plan01]:[Plan12]])/valUnits2</f>
        <v>5599.4382110000015</v>
      </c>
      <c r="AH890" s="34">
        <f>SUMPRODUCT(DB_ThemeSOFAcct[[#This Row],[Act01]:[Act12]],$Q$3:$AB$3)/valUnits2</f>
        <v>2374.0774000000006</v>
      </c>
    </row>
    <row r="891" spans="2:34" x14ac:dyDescent="0.2">
      <c r="B891" t="s">
        <v>347</v>
      </c>
      <c r="C891" t="s">
        <v>856</v>
      </c>
      <c r="D891" t="s">
        <v>140</v>
      </c>
      <c r="E891">
        <v>90443.578999999998</v>
      </c>
      <c r="F891">
        <v>86192.163</v>
      </c>
      <c r="G891">
        <v>95400.459000000003</v>
      </c>
      <c r="H891">
        <v>115177.57800000001</v>
      </c>
      <c r="I891">
        <v>118476.43100000001</v>
      </c>
      <c r="J891">
        <v>36933.646000000001</v>
      </c>
      <c r="K891">
        <v>64817.05999999999</v>
      </c>
      <c r="L891">
        <v>64817.05999999999</v>
      </c>
      <c r="M891">
        <v>64817.05999999999</v>
      </c>
      <c r="N891">
        <v>64817.05999999999</v>
      </c>
      <c r="O891">
        <v>64817.05999999999</v>
      </c>
      <c r="P891">
        <v>64817.05999999999</v>
      </c>
      <c r="Q891">
        <v>50620.36</v>
      </c>
      <c r="R891">
        <v>47254.020000000004</v>
      </c>
      <c r="S891">
        <v>56187.780000000006</v>
      </c>
      <c r="T891">
        <v>75957.779999999984</v>
      </c>
      <c r="U891">
        <v>79322.14</v>
      </c>
      <c r="V891">
        <v>81942.97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f>SUMPRODUCT(DB_ThemeSOFAcct[[#This Row],[Plan01]:[Plan12]],$E$14:$P$14)/valUnits2</f>
        <v>542.62385599999993</v>
      </c>
      <c r="AD891">
        <f>SUMPRODUCT(DB_ThemeSOFAcct[[#This Row],[Act01]:[Act12]],$Q$14:$AB$14)/valUnits2</f>
        <v>391.28505000000007</v>
      </c>
      <c r="AE891">
        <f>DB_ThemeSOFAcct[[#This Row],[Actuals]]-DB_ThemeSOFAcct[[#This Row],[Plan]]</f>
        <v>-151.33880599999986</v>
      </c>
      <c r="AF891">
        <f>IF(DB_ThemeSOFAcct[[#This Row],[Plan]]&lt;&gt;0,DB_ThemeSOFAcct[[#This Row],[Actuals]]/DB_ThemeSOFAcct[[#This Row],[Plan]],1.000011000011)</f>
        <v>0.72109813395303457</v>
      </c>
      <c r="AG891" s="34">
        <f>SUM(DB_ThemeSOFAcct[[#This Row],[Plan01]:[Plan12]])/valUnits2</f>
        <v>931.52621599999952</v>
      </c>
      <c r="AH891" s="34">
        <f>SUMPRODUCT(DB_ThemeSOFAcct[[#This Row],[Act01]:[Act12]],$Q$3:$AB$3)/valUnits2</f>
        <v>391.28505000000007</v>
      </c>
    </row>
    <row r="892" spans="2:34" x14ac:dyDescent="0.2">
      <c r="B892" t="s">
        <v>347</v>
      </c>
      <c r="C892" t="s">
        <v>856</v>
      </c>
      <c r="D892" t="s">
        <v>236</v>
      </c>
      <c r="E892">
        <v>67761.938999999984</v>
      </c>
      <c r="F892">
        <v>30638.079000000005</v>
      </c>
      <c r="G892">
        <v>114443.337</v>
      </c>
      <c r="H892">
        <v>36409.597000000009</v>
      </c>
      <c r="I892">
        <v>89305.408999999985</v>
      </c>
      <c r="J892">
        <v>33502.44</v>
      </c>
      <c r="K892">
        <v>33502.439999999995</v>
      </c>
      <c r="L892">
        <v>33502.44</v>
      </c>
      <c r="M892">
        <v>33502.44</v>
      </c>
      <c r="N892">
        <v>33502.44</v>
      </c>
      <c r="O892">
        <v>33502.44</v>
      </c>
      <c r="P892">
        <v>33502.44</v>
      </c>
      <c r="Q892">
        <v>37083.889999999992</v>
      </c>
      <c r="R892">
        <v>-35.470000000000027</v>
      </c>
      <c r="S892">
        <v>81858.430000000008</v>
      </c>
      <c r="T892">
        <v>2818.85</v>
      </c>
      <c r="U892">
        <v>54333.729999999996</v>
      </c>
      <c r="V892">
        <v>18427.32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f>SUMPRODUCT(DB_ThemeSOFAcct[[#This Row],[Plan01]:[Plan12]],$E$14:$P$14)/valUnits2</f>
        <v>372.06080099999997</v>
      </c>
      <c r="AD892">
        <f>SUMPRODUCT(DB_ThemeSOFAcct[[#This Row],[Act01]:[Act12]],$Q$14:$AB$14)/valUnits2</f>
        <v>194.48675</v>
      </c>
      <c r="AE892">
        <f>DB_ThemeSOFAcct[[#This Row],[Actuals]]-DB_ThemeSOFAcct[[#This Row],[Plan]]</f>
        <v>-177.57405099999997</v>
      </c>
      <c r="AF892">
        <f>IF(DB_ThemeSOFAcct[[#This Row],[Plan]]&lt;&gt;0,DB_ThemeSOFAcct[[#This Row],[Actuals]]/DB_ThemeSOFAcct[[#This Row],[Plan]],1.000011000011)</f>
        <v>0.52272840750025695</v>
      </c>
      <c r="AG892" s="34">
        <f>SUM(DB_ThemeSOFAcct[[#This Row],[Plan01]:[Plan12]])/valUnits2</f>
        <v>573.07544099999984</v>
      </c>
      <c r="AH892" s="34">
        <f>SUMPRODUCT(DB_ThemeSOFAcct[[#This Row],[Act01]:[Act12]],$Q$3:$AB$3)/valUnits2</f>
        <v>194.48675</v>
      </c>
    </row>
    <row r="893" spans="2:34" x14ac:dyDescent="0.2">
      <c r="B893" t="s">
        <v>347</v>
      </c>
      <c r="C893" t="s">
        <v>856</v>
      </c>
      <c r="D893" t="s">
        <v>237</v>
      </c>
      <c r="E893">
        <v>6582.12</v>
      </c>
      <c r="F893">
        <v>3052.9490000000005</v>
      </c>
      <c r="G893">
        <v>4783.0349999999999</v>
      </c>
      <c r="H893">
        <v>1208.336</v>
      </c>
      <c r="I893">
        <v>548.19100000000003</v>
      </c>
      <c r="J893">
        <v>0</v>
      </c>
      <c r="Q893">
        <v>6223.3200000000006</v>
      </c>
      <c r="R893">
        <v>2925.2699999999995</v>
      </c>
      <c r="S893">
        <v>4595.71</v>
      </c>
      <c r="T893">
        <v>1172.24</v>
      </c>
      <c r="U893">
        <v>533.73</v>
      </c>
      <c r="V893">
        <v>966.69</v>
      </c>
      <c r="AC893">
        <f>SUMPRODUCT(DB_ThemeSOFAcct[[#This Row],[Plan01]:[Plan12]],$E$14:$P$14)/valUnits2</f>
        <v>16.174630999999998</v>
      </c>
      <c r="AD893">
        <f>SUMPRODUCT(DB_ThemeSOFAcct[[#This Row],[Act01]:[Act12]],$Q$14:$AB$14)/valUnits2</f>
        <v>16.41696</v>
      </c>
      <c r="AE893">
        <f>DB_ThemeSOFAcct[[#This Row],[Actuals]]-DB_ThemeSOFAcct[[#This Row],[Plan]]</f>
        <v>0.24232900000000157</v>
      </c>
      <c r="AF893">
        <f>IF(DB_ThemeSOFAcct[[#This Row],[Plan]]&lt;&gt;0,DB_ThemeSOFAcct[[#This Row],[Actuals]]/DB_ThemeSOFAcct[[#This Row],[Plan]],1.000011000011)</f>
        <v>1.0149820419396276</v>
      </c>
      <c r="AG893" s="34">
        <f>SUM(DB_ThemeSOFAcct[[#This Row],[Plan01]:[Plan12]])/valUnits2</f>
        <v>16.174630999999998</v>
      </c>
      <c r="AH893" s="34">
        <f>SUMPRODUCT(DB_ThemeSOFAcct[[#This Row],[Act01]:[Act12]],$Q$3:$AB$3)/valUnits2</f>
        <v>16.41696</v>
      </c>
    </row>
    <row r="894" spans="2:34" x14ac:dyDescent="0.2">
      <c r="B894" t="s">
        <v>347</v>
      </c>
      <c r="C894" t="s">
        <v>856</v>
      </c>
      <c r="D894" t="s">
        <v>141</v>
      </c>
      <c r="E894">
        <v>18826.212</v>
      </c>
      <c r="F894">
        <v>15367.550999999999</v>
      </c>
      <c r="G894">
        <v>15216.75</v>
      </c>
      <c r="H894">
        <v>41224.353999999992</v>
      </c>
      <c r="I894">
        <v>44933.205999999984</v>
      </c>
      <c r="J894">
        <v>36001.640999999996</v>
      </c>
      <c r="K894">
        <v>36001.640999999996</v>
      </c>
      <c r="L894">
        <v>36001.640999999996</v>
      </c>
      <c r="M894">
        <v>36001.640999999996</v>
      </c>
      <c r="N894">
        <v>36001.640999999996</v>
      </c>
      <c r="O894">
        <v>36001.640999999996</v>
      </c>
      <c r="P894">
        <v>36001.640999999996</v>
      </c>
      <c r="Q894">
        <v>5310.17</v>
      </c>
      <c r="R894">
        <v>2063.9299999999998</v>
      </c>
      <c r="S894">
        <v>1928.8100000000002</v>
      </c>
      <c r="T894">
        <v>5083.4900000000016</v>
      </c>
      <c r="U894">
        <v>8660.73</v>
      </c>
      <c r="V894">
        <v>4310.92</v>
      </c>
      <c r="W894">
        <v>5924.21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f>SUMPRODUCT(DB_ThemeSOFAcct[[#This Row],[Plan01]:[Plan12]],$E$14:$P$14)/valUnits2</f>
        <v>171.56971399999998</v>
      </c>
      <c r="AD894">
        <f>SUMPRODUCT(DB_ThemeSOFAcct[[#This Row],[Act01]:[Act12]],$Q$14:$AB$14)/valUnits2</f>
        <v>27.358050000000002</v>
      </c>
      <c r="AE894">
        <f>DB_ThemeSOFAcct[[#This Row],[Actuals]]-DB_ThemeSOFAcct[[#This Row],[Plan]]</f>
        <v>-144.21166399999998</v>
      </c>
      <c r="AF894">
        <f>IF(DB_ThemeSOFAcct[[#This Row],[Plan]]&lt;&gt;0,DB_ThemeSOFAcct[[#This Row],[Actuals]]/DB_ThemeSOFAcct[[#This Row],[Plan]],1.000011000011)</f>
        <v>0.15945733872354653</v>
      </c>
      <c r="AG894" s="34">
        <f>SUM(DB_ThemeSOFAcct[[#This Row],[Plan01]:[Plan12]])/valUnits2</f>
        <v>387.57956000000001</v>
      </c>
      <c r="AH894" s="34">
        <f>SUMPRODUCT(DB_ThemeSOFAcct[[#This Row],[Act01]:[Act12]],$Q$3:$AB$3)/valUnits2</f>
        <v>27.358050000000002</v>
      </c>
    </row>
    <row r="895" spans="2:34" x14ac:dyDescent="0.2">
      <c r="B895" t="s">
        <v>347</v>
      </c>
      <c r="C895" t="s">
        <v>902</v>
      </c>
      <c r="D895" t="s">
        <v>144</v>
      </c>
      <c r="F895">
        <v>0</v>
      </c>
      <c r="H895">
        <v>0</v>
      </c>
      <c r="J895">
        <v>409.24</v>
      </c>
      <c r="M895">
        <v>409.24</v>
      </c>
      <c r="P895">
        <v>409.24</v>
      </c>
      <c r="R895">
        <v>1657.84</v>
      </c>
      <c r="T895">
        <v>0</v>
      </c>
      <c r="V895">
        <v>0</v>
      </c>
      <c r="Y895">
        <v>0</v>
      </c>
      <c r="AB895">
        <v>0</v>
      </c>
      <c r="AC895">
        <f>SUMPRODUCT(DB_ThemeSOFAcct[[#This Row],[Plan01]:[Plan12]],$E$14:$P$14)/valUnits2</f>
        <v>0.40923999999999999</v>
      </c>
      <c r="AD895">
        <f>SUMPRODUCT(DB_ThemeSOFAcct[[#This Row],[Act01]:[Act12]],$Q$14:$AB$14)/valUnits2</f>
        <v>1.65784</v>
      </c>
      <c r="AE895">
        <f>DB_ThemeSOFAcct[[#This Row],[Actuals]]-DB_ThemeSOFAcct[[#This Row],[Plan]]</f>
        <v>1.2485999999999999</v>
      </c>
      <c r="AF895">
        <f>IF(DB_ThemeSOFAcct[[#This Row],[Plan]]&lt;&gt;0,DB_ThemeSOFAcct[[#This Row],[Actuals]]/DB_ThemeSOFAcct[[#This Row],[Plan]],1.000011000011)</f>
        <v>4.0510214055322065</v>
      </c>
      <c r="AG895" s="34">
        <f>SUM(DB_ThemeSOFAcct[[#This Row],[Plan01]:[Plan12]])/valUnits2</f>
        <v>1.2277199999999999</v>
      </c>
      <c r="AH895" s="34">
        <f>SUMPRODUCT(DB_ThemeSOFAcct[[#This Row],[Act01]:[Act12]],$Q$3:$AB$3)/valUnits2</f>
        <v>1.65784</v>
      </c>
    </row>
    <row r="896" spans="2:34" x14ac:dyDescent="0.2">
      <c r="B896" t="s">
        <v>347</v>
      </c>
      <c r="C896" t="s">
        <v>902</v>
      </c>
      <c r="D896" t="s">
        <v>236</v>
      </c>
      <c r="F896">
        <v>1657.84</v>
      </c>
      <c r="R896">
        <v>0</v>
      </c>
      <c r="AC896">
        <f>SUMPRODUCT(DB_ThemeSOFAcct[[#This Row],[Plan01]:[Plan12]],$E$14:$P$14)/valUnits2</f>
        <v>1.65784</v>
      </c>
      <c r="AD896">
        <f>SUMPRODUCT(DB_ThemeSOFAcct[[#This Row],[Act01]:[Act12]],$Q$14:$AB$14)/valUnits2</f>
        <v>0</v>
      </c>
      <c r="AE896">
        <f>DB_ThemeSOFAcct[[#This Row],[Actuals]]-DB_ThemeSOFAcct[[#This Row],[Plan]]</f>
        <v>-1.65784</v>
      </c>
      <c r="AF896">
        <f>IF(DB_ThemeSOFAcct[[#This Row],[Plan]]&lt;&gt;0,DB_ThemeSOFAcct[[#This Row],[Actuals]]/DB_ThemeSOFAcct[[#This Row],[Plan]],1.000011000011)</f>
        <v>0</v>
      </c>
      <c r="AG896" s="34">
        <f>SUM(DB_ThemeSOFAcct[[#This Row],[Plan01]:[Plan12]])/valUnits2</f>
        <v>1.65784</v>
      </c>
      <c r="AH896" s="34">
        <f>SUMPRODUCT(DB_ThemeSOFAcct[[#This Row],[Act01]:[Act12]],$Q$3:$AB$3)/valUnits2</f>
        <v>0</v>
      </c>
    </row>
    <row r="897" spans="2:34" x14ac:dyDescent="0.2">
      <c r="B897" t="s">
        <v>348</v>
      </c>
      <c r="C897" t="s">
        <v>842</v>
      </c>
      <c r="D897" t="s">
        <v>143</v>
      </c>
      <c r="H897">
        <v>0</v>
      </c>
      <c r="I897">
        <v>310.529</v>
      </c>
      <c r="J897">
        <v>274.82900000000001</v>
      </c>
      <c r="K897">
        <v>2284.7629999999999</v>
      </c>
      <c r="L897">
        <v>274.82900000000001</v>
      </c>
      <c r="M897">
        <v>274.82900000000001</v>
      </c>
      <c r="N897">
        <v>274.82900000000001</v>
      </c>
      <c r="O897">
        <v>274.82900000000001</v>
      </c>
      <c r="P897">
        <v>274.82900000000001</v>
      </c>
      <c r="T897">
        <v>0</v>
      </c>
      <c r="U897">
        <v>310.14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f>SUMPRODUCT(DB_ThemeSOFAcct[[#This Row],[Plan01]:[Plan12]],$E$14:$P$14)/valUnits2</f>
        <v>0.58535799999999993</v>
      </c>
      <c r="AD897">
        <f>SUMPRODUCT(DB_ThemeSOFAcct[[#This Row],[Act01]:[Act12]],$Q$14:$AB$14)/valUnits2</f>
        <v>0.31013999999999997</v>
      </c>
      <c r="AE897">
        <f>DB_ThemeSOFAcct[[#This Row],[Actuals]]-DB_ThemeSOFAcct[[#This Row],[Plan]]</f>
        <v>-0.27521799999999996</v>
      </c>
      <c r="AF897">
        <f>IF(DB_ThemeSOFAcct[[#This Row],[Plan]]&lt;&gt;0,DB_ThemeSOFAcct[[#This Row],[Actuals]]/DB_ThemeSOFAcct[[#This Row],[Plan]],1.000011000011)</f>
        <v>0.52982960854724803</v>
      </c>
      <c r="AG897" s="34">
        <f>SUM(DB_ThemeSOFAcct[[#This Row],[Plan01]:[Plan12]])/valUnits2</f>
        <v>4.2442660000000005</v>
      </c>
      <c r="AH897" s="34">
        <f>SUMPRODUCT(DB_ThemeSOFAcct[[#This Row],[Act01]:[Act12]],$Q$3:$AB$3)/valUnits2</f>
        <v>0.31013999999999997</v>
      </c>
    </row>
    <row r="898" spans="2:34" x14ac:dyDescent="0.2">
      <c r="B898" t="s">
        <v>348</v>
      </c>
      <c r="C898" t="s">
        <v>842</v>
      </c>
      <c r="D898" t="s">
        <v>235</v>
      </c>
      <c r="H898">
        <v>0</v>
      </c>
      <c r="I898">
        <v>270.048</v>
      </c>
      <c r="J898">
        <v>343.52100000000002</v>
      </c>
      <c r="K898">
        <v>343.52100000000002</v>
      </c>
      <c r="L898">
        <v>343.52100000000002</v>
      </c>
      <c r="M898">
        <v>343.52100000000002</v>
      </c>
      <c r="N898">
        <v>343.52100000000002</v>
      </c>
      <c r="O898">
        <v>343.52100000000002</v>
      </c>
      <c r="P898">
        <v>343.52100000000002</v>
      </c>
      <c r="T898">
        <v>0</v>
      </c>
      <c r="U898">
        <v>269.64999999999998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f>SUMPRODUCT(DB_ThemeSOFAcct[[#This Row],[Plan01]:[Plan12]],$E$14:$P$14)/valUnits2</f>
        <v>0.61356899999999992</v>
      </c>
      <c r="AD898">
        <f>SUMPRODUCT(DB_ThemeSOFAcct[[#This Row],[Act01]:[Act12]],$Q$14:$AB$14)/valUnits2</f>
        <v>0.26965</v>
      </c>
      <c r="AE898">
        <f>DB_ThemeSOFAcct[[#This Row],[Actuals]]-DB_ThemeSOFAcct[[#This Row],[Plan]]</f>
        <v>-0.34391899999999992</v>
      </c>
      <c r="AF898">
        <f>IF(DB_ThemeSOFAcct[[#This Row],[Plan]]&lt;&gt;0,DB_ThemeSOFAcct[[#This Row],[Actuals]]/DB_ThemeSOFAcct[[#This Row],[Plan]],1.000011000011)</f>
        <v>0.43947787453407855</v>
      </c>
      <c r="AG898" s="34">
        <f>SUM(DB_ThemeSOFAcct[[#This Row],[Plan01]:[Plan12]])/valUnits2</f>
        <v>2.6746950000000003</v>
      </c>
      <c r="AH898" s="34">
        <f>SUMPRODUCT(DB_ThemeSOFAcct[[#This Row],[Act01]:[Act12]],$Q$3:$AB$3)/valUnits2</f>
        <v>0.26965</v>
      </c>
    </row>
    <row r="899" spans="2:34" x14ac:dyDescent="0.2">
      <c r="B899" t="s">
        <v>348</v>
      </c>
      <c r="C899" t="s">
        <v>842</v>
      </c>
      <c r="D899" t="s">
        <v>142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4636.1759999999995</v>
      </c>
      <c r="K899">
        <v>23805.546000000002</v>
      </c>
      <c r="L899">
        <v>4636.1760000000004</v>
      </c>
      <c r="M899">
        <v>4636.1760000000004</v>
      </c>
      <c r="N899">
        <v>4636.1760000000004</v>
      </c>
      <c r="O899">
        <v>4636.1759999999995</v>
      </c>
      <c r="P899">
        <v>4636.1759999999995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f>SUMPRODUCT(DB_ThemeSOFAcct[[#This Row],[Plan01]:[Plan12]],$E$14:$P$14)/valUnits2</f>
        <v>4.6361759999999999</v>
      </c>
      <c r="AD899">
        <f>SUMPRODUCT(DB_ThemeSOFAcct[[#This Row],[Act01]:[Act12]],$Q$14:$AB$14)/valUnits2</f>
        <v>0</v>
      </c>
      <c r="AE899">
        <f>DB_ThemeSOFAcct[[#This Row],[Actuals]]-DB_ThemeSOFAcct[[#This Row],[Plan]]</f>
        <v>-4.6361759999999999</v>
      </c>
      <c r="AF899">
        <f>IF(DB_ThemeSOFAcct[[#This Row],[Plan]]&lt;&gt;0,DB_ThemeSOFAcct[[#This Row],[Actuals]]/DB_ThemeSOFAcct[[#This Row],[Plan]],1.000011000011)</f>
        <v>0</v>
      </c>
      <c r="AG899" s="34">
        <f>SUM(DB_ThemeSOFAcct[[#This Row],[Plan01]:[Plan12]])/valUnits2</f>
        <v>51.622602000000001</v>
      </c>
      <c r="AH899" s="34">
        <f>SUMPRODUCT(DB_ThemeSOFAcct[[#This Row],[Act01]:[Act12]],$Q$3:$AB$3)/valUnits2</f>
        <v>0</v>
      </c>
    </row>
    <row r="900" spans="2:34" x14ac:dyDescent="0.2">
      <c r="B900" t="s">
        <v>348</v>
      </c>
      <c r="C900" t="s">
        <v>842</v>
      </c>
      <c r="D900" t="s">
        <v>140</v>
      </c>
      <c r="E900">
        <v>0</v>
      </c>
      <c r="F900">
        <v>0</v>
      </c>
      <c r="G900">
        <v>0</v>
      </c>
      <c r="H900">
        <v>0</v>
      </c>
      <c r="I900">
        <v>21603.219000000001</v>
      </c>
      <c r="J900">
        <v>6817.6779999999999</v>
      </c>
      <c r="K900">
        <v>6817.6779999999999</v>
      </c>
      <c r="L900">
        <v>6817.6780000000008</v>
      </c>
      <c r="M900">
        <v>6817.6779999999999</v>
      </c>
      <c r="N900">
        <v>6817.6779999999999</v>
      </c>
      <c r="O900">
        <v>6817.6779999999999</v>
      </c>
      <c r="P900">
        <v>6817.6779999999999</v>
      </c>
      <c r="Q900">
        <v>0</v>
      </c>
      <c r="R900">
        <v>0</v>
      </c>
      <c r="S900">
        <v>0</v>
      </c>
      <c r="T900">
        <v>0</v>
      </c>
      <c r="U900">
        <v>21475.22</v>
      </c>
      <c r="V900">
        <v>11742.7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f>SUMPRODUCT(DB_ThemeSOFAcct[[#This Row],[Plan01]:[Plan12]],$E$14:$P$14)/valUnits2</f>
        <v>28.420897</v>
      </c>
      <c r="AD900">
        <f>SUMPRODUCT(DB_ThemeSOFAcct[[#This Row],[Act01]:[Act12]],$Q$14:$AB$14)/valUnits2</f>
        <v>33.217919999999999</v>
      </c>
      <c r="AE900">
        <f>DB_ThemeSOFAcct[[#This Row],[Actuals]]-DB_ThemeSOFAcct[[#This Row],[Plan]]</f>
        <v>4.7970229999999994</v>
      </c>
      <c r="AF900">
        <f>IF(DB_ThemeSOFAcct[[#This Row],[Plan]]&lt;&gt;0,DB_ThemeSOFAcct[[#This Row],[Actuals]]/DB_ThemeSOFAcct[[#This Row],[Plan]],1.000011000011)</f>
        <v>1.168785066847116</v>
      </c>
      <c r="AG900" s="34">
        <f>SUM(DB_ThemeSOFAcct[[#This Row],[Plan01]:[Plan12]])/valUnits2</f>
        <v>69.326965000000001</v>
      </c>
      <c r="AH900" s="34">
        <f>SUMPRODUCT(DB_ThemeSOFAcct[[#This Row],[Act01]:[Act12]],$Q$3:$AB$3)/valUnits2</f>
        <v>33.217919999999999</v>
      </c>
    </row>
    <row r="901" spans="2:34" x14ac:dyDescent="0.2">
      <c r="B901" t="s">
        <v>348</v>
      </c>
      <c r="C901" t="s">
        <v>842</v>
      </c>
      <c r="D901" t="s">
        <v>236</v>
      </c>
      <c r="P901">
        <v>25681.763999999999</v>
      </c>
      <c r="AB901">
        <v>0</v>
      </c>
      <c r="AC901">
        <f>SUMPRODUCT(DB_ThemeSOFAcct[[#This Row],[Plan01]:[Plan12]],$E$14:$P$14)/valUnits2</f>
        <v>0</v>
      </c>
      <c r="AD901">
        <f>SUMPRODUCT(DB_ThemeSOFAcct[[#This Row],[Act01]:[Act12]],$Q$14:$AB$14)/valUnits2</f>
        <v>0</v>
      </c>
      <c r="AE901">
        <f>DB_ThemeSOFAcct[[#This Row],[Actuals]]-DB_ThemeSOFAcct[[#This Row],[Plan]]</f>
        <v>0</v>
      </c>
      <c r="AF901">
        <f>IF(DB_ThemeSOFAcct[[#This Row],[Plan]]&lt;&gt;0,DB_ThemeSOFAcct[[#This Row],[Actuals]]/DB_ThemeSOFAcct[[#This Row],[Plan]],1.000011000011)</f>
        <v>1.0000110000110001</v>
      </c>
      <c r="AG901" s="34">
        <f>SUM(DB_ThemeSOFAcct[[#This Row],[Plan01]:[Plan12]])/valUnits2</f>
        <v>25.681763999999998</v>
      </c>
      <c r="AH901" s="34">
        <f>SUMPRODUCT(DB_ThemeSOFAcct[[#This Row],[Act01]:[Act12]],$Q$3:$AB$3)/valUnits2</f>
        <v>0</v>
      </c>
    </row>
    <row r="902" spans="2:34" x14ac:dyDescent="0.2">
      <c r="B902" t="s">
        <v>348</v>
      </c>
      <c r="C902" t="s">
        <v>842</v>
      </c>
      <c r="D902" t="s">
        <v>237</v>
      </c>
      <c r="G902">
        <v>205.351</v>
      </c>
      <c r="H902">
        <v>8.7490000000000006</v>
      </c>
      <c r="I902">
        <v>740.67600000000004</v>
      </c>
      <c r="S902">
        <v>207.21</v>
      </c>
      <c r="T902">
        <v>8.75</v>
      </c>
      <c r="U902">
        <v>740.82999999999993</v>
      </c>
      <c r="AC902">
        <f>SUMPRODUCT(DB_ThemeSOFAcct[[#This Row],[Plan01]:[Plan12]],$E$14:$P$14)/valUnits2</f>
        <v>0.95477600000000007</v>
      </c>
      <c r="AD902">
        <f>SUMPRODUCT(DB_ThemeSOFAcct[[#This Row],[Act01]:[Act12]],$Q$14:$AB$14)/valUnits2</f>
        <v>0.95678999999999992</v>
      </c>
      <c r="AE902">
        <f>DB_ThemeSOFAcct[[#This Row],[Actuals]]-DB_ThemeSOFAcct[[#This Row],[Plan]]</f>
        <v>2.0139999999998492E-3</v>
      </c>
      <c r="AF902">
        <f>IF(DB_ThemeSOFAcct[[#This Row],[Plan]]&lt;&gt;0,DB_ThemeSOFAcct[[#This Row],[Actuals]]/DB_ThemeSOFAcct[[#This Row],[Plan]],1.000011000011)</f>
        <v>1.0021093952927178</v>
      </c>
      <c r="AG902" s="34">
        <f>SUM(DB_ThemeSOFAcct[[#This Row],[Plan01]:[Plan12]])/valUnits2</f>
        <v>0.95477600000000007</v>
      </c>
      <c r="AH902" s="34">
        <f>SUMPRODUCT(DB_ThemeSOFAcct[[#This Row],[Act01]:[Act12]],$Q$3:$AB$3)/valUnits2</f>
        <v>0.95678999999999992</v>
      </c>
    </row>
    <row r="903" spans="2:34" x14ac:dyDescent="0.2">
      <c r="B903" t="s">
        <v>348</v>
      </c>
      <c r="C903" t="s">
        <v>842</v>
      </c>
      <c r="D903" t="s">
        <v>141</v>
      </c>
      <c r="E903">
        <v>0</v>
      </c>
      <c r="F903">
        <v>0</v>
      </c>
      <c r="G903">
        <v>0</v>
      </c>
      <c r="H903">
        <v>7.7460000000000004</v>
      </c>
      <c r="I903">
        <v>18244.355</v>
      </c>
      <c r="J903">
        <v>1902.402</v>
      </c>
      <c r="K903">
        <v>1902.402</v>
      </c>
      <c r="L903">
        <v>1902.402</v>
      </c>
      <c r="M903">
        <v>1902.402</v>
      </c>
      <c r="N903">
        <v>1902.402</v>
      </c>
      <c r="O903">
        <v>1902.402</v>
      </c>
      <c r="P903">
        <v>1902.402</v>
      </c>
      <c r="Q903">
        <v>0</v>
      </c>
      <c r="R903">
        <v>0</v>
      </c>
      <c r="S903">
        <v>0</v>
      </c>
      <c r="T903">
        <v>7.72</v>
      </c>
      <c r="U903">
        <v>18265.099999999999</v>
      </c>
      <c r="V903">
        <v>94.26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f>SUMPRODUCT(DB_ThemeSOFAcct[[#This Row],[Plan01]:[Plan12]],$E$14:$P$14)/valUnits2</f>
        <v>20.154502999999998</v>
      </c>
      <c r="AD903">
        <f>SUMPRODUCT(DB_ThemeSOFAcct[[#This Row],[Act01]:[Act12]],$Q$14:$AB$14)/valUnits2</f>
        <v>18.367079999999998</v>
      </c>
      <c r="AE903">
        <f>DB_ThemeSOFAcct[[#This Row],[Actuals]]-DB_ThemeSOFAcct[[#This Row],[Plan]]</f>
        <v>-1.7874230000000004</v>
      </c>
      <c r="AF903">
        <f>IF(DB_ThemeSOFAcct[[#This Row],[Plan]]&lt;&gt;0,DB_ThemeSOFAcct[[#This Row],[Actuals]]/DB_ThemeSOFAcct[[#This Row],[Plan]],1.000011000011)</f>
        <v>0.9113139629392002</v>
      </c>
      <c r="AG903" s="34">
        <f>SUM(DB_ThemeSOFAcct[[#This Row],[Plan01]:[Plan12]])/valUnits2</f>
        <v>31.568915000000008</v>
      </c>
      <c r="AH903" s="34">
        <f>SUMPRODUCT(DB_ThemeSOFAcct[[#This Row],[Act01]:[Act12]],$Q$3:$AB$3)/valUnits2</f>
        <v>18.367079999999998</v>
      </c>
    </row>
    <row r="904" spans="2:34" x14ac:dyDescent="0.2">
      <c r="B904" t="s">
        <v>348</v>
      </c>
      <c r="C904" t="s">
        <v>845</v>
      </c>
      <c r="D904" t="s">
        <v>140</v>
      </c>
      <c r="I904">
        <v>2299</v>
      </c>
      <c r="J904">
        <v>0</v>
      </c>
      <c r="U904">
        <v>2299</v>
      </c>
      <c r="V904">
        <v>7889.6</v>
      </c>
      <c r="AC904">
        <f>SUMPRODUCT(DB_ThemeSOFAcct[[#This Row],[Plan01]:[Plan12]],$E$14:$P$14)/valUnits2</f>
        <v>2.2989999999999999</v>
      </c>
      <c r="AD904">
        <f>SUMPRODUCT(DB_ThemeSOFAcct[[#This Row],[Act01]:[Act12]],$Q$14:$AB$14)/valUnits2</f>
        <v>10.188600000000001</v>
      </c>
      <c r="AE904">
        <f>DB_ThemeSOFAcct[[#This Row],[Actuals]]-DB_ThemeSOFAcct[[#This Row],[Plan]]</f>
        <v>7.8896000000000015</v>
      </c>
      <c r="AF904">
        <f>IF(DB_ThemeSOFAcct[[#This Row],[Plan]]&lt;&gt;0,DB_ThemeSOFAcct[[#This Row],[Actuals]]/DB_ThemeSOFAcct[[#This Row],[Plan]],1.000011000011)</f>
        <v>4.4317529360591568</v>
      </c>
      <c r="AG904" s="34">
        <f>SUM(DB_ThemeSOFAcct[[#This Row],[Plan01]:[Plan12]])/valUnits2</f>
        <v>2.2989999999999999</v>
      </c>
      <c r="AH904" s="34">
        <f>SUMPRODUCT(DB_ThemeSOFAcct[[#This Row],[Act01]:[Act12]],$Q$3:$AB$3)/valUnits2</f>
        <v>10.188600000000001</v>
      </c>
    </row>
    <row r="905" spans="2:34" x14ac:dyDescent="0.2">
      <c r="B905" t="s">
        <v>348</v>
      </c>
      <c r="C905" t="s">
        <v>845</v>
      </c>
      <c r="D905" t="s">
        <v>141</v>
      </c>
      <c r="I905">
        <v>2503.64</v>
      </c>
      <c r="U905">
        <v>2503.64</v>
      </c>
      <c r="AC905">
        <f>SUMPRODUCT(DB_ThemeSOFAcct[[#This Row],[Plan01]:[Plan12]],$E$14:$P$14)/valUnits2</f>
        <v>2.5036399999999999</v>
      </c>
      <c r="AD905">
        <f>SUMPRODUCT(DB_ThemeSOFAcct[[#This Row],[Act01]:[Act12]],$Q$14:$AB$14)/valUnits2</f>
        <v>2.5036399999999999</v>
      </c>
      <c r="AE905">
        <f>DB_ThemeSOFAcct[[#This Row],[Actuals]]-DB_ThemeSOFAcct[[#This Row],[Plan]]</f>
        <v>0</v>
      </c>
      <c r="AF905">
        <f>IF(DB_ThemeSOFAcct[[#This Row],[Plan]]&lt;&gt;0,DB_ThemeSOFAcct[[#This Row],[Actuals]]/DB_ThemeSOFAcct[[#This Row],[Plan]],1.000011000011)</f>
        <v>1</v>
      </c>
      <c r="AG905" s="34">
        <f>SUM(DB_ThemeSOFAcct[[#This Row],[Plan01]:[Plan12]])/valUnits2</f>
        <v>2.5036399999999999</v>
      </c>
      <c r="AH905" s="34">
        <f>SUMPRODUCT(DB_ThemeSOFAcct[[#This Row],[Act01]:[Act12]],$Q$3:$AB$3)/valUnits2</f>
        <v>2.5036399999999999</v>
      </c>
    </row>
    <row r="906" spans="2:34" x14ac:dyDescent="0.2">
      <c r="B906" t="s">
        <v>348</v>
      </c>
      <c r="C906" t="s">
        <v>858</v>
      </c>
      <c r="D906" t="s">
        <v>235</v>
      </c>
      <c r="F906">
        <v>0</v>
      </c>
      <c r="G906">
        <v>0</v>
      </c>
      <c r="H906">
        <v>0</v>
      </c>
      <c r="I906">
        <v>0</v>
      </c>
      <c r="J906">
        <v>83.332999999999998</v>
      </c>
      <c r="K906">
        <v>83.332999999999998</v>
      </c>
      <c r="L906">
        <v>166.666</v>
      </c>
      <c r="M906">
        <v>83.332999999999998</v>
      </c>
      <c r="N906">
        <v>83.332999999999998</v>
      </c>
      <c r="O906">
        <v>83.332999999999998</v>
      </c>
      <c r="P906">
        <v>83.332999999999998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f>SUMPRODUCT(DB_ThemeSOFAcct[[#This Row],[Plan01]:[Plan12]],$E$14:$P$14)/valUnits2</f>
        <v>8.3333000000000004E-2</v>
      </c>
      <c r="AD906">
        <f>SUMPRODUCT(DB_ThemeSOFAcct[[#This Row],[Act01]:[Act12]],$Q$14:$AB$14)/valUnits2</f>
        <v>0</v>
      </c>
      <c r="AE906">
        <f>DB_ThemeSOFAcct[[#This Row],[Actuals]]-DB_ThemeSOFAcct[[#This Row],[Plan]]</f>
        <v>-8.3333000000000004E-2</v>
      </c>
      <c r="AF906">
        <f>IF(DB_ThemeSOFAcct[[#This Row],[Plan]]&lt;&gt;0,DB_ThemeSOFAcct[[#This Row],[Actuals]]/DB_ThemeSOFAcct[[#This Row],[Plan]],1.000011000011)</f>
        <v>0</v>
      </c>
      <c r="AG906" s="34">
        <f>SUM(DB_ThemeSOFAcct[[#This Row],[Plan01]:[Plan12]])/valUnits2</f>
        <v>0.66666399999999992</v>
      </c>
      <c r="AH906" s="34">
        <f>SUMPRODUCT(DB_ThemeSOFAcct[[#This Row],[Act01]:[Act12]],$Q$3:$AB$3)/valUnits2</f>
        <v>0</v>
      </c>
    </row>
    <row r="907" spans="2:34" x14ac:dyDescent="0.2">
      <c r="B907" t="s">
        <v>348</v>
      </c>
      <c r="C907" t="s">
        <v>858</v>
      </c>
      <c r="D907" t="s">
        <v>140</v>
      </c>
      <c r="H907">
        <v>255.96</v>
      </c>
      <c r="I907">
        <v>630.76</v>
      </c>
      <c r="T907">
        <v>255.96</v>
      </c>
      <c r="U907">
        <v>630.76</v>
      </c>
      <c r="AC907">
        <f>SUMPRODUCT(DB_ThemeSOFAcct[[#This Row],[Plan01]:[Plan12]],$E$14:$P$14)/valUnits2</f>
        <v>0.88672000000000006</v>
      </c>
      <c r="AD907">
        <f>SUMPRODUCT(DB_ThemeSOFAcct[[#This Row],[Act01]:[Act12]],$Q$14:$AB$14)/valUnits2</f>
        <v>0.88672000000000006</v>
      </c>
      <c r="AE907">
        <f>DB_ThemeSOFAcct[[#This Row],[Actuals]]-DB_ThemeSOFAcct[[#This Row],[Plan]]</f>
        <v>0</v>
      </c>
      <c r="AF907">
        <f>IF(DB_ThemeSOFAcct[[#This Row],[Plan]]&lt;&gt;0,DB_ThemeSOFAcct[[#This Row],[Actuals]]/DB_ThemeSOFAcct[[#This Row],[Plan]],1.000011000011)</f>
        <v>1</v>
      </c>
      <c r="AG907" s="34">
        <f>SUM(DB_ThemeSOFAcct[[#This Row],[Plan01]:[Plan12]])/valUnits2</f>
        <v>0.88672000000000006</v>
      </c>
      <c r="AH907" s="34">
        <f>SUMPRODUCT(DB_ThemeSOFAcct[[#This Row],[Act01]:[Act12]],$Q$3:$AB$3)/valUnits2</f>
        <v>0.88672000000000006</v>
      </c>
    </row>
    <row r="908" spans="2:34" x14ac:dyDescent="0.2">
      <c r="B908" t="s">
        <v>348</v>
      </c>
      <c r="C908" t="s">
        <v>858</v>
      </c>
      <c r="D908" t="s">
        <v>141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1333.3330000000001</v>
      </c>
      <c r="K908">
        <v>1333.3330000000001</v>
      </c>
      <c r="L908">
        <v>1333.3330000000001</v>
      </c>
      <c r="M908">
        <v>1333.3330000000001</v>
      </c>
      <c r="N908">
        <v>1333.3330000000001</v>
      </c>
      <c r="O908">
        <v>1333.3330000000001</v>
      </c>
      <c r="P908">
        <v>1333.3330000000001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f>SUMPRODUCT(DB_ThemeSOFAcct[[#This Row],[Plan01]:[Plan12]],$E$14:$P$14)/valUnits2</f>
        <v>1.3333330000000001</v>
      </c>
      <c r="AD908">
        <f>SUMPRODUCT(DB_ThemeSOFAcct[[#This Row],[Act01]:[Act12]],$Q$14:$AB$14)/valUnits2</f>
        <v>0</v>
      </c>
      <c r="AE908">
        <f>DB_ThemeSOFAcct[[#This Row],[Actuals]]-DB_ThemeSOFAcct[[#This Row],[Plan]]</f>
        <v>-1.3333330000000001</v>
      </c>
      <c r="AF908">
        <f>IF(DB_ThemeSOFAcct[[#This Row],[Plan]]&lt;&gt;0,DB_ThemeSOFAcct[[#This Row],[Actuals]]/DB_ThemeSOFAcct[[#This Row],[Plan]],1.000011000011)</f>
        <v>0</v>
      </c>
      <c r="AG908" s="34">
        <f>SUM(DB_ThemeSOFAcct[[#This Row],[Plan01]:[Plan12]])/valUnits2</f>
        <v>9.3333310000000012</v>
      </c>
      <c r="AH908" s="34">
        <f>SUMPRODUCT(DB_ThemeSOFAcct[[#This Row],[Act01]:[Act12]],$Q$3:$AB$3)/valUnits2</f>
        <v>0</v>
      </c>
    </row>
    <row r="909" spans="2:34" x14ac:dyDescent="0.2">
      <c r="B909" t="s">
        <v>348</v>
      </c>
      <c r="C909" t="s">
        <v>869</v>
      </c>
      <c r="D909" t="s">
        <v>142</v>
      </c>
      <c r="E909">
        <v>-4.5474735088646412E-13</v>
      </c>
      <c r="F909">
        <v>129529.14</v>
      </c>
      <c r="G909">
        <v>66625.200000000012</v>
      </c>
      <c r="H909">
        <v>-9.9999999977171683E-3</v>
      </c>
      <c r="I909">
        <v>125669.70999999999</v>
      </c>
      <c r="J909">
        <v>2840</v>
      </c>
      <c r="K909">
        <v>2840</v>
      </c>
      <c r="L909">
        <v>2840</v>
      </c>
      <c r="M909">
        <v>2840</v>
      </c>
      <c r="N909">
        <v>2840</v>
      </c>
      <c r="O909">
        <v>2840</v>
      </c>
      <c r="P909">
        <v>2840</v>
      </c>
      <c r="Q909">
        <v>-3.637978807091713E-12</v>
      </c>
      <c r="R909">
        <v>129529.14</v>
      </c>
      <c r="S909">
        <v>66625.2</v>
      </c>
      <c r="T909">
        <v>-1.0000000000218279E-2</v>
      </c>
      <c r="U909">
        <v>125669.70999999999</v>
      </c>
      <c r="V909">
        <v>-9.0949470177292824E-13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f>SUMPRODUCT(DB_ThemeSOFAcct[[#This Row],[Plan01]:[Plan12]],$E$14:$P$14)/valUnits2</f>
        <v>324.66404000000006</v>
      </c>
      <c r="AD909">
        <f>SUMPRODUCT(DB_ThemeSOFAcct[[#This Row],[Act01]:[Act12]],$Q$14:$AB$14)/valUnits2</f>
        <v>321.82403999999997</v>
      </c>
      <c r="AE909">
        <f>DB_ThemeSOFAcct[[#This Row],[Actuals]]-DB_ThemeSOFAcct[[#This Row],[Plan]]</f>
        <v>-2.8400000000000887</v>
      </c>
      <c r="AF909">
        <f>IF(DB_ThemeSOFAcct[[#This Row],[Plan]]&lt;&gt;0,DB_ThemeSOFAcct[[#This Row],[Actuals]]/DB_ThemeSOFAcct[[#This Row],[Plan]],1.000011000011)</f>
        <v>0.99125249596475151</v>
      </c>
      <c r="AG909" s="34">
        <f>SUM(DB_ThemeSOFAcct[[#This Row],[Plan01]:[Plan12]])/valUnits2</f>
        <v>341.70404000000002</v>
      </c>
      <c r="AH909" s="34">
        <f>SUMPRODUCT(DB_ThemeSOFAcct[[#This Row],[Act01]:[Act12]],$Q$3:$AB$3)/valUnits2</f>
        <v>321.82403999999997</v>
      </c>
    </row>
    <row r="910" spans="2:34" x14ac:dyDescent="0.2">
      <c r="B910" t="s">
        <v>348</v>
      </c>
      <c r="C910" t="s">
        <v>869</v>
      </c>
      <c r="D910" t="s">
        <v>140</v>
      </c>
      <c r="E910">
        <v>6455.2800000000007</v>
      </c>
      <c r="F910">
        <v>7329.96</v>
      </c>
      <c r="G910">
        <v>7900.3100000000013</v>
      </c>
      <c r="H910">
        <v>6218.5499999999984</v>
      </c>
      <c r="I910">
        <v>8779.3599999999988</v>
      </c>
      <c r="J910">
        <v>2202.5</v>
      </c>
      <c r="K910">
        <v>2202.5</v>
      </c>
      <c r="L910">
        <v>2202.5</v>
      </c>
      <c r="M910">
        <v>2202.5</v>
      </c>
      <c r="N910">
        <v>2202.5</v>
      </c>
      <c r="O910">
        <v>2202.5</v>
      </c>
      <c r="P910">
        <v>2202.5</v>
      </c>
      <c r="Q910">
        <v>6455.2800000000007</v>
      </c>
      <c r="R910">
        <v>7329.96</v>
      </c>
      <c r="S910">
        <v>7900.31</v>
      </c>
      <c r="T910">
        <v>6218.5500000000011</v>
      </c>
      <c r="U910">
        <v>8779.36</v>
      </c>
      <c r="V910">
        <v>9188.82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f>SUMPRODUCT(DB_ThemeSOFAcct[[#This Row],[Plan01]:[Plan12]],$E$14:$P$14)/valUnits2</f>
        <v>38.885959999999997</v>
      </c>
      <c r="AD910">
        <f>SUMPRODUCT(DB_ThemeSOFAcct[[#This Row],[Act01]:[Act12]],$Q$14:$AB$14)/valUnits2</f>
        <v>45.872280000000003</v>
      </c>
      <c r="AE910">
        <f>DB_ThemeSOFAcct[[#This Row],[Actuals]]-DB_ThemeSOFAcct[[#This Row],[Plan]]</f>
        <v>6.9863200000000063</v>
      </c>
      <c r="AF910">
        <f>IF(DB_ThemeSOFAcct[[#This Row],[Plan]]&lt;&gt;0,DB_ThemeSOFAcct[[#This Row],[Actuals]]/DB_ThemeSOFAcct[[#This Row],[Plan]],1.000011000011)</f>
        <v>1.1796617596685284</v>
      </c>
      <c r="AG910" s="34">
        <f>SUM(DB_ThemeSOFAcct[[#This Row],[Plan01]:[Plan12]])/valUnits2</f>
        <v>52.100960000000001</v>
      </c>
      <c r="AH910" s="34">
        <f>SUMPRODUCT(DB_ThemeSOFAcct[[#This Row],[Act01]:[Act12]],$Q$3:$AB$3)/valUnits2</f>
        <v>45.872280000000003</v>
      </c>
    </row>
    <row r="911" spans="2:34" x14ac:dyDescent="0.2">
      <c r="B911" t="s">
        <v>348</v>
      </c>
      <c r="C911" t="s">
        <v>869</v>
      </c>
      <c r="D911" t="s">
        <v>141</v>
      </c>
      <c r="E911">
        <v>201.82999999999998</v>
      </c>
      <c r="F911">
        <v>138.53</v>
      </c>
      <c r="G911">
        <v>13386.479999999998</v>
      </c>
      <c r="H911">
        <v>-1097.47</v>
      </c>
      <c r="I911">
        <v>21667.769999999997</v>
      </c>
      <c r="J911">
        <v>0</v>
      </c>
      <c r="Q911">
        <v>201.82999999999998</v>
      </c>
      <c r="R911">
        <v>138.53</v>
      </c>
      <c r="S911">
        <v>13386.48</v>
      </c>
      <c r="T911">
        <v>-1097.47</v>
      </c>
      <c r="U911">
        <v>21667.77</v>
      </c>
      <c r="V911">
        <v>231.60999999999999</v>
      </c>
      <c r="AC911">
        <f>SUMPRODUCT(DB_ThemeSOFAcct[[#This Row],[Plan01]:[Plan12]],$E$14:$P$14)/valUnits2</f>
        <v>34.297139999999999</v>
      </c>
      <c r="AD911">
        <f>SUMPRODUCT(DB_ThemeSOFAcct[[#This Row],[Act01]:[Act12]],$Q$14:$AB$14)/valUnits2</f>
        <v>34.528750000000002</v>
      </c>
      <c r="AE911">
        <f>DB_ThemeSOFAcct[[#This Row],[Actuals]]-DB_ThemeSOFAcct[[#This Row],[Plan]]</f>
        <v>0.23161000000000342</v>
      </c>
      <c r="AF911">
        <f>IF(DB_ThemeSOFAcct[[#This Row],[Plan]]&lt;&gt;0,DB_ThemeSOFAcct[[#This Row],[Actuals]]/DB_ThemeSOFAcct[[#This Row],[Plan]],1.000011000011)</f>
        <v>1.0067530412156815</v>
      </c>
      <c r="AG911" s="34">
        <f>SUM(DB_ThemeSOFAcct[[#This Row],[Plan01]:[Plan12]])/valUnits2</f>
        <v>34.297139999999999</v>
      </c>
      <c r="AH911" s="34">
        <f>SUMPRODUCT(DB_ThemeSOFAcct[[#This Row],[Act01]:[Act12]],$Q$3:$AB$3)/valUnits2</f>
        <v>34.528750000000002</v>
      </c>
    </row>
    <row r="912" spans="2:34" x14ac:dyDescent="0.2">
      <c r="B912" t="s">
        <v>348</v>
      </c>
      <c r="C912" t="s">
        <v>870</v>
      </c>
      <c r="D912" t="s">
        <v>236</v>
      </c>
      <c r="E912">
        <v>0</v>
      </c>
      <c r="H912">
        <v>0</v>
      </c>
      <c r="K912">
        <v>0</v>
      </c>
      <c r="N912">
        <v>0</v>
      </c>
      <c r="Q912">
        <v>0</v>
      </c>
      <c r="T912">
        <v>0</v>
      </c>
      <c r="W912">
        <v>0</v>
      </c>
      <c r="Z912">
        <v>0</v>
      </c>
      <c r="AC912">
        <f>SUMPRODUCT(DB_ThemeSOFAcct[[#This Row],[Plan01]:[Plan12]],$E$14:$P$14)/valUnits2</f>
        <v>0</v>
      </c>
      <c r="AD912">
        <f>SUMPRODUCT(DB_ThemeSOFAcct[[#This Row],[Act01]:[Act12]],$Q$14:$AB$14)/valUnits2</f>
        <v>0</v>
      </c>
      <c r="AE912">
        <f>DB_ThemeSOFAcct[[#This Row],[Actuals]]-DB_ThemeSOFAcct[[#This Row],[Plan]]</f>
        <v>0</v>
      </c>
      <c r="AF912">
        <f>IF(DB_ThemeSOFAcct[[#This Row],[Plan]]&lt;&gt;0,DB_ThemeSOFAcct[[#This Row],[Actuals]]/DB_ThemeSOFAcct[[#This Row],[Plan]],1.000011000011)</f>
        <v>1.0000110000110001</v>
      </c>
      <c r="AG912" s="34">
        <f>SUM(DB_ThemeSOFAcct[[#This Row],[Plan01]:[Plan12]])/valUnits2</f>
        <v>0</v>
      </c>
      <c r="AH912" s="34">
        <f>SUMPRODUCT(DB_ThemeSOFAcct[[#This Row],[Act01]:[Act12]],$Q$3:$AB$3)/valUnits2</f>
        <v>0</v>
      </c>
    </row>
    <row r="913" spans="2:34" x14ac:dyDescent="0.2">
      <c r="B913" t="s">
        <v>348</v>
      </c>
      <c r="C913" t="s">
        <v>870</v>
      </c>
      <c r="D913" t="s">
        <v>141</v>
      </c>
      <c r="E913">
        <v>0</v>
      </c>
      <c r="H913">
        <v>0</v>
      </c>
      <c r="K913">
        <v>0</v>
      </c>
      <c r="N913">
        <v>0</v>
      </c>
      <c r="Q913">
        <v>0</v>
      </c>
      <c r="T913">
        <v>0</v>
      </c>
      <c r="W913">
        <v>0</v>
      </c>
      <c r="Z913">
        <v>0</v>
      </c>
      <c r="AC913">
        <f>SUMPRODUCT(DB_ThemeSOFAcct[[#This Row],[Plan01]:[Plan12]],$E$14:$P$14)/valUnits2</f>
        <v>0</v>
      </c>
      <c r="AD913">
        <f>SUMPRODUCT(DB_ThemeSOFAcct[[#This Row],[Act01]:[Act12]],$Q$14:$AB$14)/valUnits2</f>
        <v>0</v>
      </c>
      <c r="AE913">
        <f>DB_ThemeSOFAcct[[#This Row],[Actuals]]-DB_ThemeSOFAcct[[#This Row],[Plan]]</f>
        <v>0</v>
      </c>
      <c r="AF913">
        <f>IF(DB_ThemeSOFAcct[[#This Row],[Plan]]&lt;&gt;0,DB_ThemeSOFAcct[[#This Row],[Actuals]]/DB_ThemeSOFAcct[[#This Row],[Plan]],1.000011000011)</f>
        <v>1.0000110000110001</v>
      </c>
      <c r="AG913" s="34">
        <f>SUM(DB_ThemeSOFAcct[[#This Row],[Plan01]:[Plan12]])/valUnits2</f>
        <v>0</v>
      </c>
      <c r="AH913" s="34">
        <f>SUMPRODUCT(DB_ThemeSOFAcct[[#This Row],[Act01]:[Act12]],$Q$3:$AB$3)/valUnits2</f>
        <v>0</v>
      </c>
    </row>
    <row r="914" spans="2:34" x14ac:dyDescent="0.2">
      <c r="B914" t="s">
        <v>348</v>
      </c>
      <c r="C914" t="s">
        <v>872</v>
      </c>
      <c r="D914" t="s">
        <v>143</v>
      </c>
      <c r="G914">
        <v>129.46700000000001</v>
      </c>
      <c r="I914">
        <v>-129.821</v>
      </c>
      <c r="J914">
        <v>0</v>
      </c>
      <c r="S914">
        <v>128.26</v>
      </c>
      <c r="U914">
        <v>-128.26</v>
      </c>
      <c r="V914">
        <v>1290.32</v>
      </c>
      <c r="AC914">
        <f>SUMPRODUCT(DB_ThemeSOFAcct[[#This Row],[Plan01]:[Plan12]],$E$14:$P$14)/valUnits2</f>
        <v>-3.5399999999998497E-4</v>
      </c>
      <c r="AD914">
        <f>SUMPRODUCT(DB_ThemeSOFAcct[[#This Row],[Act01]:[Act12]],$Q$14:$AB$14)/valUnits2</f>
        <v>1.2903199999999999</v>
      </c>
      <c r="AE914">
        <f>DB_ThemeSOFAcct[[#This Row],[Actuals]]-DB_ThemeSOFAcct[[#This Row],[Plan]]</f>
        <v>1.2906739999999999</v>
      </c>
      <c r="AF914">
        <f>IF(DB_ThemeSOFAcct[[#This Row],[Plan]]&lt;&gt;0,DB_ThemeSOFAcct[[#This Row],[Actuals]]/DB_ThemeSOFAcct[[#This Row],[Plan]],1.000011000011)</f>
        <v>-3644.9717514125837</v>
      </c>
      <c r="AG914" s="34">
        <f>SUM(DB_ThemeSOFAcct[[#This Row],[Plan01]:[Plan12]])/valUnits2</f>
        <v>-3.5399999999998497E-4</v>
      </c>
      <c r="AH914" s="34">
        <f>SUMPRODUCT(DB_ThemeSOFAcct[[#This Row],[Act01]:[Act12]],$Q$3:$AB$3)/valUnits2</f>
        <v>1.2903199999999999</v>
      </c>
    </row>
    <row r="915" spans="2:34" x14ac:dyDescent="0.2">
      <c r="B915" t="s">
        <v>348</v>
      </c>
      <c r="C915" t="s">
        <v>872</v>
      </c>
      <c r="D915" t="s">
        <v>235</v>
      </c>
      <c r="G915">
        <v>61.996000000000002</v>
      </c>
      <c r="H915">
        <v>366.74900000000002</v>
      </c>
      <c r="I915">
        <v>-269.34199999999998</v>
      </c>
      <c r="S915">
        <v>61.65</v>
      </c>
      <c r="T915">
        <v>362.2</v>
      </c>
      <c r="U915">
        <v>-269.64999999999998</v>
      </c>
      <c r="AC915">
        <f>SUMPRODUCT(DB_ThemeSOFAcct[[#This Row],[Plan01]:[Plan12]],$E$14:$P$14)/valUnits2</f>
        <v>0.15940300000000002</v>
      </c>
      <c r="AD915">
        <f>SUMPRODUCT(DB_ThemeSOFAcct[[#This Row],[Act01]:[Act12]],$Q$14:$AB$14)/valUnits2</f>
        <v>0.15419999999999998</v>
      </c>
      <c r="AE915">
        <f>DB_ThemeSOFAcct[[#This Row],[Actuals]]-DB_ThemeSOFAcct[[#This Row],[Plan]]</f>
        <v>-5.2030000000000409E-3</v>
      </c>
      <c r="AF915">
        <f>IF(DB_ThemeSOFAcct[[#This Row],[Plan]]&lt;&gt;0,DB_ThemeSOFAcct[[#This Row],[Actuals]]/DB_ThemeSOFAcct[[#This Row],[Plan]],1.000011000011)</f>
        <v>0.967359459985069</v>
      </c>
      <c r="AG915" s="34">
        <f>SUM(DB_ThemeSOFAcct[[#This Row],[Plan01]:[Plan12]])/valUnits2</f>
        <v>0.15940300000000002</v>
      </c>
      <c r="AH915" s="34">
        <f>SUMPRODUCT(DB_ThemeSOFAcct[[#This Row],[Act01]:[Act12]],$Q$3:$AB$3)/valUnits2</f>
        <v>0.15419999999999998</v>
      </c>
    </row>
    <row r="916" spans="2:34" x14ac:dyDescent="0.2">
      <c r="B916" t="s">
        <v>348</v>
      </c>
      <c r="C916" t="s">
        <v>872</v>
      </c>
      <c r="D916" t="s">
        <v>140</v>
      </c>
      <c r="G916">
        <v>6825.773000000001</v>
      </c>
      <c r="H916">
        <v>8066.6940000000004</v>
      </c>
      <c r="I916">
        <v>-14774.896000000001</v>
      </c>
      <c r="J916">
        <v>11862.423999999999</v>
      </c>
      <c r="K916">
        <v>11862.423999999999</v>
      </c>
      <c r="L916">
        <v>11862.423999999999</v>
      </c>
      <c r="M916">
        <v>11862.424000000001</v>
      </c>
      <c r="N916">
        <v>11862.424000000001</v>
      </c>
      <c r="O916">
        <v>11862.424000000001</v>
      </c>
      <c r="P916">
        <v>11862.424000000001</v>
      </c>
      <c r="S916">
        <v>6787.63</v>
      </c>
      <c r="T916">
        <v>7950.76</v>
      </c>
      <c r="U916">
        <v>-14738.39</v>
      </c>
      <c r="V916">
        <v>46.03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f>SUMPRODUCT(DB_ThemeSOFAcct[[#This Row],[Plan01]:[Plan12]],$E$14:$P$14)/valUnits2</f>
        <v>11.979994999999999</v>
      </c>
      <c r="AD916">
        <f>SUMPRODUCT(DB_ThemeSOFAcct[[#This Row],[Act01]:[Act12]],$Q$14:$AB$14)/valUnits2</f>
        <v>4.6030000000000001E-2</v>
      </c>
      <c r="AE916">
        <f>DB_ThemeSOFAcct[[#This Row],[Actuals]]-DB_ThemeSOFAcct[[#This Row],[Plan]]</f>
        <v>-11.933964999999999</v>
      </c>
      <c r="AF916">
        <f>IF(DB_ThemeSOFAcct[[#This Row],[Plan]]&lt;&gt;0,DB_ThemeSOFAcct[[#This Row],[Actuals]]/DB_ThemeSOFAcct[[#This Row],[Plan]],1.000011000011)</f>
        <v>3.8422386653750697E-3</v>
      </c>
      <c r="AG916" s="34">
        <f>SUM(DB_ThemeSOFAcct[[#This Row],[Plan01]:[Plan12]])/valUnits2</f>
        <v>83.154538999999986</v>
      </c>
      <c r="AH916" s="34">
        <f>SUMPRODUCT(DB_ThemeSOFAcct[[#This Row],[Act01]:[Act12]],$Q$3:$AB$3)/valUnits2</f>
        <v>4.6030000000000001E-2</v>
      </c>
    </row>
    <row r="917" spans="2:34" x14ac:dyDescent="0.2">
      <c r="B917" t="s">
        <v>348</v>
      </c>
      <c r="C917" t="s">
        <v>872</v>
      </c>
      <c r="D917" t="s">
        <v>141</v>
      </c>
      <c r="F917">
        <v>509.88800000000003</v>
      </c>
      <c r="G917">
        <v>15239.422</v>
      </c>
      <c r="H917">
        <v>1743.816</v>
      </c>
      <c r="I917">
        <v>-17131.613999999994</v>
      </c>
      <c r="J917">
        <v>4794.6089999999995</v>
      </c>
      <c r="K917">
        <v>4794.6089999999995</v>
      </c>
      <c r="L917">
        <v>4794.6089999999995</v>
      </c>
      <c r="M917">
        <v>7942.1270000000004</v>
      </c>
      <c r="N917">
        <v>15557.093000000001</v>
      </c>
      <c r="O917">
        <v>7942.1269999999995</v>
      </c>
      <c r="P917">
        <v>4794.6089999999995</v>
      </c>
      <c r="R917">
        <v>515.74</v>
      </c>
      <c r="S917">
        <v>15200.610000000002</v>
      </c>
      <c r="T917">
        <v>1708.88</v>
      </c>
      <c r="U917">
        <v>-17046.32</v>
      </c>
      <c r="V917">
        <v>109.75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f>SUMPRODUCT(DB_ThemeSOFAcct[[#This Row],[Plan01]:[Plan12]],$E$14:$P$14)/valUnits2</f>
        <v>5.1561210000000059</v>
      </c>
      <c r="AD917">
        <f>SUMPRODUCT(DB_ThemeSOFAcct[[#This Row],[Act01]:[Act12]],$Q$14:$AB$14)/valUnits2</f>
        <v>0.48866000000000348</v>
      </c>
      <c r="AE917">
        <f>DB_ThemeSOFAcct[[#This Row],[Actuals]]-DB_ThemeSOFAcct[[#This Row],[Plan]]</f>
        <v>-4.6674610000000021</v>
      </c>
      <c r="AF917">
        <f>IF(DB_ThemeSOFAcct[[#This Row],[Plan]]&lt;&gt;0,DB_ThemeSOFAcct[[#This Row],[Actuals]]/DB_ThemeSOFAcct[[#This Row],[Plan]],1.000011000011)</f>
        <v>9.4772795285448672E-2</v>
      </c>
      <c r="AG917" s="34">
        <f>SUM(DB_ThemeSOFAcct[[#This Row],[Plan01]:[Plan12]])/valUnits2</f>
        <v>50.981295000000003</v>
      </c>
      <c r="AH917" s="34">
        <f>SUMPRODUCT(DB_ThemeSOFAcct[[#This Row],[Act01]:[Act12]],$Q$3:$AB$3)/valUnits2</f>
        <v>0.48866000000000348</v>
      </c>
    </row>
    <row r="918" spans="2:34" x14ac:dyDescent="0.2">
      <c r="B918" t="s">
        <v>348</v>
      </c>
      <c r="C918" t="s">
        <v>884</v>
      </c>
      <c r="D918" t="s">
        <v>140</v>
      </c>
      <c r="F918">
        <v>762.87</v>
      </c>
      <c r="I918">
        <v>-762.87</v>
      </c>
      <c r="R918">
        <v>762.87</v>
      </c>
      <c r="U918">
        <v>-762.87</v>
      </c>
      <c r="AC918">
        <f>SUMPRODUCT(DB_ThemeSOFAcct[[#This Row],[Plan01]:[Plan12]],$E$14:$P$14)/valUnits2</f>
        <v>0</v>
      </c>
      <c r="AD918">
        <f>SUMPRODUCT(DB_ThemeSOFAcct[[#This Row],[Act01]:[Act12]],$Q$14:$AB$14)/valUnits2</f>
        <v>0</v>
      </c>
      <c r="AE918">
        <f>DB_ThemeSOFAcct[[#This Row],[Actuals]]-DB_ThemeSOFAcct[[#This Row],[Plan]]</f>
        <v>0</v>
      </c>
      <c r="AF918">
        <f>IF(DB_ThemeSOFAcct[[#This Row],[Plan]]&lt;&gt;0,DB_ThemeSOFAcct[[#This Row],[Actuals]]/DB_ThemeSOFAcct[[#This Row],[Plan]],1.000011000011)</f>
        <v>1.0000110000110001</v>
      </c>
      <c r="AG918" s="34">
        <f>SUM(DB_ThemeSOFAcct[[#This Row],[Plan01]:[Plan12]])/valUnits2</f>
        <v>0</v>
      </c>
      <c r="AH918" s="34">
        <f>SUMPRODUCT(DB_ThemeSOFAcct[[#This Row],[Act01]:[Act12]],$Q$3:$AB$3)/valUnits2</f>
        <v>0</v>
      </c>
    </row>
    <row r="919" spans="2:34" x14ac:dyDescent="0.2">
      <c r="B919" t="s">
        <v>348</v>
      </c>
      <c r="C919" t="s">
        <v>884</v>
      </c>
      <c r="D919" t="s">
        <v>236</v>
      </c>
      <c r="E919">
        <v>20026.332999999999</v>
      </c>
      <c r="F919">
        <v>20026.332999999999</v>
      </c>
      <c r="G919">
        <v>20026.332999999999</v>
      </c>
      <c r="H919">
        <v>20026.332999999999</v>
      </c>
      <c r="I919">
        <v>20026.332999999999</v>
      </c>
      <c r="J919">
        <v>20026.332999999999</v>
      </c>
      <c r="K919">
        <v>13531.332999999999</v>
      </c>
      <c r="L919">
        <v>13531.332999999999</v>
      </c>
      <c r="M919">
        <v>13531.332999999999</v>
      </c>
      <c r="N919">
        <v>13531.332999999999</v>
      </c>
      <c r="O919">
        <v>13531.332999999999</v>
      </c>
      <c r="P919">
        <v>13531.332999999999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f>SUMPRODUCT(DB_ThemeSOFAcct[[#This Row],[Plan01]:[Plan12]],$E$14:$P$14)/valUnits2</f>
        <v>120.15799799999999</v>
      </c>
      <c r="AD919">
        <f>SUMPRODUCT(DB_ThemeSOFAcct[[#This Row],[Act01]:[Act12]],$Q$14:$AB$14)/valUnits2</f>
        <v>0</v>
      </c>
      <c r="AE919">
        <f>DB_ThemeSOFAcct[[#This Row],[Actuals]]-DB_ThemeSOFAcct[[#This Row],[Plan]]</f>
        <v>-120.15799799999999</v>
      </c>
      <c r="AF919">
        <f>IF(DB_ThemeSOFAcct[[#This Row],[Plan]]&lt;&gt;0,DB_ThemeSOFAcct[[#This Row],[Actuals]]/DB_ThemeSOFAcct[[#This Row],[Plan]],1.000011000011)</f>
        <v>0</v>
      </c>
      <c r="AG919" s="34">
        <f>SUM(DB_ThemeSOFAcct[[#This Row],[Plan01]:[Plan12]])/valUnits2</f>
        <v>201.34599599999993</v>
      </c>
      <c r="AH919" s="34">
        <f>SUMPRODUCT(DB_ThemeSOFAcct[[#This Row],[Act01]:[Act12]],$Q$3:$AB$3)/valUnits2</f>
        <v>0</v>
      </c>
    </row>
    <row r="920" spans="2:34" x14ac:dyDescent="0.2">
      <c r="B920" t="s">
        <v>348</v>
      </c>
      <c r="C920" t="s">
        <v>884</v>
      </c>
      <c r="D920" t="s">
        <v>141</v>
      </c>
      <c r="E920">
        <v>1330.62</v>
      </c>
      <c r="F920">
        <v>1173.02</v>
      </c>
      <c r="I920">
        <v>-2503.64</v>
      </c>
      <c r="Q920">
        <v>1330.62</v>
      </c>
      <c r="R920">
        <v>1173.02</v>
      </c>
      <c r="U920">
        <v>-2503.64</v>
      </c>
      <c r="AC920">
        <f>SUMPRODUCT(DB_ThemeSOFAcct[[#This Row],[Plan01]:[Plan12]],$E$14:$P$14)/valUnits2</f>
        <v>0</v>
      </c>
      <c r="AD920">
        <f>SUMPRODUCT(DB_ThemeSOFAcct[[#This Row],[Act01]:[Act12]],$Q$14:$AB$14)/valUnits2</f>
        <v>0</v>
      </c>
      <c r="AE920">
        <f>DB_ThemeSOFAcct[[#This Row],[Actuals]]-DB_ThemeSOFAcct[[#This Row],[Plan]]</f>
        <v>0</v>
      </c>
      <c r="AF920">
        <f>IF(DB_ThemeSOFAcct[[#This Row],[Plan]]&lt;&gt;0,DB_ThemeSOFAcct[[#This Row],[Actuals]]/DB_ThemeSOFAcct[[#This Row],[Plan]],1.000011000011)</f>
        <v>1.0000110000110001</v>
      </c>
      <c r="AG920" s="34">
        <f>SUM(DB_ThemeSOFAcct[[#This Row],[Plan01]:[Plan12]])/valUnits2</f>
        <v>0</v>
      </c>
      <c r="AH920" s="34">
        <f>SUMPRODUCT(DB_ThemeSOFAcct[[#This Row],[Act01]:[Act12]],$Q$3:$AB$3)/valUnits2</f>
        <v>0</v>
      </c>
    </row>
    <row r="921" spans="2:34" x14ac:dyDescent="0.2">
      <c r="B921" t="s">
        <v>348</v>
      </c>
      <c r="C921" t="s">
        <v>904</v>
      </c>
      <c r="D921" t="s">
        <v>143</v>
      </c>
      <c r="E921">
        <v>0</v>
      </c>
      <c r="F921">
        <v>119.262</v>
      </c>
      <c r="G921">
        <v>0</v>
      </c>
      <c r="H921">
        <v>0</v>
      </c>
      <c r="I921">
        <v>0</v>
      </c>
      <c r="J921">
        <v>29.965000000000003</v>
      </c>
      <c r="K921">
        <v>29.965000000000003</v>
      </c>
      <c r="L921">
        <v>29.965000000000003</v>
      </c>
      <c r="M921">
        <v>29.965000000000003</v>
      </c>
      <c r="N921">
        <v>29.965000000000003</v>
      </c>
      <c r="O921">
        <v>29.965000000000003</v>
      </c>
      <c r="P921">
        <v>29.965000000000003</v>
      </c>
      <c r="Q921">
        <v>0</v>
      </c>
      <c r="R921">
        <v>117.54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f>SUMPRODUCT(DB_ThemeSOFAcct[[#This Row],[Plan01]:[Plan12]],$E$14:$P$14)/valUnits2</f>
        <v>0.149227</v>
      </c>
      <c r="AD921">
        <f>SUMPRODUCT(DB_ThemeSOFAcct[[#This Row],[Act01]:[Act12]],$Q$14:$AB$14)/valUnits2</f>
        <v>0.11754000000000001</v>
      </c>
      <c r="AE921">
        <f>DB_ThemeSOFAcct[[#This Row],[Actuals]]-DB_ThemeSOFAcct[[#This Row],[Plan]]</f>
        <v>-3.1686999999999993E-2</v>
      </c>
      <c r="AF921">
        <f>IF(DB_ThemeSOFAcct[[#This Row],[Plan]]&lt;&gt;0,DB_ThemeSOFAcct[[#This Row],[Actuals]]/DB_ThemeSOFAcct[[#This Row],[Plan]],1.000011000011)</f>
        <v>0.78765906973939037</v>
      </c>
      <c r="AG921" s="34">
        <f>SUM(DB_ThemeSOFAcct[[#This Row],[Plan01]:[Plan12]])/valUnits2</f>
        <v>0.32901700000000006</v>
      </c>
      <c r="AH921" s="34">
        <f>SUMPRODUCT(DB_ThemeSOFAcct[[#This Row],[Act01]:[Act12]],$Q$3:$AB$3)/valUnits2</f>
        <v>0.11754000000000001</v>
      </c>
    </row>
    <row r="922" spans="2:34" x14ac:dyDescent="0.2">
      <c r="B922" t="s">
        <v>348</v>
      </c>
      <c r="C922" t="s">
        <v>904</v>
      </c>
      <c r="D922" t="s">
        <v>235</v>
      </c>
      <c r="E922">
        <v>182.857</v>
      </c>
      <c r="F922">
        <v>92.765000000000015</v>
      </c>
      <c r="G922">
        <v>286.07600000000002</v>
      </c>
      <c r="H922">
        <v>220.49</v>
      </c>
      <c r="I922">
        <v>54.734999999999999</v>
      </c>
      <c r="J922">
        <v>193.70699999999999</v>
      </c>
      <c r="K922">
        <v>193.70699999999999</v>
      </c>
      <c r="L922">
        <v>193.70699999999999</v>
      </c>
      <c r="M922">
        <v>193.70699999999999</v>
      </c>
      <c r="N922">
        <v>193.70699999999999</v>
      </c>
      <c r="O922">
        <v>193.70699999999999</v>
      </c>
      <c r="P922">
        <v>193.70699999999999</v>
      </c>
      <c r="Q922">
        <v>182.86</v>
      </c>
      <c r="R922">
        <v>94.67</v>
      </c>
      <c r="S922">
        <v>284.20999999999998</v>
      </c>
      <c r="T922">
        <v>221.73</v>
      </c>
      <c r="U922">
        <v>54.99</v>
      </c>
      <c r="V922">
        <v>114.27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f>SUMPRODUCT(DB_ThemeSOFAcct[[#This Row],[Plan01]:[Plan12]],$E$14:$P$14)/valUnits2</f>
        <v>1.0306300000000002</v>
      </c>
      <c r="AD922">
        <f>SUMPRODUCT(DB_ThemeSOFAcct[[#This Row],[Act01]:[Act12]],$Q$14:$AB$14)/valUnits2</f>
        <v>0.95272999999999997</v>
      </c>
      <c r="AE922">
        <f>DB_ThemeSOFAcct[[#This Row],[Actuals]]-DB_ThemeSOFAcct[[#This Row],[Plan]]</f>
        <v>-7.7900000000000191E-2</v>
      </c>
      <c r="AF922">
        <f>IF(DB_ThemeSOFAcct[[#This Row],[Plan]]&lt;&gt;0,DB_ThemeSOFAcct[[#This Row],[Actuals]]/DB_ThemeSOFAcct[[#This Row],[Plan]],1.000011000011)</f>
        <v>0.92441516354074671</v>
      </c>
      <c r="AG922" s="34">
        <f>SUM(DB_ThemeSOFAcct[[#This Row],[Plan01]:[Plan12]])/valUnits2</f>
        <v>2.1928719999999995</v>
      </c>
      <c r="AH922" s="34">
        <f>SUMPRODUCT(DB_ThemeSOFAcct[[#This Row],[Act01]:[Act12]],$Q$3:$AB$3)/valUnits2</f>
        <v>0.95272999999999997</v>
      </c>
    </row>
    <row r="923" spans="2:34" x14ac:dyDescent="0.2">
      <c r="B923" t="s">
        <v>348</v>
      </c>
      <c r="C923" t="s">
        <v>904</v>
      </c>
      <c r="D923" t="s">
        <v>140</v>
      </c>
      <c r="E923">
        <v>2161.931</v>
      </c>
      <c r="F923">
        <v>3958.1059999999998</v>
      </c>
      <c r="G923">
        <v>4637.4210000000003</v>
      </c>
      <c r="H923">
        <v>3313.1570000000002</v>
      </c>
      <c r="I923">
        <v>5904.668999999999</v>
      </c>
      <c r="J923">
        <v>2973.9969999999998</v>
      </c>
      <c r="K923">
        <v>2585.6410000000001</v>
      </c>
      <c r="L923">
        <v>2585.6409999999996</v>
      </c>
      <c r="M923">
        <v>2585.6409999999996</v>
      </c>
      <c r="N923">
        <v>2391.4630000000002</v>
      </c>
      <c r="O923">
        <v>2391.4629999999997</v>
      </c>
      <c r="P923">
        <v>2391.4629999999997</v>
      </c>
      <c r="Q923">
        <v>2161.92</v>
      </c>
      <c r="R923">
        <v>3958.0699999999997</v>
      </c>
      <c r="S923">
        <v>4607.0999999999995</v>
      </c>
      <c r="T923">
        <v>3331.77</v>
      </c>
      <c r="U923">
        <v>5888.73</v>
      </c>
      <c r="V923">
        <v>-4322.4599999999991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f>SUMPRODUCT(DB_ThemeSOFAcct[[#This Row],[Plan01]:[Plan12]],$E$14:$P$14)/valUnits2</f>
        <v>22.949280999999999</v>
      </c>
      <c r="AD923">
        <f>SUMPRODUCT(DB_ThemeSOFAcct[[#This Row],[Act01]:[Act12]],$Q$14:$AB$14)/valUnits2</f>
        <v>15.62513</v>
      </c>
      <c r="AE923">
        <f>DB_ThemeSOFAcct[[#This Row],[Actuals]]-DB_ThemeSOFAcct[[#This Row],[Plan]]</f>
        <v>-7.3241509999999987</v>
      </c>
      <c r="AF923">
        <f>IF(DB_ThemeSOFAcct[[#This Row],[Plan]]&lt;&gt;0,DB_ThemeSOFAcct[[#This Row],[Actuals]]/DB_ThemeSOFAcct[[#This Row],[Plan]],1.000011000011)</f>
        <v>0.68085488168452868</v>
      </c>
      <c r="AG923" s="34">
        <f>SUM(DB_ThemeSOFAcct[[#This Row],[Plan01]:[Plan12]])/valUnits2</f>
        <v>37.880593000000005</v>
      </c>
      <c r="AH923" s="34">
        <f>SUMPRODUCT(DB_ThemeSOFAcct[[#This Row],[Act01]:[Act12]],$Q$3:$AB$3)/valUnits2</f>
        <v>15.62513</v>
      </c>
    </row>
    <row r="924" spans="2:34" x14ac:dyDescent="0.2">
      <c r="B924" t="s">
        <v>348</v>
      </c>
      <c r="C924" t="s">
        <v>904</v>
      </c>
      <c r="D924" t="s">
        <v>236</v>
      </c>
      <c r="E924">
        <v>202.11799999999999</v>
      </c>
      <c r="F924">
        <v>8021.8570000000009</v>
      </c>
      <c r="G924">
        <v>15772.611999999997</v>
      </c>
      <c r="H924">
        <v>4684.1360000000004</v>
      </c>
      <c r="I924">
        <v>11124.331000000002</v>
      </c>
      <c r="J924">
        <v>2647.3810000000003</v>
      </c>
      <c r="K924">
        <v>1239.394</v>
      </c>
      <c r="L924">
        <v>1239.394</v>
      </c>
      <c r="M924">
        <v>1239.394</v>
      </c>
      <c r="N924">
        <v>1239.394</v>
      </c>
      <c r="Q924">
        <v>202.11</v>
      </c>
      <c r="R924">
        <v>8012.57</v>
      </c>
      <c r="S924">
        <v>15665.09</v>
      </c>
      <c r="T924">
        <v>4703.7099999999991</v>
      </c>
      <c r="U924">
        <v>11178.289999999999</v>
      </c>
      <c r="V924">
        <v>332.43</v>
      </c>
      <c r="W924">
        <v>0</v>
      </c>
      <c r="X924">
        <v>0</v>
      </c>
      <c r="Y924">
        <v>0</v>
      </c>
      <c r="Z924">
        <v>0</v>
      </c>
      <c r="AC924">
        <f>SUMPRODUCT(DB_ThemeSOFAcct[[#This Row],[Plan01]:[Plan12]],$E$14:$P$14)/valUnits2</f>
        <v>42.452435000000008</v>
      </c>
      <c r="AD924">
        <f>SUMPRODUCT(DB_ThemeSOFAcct[[#This Row],[Act01]:[Act12]],$Q$14:$AB$14)/valUnits2</f>
        <v>40.094199999999994</v>
      </c>
      <c r="AE924">
        <f>DB_ThemeSOFAcct[[#This Row],[Actuals]]-DB_ThemeSOFAcct[[#This Row],[Plan]]</f>
        <v>-2.3582350000000147</v>
      </c>
      <c r="AF924">
        <f>IF(DB_ThemeSOFAcct[[#This Row],[Plan]]&lt;&gt;0,DB_ThemeSOFAcct[[#This Row],[Actuals]]/DB_ThemeSOFAcct[[#This Row],[Plan]],1.000011000011)</f>
        <v>0.94444994733517607</v>
      </c>
      <c r="AG924" s="34">
        <f>SUM(DB_ThemeSOFAcct[[#This Row],[Plan01]:[Plan12]])/valUnits2</f>
        <v>47.410011000000004</v>
      </c>
      <c r="AH924" s="34">
        <f>SUMPRODUCT(DB_ThemeSOFAcct[[#This Row],[Act01]:[Act12]],$Q$3:$AB$3)/valUnits2</f>
        <v>40.094199999999994</v>
      </c>
    </row>
    <row r="925" spans="2:34" x14ac:dyDescent="0.2">
      <c r="B925" t="s">
        <v>348</v>
      </c>
      <c r="C925" t="s">
        <v>904</v>
      </c>
      <c r="D925" t="s">
        <v>237</v>
      </c>
      <c r="G925">
        <v>280.21800000000002</v>
      </c>
      <c r="H925">
        <v>14.098000000000001</v>
      </c>
      <c r="I925">
        <v>-270.19299999999998</v>
      </c>
      <c r="J925">
        <v>0</v>
      </c>
      <c r="S925">
        <v>278.39</v>
      </c>
      <c r="T925">
        <v>14.16</v>
      </c>
      <c r="U925">
        <v>-271.51</v>
      </c>
      <c r="V925">
        <v>0</v>
      </c>
      <c r="AC925">
        <f>SUMPRODUCT(DB_ThemeSOFAcct[[#This Row],[Plan01]:[Plan12]],$E$14:$P$14)/valUnits2</f>
        <v>2.4123000000000047E-2</v>
      </c>
      <c r="AD925">
        <f>SUMPRODUCT(DB_ThemeSOFAcct[[#This Row],[Act01]:[Act12]],$Q$14:$AB$14)/valUnits2</f>
        <v>2.104000000000002E-2</v>
      </c>
      <c r="AE925">
        <f>DB_ThemeSOFAcct[[#This Row],[Actuals]]-DB_ThemeSOFAcct[[#This Row],[Plan]]</f>
        <v>-3.0830000000000267E-3</v>
      </c>
      <c r="AF925">
        <f>IF(DB_ThemeSOFAcct[[#This Row],[Plan]]&lt;&gt;0,DB_ThemeSOFAcct[[#This Row],[Actuals]]/DB_ThemeSOFAcct[[#This Row],[Plan]],1.000011000011)</f>
        <v>0.87219665879036523</v>
      </c>
      <c r="AG925" s="34">
        <f>SUM(DB_ThemeSOFAcct[[#This Row],[Plan01]:[Plan12]])/valUnits2</f>
        <v>2.4123000000000047E-2</v>
      </c>
      <c r="AH925" s="34">
        <f>SUMPRODUCT(DB_ThemeSOFAcct[[#This Row],[Act01]:[Act12]],$Q$3:$AB$3)/valUnits2</f>
        <v>2.104000000000002E-2</v>
      </c>
    </row>
    <row r="926" spans="2:34" x14ac:dyDescent="0.2">
      <c r="B926" t="s">
        <v>348</v>
      </c>
      <c r="C926" t="s">
        <v>904</v>
      </c>
      <c r="D926" t="s">
        <v>141</v>
      </c>
      <c r="E926">
        <v>818.43399999999997</v>
      </c>
      <c r="F926">
        <v>1014.2909999999999</v>
      </c>
      <c r="G926">
        <v>999.23099999999988</v>
      </c>
      <c r="H926">
        <v>487.59800000000001</v>
      </c>
      <c r="I926">
        <v>618.08100000000002</v>
      </c>
      <c r="J926">
        <v>1269.1010000000001</v>
      </c>
      <c r="K926">
        <v>1269.1010000000001</v>
      </c>
      <c r="L926">
        <v>1269.1009999999999</v>
      </c>
      <c r="M926">
        <v>1465.5900000000001</v>
      </c>
      <c r="N926">
        <v>951.89200000000005</v>
      </c>
      <c r="O926">
        <v>951.89200000000005</v>
      </c>
      <c r="P926">
        <v>755.40300000000002</v>
      </c>
      <c r="Q926">
        <v>818.39</v>
      </c>
      <c r="R926">
        <v>1010.6200000000001</v>
      </c>
      <c r="S926">
        <v>992.48</v>
      </c>
      <c r="T926">
        <v>490.34000000000003</v>
      </c>
      <c r="U926">
        <v>621.01</v>
      </c>
      <c r="V926">
        <v>470.00000000000006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f>SUMPRODUCT(DB_ThemeSOFAcct[[#This Row],[Plan01]:[Plan12]],$E$14:$P$14)/valUnits2</f>
        <v>5.2067360000000003</v>
      </c>
      <c r="AD926">
        <f>SUMPRODUCT(DB_ThemeSOFAcct[[#This Row],[Act01]:[Act12]],$Q$14:$AB$14)/valUnits2</f>
        <v>4.4028400000000003</v>
      </c>
      <c r="AE926">
        <f>DB_ThemeSOFAcct[[#This Row],[Actuals]]-DB_ThemeSOFAcct[[#This Row],[Plan]]</f>
        <v>-0.80389599999999994</v>
      </c>
      <c r="AF926">
        <f>IF(DB_ThemeSOFAcct[[#This Row],[Plan]]&lt;&gt;0,DB_ThemeSOFAcct[[#This Row],[Actuals]]/DB_ThemeSOFAcct[[#This Row],[Plan]],1.000011000011)</f>
        <v>0.84560461678871368</v>
      </c>
      <c r="AG926" s="34">
        <f>SUM(DB_ThemeSOFAcct[[#This Row],[Plan01]:[Plan12]])/valUnits2</f>
        <v>11.869714999999998</v>
      </c>
      <c r="AH926" s="34">
        <f>SUMPRODUCT(DB_ThemeSOFAcct[[#This Row],[Act01]:[Act12]],$Q$3:$AB$3)/valUnits2</f>
        <v>4.4028400000000003</v>
      </c>
    </row>
    <row r="927" spans="2:34" x14ac:dyDescent="0.2">
      <c r="B927" t="s">
        <v>348</v>
      </c>
      <c r="C927" t="s">
        <v>905</v>
      </c>
      <c r="D927" t="s">
        <v>141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f>SUMPRODUCT(DB_ThemeSOFAcct[[#This Row],[Plan01]:[Plan12]],$E$14:$P$14)/valUnits2</f>
        <v>0</v>
      </c>
      <c r="AD927">
        <f>SUMPRODUCT(DB_ThemeSOFAcct[[#This Row],[Act01]:[Act12]],$Q$14:$AB$14)/valUnits2</f>
        <v>0</v>
      </c>
      <c r="AE927">
        <f>DB_ThemeSOFAcct[[#This Row],[Actuals]]-DB_ThemeSOFAcct[[#This Row],[Plan]]</f>
        <v>0</v>
      </c>
      <c r="AF927">
        <f>IF(DB_ThemeSOFAcct[[#This Row],[Plan]]&lt;&gt;0,DB_ThemeSOFAcct[[#This Row],[Actuals]]/DB_ThemeSOFAcct[[#This Row],[Plan]],1.000011000011)</f>
        <v>1.0000110000110001</v>
      </c>
      <c r="AG927" s="34">
        <f>SUM(DB_ThemeSOFAcct[[#This Row],[Plan01]:[Plan12]])/valUnits2</f>
        <v>0</v>
      </c>
      <c r="AH927" s="34">
        <f>SUMPRODUCT(DB_ThemeSOFAcct[[#This Row],[Act01]:[Act12]],$Q$3:$AB$3)/valUnits2</f>
        <v>0</v>
      </c>
    </row>
    <row r="928" spans="2:34" x14ac:dyDescent="0.2">
      <c r="B928" t="s">
        <v>348</v>
      </c>
      <c r="C928" t="s">
        <v>908</v>
      </c>
      <c r="D928" t="s">
        <v>143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12.995999999999999</v>
      </c>
      <c r="K928">
        <v>12.995999999999999</v>
      </c>
      <c r="L928">
        <v>12.995999999999999</v>
      </c>
      <c r="M928">
        <v>12.995999999999999</v>
      </c>
      <c r="N928">
        <v>12.995999999999999</v>
      </c>
      <c r="O928">
        <v>12.995999999999999</v>
      </c>
      <c r="P928">
        <v>12.995999999999999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f>SUMPRODUCT(DB_ThemeSOFAcct[[#This Row],[Plan01]:[Plan12]],$E$14:$P$14)/valUnits2</f>
        <v>1.2995999999999999E-2</v>
      </c>
      <c r="AD928">
        <f>SUMPRODUCT(DB_ThemeSOFAcct[[#This Row],[Act01]:[Act12]],$Q$14:$AB$14)/valUnits2</f>
        <v>0</v>
      </c>
      <c r="AE928">
        <f>DB_ThemeSOFAcct[[#This Row],[Actuals]]-DB_ThemeSOFAcct[[#This Row],[Plan]]</f>
        <v>-1.2995999999999999E-2</v>
      </c>
      <c r="AF928">
        <f>IF(DB_ThemeSOFAcct[[#This Row],[Plan]]&lt;&gt;0,DB_ThemeSOFAcct[[#This Row],[Actuals]]/DB_ThemeSOFAcct[[#This Row],[Plan]],1.000011000011)</f>
        <v>0</v>
      </c>
      <c r="AG928" s="34">
        <f>SUM(DB_ThemeSOFAcct[[#This Row],[Plan01]:[Plan12]])/valUnits2</f>
        <v>9.0971999999999983E-2</v>
      </c>
      <c r="AH928" s="34">
        <f>SUMPRODUCT(DB_ThemeSOFAcct[[#This Row],[Act01]:[Act12]],$Q$3:$AB$3)/valUnits2</f>
        <v>0</v>
      </c>
    </row>
    <row r="929" spans="2:34" x14ac:dyDescent="0.2">
      <c r="B929" t="s">
        <v>348</v>
      </c>
      <c r="C929" t="s">
        <v>908</v>
      </c>
      <c r="D929" t="s">
        <v>235</v>
      </c>
      <c r="J929">
        <v>0</v>
      </c>
      <c r="V929">
        <v>34.299999999999997</v>
      </c>
      <c r="AC929">
        <f>SUMPRODUCT(DB_ThemeSOFAcct[[#This Row],[Plan01]:[Plan12]],$E$14:$P$14)/valUnits2</f>
        <v>0</v>
      </c>
      <c r="AD929">
        <f>SUMPRODUCT(DB_ThemeSOFAcct[[#This Row],[Act01]:[Act12]],$Q$14:$AB$14)/valUnits2</f>
        <v>3.4299999999999997E-2</v>
      </c>
      <c r="AE929">
        <f>DB_ThemeSOFAcct[[#This Row],[Actuals]]-DB_ThemeSOFAcct[[#This Row],[Plan]]</f>
        <v>3.4299999999999997E-2</v>
      </c>
      <c r="AF929">
        <f>IF(DB_ThemeSOFAcct[[#This Row],[Plan]]&lt;&gt;0,DB_ThemeSOFAcct[[#This Row],[Actuals]]/DB_ThemeSOFAcct[[#This Row],[Plan]],1.000011000011)</f>
        <v>1.0000110000110001</v>
      </c>
      <c r="AG929" s="34">
        <f>SUM(DB_ThemeSOFAcct[[#This Row],[Plan01]:[Plan12]])/valUnits2</f>
        <v>0</v>
      </c>
      <c r="AH929" s="34">
        <f>SUMPRODUCT(DB_ThemeSOFAcct[[#This Row],[Act01]:[Act12]],$Q$3:$AB$3)/valUnits2</f>
        <v>3.4299999999999997E-2</v>
      </c>
    </row>
    <row r="930" spans="2:34" x14ac:dyDescent="0.2">
      <c r="B930" t="s">
        <v>348</v>
      </c>
      <c r="C930" t="s">
        <v>908</v>
      </c>
      <c r="D930" t="s">
        <v>142</v>
      </c>
      <c r="E930">
        <v>23414.343000000001</v>
      </c>
      <c r="F930">
        <v>4.0000000008717507E-3</v>
      </c>
      <c r="G930">
        <v>-2.0000000000095497E-3</v>
      </c>
      <c r="H930">
        <v>4600.3999999999996</v>
      </c>
      <c r="I930">
        <v>4550.9729999999981</v>
      </c>
      <c r="J930">
        <v>10500.273000000003</v>
      </c>
      <c r="K930">
        <v>30682.978999999996</v>
      </c>
      <c r="L930">
        <v>9799.6959999999999</v>
      </c>
      <c r="M930">
        <v>9891.0759999999991</v>
      </c>
      <c r="N930">
        <v>9799.6960000000017</v>
      </c>
      <c r="O930">
        <v>9799.6960000000017</v>
      </c>
      <c r="P930">
        <v>9891.0450000000001</v>
      </c>
      <c r="Q930">
        <v>23888.880000000001</v>
      </c>
      <c r="R930">
        <v>1.0160761121369433E-12</v>
      </c>
      <c r="S930">
        <v>7.9936057773011271E-15</v>
      </c>
      <c r="T930">
        <v>4540.68</v>
      </c>
      <c r="U930">
        <v>4625.2400000000007</v>
      </c>
      <c r="V930">
        <v>4864.9500000000007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f>SUMPRODUCT(DB_ThemeSOFAcct[[#This Row],[Plan01]:[Plan12]],$E$14:$P$14)/valUnits2</f>
        <v>43.065991000000004</v>
      </c>
      <c r="AD930">
        <f>SUMPRODUCT(DB_ThemeSOFAcct[[#This Row],[Act01]:[Act12]],$Q$14:$AB$14)/valUnits2</f>
        <v>37.919750000000001</v>
      </c>
      <c r="AE930">
        <f>DB_ThemeSOFAcct[[#This Row],[Actuals]]-DB_ThemeSOFAcct[[#This Row],[Plan]]</f>
        <v>-5.1462410000000034</v>
      </c>
      <c r="AF930">
        <f>IF(DB_ThemeSOFAcct[[#This Row],[Plan]]&lt;&gt;0,DB_ThemeSOFAcct[[#This Row],[Actuals]]/DB_ThemeSOFAcct[[#This Row],[Plan]],1.000011000011)</f>
        <v>0.88050336517276473</v>
      </c>
      <c r="AG930" s="34">
        <f>SUM(DB_ThemeSOFAcct[[#This Row],[Plan01]:[Plan12]])/valUnits2</f>
        <v>122.930179</v>
      </c>
      <c r="AH930" s="34">
        <f>SUMPRODUCT(DB_ThemeSOFAcct[[#This Row],[Act01]:[Act12]],$Q$3:$AB$3)/valUnits2</f>
        <v>37.919750000000001</v>
      </c>
    </row>
    <row r="931" spans="2:34" x14ac:dyDescent="0.2">
      <c r="B931" t="s">
        <v>348</v>
      </c>
      <c r="C931" t="s">
        <v>908</v>
      </c>
      <c r="D931" t="s">
        <v>140</v>
      </c>
      <c r="E931">
        <v>0</v>
      </c>
      <c r="F931">
        <v>37.881</v>
      </c>
      <c r="G931">
        <v>72.698999999999998</v>
      </c>
      <c r="H931">
        <v>805.15899999999999</v>
      </c>
      <c r="I931">
        <v>3186.77</v>
      </c>
      <c r="J931">
        <v>811.59699999999998</v>
      </c>
      <c r="K931">
        <v>811.59699999999998</v>
      </c>
      <c r="L931">
        <v>811.59699999999998</v>
      </c>
      <c r="M931">
        <v>811.59699999999998</v>
      </c>
      <c r="N931">
        <v>811.59699999999998</v>
      </c>
      <c r="O931">
        <v>811.59699999999998</v>
      </c>
      <c r="P931">
        <v>811.59699999999998</v>
      </c>
      <c r="Q931">
        <v>0</v>
      </c>
      <c r="R931">
        <v>39.159999999999997</v>
      </c>
      <c r="S931">
        <v>71.28</v>
      </c>
      <c r="T931">
        <v>793.13</v>
      </c>
      <c r="U931">
        <v>3219.7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f>SUMPRODUCT(DB_ThemeSOFAcct[[#This Row],[Plan01]:[Plan12]],$E$14:$P$14)/valUnits2</f>
        <v>4.9141059999999994</v>
      </c>
      <c r="AD931">
        <f>SUMPRODUCT(DB_ThemeSOFAcct[[#This Row],[Act01]:[Act12]],$Q$14:$AB$14)/valUnits2</f>
        <v>4.1232699999999998</v>
      </c>
      <c r="AE931">
        <f>DB_ThemeSOFAcct[[#This Row],[Actuals]]-DB_ThemeSOFAcct[[#This Row],[Plan]]</f>
        <v>-0.79083599999999965</v>
      </c>
      <c r="AF931">
        <f>IF(DB_ThemeSOFAcct[[#This Row],[Plan]]&lt;&gt;0,DB_ThemeSOFAcct[[#This Row],[Actuals]]/DB_ThemeSOFAcct[[#This Row],[Plan]],1.000011000011)</f>
        <v>0.83906818452837617</v>
      </c>
      <c r="AG931" s="34">
        <f>SUM(DB_ThemeSOFAcct[[#This Row],[Plan01]:[Plan12]])/valUnits2</f>
        <v>9.7836879999999979</v>
      </c>
      <c r="AH931" s="34">
        <f>SUMPRODUCT(DB_ThemeSOFAcct[[#This Row],[Act01]:[Act12]],$Q$3:$AB$3)/valUnits2</f>
        <v>4.1232699999999998</v>
      </c>
    </row>
    <row r="932" spans="2:34" x14ac:dyDescent="0.2">
      <c r="B932" t="s">
        <v>348</v>
      </c>
      <c r="C932" t="s">
        <v>908</v>
      </c>
      <c r="D932" t="s">
        <v>236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16383.532000000001</v>
      </c>
      <c r="K932">
        <v>949.072</v>
      </c>
      <c r="L932">
        <v>35.276000000000003</v>
      </c>
      <c r="M932">
        <v>35.276000000000003</v>
      </c>
      <c r="N932">
        <v>35.276000000000003</v>
      </c>
      <c r="O932">
        <v>35.276000000000003</v>
      </c>
      <c r="P932">
        <v>58119.190999999999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33173.29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f>SUMPRODUCT(DB_ThemeSOFAcct[[#This Row],[Plan01]:[Plan12]],$E$14:$P$14)/valUnits2</f>
        <v>16.383532000000002</v>
      </c>
      <c r="AD932">
        <f>SUMPRODUCT(DB_ThemeSOFAcct[[#This Row],[Act01]:[Act12]],$Q$14:$AB$14)/valUnits2</f>
        <v>33.173290000000001</v>
      </c>
      <c r="AE932">
        <f>DB_ThemeSOFAcct[[#This Row],[Actuals]]-DB_ThemeSOFAcct[[#This Row],[Plan]]</f>
        <v>16.789757999999999</v>
      </c>
      <c r="AF932">
        <f>IF(DB_ThemeSOFAcct[[#This Row],[Plan]]&lt;&gt;0,DB_ThemeSOFAcct[[#This Row],[Actuals]]/DB_ThemeSOFAcct[[#This Row],[Plan]],1.000011000011)</f>
        <v>2.0247947756320186</v>
      </c>
      <c r="AG932" s="34">
        <f>SUM(DB_ThemeSOFAcct[[#This Row],[Plan01]:[Plan12]])/valUnits2</f>
        <v>75.592899000000003</v>
      </c>
      <c r="AH932" s="34">
        <f>SUMPRODUCT(DB_ThemeSOFAcct[[#This Row],[Act01]:[Act12]],$Q$3:$AB$3)/valUnits2</f>
        <v>33.173290000000001</v>
      </c>
    </row>
    <row r="933" spans="2:34" x14ac:dyDescent="0.2">
      <c r="B933" t="s">
        <v>348</v>
      </c>
      <c r="C933" t="s">
        <v>908</v>
      </c>
      <c r="D933" t="s">
        <v>237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195.1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f>SUMPRODUCT(DB_ThemeSOFAcct[[#This Row],[Plan01]:[Plan12]],$E$14:$P$14)/valUnits2</f>
        <v>0</v>
      </c>
      <c r="AD933">
        <f>SUMPRODUCT(DB_ThemeSOFAcct[[#This Row],[Act01]:[Act12]],$Q$14:$AB$14)/valUnits2</f>
        <v>0.1951</v>
      </c>
      <c r="AE933">
        <f>DB_ThemeSOFAcct[[#This Row],[Actuals]]-DB_ThemeSOFAcct[[#This Row],[Plan]]</f>
        <v>0.1951</v>
      </c>
      <c r="AF933">
        <f>IF(DB_ThemeSOFAcct[[#This Row],[Plan]]&lt;&gt;0,DB_ThemeSOFAcct[[#This Row],[Actuals]]/DB_ThemeSOFAcct[[#This Row],[Plan]],1.000011000011)</f>
        <v>1.0000110000110001</v>
      </c>
      <c r="AG933" s="34">
        <f>SUM(DB_ThemeSOFAcct[[#This Row],[Plan01]:[Plan12]])/valUnits2</f>
        <v>0</v>
      </c>
      <c r="AH933" s="34">
        <f>SUMPRODUCT(DB_ThemeSOFAcct[[#This Row],[Act01]:[Act12]],$Q$3:$AB$3)/valUnits2</f>
        <v>0.1951</v>
      </c>
    </row>
    <row r="934" spans="2:34" x14ac:dyDescent="0.2">
      <c r="B934" t="s">
        <v>348</v>
      </c>
      <c r="C934" t="s">
        <v>908</v>
      </c>
      <c r="D934" t="s">
        <v>141</v>
      </c>
      <c r="E934">
        <v>22.585999999999999</v>
      </c>
      <c r="F934">
        <v>127.961</v>
      </c>
      <c r="G934">
        <v>435.02499999999998</v>
      </c>
      <c r="H934">
        <v>114.532</v>
      </c>
      <c r="I934">
        <v>309.68900000000002</v>
      </c>
      <c r="J934">
        <v>62.7</v>
      </c>
      <c r="K934">
        <v>62.7</v>
      </c>
      <c r="L934">
        <v>62.7</v>
      </c>
      <c r="M934">
        <v>62.7</v>
      </c>
      <c r="N934">
        <v>62.7</v>
      </c>
      <c r="O934">
        <v>62.7</v>
      </c>
      <c r="P934">
        <v>62.7</v>
      </c>
      <c r="Q934">
        <v>23.11</v>
      </c>
      <c r="R934">
        <v>132.38</v>
      </c>
      <c r="S934">
        <v>430.39000000000004</v>
      </c>
      <c r="T934">
        <v>113.03999999999999</v>
      </c>
      <c r="U934">
        <v>314.29999999999995</v>
      </c>
      <c r="V934">
        <v>33.92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f>SUMPRODUCT(DB_ThemeSOFAcct[[#This Row],[Plan01]:[Plan12]],$E$14:$P$14)/valUnits2</f>
        <v>1.0724930000000001</v>
      </c>
      <c r="AD934">
        <f>SUMPRODUCT(DB_ThemeSOFAcct[[#This Row],[Act01]:[Act12]],$Q$14:$AB$14)/valUnits2</f>
        <v>1.0471400000000002</v>
      </c>
      <c r="AE934">
        <f>DB_ThemeSOFAcct[[#This Row],[Actuals]]-DB_ThemeSOFAcct[[#This Row],[Plan]]</f>
        <v>-2.5352999999999959E-2</v>
      </c>
      <c r="AF934">
        <f>IF(DB_ThemeSOFAcct[[#This Row],[Plan]]&lt;&gt;0,DB_ThemeSOFAcct[[#This Row],[Actuals]]/DB_ThemeSOFAcct[[#This Row],[Plan]],1.000011000011)</f>
        <v>0.97636068487160288</v>
      </c>
      <c r="AG934" s="34">
        <f>SUM(DB_ThemeSOFAcct[[#This Row],[Plan01]:[Plan12]])/valUnits2</f>
        <v>1.4486930000000005</v>
      </c>
      <c r="AH934" s="34">
        <f>SUMPRODUCT(DB_ThemeSOFAcct[[#This Row],[Act01]:[Act12]],$Q$3:$AB$3)/valUnits2</f>
        <v>1.0471400000000002</v>
      </c>
    </row>
    <row r="935" spans="2:34" x14ac:dyDescent="0.2">
      <c r="B935" t="s">
        <v>348</v>
      </c>
      <c r="C935" t="s">
        <v>352</v>
      </c>
      <c r="D935" t="s">
        <v>140</v>
      </c>
      <c r="H935">
        <v>0</v>
      </c>
      <c r="I935">
        <v>0</v>
      </c>
      <c r="T935">
        <v>0</v>
      </c>
      <c r="U935">
        <v>0</v>
      </c>
      <c r="AC935">
        <f>SUMPRODUCT(DB_ThemeSOFAcct[[#This Row],[Plan01]:[Plan12]],$E$14:$P$14)/valUnits2</f>
        <v>0</v>
      </c>
      <c r="AD935">
        <f>SUMPRODUCT(DB_ThemeSOFAcct[[#This Row],[Act01]:[Act12]],$Q$14:$AB$14)/valUnits2</f>
        <v>0</v>
      </c>
      <c r="AE935">
        <f>DB_ThemeSOFAcct[[#This Row],[Actuals]]-DB_ThemeSOFAcct[[#This Row],[Plan]]</f>
        <v>0</v>
      </c>
      <c r="AF935">
        <f>IF(DB_ThemeSOFAcct[[#This Row],[Plan]]&lt;&gt;0,DB_ThemeSOFAcct[[#This Row],[Actuals]]/DB_ThemeSOFAcct[[#This Row],[Plan]],1.000011000011)</f>
        <v>1.0000110000110001</v>
      </c>
      <c r="AG935" s="34">
        <f>SUM(DB_ThemeSOFAcct[[#This Row],[Plan01]:[Plan12]])/valUnits2</f>
        <v>0</v>
      </c>
      <c r="AH935" s="34">
        <f>SUMPRODUCT(DB_ThemeSOFAcct[[#This Row],[Act01]:[Act12]],$Q$3:$AB$3)/valUnits2</f>
        <v>0</v>
      </c>
    </row>
    <row r="936" spans="2:34" x14ac:dyDescent="0.2">
      <c r="B936" t="s">
        <v>348</v>
      </c>
      <c r="C936" t="s">
        <v>909</v>
      </c>
      <c r="D936" t="s">
        <v>143</v>
      </c>
      <c r="E936">
        <v>0</v>
      </c>
      <c r="Q936">
        <v>0</v>
      </c>
      <c r="AC936">
        <f>SUMPRODUCT(DB_ThemeSOFAcct[[#This Row],[Plan01]:[Plan12]],$E$14:$P$14)/valUnits2</f>
        <v>0</v>
      </c>
      <c r="AD936">
        <f>SUMPRODUCT(DB_ThemeSOFAcct[[#This Row],[Act01]:[Act12]],$Q$14:$AB$14)/valUnits2</f>
        <v>0</v>
      </c>
      <c r="AE936">
        <f>DB_ThemeSOFAcct[[#This Row],[Actuals]]-DB_ThemeSOFAcct[[#This Row],[Plan]]</f>
        <v>0</v>
      </c>
      <c r="AF936">
        <f>IF(DB_ThemeSOFAcct[[#This Row],[Plan]]&lt;&gt;0,DB_ThemeSOFAcct[[#This Row],[Actuals]]/DB_ThemeSOFAcct[[#This Row],[Plan]],1.000011000011)</f>
        <v>1.0000110000110001</v>
      </c>
      <c r="AG936" s="34">
        <f>SUM(DB_ThemeSOFAcct[[#This Row],[Plan01]:[Plan12]])/valUnits2</f>
        <v>0</v>
      </c>
      <c r="AH936" s="34">
        <f>SUMPRODUCT(DB_ThemeSOFAcct[[#This Row],[Act01]:[Act12]],$Q$3:$AB$3)/valUnits2</f>
        <v>0</v>
      </c>
    </row>
    <row r="937" spans="2:34" x14ac:dyDescent="0.2">
      <c r="B937" t="s">
        <v>348</v>
      </c>
      <c r="C937" t="s">
        <v>909</v>
      </c>
      <c r="D937" t="s">
        <v>235</v>
      </c>
      <c r="E937">
        <v>68.539999999999992</v>
      </c>
      <c r="F937">
        <v>421.82999999999993</v>
      </c>
      <c r="G937">
        <v>1275.95</v>
      </c>
      <c r="H937">
        <v>223.98999999999998</v>
      </c>
      <c r="I937">
        <v>193.87</v>
      </c>
      <c r="J937">
        <v>2952</v>
      </c>
      <c r="K937">
        <v>2952</v>
      </c>
      <c r="L937">
        <v>2952</v>
      </c>
      <c r="M937">
        <v>2952</v>
      </c>
      <c r="N937">
        <v>2952</v>
      </c>
      <c r="O937">
        <v>2952</v>
      </c>
      <c r="P937">
        <v>2952</v>
      </c>
      <c r="Q937">
        <v>68.539999999999992</v>
      </c>
      <c r="R937">
        <v>421.83000000000004</v>
      </c>
      <c r="S937">
        <v>1275.9499999999998</v>
      </c>
      <c r="T937">
        <v>223.98999999999998</v>
      </c>
      <c r="U937">
        <v>193.87</v>
      </c>
      <c r="V937">
        <v>-778.75000000000011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f>SUMPRODUCT(DB_ThemeSOFAcct[[#This Row],[Plan01]:[Plan12]],$E$14:$P$14)/valUnits2</f>
        <v>5.1361800000000004</v>
      </c>
      <c r="AD937">
        <f>SUMPRODUCT(DB_ThemeSOFAcct[[#This Row],[Act01]:[Act12]],$Q$14:$AB$14)/valUnits2</f>
        <v>1.4054299999999997</v>
      </c>
      <c r="AE937">
        <f>DB_ThemeSOFAcct[[#This Row],[Actuals]]-DB_ThemeSOFAcct[[#This Row],[Plan]]</f>
        <v>-3.7307500000000005</v>
      </c>
      <c r="AF937">
        <f>IF(DB_ThemeSOFAcct[[#This Row],[Plan]]&lt;&gt;0,DB_ThemeSOFAcct[[#This Row],[Actuals]]/DB_ThemeSOFAcct[[#This Row],[Plan]],1.000011000011)</f>
        <v>0.27363332281968306</v>
      </c>
      <c r="AG937" s="34">
        <f>SUM(DB_ThemeSOFAcct[[#This Row],[Plan01]:[Plan12]])/valUnits2</f>
        <v>22.848179999999999</v>
      </c>
      <c r="AH937" s="34">
        <f>SUMPRODUCT(DB_ThemeSOFAcct[[#This Row],[Act01]:[Act12]],$Q$3:$AB$3)/valUnits2</f>
        <v>1.4054299999999997</v>
      </c>
    </row>
    <row r="938" spans="2:34" x14ac:dyDescent="0.2">
      <c r="B938" t="s">
        <v>348</v>
      </c>
      <c r="C938" t="s">
        <v>909</v>
      </c>
      <c r="D938" t="s">
        <v>142</v>
      </c>
      <c r="E938">
        <v>277.92000000000206</v>
      </c>
      <c r="F938">
        <v>1.0000000001298304E-2</v>
      </c>
      <c r="G938">
        <v>184954.08000000002</v>
      </c>
      <c r="H938">
        <v>55841.59</v>
      </c>
      <c r="I938">
        <v>-1.2505552149377763E-12</v>
      </c>
      <c r="J938">
        <v>62751</v>
      </c>
      <c r="K938">
        <v>62751</v>
      </c>
      <c r="L938">
        <v>62751</v>
      </c>
      <c r="M938">
        <v>62751</v>
      </c>
      <c r="N938">
        <v>62751</v>
      </c>
      <c r="O938">
        <v>62751</v>
      </c>
      <c r="P938">
        <v>62751</v>
      </c>
      <c r="Q938">
        <v>277.92000000000007</v>
      </c>
      <c r="R938">
        <v>9.9999999983992893E-3</v>
      </c>
      <c r="S938">
        <v>184954.08000000002</v>
      </c>
      <c r="T938">
        <v>55841.59</v>
      </c>
      <c r="U938">
        <v>-2.2737367544323206E-13</v>
      </c>
      <c r="V938">
        <v>65047.44000000001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f>SUMPRODUCT(DB_ThemeSOFAcct[[#This Row],[Plan01]:[Plan12]],$E$14:$P$14)/valUnits2</f>
        <v>303.82459999999998</v>
      </c>
      <c r="AD938">
        <f>SUMPRODUCT(DB_ThemeSOFAcct[[#This Row],[Act01]:[Act12]],$Q$14:$AB$14)/valUnits2</f>
        <v>306.12104000000005</v>
      </c>
      <c r="AE938">
        <f>DB_ThemeSOFAcct[[#This Row],[Actuals]]-DB_ThemeSOFAcct[[#This Row],[Plan]]</f>
        <v>2.2964400000000751</v>
      </c>
      <c r="AF938">
        <f>IF(DB_ThemeSOFAcct[[#This Row],[Plan]]&lt;&gt;0,DB_ThemeSOFAcct[[#This Row],[Actuals]]/DB_ThemeSOFAcct[[#This Row],[Plan]],1.000011000011)</f>
        <v>1.0075584399683242</v>
      </c>
      <c r="AG938" s="34">
        <f>SUM(DB_ThemeSOFAcct[[#This Row],[Plan01]:[Plan12]])/valUnits2</f>
        <v>680.3306</v>
      </c>
      <c r="AH938" s="34">
        <f>SUMPRODUCT(DB_ThemeSOFAcct[[#This Row],[Act01]:[Act12]],$Q$3:$AB$3)/valUnits2</f>
        <v>306.12104000000005</v>
      </c>
    </row>
    <row r="939" spans="2:34" x14ac:dyDescent="0.2">
      <c r="B939" t="s">
        <v>348</v>
      </c>
      <c r="C939" t="s">
        <v>909</v>
      </c>
      <c r="D939" t="s">
        <v>140</v>
      </c>
      <c r="E939">
        <v>6427.2599999999993</v>
      </c>
      <c r="F939">
        <v>8209.52</v>
      </c>
      <c r="G939">
        <v>9132.16</v>
      </c>
      <c r="H939">
        <v>2054.88</v>
      </c>
      <c r="I939">
        <v>7860.98</v>
      </c>
      <c r="J939">
        <v>14761</v>
      </c>
      <c r="K939">
        <v>14761</v>
      </c>
      <c r="L939">
        <v>14761</v>
      </c>
      <c r="M939">
        <v>14761</v>
      </c>
      <c r="N939">
        <v>14761</v>
      </c>
      <c r="O939">
        <v>14761</v>
      </c>
      <c r="P939">
        <v>14761</v>
      </c>
      <c r="Q939">
        <v>6427.26</v>
      </c>
      <c r="R939">
        <v>8209.5199999999986</v>
      </c>
      <c r="S939">
        <v>9132.16</v>
      </c>
      <c r="T939">
        <v>2054.88</v>
      </c>
      <c r="U939">
        <v>7860.98</v>
      </c>
      <c r="V939">
        <v>8880.18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f>SUMPRODUCT(DB_ThemeSOFAcct[[#This Row],[Plan01]:[Plan12]],$E$14:$P$14)/valUnits2</f>
        <v>48.445800000000006</v>
      </c>
      <c r="AD939">
        <f>SUMPRODUCT(DB_ThemeSOFAcct[[#This Row],[Act01]:[Act12]],$Q$14:$AB$14)/valUnits2</f>
        <v>42.564980000000006</v>
      </c>
      <c r="AE939">
        <f>DB_ThemeSOFAcct[[#This Row],[Actuals]]-DB_ThemeSOFAcct[[#This Row],[Plan]]</f>
        <v>-5.8808199999999999</v>
      </c>
      <c r="AF939">
        <f>IF(DB_ThemeSOFAcct[[#This Row],[Plan]]&lt;&gt;0,DB_ThemeSOFAcct[[#This Row],[Actuals]]/DB_ThemeSOFAcct[[#This Row],[Plan]],1.000011000011)</f>
        <v>0.87861032328911903</v>
      </c>
      <c r="AG939" s="34">
        <f>SUM(DB_ThemeSOFAcct[[#This Row],[Plan01]:[Plan12]])/valUnits2</f>
        <v>137.01179999999999</v>
      </c>
      <c r="AH939" s="34">
        <f>SUMPRODUCT(DB_ThemeSOFAcct[[#This Row],[Act01]:[Act12]],$Q$3:$AB$3)/valUnits2</f>
        <v>42.564980000000006</v>
      </c>
    </row>
    <row r="940" spans="2:34" x14ac:dyDescent="0.2">
      <c r="B940" t="s">
        <v>348</v>
      </c>
      <c r="C940" t="s">
        <v>909</v>
      </c>
      <c r="D940" t="s">
        <v>236</v>
      </c>
      <c r="E940">
        <v>38.31</v>
      </c>
      <c r="F940">
        <v>-21691.960000000003</v>
      </c>
      <c r="G940">
        <v>190.51999999999998</v>
      </c>
      <c r="H940">
        <v>999.11</v>
      </c>
      <c r="I940">
        <v>810.33999999999992</v>
      </c>
      <c r="J940">
        <v>217</v>
      </c>
      <c r="K940">
        <v>217</v>
      </c>
      <c r="L940">
        <v>217</v>
      </c>
      <c r="M940">
        <v>217</v>
      </c>
      <c r="N940">
        <v>217</v>
      </c>
      <c r="O940">
        <v>217</v>
      </c>
      <c r="P940">
        <v>217</v>
      </c>
      <c r="Q940">
        <v>38.31</v>
      </c>
      <c r="R940">
        <v>-21691.960000000003</v>
      </c>
      <c r="S940">
        <v>190.51999999999998</v>
      </c>
      <c r="T940">
        <v>999.11</v>
      </c>
      <c r="U940">
        <v>810.33999999999992</v>
      </c>
      <c r="V940">
        <v>7871.0099999999993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f>SUMPRODUCT(DB_ThemeSOFAcct[[#This Row],[Plan01]:[Plan12]],$E$14:$P$14)/valUnits2</f>
        <v>-19.436679999999999</v>
      </c>
      <c r="AD940">
        <f>SUMPRODUCT(DB_ThemeSOFAcct[[#This Row],[Act01]:[Act12]],$Q$14:$AB$14)/valUnits2</f>
        <v>-11.782670000000001</v>
      </c>
      <c r="AE940">
        <f>DB_ThemeSOFAcct[[#This Row],[Actuals]]-DB_ThemeSOFAcct[[#This Row],[Plan]]</f>
        <v>7.6540099999999978</v>
      </c>
      <c r="AF940">
        <f>IF(DB_ThemeSOFAcct[[#This Row],[Plan]]&lt;&gt;0,DB_ThemeSOFAcct[[#This Row],[Actuals]]/DB_ThemeSOFAcct[[#This Row],[Plan]],1.000011000011)</f>
        <v>0.60620795321011622</v>
      </c>
      <c r="AG940" s="34">
        <f>SUM(DB_ThemeSOFAcct[[#This Row],[Plan01]:[Plan12]])/valUnits2</f>
        <v>-18.134679999999999</v>
      </c>
      <c r="AH940" s="34">
        <f>SUMPRODUCT(DB_ThemeSOFAcct[[#This Row],[Act01]:[Act12]],$Q$3:$AB$3)/valUnits2</f>
        <v>-11.782670000000001</v>
      </c>
    </row>
    <row r="941" spans="2:34" x14ac:dyDescent="0.2">
      <c r="B941" t="s">
        <v>348</v>
      </c>
      <c r="C941" t="s">
        <v>909</v>
      </c>
      <c r="D941" t="s">
        <v>237</v>
      </c>
      <c r="H941">
        <v>0.66</v>
      </c>
      <c r="T941">
        <v>0.66</v>
      </c>
      <c r="AC941">
        <f>SUMPRODUCT(DB_ThemeSOFAcct[[#This Row],[Plan01]:[Plan12]],$E$14:$P$14)/valUnits2</f>
        <v>6.6E-4</v>
      </c>
      <c r="AD941">
        <f>SUMPRODUCT(DB_ThemeSOFAcct[[#This Row],[Act01]:[Act12]],$Q$14:$AB$14)/valUnits2</f>
        <v>6.6E-4</v>
      </c>
      <c r="AE941">
        <f>DB_ThemeSOFAcct[[#This Row],[Actuals]]-DB_ThemeSOFAcct[[#This Row],[Plan]]</f>
        <v>0</v>
      </c>
      <c r="AF941">
        <f>IF(DB_ThemeSOFAcct[[#This Row],[Plan]]&lt;&gt;0,DB_ThemeSOFAcct[[#This Row],[Actuals]]/DB_ThemeSOFAcct[[#This Row],[Plan]],1.000011000011)</f>
        <v>1</v>
      </c>
      <c r="AG941" s="34">
        <f>SUM(DB_ThemeSOFAcct[[#This Row],[Plan01]:[Plan12]])/valUnits2</f>
        <v>6.6E-4</v>
      </c>
      <c r="AH941" s="34">
        <f>SUMPRODUCT(DB_ThemeSOFAcct[[#This Row],[Act01]:[Act12]],$Q$3:$AB$3)/valUnits2</f>
        <v>6.6E-4</v>
      </c>
    </row>
    <row r="942" spans="2:34" x14ac:dyDescent="0.2">
      <c r="B942" t="s">
        <v>348</v>
      </c>
      <c r="C942" t="s">
        <v>909</v>
      </c>
      <c r="D942" t="s">
        <v>141</v>
      </c>
      <c r="E942">
        <v>749.56000000000006</v>
      </c>
      <c r="F942">
        <v>696.48</v>
      </c>
      <c r="G942">
        <v>753.11000000000013</v>
      </c>
      <c r="H942">
        <v>1198.03</v>
      </c>
      <c r="I942">
        <v>1218.9099999999999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749.56</v>
      </c>
      <c r="R942">
        <v>696.4799999999999</v>
      </c>
      <c r="S942">
        <v>753.10999999999979</v>
      </c>
      <c r="T942">
        <v>1198.03</v>
      </c>
      <c r="U942">
        <v>1218.9100000000001</v>
      </c>
      <c r="V942">
        <v>891.88999999999987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f>SUMPRODUCT(DB_ThemeSOFAcct[[#This Row],[Plan01]:[Plan12]],$E$14:$P$14)/valUnits2</f>
        <v>4.6160899999999998</v>
      </c>
      <c r="AD942">
        <f>SUMPRODUCT(DB_ThemeSOFAcct[[#This Row],[Act01]:[Act12]],$Q$14:$AB$14)/valUnits2</f>
        <v>5.5079799999999999</v>
      </c>
      <c r="AE942">
        <f>DB_ThemeSOFAcct[[#This Row],[Actuals]]-DB_ThemeSOFAcct[[#This Row],[Plan]]</f>
        <v>0.89189000000000007</v>
      </c>
      <c r="AF942">
        <f>IF(DB_ThemeSOFAcct[[#This Row],[Plan]]&lt;&gt;0,DB_ThemeSOFAcct[[#This Row],[Actuals]]/DB_ThemeSOFAcct[[#This Row],[Plan]],1.000011000011)</f>
        <v>1.1932133039000539</v>
      </c>
      <c r="AG942" s="34">
        <f>SUM(DB_ThemeSOFAcct[[#This Row],[Plan01]:[Plan12]])/valUnits2</f>
        <v>4.6160899999999998</v>
      </c>
      <c r="AH942" s="34">
        <f>SUMPRODUCT(DB_ThemeSOFAcct[[#This Row],[Act01]:[Act12]],$Q$3:$AB$3)/valUnits2</f>
        <v>5.5079799999999999</v>
      </c>
    </row>
    <row r="943" spans="2:34" x14ac:dyDescent="0.2">
      <c r="B943" t="s">
        <v>348</v>
      </c>
      <c r="C943" t="s">
        <v>914</v>
      </c>
      <c r="D943" t="s">
        <v>141</v>
      </c>
      <c r="G943">
        <v>559.72</v>
      </c>
      <c r="S943">
        <v>559.72</v>
      </c>
      <c r="AC943">
        <f>SUMPRODUCT(DB_ThemeSOFAcct[[#This Row],[Plan01]:[Plan12]],$E$14:$P$14)/valUnits2</f>
        <v>0.55972</v>
      </c>
      <c r="AD943">
        <f>SUMPRODUCT(DB_ThemeSOFAcct[[#This Row],[Act01]:[Act12]],$Q$14:$AB$14)/valUnits2</f>
        <v>0.55972</v>
      </c>
      <c r="AE943">
        <f>DB_ThemeSOFAcct[[#This Row],[Actuals]]-DB_ThemeSOFAcct[[#This Row],[Plan]]</f>
        <v>0</v>
      </c>
      <c r="AF943">
        <f>IF(DB_ThemeSOFAcct[[#This Row],[Plan]]&lt;&gt;0,DB_ThemeSOFAcct[[#This Row],[Actuals]]/DB_ThemeSOFAcct[[#This Row],[Plan]],1.000011000011)</f>
        <v>1</v>
      </c>
      <c r="AG943" s="34">
        <f>SUM(DB_ThemeSOFAcct[[#This Row],[Plan01]:[Plan12]])/valUnits2</f>
        <v>0.55972</v>
      </c>
      <c r="AH943" s="34">
        <f>SUMPRODUCT(DB_ThemeSOFAcct[[#This Row],[Act01]:[Act12]],$Q$3:$AB$3)/valUnits2</f>
        <v>0.55972</v>
      </c>
    </row>
    <row r="944" spans="2:34" x14ac:dyDescent="0.2">
      <c r="B944" t="s">
        <v>348</v>
      </c>
      <c r="C944" t="s">
        <v>917</v>
      </c>
      <c r="D944" t="s">
        <v>235</v>
      </c>
      <c r="E944">
        <v>0</v>
      </c>
      <c r="F944">
        <v>0</v>
      </c>
      <c r="G944">
        <v>0</v>
      </c>
      <c r="H944">
        <v>467.28300000000002</v>
      </c>
      <c r="I944">
        <v>264.452</v>
      </c>
      <c r="J944">
        <v>4494.8609999999999</v>
      </c>
      <c r="Q944">
        <v>0</v>
      </c>
      <c r="R944">
        <v>0</v>
      </c>
      <c r="S944">
        <v>0</v>
      </c>
      <c r="T944">
        <v>469.9</v>
      </c>
      <c r="U944">
        <v>265.76</v>
      </c>
      <c r="V944">
        <v>1002.3000000000001</v>
      </c>
      <c r="AC944">
        <f>SUMPRODUCT(DB_ThemeSOFAcct[[#This Row],[Plan01]:[Plan12]],$E$14:$P$14)/valUnits2</f>
        <v>5.2265959999999998</v>
      </c>
      <c r="AD944">
        <f>SUMPRODUCT(DB_ThemeSOFAcct[[#This Row],[Act01]:[Act12]],$Q$14:$AB$14)/valUnits2</f>
        <v>1.7379599999999999</v>
      </c>
      <c r="AE944">
        <f>DB_ThemeSOFAcct[[#This Row],[Actuals]]-DB_ThemeSOFAcct[[#This Row],[Plan]]</f>
        <v>-3.4886359999999996</v>
      </c>
      <c r="AF944">
        <f>IF(DB_ThemeSOFAcct[[#This Row],[Plan]]&lt;&gt;0,DB_ThemeSOFAcct[[#This Row],[Actuals]]/DB_ThemeSOFAcct[[#This Row],[Plan]],1.000011000011)</f>
        <v>0.33252235298079286</v>
      </c>
      <c r="AG944" s="34">
        <f>SUM(DB_ThemeSOFAcct[[#This Row],[Plan01]:[Plan12]])/valUnits2</f>
        <v>5.2265959999999998</v>
      </c>
      <c r="AH944" s="34">
        <f>SUMPRODUCT(DB_ThemeSOFAcct[[#This Row],[Act01]:[Act12]],$Q$3:$AB$3)/valUnits2</f>
        <v>1.7379599999999999</v>
      </c>
    </row>
    <row r="945" spans="2:34" x14ac:dyDescent="0.2">
      <c r="B945" t="s">
        <v>348</v>
      </c>
      <c r="C945" t="s">
        <v>917</v>
      </c>
      <c r="D945" t="s">
        <v>140</v>
      </c>
      <c r="E945">
        <v>0</v>
      </c>
      <c r="F945">
        <v>1066.8019999999999</v>
      </c>
      <c r="G945">
        <v>1484.577</v>
      </c>
      <c r="H945">
        <v>0</v>
      </c>
      <c r="I945">
        <v>0</v>
      </c>
      <c r="J945">
        <v>2087.8760000000002</v>
      </c>
      <c r="K945">
        <v>1068.548</v>
      </c>
      <c r="L945">
        <v>1068.548</v>
      </c>
      <c r="M945">
        <v>1068.548</v>
      </c>
      <c r="N945">
        <v>1068.548</v>
      </c>
      <c r="O945">
        <v>1068.548</v>
      </c>
      <c r="P945">
        <v>1068.548</v>
      </c>
      <c r="Q945">
        <v>0</v>
      </c>
      <c r="R945">
        <v>1066.81</v>
      </c>
      <c r="S945">
        <v>1474.94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f>SUMPRODUCT(DB_ThemeSOFAcct[[#This Row],[Plan01]:[Plan12]],$E$14:$P$14)/valUnits2</f>
        <v>4.6392550000000004</v>
      </c>
      <c r="AD945">
        <f>SUMPRODUCT(DB_ThemeSOFAcct[[#This Row],[Act01]:[Act12]],$Q$14:$AB$14)/valUnits2</f>
        <v>2.54175</v>
      </c>
      <c r="AE945">
        <f>DB_ThemeSOFAcct[[#This Row],[Actuals]]-DB_ThemeSOFAcct[[#This Row],[Plan]]</f>
        <v>-2.0975050000000004</v>
      </c>
      <c r="AF945">
        <f>IF(DB_ThemeSOFAcct[[#This Row],[Plan]]&lt;&gt;0,DB_ThemeSOFAcct[[#This Row],[Actuals]]/DB_ThemeSOFAcct[[#This Row],[Plan]],1.000011000011)</f>
        <v>0.54787891590352322</v>
      </c>
      <c r="AG945" s="34">
        <f>SUM(DB_ThemeSOFAcct[[#This Row],[Plan01]:[Plan12]])/valUnits2</f>
        <v>11.050543000000001</v>
      </c>
      <c r="AH945" s="34">
        <f>SUMPRODUCT(DB_ThemeSOFAcct[[#This Row],[Act01]:[Act12]],$Q$3:$AB$3)/valUnits2</f>
        <v>2.54175</v>
      </c>
    </row>
    <row r="946" spans="2:34" x14ac:dyDescent="0.2">
      <c r="B946" t="s">
        <v>348</v>
      </c>
      <c r="C946" t="s">
        <v>917</v>
      </c>
      <c r="D946" t="s">
        <v>236</v>
      </c>
      <c r="E946">
        <v>0</v>
      </c>
      <c r="F946">
        <v>34568.561000000002</v>
      </c>
      <c r="G946">
        <v>0</v>
      </c>
      <c r="H946">
        <v>0</v>
      </c>
      <c r="I946">
        <v>25.684999999999999</v>
      </c>
      <c r="J946">
        <v>3546.2790000000005</v>
      </c>
      <c r="K946">
        <v>2338.808</v>
      </c>
      <c r="L946">
        <v>2338.808</v>
      </c>
      <c r="M946">
        <v>2338.808</v>
      </c>
      <c r="N946">
        <v>2338.808</v>
      </c>
      <c r="O946">
        <v>2338.808</v>
      </c>
      <c r="P946">
        <v>2338.808</v>
      </c>
      <c r="Q946">
        <v>0</v>
      </c>
      <c r="R946">
        <v>33721.01</v>
      </c>
      <c r="S946">
        <v>0</v>
      </c>
      <c r="T946">
        <v>0</v>
      </c>
      <c r="U946">
        <v>25.81</v>
      </c>
      <c r="V946">
        <v>16221.91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f>SUMPRODUCT(DB_ThemeSOFAcct[[#This Row],[Plan01]:[Plan12]],$E$14:$P$14)/valUnits2</f>
        <v>38.140525000000004</v>
      </c>
      <c r="AD946">
        <f>SUMPRODUCT(DB_ThemeSOFAcct[[#This Row],[Act01]:[Act12]],$Q$14:$AB$14)/valUnits2</f>
        <v>49.968729999999994</v>
      </c>
      <c r="AE946">
        <f>DB_ThemeSOFAcct[[#This Row],[Actuals]]-DB_ThemeSOFAcct[[#This Row],[Plan]]</f>
        <v>11.82820499999999</v>
      </c>
      <c r="AF946">
        <f>IF(DB_ThemeSOFAcct[[#This Row],[Plan]]&lt;&gt;0,DB_ThemeSOFAcct[[#This Row],[Actuals]]/DB_ThemeSOFAcct[[#This Row],[Plan]],1.000011000011)</f>
        <v>1.310121714370738</v>
      </c>
      <c r="AG946" s="34">
        <f>SUM(DB_ThemeSOFAcct[[#This Row],[Plan01]:[Plan12]])/valUnits2</f>
        <v>52.173372999999984</v>
      </c>
      <c r="AH946" s="34">
        <f>SUMPRODUCT(DB_ThemeSOFAcct[[#This Row],[Act01]:[Act12]],$Q$3:$AB$3)/valUnits2</f>
        <v>49.968729999999994</v>
      </c>
    </row>
    <row r="947" spans="2:34" x14ac:dyDescent="0.2">
      <c r="B947" t="s">
        <v>348</v>
      </c>
      <c r="C947" t="s">
        <v>917</v>
      </c>
      <c r="D947" t="s">
        <v>141</v>
      </c>
      <c r="E947">
        <v>12.03</v>
      </c>
      <c r="G947">
        <v>0</v>
      </c>
      <c r="H947">
        <v>95.500999999999991</v>
      </c>
      <c r="I947">
        <v>145.518</v>
      </c>
      <c r="J947">
        <v>584.33199999999999</v>
      </c>
      <c r="K947">
        <v>806.93499999999995</v>
      </c>
      <c r="L947">
        <v>806.93499999999995</v>
      </c>
      <c r="M947">
        <v>806.93499999999995</v>
      </c>
      <c r="N947">
        <v>806.93499999999995</v>
      </c>
      <c r="O947">
        <v>806.93499999999995</v>
      </c>
      <c r="P947">
        <v>806.93499999999995</v>
      </c>
      <c r="Q947">
        <v>12.02</v>
      </c>
      <c r="S947">
        <v>0</v>
      </c>
      <c r="T947">
        <v>95.75</v>
      </c>
      <c r="U947">
        <v>146.19999999999999</v>
      </c>
      <c r="V947">
        <v>151.59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f>SUMPRODUCT(DB_ThemeSOFAcct[[#This Row],[Plan01]:[Plan12]],$E$14:$P$14)/valUnits2</f>
        <v>0.83738099999999993</v>
      </c>
      <c r="AD947">
        <f>SUMPRODUCT(DB_ThemeSOFAcct[[#This Row],[Act01]:[Act12]],$Q$14:$AB$14)/valUnits2</f>
        <v>0.40555999999999992</v>
      </c>
      <c r="AE947">
        <f>DB_ThemeSOFAcct[[#This Row],[Actuals]]-DB_ThemeSOFAcct[[#This Row],[Plan]]</f>
        <v>-0.43182100000000001</v>
      </c>
      <c r="AF947">
        <f>IF(DB_ThemeSOFAcct[[#This Row],[Plan]]&lt;&gt;0,DB_ThemeSOFAcct[[#This Row],[Actuals]]/DB_ThemeSOFAcct[[#This Row],[Plan]],1.000011000011)</f>
        <v>0.48431956301850648</v>
      </c>
      <c r="AG947" s="34">
        <f>SUM(DB_ThemeSOFAcct[[#This Row],[Plan01]:[Plan12]])/valUnits2</f>
        <v>5.6789909999999999</v>
      </c>
      <c r="AH947" s="34">
        <f>SUMPRODUCT(DB_ThemeSOFAcct[[#This Row],[Act01]:[Act12]],$Q$3:$AB$3)/valUnits2</f>
        <v>0.40555999999999992</v>
      </c>
    </row>
    <row r="948" spans="2:34" x14ac:dyDescent="0.2">
      <c r="B948" t="s">
        <v>348</v>
      </c>
      <c r="C948" t="s">
        <v>920</v>
      </c>
      <c r="D948" t="s">
        <v>140</v>
      </c>
      <c r="I948">
        <v>774.19</v>
      </c>
      <c r="U948">
        <v>774.19</v>
      </c>
      <c r="AC948">
        <f>SUMPRODUCT(DB_ThemeSOFAcct[[#This Row],[Plan01]:[Plan12]],$E$14:$P$14)/valUnits2</f>
        <v>0.77419000000000004</v>
      </c>
      <c r="AD948">
        <f>SUMPRODUCT(DB_ThemeSOFAcct[[#This Row],[Act01]:[Act12]],$Q$14:$AB$14)/valUnits2</f>
        <v>0.77419000000000004</v>
      </c>
      <c r="AE948">
        <f>DB_ThemeSOFAcct[[#This Row],[Actuals]]-DB_ThemeSOFAcct[[#This Row],[Plan]]</f>
        <v>0</v>
      </c>
      <c r="AF948">
        <f>IF(DB_ThemeSOFAcct[[#This Row],[Plan]]&lt;&gt;0,DB_ThemeSOFAcct[[#This Row],[Actuals]]/DB_ThemeSOFAcct[[#This Row],[Plan]],1.000011000011)</f>
        <v>1</v>
      </c>
      <c r="AG948" s="34">
        <f>SUM(DB_ThemeSOFAcct[[#This Row],[Plan01]:[Plan12]])/valUnits2</f>
        <v>0.77419000000000004</v>
      </c>
      <c r="AH948" s="34">
        <f>SUMPRODUCT(DB_ThemeSOFAcct[[#This Row],[Act01]:[Act12]],$Q$3:$AB$3)/valUnits2</f>
        <v>0.77419000000000004</v>
      </c>
    </row>
    <row r="949" spans="2:34" x14ac:dyDescent="0.2">
      <c r="B949" t="s">
        <v>348</v>
      </c>
      <c r="C949" t="s">
        <v>921</v>
      </c>
      <c r="D949" t="s">
        <v>143</v>
      </c>
      <c r="F949">
        <v>0</v>
      </c>
      <c r="R949">
        <v>0</v>
      </c>
      <c r="AC949">
        <f>SUMPRODUCT(DB_ThemeSOFAcct[[#This Row],[Plan01]:[Plan12]],$E$14:$P$14)/valUnits2</f>
        <v>0</v>
      </c>
      <c r="AD949">
        <f>SUMPRODUCT(DB_ThemeSOFAcct[[#This Row],[Act01]:[Act12]],$Q$14:$AB$14)/valUnits2</f>
        <v>0</v>
      </c>
      <c r="AE949">
        <f>DB_ThemeSOFAcct[[#This Row],[Actuals]]-DB_ThemeSOFAcct[[#This Row],[Plan]]</f>
        <v>0</v>
      </c>
      <c r="AF949">
        <f>IF(DB_ThemeSOFAcct[[#This Row],[Plan]]&lt;&gt;0,DB_ThemeSOFAcct[[#This Row],[Actuals]]/DB_ThemeSOFAcct[[#This Row],[Plan]],1.000011000011)</f>
        <v>1.0000110000110001</v>
      </c>
      <c r="AG949" s="34">
        <f>SUM(DB_ThemeSOFAcct[[#This Row],[Plan01]:[Plan12]])/valUnits2</f>
        <v>0</v>
      </c>
      <c r="AH949" s="34">
        <f>SUMPRODUCT(DB_ThemeSOFAcct[[#This Row],[Act01]:[Act12]],$Q$3:$AB$3)/valUnits2</f>
        <v>0</v>
      </c>
    </row>
    <row r="950" spans="2:34" x14ac:dyDescent="0.2">
      <c r="B950" t="s">
        <v>348</v>
      </c>
      <c r="C950" t="s">
        <v>921</v>
      </c>
      <c r="D950" t="s">
        <v>235</v>
      </c>
      <c r="E950">
        <v>18.922000000000001</v>
      </c>
      <c r="F950">
        <v>59.616</v>
      </c>
      <c r="G950">
        <v>164.94900000000001</v>
      </c>
      <c r="H950">
        <v>160.34800000000001</v>
      </c>
      <c r="Q950">
        <v>18.919999999999998</v>
      </c>
      <c r="R950">
        <v>59.36</v>
      </c>
      <c r="S950">
        <v>163.81</v>
      </c>
      <c r="T950">
        <v>161.04</v>
      </c>
      <c r="AC950">
        <f>SUMPRODUCT(DB_ThemeSOFAcct[[#This Row],[Plan01]:[Plan12]],$E$14:$P$14)/valUnits2</f>
        <v>0.40383500000000006</v>
      </c>
      <c r="AD950">
        <f>SUMPRODUCT(DB_ThemeSOFAcct[[#This Row],[Act01]:[Act12]],$Q$14:$AB$14)/valUnits2</f>
        <v>0.40312999999999999</v>
      </c>
      <c r="AE950">
        <f>DB_ThemeSOFAcct[[#This Row],[Actuals]]-DB_ThemeSOFAcct[[#This Row],[Plan]]</f>
        <v>-7.0500000000006668E-4</v>
      </c>
      <c r="AF950">
        <f>IF(DB_ThemeSOFAcct[[#This Row],[Plan]]&lt;&gt;0,DB_ThemeSOFAcct[[#This Row],[Actuals]]/DB_ThemeSOFAcct[[#This Row],[Plan]],1.000011000011)</f>
        <v>0.99825423749798792</v>
      </c>
      <c r="AG950" s="34">
        <f>SUM(DB_ThemeSOFAcct[[#This Row],[Plan01]:[Plan12]])/valUnits2</f>
        <v>0.40383500000000006</v>
      </c>
      <c r="AH950" s="34">
        <f>SUMPRODUCT(DB_ThemeSOFAcct[[#This Row],[Act01]:[Act12]],$Q$3:$AB$3)/valUnits2</f>
        <v>0.40312999999999999</v>
      </c>
    </row>
    <row r="951" spans="2:34" x14ac:dyDescent="0.2">
      <c r="B951" t="s">
        <v>348</v>
      </c>
      <c r="C951" t="s">
        <v>921</v>
      </c>
      <c r="D951" t="s">
        <v>140</v>
      </c>
      <c r="E951">
        <v>2695.8019999999997</v>
      </c>
      <c r="F951">
        <v>2890.7069999999999</v>
      </c>
      <c r="G951">
        <v>3217.0510000000004</v>
      </c>
      <c r="H951">
        <v>8509.4399999999987</v>
      </c>
      <c r="I951">
        <v>4979.51</v>
      </c>
      <c r="Q951">
        <v>2695.8199999999997</v>
      </c>
      <c r="R951">
        <v>2890.6800000000003</v>
      </c>
      <c r="S951">
        <v>3196.13</v>
      </c>
      <c r="T951">
        <v>8414.66</v>
      </c>
      <c r="U951">
        <v>4997.68</v>
      </c>
      <c r="AC951">
        <f>SUMPRODUCT(DB_ThemeSOFAcct[[#This Row],[Plan01]:[Plan12]],$E$14:$P$14)/valUnits2</f>
        <v>22.292510000000004</v>
      </c>
      <c r="AD951">
        <f>SUMPRODUCT(DB_ThemeSOFAcct[[#This Row],[Act01]:[Act12]],$Q$14:$AB$14)/valUnits2</f>
        <v>22.194970000000001</v>
      </c>
      <c r="AE951">
        <f>DB_ThemeSOFAcct[[#This Row],[Actuals]]-DB_ThemeSOFAcct[[#This Row],[Plan]]</f>
        <v>-9.7540000000002181E-2</v>
      </c>
      <c r="AF951">
        <f>IF(DB_ThemeSOFAcct[[#This Row],[Plan]]&lt;&gt;0,DB_ThemeSOFAcct[[#This Row],[Actuals]]/DB_ThemeSOFAcct[[#This Row],[Plan]],1.000011000011)</f>
        <v>0.99562453936322104</v>
      </c>
      <c r="AG951" s="34">
        <f>SUM(DB_ThemeSOFAcct[[#This Row],[Plan01]:[Plan12]])/valUnits2</f>
        <v>22.292510000000004</v>
      </c>
      <c r="AH951" s="34">
        <f>SUMPRODUCT(DB_ThemeSOFAcct[[#This Row],[Act01]:[Act12]],$Q$3:$AB$3)/valUnits2</f>
        <v>22.194970000000001</v>
      </c>
    </row>
    <row r="952" spans="2:34" x14ac:dyDescent="0.2">
      <c r="B952" t="s">
        <v>348</v>
      </c>
      <c r="C952" t="s">
        <v>921</v>
      </c>
      <c r="D952" t="s">
        <v>236</v>
      </c>
      <c r="E952">
        <v>10.627000000000001</v>
      </c>
      <c r="F952">
        <v>540.68700000000001</v>
      </c>
      <c r="G952">
        <v>186.85900000000001</v>
      </c>
      <c r="H952">
        <v>160.93799999999999</v>
      </c>
      <c r="Q952">
        <v>10.63</v>
      </c>
      <c r="R952">
        <v>538.97</v>
      </c>
      <c r="S952">
        <v>185.65</v>
      </c>
      <c r="T952">
        <v>161.66999999999999</v>
      </c>
      <c r="AC952">
        <f>SUMPRODUCT(DB_ThemeSOFAcct[[#This Row],[Plan01]:[Plan12]],$E$14:$P$14)/valUnits2</f>
        <v>0.89911099999999999</v>
      </c>
      <c r="AD952">
        <f>SUMPRODUCT(DB_ThemeSOFAcct[[#This Row],[Act01]:[Act12]],$Q$14:$AB$14)/valUnits2</f>
        <v>0.89691999999999994</v>
      </c>
      <c r="AE952">
        <f>DB_ThemeSOFAcct[[#This Row],[Actuals]]-DB_ThemeSOFAcct[[#This Row],[Plan]]</f>
        <v>-2.191000000000054E-3</v>
      </c>
      <c r="AF952">
        <f>IF(DB_ThemeSOFAcct[[#This Row],[Plan]]&lt;&gt;0,DB_ThemeSOFAcct[[#This Row],[Actuals]]/DB_ThemeSOFAcct[[#This Row],[Plan]],1.000011000011)</f>
        <v>0.99756314848778394</v>
      </c>
      <c r="AG952" s="34">
        <f>SUM(DB_ThemeSOFAcct[[#This Row],[Plan01]:[Plan12]])/valUnits2</f>
        <v>0.89911099999999999</v>
      </c>
      <c r="AH952" s="34">
        <f>SUMPRODUCT(DB_ThemeSOFAcct[[#This Row],[Act01]:[Act12]],$Q$3:$AB$3)/valUnits2</f>
        <v>0.89691999999999994</v>
      </c>
    </row>
    <row r="953" spans="2:34" x14ac:dyDescent="0.2">
      <c r="B953" t="s">
        <v>348</v>
      </c>
      <c r="C953" t="s">
        <v>921</v>
      </c>
      <c r="D953" t="s">
        <v>237</v>
      </c>
      <c r="F953">
        <v>210.42599999999999</v>
      </c>
      <c r="R953">
        <v>208.39</v>
      </c>
      <c r="AC953">
        <f>SUMPRODUCT(DB_ThemeSOFAcct[[#This Row],[Plan01]:[Plan12]],$E$14:$P$14)/valUnits2</f>
        <v>0.21042599999999997</v>
      </c>
      <c r="AD953">
        <f>SUMPRODUCT(DB_ThemeSOFAcct[[#This Row],[Act01]:[Act12]],$Q$14:$AB$14)/valUnits2</f>
        <v>0.20838999999999999</v>
      </c>
      <c r="AE953">
        <f>DB_ThemeSOFAcct[[#This Row],[Actuals]]-DB_ThemeSOFAcct[[#This Row],[Plan]]</f>
        <v>-2.0359999999999823E-3</v>
      </c>
      <c r="AF953">
        <f>IF(DB_ThemeSOFAcct[[#This Row],[Plan]]&lt;&gt;0,DB_ThemeSOFAcct[[#This Row],[Actuals]]/DB_ThemeSOFAcct[[#This Row],[Plan]],1.000011000011)</f>
        <v>0.99032438957163094</v>
      </c>
      <c r="AG953" s="34">
        <f>SUM(DB_ThemeSOFAcct[[#This Row],[Plan01]:[Plan12]])/valUnits2</f>
        <v>0.21042599999999997</v>
      </c>
      <c r="AH953" s="34">
        <f>SUMPRODUCT(DB_ThemeSOFAcct[[#This Row],[Act01]:[Act12]],$Q$3:$AB$3)/valUnits2</f>
        <v>0.20838999999999999</v>
      </c>
    </row>
    <row r="954" spans="2:34" x14ac:dyDescent="0.2">
      <c r="B954" t="s">
        <v>348</v>
      </c>
      <c r="C954" t="s">
        <v>921</v>
      </c>
      <c r="D954" t="s">
        <v>141</v>
      </c>
      <c r="E954">
        <v>776.16499999999996</v>
      </c>
      <c r="F954">
        <v>634.68600000000015</v>
      </c>
      <c r="G954">
        <v>325.83299999999997</v>
      </c>
      <c r="H954">
        <v>1742.586</v>
      </c>
      <c r="Q954">
        <v>775.90999999999985</v>
      </c>
      <c r="R954">
        <v>632.44000000000005</v>
      </c>
      <c r="S954">
        <v>323.44999999999993</v>
      </c>
      <c r="T954">
        <v>1697.09</v>
      </c>
      <c r="AC954">
        <f>SUMPRODUCT(DB_ThemeSOFAcct[[#This Row],[Plan01]:[Plan12]],$E$14:$P$14)/valUnits2</f>
        <v>3.4792700000000005</v>
      </c>
      <c r="AD954">
        <f>SUMPRODUCT(DB_ThemeSOFAcct[[#This Row],[Act01]:[Act12]],$Q$14:$AB$14)/valUnits2</f>
        <v>3.4288899999999995</v>
      </c>
      <c r="AE954">
        <f>DB_ThemeSOFAcct[[#This Row],[Actuals]]-DB_ThemeSOFAcct[[#This Row],[Plan]]</f>
        <v>-5.038000000000098E-2</v>
      </c>
      <c r="AF954">
        <f>IF(DB_ThemeSOFAcct[[#This Row],[Plan]]&lt;&gt;0,DB_ThemeSOFAcct[[#This Row],[Actuals]]/DB_ThemeSOFAcct[[#This Row],[Plan]],1.000011000011)</f>
        <v>0.98551995102420886</v>
      </c>
      <c r="AG954" s="34">
        <f>SUM(DB_ThemeSOFAcct[[#This Row],[Plan01]:[Plan12]])/valUnits2</f>
        <v>3.4792700000000005</v>
      </c>
      <c r="AH954" s="34">
        <f>SUMPRODUCT(DB_ThemeSOFAcct[[#This Row],[Act01]:[Act12]],$Q$3:$AB$3)/valUnits2</f>
        <v>3.4288899999999995</v>
      </c>
    </row>
    <row r="955" spans="2:34" x14ac:dyDescent="0.2">
      <c r="B955" t="s">
        <v>348</v>
      </c>
      <c r="C955" t="s">
        <v>924</v>
      </c>
      <c r="D955" t="s">
        <v>235</v>
      </c>
      <c r="E955">
        <v>36.326999999999998</v>
      </c>
      <c r="F955">
        <v>0</v>
      </c>
      <c r="G955">
        <v>0</v>
      </c>
      <c r="H955">
        <v>45.542000000000002</v>
      </c>
      <c r="I955">
        <v>0</v>
      </c>
      <c r="J955">
        <v>53.280999999999999</v>
      </c>
      <c r="K955">
        <v>53.280999999999999</v>
      </c>
      <c r="L955">
        <v>53.280999999999999</v>
      </c>
      <c r="M955">
        <v>53.280999999999999</v>
      </c>
      <c r="N955">
        <v>53.280999999999999</v>
      </c>
      <c r="O955">
        <v>53.280999999999999</v>
      </c>
      <c r="P955">
        <v>53.280999999999999</v>
      </c>
      <c r="Q955">
        <v>35.450000000000003</v>
      </c>
      <c r="R955">
        <v>0</v>
      </c>
      <c r="S955">
        <v>0</v>
      </c>
      <c r="T955">
        <v>44.66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f>SUMPRODUCT(DB_ThemeSOFAcct[[#This Row],[Plan01]:[Plan12]],$E$14:$P$14)/valUnits2</f>
        <v>0.13514999999999999</v>
      </c>
      <c r="AD955">
        <f>SUMPRODUCT(DB_ThemeSOFAcct[[#This Row],[Act01]:[Act12]],$Q$14:$AB$14)/valUnits2</f>
        <v>8.0110000000000001E-2</v>
      </c>
      <c r="AE955">
        <f>DB_ThemeSOFAcct[[#This Row],[Actuals]]-DB_ThemeSOFAcct[[#This Row],[Plan]]</f>
        <v>-5.5039999999999992E-2</v>
      </c>
      <c r="AF955">
        <f>IF(DB_ThemeSOFAcct[[#This Row],[Plan]]&lt;&gt;0,DB_ThemeSOFAcct[[#This Row],[Actuals]]/DB_ThemeSOFAcct[[#This Row],[Plan]],1.000011000011)</f>
        <v>0.59274879763226052</v>
      </c>
      <c r="AG955" s="34">
        <f>SUM(DB_ThemeSOFAcct[[#This Row],[Plan01]:[Plan12]])/valUnits2</f>
        <v>0.45483600000000002</v>
      </c>
      <c r="AH955" s="34">
        <f>SUMPRODUCT(DB_ThemeSOFAcct[[#This Row],[Act01]:[Act12]],$Q$3:$AB$3)/valUnits2</f>
        <v>8.0110000000000001E-2</v>
      </c>
    </row>
    <row r="956" spans="2:34" x14ac:dyDescent="0.2">
      <c r="B956" t="s">
        <v>348</v>
      </c>
      <c r="C956" t="s">
        <v>924</v>
      </c>
      <c r="D956" t="s">
        <v>142</v>
      </c>
      <c r="E956">
        <v>0</v>
      </c>
      <c r="F956">
        <v>33265.762000000002</v>
      </c>
      <c r="G956">
        <v>9.0000000002419256E-3</v>
      </c>
      <c r="H956">
        <v>38512.983999999997</v>
      </c>
      <c r="I956">
        <v>-9.0000000004692993E-3</v>
      </c>
      <c r="J956">
        <v>16264.864</v>
      </c>
      <c r="K956">
        <v>13085.07</v>
      </c>
      <c r="L956">
        <v>11055.574000000001</v>
      </c>
      <c r="M956">
        <v>13627.649000000001</v>
      </c>
      <c r="N956">
        <v>9790.6540000000005</v>
      </c>
      <c r="O956">
        <v>12139.358999999999</v>
      </c>
      <c r="P956">
        <v>9548.9719999999998</v>
      </c>
      <c r="Q956">
        <v>0</v>
      </c>
      <c r="R956">
        <v>34214.68</v>
      </c>
      <c r="S956">
        <v>1.0000000000673026E-2</v>
      </c>
      <c r="T956">
        <v>38383.35</v>
      </c>
      <c r="U956">
        <v>-9.9999999988540367E-3</v>
      </c>
      <c r="V956">
        <v>-1.9999999999072315E-2</v>
      </c>
      <c r="W956">
        <v>37226.519999999997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f>SUMPRODUCT(DB_ThemeSOFAcct[[#This Row],[Plan01]:[Plan12]],$E$14:$P$14)/valUnits2</f>
        <v>88.043610000000001</v>
      </c>
      <c r="AD956">
        <f>SUMPRODUCT(DB_ThemeSOFAcct[[#This Row],[Act01]:[Act12]],$Q$14:$AB$14)/valUnits2</f>
        <v>72.598010000000016</v>
      </c>
      <c r="AE956">
        <f>DB_ThemeSOFAcct[[#This Row],[Actuals]]-DB_ThemeSOFAcct[[#This Row],[Plan]]</f>
        <v>-15.445599999999985</v>
      </c>
      <c r="AF956">
        <f>IF(DB_ThemeSOFAcct[[#This Row],[Plan]]&lt;&gt;0,DB_ThemeSOFAcct[[#This Row],[Actuals]]/DB_ThemeSOFAcct[[#This Row],[Plan]],1.000011000011)</f>
        <v>0.82456875632428084</v>
      </c>
      <c r="AG956" s="34">
        <f>SUM(DB_ThemeSOFAcct[[#This Row],[Plan01]:[Plan12]])/valUnits2</f>
        <v>157.290888</v>
      </c>
      <c r="AH956" s="34">
        <f>SUMPRODUCT(DB_ThemeSOFAcct[[#This Row],[Act01]:[Act12]],$Q$3:$AB$3)/valUnits2</f>
        <v>72.598010000000016</v>
      </c>
    </row>
    <row r="957" spans="2:34" x14ac:dyDescent="0.2">
      <c r="B957" t="s">
        <v>348</v>
      </c>
      <c r="C957" t="s">
        <v>924</v>
      </c>
      <c r="D957" t="s">
        <v>140</v>
      </c>
      <c r="E957">
        <v>1156.066</v>
      </c>
      <c r="F957">
        <v>1222.4359999999999</v>
      </c>
      <c r="G957">
        <v>1396.4</v>
      </c>
      <c r="H957">
        <v>1247.7839999999999</v>
      </c>
      <c r="I957">
        <v>1234.626</v>
      </c>
      <c r="J957">
        <v>1707.1680000000001</v>
      </c>
      <c r="K957">
        <v>1707.1680000000001</v>
      </c>
      <c r="L957">
        <v>1707.1680000000001</v>
      </c>
      <c r="M957">
        <v>1707.1680000000001</v>
      </c>
      <c r="N957">
        <v>1707.1680000000001</v>
      </c>
      <c r="O957">
        <v>1707.1680000000001</v>
      </c>
      <c r="P957">
        <v>1707.1680000000001</v>
      </c>
      <c r="Q957">
        <v>1138.97</v>
      </c>
      <c r="R957">
        <v>1248.07</v>
      </c>
      <c r="S957">
        <v>1409.04</v>
      </c>
      <c r="T957">
        <v>1240.33</v>
      </c>
      <c r="U957">
        <v>1219.6600000000001</v>
      </c>
      <c r="V957">
        <v>1393.0100000000002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f>SUMPRODUCT(DB_ThemeSOFAcct[[#This Row],[Plan01]:[Plan12]],$E$14:$P$14)/valUnits2</f>
        <v>7.96448</v>
      </c>
      <c r="AD957">
        <f>SUMPRODUCT(DB_ThemeSOFAcct[[#This Row],[Act01]:[Act12]],$Q$14:$AB$14)/valUnits2</f>
        <v>7.6490799999999997</v>
      </c>
      <c r="AE957">
        <f>DB_ThemeSOFAcct[[#This Row],[Actuals]]-DB_ThemeSOFAcct[[#This Row],[Plan]]</f>
        <v>-0.31540000000000035</v>
      </c>
      <c r="AF957">
        <f>IF(DB_ThemeSOFAcct[[#This Row],[Plan]]&lt;&gt;0,DB_ThemeSOFAcct[[#This Row],[Actuals]]/DB_ThemeSOFAcct[[#This Row],[Plan]],1.000011000011)</f>
        <v>0.96039917232512351</v>
      </c>
      <c r="AG957" s="34">
        <f>SUM(DB_ThemeSOFAcct[[#This Row],[Plan01]:[Plan12]])/valUnits2</f>
        <v>18.207488000000001</v>
      </c>
      <c r="AH957" s="34">
        <f>SUMPRODUCT(DB_ThemeSOFAcct[[#This Row],[Act01]:[Act12]],$Q$3:$AB$3)/valUnits2</f>
        <v>7.6490799999999997</v>
      </c>
    </row>
    <row r="958" spans="2:34" x14ac:dyDescent="0.2">
      <c r="B958" t="s">
        <v>348</v>
      </c>
      <c r="C958" t="s">
        <v>924</v>
      </c>
      <c r="D958" t="s">
        <v>237</v>
      </c>
      <c r="I958">
        <v>695.91099999999994</v>
      </c>
      <c r="U958">
        <v>697.69</v>
      </c>
      <c r="AC958">
        <f>SUMPRODUCT(DB_ThemeSOFAcct[[#This Row],[Plan01]:[Plan12]],$E$14:$P$14)/valUnits2</f>
        <v>0.69591099999999995</v>
      </c>
      <c r="AD958">
        <f>SUMPRODUCT(DB_ThemeSOFAcct[[#This Row],[Act01]:[Act12]],$Q$14:$AB$14)/valUnits2</f>
        <v>0.69769000000000003</v>
      </c>
      <c r="AE958">
        <f>DB_ThemeSOFAcct[[#This Row],[Actuals]]-DB_ThemeSOFAcct[[#This Row],[Plan]]</f>
        <v>1.7790000000000861E-3</v>
      </c>
      <c r="AF958">
        <f>IF(DB_ThemeSOFAcct[[#This Row],[Plan]]&lt;&gt;0,DB_ThemeSOFAcct[[#This Row],[Actuals]]/DB_ThemeSOFAcct[[#This Row],[Plan]],1.000011000011)</f>
        <v>1.0025563613737964</v>
      </c>
      <c r="AG958" s="34">
        <f>SUM(DB_ThemeSOFAcct[[#This Row],[Plan01]:[Plan12]])/valUnits2</f>
        <v>0.69591099999999995</v>
      </c>
      <c r="AH958" s="34">
        <f>SUMPRODUCT(DB_ThemeSOFAcct[[#This Row],[Act01]:[Act12]],$Q$3:$AB$3)/valUnits2</f>
        <v>0.69769000000000003</v>
      </c>
    </row>
    <row r="959" spans="2:34" x14ac:dyDescent="0.2">
      <c r="B959" t="s">
        <v>348</v>
      </c>
      <c r="C959" t="s">
        <v>924</v>
      </c>
      <c r="D959" t="s">
        <v>141</v>
      </c>
      <c r="E959">
        <v>45.323999999999998</v>
      </c>
      <c r="F959">
        <v>625.654</v>
      </c>
      <c r="G959">
        <v>0</v>
      </c>
      <c r="H959">
        <v>96.611000000000004</v>
      </c>
      <c r="I959">
        <v>0</v>
      </c>
      <c r="J959">
        <v>166.23500000000001</v>
      </c>
      <c r="K959">
        <v>166.23500000000001</v>
      </c>
      <c r="L959">
        <v>166.23500000000001</v>
      </c>
      <c r="M959">
        <v>166.23500000000001</v>
      </c>
      <c r="N959">
        <v>166.23500000000001</v>
      </c>
      <c r="O959">
        <v>166.23500000000001</v>
      </c>
      <c r="P959">
        <v>166.23500000000001</v>
      </c>
      <c r="Q959">
        <v>44.230000000000004</v>
      </c>
      <c r="R959">
        <v>625</v>
      </c>
      <c r="S959">
        <v>0</v>
      </c>
      <c r="T959">
        <v>94.74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f>SUMPRODUCT(DB_ThemeSOFAcct[[#This Row],[Plan01]:[Plan12]],$E$14:$P$14)/valUnits2</f>
        <v>0.93382399999999999</v>
      </c>
      <c r="AD959">
        <f>SUMPRODUCT(DB_ThemeSOFAcct[[#This Row],[Act01]:[Act12]],$Q$14:$AB$14)/valUnits2</f>
        <v>0.76397000000000004</v>
      </c>
      <c r="AE959">
        <f>DB_ThemeSOFAcct[[#This Row],[Actuals]]-DB_ThemeSOFAcct[[#This Row],[Plan]]</f>
        <v>-0.16985399999999995</v>
      </c>
      <c r="AF959">
        <f>IF(DB_ThemeSOFAcct[[#This Row],[Plan]]&lt;&gt;0,DB_ThemeSOFAcct[[#This Row],[Actuals]]/DB_ThemeSOFAcct[[#This Row],[Plan]],1.000011000011)</f>
        <v>0.81810919402371329</v>
      </c>
      <c r="AG959" s="34">
        <f>SUM(DB_ThemeSOFAcct[[#This Row],[Plan01]:[Plan12]])/valUnits2</f>
        <v>1.9312340000000003</v>
      </c>
      <c r="AH959" s="34">
        <f>SUMPRODUCT(DB_ThemeSOFAcct[[#This Row],[Act01]:[Act12]],$Q$3:$AB$3)/valUnits2</f>
        <v>0.76397000000000004</v>
      </c>
    </row>
    <row r="960" spans="2:34" x14ac:dyDescent="0.2">
      <c r="B960" t="s">
        <v>348</v>
      </c>
      <c r="C960" t="s">
        <v>933</v>
      </c>
      <c r="D960" t="s">
        <v>235</v>
      </c>
      <c r="E960">
        <v>0</v>
      </c>
      <c r="F960">
        <v>11.280000000000001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11.280000000000001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f>SUMPRODUCT(DB_ThemeSOFAcct[[#This Row],[Plan01]:[Plan12]],$E$14:$P$14)/valUnits2</f>
        <v>1.1280000000000002E-2</v>
      </c>
      <c r="AD960">
        <f>SUMPRODUCT(DB_ThemeSOFAcct[[#This Row],[Act01]:[Act12]],$Q$14:$AB$14)/valUnits2</f>
        <v>1.1280000000000002E-2</v>
      </c>
      <c r="AE960">
        <f>DB_ThemeSOFAcct[[#This Row],[Actuals]]-DB_ThemeSOFAcct[[#This Row],[Plan]]</f>
        <v>0</v>
      </c>
      <c r="AF960">
        <f>IF(DB_ThemeSOFAcct[[#This Row],[Plan]]&lt;&gt;0,DB_ThemeSOFAcct[[#This Row],[Actuals]]/DB_ThemeSOFAcct[[#This Row],[Plan]],1.000011000011)</f>
        <v>1</v>
      </c>
      <c r="AG960" s="34">
        <f>SUM(DB_ThemeSOFAcct[[#This Row],[Plan01]:[Plan12]])/valUnits2</f>
        <v>1.1280000000000002E-2</v>
      </c>
      <c r="AH960" s="34">
        <f>SUMPRODUCT(DB_ThemeSOFAcct[[#This Row],[Act01]:[Act12]],$Q$3:$AB$3)/valUnits2</f>
        <v>1.1280000000000002E-2</v>
      </c>
    </row>
    <row r="961" spans="2:34" x14ac:dyDescent="0.2">
      <c r="B961" t="s">
        <v>348</v>
      </c>
      <c r="C961" t="s">
        <v>933</v>
      </c>
      <c r="D961" t="s">
        <v>142</v>
      </c>
      <c r="H961">
        <v>0</v>
      </c>
      <c r="I961">
        <v>0</v>
      </c>
      <c r="J961">
        <v>4518</v>
      </c>
      <c r="K961">
        <v>4518</v>
      </c>
      <c r="L961">
        <v>4518</v>
      </c>
      <c r="M961">
        <v>4518</v>
      </c>
      <c r="N961">
        <v>4518</v>
      </c>
      <c r="O961">
        <v>4518</v>
      </c>
      <c r="P961">
        <v>4518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f>SUMPRODUCT(DB_ThemeSOFAcct[[#This Row],[Plan01]:[Plan12]],$E$14:$P$14)/valUnits2</f>
        <v>4.5179999999999998</v>
      </c>
      <c r="AD961">
        <f>SUMPRODUCT(DB_ThemeSOFAcct[[#This Row],[Act01]:[Act12]],$Q$14:$AB$14)/valUnits2</f>
        <v>0</v>
      </c>
      <c r="AE961">
        <f>DB_ThemeSOFAcct[[#This Row],[Actuals]]-DB_ThemeSOFAcct[[#This Row],[Plan]]</f>
        <v>-4.5179999999999998</v>
      </c>
      <c r="AF961">
        <f>IF(DB_ThemeSOFAcct[[#This Row],[Plan]]&lt;&gt;0,DB_ThemeSOFAcct[[#This Row],[Actuals]]/DB_ThemeSOFAcct[[#This Row],[Plan]],1.000011000011)</f>
        <v>0</v>
      </c>
      <c r="AG961" s="34">
        <f>SUM(DB_ThemeSOFAcct[[#This Row],[Plan01]:[Plan12]])/valUnits2</f>
        <v>31.626000000000001</v>
      </c>
      <c r="AH961" s="34">
        <f>SUMPRODUCT(DB_ThemeSOFAcct[[#This Row],[Act01]:[Act12]],$Q$3:$AB$3)/valUnits2</f>
        <v>0</v>
      </c>
    </row>
    <row r="962" spans="2:34" x14ac:dyDescent="0.2">
      <c r="B962" t="s">
        <v>348</v>
      </c>
      <c r="C962" t="s">
        <v>933</v>
      </c>
      <c r="D962" t="s">
        <v>140</v>
      </c>
      <c r="E962">
        <v>0</v>
      </c>
      <c r="F962">
        <v>0</v>
      </c>
      <c r="G962">
        <v>0</v>
      </c>
      <c r="H962">
        <v>1087.1799999999998</v>
      </c>
      <c r="I962">
        <v>1039.8500000000001</v>
      </c>
      <c r="J962">
        <v>10910.250999999998</v>
      </c>
      <c r="K962">
        <v>10910.251</v>
      </c>
      <c r="L962">
        <v>10910.250999999998</v>
      </c>
      <c r="M962">
        <v>10910.250999999998</v>
      </c>
      <c r="N962">
        <v>10910.250999999998</v>
      </c>
      <c r="O962">
        <v>10910.250999999998</v>
      </c>
      <c r="P962">
        <v>10910.250999999998</v>
      </c>
      <c r="Q962">
        <v>0</v>
      </c>
      <c r="R962">
        <v>0</v>
      </c>
      <c r="S962">
        <v>0</v>
      </c>
      <c r="T962">
        <v>1087.18</v>
      </c>
      <c r="U962">
        <v>1039.8500000000001</v>
      </c>
      <c r="V962">
        <v>1159.47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f>SUMPRODUCT(DB_ThemeSOFAcct[[#This Row],[Plan01]:[Plan12]],$E$14:$P$14)/valUnits2</f>
        <v>13.037280999999998</v>
      </c>
      <c r="AD962">
        <f>SUMPRODUCT(DB_ThemeSOFAcct[[#This Row],[Act01]:[Act12]],$Q$14:$AB$14)/valUnits2</f>
        <v>3.2865000000000002</v>
      </c>
      <c r="AE962">
        <f>DB_ThemeSOFAcct[[#This Row],[Actuals]]-DB_ThemeSOFAcct[[#This Row],[Plan]]</f>
        <v>-9.7507809999999981</v>
      </c>
      <c r="AF962">
        <f>IF(DB_ThemeSOFAcct[[#This Row],[Plan]]&lt;&gt;0,DB_ThemeSOFAcct[[#This Row],[Actuals]]/DB_ThemeSOFAcct[[#This Row],[Plan]],1.000011000011)</f>
        <v>0.2520847713568497</v>
      </c>
      <c r="AG962" s="34">
        <f>SUM(DB_ThemeSOFAcct[[#This Row],[Plan01]:[Plan12]])/valUnits2</f>
        <v>78.498786999999993</v>
      </c>
      <c r="AH962" s="34">
        <f>SUMPRODUCT(DB_ThemeSOFAcct[[#This Row],[Act01]:[Act12]],$Q$3:$AB$3)/valUnits2</f>
        <v>3.2865000000000002</v>
      </c>
    </row>
    <row r="963" spans="2:34" x14ac:dyDescent="0.2">
      <c r="B963" t="s">
        <v>348</v>
      </c>
      <c r="C963" t="s">
        <v>933</v>
      </c>
      <c r="D963" t="s">
        <v>236</v>
      </c>
      <c r="G963">
        <v>0</v>
      </c>
      <c r="H963">
        <v>0</v>
      </c>
      <c r="I963">
        <v>0</v>
      </c>
      <c r="S963">
        <v>0</v>
      </c>
      <c r="T963">
        <v>0</v>
      </c>
      <c r="U963">
        <v>0</v>
      </c>
      <c r="AC963">
        <f>SUMPRODUCT(DB_ThemeSOFAcct[[#This Row],[Plan01]:[Plan12]],$E$14:$P$14)/valUnits2</f>
        <v>0</v>
      </c>
      <c r="AD963">
        <f>SUMPRODUCT(DB_ThemeSOFAcct[[#This Row],[Act01]:[Act12]],$Q$14:$AB$14)/valUnits2</f>
        <v>0</v>
      </c>
      <c r="AE963">
        <f>DB_ThemeSOFAcct[[#This Row],[Actuals]]-DB_ThemeSOFAcct[[#This Row],[Plan]]</f>
        <v>0</v>
      </c>
      <c r="AF963">
        <f>IF(DB_ThemeSOFAcct[[#This Row],[Plan]]&lt;&gt;0,DB_ThemeSOFAcct[[#This Row],[Actuals]]/DB_ThemeSOFAcct[[#This Row],[Plan]],1.000011000011)</f>
        <v>1.0000110000110001</v>
      </c>
      <c r="AG963" s="34">
        <f>SUM(DB_ThemeSOFAcct[[#This Row],[Plan01]:[Plan12]])/valUnits2</f>
        <v>0</v>
      </c>
      <c r="AH963" s="34">
        <f>SUMPRODUCT(DB_ThemeSOFAcct[[#This Row],[Act01]:[Act12]],$Q$3:$AB$3)/valUnits2</f>
        <v>0</v>
      </c>
    </row>
    <row r="964" spans="2:34" x14ac:dyDescent="0.2">
      <c r="B964" t="s">
        <v>348</v>
      </c>
      <c r="C964" t="s">
        <v>935</v>
      </c>
      <c r="D964" t="s">
        <v>143</v>
      </c>
      <c r="E964">
        <v>87.460000000000008</v>
      </c>
      <c r="F964">
        <v>178.893</v>
      </c>
      <c r="G964">
        <v>629.697</v>
      </c>
      <c r="H964">
        <v>197.685</v>
      </c>
      <c r="I964">
        <v>326.15899999999999</v>
      </c>
      <c r="J964">
        <v>296.87400000000002</v>
      </c>
      <c r="K964">
        <v>296.87400000000002</v>
      </c>
      <c r="L964">
        <v>296.87399999999997</v>
      </c>
      <c r="M964">
        <v>296.87399999999997</v>
      </c>
      <c r="N964">
        <v>296.87399999999997</v>
      </c>
      <c r="O964">
        <v>296.87399999999997</v>
      </c>
      <c r="P964">
        <v>296.87399999999997</v>
      </c>
      <c r="Q964">
        <v>88.84</v>
      </c>
      <c r="R964">
        <v>183.95</v>
      </c>
      <c r="S964">
        <v>625.54000000000008</v>
      </c>
      <c r="T964">
        <v>194.31</v>
      </c>
      <c r="U964">
        <v>183.57000000000002</v>
      </c>
      <c r="V964">
        <v>614.97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f>SUMPRODUCT(DB_ThemeSOFAcct[[#This Row],[Plan01]:[Plan12]],$E$14:$P$14)/valUnits2</f>
        <v>1.7167679999999998</v>
      </c>
      <c r="AD964">
        <f>SUMPRODUCT(DB_ThemeSOFAcct[[#This Row],[Act01]:[Act12]],$Q$14:$AB$14)/valUnits2</f>
        <v>1.8911800000000001</v>
      </c>
      <c r="AE964">
        <f>DB_ThemeSOFAcct[[#This Row],[Actuals]]-DB_ThemeSOFAcct[[#This Row],[Plan]]</f>
        <v>0.17441200000000023</v>
      </c>
      <c r="AF964">
        <f>IF(DB_ThemeSOFAcct[[#This Row],[Plan]]&lt;&gt;0,DB_ThemeSOFAcct[[#This Row],[Actuals]]/DB_ThemeSOFAcct[[#This Row],[Plan]],1.000011000011)</f>
        <v>1.1015932263415908</v>
      </c>
      <c r="AG964" s="34">
        <f>SUM(DB_ThemeSOFAcct[[#This Row],[Plan01]:[Plan12]])/valUnits2</f>
        <v>3.4980119999999988</v>
      </c>
      <c r="AH964" s="34">
        <f>SUMPRODUCT(DB_ThemeSOFAcct[[#This Row],[Act01]:[Act12]],$Q$3:$AB$3)/valUnits2</f>
        <v>1.8911800000000001</v>
      </c>
    </row>
    <row r="965" spans="2:34" x14ac:dyDescent="0.2">
      <c r="B965" t="s">
        <v>348</v>
      </c>
      <c r="C965" t="s">
        <v>935</v>
      </c>
      <c r="D965" t="s">
        <v>235</v>
      </c>
      <c r="E965">
        <v>2692.2049999999999</v>
      </c>
      <c r="F965">
        <v>1183.002</v>
      </c>
      <c r="G965">
        <v>1499.2829999999999</v>
      </c>
      <c r="H965">
        <v>1216.4069999999999</v>
      </c>
      <c r="I965">
        <v>689.13699999999983</v>
      </c>
      <c r="J965">
        <v>362.77099999999996</v>
      </c>
      <c r="K965">
        <v>362.77099999999996</v>
      </c>
      <c r="L965">
        <v>362.77099999999996</v>
      </c>
      <c r="M965">
        <v>362.77099999999996</v>
      </c>
      <c r="N965">
        <v>362.77099999999996</v>
      </c>
      <c r="O965">
        <v>362.77099999999996</v>
      </c>
      <c r="P965">
        <v>362.77099999999996</v>
      </c>
      <c r="Q965">
        <v>2702.6300000000006</v>
      </c>
      <c r="R965">
        <v>1216.76</v>
      </c>
      <c r="S965">
        <v>1489.14</v>
      </c>
      <c r="T965">
        <v>1199.3700000000001</v>
      </c>
      <c r="U965">
        <v>830.55999999999983</v>
      </c>
      <c r="V965">
        <v>589.24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f>SUMPRODUCT(DB_ThemeSOFAcct[[#This Row],[Plan01]:[Plan12]],$E$14:$P$14)/valUnits2</f>
        <v>7.6428049999999992</v>
      </c>
      <c r="AD965">
        <f>SUMPRODUCT(DB_ThemeSOFAcct[[#This Row],[Act01]:[Act12]],$Q$14:$AB$14)/valUnits2</f>
        <v>8.0276999999999994</v>
      </c>
      <c r="AE965">
        <f>DB_ThemeSOFAcct[[#This Row],[Actuals]]-DB_ThemeSOFAcct[[#This Row],[Plan]]</f>
        <v>0.38489500000000021</v>
      </c>
      <c r="AF965">
        <f>IF(DB_ThemeSOFAcct[[#This Row],[Plan]]&lt;&gt;0,DB_ThemeSOFAcct[[#This Row],[Actuals]]/DB_ThemeSOFAcct[[#This Row],[Plan]],1.000011000011)</f>
        <v>1.0503604370384958</v>
      </c>
      <c r="AG965" s="34">
        <f>SUM(DB_ThemeSOFAcct[[#This Row],[Plan01]:[Plan12]])/valUnits2</f>
        <v>9.8194310000000016</v>
      </c>
      <c r="AH965" s="34">
        <f>SUMPRODUCT(DB_ThemeSOFAcct[[#This Row],[Act01]:[Act12]],$Q$3:$AB$3)/valUnits2</f>
        <v>8.0276999999999994</v>
      </c>
    </row>
    <row r="966" spans="2:34" x14ac:dyDescent="0.2">
      <c r="B966" t="s">
        <v>348</v>
      </c>
      <c r="C966" t="s">
        <v>935</v>
      </c>
      <c r="D966" t="s">
        <v>142</v>
      </c>
      <c r="E966">
        <v>167372.81400000001</v>
      </c>
      <c r="F966">
        <v>440413.54099999974</v>
      </c>
      <c r="G966">
        <v>226995.71699999998</v>
      </c>
      <c r="H966">
        <v>361281.61</v>
      </c>
      <c r="I966">
        <v>176194.53699999998</v>
      </c>
      <c r="J966">
        <v>188302.00100000002</v>
      </c>
      <c r="K966">
        <v>188302.00100000002</v>
      </c>
      <c r="L966">
        <v>188302.00100000002</v>
      </c>
      <c r="M966">
        <v>188302.00100000002</v>
      </c>
      <c r="N966">
        <v>188302.00099999999</v>
      </c>
      <c r="O966">
        <v>188302.00100000002</v>
      </c>
      <c r="P966">
        <v>199097.53799999997</v>
      </c>
      <c r="Q966">
        <v>169863.07999999996</v>
      </c>
      <c r="R966">
        <v>456609.04999999993</v>
      </c>
      <c r="S966">
        <v>226651.47</v>
      </c>
      <c r="T966">
        <v>356591.65</v>
      </c>
      <c r="U966">
        <v>176148.20999999996</v>
      </c>
      <c r="V966">
        <v>386487.15999999986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f>SUMPRODUCT(DB_ThemeSOFAcct[[#This Row],[Plan01]:[Plan12]],$E$14:$P$14)/valUnits2</f>
        <v>1560.5602199999996</v>
      </c>
      <c r="AD966">
        <f>SUMPRODUCT(DB_ThemeSOFAcct[[#This Row],[Act01]:[Act12]],$Q$14:$AB$14)/valUnits2</f>
        <v>1772.3506199999999</v>
      </c>
      <c r="AE966">
        <f>DB_ThemeSOFAcct[[#This Row],[Actuals]]-DB_ThemeSOFAcct[[#This Row],[Plan]]</f>
        <v>211.79040000000032</v>
      </c>
      <c r="AF966">
        <f>IF(DB_ThemeSOFAcct[[#This Row],[Plan]]&lt;&gt;0,DB_ThemeSOFAcct[[#This Row],[Actuals]]/DB_ThemeSOFAcct[[#This Row],[Plan]],1.000011000011)</f>
        <v>1.1357143398157363</v>
      </c>
      <c r="AG966" s="34">
        <f>SUM(DB_ThemeSOFAcct[[#This Row],[Plan01]:[Plan12]])/valUnits2</f>
        <v>2701.1677629999999</v>
      </c>
      <c r="AH966" s="34">
        <f>SUMPRODUCT(DB_ThemeSOFAcct[[#This Row],[Act01]:[Act12]],$Q$3:$AB$3)/valUnits2</f>
        <v>1772.3506199999999</v>
      </c>
    </row>
    <row r="967" spans="2:34" x14ac:dyDescent="0.2">
      <c r="B967" t="s">
        <v>348</v>
      </c>
      <c r="C967" t="s">
        <v>935</v>
      </c>
      <c r="D967" t="s">
        <v>140</v>
      </c>
      <c r="E967">
        <v>14312.019000000002</v>
      </c>
      <c r="F967">
        <v>17084.871999999999</v>
      </c>
      <c r="G967">
        <v>19329.409</v>
      </c>
      <c r="H967">
        <v>13691.214000000002</v>
      </c>
      <c r="I967">
        <v>12579.71</v>
      </c>
      <c r="J967">
        <v>24301.269</v>
      </c>
      <c r="K967">
        <v>24301.269</v>
      </c>
      <c r="L967">
        <v>24301.269</v>
      </c>
      <c r="M967">
        <v>24301.269</v>
      </c>
      <c r="N967">
        <v>24301.269</v>
      </c>
      <c r="O967">
        <v>24301.269</v>
      </c>
      <c r="P967">
        <v>26770.350999999999</v>
      </c>
      <c r="Q967">
        <v>14386.869999999999</v>
      </c>
      <c r="R967">
        <v>17466.66</v>
      </c>
      <c r="S967">
        <v>19221.39</v>
      </c>
      <c r="T967">
        <v>13484.450000000003</v>
      </c>
      <c r="U967">
        <v>12515.669999999998</v>
      </c>
      <c r="V967">
        <v>18125.560000000009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f>SUMPRODUCT(DB_ThemeSOFAcct[[#This Row],[Plan01]:[Plan12]],$E$14:$P$14)/valUnits2</f>
        <v>101.29849300000001</v>
      </c>
      <c r="AD967">
        <f>SUMPRODUCT(DB_ThemeSOFAcct[[#This Row],[Act01]:[Act12]],$Q$14:$AB$14)/valUnits2</f>
        <v>95.200600000000023</v>
      </c>
      <c r="AE967">
        <f>DB_ThemeSOFAcct[[#This Row],[Actuals]]-DB_ThemeSOFAcct[[#This Row],[Plan]]</f>
        <v>-6.0978929999999849</v>
      </c>
      <c r="AF967">
        <f>IF(DB_ThemeSOFAcct[[#This Row],[Plan]]&lt;&gt;0,DB_ThemeSOFAcct[[#This Row],[Actuals]]/DB_ThemeSOFAcct[[#This Row],[Plan]],1.000011000011)</f>
        <v>0.93980272737127502</v>
      </c>
      <c r="AG967" s="34">
        <f>SUM(DB_ThemeSOFAcct[[#This Row],[Plan01]:[Plan12]])/valUnits2</f>
        <v>249.57518900000002</v>
      </c>
      <c r="AH967" s="34">
        <f>SUMPRODUCT(DB_ThemeSOFAcct[[#This Row],[Act01]:[Act12]],$Q$3:$AB$3)/valUnits2</f>
        <v>95.200600000000023</v>
      </c>
    </row>
    <row r="968" spans="2:34" x14ac:dyDescent="0.2">
      <c r="B968" t="s">
        <v>348</v>
      </c>
      <c r="C968" t="s">
        <v>935</v>
      </c>
      <c r="D968" t="s">
        <v>236</v>
      </c>
      <c r="E968">
        <v>16758.269</v>
      </c>
      <c r="G968">
        <v>726.572</v>
      </c>
      <c r="H968">
        <v>18.331</v>
      </c>
      <c r="I968">
        <v>13513.741</v>
      </c>
      <c r="J968">
        <v>52877.469000000005</v>
      </c>
      <c r="K968">
        <v>52877.468999999997</v>
      </c>
      <c r="N968">
        <v>0</v>
      </c>
      <c r="Q968">
        <v>17077.59</v>
      </c>
      <c r="S968">
        <v>725.47</v>
      </c>
      <c r="T968">
        <v>17.95</v>
      </c>
      <c r="U968">
        <v>13331.289999999999</v>
      </c>
      <c r="V968">
        <v>1008.58</v>
      </c>
      <c r="W968">
        <v>0</v>
      </c>
      <c r="Z968">
        <v>0</v>
      </c>
      <c r="AC968">
        <f>SUMPRODUCT(DB_ThemeSOFAcct[[#This Row],[Plan01]:[Plan12]],$E$14:$P$14)/valUnits2</f>
        <v>83.894382000000007</v>
      </c>
      <c r="AD968">
        <f>SUMPRODUCT(DB_ThemeSOFAcct[[#This Row],[Act01]:[Act12]],$Q$14:$AB$14)/valUnits2</f>
        <v>32.160880000000006</v>
      </c>
      <c r="AE968">
        <f>DB_ThemeSOFAcct[[#This Row],[Actuals]]-DB_ThemeSOFAcct[[#This Row],[Plan]]</f>
        <v>-51.733502000000001</v>
      </c>
      <c r="AF968">
        <f>IF(DB_ThemeSOFAcct[[#This Row],[Plan]]&lt;&gt;0,DB_ThemeSOFAcct[[#This Row],[Actuals]]/DB_ThemeSOFAcct[[#This Row],[Plan]],1.000011000011)</f>
        <v>0.3833496264386333</v>
      </c>
      <c r="AG968" s="34">
        <f>SUM(DB_ThemeSOFAcct[[#This Row],[Plan01]:[Plan12]])/valUnits2</f>
        <v>136.77185100000003</v>
      </c>
      <c r="AH968" s="34">
        <f>SUMPRODUCT(DB_ThemeSOFAcct[[#This Row],[Act01]:[Act12]],$Q$3:$AB$3)/valUnits2</f>
        <v>32.160880000000006</v>
      </c>
    </row>
    <row r="969" spans="2:34" x14ac:dyDescent="0.2">
      <c r="B969" t="s">
        <v>348</v>
      </c>
      <c r="C969" t="s">
        <v>935</v>
      </c>
      <c r="D969" t="s">
        <v>237</v>
      </c>
      <c r="E969">
        <v>2780.2510000000002</v>
      </c>
      <c r="F969">
        <v>5644.5590000000002</v>
      </c>
      <c r="G969">
        <v>6938.7730000000001</v>
      </c>
      <c r="H969">
        <v>103.02200000000001</v>
      </c>
      <c r="I969">
        <v>1.544</v>
      </c>
      <c r="J969">
        <v>65.917000000000002</v>
      </c>
      <c r="K969">
        <v>65.917000000000002</v>
      </c>
      <c r="L969">
        <v>65.917000000000002</v>
      </c>
      <c r="M969">
        <v>65.917000000000002</v>
      </c>
      <c r="N969">
        <v>65.917000000000002</v>
      </c>
      <c r="O969">
        <v>65.917000000000002</v>
      </c>
      <c r="P969">
        <v>65.917000000000002</v>
      </c>
      <c r="Q969">
        <v>2854.6000000000004</v>
      </c>
      <c r="R969">
        <v>5852.1</v>
      </c>
      <c r="S969">
        <v>6905.47</v>
      </c>
      <c r="T969">
        <v>100.92</v>
      </c>
      <c r="U969">
        <v>1.57</v>
      </c>
      <c r="V969">
        <v>1964.58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f>SUMPRODUCT(DB_ThemeSOFAcct[[#This Row],[Plan01]:[Plan12]],$E$14:$P$14)/valUnits2</f>
        <v>15.534066000000003</v>
      </c>
      <c r="AD969">
        <f>SUMPRODUCT(DB_ThemeSOFAcct[[#This Row],[Act01]:[Act12]],$Q$14:$AB$14)/valUnits2</f>
        <v>17.67924</v>
      </c>
      <c r="AE969">
        <f>DB_ThemeSOFAcct[[#This Row],[Actuals]]-DB_ThemeSOFAcct[[#This Row],[Plan]]</f>
        <v>2.1451739999999972</v>
      </c>
      <c r="AF969">
        <f>IF(DB_ThemeSOFAcct[[#This Row],[Plan]]&lt;&gt;0,DB_ThemeSOFAcct[[#This Row],[Actuals]]/DB_ThemeSOFAcct[[#This Row],[Plan]],1.000011000011)</f>
        <v>1.1380948169011254</v>
      </c>
      <c r="AG969" s="34">
        <f>SUM(DB_ThemeSOFAcct[[#This Row],[Plan01]:[Plan12]])/valUnits2</f>
        <v>15.929568</v>
      </c>
      <c r="AH969" s="34">
        <f>SUMPRODUCT(DB_ThemeSOFAcct[[#This Row],[Act01]:[Act12]],$Q$3:$AB$3)/valUnits2</f>
        <v>17.67924</v>
      </c>
    </row>
    <row r="970" spans="2:34" x14ac:dyDescent="0.2">
      <c r="B970" t="s">
        <v>348</v>
      </c>
      <c r="C970" t="s">
        <v>935</v>
      </c>
      <c r="D970" t="s">
        <v>141</v>
      </c>
      <c r="E970">
        <v>2119.904</v>
      </c>
      <c r="F970">
        <v>2306.8899999999994</v>
      </c>
      <c r="G970">
        <v>2609.8440000000001</v>
      </c>
      <c r="H970">
        <v>2648.0600000000004</v>
      </c>
      <c r="I970">
        <v>1618.8809999999999</v>
      </c>
      <c r="J970">
        <v>2634.1669999999999</v>
      </c>
      <c r="K970">
        <v>2634.1670000000004</v>
      </c>
      <c r="L970">
        <v>2634.1669999999999</v>
      </c>
      <c r="M970">
        <v>2634.1669999999995</v>
      </c>
      <c r="N970">
        <v>2634.1669999999999</v>
      </c>
      <c r="O970">
        <v>2634.1669999999999</v>
      </c>
      <c r="P970">
        <v>2281.567</v>
      </c>
      <c r="Q970">
        <v>2170.0099999999998</v>
      </c>
      <c r="R970">
        <v>2391.0099999999998</v>
      </c>
      <c r="S970">
        <v>2594.2599999999998</v>
      </c>
      <c r="T970">
        <v>2601.39</v>
      </c>
      <c r="U970">
        <v>1630.6999999999998</v>
      </c>
      <c r="V970">
        <v>2603.1600000000003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f>SUMPRODUCT(DB_ThemeSOFAcct[[#This Row],[Plan01]:[Plan12]],$E$14:$P$14)/valUnits2</f>
        <v>13.937745999999999</v>
      </c>
      <c r="AD970">
        <f>SUMPRODUCT(DB_ThemeSOFAcct[[#This Row],[Act01]:[Act12]],$Q$14:$AB$14)/valUnits2</f>
        <v>13.99053</v>
      </c>
      <c r="AE970">
        <f>DB_ThemeSOFAcct[[#This Row],[Actuals]]-DB_ThemeSOFAcct[[#This Row],[Plan]]</f>
        <v>5.278400000000083E-2</v>
      </c>
      <c r="AF970">
        <f>IF(DB_ThemeSOFAcct[[#This Row],[Plan]]&lt;&gt;0,DB_ThemeSOFAcct[[#This Row],[Actuals]]/DB_ThemeSOFAcct[[#This Row],[Plan]],1.000011000011)</f>
        <v>1.0037871259814894</v>
      </c>
      <c r="AG970" s="34">
        <f>SUM(DB_ThemeSOFAcct[[#This Row],[Plan01]:[Plan12]])/valUnits2</f>
        <v>29.390148000000003</v>
      </c>
      <c r="AH970" s="34">
        <f>SUMPRODUCT(DB_ThemeSOFAcct[[#This Row],[Act01]:[Act12]],$Q$3:$AB$3)/valUnits2</f>
        <v>13.99053</v>
      </c>
    </row>
    <row r="971" spans="2:34" x14ac:dyDescent="0.2">
      <c r="B971" t="s">
        <v>349</v>
      </c>
      <c r="C971" t="s">
        <v>843</v>
      </c>
      <c r="D971" t="s">
        <v>142</v>
      </c>
      <c r="H971">
        <v>0</v>
      </c>
      <c r="I971">
        <v>0</v>
      </c>
      <c r="J971">
        <v>19485.847999999998</v>
      </c>
      <c r="K971">
        <v>19485.847999999998</v>
      </c>
      <c r="L971">
        <v>19485.847999999998</v>
      </c>
      <c r="M971">
        <v>19485.847999999998</v>
      </c>
      <c r="N971">
        <v>19485.847999999998</v>
      </c>
      <c r="O971">
        <v>19485.847999999998</v>
      </c>
      <c r="P971">
        <v>19485.847999999998</v>
      </c>
      <c r="T971">
        <v>0</v>
      </c>
      <c r="U971">
        <v>0</v>
      </c>
      <c r="V971">
        <v>85325.42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f>SUMPRODUCT(DB_ThemeSOFAcct[[#This Row],[Plan01]:[Plan12]],$E$14:$P$14)/valUnits2</f>
        <v>19.485847999999997</v>
      </c>
      <c r="AD971">
        <f>SUMPRODUCT(DB_ThemeSOFAcct[[#This Row],[Act01]:[Act12]],$Q$14:$AB$14)/valUnits2</f>
        <v>85.325419999999994</v>
      </c>
      <c r="AE971">
        <f>DB_ThemeSOFAcct[[#This Row],[Actuals]]-DB_ThemeSOFAcct[[#This Row],[Plan]]</f>
        <v>65.839572000000004</v>
      </c>
      <c r="AF971">
        <f>IF(DB_ThemeSOFAcct[[#This Row],[Plan]]&lt;&gt;0,DB_ThemeSOFAcct[[#This Row],[Actuals]]/DB_ThemeSOFAcct[[#This Row],[Plan]],1.000011000011)</f>
        <v>4.3788404795110791</v>
      </c>
      <c r="AG971" s="34">
        <f>SUM(DB_ThemeSOFAcct[[#This Row],[Plan01]:[Plan12]])/valUnits2</f>
        <v>136.40093599999997</v>
      </c>
      <c r="AH971" s="34">
        <f>SUMPRODUCT(DB_ThemeSOFAcct[[#This Row],[Act01]:[Act12]],$Q$3:$AB$3)/valUnits2</f>
        <v>85.325419999999994</v>
      </c>
    </row>
    <row r="972" spans="2:34" x14ac:dyDescent="0.2">
      <c r="B972" t="s">
        <v>349</v>
      </c>
      <c r="C972" t="s">
        <v>843</v>
      </c>
      <c r="D972" t="s">
        <v>140</v>
      </c>
      <c r="H972">
        <v>460.18400000000003</v>
      </c>
      <c r="I972">
        <v>418.95699999999999</v>
      </c>
      <c r="J972">
        <v>5039.5450000000001</v>
      </c>
      <c r="K972">
        <v>5039.5450000000001</v>
      </c>
      <c r="L972">
        <v>5039.5450000000001</v>
      </c>
      <c r="M972">
        <v>5039.5450000000001</v>
      </c>
      <c r="N972">
        <v>5039.5450000000001</v>
      </c>
      <c r="O972">
        <v>5039.5450000000001</v>
      </c>
      <c r="P972">
        <v>5039.5450000000001</v>
      </c>
      <c r="T972">
        <v>445.75</v>
      </c>
      <c r="U972">
        <v>413.97999999999996</v>
      </c>
      <c r="V972">
        <v>2835.7000000000003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f>SUMPRODUCT(DB_ThemeSOFAcct[[#This Row],[Plan01]:[Plan12]],$E$14:$P$14)/valUnits2</f>
        <v>5.9186860000000001</v>
      </c>
      <c r="AD972">
        <f>SUMPRODUCT(DB_ThemeSOFAcct[[#This Row],[Act01]:[Act12]],$Q$14:$AB$14)/valUnits2</f>
        <v>3.6954300000000004</v>
      </c>
      <c r="AE972">
        <f>DB_ThemeSOFAcct[[#This Row],[Actuals]]-DB_ThemeSOFAcct[[#This Row],[Plan]]</f>
        <v>-2.2232559999999997</v>
      </c>
      <c r="AF972">
        <f>IF(DB_ThemeSOFAcct[[#This Row],[Plan]]&lt;&gt;0,DB_ThemeSOFAcct[[#This Row],[Actuals]]/DB_ThemeSOFAcct[[#This Row],[Plan]],1.000011000011)</f>
        <v>0.62436662461904557</v>
      </c>
      <c r="AG972" s="34">
        <f>SUM(DB_ThemeSOFAcct[[#This Row],[Plan01]:[Plan12]])/valUnits2</f>
        <v>36.155955999999996</v>
      </c>
      <c r="AH972" s="34">
        <f>SUMPRODUCT(DB_ThemeSOFAcct[[#This Row],[Act01]:[Act12]],$Q$3:$AB$3)/valUnits2</f>
        <v>3.6954300000000004</v>
      </c>
    </row>
    <row r="973" spans="2:34" x14ac:dyDescent="0.2">
      <c r="B973" t="s">
        <v>349</v>
      </c>
      <c r="C973" t="s">
        <v>843</v>
      </c>
      <c r="D973" t="s">
        <v>141</v>
      </c>
      <c r="H973">
        <v>0</v>
      </c>
      <c r="I973">
        <v>0</v>
      </c>
      <c r="J973">
        <v>33.824999999999996</v>
      </c>
      <c r="K973">
        <v>33.824999999999996</v>
      </c>
      <c r="L973">
        <v>33.824999999999996</v>
      </c>
      <c r="M973">
        <v>33.824999999999996</v>
      </c>
      <c r="N973">
        <v>33.824999999999996</v>
      </c>
      <c r="O973">
        <v>33.824999999999996</v>
      </c>
      <c r="P973">
        <v>33.824999999999996</v>
      </c>
      <c r="T973">
        <v>0</v>
      </c>
      <c r="U973">
        <v>0</v>
      </c>
      <c r="V973">
        <v>26.650000000000002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f>SUMPRODUCT(DB_ThemeSOFAcct[[#This Row],[Plan01]:[Plan12]],$E$14:$P$14)/valUnits2</f>
        <v>3.3824999999999994E-2</v>
      </c>
      <c r="AD973">
        <f>SUMPRODUCT(DB_ThemeSOFAcct[[#This Row],[Act01]:[Act12]],$Q$14:$AB$14)/valUnits2</f>
        <v>2.6650000000000004E-2</v>
      </c>
      <c r="AE973">
        <f>DB_ThemeSOFAcct[[#This Row],[Actuals]]-DB_ThemeSOFAcct[[#This Row],[Plan]]</f>
        <v>-7.1749999999999904E-3</v>
      </c>
      <c r="AF973">
        <f>IF(DB_ThemeSOFAcct[[#This Row],[Plan]]&lt;&gt;0,DB_ThemeSOFAcct[[#This Row],[Actuals]]/DB_ThemeSOFAcct[[#This Row],[Plan]],1.000011000011)</f>
        <v>0.78787878787878818</v>
      </c>
      <c r="AG973" s="34">
        <f>SUM(DB_ThemeSOFAcct[[#This Row],[Plan01]:[Plan12]])/valUnits2</f>
        <v>0.23677499999999996</v>
      </c>
      <c r="AH973" s="34">
        <f>SUMPRODUCT(DB_ThemeSOFAcct[[#This Row],[Act01]:[Act12]],$Q$3:$AB$3)/valUnits2</f>
        <v>2.6650000000000004E-2</v>
      </c>
    </row>
    <row r="974" spans="2:34" x14ac:dyDescent="0.2">
      <c r="B974" t="s">
        <v>349</v>
      </c>
      <c r="C974" t="s">
        <v>844</v>
      </c>
      <c r="D974" t="s">
        <v>140</v>
      </c>
      <c r="G974">
        <v>33.279000000000003</v>
      </c>
      <c r="S974">
        <v>33.33</v>
      </c>
      <c r="AC974">
        <f>SUMPRODUCT(DB_ThemeSOFAcct[[#This Row],[Plan01]:[Plan12]],$E$14:$P$14)/valUnits2</f>
        <v>3.3279000000000003E-2</v>
      </c>
      <c r="AD974">
        <f>SUMPRODUCT(DB_ThemeSOFAcct[[#This Row],[Act01]:[Act12]],$Q$14:$AB$14)/valUnits2</f>
        <v>3.3329999999999999E-2</v>
      </c>
      <c r="AE974">
        <f>DB_ThemeSOFAcct[[#This Row],[Actuals]]-DB_ThemeSOFAcct[[#This Row],[Plan]]</f>
        <v>5.0999999999995493E-5</v>
      </c>
      <c r="AF974">
        <f>IF(DB_ThemeSOFAcct[[#This Row],[Plan]]&lt;&gt;0,DB_ThemeSOFAcct[[#This Row],[Actuals]]/DB_ThemeSOFAcct[[#This Row],[Plan]],1.000011000011)</f>
        <v>1.0015324979716937</v>
      </c>
      <c r="AG974" s="34">
        <f>SUM(DB_ThemeSOFAcct[[#This Row],[Plan01]:[Plan12]])/valUnits2</f>
        <v>3.3279000000000003E-2</v>
      </c>
      <c r="AH974" s="34">
        <f>SUMPRODUCT(DB_ThemeSOFAcct[[#This Row],[Act01]:[Act12]],$Q$3:$AB$3)/valUnits2</f>
        <v>3.3329999999999999E-2</v>
      </c>
    </row>
    <row r="975" spans="2:34" x14ac:dyDescent="0.2">
      <c r="B975" t="s">
        <v>349</v>
      </c>
      <c r="C975" t="s">
        <v>844</v>
      </c>
      <c r="D975" t="s">
        <v>236</v>
      </c>
      <c r="E975">
        <v>0</v>
      </c>
      <c r="F975">
        <v>0</v>
      </c>
      <c r="G975">
        <v>47409.252999999997</v>
      </c>
      <c r="Q975">
        <v>0</v>
      </c>
      <c r="R975">
        <v>0</v>
      </c>
      <c r="S975">
        <v>47415.79</v>
      </c>
      <c r="AC975">
        <f>SUMPRODUCT(DB_ThemeSOFAcct[[#This Row],[Plan01]:[Plan12]],$E$14:$P$14)/valUnits2</f>
        <v>47.409253</v>
      </c>
      <c r="AD975">
        <f>SUMPRODUCT(DB_ThemeSOFAcct[[#This Row],[Act01]:[Act12]],$Q$14:$AB$14)/valUnits2</f>
        <v>47.415790000000001</v>
      </c>
      <c r="AE975">
        <f>DB_ThemeSOFAcct[[#This Row],[Actuals]]-DB_ThemeSOFAcct[[#This Row],[Plan]]</f>
        <v>6.5370000000015693E-3</v>
      </c>
      <c r="AF975">
        <f>IF(DB_ThemeSOFAcct[[#This Row],[Plan]]&lt;&gt;0,DB_ThemeSOFAcct[[#This Row],[Actuals]]/DB_ThemeSOFAcct[[#This Row],[Plan]],1.000011000011)</f>
        <v>1.0001378844758428</v>
      </c>
      <c r="AG975" s="34">
        <f>SUM(DB_ThemeSOFAcct[[#This Row],[Plan01]:[Plan12]])/valUnits2</f>
        <v>47.409253</v>
      </c>
      <c r="AH975" s="34">
        <f>SUMPRODUCT(DB_ThemeSOFAcct[[#This Row],[Act01]:[Act12]],$Q$3:$AB$3)/valUnits2</f>
        <v>47.415790000000001</v>
      </c>
    </row>
    <row r="976" spans="2:34" x14ac:dyDescent="0.2">
      <c r="B976" t="s">
        <v>349</v>
      </c>
      <c r="C976" t="s">
        <v>844</v>
      </c>
      <c r="D976" t="s">
        <v>141</v>
      </c>
      <c r="E976">
        <v>0</v>
      </c>
      <c r="G976">
        <v>100.166</v>
      </c>
      <c r="Q976">
        <v>0</v>
      </c>
      <c r="S976">
        <v>100.32</v>
      </c>
      <c r="AC976">
        <f>SUMPRODUCT(DB_ThemeSOFAcct[[#This Row],[Plan01]:[Plan12]],$E$14:$P$14)/valUnits2</f>
        <v>0.10016599999999999</v>
      </c>
      <c r="AD976">
        <f>SUMPRODUCT(DB_ThemeSOFAcct[[#This Row],[Act01]:[Act12]],$Q$14:$AB$14)/valUnits2</f>
        <v>0.10031999999999999</v>
      </c>
      <c r="AE976">
        <f>DB_ThemeSOFAcct[[#This Row],[Actuals]]-DB_ThemeSOFAcct[[#This Row],[Plan]]</f>
        <v>1.5400000000000136E-4</v>
      </c>
      <c r="AF976">
        <f>IF(DB_ThemeSOFAcct[[#This Row],[Plan]]&lt;&gt;0,DB_ThemeSOFAcct[[#This Row],[Actuals]]/DB_ThemeSOFAcct[[#This Row],[Plan]],1.000011000011)</f>
        <v>1.0015374478365913</v>
      </c>
      <c r="AG976" s="34">
        <f>SUM(DB_ThemeSOFAcct[[#This Row],[Plan01]:[Plan12]])/valUnits2</f>
        <v>0.10016599999999999</v>
      </c>
      <c r="AH976" s="34">
        <f>SUMPRODUCT(DB_ThemeSOFAcct[[#This Row],[Act01]:[Act12]],$Q$3:$AB$3)/valUnits2</f>
        <v>0.10031999999999999</v>
      </c>
    </row>
    <row r="977" spans="2:34" x14ac:dyDescent="0.2">
      <c r="B977" t="s">
        <v>349</v>
      </c>
      <c r="C977" t="s">
        <v>845</v>
      </c>
      <c r="D977" t="s">
        <v>140</v>
      </c>
      <c r="I977">
        <v>3938.41</v>
      </c>
      <c r="J977">
        <v>0</v>
      </c>
      <c r="U977">
        <v>3938.41</v>
      </c>
      <c r="V977">
        <v>11279.050000000001</v>
      </c>
      <c r="AC977">
        <f>SUMPRODUCT(DB_ThemeSOFAcct[[#This Row],[Plan01]:[Plan12]],$E$14:$P$14)/valUnits2</f>
        <v>3.9384099999999997</v>
      </c>
      <c r="AD977">
        <f>SUMPRODUCT(DB_ThemeSOFAcct[[#This Row],[Act01]:[Act12]],$Q$14:$AB$14)/valUnits2</f>
        <v>15.217460000000001</v>
      </c>
      <c r="AE977">
        <f>DB_ThemeSOFAcct[[#This Row],[Actuals]]-DB_ThemeSOFAcct[[#This Row],[Plan]]</f>
        <v>11.279050000000002</v>
      </c>
      <c r="AF977">
        <f>IF(DB_ThemeSOFAcct[[#This Row],[Plan]]&lt;&gt;0,DB_ThemeSOFAcct[[#This Row],[Actuals]]/DB_ThemeSOFAcct[[#This Row],[Plan]],1.000011000011)</f>
        <v>3.8638587653393124</v>
      </c>
      <c r="AG977" s="34">
        <f>SUM(DB_ThemeSOFAcct[[#This Row],[Plan01]:[Plan12]])/valUnits2</f>
        <v>3.9384099999999997</v>
      </c>
      <c r="AH977" s="34">
        <f>SUMPRODUCT(DB_ThemeSOFAcct[[#This Row],[Act01]:[Act12]],$Q$3:$AB$3)/valUnits2</f>
        <v>15.217460000000001</v>
      </c>
    </row>
    <row r="978" spans="2:34" x14ac:dyDescent="0.2">
      <c r="B978" t="s">
        <v>349</v>
      </c>
      <c r="C978" t="s">
        <v>845</v>
      </c>
      <c r="D978" t="s">
        <v>236</v>
      </c>
      <c r="I978">
        <v>683.99</v>
      </c>
      <c r="J978">
        <v>0</v>
      </c>
      <c r="U978">
        <v>683.99</v>
      </c>
      <c r="V978">
        <v>114.64</v>
      </c>
      <c r="AC978">
        <f>SUMPRODUCT(DB_ThemeSOFAcct[[#This Row],[Plan01]:[Plan12]],$E$14:$P$14)/valUnits2</f>
        <v>0.68398999999999999</v>
      </c>
      <c r="AD978">
        <f>SUMPRODUCT(DB_ThemeSOFAcct[[#This Row],[Act01]:[Act12]],$Q$14:$AB$14)/valUnits2</f>
        <v>0.79862999999999995</v>
      </c>
      <c r="AE978">
        <f>DB_ThemeSOFAcct[[#This Row],[Actuals]]-DB_ThemeSOFAcct[[#This Row],[Plan]]</f>
        <v>0.11463999999999996</v>
      </c>
      <c r="AF978">
        <f>IF(DB_ThemeSOFAcct[[#This Row],[Plan]]&lt;&gt;0,DB_ThemeSOFAcct[[#This Row],[Actuals]]/DB_ThemeSOFAcct[[#This Row],[Plan]],1.000011000011)</f>
        <v>1.1676047895437067</v>
      </c>
      <c r="AG978" s="34">
        <f>SUM(DB_ThemeSOFAcct[[#This Row],[Plan01]:[Plan12]])/valUnits2</f>
        <v>0.68398999999999999</v>
      </c>
      <c r="AH978" s="34">
        <f>SUMPRODUCT(DB_ThemeSOFAcct[[#This Row],[Act01]:[Act12]],$Q$3:$AB$3)/valUnits2</f>
        <v>0.79862999999999995</v>
      </c>
    </row>
    <row r="979" spans="2:34" x14ac:dyDescent="0.2">
      <c r="B979" t="s">
        <v>349</v>
      </c>
      <c r="C979" t="s">
        <v>845</v>
      </c>
      <c r="D979" t="s">
        <v>237</v>
      </c>
      <c r="I979">
        <v>862</v>
      </c>
      <c r="J979">
        <v>0</v>
      </c>
      <c r="U979">
        <v>862</v>
      </c>
      <c r="V979">
        <v>-177</v>
      </c>
      <c r="AC979">
        <f>SUMPRODUCT(DB_ThemeSOFAcct[[#This Row],[Plan01]:[Plan12]],$E$14:$P$14)/valUnits2</f>
        <v>0.86199999999999999</v>
      </c>
      <c r="AD979">
        <f>SUMPRODUCT(DB_ThemeSOFAcct[[#This Row],[Act01]:[Act12]],$Q$14:$AB$14)/valUnits2</f>
        <v>0.68500000000000005</v>
      </c>
      <c r="AE979">
        <f>DB_ThemeSOFAcct[[#This Row],[Actuals]]-DB_ThemeSOFAcct[[#This Row],[Plan]]</f>
        <v>-0.17699999999999994</v>
      </c>
      <c r="AF979">
        <f>IF(DB_ThemeSOFAcct[[#This Row],[Plan]]&lt;&gt;0,DB_ThemeSOFAcct[[#This Row],[Actuals]]/DB_ThemeSOFAcct[[#This Row],[Plan]],1.000011000011)</f>
        <v>0.7946635730858469</v>
      </c>
      <c r="AG979" s="34">
        <f>SUM(DB_ThemeSOFAcct[[#This Row],[Plan01]:[Plan12]])/valUnits2</f>
        <v>0.86199999999999999</v>
      </c>
      <c r="AH979" s="34">
        <f>SUMPRODUCT(DB_ThemeSOFAcct[[#This Row],[Act01]:[Act12]],$Q$3:$AB$3)/valUnits2</f>
        <v>0.68500000000000005</v>
      </c>
    </row>
    <row r="980" spans="2:34" x14ac:dyDescent="0.2">
      <c r="B980" t="s">
        <v>349</v>
      </c>
      <c r="C980" t="s">
        <v>845</v>
      </c>
      <c r="D980" t="s">
        <v>141</v>
      </c>
      <c r="I980">
        <v>1474.95</v>
      </c>
      <c r="J980">
        <v>0</v>
      </c>
      <c r="U980">
        <v>1474.95</v>
      </c>
      <c r="V980">
        <v>1629.1499999999999</v>
      </c>
      <c r="AC980">
        <f>SUMPRODUCT(DB_ThemeSOFAcct[[#This Row],[Plan01]:[Plan12]],$E$14:$P$14)/valUnits2</f>
        <v>1.47495</v>
      </c>
      <c r="AD980">
        <f>SUMPRODUCT(DB_ThemeSOFAcct[[#This Row],[Act01]:[Act12]],$Q$14:$AB$14)/valUnits2</f>
        <v>3.1040999999999999</v>
      </c>
      <c r="AE980">
        <f>DB_ThemeSOFAcct[[#This Row],[Actuals]]-DB_ThemeSOFAcct[[#This Row],[Plan]]</f>
        <v>1.6291499999999999</v>
      </c>
      <c r="AF980">
        <f>IF(DB_ThemeSOFAcct[[#This Row],[Plan]]&lt;&gt;0,DB_ThemeSOFAcct[[#This Row],[Actuals]]/DB_ThemeSOFAcct[[#This Row],[Plan]],1.000011000011)</f>
        <v>2.1045459168107392</v>
      </c>
      <c r="AG980" s="34">
        <f>SUM(DB_ThemeSOFAcct[[#This Row],[Plan01]:[Plan12]])/valUnits2</f>
        <v>1.47495</v>
      </c>
      <c r="AH980" s="34">
        <f>SUMPRODUCT(DB_ThemeSOFAcct[[#This Row],[Act01]:[Act12]],$Q$3:$AB$3)/valUnits2</f>
        <v>3.1040999999999999</v>
      </c>
    </row>
    <row r="981" spans="2:34" x14ac:dyDescent="0.2">
      <c r="B981" t="s">
        <v>349</v>
      </c>
      <c r="C981" t="s">
        <v>353</v>
      </c>
      <c r="D981" t="s">
        <v>143</v>
      </c>
      <c r="F981">
        <v>18.481999999999999</v>
      </c>
      <c r="G981">
        <v>678.66700000000003</v>
      </c>
      <c r="H981">
        <v>0</v>
      </c>
      <c r="J981">
        <v>0</v>
      </c>
      <c r="R981">
        <v>19.010000000000002</v>
      </c>
      <c r="S981">
        <v>692.06</v>
      </c>
      <c r="T981">
        <v>0</v>
      </c>
      <c r="V981">
        <v>355.33</v>
      </c>
      <c r="AC981">
        <f>SUMPRODUCT(DB_ThemeSOFAcct[[#This Row],[Plan01]:[Plan12]],$E$14:$P$14)/valUnits2</f>
        <v>0.69714900000000002</v>
      </c>
      <c r="AD981">
        <f>SUMPRODUCT(DB_ThemeSOFAcct[[#This Row],[Act01]:[Act12]],$Q$14:$AB$14)/valUnits2</f>
        <v>1.0663999999999998</v>
      </c>
      <c r="AE981">
        <f>DB_ThemeSOFAcct[[#This Row],[Actuals]]-DB_ThemeSOFAcct[[#This Row],[Plan]]</f>
        <v>0.36925099999999977</v>
      </c>
      <c r="AF981">
        <f>IF(DB_ThemeSOFAcct[[#This Row],[Plan]]&lt;&gt;0,DB_ThemeSOFAcct[[#This Row],[Actuals]]/DB_ThemeSOFAcct[[#This Row],[Plan]],1.000011000011)</f>
        <v>1.5296586525979379</v>
      </c>
      <c r="AG981" s="34">
        <f>SUM(DB_ThemeSOFAcct[[#This Row],[Plan01]:[Plan12]])/valUnits2</f>
        <v>0.69714900000000002</v>
      </c>
      <c r="AH981" s="34">
        <f>SUMPRODUCT(DB_ThemeSOFAcct[[#This Row],[Act01]:[Act12]],$Q$3:$AB$3)/valUnits2</f>
        <v>1.0663999999999998</v>
      </c>
    </row>
    <row r="982" spans="2:34" x14ac:dyDescent="0.2">
      <c r="B982" t="s">
        <v>349</v>
      </c>
      <c r="C982" t="s">
        <v>353</v>
      </c>
      <c r="D982" t="s">
        <v>235</v>
      </c>
      <c r="E982">
        <v>525.91200000000003</v>
      </c>
      <c r="F982">
        <v>377.07400000000001</v>
      </c>
      <c r="G982">
        <v>564.79700000000003</v>
      </c>
      <c r="H982">
        <v>100.351</v>
      </c>
      <c r="I982">
        <v>407.26299999999998</v>
      </c>
      <c r="Q982">
        <v>521.75</v>
      </c>
      <c r="R982">
        <v>387.83</v>
      </c>
      <c r="S982">
        <v>574.42000000000007</v>
      </c>
      <c r="T982">
        <v>98.78</v>
      </c>
      <c r="U982">
        <v>409.34</v>
      </c>
      <c r="AC982">
        <f>SUMPRODUCT(DB_ThemeSOFAcct[[#This Row],[Plan01]:[Plan12]],$E$14:$P$14)/valUnits2</f>
        <v>1.9753969999999998</v>
      </c>
      <c r="AD982">
        <f>SUMPRODUCT(DB_ThemeSOFAcct[[#This Row],[Act01]:[Act12]],$Q$14:$AB$14)/valUnits2</f>
        <v>1.9921199999999999</v>
      </c>
      <c r="AE982">
        <f>DB_ThemeSOFAcct[[#This Row],[Actuals]]-DB_ThemeSOFAcct[[#This Row],[Plan]]</f>
        <v>1.6723000000000043E-2</v>
      </c>
      <c r="AF982">
        <f>IF(DB_ThemeSOFAcct[[#This Row],[Plan]]&lt;&gt;0,DB_ThemeSOFAcct[[#This Row],[Actuals]]/DB_ThemeSOFAcct[[#This Row],[Plan]],1.000011000011)</f>
        <v>1.0084656400713377</v>
      </c>
      <c r="AG982" s="34">
        <f>SUM(DB_ThemeSOFAcct[[#This Row],[Plan01]:[Plan12]])/valUnits2</f>
        <v>1.9753969999999998</v>
      </c>
      <c r="AH982" s="34">
        <f>SUMPRODUCT(DB_ThemeSOFAcct[[#This Row],[Act01]:[Act12]],$Q$3:$AB$3)/valUnits2</f>
        <v>1.9921199999999999</v>
      </c>
    </row>
    <row r="983" spans="2:34" x14ac:dyDescent="0.2">
      <c r="B983" t="s">
        <v>349</v>
      </c>
      <c r="C983" t="s">
        <v>353</v>
      </c>
      <c r="D983" t="s">
        <v>142</v>
      </c>
      <c r="E983">
        <v>64175.002</v>
      </c>
      <c r="F983">
        <v>-3.6000000010062649E-2</v>
      </c>
      <c r="G983">
        <v>167426.10500000007</v>
      </c>
      <c r="H983">
        <v>169930.90900000004</v>
      </c>
      <c r="I983">
        <v>2.3999999996249244E-2</v>
      </c>
      <c r="J983">
        <v>90653.274999999994</v>
      </c>
      <c r="Q983">
        <v>62625.25</v>
      </c>
      <c r="R983">
        <v>-3.9999999989959178E-2</v>
      </c>
      <c r="S983">
        <v>170729.99000000002</v>
      </c>
      <c r="T983">
        <v>169957.84</v>
      </c>
      <c r="U983">
        <v>2.0000000020900188E-2</v>
      </c>
      <c r="V983">
        <v>52030.770000000004</v>
      </c>
      <c r="AC983">
        <f>SUMPRODUCT(DB_ThemeSOFAcct[[#This Row],[Plan01]:[Plan12]],$E$14:$P$14)/valUnits2</f>
        <v>492.18527900000009</v>
      </c>
      <c r="AD983">
        <f>SUMPRODUCT(DB_ThemeSOFAcct[[#This Row],[Act01]:[Act12]],$Q$14:$AB$14)/valUnits2</f>
        <v>455.34383000000008</v>
      </c>
      <c r="AE983">
        <f>DB_ThemeSOFAcct[[#This Row],[Actuals]]-DB_ThemeSOFAcct[[#This Row],[Plan]]</f>
        <v>-36.841449000000011</v>
      </c>
      <c r="AF983">
        <f>IF(DB_ThemeSOFAcct[[#This Row],[Plan]]&lt;&gt;0,DB_ThemeSOFAcct[[#This Row],[Actuals]]/DB_ThemeSOFAcct[[#This Row],[Plan]],1.000011000011)</f>
        <v>0.92514719441659687</v>
      </c>
      <c r="AG983" s="34">
        <f>SUM(DB_ThemeSOFAcct[[#This Row],[Plan01]:[Plan12]])/valUnits2</f>
        <v>492.18527900000009</v>
      </c>
      <c r="AH983" s="34">
        <f>SUMPRODUCT(DB_ThemeSOFAcct[[#This Row],[Act01]:[Act12]],$Q$3:$AB$3)/valUnits2</f>
        <v>455.34383000000008</v>
      </c>
    </row>
    <row r="984" spans="2:34" x14ac:dyDescent="0.2">
      <c r="B984" t="s">
        <v>349</v>
      </c>
      <c r="C984" t="s">
        <v>353</v>
      </c>
      <c r="D984" t="s">
        <v>140</v>
      </c>
      <c r="G984">
        <v>315.57299999999998</v>
      </c>
      <c r="H984">
        <v>2894.1130000000003</v>
      </c>
      <c r="I984">
        <v>11156.078</v>
      </c>
      <c r="J984">
        <v>0</v>
      </c>
      <c r="S984">
        <v>318.43</v>
      </c>
      <c r="T984">
        <v>2890.8199999999997</v>
      </c>
      <c r="U984">
        <v>11186.859999999999</v>
      </c>
      <c r="V984">
        <v>2861.3900000000003</v>
      </c>
      <c r="AC984">
        <f>SUMPRODUCT(DB_ThemeSOFAcct[[#This Row],[Plan01]:[Plan12]],$E$14:$P$14)/valUnits2</f>
        <v>14.365763999999999</v>
      </c>
      <c r="AD984">
        <f>SUMPRODUCT(DB_ThemeSOFAcct[[#This Row],[Act01]:[Act12]],$Q$14:$AB$14)/valUnits2</f>
        <v>17.2575</v>
      </c>
      <c r="AE984">
        <f>DB_ThemeSOFAcct[[#This Row],[Actuals]]-DB_ThemeSOFAcct[[#This Row],[Plan]]</f>
        <v>2.8917360000000016</v>
      </c>
      <c r="AF984">
        <f>IF(DB_ThemeSOFAcct[[#This Row],[Plan]]&lt;&gt;0,DB_ThemeSOFAcct[[#This Row],[Actuals]]/DB_ThemeSOFAcct[[#This Row],[Plan]],1.000011000011)</f>
        <v>1.2012935754756935</v>
      </c>
      <c r="AG984" s="34">
        <f>SUM(DB_ThemeSOFAcct[[#This Row],[Plan01]:[Plan12]])/valUnits2</f>
        <v>14.365763999999999</v>
      </c>
      <c r="AH984" s="34">
        <f>SUMPRODUCT(DB_ThemeSOFAcct[[#This Row],[Act01]:[Act12]],$Q$3:$AB$3)/valUnits2</f>
        <v>17.2575</v>
      </c>
    </row>
    <row r="985" spans="2:34" x14ac:dyDescent="0.2">
      <c r="B985" t="s">
        <v>349</v>
      </c>
      <c r="C985" t="s">
        <v>353</v>
      </c>
      <c r="D985" t="s">
        <v>236</v>
      </c>
      <c r="E985">
        <v>187.02099999999999</v>
      </c>
      <c r="F985">
        <v>0</v>
      </c>
      <c r="G985">
        <v>504.92</v>
      </c>
      <c r="H985">
        <v>4519.875</v>
      </c>
      <c r="I985">
        <v>-154.28100000000001</v>
      </c>
      <c r="J985">
        <v>0</v>
      </c>
      <c r="Q985">
        <v>186.09</v>
      </c>
      <c r="R985">
        <v>0</v>
      </c>
      <c r="S985">
        <v>509.49</v>
      </c>
      <c r="T985">
        <v>4513.96</v>
      </c>
      <c r="U985">
        <v>-154.38</v>
      </c>
      <c r="V985">
        <v>42.58</v>
      </c>
      <c r="AC985">
        <f>SUMPRODUCT(DB_ThemeSOFAcct[[#This Row],[Plan01]:[Plan12]],$E$14:$P$14)/valUnits2</f>
        <v>5.0575349999999997</v>
      </c>
      <c r="AD985">
        <f>SUMPRODUCT(DB_ThemeSOFAcct[[#This Row],[Act01]:[Act12]],$Q$14:$AB$14)/valUnits2</f>
        <v>5.0977399999999999</v>
      </c>
      <c r="AE985">
        <f>DB_ThemeSOFAcct[[#This Row],[Actuals]]-DB_ThemeSOFAcct[[#This Row],[Plan]]</f>
        <v>4.0205000000000268E-2</v>
      </c>
      <c r="AF985">
        <f>IF(DB_ThemeSOFAcct[[#This Row],[Plan]]&lt;&gt;0,DB_ThemeSOFAcct[[#This Row],[Actuals]]/DB_ThemeSOFAcct[[#This Row],[Plan]],1.000011000011)</f>
        <v>1.0079495248179202</v>
      </c>
      <c r="AG985" s="34">
        <f>SUM(DB_ThemeSOFAcct[[#This Row],[Plan01]:[Plan12]])/valUnits2</f>
        <v>5.0575349999999997</v>
      </c>
      <c r="AH985" s="34">
        <f>SUMPRODUCT(DB_ThemeSOFAcct[[#This Row],[Act01]:[Act12]],$Q$3:$AB$3)/valUnits2</f>
        <v>5.0977399999999999</v>
      </c>
    </row>
    <row r="986" spans="2:34" x14ac:dyDescent="0.2">
      <c r="B986" t="s">
        <v>349</v>
      </c>
      <c r="C986" t="s">
        <v>353</v>
      </c>
      <c r="D986" t="s">
        <v>237</v>
      </c>
      <c r="F986">
        <v>342.81900000000002</v>
      </c>
      <c r="G986">
        <v>90.444000000000003</v>
      </c>
      <c r="J986">
        <v>0</v>
      </c>
      <c r="R986">
        <v>354.41</v>
      </c>
      <c r="S986">
        <v>91.09</v>
      </c>
      <c r="V986">
        <v>126.32</v>
      </c>
      <c r="AC986">
        <f>SUMPRODUCT(DB_ThemeSOFAcct[[#This Row],[Plan01]:[Plan12]],$E$14:$P$14)/valUnits2</f>
        <v>0.43326300000000001</v>
      </c>
      <c r="AD986">
        <f>SUMPRODUCT(DB_ThemeSOFAcct[[#This Row],[Act01]:[Act12]],$Q$14:$AB$14)/valUnits2</f>
        <v>0.57181999999999988</v>
      </c>
      <c r="AE986">
        <f>DB_ThemeSOFAcct[[#This Row],[Actuals]]-DB_ThemeSOFAcct[[#This Row],[Plan]]</f>
        <v>0.13855699999999987</v>
      </c>
      <c r="AF986">
        <f>IF(DB_ThemeSOFAcct[[#This Row],[Plan]]&lt;&gt;0,DB_ThemeSOFAcct[[#This Row],[Actuals]]/DB_ThemeSOFAcct[[#This Row],[Plan]],1.000011000011)</f>
        <v>1.3197988288868421</v>
      </c>
      <c r="AG986" s="34">
        <f>SUM(DB_ThemeSOFAcct[[#This Row],[Plan01]:[Plan12]])/valUnits2</f>
        <v>0.43326300000000001</v>
      </c>
      <c r="AH986" s="34">
        <f>SUMPRODUCT(DB_ThemeSOFAcct[[#This Row],[Act01]:[Act12]],$Q$3:$AB$3)/valUnits2</f>
        <v>0.57181999999999988</v>
      </c>
    </row>
    <row r="987" spans="2:34" x14ac:dyDescent="0.2">
      <c r="B987" t="s">
        <v>349</v>
      </c>
      <c r="C987" t="s">
        <v>353</v>
      </c>
      <c r="D987" t="s">
        <v>141</v>
      </c>
      <c r="E987">
        <v>660.23900000000003</v>
      </c>
      <c r="F987">
        <v>764.73399999999992</v>
      </c>
      <c r="G987">
        <v>1637.759</v>
      </c>
      <c r="H987">
        <v>804.14499999999998</v>
      </c>
      <c r="I987">
        <v>776.46399999999994</v>
      </c>
      <c r="J987">
        <v>0</v>
      </c>
      <c r="Q987">
        <v>644.41999999999996</v>
      </c>
      <c r="R987">
        <v>781.8900000000001</v>
      </c>
      <c r="S987">
        <v>1663.37</v>
      </c>
      <c r="T987">
        <v>799.23</v>
      </c>
      <c r="U987">
        <v>773.77</v>
      </c>
      <c r="V987">
        <v>931.84</v>
      </c>
      <c r="AC987">
        <f>SUMPRODUCT(DB_ThemeSOFAcct[[#This Row],[Plan01]:[Plan12]],$E$14:$P$14)/valUnits2</f>
        <v>4.6433410000000004</v>
      </c>
      <c r="AD987">
        <f>SUMPRODUCT(DB_ThemeSOFAcct[[#This Row],[Act01]:[Act12]],$Q$14:$AB$14)/valUnits2</f>
        <v>5.5945200000000002</v>
      </c>
      <c r="AE987">
        <f>DB_ThemeSOFAcct[[#This Row],[Actuals]]-DB_ThemeSOFAcct[[#This Row],[Plan]]</f>
        <v>0.95117899999999977</v>
      </c>
      <c r="AF987">
        <f>IF(DB_ThemeSOFAcct[[#This Row],[Plan]]&lt;&gt;0,DB_ThemeSOFAcct[[#This Row],[Actuals]]/DB_ThemeSOFAcct[[#This Row],[Plan]],1.000011000011)</f>
        <v>1.2048479747664451</v>
      </c>
      <c r="AG987" s="34">
        <f>SUM(DB_ThemeSOFAcct[[#This Row],[Plan01]:[Plan12]])/valUnits2</f>
        <v>4.6433410000000004</v>
      </c>
      <c r="AH987" s="34">
        <f>SUMPRODUCT(DB_ThemeSOFAcct[[#This Row],[Act01]:[Act12]],$Q$3:$AB$3)/valUnits2</f>
        <v>5.5945200000000002</v>
      </c>
    </row>
    <row r="988" spans="2:34" x14ac:dyDescent="0.2">
      <c r="B988" t="s">
        <v>349</v>
      </c>
      <c r="C988" t="s">
        <v>854</v>
      </c>
      <c r="D988" t="s">
        <v>140</v>
      </c>
      <c r="G988">
        <v>0</v>
      </c>
      <c r="H988">
        <v>9715.5190000000002</v>
      </c>
      <c r="I988">
        <v>1761.0930000000001</v>
      </c>
      <c r="J988">
        <v>1880.8790000000001</v>
      </c>
      <c r="K988">
        <v>1880.8790000000001</v>
      </c>
      <c r="L988">
        <v>1880.8790000000001</v>
      </c>
      <c r="M988">
        <v>1880.8790000000001</v>
      </c>
      <c r="N988">
        <v>1880.8790000000001</v>
      </c>
      <c r="O988">
        <v>1880.8790000000001</v>
      </c>
      <c r="P988">
        <v>1880.8790000000001</v>
      </c>
      <c r="S988">
        <v>0</v>
      </c>
      <c r="T988">
        <v>9751.92</v>
      </c>
      <c r="U988">
        <v>1784.7</v>
      </c>
      <c r="V988">
        <v>-704.02000000000021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f>SUMPRODUCT(DB_ThemeSOFAcct[[#This Row],[Plan01]:[Plan12]],$E$14:$P$14)/valUnits2</f>
        <v>13.357491000000001</v>
      </c>
      <c r="AD988">
        <f>SUMPRODUCT(DB_ThemeSOFAcct[[#This Row],[Act01]:[Act12]],$Q$14:$AB$14)/valUnits2</f>
        <v>10.832600000000001</v>
      </c>
      <c r="AE988">
        <f>DB_ThemeSOFAcct[[#This Row],[Actuals]]-DB_ThemeSOFAcct[[#This Row],[Plan]]</f>
        <v>-2.5248910000000002</v>
      </c>
      <c r="AF988">
        <f>IF(DB_ThemeSOFAcct[[#This Row],[Plan]]&lt;&gt;0,DB_ThemeSOFAcct[[#This Row],[Actuals]]/DB_ThemeSOFAcct[[#This Row],[Plan]],1.000011000011)</f>
        <v>0.81097565403562688</v>
      </c>
      <c r="AG988" s="34">
        <f>SUM(DB_ThemeSOFAcct[[#This Row],[Plan01]:[Plan12]])/valUnits2</f>
        <v>24.642765000000008</v>
      </c>
      <c r="AH988" s="34">
        <f>SUMPRODUCT(DB_ThemeSOFAcct[[#This Row],[Act01]:[Act12]],$Q$3:$AB$3)/valUnits2</f>
        <v>10.832600000000001</v>
      </c>
    </row>
    <row r="989" spans="2:34" x14ac:dyDescent="0.2">
      <c r="B989" t="s">
        <v>349</v>
      </c>
      <c r="C989" t="s">
        <v>854</v>
      </c>
      <c r="D989" t="s">
        <v>236</v>
      </c>
      <c r="J989">
        <v>0</v>
      </c>
      <c r="V989">
        <v>239.83</v>
      </c>
      <c r="AC989">
        <f>SUMPRODUCT(DB_ThemeSOFAcct[[#This Row],[Plan01]:[Plan12]],$E$14:$P$14)/valUnits2</f>
        <v>0</v>
      </c>
      <c r="AD989">
        <f>SUMPRODUCT(DB_ThemeSOFAcct[[#This Row],[Act01]:[Act12]],$Q$14:$AB$14)/valUnits2</f>
        <v>0.23983000000000002</v>
      </c>
      <c r="AE989">
        <f>DB_ThemeSOFAcct[[#This Row],[Actuals]]-DB_ThemeSOFAcct[[#This Row],[Plan]]</f>
        <v>0.23983000000000002</v>
      </c>
      <c r="AF989">
        <f>IF(DB_ThemeSOFAcct[[#This Row],[Plan]]&lt;&gt;0,DB_ThemeSOFAcct[[#This Row],[Actuals]]/DB_ThemeSOFAcct[[#This Row],[Plan]],1.000011000011)</f>
        <v>1.0000110000110001</v>
      </c>
      <c r="AG989" s="34">
        <f>SUM(DB_ThemeSOFAcct[[#This Row],[Plan01]:[Plan12]])/valUnits2</f>
        <v>0</v>
      </c>
      <c r="AH989" s="34">
        <f>SUMPRODUCT(DB_ThemeSOFAcct[[#This Row],[Act01]:[Act12]],$Q$3:$AB$3)/valUnits2</f>
        <v>0.23983000000000002</v>
      </c>
    </row>
    <row r="990" spans="2:34" x14ac:dyDescent="0.2">
      <c r="B990" t="s">
        <v>349</v>
      </c>
      <c r="C990" t="s">
        <v>854</v>
      </c>
      <c r="D990" t="s">
        <v>237</v>
      </c>
      <c r="G990">
        <v>140.29400000000001</v>
      </c>
      <c r="J990">
        <v>0</v>
      </c>
      <c r="S990">
        <v>139.77000000000001</v>
      </c>
      <c r="V990">
        <v>141.5</v>
      </c>
      <c r="AC990">
        <f>SUMPRODUCT(DB_ThemeSOFAcct[[#This Row],[Plan01]:[Plan12]],$E$14:$P$14)/valUnits2</f>
        <v>0.140294</v>
      </c>
      <c r="AD990">
        <f>SUMPRODUCT(DB_ThemeSOFAcct[[#This Row],[Act01]:[Act12]],$Q$14:$AB$14)/valUnits2</f>
        <v>0.28126999999999996</v>
      </c>
      <c r="AE990">
        <f>DB_ThemeSOFAcct[[#This Row],[Actuals]]-DB_ThemeSOFAcct[[#This Row],[Plan]]</f>
        <v>0.14097599999999996</v>
      </c>
      <c r="AF990">
        <f>IF(DB_ThemeSOFAcct[[#This Row],[Plan]]&lt;&gt;0,DB_ThemeSOFAcct[[#This Row],[Actuals]]/DB_ThemeSOFAcct[[#This Row],[Plan]],1.000011000011)</f>
        <v>2.0048612200094085</v>
      </c>
      <c r="AG990" s="34">
        <f>SUM(DB_ThemeSOFAcct[[#This Row],[Plan01]:[Plan12]])/valUnits2</f>
        <v>0.140294</v>
      </c>
      <c r="AH990" s="34">
        <f>SUMPRODUCT(DB_ThemeSOFAcct[[#This Row],[Act01]:[Act12]],$Q$3:$AB$3)/valUnits2</f>
        <v>0.28126999999999996</v>
      </c>
    </row>
    <row r="991" spans="2:34" x14ac:dyDescent="0.2">
      <c r="B991" t="s">
        <v>349</v>
      </c>
      <c r="C991" t="s">
        <v>854</v>
      </c>
      <c r="D991" t="s">
        <v>141</v>
      </c>
      <c r="E991">
        <v>10.851000000000001</v>
      </c>
      <c r="F991">
        <v>387.96699999999998</v>
      </c>
      <c r="I991">
        <v>24.393000000000001</v>
      </c>
      <c r="J991">
        <v>0</v>
      </c>
      <c r="Q991">
        <v>10.9</v>
      </c>
      <c r="R991">
        <v>395.52</v>
      </c>
      <c r="U991">
        <v>25.029999999999998</v>
      </c>
      <c r="V991">
        <v>72.56</v>
      </c>
      <c r="AC991">
        <f>SUMPRODUCT(DB_ThemeSOFAcct[[#This Row],[Plan01]:[Plan12]],$E$14:$P$14)/valUnits2</f>
        <v>0.423211</v>
      </c>
      <c r="AD991">
        <f>SUMPRODUCT(DB_ThemeSOFAcct[[#This Row],[Act01]:[Act12]],$Q$14:$AB$14)/valUnits2</f>
        <v>0.50400999999999996</v>
      </c>
      <c r="AE991">
        <f>DB_ThemeSOFAcct[[#This Row],[Actuals]]-DB_ThemeSOFAcct[[#This Row],[Plan]]</f>
        <v>8.0798999999999954E-2</v>
      </c>
      <c r="AF991">
        <f>IF(DB_ThemeSOFAcct[[#This Row],[Plan]]&lt;&gt;0,DB_ThemeSOFAcct[[#This Row],[Actuals]]/DB_ThemeSOFAcct[[#This Row],[Plan]],1.000011000011)</f>
        <v>1.1909189505943842</v>
      </c>
      <c r="AG991" s="34">
        <f>SUM(DB_ThemeSOFAcct[[#This Row],[Plan01]:[Plan12]])/valUnits2</f>
        <v>0.423211</v>
      </c>
      <c r="AH991" s="34">
        <f>SUMPRODUCT(DB_ThemeSOFAcct[[#This Row],[Act01]:[Act12]],$Q$3:$AB$3)/valUnits2</f>
        <v>0.50400999999999996</v>
      </c>
    </row>
    <row r="992" spans="2:34" x14ac:dyDescent="0.2">
      <c r="B992" t="s">
        <v>349</v>
      </c>
      <c r="C992" t="s">
        <v>364</v>
      </c>
      <c r="D992" t="s">
        <v>141</v>
      </c>
      <c r="E992">
        <v>61.42</v>
      </c>
      <c r="F992">
        <v>9.1999999999999993</v>
      </c>
      <c r="G992">
        <v>7.83</v>
      </c>
      <c r="H992">
        <v>0</v>
      </c>
      <c r="I992">
        <v>72.399999999999991</v>
      </c>
      <c r="J992">
        <v>3505.6389999999997</v>
      </c>
      <c r="K992">
        <v>3505.6389999999997</v>
      </c>
      <c r="L992">
        <v>1749.9290000000001</v>
      </c>
      <c r="Q992">
        <v>61.42</v>
      </c>
      <c r="R992">
        <v>9.1999999999999993</v>
      </c>
      <c r="S992">
        <v>7.83</v>
      </c>
      <c r="T992">
        <v>0</v>
      </c>
      <c r="U992">
        <v>72.399999999999991</v>
      </c>
      <c r="V992">
        <v>0</v>
      </c>
      <c r="W992">
        <v>0</v>
      </c>
      <c r="X992">
        <v>0</v>
      </c>
      <c r="AC992">
        <f>SUMPRODUCT(DB_ThemeSOFAcct[[#This Row],[Plan01]:[Plan12]],$E$14:$P$14)/valUnits2</f>
        <v>3.6564889999999997</v>
      </c>
      <c r="AD992">
        <f>SUMPRODUCT(DB_ThemeSOFAcct[[#This Row],[Act01]:[Act12]],$Q$14:$AB$14)/valUnits2</f>
        <v>0.15084999999999998</v>
      </c>
      <c r="AE992">
        <f>DB_ThemeSOFAcct[[#This Row],[Actuals]]-DB_ThemeSOFAcct[[#This Row],[Plan]]</f>
        <v>-3.5056389999999995</v>
      </c>
      <c r="AF992">
        <f>IF(DB_ThemeSOFAcct[[#This Row],[Plan]]&lt;&gt;0,DB_ThemeSOFAcct[[#This Row],[Actuals]]/DB_ThemeSOFAcct[[#This Row],[Plan]],1.000011000011)</f>
        <v>4.1255422893382146E-2</v>
      </c>
      <c r="AG992" s="34">
        <f>SUM(DB_ThemeSOFAcct[[#This Row],[Plan01]:[Plan12]])/valUnits2</f>
        <v>8.912056999999999</v>
      </c>
      <c r="AH992" s="34">
        <f>SUMPRODUCT(DB_ThemeSOFAcct[[#This Row],[Act01]:[Act12]],$Q$3:$AB$3)/valUnits2</f>
        <v>0.15084999999999998</v>
      </c>
    </row>
    <row r="993" spans="2:34" x14ac:dyDescent="0.2">
      <c r="B993" t="s">
        <v>349</v>
      </c>
      <c r="C993" t="s">
        <v>864</v>
      </c>
      <c r="D993" t="s">
        <v>235</v>
      </c>
      <c r="E993">
        <v>0</v>
      </c>
      <c r="G993">
        <v>177.53</v>
      </c>
      <c r="Q993">
        <v>0</v>
      </c>
      <c r="S993">
        <v>185.24</v>
      </c>
      <c r="AC993">
        <f>SUMPRODUCT(DB_ThemeSOFAcct[[#This Row],[Plan01]:[Plan12]],$E$14:$P$14)/valUnits2</f>
        <v>0.17752999999999999</v>
      </c>
      <c r="AD993">
        <f>SUMPRODUCT(DB_ThemeSOFAcct[[#This Row],[Act01]:[Act12]],$Q$14:$AB$14)/valUnits2</f>
        <v>0.18524000000000002</v>
      </c>
      <c r="AE993">
        <f>DB_ThemeSOFAcct[[#This Row],[Actuals]]-DB_ThemeSOFAcct[[#This Row],[Plan]]</f>
        <v>7.7100000000000224E-3</v>
      </c>
      <c r="AF993">
        <f>IF(DB_ThemeSOFAcct[[#This Row],[Plan]]&lt;&gt;0,DB_ThemeSOFAcct[[#This Row],[Actuals]]/DB_ThemeSOFAcct[[#This Row],[Plan]],1.000011000011)</f>
        <v>1.0434292795583846</v>
      </c>
      <c r="AG993" s="34">
        <f>SUM(DB_ThemeSOFAcct[[#This Row],[Plan01]:[Plan12]])/valUnits2</f>
        <v>0.17752999999999999</v>
      </c>
      <c r="AH993" s="34">
        <f>SUMPRODUCT(DB_ThemeSOFAcct[[#This Row],[Act01]:[Act12]],$Q$3:$AB$3)/valUnits2</f>
        <v>0.18524000000000002</v>
      </c>
    </row>
    <row r="994" spans="2:34" x14ac:dyDescent="0.2">
      <c r="B994" t="s">
        <v>349</v>
      </c>
      <c r="C994" t="s">
        <v>864</v>
      </c>
      <c r="D994" t="s">
        <v>236</v>
      </c>
      <c r="E994">
        <v>0</v>
      </c>
      <c r="G994">
        <v>22386.383999999998</v>
      </c>
      <c r="H994">
        <v>-62.439</v>
      </c>
      <c r="Q994">
        <v>0</v>
      </c>
      <c r="S994">
        <v>23707.89</v>
      </c>
      <c r="T994">
        <v>-64.83</v>
      </c>
      <c r="AC994">
        <f>SUMPRODUCT(DB_ThemeSOFAcct[[#This Row],[Plan01]:[Plan12]],$E$14:$P$14)/valUnits2</f>
        <v>22.323944999999998</v>
      </c>
      <c r="AD994">
        <f>SUMPRODUCT(DB_ThemeSOFAcct[[#This Row],[Act01]:[Act12]],$Q$14:$AB$14)/valUnits2</f>
        <v>23.643059999999998</v>
      </c>
      <c r="AE994">
        <f>DB_ThemeSOFAcct[[#This Row],[Actuals]]-DB_ThemeSOFAcct[[#This Row],[Plan]]</f>
        <v>1.319115</v>
      </c>
      <c r="AF994">
        <f>IF(DB_ThemeSOFAcct[[#This Row],[Plan]]&lt;&gt;0,DB_ThemeSOFAcct[[#This Row],[Actuals]]/DB_ThemeSOFAcct[[#This Row],[Plan]],1.000011000011)</f>
        <v>1.0590896904646558</v>
      </c>
      <c r="AG994" s="34">
        <f>SUM(DB_ThemeSOFAcct[[#This Row],[Plan01]:[Plan12]])/valUnits2</f>
        <v>22.323944999999998</v>
      </c>
      <c r="AH994" s="34">
        <f>SUMPRODUCT(DB_ThemeSOFAcct[[#This Row],[Act01]:[Act12]],$Q$3:$AB$3)/valUnits2</f>
        <v>23.643059999999998</v>
      </c>
    </row>
    <row r="995" spans="2:34" x14ac:dyDescent="0.2">
      <c r="B995" t="s">
        <v>349</v>
      </c>
      <c r="C995" t="s">
        <v>864</v>
      </c>
      <c r="D995" t="s">
        <v>141</v>
      </c>
      <c r="E995">
        <v>0</v>
      </c>
      <c r="G995">
        <v>87.912999999999997</v>
      </c>
      <c r="H995">
        <v>-0.69399999999999995</v>
      </c>
      <c r="Q995">
        <v>0</v>
      </c>
      <c r="S995">
        <v>91.73</v>
      </c>
      <c r="T995">
        <v>-0.71</v>
      </c>
      <c r="AC995">
        <f>SUMPRODUCT(DB_ThemeSOFAcct[[#This Row],[Plan01]:[Plan12]],$E$14:$P$14)/valUnits2</f>
        <v>8.7218999999999991E-2</v>
      </c>
      <c r="AD995">
        <f>SUMPRODUCT(DB_ThemeSOFAcct[[#This Row],[Act01]:[Act12]],$Q$14:$AB$14)/valUnits2</f>
        <v>9.1020000000000004E-2</v>
      </c>
      <c r="AE995">
        <f>DB_ThemeSOFAcct[[#This Row],[Actuals]]-DB_ThemeSOFAcct[[#This Row],[Plan]]</f>
        <v>3.8010000000000127E-3</v>
      </c>
      <c r="AF995">
        <f>IF(DB_ThemeSOFAcct[[#This Row],[Plan]]&lt;&gt;0,DB_ThemeSOFAcct[[#This Row],[Actuals]]/DB_ThemeSOFAcct[[#This Row],[Plan]],1.000011000011)</f>
        <v>1.0435799539091255</v>
      </c>
      <c r="AG995" s="34">
        <f>SUM(DB_ThemeSOFAcct[[#This Row],[Plan01]:[Plan12]])/valUnits2</f>
        <v>8.7218999999999991E-2</v>
      </c>
      <c r="AH995" s="34">
        <f>SUMPRODUCT(DB_ThemeSOFAcct[[#This Row],[Act01]:[Act12]],$Q$3:$AB$3)/valUnits2</f>
        <v>9.1020000000000004E-2</v>
      </c>
    </row>
    <row r="996" spans="2:34" x14ac:dyDescent="0.2">
      <c r="B996" t="s">
        <v>349</v>
      </c>
      <c r="C996" t="s">
        <v>355</v>
      </c>
      <c r="D996" t="s">
        <v>142</v>
      </c>
      <c r="E996">
        <v>11899.593000000003</v>
      </c>
      <c r="F996">
        <v>8769.2499999999982</v>
      </c>
      <c r="G996">
        <v>-9.9999999998772182E-3</v>
      </c>
      <c r="H996">
        <v>1522.309</v>
      </c>
      <c r="I996">
        <v>599.36400000000003</v>
      </c>
      <c r="J996">
        <v>10359.533000000001</v>
      </c>
      <c r="Q996">
        <v>12015.050000000001</v>
      </c>
      <c r="R996">
        <v>8939.9600000000009</v>
      </c>
      <c r="S996">
        <v>-1.0000000000218279E-2</v>
      </c>
      <c r="T996">
        <v>1538.4500000000003</v>
      </c>
      <c r="U996">
        <v>641.73</v>
      </c>
      <c r="V996">
        <v>0</v>
      </c>
      <c r="AC996">
        <f>SUMPRODUCT(DB_ThemeSOFAcct[[#This Row],[Plan01]:[Plan12]],$E$14:$P$14)/valUnits2</f>
        <v>33.150039000000007</v>
      </c>
      <c r="AD996">
        <f>SUMPRODUCT(DB_ThemeSOFAcct[[#This Row],[Act01]:[Act12]],$Q$14:$AB$14)/valUnits2</f>
        <v>23.135180000000002</v>
      </c>
      <c r="AE996">
        <f>DB_ThemeSOFAcct[[#This Row],[Actuals]]-DB_ThemeSOFAcct[[#This Row],[Plan]]</f>
        <v>-10.014859000000005</v>
      </c>
      <c r="AF996">
        <f>IF(DB_ThemeSOFAcct[[#This Row],[Plan]]&lt;&gt;0,DB_ThemeSOFAcct[[#This Row],[Actuals]]/DB_ThemeSOFAcct[[#This Row],[Plan]],1.000011000011)</f>
        <v>0.69789299493735124</v>
      </c>
      <c r="AG996" s="34">
        <f>SUM(DB_ThemeSOFAcct[[#This Row],[Plan01]:[Plan12]])/valUnits2</f>
        <v>33.150039000000007</v>
      </c>
      <c r="AH996" s="34">
        <f>SUMPRODUCT(DB_ThemeSOFAcct[[#This Row],[Act01]:[Act12]],$Q$3:$AB$3)/valUnits2</f>
        <v>23.135180000000002</v>
      </c>
    </row>
    <row r="997" spans="2:34" x14ac:dyDescent="0.2">
      <c r="B997" t="s">
        <v>349</v>
      </c>
      <c r="C997" t="s">
        <v>355</v>
      </c>
      <c r="D997" t="s">
        <v>140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AC997">
        <f>SUMPRODUCT(DB_ThemeSOFAcct[[#This Row],[Plan01]:[Plan12]],$E$14:$P$14)/valUnits2</f>
        <v>0</v>
      </c>
      <c r="AD997">
        <f>SUMPRODUCT(DB_ThemeSOFAcct[[#This Row],[Act01]:[Act12]],$Q$14:$AB$14)/valUnits2</f>
        <v>0</v>
      </c>
      <c r="AE997">
        <f>DB_ThemeSOFAcct[[#This Row],[Actuals]]-DB_ThemeSOFAcct[[#This Row],[Plan]]</f>
        <v>0</v>
      </c>
      <c r="AF997">
        <f>IF(DB_ThemeSOFAcct[[#This Row],[Plan]]&lt;&gt;0,DB_ThemeSOFAcct[[#This Row],[Actuals]]/DB_ThemeSOFAcct[[#This Row],[Plan]],1.000011000011)</f>
        <v>1.0000110000110001</v>
      </c>
      <c r="AG997" s="34">
        <f>SUM(DB_ThemeSOFAcct[[#This Row],[Plan01]:[Plan12]])/valUnits2</f>
        <v>0</v>
      </c>
      <c r="AH997" s="34">
        <f>SUMPRODUCT(DB_ThemeSOFAcct[[#This Row],[Act01]:[Act12]],$Q$3:$AB$3)/valUnits2</f>
        <v>0</v>
      </c>
    </row>
    <row r="998" spans="2:34" x14ac:dyDescent="0.2">
      <c r="B998" t="s">
        <v>349</v>
      </c>
      <c r="C998" t="s">
        <v>355</v>
      </c>
      <c r="D998" t="s">
        <v>236</v>
      </c>
      <c r="G998">
        <v>349.81900000000002</v>
      </c>
      <c r="S998">
        <v>345.82</v>
      </c>
      <c r="AC998">
        <f>SUMPRODUCT(DB_ThemeSOFAcct[[#This Row],[Plan01]:[Plan12]],$E$14:$P$14)/valUnits2</f>
        <v>0.34981899999999999</v>
      </c>
      <c r="AD998">
        <f>SUMPRODUCT(DB_ThemeSOFAcct[[#This Row],[Act01]:[Act12]],$Q$14:$AB$14)/valUnits2</f>
        <v>0.34582000000000002</v>
      </c>
      <c r="AE998">
        <f>DB_ThemeSOFAcct[[#This Row],[Actuals]]-DB_ThemeSOFAcct[[#This Row],[Plan]]</f>
        <v>-3.9989999999999748E-3</v>
      </c>
      <c r="AF998">
        <f>IF(DB_ThemeSOFAcct[[#This Row],[Plan]]&lt;&gt;0,DB_ThemeSOFAcct[[#This Row],[Actuals]]/DB_ThemeSOFAcct[[#This Row],[Plan]],1.000011000011)</f>
        <v>0.98856837393051844</v>
      </c>
      <c r="AG998" s="34">
        <f>SUM(DB_ThemeSOFAcct[[#This Row],[Plan01]:[Plan12]])/valUnits2</f>
        <v>0.34981899999999999</v>
      </c>
      <c r="AH998" s="34">
        <f>SUMPRODUCT(DB_ThemeSOFAcct[[#This Row],[Act01]:[Act12]],$Q$3:$AB$3)/valUnits2</f>
        <v>0.34582000000000002</v>
      </c>
    </row>
    <row r="999" spans="2:34" x14ac:dyDescent="0.2">
      <c r="B999" t="s">
        <v>349</v>
      </c>
      <c r="C999" t="s">
        <v>355</v>
      </c>
      <c r="D999" t="s">
        <v>141</v>
      </c>
      <c r="E999">
        <v>192.227</v>
      </c>
      <c r="Q999">
        <v>191.07</v>
      </c>
      <c r="AC999">
        <f>SUMPRODUCT(DB_ThemeSOFAcct[[#This Row],[Plan01]:[Plan12]],$E$14:$P$14)/valUnits2</f>
        <v>0.19222700000000001</v>
      </c>
      <c r="AD999">
        <f>SUMPRODUCT(DB_ThemeSOFAcct[[#This Row],[Act01]:[Act12]],$Q$14:$AB$14)/valUnits2</f>
        <v>0.19106999999999999</v>
      </c>
      <c r="AE999">
        <f>DB_ThemeSOFAcct[[#This Row],[Actuals]]-DB_ThemeSOFAcct[[#This Row],[Plan]]</f>
        <v>-1.1570000000000191E-3</v>
      </c>
      <c r="AF999">
        <f>IF(DB_ThemeSOFAcct[[#This Row],[Plan]]&lt;&gt;0,DB_ThemeSOFAcct[[#This Row],[Actuals]]/DB_ThemeSOFAcct[[#This Row],[Plan]],1.000011000011)</f>
        <v>0.99398107445884287</v>
      </c>
      <c r="AG999" s="34">
        <f>SUM(DB_ThemeSOFAcct[[#This Row],[Plan01]:[Plan12]])/valUnits2</f>
        <v>0.19222700000000001</v>
      </c>
      <c r="AH999" s="34">
        <f>SUMPRODUCT(DB_ThemeSOFAcct[[#This Row],[Act01]:[Act12]],$Q$3:$AB$3)/valUnits2</f>
        <v>0.19106999999999999</v>
      </c>
    </row>
    <row r="1000" spans="2:34" x14ac:dyDescent="0.2">
      <c r="B1000" t="s">
        <v>349</v>
      </c>
      <c r="C1000" t="s">
        <v>866</v>
      </c>
      <c r="D1000" t="s">
        <v>236</v>
      </c>
      <c r="H1000">
        <v>64.83</v>
      </c>
      <c r="I1000">
        <v>2035.75</v>
      </c>
      <c r="J1000">
        <v>0</v>
      </c>
      <c r="T1000">
        <v>64.83</v>
      </c>
      <c r="U1000">
        <v>2035.75</v>
      </c>
      <c r="V1000">
        <v>-2035.75</v>
      </c>
      <c r="AC1000">
        <f>SUMPRODUCT(DB_ThemeSOFAcct[[#This Row],[Plan01]:[Plan12]],$E$14:$P$14)/valUnits2</f>
        <v>2.1005799999999999</v>
      </c>
      <c r="AD1000">
        <f>SUMPRODUCT(DB_ThemeSOFAcct[[#This Row],[Act01]:[Act12]],$Q$14:$AB$14)/valUnits2</f>
        <v>6.4829999999999929E-2</v>
      </c>
      <c r="AE1000">
        <f>DB_ThemeSOFAcct[[#This Row],[Actuals]]-DB_ThemeSOFAcct[[#This Row],[Plan]]</f>
        <v>-2.0357500000000002</v>
      </c>
      <c r="AF1000">
        <f>IF(DB_ThemeSOFAcct[[#This Row],[Plan]]&lt;&gt;0,DB_ThemeSOFAcct[[#This Row],[Actuals]]/DB_ThemeSOFAcct[[#This Row],[Plan]],1.000011000011)</f>
        <v>3.0862904531129467E-2</v>
      </c>
      <c r="AG1000" s="34">
        <f>SUM(DB_ThemeSOFAcct[[#This Row],[Plan01]:[Plan12]])/valUnits2</f>
        <v>2.1005799999999999</v>
      </c>
      <c r="AH1000" s="34">
        <f>SUMPRODUCT(DB_ThemeSOFAcct[[#This Row],[Act01]:[Act12]],$Q$3:$AB$3)/valUnits2</f>
        <v>6.4829999999999929E-2</v>
      </c>
    </row>
    <row r="1001" spans="2:34" x14ac:dyDescent="0.2">
      <c r="B1001" t="s">
        <v>349</v>
      </c>
      <c r="C1001" t="s">
        <v>866</v>
      </c>
      <c r="D1001" t="s">
        <v>237</v>
      </c>
      <c r="I1001">
        <v>316.01</v>
      </c>
      <c r="J1001">
        <v>0</v>
      </c>
      <c r="U1001">
        <v>316.01</v>
      </c>
      <c r="V1001">
        <v>-283.32</v>
      </c>
      <c r="AC1001">
        <f>SUMPRODUCT(DB_ThemeSOFAcct[[#This Row],[Plan01]:[Plan12]],$E$14:$P$14)/valUnits2</f>
        <v>0.31601000000000001</v>
      </c>
      <c r="AD1001">
        <f>SUMPRODUCT(DB_ThemeSOFAcct[[#This Row],[Act01]:[Act12]],$Q$14:$AB$14)/valUnits2</f>
        <v>3.2689999999999997E-2</v>
      </c>
      <c r="AE1001">
        <f>DB_ThemeSOFAcct[[#This Row],[Actuals]]-DB_ThemeSOFAcct[[#This Row],[Plan]]</f>
        <v>-0.28332000000000002</v>
      </c>
      <c r="AF1001">
        <f>IF(DB_ThemeSOFAcct[[#This Row],[Plan]]&lt;&gt;0,DB_ThemeSOFAcct[[#This Row],[Actuals]]/DB_ThemeSOFAcct[[#This Row],[Plan]],1.000011000011)</f>
        <v>0.10344609347805447</v>
      </c>
      <c r="AG1001" s="34">
        <f>SUM(DB_ThemeSOFAcct[[#This Row],[Plan01]:[Plan12]])/valUnits2</f>
        <v>0.31601000000000001</v>
      </c>
      <c r="AH1001" s="34">
        <f>SUMPRODUCT(DB_ThemeSOFAcct[[#This Row],[Act01]:[Act12]],$Q$3:$AB$3)/valUnits2</f>
        <v>3.2689999999999997E-2</v>
      </c>
    </row>
    <row r="1002" spans="2:34" x14ac:dyDescent="0.2">
      <c r="B1002" t="s">
        <v>349</v>
      </c>
      <c r="C1002" t="s">
        <v>866</v>
      </c>
      <c r="D1002" t="s">
        <v>141</v>
      </c>
      <c r="H1002">
        <v>0.71</v>
      </c>
      <c r="I1002">
        <v>210.72</v>
      </c>
      <c r="J1002">
        <v>0</v>
      </c>
      <c r="T1002">
        <v>0.71</v>
      </c>
      <c r="U1002">
        <v>210.72</v>
      </c>
      <c r="V1002">
        <v>-79.740000000000009</v>
      </c>
      <c r="AC1002">
        <f>SUMPRODUCT(DB_ThemeSOFAcct[[#This Row],[Plan01]:[Plan12]],$E$14:$P$14)/valUnits2</f>
        <v>0.21143000000000001</v>
      </c>
      <c r="AD1002">
        <f>SUMPRODUCT(DB_ThemeSOFAcct[[#This Row],[Act01]:[Act12]],$Q$14:$AB$14)/valUnits2</f>
        <v>0.13169</v>
      </c>
      <c r="AE1002">
        <f>DB_ThemeSOFAcct[[#This Row],[Actuals]]-DB_ThemeSOFAcct[[#This Row],[Plan]]</f>
        <v>-7.9740000000000005E-2</v>
      </c>
      <c r="AF1002">
        <f>IF(DB_ThemeSOFAcct[[#This Row],[Plan]]&lt;&gt;0,DB_ThemeSOFAcct[[#This Row],[Actuals]]/DB_ThemeSOFAcct[[#This Row],[Plan]],1.000011000011)</f>
        <v>0.62285389963581328</v>
      </c>
      <c r="AG1002" s="34">
        <f>SUM(DB_ThemeSOFAcct[[#This Row],[Plan01]:[Plan12]])/valUnits2</f>
        <v>0.21143000000000001</v>
      </c>
      <c r="AH1002" s="34">
        <f>SUMPRODUCT(DB_ThemeSOFAcct[[#This Row],[Act01]:[Act12]],$Q$3:$AB$3)/valUnits2</f>
        <v>0.13169</v>
      </c>
    </row>
    <row r="1003" spans="2:34" x14ac:dyDescent="0.2">
      <c r="B1003" t="s">
        <v>349</v>
      </c>
      <c r="C1003" t="s">
        <v>867</v>
      </c>
      <c r="D1003" t="s">
        <v>236</v>
      </c>
      <c r="J1003">
        <v>0</v>
      </c>
      <c r="V1003">
        <v>43184.83</v>
      </c>
      <c r="AC1003">
        <f>SUMPRODUCT(DB_ThemeSOFAcct[[#This Row],[Plan01]:[Plan12]],$E$14:$P$14)/valUnits2</f>
        <v>0</v>
      </c>
      <c r="AD1003">
        <f>SUMPRODUCT(DB_ThemeSOFAcct[[#This Row],[Act01]:[Act12]],$Q$14:$AB$14)/valUnits2</f>
        <v>43.184830000000005</v>
      </c>
      <c r="AE1003">
        <f>DB_ThemeSOFAcct[[#This Row],[Actuals]]-DB_ThemeSOFAcct[[#This Row],[Plan]]</f>
        <v>43.184830000000005</v>
      </c>
      <c r="AF1003">
        <f>IF(DB_ThemeSOFAcct[[#This Row],[Plan]]&lt;&gt;0,DB_ThemeSOFAcct[[#This Row],[Actuals]]/DB_ThemeSOFAcct[[#This Row],[Plan]],1.000011000011)</f>
        <v>1.0000110000110001</v>
      </c>
      <c r="AG1003" s="34">
        <f>SUM(DB_ThemeSOFAcct[[#This Row],[Plan01]:[Plan12]])/valUnits2</f>
        <v>0</v>
      </c>
      <c r="AH1003" s="34">
        <f>SUMPRODUCT(DB_ThemeSOFAcct[[#This Row],[Act01]:[Act12]],$Q$3:$AB$3)/valUnits2</f>
        <v>43.184830000000005</v>
      </c>
    </row>
    <row r="1004" spans="2:34" x14ac:dyDescent="0.2">
      <c r="B1004" t="s">
        <v>349</v>
      </c>
      <c r="C1004" t="s">
        <v>867</v>
      </c>
      <c r="D1004" t="s">
        <v>141</v>
      </c>
      <c r="I1004">
        <v>103.25999999999999</v>
      </c>
      <c r="J1004">
        <v>0</v>
      </c>
      <c r="U1004">
        <v>103.25999999999999</v>
      </c>
      <c r="V1004">
        <v>445.16</v>
      </c>
      <c r="AC1004">
        <f>SUMPRODUCT(DB_ThemeSOFAcct[[#This Row],[Plan01]:[Plan12]],$E$14:$P$14)/valUnits2</f>
        <v>0.10325999999999999</v>
      </c>
      <c r="AD1004">
        <f>SUMPRODUCT(DB_ThemeSOFAcct[[#This Row],[Act01]:[Act12]],$Q$14:$AB$14)/valUnits2</f>
        <v>0.54842000000000002</v>
      </c>
      <c r="AE1004">
        <f>DB_ThemeSOFAcct[[#This Row],[Actuals]]-DB_ThemeSOFAcct[[#This Row],[Plan]]</f>
        <v>0.44516</v>
      </c>
      <c r="AF1004">
        <f>IF(DB_ThemeSOFAcct[[#This Row],[Plan]]&lt;&gt;0,DB_ThemeSOFAcct[[#This Row],[Actuals]]/DB_ThemeSOFAcct[[#This Row],[Plan]],1.000011000011)</f>
        <v>5.3110594615533611</v>
      </c>
      <c r="AG1004" s="34">
        <f>SUM(DB_ThemeSOFAcct[[#This Row],[Plan01]:[Plan12]])/valUnits2</f>
        <v>0.10325999999999999</v>
      </c>
      <c r="AH1004" s="34">
        <f>SUMPRODUCT(DB_ThemeSOFAcct[[#This Row],[Act01]:[Act12]],$Q$3:$AB$3)/valUnits2</f>
        <v>0.54842000000000002</v>
      </c>
    </row>
    <row r="1005" spans="2:34" x14ac:dyDescent="0.2">
      <c r="B1005" t="s">
        <v>349</v>
      </c>
      <c r="C1005" t="s">
        <v>869</v>
      </c>
      <c r="D1005" t="s">
        <v>142</v>
      </c>
      <c r="E1005">
        <v>0</v>
      </c>
      <c r="F1005">
        <v>16296</v>
      </c>
      <c r="G1005">
        <v>0</v>
      </c>
      <c r="H1005">
        <v>0</v>
      </c>
      <c r="I1005">
        <v>0</v>
      </c>
      <c r="J1005">
        <v>0</v>
      </c>
      <c r="Q1005">
        <v>0</v>
      </c>
      <c r="R1005">
        <v>16296</v>
      </c>
      <c r="S1005">
        <v>0</v>
      </c>
      <c r="T1005">
        <v>0</v>
      </c>
      <c r="U1005">
        <v>0</v>
      </c>
      <c r="V1005">
        <v>0</v>
      </c>
      <c r="AC1005">
        <f>SUMPRODUCT(DB_ThemeSOFAcct[[#This Row],[Plan01]:[Plan12]],$E$14:$P$14)/valUnits2</f>
        <v>16.295999999999999</v>
      </c>
      <c r="AD1005">
        <f>SUMPRODUCT(DB_ThemeSOFAcct[[#This Row],[Act01]:[Act12]],$Q$14:$AB$14)/valUnits2</f>
        <v>16.295999999999999</v>
      </c>
      <c r="AE1005">
        <f>DB_ThemeSOFAcct[[#This Row],[Actuals]]-DB_ThemeSOFAcct[[#This Row],[Plan]]</f>
        <v>0</v>
      </c>
      <c r="AF1005">
        <f>IF(DB_ThemeSOFAcct[[#This Row],[Plan]]&lt;&gt;0,DB_ThemeSOFAcct[[#This Row],[Actuals]]/DB_ThemeSOFAcct[[#This Row],[Plan]],1.000011000011)</f>
        <v>1</v>
      </c>
      <c r="AG1005" s="34">
        <f>SUM(DB_ThemeSOFAcct[[#This Row],[Plan01]:[Plan12]])/valUnits2</f>
        <v>16.295999999999999</v>
      </c>
      <c r="AH1005" s="34">
        <f>SUMPRODUCT(DB_ThemeSOFAcct[[#This Row],[Act01]:[Act12]],$Q$3:$AB$3)/valUnits2</f>
        <v>16.295999999999999</v>
      </c>
    </row>
    <row r="1006" spans="2:34" x14ac:dyDescent="0.2">
      <c r="B1006" t="s">
        <v>349</v>
      </c>
      <c r="C1006" t="s">
        <v>869</v>
      </c>
      <c r="D1006" t="s">
        <v>140</v>
      </c>
      <c r="E1006">
        <v>5097.57</v>
      </c>
      <c r="F1006">
        <v>5648.58</v>
      </c>
      <c r="G1006">
        <v>6801.43</v>
      </c>
      <c r="H1006">
        <v>6052.11</v>
      </c>
      <c r="I1006">
        <v>5863.27</v>
      </c>
      <c r="J1006">
        <v>2202.5</v>
      </c>
      <c r="K1006">
        <v>2202.5</v>
      </c>
      <c r="L1006">
        <v>2202.5</v>
      </c>
      <c r="M1006">
        <v>2202.5</v>
      </c>
      <c r="N1006">
        <v>2202.5</v>
      </c>
      <c r="O1006">
        <v>2202.5</v>
      </c>
      <c r="P1006">
        <v>2202.5</v>
      </c>
      <c r="Q1006">
        <v>5097.57</v>
      </c>
      <c r="R1006">
        <v>5648.579999999999</v>
      </c>
      <c r="S1006">
        <v>6801.4299999999985</v>
      </c>
      <c r="T1006">
        <v>6052.1100000000006</v>
      </c>
      <c r="U1006">
        <v>5863.2699999999995</v>
      </c>
      <c r="V1006">
        <v>5977.8899999999994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f>SUMPRODUCT(DB_ThemeSOFAcct[[#This Row],[Plan01]:[Plan12]],$E$14:$P$14)/valUnits2</f>
        <v>31.665460000000003</v>
      </c>
      <c r="AD1006">
        <f>SUMPRODUCT(DB_ThemeSOFAcct[[#This Row],[Act01]:[Act12]],$Q$14:$AB$14)/valUnits2</f>
        <v>35.44084999999999</v>
      </c>
      <c r="AE1006">
        <f>DB_ThemeSOFAcct[[#This Row],[Actuals]]-DB_ThemeSOFAcct[[#This Row],[Plan]]</f>
        <v>3.7753899999999874</v>
      </c>
      <c r="AF1006">
        <f>IF(DB_ThemeSOFAcct[[#This Row],[Plan]]&lt;&gt;0,DB_ThemeSOFAcct[[#This Row],[Actuals]]/DB_ThemeSOFAcct[[#This Row],[Plan]],1.000011000011)</f>
        <v>1.1192273852961552</v>
      </c>
      <c r="AG1006" s="34">
        <f>SUM(DB_ThemeSOFAcct[[#This Row],[Plan01]:[Plan12]])/valUnits2</f>
        <v>44.880460000000006</v>
      </c>
      <c r="AH1006" s="34">
        <f>SUMPRODUCT(DB_ThemeSOFAcct[[#This Row],[Act01]:[Act12]],$Q$3:$AB$3)/valUnits2</f>
        <v>35.44084999999999</v>
      </c>
    </row>
    <row r="1007" spans="2:34" x14ac:dyDescent="0.2">
      <c r="B1007" t="s">
        <v>349</v>
      </c>
      <c r="C1007" t="s">
        <v>869</v>
      </c>
      <c r="D1007" t="s">
        <v>236</v>
      </c>
      <c r="E1007">
        <v>0</v>
      </c>
      <c r="G1007">
        <v>0</v>
      </c>
      <c r="H1007">
        <v>0</v>
      </c>
      <c r="I1007">
        <v>0</v>
      </c>
      <c r="J1007">
        <v>1191</v>
      </c>
      <c r="K1007">
        <v>1192</v>
      </c>
      <c r="L1007">
        <v>1193</v>
      </c>
      <c r="M1007">
        <v>1194</v>
      </c>
      <c r="N1007">
        <v>16423</v>
      </c>
      <c r="O1007">
        <v>1196</v>
      </c>
      <c r="P1007">
        <v>1197</v>
      </c>
      <c r="Q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f>SUMPRODUCT(DB_ThemeSOFAcct[[#This Row],[Plan01]:[Plan12]],$E$14:$P$14)/valUnits2</f>
        <v>1.1910000000000001</v>
      </c>
      <c r="AD1007">
        <f>SUMPRODUCT(DB_ThemeSOFAcct[[#This Row],[Act01]:[Act12]],$Q$14:$AB$14)/valUnits2</f>
        <v>0</v>
      </c>
      <c r="AE1007">
        <f>DB_ThemeSOFAcct[[#This Row],[Actuals]]-DB_ThemeSOFAcct[[#This Row],[Plan]]</f>
        <v>-1.1910000000000001</v>
      </c>
      <c r="AF1007">
        <f>IF(DB_ThemeSOFAcct[[#This Row],[Plan]]&lt;&gt;0,DB_ThemeSOFAcct[[#This Row],[Actuals]]/DB_ThemeSOFAcct[[#This Row],[Plan]],1.000011000011)</f>
        <v>0</v>
      </c>
      <c r="AG1007" s="34">
        <f>SUM(DB_ThemeSOFAcct[[#This Row],[Plan01]:[Plan12]])/valUnits2</f>
        <v>23.585999999999999</v>
      </c>
      <c r="AH1007" s="34">
        <f>SUMPRODUCT(DB_ThemeSOFAcct[[#This Row],[Act01]:[Act12]],$Q$3:$AB$3)/valUnits2</f>
        <v>0</v>
      </c>
    </row>
    <row r="1008" spans="2:34" x14ac:dyDescent="0.2">
      <c r="B1008" t="s">
        <v>349</v>
      </c>
      <c r="C1008" t="s">
        <v>869</v>
      </c>
      <c r="D1008" t="s">
        <v>141</v>
      </c>
      <c r="E1008">
        <v>326.5</v>
      </c>
      <c r="G1008">
        <v>12795.84</v>
      </c>
      <c r="H1008">
        <v>182.36</v>
      </c>
      <c r="I1008">
        <v>21499.09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326.5</v>
      </c>
      <c r="S1008">
        <v>12795.84</v>
      </c>
      <c r="T1008">
        <v>182.36</v>
      </c>
      <c r="U1008">
        <v>21499.090000000004</v>
      </c>
      <c r="V1008">
        <v>55.62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f>SUMPRODUCT(DB_ThemeSOFAcct[[#This Row],[Plan01]:[Plan12]],$E$14:$P$14)/valUnits2</f>
        <v>34.803789999999999</v>
      </c>
      <c r="AD1008">
        <f>SUMPRODUCT(DB_ThemeSOFAcct[[#This Row],[Act01]:[Act12]],$Q$14:$AB$14)/valUnits2</f>
        <v>34.859410000000011</v>
      </c>
      <c r="AE1008">
        <f>DB_ThemeSOFAcct[[#This Row],[Actuals]]-DB_ThemeSOFAcct[[#This Row],[Plan]]</f>
        <v>5.5620000000011771E-2</v>
      </c>
      <c r="AF1008">
        <f>IF(DB_ThemeSOFAcct[[#This Row],[Plan]]&lt;&gt;0,DB_ThemeSOFAcct[[#This Row],[Actuals]]/DB_ThemeSOFAcct[[#This Row],[Plan]],1.000011000011)</f>
        <v>1.0015981018159232</v>
      </c>
      <c r="AG1008" s="34">
        <f>SUM(DB_ThemeSOFAcct[[#This Row],[Plan01]:[Plan12]])/valUnits2</f>
        <v>34.803789999999999</v>
      </c>
      <c r="AH1008" s="34">
        <f>SUMPRODUCT(DB_ThemeSOFAcct[[#This Row],[Act01]:[Act12]],$Q$3:$AB$3)/valUnits2</f>
        <v>34.859410000000011</v>
      </c>
    </row>
    <row r="1009" spans="2:34" x14ac:dyDescent="0.2">
      <c r="B1009" t="s">
        <v>349</v>
      </c>
      <c r="C1009" t="s">
        <v>884</v>
      </c>
      <c r="D1009" t="s">
        <v>140</v>
      </c>
      <c r="E1009">
        <v>1897</v>
      </c>
      <c r="F1009">
        <v>3321.67</v>
      </c>
      <c r="G1009">
        <v>1897</v>
      </c>
      <c r="H1009">
        <v>1897</v>
      </c>
      <c r="I1009">
        <v>472.32999999999993</v>
      </c>
      <c r="J1009">
        <v>1897</v>
      </c>
      <c r="K1009">
        <v>1897</v>
      </c>
      <c r="L1009">
        <v>1897</v>
      </c>
      <c r="M1009">
        <v>1897</v>
      </c>
      <c r="N1009">
        <v>1897</v>
      </c>
      <c r="O1009">
        <v>1897</v>
      </c>
      <c r="P1009">
        <v>1900</v>
      </c>
      <c r="Q1009">
        <v>0</v>
      </c>
      <c r="R1009">
        <v>1424.67</v>
      </c>
      <c r="S1009">
        <v>0</v>
      </c>
      <c r="T1009">
        <v>0</v>
      </c>
      <c r="U1009">
        <v>-1424.67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f>SUMPRODUCT(DB_ThemeSOFAcct[[#This Row],[Plan01]:[Plan12]],$E$14:$P$14)/valUnits2</f>
        <v>11.382</v>
      </c>
      <c r="AD1009">
        <f>SUMPRODUCT(DB_ThemeSOFAcct[[#This Row],[Act01]:[Act12]],$Q$14:$AB$14)/valUnits2</f>
        <v>0</v>
      </c>
      <c r="AE1009">
        <f>DB_ThemeSOFAcct[[#This Row],[Actuals]]-DB_ThemeSOFAcct[[#This Row],[Plan]]</f>
        <v>-11.382</v>
      </c>
      <c r="AF1009">
        <f>IF(DB_ThemeSOFAcct[[#This Row],[Plan]]&lt;&gt;0,DB_ThemeSOFAcct[[#This Row],[Actuals]]/DB_ThemeSOFAcct[[#This Row],[Plan]],1.000011000011)</f>
        <v>0</v>
      </c>
      <c r="AG1009" s="34">
        <f>SUM(DB_ThemeSOFAcct[[#This Row],[Plan01]:[Plan12]])/valUnits2</f>
        <v>22.766999999999999</v>
      </c>
      <c r="AH1009" s="34">
        <f>SUMPRODUCT(DB_ThemeSOFAcct[[#This Row],[Act01]:[Act12]],$Q$3:$AB$3)/valUnits2</f>
        <v>0</v>
      </c>
    </row>
    <row r="1010" spans="2:34" x14ac:dyDescent="0.2">
      <c r="B1010" t="s">
        <v>349</v>
      </c>
      <c r="C1010" t="s">
        <v>884</v>
      </c>
      <c r="D1010" t="s">
        <v>236</v>
      </c>
      <c r="E1010">
        <v>450</v>
      </c>
      <c r="F1010">
        <v>450</v>
      </c>
      <c r="G1010">
        <v>1133.99</v>
      </c>
      <c r="H1010">
        <v>450</v>
      </c>
      <c r="I1010">
        <v>-233.99</v>
      </c>
      <c r="J1010">
        <v>450</v>
      </c>
      <c r="K1010">
        <v>450</v>
      </c>
      <c r="L1010">
        <v>450</v>
      </c>
      <c r="M1010">
        <v>450</v>
      </c>
      <c r="N1010">
        <v>450</v>
      </c>
      <c r="O1010">
        <v>450</v>
      </c>
      <c r="P1010">
        <v>450</v>
      </c>
      <c r="Q1010">
        <v>0</v>
      </c>
      <c r="R1010">
        <v>0</v>
      </c>
      <c r="S1010">
        <v>683.99</v>
      </c>
      <c r="T1010">
        <v>0</v>
      </c>
      <c r="U1010">
        <v>-683.99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f>SUMPRODUCT(DB_ThemeSOFAcct[[#This Row],[Plan01]:[Plan12]],$E$14:$P$14)/valUnits2</f>
        <v>2.7</v>
      </c>
      <c r="AD1010">
        <f>SUMPRODUCT(DB_ThemeSOFAcct[[#This Row],[Act01]:[Act12]],$Q$14:$AB$14)/valUnits2</f>
        <v>0</v>
      </c>
      <c r="AE1010">
        <f>DB_ThemeSOFAcct[[#This Row],[Actuals]]-DB_ThemeSOFAcct[[#This Row],[Plan]]</f>
        <v>-2.7</v>
      </c>
      <c r="AF1010">
        <f>IF(DB_ThemeSOFAcct[[#This Row],[Plan]]&lt;&gt;0,DB_ThemeSOFAcct[[#This Row],[Actuals]]/DB_ThemeSOFAcct[[#This Row],[Plan]],1.000011000011)</f>
        <v>0</v>
      </c>
      <c r="AG1010" s="34">
        <f>SUM(DB_ThemeSOFAcct[[#This Row],[Plan01]:[Plan12]])/valUnits2</f>
        <v>5.4</v>
      </c>
      <c r="AH1010" s="34">
        <f>SUMPRODUCT(DB_ThemeSOFAcct[[#This Row],[Act01]:[Act12]],$Q$3:$AB$3)/valUnits2</f>
        <v>0</v>
      </c>
    </row>
    <row r="1011" spans="2:34" x14ac:dyDescent="0.2">
      <c r="B1011" t="s">
        <v>349</v>
      </c>
      <c r="C1011" t="s">
        <v>884</v>
      </c>
      <c r="D1011" t="s">
        <v>237</v>
      </c>
      <c r="E1011">
        <v>762.24</v>
      </c>
      <c r="G1011">
        <v>99.76</v>
      </c>
      <c r="I1011">
        <v>-862</v>
      </c>
      <c r="Q1011">
        <v>762.24</v>
      </c>
      <c r="S1011">
        <v>99.76</v>
      </c>
      <c r="U1011">
        <v>-862</v>
      </c>
      <c r="AC1011">
        <f>SUMPRODUCT(DB_ThemeSOFAcct[[#This Row],[Plan01]:[Plan12]],$E$14:$P$14)/valUnits2</f>
        <v>0</v>
      </c>
      <c r="AD1011">
        <f>SUMPRODUCT(DB_ThemeSOFAcct[[#This Row],[Act01]:[Act12]],$Q$14:$AB$14)/valUnits2</f>
        <v>0</v>
      </c>
      <c r="AE1011">
        <f>DB_ThemeSOFAcct[[#This Row],[Actuals]]-DB_ThemeSOFAcct[[#This Row],[Plan]]</f>
        <v>0</v>
      </c>
      <c r="AF1011">
        <f>IF(DB_ThemeSOFAcct[[#This Row],[Plan]]&lt;&gt;0,DB_ThemeSOFAcct[[#This Row],[Actuals]]/DB_ThemeSOFAcct[[#This Row],[Plan]],1.000011000011)</f>
        <v>1.0000110000110001</v>
      </c>
      <c r="AG1011" s="34">
        <f>SUM(DB_ThemeSOFAcct[[#This Row],[Plan01]:[Plan12]])/valUnits2</f>
        <v>0</v>
      </c>
      <c r="AH1011" s="34">
        <f>SUMPRODUCT(DB_ThemeSOFAcct[[#This Row],[Act01]:[Act12]],$Q$3:$AB$3)/valUnits2</f>
        <v>0</v>
      </c>
    </row>
    <row r="1012" spans="2:34" x14ac:dyDescent="0.2">
      <c r="B1012" t="s">
        <v>349</v>
      </c>
      <c r="C1012" t="s">
        <v>884</v>
      </c>
      <c r="D1012" t="s">
        <v>141</v>
      </c>
      <c r="E1012">
        <v>166.5</v>
      </c>
      <c r="F1012">
        <v>1308.45</v>
      </c>
      <c r="I1012">
        <v>-1474.95</v>
      </c>
      <c r="Q1012">
        <v>166.5</v>
      </c>
      <c r="R1012">
        <v>1308.45</v>
      </c>
      <c r="U1012">
        <v>-1474.95</v>
      </c>
      <c r="AC1012">
        <f>SUMPRODUCT(DB_ThemeSOFAcct[[#This Row],[Plan01]:[Plan12]],$E$14:$P$14)/valUnits2</f>
        <v>0</v>
      </c>
      <c r="AD1012">
        <f>SUMPRODUCT(DB_ThemeSOFAcct[[#This Row],[Act01]:[Act12]],$Q$14:$AB$14)/valUnits2</f>
        <v>0</v>
      </c>
      <c r="AE1012">
        <f>DB_ThemeSOFAcct[[#This Row],[Actuals]]-DB_ThemeSOFAcct[[#This Row],[Plan]]</f>
        <v>0</v>
      </c>
      <c r="AF1012">
        <f>IF(DB_ThemeSOFAcct[[#This Row],[Plan]]&lt;&gt;0,DB_ThemeSOFAcct[[#This Row],[Actuals]]/DB_ThemeSOFAcct[[#This Row],[Plan]],1.000011000011)</f>
        <v>1.0000110000110001</v>
      </c>
      <c r="AG1012" s="34">
        <f>SUM(DB_ThemeSOFAcct[[#This Row],[Plan01]:[Plan12]])/valUnits2</f>
        <v>0</v>
      </c>
      <c r="AH1012" s="34">
        <f>SUMPRODUCT(DB_ThemeSOFAcct[[#This Row],[Act01]:[Act12]],$Q$3:$AB$3)/valUnits2</f>
        <v>0</v>
      </c>
    </row>
    <row r="1013" spans="2:34" x14ac:dyDescent="0.2">
      <c r="B1013" t="s">
        <v>349</v>
      </c>
      <c r="C1013" t="s">
        <v>893</v>
      </c>
      <c r="D1013" t="s">
        <v>143</v>
      </c>
      <c r="E1013">
        <v>0</v>
      </c>
      <c r="Q1013">
        <v>0</v>
      </c>
      <c r="AC1013">
        <f>SUMPRODUCT(DB_ThemeSOFAcct[[#This Row],[Plan01]:[Plan12]],$E$14:$P$14)/valUnits2</f>
        <v>0</v>
      </c>
      <c r="AD1013">
        <f>SUMPRODUCT(DB_ThemeSOFAcct[[#This Row],[Act01]:[Act12]],$Q$14:$AB$14)/valUnits2</f>
        <v>0</v>
      </c>
      <c r="AE1013">
        <f>DB_ThemeSOFAcct[[#This Row],[Actuals]]-DB_ThemeSOFAcct[[#This Row],[Plan]]</f>
        <v>0</v>
      </c>
      <c r="AF1013">
        <f>IF(DB_ThemeSOFAcct[[#This Row],[Plan]]&lt;&gt;0,DB_ThemeSOFAcct[[#This Row],[Actuals]]/DB_ThemeSOFAcct[[#This Row],[Plan]],1.000011000011)</f>
        <v>1.0000110000110001</v>
      </c>
      <c r="AG1013" s="34">
        <f>SUM(DB_ThemeSOFAcct[[#This Row],[Plan01]:[Plan12]])/valUnits2</f>
        <v>0</v>
      </c>
      <c r="AH1013" s="34">
        <f>SUMPRODUCT(DB_ThemeSOFAcct[[#This Row],[Act01]:[Act12]],$Q$3:$AB$3)/valUnits2</f>
        <v>0</v>
      </c>
    </row>
    <row r="1014" spans="2:34" x14ac:dyDescent="0.2">
      <c r="B1014" t="s">
        <v>349</v>
      </c>
      <c r="C1014" t="s">
        <v>893</v>
      </c>
      <c r="D1014" t="s">
        <v>235</v>
      </c>
      <c r="E1014">
        <v>437.839</v>
      </c>
      <c r="F1014">
        <v>0</v>
      </c>
      <c r="Q1014">
        <v>436.6</v>
      </c>
      <c r="R1014">
        <v>0</v>
      </c>
      <c r="AC1014">
        <f>SUMPRODUCT(DB_ThemeSOFAcct[[#This Row],[Plan01]:[Plan12]],$E$14:$P$14)/valUnits2</f>
        <v>0.43783899999999998</v>
      </c>
      <c r="AD1014">
        <f>SUMPRODUCT(DB_ThemeSOFAcct[[#This Row],[Act01]:[Act12]],$Q$14:$AB$14)/valUnits2</f>
        <v>0.43660000000000004</v>
      </c>
      <c r="AE1014">
        <f>DB_ThemeSOFAcct[[#This Row],[Actuals]]-DB_ThemeSOFAcct[[#This Row],[Plan]]</f>
        <v>-1.2389999999999346E-3</v>
      </c>
      <c r="AF1014">
        <f>IF(DB_ThemeSOFAcct[[#This Row],[Plan]]&lt;&gt;0,DB_ThemeSOFAcct[[#This Row],[Actuals]]/DB_ThemeSOFAcct[[#This Row],[Plan]],1.000011000011)</f>
        <v>0.99717019269640228</v>
      </c>
      <c r="AG1014" s="34">
        <f>SUM(DB_ThemeSOFAcct[[#This Row],[Plan01]:[Plan12]])/valUnits2</f>
        <v>0.43783899999999998</v>
      </c>
      <c r="AH1014" s="34">
        <f>SUMPRODUCT(DB_ThemeSOFAcct[[#This Row],[Act01]:[Act12]],$Q$3:$AB$3)/valUnits2</f>
        <v>0.43660000000000004</v>
      </c>
    </row>
    <row r="1015" spans="2:34" x14ac:dyDescent="0.2">
      <c r="B1015" t="s">
        <v>349</v>
      </c>
      <c r="C1015" t="s">
        <v>893</v>
      </c>
      <c r="D1015" t="s">
        <v>140</v>
      </c>
      <c r="G1015">
        <v>576.58199999999999</v>
      </c>
      <c r="S1015">
        <v>615.66999999999996</v>
      </c>
      <c r="AC1015">
        <f>SUMPRODUCT(DB_ThemeSOFAcct[[#This Row],[Plan01]:[Plan12]],$E$14:$P$14)/valUnits2</f>
        <v>0.57658200000000004</v>
      </c>
      <c r="AD1015">
        <f>SUMPRODUCT(DB_ThemeSOFAcct[[#This Row],[Act01]:[Act12]],$Q$14:$AB$14)/valUnits2</f>
        <v>0.61566999999999994</v>
      </c>
      <c r="AE1015">
        <f>DB_ThemeSOFAcct[[#This Row],[Actuals]]-DB_ThemeSOFAcct[[#This Row],[Plan]]</f>
        <v>3.9087999999999901E-2</v>
      </c>
      <c r="AF1015">
        <f>IF(DB_ThemeSOFAcct[[#This Row],[Plan]]&lt;&gt;0,DB_ThemeSOFAcct[[#This Row],[Actuals]]/DB_ThemeSOFAcct[[#This Row],[Plan]],1.000011000011)</f>
        <v>1.0677926123257402</v>
      </c>
      <c r="AG1015" s="34">
        <f>SUM(DB_ThemeSOFAcct[[#This Row],[Plan01]:[Plan12]])/valUnits2</f>
        <v>0.57658200000000004</v>
      </c>
      <c r="AH1015" s="34">
        <f>SUMPRODUCT(DB_ThemeSOFAcct[[#This Row],[Act01]:[Act12]],$Q$3:$AB$3)/valUnits2</f>
        <v>0.61566999999999994</v>
      </c>
    </row>
    <row r="1016" spans="2:34" x14ac:dyDescent="0.2">
      <c r="B1016" t="s">
        <v>349</v>
      </c>
      <c r="C1016" t="s">
        <v>893</v>
      </c>
      <c r="D1016" t="s">
        <v>236</v>
      </c>
      <c r="E1016">
        <v>0</v>
      </c>
      <c r="F1016">
        <v>0</v>
      </c>
      <c r="G1016">
        <v>64.412000000000006</v>
      </c>
      <c r="Q1016">
        <v>0</v>
      </c>
      <c r="R1016">
        <v>0</v>
      </c>
      <c r="S1016">
        <v>66.67</v>
      </c>
      <c r="AC1016">
        <f>SUMPRODUCT(DB_ThemeSOFAcct[[#This Row],[Plan01]:[Plan12]],$E$14:$P$14)/valUnits2</f>
        <v>6.4412000000000011E-2</v>
      </c>
      <c r="AD1016">
        <f>SUMPRODUCT(DB_ThemeSOFAcct[[#This Row],[Act01]:[Act12]],$Q$14:$AB$14)/valUnits2</f>
        <v>6.6670000000000007E-2</v>
      </c>
      <c r="AE1016">
        <f>DB_ThemeSOFAcct[[#This Row],[Actuals]]-DB_ThemeSOFAcct[[#This Row],[Plan]]</f>
        <v>2.2579999999999961E-3</v>
      </c>
      <c r="AF1016">
        <f>IF(DB_ThemeSOFAcct[[#This Row],[Plan]]&lt;&gt;0,DB_ThemeSOFAcct[[#This Row],[Actuals]]/DB_ThemeSOFAcct[[#This Row],[Plan]],1.000011000011)</f>
        <v>1.0350555797056449</v>
      </c>
      <c r="AG1016" s="34">
        <f>SUM(DB_ThemeSOFAcct[[#This Row],[Plan01]:[Plan12]])/valUnits2</f>
        <v>6.4412000000000011E-2</v>
      </c>
      <c r="AH1016" s="34">
        <f>SUMPRODUCT(DB_ThemeSOFAcct[[#This Row],[Act01]:[Act12]],$Q$3:$AB$3)/valUnits2</f>
        <v>6.6670000000000007E-2</v>
      </c>
    </row>
    <row r="1017" spans="2:34" x14ac:dyDescent="0.2">
      <c r="B1017" t="s">
        <v>349</v>
      </c>
      <c r="C1017" t="s">
        <v>893</v>
      </c>
      <c r="D1017" t="s">
        <v>141</v>
      </c>
      <c r="E1017">
        <v>0</v>
      </c>
      <c r="G1017">
        <v>428.8</v>
      </c>
      <c r="Q1017">
        <v>0</v>
      </c>
      <c r="S1017">
        <v>428.15</v>
      </c>
      <c r="AC1017">
        <f>SUMPRODUCT(DB_ThemeSOFAcct[[#This Row],[Plan01]:[Plan12]],$E$14:$P$14)/valUnits2</f>
        <v>0.42880000000000001</v>
      </c>
      <c r="AD1017">
        <f>SUMPRODUCT(DB_ThemeSOFAcct[[#This Row],[Act01]:[Act12]],$Q$14:$AB$14)/valUnits2</f>
        <v>0.42814999999999998</v>
      </c>
      <c r="AE1017">
        <f>DB_ThemeSOFAcct[[#This Row],[Actuals]]-DB_ThemeSOFAcct[[#This Row],[Plan]]</f>
        <v>-6.5000000000003944E-4</v>
      </c>
      <c r="AF1017">
        <f>IF(DB_ThemeSOFAcct[[#This Row],[Plan]]&lt;&gt;0,DB_ThemeSOFAcct[[#This Row],[Actuals]]/DB_ThemeSOFAcct[[#This Row],[Plan]],1.000011000011)</f>
        <v>0.99848414179104472</v>
      </c>
      <c r="AG1017" s="34">
        <f>SUM(DB_ThemeSOFAcct[[#This Row],[Plan01]:[Plan12]])/valUnits2</f>
        <v>0.42880000000000001</v>
      </c>
      <c r="AH1017" s="34">
        <f>SUMPRODUCT(DB_ThemeSOFAcct[[#This Row],[Act01]:[Act12]],$Q$3:$AB$3)/valUnits2</f>
        <v>0.42814999999999998</v>
      </c>
    </row>
    <row r="1018" spans="2:34" x14ac:dyDescent="0.2">
      <c r="B1018" t="s">
        <v>349</v>
      </c>
      <c r="C1018" t="s">
        <v>901</v>
      </c>
      <c r="D1018" t="s">
        <v>142</v>
      </c>
      <c r="G1018">
        <v>-48.728999999999999</v>
      </c>
      <c r="S1018">
        <v>71.91</v>
      </c>
      <c r="AC1018">
        <f>SUMPRODUCT(DB_ThemeSOFAcct[[#This Row],[Plan01]:[Plan12]],$E$14:$P$14)/valUnits2</f>
        <v>-4.8729000000000001E-2</v>
      </c>
      <c r="AD1018">
        <f>SUMPRODUCT(DB_ThemeSOFAcct[[#This Row],[Act01]:[Act12]],$Q$14:$AB$14)/valUnits2</f>
        <v>7.1910000000000002E-2</v>
      </c>
      <c r="AE1018">
        <f>DB_ThemeSOFAcct[[#This Row],[Actuals]]-DB_ThemeSOFAcct[[#This Row],[Plan]]</f>
        <v>0.120639</v>
      </c>
      <c r="AF1018">
        <f>IF(DB_ThemeSOFAcct[[#This Row],[Plan]]&lt;&gt;0,DB_ThemeSOFAcct[[#This Row],[Actuals]]/DB_ThemeSOFAcct[[#This Row],[Plan]],1.000011000011)</f>
        <v>-1.4757126146647788</v>
      </c>
      <c r="AG1018" s="34">
        <f>SUM(DB_ThemeSOFAcct[[#This Row],[Plan01]:[Plan12]])/valUnits2</f>
        <v>-4.8729000000000001E-2</v>
      </c>
      <c r="AH1018" s="34">
        <f>SUMPRODUCT(DB_ThemeSOFAcct[[#This Row],[Act01]:[Act12]],$Q$3:$AB$3)/valUnits2</f>
        <v>7.1910000000000002E-2</v>
      </c>
    </row>
    <row r="1019" spans="2:34" x14ac:dyDescent="0.2">
      <c r="B1019" t="s">
        <v>349</v>
      </c>
      <c r="C1019" t="s">
        <v>907</v>
      </c>
      <c r="D1019" t="s">
        <v>142</v>
      </c>
      <c r="E1019">
        <v>-188.38499999999999</v>
      </c>
      <c r="F1019">
        <v>135.77099999999999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-183.73</v>
      </c>
      <c r="R1019">
        <v>216.58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f>SUMPRODUCT(DB_ThemeSOFAcct[[#This Row],[Plan01]:[Plan12]],$E$14:$P$14)/valUnits2</f>
        <v>-5.2614000000000001E-2</v>
      </c>
      <c r="AD1019">
        <f>SUMPRODUCT(DB_ThemeSOFAcct[[#This Row],[Act01]:[Act12]],$Q$14:$AB$14)/valUnits2</f>
        <v>3.2850000000000025E-2</v>
      </c>
      <c r="AE1019">
        <f>DB_ThemeSOFAcct[[#This Row],[Actuals]]-DB_ThemeSOFAcct[[#This Row],[Plan]]</f>
        <v>8.5464000000000026E-2</v>
      </c>
      <c r="AF1019">
        <f>IF(DB_ThemeSOFAcct[[#This Row],[Plan]]&lt;&gt;0,DB_ThemeSOFAcct[[#This Row],[Actuals]]/DB_ThemeSOFAcct[[#This Row],[Plan]],1.000011000011)</f>
        <v>-0.62435853575094125</v>
      </c>
      <c r="AG1019" s="34">
        <f>SUM(DB_ThemeSOFAcct[[#This Row],[Plan01]:[Plan12]])/valUnits2</f>
        <v>-5.2614000000000001E-2</v>
      </c>
      <c r="AH1019" s="34">
        <f>SUMPRODUCT(DB_ThemeSOFAcct[[#This Row],[Act01]:[Act12]],$Q$3:$AB$3)/valUnits2</f>
        <v>3.2850000000000025E-2</v>
      </c>
    </row>
    <row r="1020" spans="2:34" x14ac:dyDescent="0.2">
      <c r="B1020" t="s">
        <v>349</v>
      </c>
      <c r="C1020" t="s">
        <v>907</v>
      </c>
      <c r="D1020" t="s">
        <v>236</v>
      </c>
      <c r="E1020">
        <v>0</v>
      </c>
      <c r="Q1020">
        <v>1.1299999999999999</v>
      </c>
      <c r="AC1020">
        <f>SUMPRODUCT(DB_ThemeSOFAcct[[#This Row],[Plan01]:[Plan12]],$E$14:$P$14)/valUnits2</f>
        <v>0</v>
      </c>
      <c r="AD1020">
        <f>SUMPRODUCT(DB_ThemeSOFAcct[[#This Row],[Act01]:[Act12]],$Q$14:$AB$14)/valUnits2</f>
        <v>1.1299999999999999E-3</v>
      </c>
      <c r="AE1020">
        <f>DB_ThemeSOFAcct[[#This Row],[Actuals]]-DB_ThemeSOFAcct[[#This Row],[Plan]]</f>
        <v>1.1299999999999999E-3</v>
      </c>
      <c r="AF1020">
        <f>IF(DB_ThemeSOFAcct[[#This Row],[Plan]]&lt;&gt;0,DB_ThemeSOFAcct[[#This Row],[Actuals]]/DB_ThemeSOFAcct[[#This Row],[Plan]],1.000011000011)</f>
        <v>1.0000110000110001</v>
      </c>
      <c r="AG1020" s="34">
        <f>SUM(DB_ThemeSOFAcct[[#This Row],[Plan01]:[Plan12]])/valUnits2</f>
        <v>0</v>
      </c>
      <c r="AH1020" s="34">
        <f>SUMPRODUCT(DB_ThemeSOFAcct[[#This Row],[Act01]:[Act12]],$Q$3:$AB$3)/valUnits2</f>
        <v>1.1299999999999999E-3</v>
      </c>
    </row>
    <row r="1021" spans="2:34" x14ac:dyDescent="0.2">
      <c r="B1021" t="s">
        <v>349</v>
      </c>
      <c r="C1021" t="s">
        <v>909</v>
      </c>
      <c r="D1021" t="s">
        <v>143</v>
      </c>
      <c r="E1021">
        <v>28.82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28.82</v>
      </c>
      <c r="R1021">
        <v>0</v>
      </c>
      <c r="S1021">
        <v>0</v>
      </c>
      <c r="T1021">
        <v>0</v>
      </c>
      <c r="U1021">
        <v>52.71</v>
      </c>
      <c r="V1021">
        <v>107.47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f>SUMPRODUCT(DB_ThemeSOFAcct[[#This Row],[Plan01]:[Plan12]],$E$14:$P$14)/valUnits2</f>
        <v>2.8820000000000002E-2</v>
      </c>
      <c r="AD1021">
        <f>SUMPRODUCT(DB_ThemeSOFAcct[[#This Row],[Act01]:[Act12]],$Q$14:$AB$14)/valUnits2</f>
        <v>0.189</v>
      </c>
      <c r="AE1021">
        <f>DB_ThemeSOFAcct[[#This Row],[Actuals]]-DB_ThemeSOFAcct[[#This Row],[Plan]]</f>
        <v>0.16017999999999999</v>
      </c>
      <c r="AF1021">
        <f>IF(DB_ThemeSOFAcct[[#This Row],[Plan]]&lt;&gt;0,DB_ThemeSOFAcct[[#This Row],[Actuals]]/DB_ThemeSOFAcct[[#This Row],[Plan]],1.000011000011)</f>
        <v>6.5579458709229694</v>
      </c>
      <c r="AG1021" s="34">
        <f>SUM(DB_ThemeSOFAcct[[#This Row],[Plan01]:[Plan12]])/valUnits2</f>
        <v>2.8820000000000002E-2</v>
      </c>
      <c r="AH1021" s="34">
        <f>SUMPRODUCT(DB_ThemeSOFAcct[[#This Row],[Act01]:[Act12]],$Q$3:$AB$3)/valUnits2</f>
        <v>0.189</v>
      </c>
    </row>
    <row r="1022" spans="2:34" x14ac:dyDescent="0.2">
      <c r="B1022" t="s">
        <v>349</v>
      </c>
      <c r="C1022" t="s">
        <v>909</v>
      </c>
      <c r="D1022" t="s">
        <v>235</v>
      </c>
      <c r="E1022">
        <v>133.16999999999999</v>
      </c>
      <c r="F1022">
        <v>1412.8899999999999</v>
      </c>
      <c r="G1022">
        <v>1336.4999999999998</v>
      </c>
      <c r="H1022">
        <v>931.03</v>
      </c>
      <c r="I1022">
        <v>1035.02</v>
      </c>
      <c r="J1022">
        <v>0</v>
      </c>
      <c r="Q1022">
        <v>133.16999999999999</v>
      </c>
      <c r="R1022">
        <v>1412.8899999999999</v>
      </c>
      <c r="S1022">
        <v>1336.4999999999998</v>
      </c>
      <c r="T1022">
        <v>931.03000000000009</v>
      </c>
      <c r="U1022">
        <v>1035.02</v>
      </c>
      <c r="V1022">
        <v>-1826.38</v>
      </c>
      <c r="AC1022">
        <f>SUMPRODUCT(DB_ThemeSOFAcct[[#This Row],[Plan01]:[Plan12]],$E$14:$P$14)/valUnits2</f>
        <v>4.848609999999999</v>
      </c>
      <c r="AD1022">
        <f>SUMPRODUCT(DB_ThemeSOFAcct[[#This Row],[Act01]:[Act12]],$Q$14:$AB$14)/valUnits2</f>
        <v>3.0222299999999995</v>
      </c>
      <c r="AE1022">
        <f>DB_ThemeSOFAcct[[#This Row],[Actuals]]-DB_ThemeSOFAcct[[#This Row],[Plan]]</f>
        <v>-1.8263799999999994</v>
      </c>
      <c r="AF1022">
        <f>IF(DB_ThemeSOFAcct[[#This Row],[Plan]]&lt;&gt;0,DB_ThemeSOFAcct[[#This Row],[Actuals]]/DB_ThemeSOFAcct[[#This Row],[Plan]],1.000011000011)</f>
        <v>0.62331884808223392</v>
      </c>
      <c r="AG1022" s="34">
        <f>SUM(DB_ThemeSOFAcct[[#This Row],[Plan01]:[Plan12]])/valUnits2</f>
        <v>4.848609999999999</v>
      </c>
      <c r="AH1022" s="34">
        <f>SUMPRODUCT(DB_ThemeSOFAcct[[#This Row],[Act01]:[Act12]],$Q$3:$AB$3)/valUnits2</f>
        <v>3.0222299999999995</v>
      </c>
    </row>
    <row r="1023" spans="2:34" x14ac:dyDescent="0.2">
      <c r="B1023" t="s">
        <v>349</v>
      </c>
      <c r="C1023" t="s">
        <v>909</v>
      </c>
      <c r="D1023" t="s">
        <v>142</v>
      </c>
      <c r="E1023">
        <v>-3.6237679523765109E-13</v>
      </c>
      <c r="F1023">
        <v>248972.95</v>
      </c>
      <c r="G1023">
        <v>-1.3187673175707459E-11</v>
      </c>
      <c r="H1023">
        <v>194329.46</v>
      </c>
      <c r="I1023">
        <v>128452.76000000001</v>
      </c>
      <c r="J1023">
        <v>48193</v>
      </c>
      <c r="K1023">
        <v>48193</v>
      </c>
      <c r="L1023">
        <v>48193</v>
      </c>
      <c r="M1023">
        <v>48193</v>
      </c>
      <c r="N1023">
        <v>48193</v>
      </c>
      <c r="O1023">
        <v>48193</v>
      </c>
      <c r="P1023">
        <v>48193</v>
      </c>
      <c r="Q1023">
        <v>0</v>
      </c>
      <c r="R1023">
        <v>248972.95</v>
      </c>
      <c r="S1023">
        <v>-1.4551915228366852E-11</v>
      </c>
      <c r="T1023">
        <v>194329.46</v>
      </c>
      <c r="U1023">
        <v>128452.76000000001</v>
      </c>
      <c r="V1023">
        <v>157798.28999999998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f>SUMPRODUCT(DB_ThemeSOFAcct[[#This Row],[Plan01]:[Plan12]],$E$14:$P$14)/valUnits2</f>
        <v>619.94817</v>
      </c>
      <c r="AD1023">
        <f>SUMPRODUCT(DB_ThemeSOFAcct[[#This Row],[Act01]:[Act12]],$Q$14:$AB$14)/valUnits2</f>
        <v>729.55345999999997</v>
      </c>
      <c r="AE1023">
        <f>DB_ThemeSOFAcct[[#This Row],[Actuals]]-DB_ThemeSOFAcct[[#This Row],[Plan]]</f>
        <v>109.60528999999997</v>
      </c>
      <c r="AF1023">
        <f>IF(DB_ThemeSOFAcct[[#This Row],[Plan]]&lt;&gt;0,DB_ThemeSOFAcct[[#This Row],[Actuals]]/DB_ThemeSOFAcct[[#This Row],[Plan]],1.000011000011)</f>
        <v>1.1767975055075974</v>
      </c>
      <c r="AG1023" s="34">
        <f>SUM(DB_ThemeSOFAcct[[#This Row],[Plan01]:[Plan12]])/valUnits2</f>
        <v>909.10617000000002</v>
      </c>
      <c r="AH1023" s="34">
        <f>SUMPRODUCT(DB_ThemeSOFAcct[[#This Row],[Act01]:[Act12]],$Q$3:$AB$3)/valUnits2</f>
        <v>729.55345999999997</v>
      </c>
    </row>
    <row r="1024" spans="2:34" x14ac:dyDescent="0.2">
      <c r="B1024" t="s">
        <v>349</v>
      </c>
      <c r="C1024" t="s">
        <v>909</v>
      </c>
      <c r="D1024" t="s">
        <v>140</v>
      </c>
      <c r="E1024">
        <v>11498.789999999999</v>
      </c>
      <c r="F1024">
        <v>12692.779999999999</v>
      </c>
      <c r="G1024">
        <v>15772.83</v>
      </c>
      <c r="H1024">
        <v>13194.94</v>
      </c>
      <c r="I1024">
        <v>14420.93</v>
      </c>
      <c r="J1024">
        <v>14079.002</v>
      </c>
      <c r="K1024">
        <v>14079.002</v>
      </c>
      <c r="L1024">
        <v>14079.002</v>
      </c>
      <c r="M1024">
        <v>14079.002</v>
      </c>
      <c r="N1024">
        <v>14079.002</v>
      </c>
      <c r="O1024">
        <v>14079.002</v>
      </c>
      <c r="P1024">
        <v>14079.002</v>
      </c>
      <c r="Q1024">
        <v>11498.789999999999</v>
      </c>
      <c r="R1024">
        <v>12692.779999999999</v>
      </c>
      <c r="S1024">
        <v>15772.829999999998</v>
      </c>
      <c r="T1024">
        <v>13194.94</v>
      </c>
      <c r="U1024">
        <v>14420.929999999998</v>
      </c>
      <c r="V1024">
        <v>15462.619999999999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f>SUMPRODUCT(DB_ThemeSOFAcct[[#This Row],[Plan01]:[Plan12]],$E$14:$P$14)/valUnits2</f>
        <v>81.659272000000001</v>
      </c>
      <c r="AD1024">
        <f>SUMPRODUCT(DB_ThemeSOFAcct[[#This Row],[Act01]:[Act12]],$Q$14:$AB$14)/valUnits2</f>
        <v>83.042889999999986</v>
      </c>
      <c r="AE1024">
        <f>DB_ThemeSOFAcct[[#This Row],[Actuals]]-DB_ThemeSOFAcct[[#This Row],[Plan]]</f>
        <v>1.3836179999999842</v>
      </c>
      <c r="AF1024">
        <f>IF(DB_ThemeSOFAcct[[#This Row],[Plan]]&lt;&gt;0,DB_ThemeSOFAcct[[#This Row],[Actuals]]/DB_ThemeSOFAcct[[#This Row],[Plan]],1.000011000011)</f>
        <v>1.0169437954332974</v>
      </c>
      <c r="AG1024" s="34">
        <f>SUM(DB_ThemeSOFAcct[[#This Row],[Plan01]:[Plan12]])/valUnits2</f>
        <v>166.13328400000003</v>
      </c>
      <c r="AH1024" s="34">
        <f>SUMPRODUCT(DB_ThemeSOFAcct[[#This Row],[Act01]:[Act12]],$Q$3:$AB$3)/valUnits2</f>
        <v>83.042889999999986</v>
      </c>
    </row>
    <row r="1025" spans="2:34" x14ac:dyDescent="0.2">
      <c r="B1025" t="s">
        <v>349</v>
      </c>
      <c r="C1025" t="s">
        <v>909</v>
      </c>
      <c r="D1025" t="s">
        <v>236</v>
      </c>
      <c r="E1025">
        <v>370.14</v>
      </c>
      <c r="F1025">
        <v>193.78</v>
      </c>
      <c r="G1025">
        <v>153.88999999999999</v>
      </c>
      <c r="H1025">
        <v>36064.44</v>
      </c>
      <c r="I1025">
        <v>209.92</v>
      </c>
      <c r="J1025">
        <v>250</v>
      </c>
      <c r="K1025">
        <v>875</v>
      </c>
      <c r="L1025">
        <v>250</v>
      </c>
      <c r="M1025">
        <v>250</v>
      </c>
      <c r="N1025">
        <v>875</v>
      </c>
      <c r="O1025">
        <v>250</v>
      </c>
      <c r="P1025">
        <v>250</v>
      </c>
      <c r="Q1025">
        <v>370.14</v>
      </c>
      <c r="R1025">
        <v>193.78</v>
      </c>
      <c r="S1025">
        <v>153.88999999999999</v>
      </c>
      <c r="T1025">
        <v>36064.44</v>
      </c>
      <c r="U1025">
        <v>209.92</v>
      </c>
      <c r="V1025">
        <v>-28.589999999999975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f>SUMPRODUCT(DB_ThemeSOFAcct[[#This Row],[Plan01]:[Plan12]],$E$14:$P$14)/valUnits2</f>
        <v>37.242170000000002</v>
      </c>
      <c r="AD1025">
        <f>SUMPRODUCT(DB_ThemeSOFAcct[[#This Row],[Act01]:[Act12]],$Q$14:$AB$14)/valUnits2</f>
        <v>36.96358</v>
      </c>
      <c r="AE1025">
        <f>DB_ThemeSOFAcct[[#This Row],[Actuals]]-DB_ThemeSOFAcct[[#This Row],[Plan]]</f>
        <v>-0.27859000000000123</v>
      </c>
      <c r="AF1025">
        <f>IF(DB_ThemeSOFAcct[[#This Row],[Plan]]&lt;&gt;0,DB_ThemeSOFAcct[[#This Row],[Actuals]]/DB_ThemeSOFAcct[[#This Row],[Plan]],1.000011000011)</f>
        <v>0.99251950141465972</v>
      </c>
      <c r="AG1025" s="34">
        <f>SUM(DB_ThemeSOFAcct[[#This Row],[Plan01]:[Plan12]])/valUnits2</f>
        <v>39.992170000000002</v>
      </c>
      <c r="AH1025" s="34">
        <f>SUMPRODUCT(DB_ThemeSOFAcct[[#This Row],[Act01]:[Act12]],$Q$3:$AB$3)/valUnits2</f>
        <v>36.96358</v>
      </c>
    </row>
    <row r="1026" spans="2:34" x14ac:dyDescent="0.2">
      <c r="B1026" t="s">
        <v>349</v>
      </c>
      <c r="C1026" t="s">
        <v>909</v>
      </c>
      <c r="D1026" t="s">
        <v>237</v>
      </c>
      <c r="E1026">
        <v>193.36</v>
      </c>
      <c r="G1026">
        <v>0</v>
      </c>
      <c r="H1026">
        <v>0.66</v>
      </c>
      <c r="I1026">
        <v>0</v>
      </c>
      <c r="Q1026">
        <v>193.36</v>
      </c>
      <c r="S1026">
        <v>0</v>
      </c>
      <c r="T1026">
        <v>0.66</v>
      </c>
      <c r="U1026">
        <v>0</v>
      </c>
      <c r="AC1026">
        <f>SUMPRODUCT(DB_ThemeSOFAcct[[#This Row],[Plan01]:[Plan12]],$E$14:$P$14)/valUnits2</f>
        <v>0.19402</v>
      </c>
      <c r="AD1026">
        <f>SUMPRODUCT(DB_ThemeSOFAcct[[#This Row],[Act01]:[Act12]],$Q$14:$AB$14)/valUnits2</f>
        <v>0.19402</v>
      </c>
      <c r="AE1026">
        <f>DB_ThemeSOFAcct[[#This Row],[Actuals]]-DB_ThemeSOFAcct[[#This Row],[Plan]]</f>
        <v>0</v>
      </c>
      <c r="AF1026">
        <f>IF(DB_ThemeSOFAcct[[#This Row],[Plan]]&lt;&gt;0,DB_ThemeSOFAcct[[#This Row],[Actuals]]/DB_ThemeSOFAcct[[#This Row],[Plan]],1.000011000011)</f>
        <v>1</v>
      </c>
      <c r="AG1026" s="34">
        <f>SUM(DB_ThemeSOFAcct[[#This Row],[Plan01]:[Plan12]])/valUnits2</f>
        <v>0.19402</v>
      </c>
      <c r="AH1026" s="34">
        <f>SUMPRODUCT(DB_ThemeSOFAcct[[#This Row],[Act01]:[Act12]],$Q$3:$AB$3)/valUnits2</f>
        <v>0.19402</v>
      </c>
    </row>
    <row r="1027" spans="2:34" x14ac:dyDescent="0.2">
      <c r="B1027" t="s">
        <v>349</v>
      </c>
      <c r="C1027" t="s">
        <v>909</v>
      </c>
      <c r="D1027" t="s">
        <v>141</v>
      </c>
      <c r="E1027">
        <v>3693.49</v>
      </c>
      <c r="F1027">
        <v>2369.6499999999996</v>
      </c>
      <c r="G1027">
        <v>1466.4</v>
      </c>
      <c r="H1027">
        <v>2373.7799999999997</v>
      </c>
      <c r="I1027">
        <v>1834.4799999999998</v>
      </c>
      <c r="J1027">
        <v>0</v>
      </c>
      <c r="K1027">
        <v>5000</v>
      </c>
      <c r="L1027">
        <v>0</v>
      </c>
      <c r="M1027">
        <v>0</v>
      </c>
      <c r="N1027">
        <v>5000</v>
      </c>
      <c r="O1027">
        <v>0</v>
      </c>
      <c r="P1027">
        <v>0</v>
      </c>
      <c r="Q1027">
        <v>3693.49</v>
      </c>
      <c r="R1027">
        <v>2369.6500000000005</v>
      </c>
      <c r="S1027">
        <v>1466.3999999999999</v>
      </c>
      <c r="T1027">
        <v>2373.7799999999997</v>
      </c>
      <c r="U1027">
        <v>1834.4799999999998</v>
      </c>
      <c r="V1027">
        <v>1643.5300000000002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f>SUMPRODUCT(DB_ThemeSOFAcct[[#This Row],[Plan01]:[Plan12]],$E$14:$P$14)/valUnits2</f>
        <v>11.7378</v>
      </c>
      <c r="AD1027">
        <f>SUMPRODUCT(DB_ThemeSOFAcct[[#This Row],[Act01]:[Act12]],$Q$14:$AB$14)/valUnits2</f>
        <v>13.38133</v>
      </c>
      <c r="AE1027">
        <f>DB_ThemeSOFAcct[[#This Row],[Actuals]]-DB_ThemeSOFAcct[[#This Row],[Plan]]</f>
        <v>1.6435300000000002</v>
      </c>
      <c r="AF1027">
        <f>IF(DB_ThemeSOFAcct[[#This Row],[Plan]]&lt;&gt;0,DB_ThemeSOFAcct[[#This Row],[Actuals]]/DB_ThemeSOFAcct[[#This Row],[Plan]],1.000011000011)</f>
        <v>1.1400202763720628</v>
      </c>
      <c r="AG1027" s="34">
        <f>SUM(DB_ThemeSOFAcct[[#This Row],[Plan01]:[Plan12]])/valUnits2</f>
        <v>21.7378</v>
      </c>
      <c r="AH1027" s="34">
        <f>SUMPRODUCT(DB_ThemeSOFAcct[[#This Row],[Act01]:[Act12]],$Q$3:$AB$3)/valUnits2</f>
        <v>13.38133</v>
      </c>
    </row>
    <row r="1028" spans="2:34" x14ac:dyDescent="0.2">
      <c r="B1028" t="s">
        <v>349</v>
      </c>
      <c r="C1028" t="s">
        <v>913</v>
      </c>
      <c r="D1028" t="s">
        <v>235</v>
      </c>
      <c r="H1028">
        <v>0</v>
      </c>
      <c r="I1028">
        <v>0</v>
      </c>
      <c r="J1028">
        <v>95.903999999999996</v>
      </c>
      <c r="L1028">
        <v>95.903999999999996</v>
      </c>
      <c r="M1028">
        <v>95.903999999999996</v>
      </c>
      <c r="N1028">
        <v>95.903999999999996</v>
      </c>
      <c r="O1028">
        <v>95.903999999999996</v>
      </c>
      <c r="P1028">
        <v>95.903999999999996</v>
      </c>
      <c r="T1028">
        <v>0</v>
      </c>
      <c r="U1028">
        <v>0</v>
      </c>
      <c r="V1028">
        <v>56.09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f>SUMPRODUCT(DB_ThemeSOFAcct[[#This Row],[Plan01]:[Plan12]],$E$14:$P$14)/valUnits2</f>
        <v>9.5904000000000003E-2</v>
      </c>
      <c r="AD1028">
        <f>SUMPRODUCT(DB_ThemeSOFAcct[[#This Row],[Act01]:[Act12]],$Q$14:$AB$14)/valUnits2</f>
        <v>5.6090000000000001E-2</v>
      </c>
      <c r="AE1028">
        <f>DB_ThemeSOFAcct[[#This Row],[Actuals]]-DB_ThemeSOFAcct[[#This Row],[Plan]]</f>
        <v>-3.9814000000000002E-2</v>
      </c>
      <c r="AF1028">
        <f>IF(DB_ThemeSOFAcct[[#This Row],[Plan]]&lt;&gt;0,DB_ThemeSOFAcct[[#This Row],[Actuals]]/DB_ThemeSOFAcct[[#This Row],[Plan]],1.000011000011)</f>
        <v>0.58485568902235563</v>
      </c>
      <c r="AG1028" s="34">
        <f>SUM(DB_ThemeSOFAcct[[#This Row],[Plan01]:[Plan12]])/valUnits2</f>
        <v>0.57542399999999994</v>
      </c>
      <c r="AH1028" s="34">
        <f>SUMPRODUCT(DB_ThemeSOFAcct[[#This Row],[Act01]:[Act12]],$Q$3:$AB$3)/valUnits2</f>
        <v>5.6090000000000001E-2</v>
      </c>
    </row>
    <row r="1029" spans="2:34" x14ac:dyDescent="0.2">
      <c r="B1029" t="s">
        <v>349</v>
      </c>
      <c r="C1029" t="s">
        <v>913</v>
      </c>
      <c r="D1029" t="s">
        <v>142</v>
      </c>
      <c r="E1029">
        <v>2128.5169999999998</v>
      </c>
      <c r="F1029">
        <v>-2098.306</v>
      </c>
      <c r="G1029">
        <v>17257.04</v>
      </c>
      <c r="H1029">
        <v>-7.9999999998108251E-3</v>
      </c>
      <c r="I1029">
        <v>17797.347000000002</v>
      </c>
      <c r="J1029">
        <v>9381.2249999999985</v>
      </c>
      <c r="K1029">
        <v>4681.9080000000004</v>
      </c>
      <c r="L1029">
        <v>4579.6089999999995</v>
      </c>
      <c r="M1029">
        <v>6497.7040000000006</v>
      </c>
      <c r="N1029">
        <v>5449.1450000000004</v>
      </c>
      <c r="O1029">
        <v>4298.2880000000005</v>
      </c>
      <c r="P1029">
        <v>4298.2880000000005</v>
      </c>
      <c r="Q1029">
        <v>2117.92</v>
      </c>
      <c r="R1029">
        <v>-2116.86</v>
      </c>
      <c r="S1029">
        <v>17597.580000000002</v>
      </c>
      <c r="T1029">
        <v>-1.0000000000218279E-2</v>
      </c>
      <c r="U1029">
        <v>17842.84</v>
      </c>
      <c r="V1029">
        <v>7.7300000000013824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f>SUMPRODUCT(DB_ThemeSOFAcct[[#This Row],[Plan01]:[Plan12]],$E$14:$P$14)/valUnits2</f>
        <v>44.465814999999999</v>
      </c>
      <c r="AD1029">
        <f>SUMPRODUCT(DB_ThemeSOFAcct[[#This Row],[Act01]:[Act12]],$Q$14:$AB$14)/valUnits2</f>
        <v>35.449200000000005</v>
      </c>
      <c r="AE1029">
        <f>DB_ThemeSOFAcct[[#This Row],[Actuals]]-DB_ThemeSOFAcct[[#This Row],[Plan]]</f>
        <v>-9.0166149999999945</v>
      </c>
      <c r="AF1029">
        <f>IF(DB_ThemeSOFAcct[[#This Row],[Plan]]&lt;&gt;0,DB_ThemeSOFAcct[[#This Row],[Actuals]]/DB_ThemeSOFAcct[[#This Row],[Plan]],1.000011000011)</f>
        <v>0.79722366496599706</v>
      </c>
      <c r="AG1029" s="34">
        <f>SUM(DB_ThemeSOFAcct[[#This Row],[Plan01]:[Plan12]])/valUnits2</f>
        <v>74.270757000000003</v>
      </c>
      <c r="AH1029" s="34">
        <f>SUMPRODUCT(DB_ThemeSOFAcct[[#This Row],[Act01]:[Act12]],$Q$3:$AB$3)/valUnits2</f>
        <v>35.449200000000005</v>
      </c>
    </row>
    <row r="1030" spans="2:34" x14ac:dyDescent="0.2">
      <c r="B1030" t="s">
        <v>349</v>
      </c>
      <c r="C1030" t="s">
        <v>913</v>
      </c>
      <c r="D1030" t="s">
        <v>140</v>
      </c>
      <c r="E1030">
        <v>0</v>
      </c>
      <c r="F1030">
        <v>916.35400000000004</v>
      </c>
      <c r="G1030">
        <v>1408.846</v>
      </c>
      <c r="H1030">
        <v>1055.28</v>
      </c>
      <c r="I1030">
        <v>977.79300000000001</v>
      </c>
      <c r="J1030">
        <v>535.11500000000001</v>
      </c>
      <c r="K1030">
        <v>535.11500000000001</v>
      </c>
      <c r="L1030">
        <v>535.11500000000001</v>
      </c>
      <c r="M1030">
        <v>535.11500000000001</v>
      </c>
      <c r="N1030">
        <v>535.11500000000001</v>
      </c>
      <c r="O1030">
        <v>535.11500000000001</v>
      </c>
      <c r="P1030">
        <v>535.11500000000001</v>
      </c>
      <c r="Q1030">
        <v>0</v>
      </c>
      <c r="R1030">
        <v>935.56999999999994</v>
      </c>
      <c r="S1030">
        <v>1421.6000000000001</v>
      </c>
      <c r="T1030">
        <v>1049.28</v>
      </c>
      <c r="U1030">
        <v>965.94</v>
      </c>
      <c r="V1030">
        <v>1048.69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f>SUMPRODUCT(DB_ThemeSOFAcct[[#This Row],[Plan01]:[Plan12]],$E$14:$P$14)/valUnits2</f>
        <v>4.893387999999999</v>
      </c>
      <c r="AD1030">
        <f>SUMPRODUCT(DB_ThemeSOFAcct[[#This Row],[Act01]:[Act12]],$Q$14:$AB$14)/valUnits2</f>
        <v>5.4210799999999999</v>
      </c>
      <c r="AE1030">
        <f>DB_ThemeSOFAcct[[#This Row],[Actuals]]-DB_ThemeSOFAcct[[#This Row],[Plan]]</f>
        <v>0.52769200000000094</v>
      </c>
      <c r="AF1030">
        <f>IF(DB_ThemeSOFAcct[[#This Row],[Plan]]&lt;&gt;0,DB_ThemeSOFAcct[[#This Row],[Actuals]]/DB_ThemeSOFAcct[[#This Row],[Plan]],1.000011000011)</f>
        <v>1.1078377598506395</v>
      </c>
      <c r="AG1030" s="34">
        <f>SUM(DB_ThemeSOFAcct[[#This Row],[Plan01]:[Plan12]])/valUnits2</f>
        <v>8.1040779999999977</v>
      </c>
      <c r="AH1030" s="34">
        <f>SUMPRODUCT(DB_ThemeSOFAcct[[#This Row],[Act01]:[Act12]],$Q$3:$AB$3)/valUnits2</f>
        <v>5.4210799999999999</v>
      </c>
    </row>
    <row r="1031" spans="2:34" x14ac:dyDescent="0.2">
      <c r="B1031" t="s">
        <v>349</v>
      </c>
      <c r="C1031" t="s">
        <v>913</v>
      </c>
      <c r="D1031" t="s">
        <v>236</v>
      </c>
      <c r="G1031">
        <v>645.29399999999998</v>
      </c>
      <c r="H1031">
        <v>877.02300000000002</v>
      </c>
      <c r="J1031">
        <v>2045.9680000000001</v>
      </c>
      <c r="S1031">
        <v>655.97</v>
      </c>
      <c r="T1031">
        <v>860.04</v>
      </c>
      <c r="V1031">
        <v>0</v>
      </c>
      <c r="AC1031">
        <f>SUMPRODUCT(DB_ThemeSOFAcct[[#This Row],[Plan01]:[Plan12]],$E$14:$P$14)/valUnits2</f>
        <v>3.5682849999999999</v>
      </c>
      <c r="AD1031">
        <f>SUMPRODUCT(DB_ThemeSOFAcct[[#This Row],[Act01]:[Act12]],$Q$14:$AB$14)/valUnits2</f>
        <v>1.5160100000000001</v>
      </c>
      <c r="AE1031">
        <f>DB_ThemeSOFAcct[[#This Row],[Actuals]]-DB_ThemeSOFAcct[[#This Row],[Plan]]</f>
        <v>-2.0522749999999998</v>
      </c>
      <c r="AF1031">
        <f>IF(DB_ThemeSOFAcct[[#This Row],[Plan]]&lt;&gt;0,DB_ThemeSOFAcct[[#This Row],[Actuals]]/DB_ThemeSOFAcct[[#This Row],[Plan]],1.000011000011)</f>
        <v>0.42485675891920072</v>
      </c>
      <c r="AG1031" s="34">
        <f>SUM(DB_ThemeSOFAcct[[#This Row],[Plan01]:[Plan12]])/valUnits2</f>
        <v>3.5682849999999999</v>
      </c>
      <c r="AH1031" s="34">
        <f>SUMPRODUCT(DB_ThemeSOFAcct[[#This Row],[Act01]:[Act12]],$Q$3:$AB$3)/valUnits2</f>
        <v>1.5160100000000001</v>
      </c>
    </row>
    <row r="1032" spans="2:34" x14ac:dyDescent="0.2">
      <c r="B1032" t="s">
        <v>349</v>
      </c>
      <c r="C1032" t="s">
        <v>913</v>
      </c>
      <c r="D1032" t="s">
        <v>237</v>
      </c>
      <c r="E1032">
        <v>115.843</v>
      </c>
      <c r="H1032">
        <v>0</v>
      </c>
      <c r="Q1032">
        <v>112.26</v>
      </c>
      <c r="T1032">
        <v>0</v>
      </c>
      <c r="AC1032">
        <f>SUMPRODUCT(DB_ThemeSOFAcct[[#This Row],[Plan01]:[Plan12]],$E$14:$P$14)/valUnits2</f>
        <v>0.115843</v>
      </c>
      <c r="AD1032">
        <f>SUMPRODUCT(DB_ThemeSOFAcct[[#This Row],[Act01]:[Act12]],$Q$14:$AB$14)/valUnits2</f>
        <v>0.11226</v>
      </c>
      <c r="AE1032">
        <f>DB_ThemeSOFAcct[[#This Row],[Actuals]]-DB_ThemeSOFAcct[[#This Row],[Plan]]</f>
        <v>-3.5830000000000028E-3</v>
      </c>
      <c r="AF1032">
        <f>IF(DB_ThemeSOFAcct[[#This Row],[Plan]]&lt;&gt;0,DB_ThemeSOFAcct[[#This Row],[Actuals]]/DB_ThemeSOFAcct[[#This Row],[Plan]],1.000011000011)</f>
        <v>0.9690702070906313</v>
      </c>
      <c r="AG1032" s="34">
        <f>SUM(DB_ThemeSOFAcct[[#This Row],[Plan01]:[Plan12]])/valUnits2</f>
        <v>0.115843</v>
      </c>
      <c r="AH1032" s="34">
        <f>SUMPRODUCT(DB_ThemeSOFAcct[[#This Row],[Act01]:[Act12]],$Q$3:$AB$3)/valUnits2</f>
        <v>0.11226</v>
      </c>
    </row>
    <row r="1033" spans="2:34" x14ac:dyDescent="0.2">
      <c r="B1033" t="s">
        <v>349</v>
      </c>
      <c r="C1033" t="s">
        <v>913</v>
      </c>
      <c r="D1033" t="s">
        <v>141</v>
      </c>
      <c r="E1033">
        <v>2428.009</v>
      </c>
      <c r="G1033">
        <v>192.048</v>
      </c>
      <c r="H1033">
        <v>-61.057000000000002</v>
      </c>
      <c r="I1033">
        <v>114.617</v>
      </c>
      <c r="J1033">
        <v>143.857</v>
      </c>
      <c r="L1033">
        <v>143.857</v>
      </c>
      <c r="M1033">
        <v>143.857</v>
      </c>
      <c r="N1033">
        <v>143.857</v>
      </c>
      <c r="O1033">
        <v>143.857</v>
      </c>
      <c r="P1033">
        <v>143.857</v>
      </c>
      <c r="Q1033">
        <v>2354.54</v>
      </c>
      <c r="S1033">
        <v>192.74</v>
      </c>
      <c r="T1033">
        <v>-63.309999999999995</v>
      </c>
      <c r="U1033">
        <v>114.91</v>
      </c>
      <c r="V1033">
        <v>62.660000000000004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f>SUMPRODUCT(DB_ThemeSOFAcct[[#This Row],[Plan01]:[Plan12]],$E$14:$P$14)/valUnits2</f>
        <v>2.8174740000000003</v>
      </c>
      <c r="AD1033">
        <f>SUMPRODUCT(DB_ThemeSOFAcct[[#This Row],[Act01]:[Act12]],$Q$14:$AB$14)/valUnits2</f>
        <v>2.6615399999999996</v>
      </c>
      <c r="AE1033">
        <f>DB_ThemeSOFAcct[[#This Row],[Actuals]]-DB_ThemeSOFAcct[[#This Row],[Plan]]</f>
        <v>-0.15593400000000068</v>
      </c>
      <c r="AF1033">
        <f>IF(DB_ThemeSOFAcct[[#This Row],[Plan]]&lt;&gt;0,DB_ThemeSOFAcct[[#This Row],[Actuals]]/DB_ThemeSOFAcct[[#This Row],[Plan]],1.000011000011)</f>
        <v>0.94465468004318742</v>
      </c>
      <c r="AG1033" s="34">
        <f>SUM(DB_ThemeSOFAcct[[#This Row],[Plan01]:[Plan12]])/valUnits2</f>
        <v>3.536759</v>
      </c>
      <c r="AH1033" s="34">
        <f>SUMPRODUCT(DB_ThemeSOFAcct[[#This Row],[Act01]:[Act12]],$Q$3:$AB$3)/valUnits2</f>
        <v>2.6615399999999996</v>
      </c>
    </row>
    <row r="1034" spans="2:34" x14ac:dyDescent="0.2">
      <c r="B1034" t="s">
        <v>349</v>
      </c>
      <c r="C1034" t="s">
        <v>917</v>
      </c>
      <c r="D1034" t="s">
        <v>235</v>
      </c>
      <c r="G1034">
        <v>183.37200000000001</v>
      </c>
      <c r="H1034">
        <v>64.388000000000005</v>
      </c>
      <c r="J1034">
        <v>0</v>
      </c>
      <c r="S1034">
        <v>182.04</v>
      </c>
      <c r="T1034">
        <v>64.680000000000007</v>
      </c>
      <c r="V1034">
        <v>2890.8199999999997</v>
      </c>
      <c r="AC1034">
        <f>SUMPRODUCT(DB_ThemeSOFAcct[[#This Row],[Plan01]:[Plan12]],$E$14:$P$14)/valUnits2</f>
        <v>0.24776000000000001</v>
      </c>
      <c r="AD1034">
        <f>SUMPRODUCT(DB_ThemeSOFAcct[[#This Row],[Act01]:[Act12]],$Q$14:$AB$14)/valUnits2</f>
        <v>3.1375399999999996</v>
      </c>
      <c r="AE1034">
        <f>DB_ThemeSOFAcct[[#This Row],[Actuals]]-DB_ThemeSOFAcct[[#This Row],[Plan]]</f>
        <v>2.8897799999999996</v>
      </c>
      <c r="AF1034">
        <f>IF(DB_ThemeSOFAcct[[#This Row],[Plan]]&lt;&gt;0,DB_ThemeSOFAcct[[#This Row],[Actuals]]/DB_ThemeSOFAcct[[#This Row],[Plan]],1.000011000011)</f>
        <v>12.663626089764286</v>
      </c>
      <c r="AG1034" s="34">
        <f>SUM(DB_ThemeSOFAcct[[#This Row],[Plan01]:[Plan12]])/valUnits2</f>
        <v>0.24776000000000001</v>
      </c>
      <c r="AH1034" s="34">
        <f>SUMPRODUCT(DB_ThemeSOFAcct[[#This Row],[Act01]:[Act12]],$Q$3:$AB$3)/valUnits2</f>
        <v>3.1375399999999996</v>
      </c>
    </row>
    <row r="1035" spans="2:34" x14ac:dyDescent="0.2">
      <c r="B1035" t="s">
        <v>349</v>
      </c>
      <c r="C1035" t="s">
        <v>917</v>
      </c>
      <c r="D1035" t="s">
        <v>142</v>
      </c>
      <c r="I1035">
        <v>0</v>
      </c>
      <c r="J1035">
        <v>0</v>
      </c>
      <c r="U1035">
        <v>0</v>
      </c>
      <c r="V1035">
        <v>528526.85</v>
      </c>
      <c r="AC1035">
        <f>SUMPRODUCT(DB_ThemeSOFAcct[[#This Row],[Plan01]:[Plan12]],$E$14:$P$14)/valUnits2</f>
        <v>0</v>
      </c>
      <c r="AD1035">
        <f>SUMPRODUCT(DB_ThemeSOFAcct[[#This Row],[Act01]:[Act12]],$Q$14:$AB$14)/valUnits2</f>
        <v>528.52684999999997</v>
      </c>
      <c r="AE1035">
        <f>DB_ThemeSOFAcct[[#This Row],[Actuals]]-DB_ThemeSOFAcct[[#This Row],[Plan]]</f>
        <v>528.52684999999997</v>
      </c>
      <c r="AF1035">
        <f>IF(DB_ThemeSOFAcct[[#This Row],[Plan]]&lt;&gt;0,DB_ThemeSOFAcct[[#This Row],[Actuals]]/DB_ThemeSOFAcct[[#This Row],[Plan]],1.000011000011)</f>
        <v>1.0000110000110001</v>
      </c>
      <c r="AG1035" s="34">
        <f>SUM(DB_ThemeSOFAcct[[#This Row],[Plan01]:[Plan12]])/valUnits2</f>
        <v>0</v>
      </c>
      <c r="AH1035" s="34">
        <f>SUMPRODUCT(DB_ThemeSOFAcct[[#This Row],[Act01]:[Act12]],$Q$3:$AB$3)/valUnits2</f>
        <v>528.52684999999997</v>
      </c>
    </row>
    <row r="1036" spans="2:34" x14ac:dyDescent="0.2">
      <c r="B1036" t="s">
        <v>349</v>
      </c>
      <c r="C1036" t="s">
        <v>917</v>
      </c>
      <c r="D1036" t="s">
        <v>140</v>
      </c>
      <c r="E1036">
        <v>563.91</v>
      </c>
      <c r="F1036">
        <v>572.15499999999997</v>
      </c>
      <c r="G1036">
        <v>576.923</v>
      </c>
      <c r="H1036">
        <v>575.69200000000001</v>
      </c>
      <c r="I1036">
        <v>577.91099999999994</v>
      </c>
      <c r="J1036">
        <v>0</v>
      </c>
      <c r="Q1036">
        <v>563.91</v>
      </c>
      <c r="R1036">
        <v>572.16</v>
      </c>
      <c r="S1036">
        <v>573.16999999999996</v>
      </c>
      <c r="T1036">
        <v>578.91999999999996</v>
      </c>
      <c r="U1036">
        <v>580.65</v>
      </c>
      <c r="V1036">
        <v>2496.6299999999992</v>
      </c>
      <c r="AC1036">
        <f>SUMPRODUCT(DB_ThemeSOFAcct[[#This Row],[Plan01]:[Plan12]],$E$14:$P$14)/valUnits2</f>
        <v>2.8665910000000006</v>
      </c>
      <c r="AD1036">
        <f>SUMPRODUCT(DB_ThemeSOFAcct[[#This Row],[Act01]:[Act12]],$Q$14:$AB$14)/valUnits2</f>
        <v>5.3654399999999987</v>
      </c>
      <c r="AE1036">
        <f>DB_ThemeSOFAcct[[#This Row],[Actuals]]-DB_ThemeSOFAcct[[#This Row],[Plan]]</f>
        <v>2.4988489999999981</v>
      </c>
      <c r="AF1036">
        <f>IF(DB_ThemeSOFAcct[[#This Row],[Plan]]&lt;&gt;0,DB_ThemeSOFAcct[[#This Row],[Actuals]]/DB_ThemeSOFAcct[[#This Row],[Plan]],1.000011000011)</f>
        <v>1.87171452083677</v>
      </c>
      <c r="AG1036" s="34">
        <f>SUM(DB_ThemeSOFAcct[[#This Row],[Plan01]:[Plan12]])/valUnits2</f>
        <v>2.8665910000000006</v>
      </c>
      <c r="AH1036" s="34">
        <f>SUMPRODUCT(DB_ThemeSOFAcct[[#This Row],[Act01]:[Act12]],$Q$3:$AB$3)/valUnits2</f>
        <v>5.3654399999999987</v>
      </c>
    </row>
    <row r="1037" spans="2:34" x14ac:dyDescent="0.2">
      <c r="B1037" t="s">
        <v>349</v>
      </c>
      <c r="C1037" t="s">
        <v>917</v>
      </c>
      <c r="D1037" t="s">
        <v>236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44093.161</v>
      </c>
      <c r="K1037">
        <v>31785.089</v>
      </c>
      <c r="L1037">
        <v>31785.089</v>
      </c>
      <c r="M1037">
        <v>31785.089</v>
      </c>
      <c r="N1037">
        <v>31785.089</v>
      </c>
      <c r="O1037">
        <v>31785.089</v>
      </c>
      <c r="P1037">
        <v>31785.089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f>SUMPRODUCT(DB_ThemeSOFAcct[[#This Row],[Plan01]:[Plan12]],$E$14:$P$14)/valUnits2</f>
        <v>44.093161000000002</v>
      </c>
      <c r="AD1037">
        <f>SUMPRODUCT(DB_ThemeSOFAcct[[#This Row],[Act01]:[Act12]],$Q$14:$AB$14)/valUnits2</f>
        <v>0</v>
      </c>
      <c r="AE1037">
        <f>DB_ThemeSOFAcct[[#This Row],[Actuals]]-DB_ThemeSOFAcct[[#This Row],[Plan]]</f>
        <v>-44.093161000000002</v>
      </c>
      <c r="AF1037">
        <f>IF(DB_ThemeSOFAcct[[#This Row],[Plan]]&lt;&gt;0,DB_ThemeSOFAcct[[#This Row],[Actuals]]/DB_ThemeSOFAcct[[#This Row],[Plan]],1.000011000011)</f>
        <v>0</v>
      </c>
      <c r="AG1037" s="34">
        <f>SUM(DB_ThemeSOFAcct[[#This Row],[Plan01]:[Plan12]])/valUnits2</f>
        <v>234.80369500000003</v>
      </c>
      <c r="AH1037" s="34">
        <f>SUMPRODUCT(DB_ThemeSOFAcct[[#This Row],[Act01]:[Act12]],$Q$3:$AB$3)/valUnits2</f>
        <v>0</v>
      </c>
    </row>
    <row r="1038" spans="2:34" x14ac:dyDescent="0.2">
      <c r="B1038" t="s">
        <v>349</v>
      </c>
      <c r="C1038" t="s">
        <v>917</v>
      </c>
      <c r="D1038" t="s">
        <v>141</v>
      </c>
      <c r="J1038">
        <v>0</v>
      </c>
      <c r="V1038">
        <v>897.98999999999978</v>
      </c>
      <c r="AC1038">
        <f>SUMPRODUCT(DB_ThemeSOFAcct[[#This Row],[Plan01]:[Plan12]],$E$14:$P$14)/valUnits2</f>
        <v>0</v>
      </c>
      <c r="AD1038">
        <f>SUMPRODUCT(DB_ThemeSOFAcct[[#This Row],[Act01]:[Act12]],$Q$14:$AB$14)/valUnits2</f>
        <v>0.89798999999999973</v>
      </c>
      <c r="AE1038">
        <f>DB_ThemeSOFAcct[[#This Row],[Actuals]]-DB_ThemeSOFAcct[[#This Row],[Plan]]</f>
        <v>0.89798999999999973</v>
      </c>
      <c r="AF1038">
        <f>IF(DB_ThemeSOFAcct[[#This Row],[Plan]]&lt;&gt;0,DB_ThemeSOFAcct[[#This Row],[Actuals]]/DB_ThemeSOFAcct[[#This Row],[Plan]],1.000011000011)</f>
        <v>1.0000110000110001</v>
      </c>
      <c r="AG1038" s="34">
        <f>SUM(DB_ThemeSOFAcct[[#This Row],[Plan01]:[Plan12]])/valUnits2</f>
        <v>0</v>
      </c>
      <c r="AH1038" s="34">
        <f>SUMPRODUCT(DB_ThemeSOFAcct[[#This Row],[Act01]:[Act12]],$Q$3:$AB$3)/valUnits2</f>
        <v>0.89798999999999973</v>
      </c>
    </row>
    <row r="1039" spans="2:34" x14ac:dyDescent="0.2">
      <c r="B1039" t="s">
        <v>349</v>
      </c>
      <c r="C1039" t="s">
        <v>356</v>
      </c>
      <c r="D1039" t="s">
        <v>235</v>
      </c>
      <c r="E1039">
        <v>162.78800000000001</v>
      </c>
      <c r="G1039">
        <v>148.726</v>
      </c>
      <c r="J1039">
        <v>0</v>
      </c>
      <c r="Q1039">
        <v>163.95</v>
      </c>
      <c r="S1039">
        <v>148.16999999999999</v>
      </c>
      <c r="V1039">
        <v>99.86</v>
      </c>
      <c r="AC1039">
        <f>SUMPRODUCT(DB_ThemeSOFAcct[[#This Row],[Plan01]:[Plan12]],$E$14:$P$14)/valUnits2</f>
        <v>0.31151400000000001</v>
      </c>
      <c r="AD1039">
        <f>SUMPRODUCT(DB_ThemeSOFAcct[[#This Row],[Act01]:[Act12]],$Q$14:$AB$14)/valUnits2</f>
        <v>0.41198000000000001</v>
      </c>
      <c r="AE1039">
        <f>DB_ThemeSOFAcct[[#This Row],[Actuals]]-DB_ThemeSOFAcct[[#This Row],[Plan]]</f>
        <v>0.100466</v>
      </c>
      <c r="AF1039">
        <f>IF(DB_ThemeSOFAcct[[#This Row],[Plan]]&lt;&gt;0,DB_ThemeSOFAcct[[#This Row],[Actuals]]/DB_ThemeSOFAcct[[#This Row],[Plan]],1.000011000011)</f>
        <v>1.3225087797017148</v>
      </c>
      <c r="AG1039" s="34">
        <f>SUM(DB_ThemeSOFAcct[[#This Row],[Plan01]:[Plan12]])/valUnits2</f>
        <v>0.31151400000000001</v>
      </c>
      <c r="AH1039" s="34">
        <f>SUMPRODUCT(DB_ThemeSOFAcct[[#This Row],[Act01]:[Act12]],$Q$3:$AB$3)/valUnits2</f>
        <v>0.41198000000000001</v>
      </c>
    </row>
    <row r="1040" spans="2:34" x14ac:dyDescent="0.2">
      <c r="B1040" t="s">
        <v>349</v>
      </c>
      <c r="C1040" t="s">
        <v>356</v>
      </c>
      <c r="D1040" t="s">
        <v>142</v>
      </c>
      <c r="E1040">
        <v>17569.986000000001</v>
      </c>
      <c r="F1040">
        <v>5801.6779999999999</v>
      </c>
      <c r="G1040">
        <v>-1.0000000002037268E-3</v>
      </c>
      <c r="H1040">
        <v>7609.942</v>
      </c>
      <c r="I1040">
        <v>2467.5060000000003</v>
      </c>
      <c r="J1040">
        <v>15409.138999999997</v>
      </c>
      <c r="Q1040">
        <v>17740.46</v>
      </c>
      <c r="R1040">
        <v>5914.62</v>
      </c>
      <c r="S1040">
        <v>-1.5916157281026244E-12</v>
      </c>
      <c r="T1040">
        <v>7690.6299999999992</v>
      </c>
      <c r="U1040">
        <v>2608.1699999999992</v>
      </c>
      <c r="V1040">
        <v>2297.1999999999998</v>
      </c>
      <c r="AC1040">
        <f>SUMPRODUCT(DB_ThemeSOFAcct[[#This Row],[Plan01]:[Plan12]],$E$14:$P$14)/valUnits2</f>
        <v>48.858249999999991</v>
      </c>
      <c r="AD1040">
        <f>SUMPRODUCT(DB_ThemeSOFAcct[[#This Row],[Act01]:[Act12]],$Q$14:$AB$14)/valUnits2</f>
        <v>36.251079999999995</v>
      </c>
      <c r="AE1040">
        <f>DB_ThemeSOFAcct[[#This Row],[Actuals]]-DB_ThemeSOFAcct[[#This Row],[Plan]]</f>
        <v>-12.607169999999996</v>
      </c>
      <c r="AF1040">
        <f>IF(DB_ThemeSOFAcct[[#This Row],[Plan]]&lt;&gt;0,DB_ThemeSOFAcct[[#This Row],[Actuals]]/DB_ThemeSOFAcct[[#This Row],[Plan]],1.000011000011)</f>
        <v>0.74196435607087852</v>
      </c>
      <c r="AG1040" s="34">
        <f>SUM(DB_ThemeSOFAcct[[#This Row],[Plan01]:[Plan12]])/valUnits2</f>
        <v>48.858249999999991</v>
      </c>
      <c r="AH1040" s="34">
        <f>SUMPRODUCT(DB_ThemeSOFAcct[[#This Row],[Act01]:[Act12]],$Q$3:$AB$3)/valUnits2</f>
        <v>36.251079999999995</v>
      </c>
    </row>
    <row r="1041" spans="2:34" x14ac:dyDescent="0.2">
      <c r="B1041" t="s">
        <v>349</v>
      </c>
      <c r="C1041" t="s">
        <v>356</v>
      </c>
      <c r="D1041" t="s">
        <v>140</v>
      </c>
      <c r="E1041">
        <v>2824.0889999999999</v>
      </c>
      <c r="F1041">
        <v>4710.8829999999998</v>
      </c>
      <c r="G1041">
        <v>5067.7429999999995</v>
      </c>
      <c r="H1041">
        <v>10467.199999999999</v>
      </c>
      <c r="I1041">
        <v>3782.3969999999999</v>
      </c>
      <c r="J1041">
        <v>5503.6390000000001</v>
      </c>
      <c r="Q1041">
        <v>2851.49</v>
      </c>
      <c r="R1041">
        <v>4766.8599999999997</v>
      </c>
      <c r="S1041">
        <v>5048.8099999999995</v>
      </c>
      <c r="T1041">
        <v>10499</v>
      </c>
      <c r="U1041">
        <v>3833.1000000000004</v>
      </c>
      <c r="V1041">
        <v>6211.94</v>
      </c>
      <c r="AC1041">
        <f>SUMPRODUCT(DB_ThemeSOFAcct[[#This Row],[Plan01]:[Plan12]],$E$14:$P$14)/valUnits2</f>
        <v>32.355950999999997</v>
      </c>
      <c r="AD1041">
        <f>SUMPRODUCT(DB_ThemeSOFAcct[[#This Row],[Act01]:[Act12]],$Q$14:$AB$14)/valUnits2</f>
        <v>33.211200000000005</v>
      </c>
      <c r="AE1041">
        <f>DB_ThemeSOFAcct[[#This Row],[Actuals]]-DB_ThemeSOFAcct[[#This Row],[Plan]]</f>
        <v>0.8552490000000077</v>
      </c>
      <c r="AF1041">
        <f>IF(DB_ThemeSOFAcct[[#This Row],[Plan]]&lt;&gt;0,DB_ThemeSOFAcct[[#This Row],[Actuals]]/DB_ThemeSOFAcct[[#This Row],[Plan]],1.000011000011)</f>
        <v>1.0264325100504699</v>
      </c>
      <c r="AG1041" s="34">
        <f>SUM(DB_ThemeSOFAcct[[#This Row],[Plan01]:[Plan12]])/valUnits2</f>
        <v>32.355950999999997</v>
      </c>
      <c r="AH1041" s="34">
        <f>SUMPRODUCT(DB_ThemeSOFAcct[[#This Row],[Act01]:[Act12]],$Q$3:$AB$3)/valUnits2</f>
        <v>33.211200000000005</v>
      </c>
    </row>
    <row r="1042" spans="2:34" x14ac:dyDescent="0.2">
      <c r="B1042" t="s">
        <v>349</v>
      </c>
      <c r="C1042" t="s">
        <v>356</v>
      </c>
      <c r="D1042" t="s">
        <v>236</v>
      </c>
      <c r="J1042">
        <v>0</v>
      </c>
      <c r="V1042">
        <v>24.93</v>
      </c>
      <c r="AC1042">
        <f>SUMPRODUCT(DB_ThemeSOFAcct[[#This Row],[Plan01]:[Plan12]],$E$14:$P$14)/valUnits2</f>
        <v>0</v>
      </c>
      <c r="AD1042">
        <f>SUMPRODUCT(DB_ThemeSOFAcct[[#This Row],[Act01]:[Act12]],$Q$14:$AB$14)/valUnits2</f>
        <v>2.4930000000000001E-2</v>
      </c>
      <c r="AE1042">
        <f>DB_ThemeSOFAcct[[#This Row],[Actuals]]-DB_ThemeSOFAcct[[#This Row],[Plan]]</f>
        <v>2.4930000000000001E-2</v>
      </c>
      <c r="AF1042">
        <f>IF(DB_ThemeSOFAcct[[#This Row],[Plan]]&lt;&gt;0,DB_ThemeSOFAcct[[#This Row],[Actuals]]/DB_ThemeSOFAcct[[#This Row],[Plan]],1.000011000011)</f>
        <v>1.0000110000110001</v>
      </c>
      <c r="AG1042" s="34">
        <f>SUM(DB_ThemeSOFAcct[[#This Row],[Plan01]:[Plan12]])/valUnits2</f>
        <v>0</v>
      </c>
      <c r="AH1042" s="34">
        <f>SUMPRODUCT(DB_ThemeSOFAcct[[#This Row],[Act01]:[Act12]],$Q$3:$AB$3)/valUnits2</f>
        <v>2.4930000000000001E-2</v>
      </c>
    </row>
    <row r="1043" spans="2:34" x14ac:dyDescent="0.2">
      <c r="B1043" t="s">
        <v>349</v>
      </c>
      <c r="C1043" t="s">
        <v>356</v>
      </c>
      <c r="D1043" t="s">
        <v>237</v>
      </c>
      <c r="G1043">
        <v>2078.3490000000002</v>
      </c>
      <c r="H1043">
        <v>302.125</v>
      </c>
      <c r="I1043">
        <v>307.15300000000002</v>
      </c>
      <c r="S1043">
        <v>2089.23</v>
      </c>
      <c r="T1043">
        <v>299.52000000000004</v>
      </c>
      <c r="U1043">
        <v>311.27</v>
      </c>
      <c r="AC1043">
        <f>SUMPRODUCT(DB_ThemeSOFAcct[[#This Row],[Plan01]:[Plan12]],$E$14:$P$14)/valUnits2</f>
        <v>2.6876270000000004</v>
      </c>
      <c r="AD1043">
        <f>SUMPRODUCT(DB_ThemeSOFAcct[[#This Row],[Act01]:[Act12]],$Q$14:$AB$14)/valUnits2</f>
        <v>2.7000199999999999</v>
      </c>
      <c r="AE1043">
        <f>DB_ThemeSOFAcct[[#This Row],[Actuals]]-DB_ThemeSOFAcct[[#This Row],[Plan]]</f>
        <v>1.2392999999999432E-2</v>
      </c>
      <c r="AF1043">
        <f>IF(DB_ThemeSOFAcct[[#This Row],[Plan]]&lt;&gt;0,DB_ThemeSOFAcct[[#This Row],[Actuals]]/DB_ThemeSOFAcct[[#This Row],[Plan]],1.000011000011)</f>
        <v>1.0046111309344636</v>
      </c>
      <c r="AG1043" s="34">
        <f>SUM(DB_ThemeSOFAcct[[#This Row],[Plan01]:[Plan12]])/valUnits2</f>
        <v>2.6876270000000004</v>
      </c>
      <c r="AH1043" s="34">
        <f>SUMPRODUCT(DB_ThemeSOFAcct[[#This Row],[Act01]:[Act12]],$Q$3:$AB$3)/valUnits2</f>
        <v>2.7000199999999999</v>
      </c>
    </row>
    <row r="1044" spans="2:34" x14ac:dyDescent="0.2">
      <c r="B1044" t="s">
        <v>349</v>
      </c>
      <c r="C1044" t="s">
        <v>356</v>
      </c>
      <c r="D1044" t="s">
        <v>141</v>
      </c>
      <c r="E1044">
        <v>586.89300000000003</v>
      </c>
      <c r="F1044">
        <v>211.90799999999999</v>
      </c>
      <c r="G1044">
        <v>475.63299999999998</v>
      </c>
      <c r="H1044">
        <v>524.13699999999994</v>
      </c>
      <c r="I1044">
        <v>608.58299999999997</v>
      </c>
      <c r="J1044">
        <v>3227.319</v>
      </c>
      <c r="Q1044">
        <v>589.54</v>
      </c>
      <c r="R1044">
        <v>217.63</v>
      </c>
      <c r="S1044">
        <v>472.38</v>
      </c>
      <c r="T1044">
        <v>529.02</v>
      </c>
      <c r="U1044">
        <v>636.42999999999995</v>
      </c>
      <c r="V1044">
        <v>7253.68</v>
      </c>
      <c r="AC1044">
        <f>SUMPRODUCT(DB_ThemeSOFAcct[[#This Row],[Plan01]:[Plan12]],$E$14:$P$14)/valUnits2</f>
        <v>5.6344729999999998</v>
      </c>
      <c r="AD1044">
        <f>SUMPRODUCT(DB_ThemeSOFAcct[[#This Row],[Act01]:[Act12]],$Q$14:$AB$14)/valUnits2</f>
        <v>9.6986799999999995</v>
      </c>
      <c r="AE1044">
        <f>DB_ThemeSOFAcct[[#This Row],[Actuals]]-DB_ThemeSOFAcct[[#This Row],[Plan]]</f>
        <v>4.0642069999999997</v>
      </c>
      <c r="AF1044">
        <f>IF(DB_ThemeSOFAcct[[#This Row],[Plan]]&lt;&gt;0,DB_ThemeSOFAcct[[#This Row],[Actuals]]/DB_ThemeSOFAcct[[#This Row],[Plan]],1.000011000011)</f>
        <v>1.7213109371541935</v>
      </c>
      <c r="AG1044" s="34">
        <f>SUM(DB_ThemeSOFAcct[[#This Row],[Plan01]:[Plan12]])/valUnits2</f>
        <v>5.6344729999999998</v>
      </c>
      <c r="AH1044" s="34">
        <f>SUMPRODUCT(DB_ThemeSOFAcct[[#This Row],[Act01]:[Act12]],$Q$3:$AB$3)/valUnits2</f>
        <v>9.6986799999999995</v>
      </c>
    </row>
    <row r="1045" spans="2:34" x14ac:dyDescent="0.2">
      <c r="B1045" t="s">
        <v>349</v>
      </c>
      <c r="C1045" t="s">
        <v>929</v>
      </c>
      <c r="D1045" t="s">
        <v>143</v>
      </c>
      <c r="E1045">
        <v>44.837000000000003</v>
      </c>
      <c r="F1045">
        <v>12.295999999999999</v>
      </c>
      <c r="G1045">
        <v>18.712</v>
      </c>
      <c r="H1045">
        <v>1368.8490000000002</v>
      </c>
      <c r="I1045">
        <v>1087.6949999999999</v>
      </c>
      <c r="J1045">
        <v>0</v>
      </c>
      <c r="Q1045">
        <v>20.43</v>
      </c>
      <c r="R1045">
        <v>12.61</v>
      </c>
      <c r="S1045">
        <v>18.78</v>
      </c>
      <c r="T1045">
        <v>1343.21</v>
      </c>
      <c r="U1045">
        <v>1062.05</v>
      </c>
      <c r="V1045">
        <v>547.86</v>
      </c>
      <c r="AC1045">
        <f>SUMPRODUCT(DB_ThemeSOFAcct[[#This Row],[Plan01]:[Plan12]],$E$14:$P$14)/valUnits2</f>
        <v>2.5323890000000002</v>
      </c>
      <c r="AD1045">
        <f>SUMPRODUCT(DB_ThemeSOFAcct[[#This Row],[Act01]:[Act12]],$Q$14:$AB$14)/valUnits2</f>
        <v>3.0049399999999999</v>
      </c>
      <c r="AE1045">
        <f>DB_ThemeSOFAcct[[#This Row],[Actuals]]-DB_ThemeSOFAcct[[#This Row],[Plan]]</f>
        <v>0.47255099999999972</v>
      </c>
      <c r="AF1045">
        <f>IF(DB_ThemeSOFAcct[[#This Row],[Plan]]&lt;&gt;0,DB_ThemeSOFAcct[[#This Row],[Actuals]]/DB_ThemeSOFAcct[[#This Row],[Plan]],1.000011000011)</f>
        <v>1.1866028481406292</v>
      </c>
      <c r="AG1045" s="34">
        <f>SUM(DB_ThemeSOFAcct[[#This Row],[Plan01]:[Plan12]])/valUnits2</f>
        <v>2.5323890000000002</v>
      </c>
      <c r="AH1045" s="34">
        <f>SUMPRODUCT(DB_ThemeSOFAcct[[#This Row],[Act01]:[Act12]],$Q$3:$AB$3)/valUnits2</f>
        <v>3.0049399999999999</v>
      </c>
    </row>
    <row r="1046" spans="2:34" x14ac:dyDescent="0.2">
      <c r="B1046" t="s">
        <v>349</v>
      </c>
      <c r="C1046" t="s">
        <v>929</v>
      </c>
      <c r="D1046" t="s">
        <v>235</v>
      </c>
      <c r="E1046">
        <v>752.48699999999997</v>
      </c>
      <c r="F1046">
        <v>88.415999999999997</v>
      </c>
      <c r="G1046">
        <v>904.77300000000002</v>
      </c>
      <c r="H1046">
        <v>489.66800000000001</v>
      </c>
      <c r="I1046">
        <v>58.115000000000002</v>
      </c>
      <c r="J1046">
        <v>0</v>
      </c>
      <c r="Q1046">
        <v>771.76</v>
      </c>
      <c r="R1046">
        <v>90.27</v>
      </c>
      <c r="S1046">
        <v>916.2</v>
      </c>
      <c r="T1046">
        <v>488.02</v>
      </c>
      <c r="U1046">
        <v>98.88</v>
      </c>
      <c r="V1046">
        <v>703.87</v>
      </c>
      <c r="AC1046">
        <f>SUMPRODUCT(DB_ThemeSOFAcct[[#This Row],[Plan01]:[Plan12]],$E$14:$P$14)/valUnits2</f>
        <v>2.2934589999999999</v>
      </c>
      <c r="AD1046">
        <f>SUMPRODUCT(DB_ThemeSOFAcct[[#This Row],[Act01]:[Act12]],$Q$14:$AB$14)/valUnits2</f>
        <v>3.069</v>
      </c>
      <c r="AE1046">
        <f>DB_ThemeSOFAcct[[#This Row],[Actuals]]-DB_ThemeSOFAcct[[#This Row],[Plan]]</f>
        <v>0.77554100000000004</v>
      </c>
      <c r="AF1046">
        <f>IF(DB_ThemeSOFAcct[[#This Row],[Plan]]&lt;&gt;0,DB_ThemeSOFAcct[[#This Row],[Actuals]]/DB_ThemeSOFAcct[[#This Row],[Plan]],1.000011000011)</f>
        <v>1.3381534180467147</v>
      </c>
      <c r="AG1046" s="34">
        <f>SUM(DB_ThemeSOFAcct[[#This Row],[Plan01]:[Plan12]])/valUnits2</f>
        <v>2.2934589999999999</v>
      </c>
      <c r="AH1046" s="34">
        <f>SUMPRODUCT(DB_ThemeSOFAcct[[#This Row],[Act01]:[Act12]],$Q$3:$AB$3)/valUnits2</f>
        <v>3.069</v>
      </c>
    </row>
    <row r="1047" spans="2:34" x14ac:dyDescent="0.2">
      <c r="B1047" t="s">
        <v>349</v>
      </c>
      <c r="C1047" t="s">
        <v>929</v>
      </c>
      <c r="D1047" t="s">
        <v>142</v>
      </c>
      <c r="E1047">
        <v>96064.281000000003</v>
      </c>
      <c r="F1047">
        <v>2.0000000005921947E-3</v>
      </c>
      <c r="G1047">
        <v>0</v>
      </c>
      <c r="H1047">
        <v>0</v>
      </c>
      <c r="I1047">
        <v>27674.863000000001</v>
      </c>
      <c r="Q1047">
        <v>93100.72</v>
      </c>
      <c r="R1047">
        <v>4.9471537977296975E-12</v>
      </c>
      <c r="S1047">
        <v>0</v>
      </c>
      <c r="T1047">
        <v>0</v>
      </c>
      <c r="U1047">
        <v>27339.38</v>
      </c>
      <c r="AC1047">
        <f>SUMPRODUCT(DB_ThemeSOFAcct[[#This Row],[Plan01]:[Plan12]],$E$14:$P$14)/valUnits2</f>
        <v>123.73914600000001</v>
      </c>
      <c r="AD1047">
        <f>SUMPRODUCT(DB_ThemeSOFAcct[[#This Row],[Act01]:[Act12]],$Q$14:$AB$14)/valUnits2</f>
        <v>120.4401</v>
      </c>
      <c r="AE1047">
        <f>DB_ThemeSOFAcct[[#This Row],[Actuals]]-DB_ThemeSOFAcct[[#This Row],[Plan]]</f>
        <v>-3.2990460000000041</v>
      </c>
      <c r="AF1047">
        <f>IF(DB_ThemeSOFAcct[[#This Row],[Plan]]&lt;&gt;0,DB_ThemeSOFAcct[[#This Row],[Actuals]]/DB_ThemeSOFAcct[[#This Row],[Plan]],1.000011000011)</f>
        <v>0.97333870398620659</v>
      </c>
      <c r="AG1047" s="34">
        <f>SUM(DB_ThemeSOFAcct[[#This Row],[Plan01]:[Plan12]])/valUnits2</f>
        <v>123.73914600000001</v>
      </c>
      <c r="AH1047" s="34">
        <f>SUMPRODUCT(DB_ThemeSOFAcct[[#This Row],[Act01]:[Act12]],$Q$3:$AB$3)/valUnits2</f>
        <v>120.4401</v>
      </c>
    </row>
    <row r="1048" spans="2:34" x14ac:dyDescent="0.2">
      <c r="B1048" t="s">
        <v>349</v>
      </c>
      <c r="C1048" t="s">
        <v>929</v>
      </c>
      <c r="D1048" t="s">
        <v>140</v>
      </c>
      <c r="E1048">
        <v>2543.8810000000003</v>
      </c>
      <c r="F1048">
        <v>3442.6280000000002</v>
      </c>
      <c r="G1048">
        <v>2795.2260000000001</v>
      </c>
      <c r="H1048">
        <v>4059.16</v>
      </c>
      <c r="I1048">
        <v>228.36999999999989</v>
      </c>
      <c r="J1048">
        <v>0</v>
      </c>
      <c r="Q1048">
        <v>2506.2600000000002</v>
      </c>
      <c r="R1048">
        <v>3514.82</v>
      </c>
      <c r="S1048">
        <v>2820.5299999999997</v>
      </c>
      <c r="T1048">
        <v>4041.2999999999997</v>
      </c>
      <c r="U1048">
        <v>221.42000000000007</v>
      </c>
      <c r="V1048">
        <v>3333.7799999999997</v>
      </c>
      <c r="AC1048">
        <f>SUMPRODUCT(DB_ThemeSOFAcct[[#This Row],[Plan01]:[Plan12]],$E$14:$P$14)/valUnits2</f>
        <v>13.069265</v>
      </c>
      <c r="AD1048">
        <f>SUMPRODUCT(DB_ThemeSOFAcct[[#This Row],[Act01]:[Act12]],$Q$14:$AB$14)/valUnits2</f>
        <v>16.438110000000002</v>
      </c>
      <c r="AE1048">
        <f>DB_ThemeSOFAcct[[#This Row],[Actuals]]-DB_ThemeSOFAcct[[#This Row],[Plan]]</f>
        <v>3.3688450000000021</v>
      </c>
      <c r="AF1048">
        <f>IF(DB_ThemeSOFAcct[[#This Row],[Plan]]&lt;&gt;0,DB_ThemeSOFAcct[[#This Row],[Actuals]]/DB_ThemeSOFAcct[[#This Row],[Plan]],1.000011000011)</f>
        <v>1.257768512613372</v>
      </c>
      <c r="AG1048" s="34">
        <f>SUM(DB_ThemeSOFAcct[[#This Row],[Plan01]:[Plan12]])/valUnits2</f>
        <v>13.069265</v>
      </c>
      <c r="AH1048" s="34">
        <f>SUMPRODUCT(DB_ThemeSOFAcct[[#This Row],[Act01]:[Act12]],$Q$3:$AB$3)/valUnits2</f>
        <v>16.438110000000002</v>
      </c>
    </row>
    <row r="1049" spans="2:34" x14ac:dyDescent="0.2">
      <c r="B1049" t="s">
        <v>349</v>
      </c>
      <c r="C1049" t="s">
        <v>929</v>
      </c>
      <c r="D1049" t="s">
        <v>236</v>
      </c>
      <c r="E1049">
        <v>14.611000000000001</v>
      </c>
      <c r="F1049">
        <v>64.820999999999998</v>
      </c>
      <c r="G1049">
        <v>-63.5</v>
      </c>
      <c r="H1049">
        <v>-206.89599999999984</v>
      </c>
      <c r="I1049">
        <v>154.28100000000001</v>
      </c>
      <c r="J1049">
        <v>0</v>
      </c>
      <c r="Q1049">
        <v>14.16</v>
      </c>
      <c r="R1049">
        <v>66.67</v>
      </c>
      <c r="S1049">
        <v>-66.67</v>
      </c>
      <c r="T1049">
        <v>-215.49999999999994</v>
      </c>
      <c r="U1049">
        <v>154.38</v>
      </c>
      <c r="V1049">
        <v>327.26</v>
      </c>
      <c r="AC1049">
        <f>SUMPRODUCT(DB_ThemeSOFAcct[[#This Row],[Plan01]:[Plan12]],$E$14:$P$14)/valUnits2</f>
        <v>-3.668299999999982E-2</v>
      </c>
      <c r="AD1049">
        <f>SUMPRODUCT(DB_ThemeSOFAcct[[#This Row],[Act01]:[Act12]],$Q$14:$AB$14)/valUnits2</f>
        <v>0.28030000000000005</v>
      </c>
      <c r="AE1049">
        <f>DB_ThemeSOFAcct[[#This Row],[Actuals]]-DB_ThemeSOFAcct[[#This Row],[Plan]]</f>
        <v>0.31698299999999985</v>
      </c>
      <c r="AF1049">
        <f>IF(DB_ThemeSOFAcct[[#This Row],[Plan]]&lt;&gt;0,DB_ThemeSOFAcct[[#This Row],[Actuals]]/DB_ThemeSOFAcct[[#This Row],[Plan]],1.000011000011)</f>
        <v>-7.6411416732546797</v>
      </c>
      <c r="AG1049" s="34">
        <f>SUM(DB_ThemeSOFAcct[[#This Row],[Plan01]:[Plan12]])/valUnits2</f>
        <v>-3.668299999999982E-2</v>
      </c>
      <c r="AH1049" s="34">
        <f>SUMPRODUCT(DB_ThemeSOFAcct[[#This Row],[Act01]:[Act12]],$Q$3:$AB$3)/valUnits2</f>
        <v>0.28030000000000005</v>
      </c>
    </row>
    <row r="1050" spans="2:34" x14ac:dyDescent="0.2">
      <c r="B1050" t="s">
        <v>349</v>
      </c>
      <c r="C1050" t="s">
        <v>929</v>
      </c>
      <c r="D1050" t="s">
        <v>237</v>
      </c>
      <c r="F1050">
        <v>93.162000000000006</v>
      </c>
      <c r="I1050">
        <v>26.529</v>
      </c>
      <c r="R1050">
        <v>95.82</v>
      </c>
      <c r="U1050">
        <v>26.53</v>
      </c>
      <c r="AC1050">
        <f>SUMPRODUCT(DB_ThemeSOFAcct[[#This Row],[Plan01]:[Plan12]],$E$14:$P$14)/valUnits2</f>
        <v>0.11969100000000001</v>
      </c>
      <c r="AD1050">
        <f>SUMPRODUCT(DB_ThemeSOFAcct[[#This Row],[Act01]:[Act12]],$Q$14:$AB$14)/valUnits2</f>
        <v>0.12235</v>
      </c>
      <c r="AE1050">
        <f>DB_ThemeSOFAcct[[#This Row],[Actuals]]-DB_ThemeSOFAcct[[#This Row],[Plan]]</f>
        <v>2.6589999999999947E-3</v>
      </c>
      <c r="AF1050">
        <f>IF(DB_ThemeSOFAcct[[#This Row],[Plan]]&lt;&gt;0,DB_ThemeSOFAcct[[#This Row],[Actuals]]/DB_ThemeSOFAcct[[#This Row],[Plan]],1.000011000011)</f>
        <v>1.0222155383445706</v>
      </c>
      <c r="AG1050" s="34">
        <f>SUM(DB_ThemeSOFAcct[[#This Row],[Plan01]:[Plan12]])/valUnits2</f>
        <v>0.11969100000000001</v>
      </c>
      <c r="AH1050" s="34">
        <f>SUMPRODUCT(DB_ThemeSOFAcct[[#This Row],[Act01]:[Act12]],$Q$3:$AB$3)/valUnits2</f>
        <v>0.12235</v>
      </c>
    </row>
    <row r="1051" spans="2:34" x14ac:dyDescent="0.2">
      <c r="B1051" t="s">
        <v>349</v>
      </c>
      <c r="C1051" t="s">
        <v>929</v>
      </c>
      <c r="D1051" t="s">
        <v>141</v>
      </c>
      <c r="E1051">
        <v>1009.489</v>
      </c>
      <c r="F1051">
        <v>959.54</v>
      </c>
      <c r="G1051">
        <v>808.14800000000002</v>
      </c>
      <c r="H1051">
        <v>2216.1639999999998</v>
      </c>
      <c r="I1051">
        <v>63.317999999999998</v>
      </c>
      <c r="J1051">
        <v>0</v>
      </c>
      <c r="Q1051">
        <v>978.31000000000006</v>
      </c>
      <c r="R1051">
        <v>989.73</v>
      </c>
      <c r="S1051">
        <v>815.7399999999999</v>
      </c>
      <c r="T1051">
        <v>2206.3199999999997</v>
      </c>
      <c r="U1051">
        <v>63.5</v>
      </c>
      <c r="V1051">
        <v>569.04</v>
      </c>
      <c r="AC1051">
        <f>SUMPRODUCT(DB_ThemeSOFAcct[[#This Row],[Plan01]:[Plan12]],$E$14:$P$14)/valUnits2</f>
        <v>5.0566590000000007</v>
      </c>
      <c r="AD1051">
        <f>SUMPRODUCT(DB_ThemeSOFAcct[[#This Row],[Act01]:[Act12]],$Q$14:$AB$14)/valUnits2</f>
        <v>5.6226399999999996</v>
      </c>
      <c r="AE1051">
        <f>DB_ThemeSOFAcct[[#This Row],[Actuals]]-DB_ThemeSOFAcct[[#This Row],[Plan]]</f>
        <v>0.56598099999999896</v>
      </c>
      <c r="AF1051">
        <f>IF(DB_ThemeSOFAcct[[#This Row],[Plan]]&lt;&gt;0,DB_ThemeSOFAcct[[#This Row],[Actuals]]/DB_ThemeSOFAcct[[#This Row],[Plan]],1.000011000011)</f>
        <v>1.1119278559222598</v>
      </c>
      <c r="AG1051" s="34">
        <f>SUM(DB_ThemeSOFAcct[[#This Row],[Plan01]:[Plan12]])/valUnits2</f>
        <v>5.0566590000000007</v>
      </c>
      <c r="AH1051" s="34">
        <f>SUMPRODUCT(DB_ThemeSOFAcct[[#This Row],[Act01]:[Act12]],$Q$3:$AB$3)/valUnits2</f>
        <v>5.6226399999999996</v>
      </c>
    </row>
    <row r="1052" spans="2:34" x14ac:dyDescent="0.2">
      <c r="B1052" t="s">
        <v>349</v>
      </c>
      <c r="C1052" t="s">
        <v>933</v>
      </c>
      <c r="D1052" t="s">
        <v>143</v>
      </c>
      <c r="I1052">
        <v>3339.35</v>
      </c>
      <c r="J1052">
        <v>0</v>
      </c>
      <c r="U1052">
        <v>3339.35</v>
      </c>
      <c r="V1052">
        <v>917.28</v>
      </c>
      <c r="AC1052">
        <f>SUMPRODUCT(DB_ThemeSOFAcct[[#This Row],[Plan01]:[Plan12]],$E$14:$P$14)/valUnits2</f>
        <v>3.33935</v>
      </c>
      <c r="AD1052">
        <f>SUMPRODUCT(DB_ThemeSOFAcct[[#This Row],[Act01]:[Act12]],$Q$14:$AB$14)/valUnits2</f>
        <v>4.2566300000000004</v>
      </c>
      <c r="AE1052">
        <f>DB_ThemeSOFAcct[[#This Row],[Actuals]]-DB_ThemeSOFAcct[[#This Row],[Plan]]</f>
        <v>0.91728000000000032</v>
      </c>
      <c r="AF1052">
        <f>IF(DB_ThemeSOFAcct[[#This Row],[Plan]]&lt;&gt;0,DB_ThemeSOFAcct[[#This Row],[Actuals]]/DB_ThemeSOFAcct[[#This Row],[Plan]],1.000011000011)</f>
        <v>1.2746881878209833</v>
      </c>
      <c r="AG1052" s="34">
        <f>SUM(DB_ThemeSOFAcct[[#This Row],[Plan01]:[Plan12]])/valUnits2</f>
        <v>3.33935</v>
      </c>
      <c r="AH1052" s="34">
        <f>SUMPRODUCT(DB_ThemeSOFAcct[[#This Row],[Act01]:[Act12]],$Q$3:$AB$3)/valUnits2</f>
        <v>4.2566300000000004</v>
      </c>
    </row>
    <row r="1053" spans="2:34" x14ac:dyDescent="0.2">
      <c r="B1053" t="s">
        <v>349</v>
      </c>
      <c r="C1053" t="s">
        <v>933</v>
      </c>
      <c r="D1053" t="s">
        <v>235</v>
      </c>
      <c r="E1053">
        <v>3561.82</v>
      </c>
      <c r="F1053">
        <v>1695.2900000000002</v>
      </c>
      <c r="G1053">
        <v>8774.9800000000014</v>
      </c>
      <c r="H1053">
        <v>354.07</v>
      </c>
      <c r="Q1053">
        <v>3561.8199999999997</v>
      </c>
      <c r="R1053">
        <v>1695.29</v>
      </c>
      <c r="S1053">
        <v>8774.98</v>
      </c>
      <c r="T1053">
        <v>354.07</v>
      </c>
      <c r="AC1053">
        <f>SUMPRODUCT(DB_ThemeSOFAcct[[#This Row],[Plan01]:[Plan12]],$E$14:$P$14)/valUnits2</f>
        <v>14.386160000000002</v>
      </c>
      <c r="AD1053">
        <f>SUMPRODUCT(DB_ThemeSOFAcct[[#This Row],[Act01]:[Act12]],$Q$14:$AB$14)/valUnits2</f>
        <v>14.38616</v>
      </c>
      <c r="AE1053">
        <f>DB_ThemeSOFAcct[[#This Row],[Actuals]]-DB_ThemeSOFAcct[[#This Row],[Plan]]</f>
        <v>0</v>
      </c>
      <c r="AF1053">
        <f>IF(DB_ThemeSOFAcct[[#This Row],[Plan]]&lt;&gt;0,DB_ThemeSOFAcct[[#This Row],[Actuals]]/DB_ThemeSOFAcct[[#This Row],[Plan]],1.000011000011)</f>
        <v>0.99999999999999989</v>
      </c>
      <c r="AG1053" s="34">
        <f>SUM(DB_ThemeSOFAcct[[#This Row],[Plan01]:[Plan12]])/valUnits2</f>
        <v>14.386160000000002</v>
      </c>
      <c r="AH1053" s="34">
        <f>SUMPRODUCT(DB_ThemeSOFAcct[[#This Row],[Act01]:[Act12]],$Q$3:$AB$3)/valUnits2</f>
        <v>14.38616</v>
      </c>
    </row>
    <row r="1054" spans="2:34" x14ac:dyDescent="0.2">
      <c r="B1054" t="s">
        <v>349</v>
      </c>
      <c r="C1054" t="s">
        <v>933</v>
      </c>
      <c r="D1054" t="s">
        <v>142</v>
      </c>
      <c r="E1054">
        <v>0</v>
      </c>
      <c r="F1054">
        <v>14721.02</v>
      </c>
      <c r="G1054">
        <v>0</v>
      </c>
      <c r="H1054">
        <v>0</v>
      </c>
      <c r="I1054">
        <v>17259</v>
      </c>
      <c r="J1054">
        <v>2427</v>
      </c>
      <c r="K1054">
        <v>2427</v>
      </c>
      <c r="L1054">
        <v>2427</v>
      </c>
      <c r="M1054">
        <v>2427</v>
      </c>
      <c r="N1054">
        <v>2427</v>
      </c>
      <c r="O1054">
        <v>2427</v>
      </c>
      <c r="P1054">
        <v>2427</v>
      </c>
      <c r="Q1054">
        <v>0</v>
      </c>
      <c r="R1054">
        <v>14721.02</v>
      </c>
      <c r="S1054">
        <v>0</v>
      </c>
      <c r="T1054">
        <v>0</v>
      </c>
      <c r="U1054">
        <v>17259</v>
      </c>
      <c r="V1054">
        <v>15777.599999999999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f>SUMPRODUCT(DB_ThemeSOFAcct[[#This Row],[Plan01]:[Plan12]],$E$14:$P$14)/valUnits2</f>
        <v>34.407020000000003</v>
      </c>
      <c r="AD1054">
        <f>SUMPRODUCT(DB_ThemeSOFAcct[[#This Row],[Act01]:[Act12]],$Q$14:$AB$14)/valUnits2</f>
        <v>47.757619999999996</v>
      </c>
      <c r="AE1054">
        <f>DB_ThemeSOFAcct[[#This Row],[Actuals]]-DB_ThemeSOFAcct[[#This Row],[Plan]]</f>
        <v>13.350599999999993</v>
      </c>
      <c r="AF1054">
        <f>IF(DB_ThemeSOFAcct[[#This Row],[Plan]]&lt;&gt;0,DB_ThemeSOFAcct[[#This Row],[Actuals]]/DB_ThemeSOFAcct[[#This Row],[Plan]],1.000011000011)</f>
        <v>1.3880196541287211</v>
      </c>
      <c r="AG1054" s="34">
        <f>SUM(DB_ThemeSOFAcct[[#This Row],[Plan01]:[Plan12]])/valUnits2</f>
        <v>48.969020000000008</v>
      </c>
      <c r="AH1054" s="34">
        <f>SUMPRODUCT(DB_ThemeSOFAcct[[#This Row],[Act01]:[Act12]],$Q$3:$AB$3)/valUnits2</f>
        <v>47.757619999999996</v>
      </c>
    </row>
    <row r="1055" spans="2:34" x14ac:dyDescent="0.2">
      <c r="B1055" t="s">
        <v>349</v>
      </c>
      <c r="C1055" t="s">
        <v>933</v>
      </c>
      <c r="D1055" t="s">
        <v>140</v>
      </c>
      <c r="E1055">
        <v>739.26</v>
      </c>
      <c r="F1055">
        <v>0</v>
      </c>
      <c r="G1055">
        <v>0</v>
      </c>
      <c r="H1055">
        <v>866.64</v>
      </c>
      <c r="I1055">
        <v>807.88000000000011</v>
      </c>
      <c r="J1055">
        <v>8912.2510000000002</v>
      </c>
      <c r="K1055">
        <v>8912.2510000000002</v>
      </c>
      <c r="L1055">
        <v>8912.2510000000002</v>
      </c>
      <c r="M1055">
        <v>8912.2510000000002</v>
      </c>
      <c r="N1055">
        <v>8912.2510000000002</v>
      </c>
      <c r="O1055">
        <v>8912.2510000000002</v>
      </c>
      <c r="P1055">
        <v>8912.2510000000002</v>
      </c>
      <c r="Q1055">
        <v>739.26</v>
      </c>
      <c r="R1055">
        <v>0</v>
      </c>
      <c r="S1055">
        <v>0</v>
      </c>
      <c r="T1055">
        <v>866.64</v>
      </c>
      <c r="U1055">
        <v>807.88000000000011</v>
      </c>
      <c r="V1055">
        <v>918.68000000000006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f>SUMPRODUCT(DB_ThemeSOFAcct[[#This Row],[Plan01]:[Plan12]],$E$14:$P$14)/valUnits2</f>
        <v>11.326031</v>
      </c>
      <c r="AD1055">
        <f>SUMPRODUCT(DB_ThemeSOFAcct[[#This Row],[Act01]:[Act12]],$Q$14:$AB$14)/valUnits2</f>
        <v>3.3324600000000002</v>
      </c>
      <c r="AE1055">
        <f>DB_ThemeSOFAcct[[#This Row],[Actuals]]-DB_ThemeSOFAcct[[#This Row],[Plan]]</f>
        <v>-7.9935710000000002</v>
      </c>
      <c r="AF1055">
        <f>IF(DB_ThemeSOFAcct[[#This Row],[Plan]]&lt;&gt;0,DB_ThemeSOFAcct[[#This Row],[Actuals]]/DB_ThemeSOFAcct[[#This Row],[Plan]],1.000011000011)</f>
        <v>0.29423016765537724</v>
      </c>
      <c r="AG1055" s="34">
        <f>SUM(DB_ThemeSOFAcct[[#This Row],[Plan01]:[Plan12]])/valUnits2</f>
        <v>64.799537000000015</v>
      </c>
      <c r="AH1055" s="34">
        <f>SUMPRODUCT(DB_ThemeSOFAcct[[#This Row],[Act01]:[Act12]],$Q$3:$AB$3)/valUnits2</f>
        <v>3.3324600000000002</v>
      </c>
    </row>
    <row r="1056" spans="2:34" x14ac:dyDescent="0.2">
      <c r="B1056" t="s">
        <v>349</v>
      </c>
      <c r="C1056" t="s">
        <v>933</v>
      </c>
      <c r="D1056" t="s">
        <v>236</v>
      </c>
      <c r="E1056">
        <v>1067.1100000000001</v>
      </c>
      <c r="F1056">
        <v>1122.5899999999999</v>
      </c>
      <c r="G1056">
        <v>1597.39</v>
      </c>
      <c r="H1056">
        <v>90.7</v>
      </c>
      <c r="Q1056">
        <v>1067.1100000000001</v>
      </c>
      <c r="R1056">
        <v>1122.5899999999999</v>
      </c>
      <c r="S1056">
        <v>1597.39</v>
      </c>
      <c r="T1056">
        <v>90.7</v>
      </c>
      <c r="AC1056">
        <f>SUMPRODUCT(DB_ThemeSOFAcct[[#This Row],[Plan01]:[Plan12]],$E$14:$P$14)/valUnits2</f>
        <v>3.8777900000000001</v>
      </c>
      <c r="AD1056">
        <f>SUMPRODUCT(DB_ThemeSOFAcct[[#This Row],[Act01]:[Act12]],$Q$14:$AB$14)/valUnits2</f>
        <v>3.8777900000000001</v>
      </c>
      <c r="AE1056">
        <f>DB_ThemeSOFAcct[[#This Row],[Actuals]]-DB_ThemeSOFAcct[[#This Row],[Plan]]</f>
        <v>0</v>
      </c>
      <c r="AF1056">
        <f>IF(DB_ThemeSOFAcct[[#This Row],[Plan]]&lt;&gt;0,DB_ThemeSOFAcct[[#This Row],[Actuals]]/DB_ThemeSOFAcct[[#This Row],[Plan]],1.000011000011)</f>
        <v>1</v>
      </c>
      <c r="AG1056" s="34">
        <f>SUM(DB_ThemeSOFAcct[[#This Row],[Plan01]:[Plan12]])/valUnits2</f>
        <v>3.8777900000000001</v>
      </c>
      <c r="AH1056" s="34">
        <f>SUMPRODUCT(DB_ThemeSOFAcct[[#This Row],[Act01]:[Act12]],$Q$3:$AB$3)/valUnits2</f>
        <v>3.8777900000000001</v>
      </c>
    </row>
    <row r="1057" spans="2:34" x14ac:dyDescent="0.2">
      <c r="B1057" t="s">
        <v>349</v>
      </c>
      <c r="C1057" t="s">
        <v>933</v>
      </c>
      <c r="D1057" t="s">
        <v>141</v>
      </c>
      <c r="E1057">
        <v>401.06</v>
      </c>
      <c r="F1057">
        <v>542.52</v>
      </c>
      <c r="G1057">
        <v>1035.57</v>
      </c>
      <c r="Q1057">
        <v>401.06</v>
      </c>
      <c r="R1057">
        <v>542.52</v>
      </c>
      <c r="S1057">
        <v>1035.57</v>
      </c>
      <c r="AC1057">
        <f>SUMPRODUCT(DB_ThemeSOFAcct[[#This Row],[Plan01]:[Plan12]],$E$14:$P$14)/valUnits2</f>
        <v>1.97915</v>
      </c>
      <c r="AD1057">
        <f>SUMPRODUCT(DB_ThemeSOFAcct[[#This Row],[Act01]:[Act12]],$Q$14:$AB$14)/valUnits2</f>
        <v>1.97915</v>
      </c>
      <c r="AE1057">
        <f>DB_ThemeSOFAcct[[#This Row],[Actuals]]-DB_ThemeSOFAcct[[#This Row],[Plan]]</f>
        <v>0</v>
      </c>
      <c r="AF1057">
        <f>IF(DB_ThemeSOFAcct[[#This Row],[Plan]]&lt;&gt;0,DB_ThemeSOFAcct[[#This Row],[Actuals]]/DB_ThemeSOFAcct[[#This Row],[Plan]],1.000011000011)</f>
        <v>1</v>
      </c>
      <c r="AG1057" s="34">
        <f>SUM(DB_ThemeSOFAcct[[#This Row],[Plan01]:[Plan12]])/valUnits2</f>
        <v>1.97915</v>
      </c>
      <c r="AH1057" s="34">
        <f>SUMPRODUCT(DB_ThemeSOFAcct[[#This Row],[Act01]:[Act12]],$Q$3:$AB$3)/valUnits2</f>
        <v>1.97915</v>
      </c>
    </row>
    <row r="1058" spans="2:34" x14ac:dyDescent="0.2">
      <c r="B1058" t="s">
        <v>349</v>
      </c>
      <c r="C1058" t="s">
        <v>936</v>
      </c>
      <c r="D1058" t="s">
        <v>142</v>
      </c>
      <c r="G1058">
        <v>664</v>
      </c>
      <c r="S1058">
        <v>638.44000000000005</v>
      </c>
      <c r="AC1058">
        <f>SUMPRODUCT(DB_ThemeSOFAcct[[#This Row],[Plan01]:[Plan12]],$E$14:$P$14)/valUnits2</f>
        <v>0.66400000000000003</v>
      </c>
      <c r="AD1058">
        <f>SUMPRODUCT(DB_ThemeSOFAcct[[#This Row],[Act01]:[Act12]],$Q$14:$AB$14)/valUnits2</f>
        <v>0.63844000000000001</v>
      </c>
      <c r="AE1058">
        <f>DB_ThemeSOFAcct[[#This Row],[Actuals]]-DB_ThemeSOFAcct[[#This Row],[Plan]]</f>
        <v>-2.5560000000000027E-2</v>
      </c>
      <c r="AF1058">
        <f>IF(DB_ThemeSOFAcct[[#This Row],[Plan]]&lt;&gt;0,DB_ThemeSOFAcct[[#This Row],[Actuals]]/DB_ThemeSOFAcct[[#This Row],[Plan]],1.000011000011)</f>
        <v>0.96150602409638553</v>
      </c>
      <c r="AG1058" s="34">
        <f>SUM(DB_ThemeSOFAcct[[#This Row],[Plan01]:[Plan12]])/valUnits2</f>
        <v>0.66400000000000003</v>
      </c>
      <c r="AH1058" s="34">
        <f>SUMPRODUCT(DB_ThemeSOFAcct[[#This Row],[Act01]:[Act12]],$Q$3:$AB$3)/valUnits2</f>
        <v>0.63844000000000001</v>
      </c>
    </row>
    <row r="1059" spans="2:34" x14ac:dyDescent="0.2">
      <c r="B1059" t="s">
        <v>350</v>
      </c>
      <c r="C1059" t="s">
        <v>842</v>
      </c>
      <c r="D1059" t="s">
        <v>140</v>
      </c>
      <c r="E1059">
        <v>0</v>
      </c>
      <c r="F1059">
        <v>0</v>
      </c>
      <c r="G1059">
        <v>0</v>
      </c>
      <c r="H1059">
        <v>903.11699999999996</v>
      </c>
      <c r="I1059">
        <v>747.60800000000006</v>
      </c>
      <c r="J1059">
        <v>5609.5989999999993</v>
      </c>
      <c r="K1059">
        <v>5609.5990000000002</v>
      </c>
      <c r="L1059">
        <v>5609.5989999999993</v>
      </c>
      <c r="M1059">
        <v>5609.5990000000002</v>
      </c>
      <c r="N1059">
        <v>5609.5989999999993</v>
      </c>
      <c r="O1059">
        <v>5609.5990000000002</v>
      </c>
      <c r="P1059">
        <v>5609.5989999999993</v>
      </c>
      <c r="Q1059">
        <v>0</v>
      </c>
      <c r="R1059">
        <v>0</v>
      </c>
      <c r="S1059">
        <v>0</v>
      </c>
      <c r="T1059">
        <v>896.43999999999994</v>
      </c>
      <c r="U1059">
        <v>738.78</v>
      </c>
      <c r="V1059">
        <v>1351.62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f>SUMPRODUCT(DB_ThemeSOFAcct[[#This Row],[Plan01]:[Plan12]],$E$14:$P$14)/valUnits2</f>
        <v>7.2603239999999989</v>
      </c>
      <c r="AD1059">
        <f>SUMPRODUCT(DB_ThemeSOFAcct[[#This Row],[Act01]:[Act12]],$Q$14:$AB$14)/valUnits2</f>
        <v>2.9868399999999995</v>
      </c>
      <c r="AE1059">
        <f>DB_ThemeSOFAcct[[#This Row],[Actuals]]-DB_ThemeSOFAcct[[#This Row],[Plan]]</f>
        <v>-4.2734839999999998</v>
      </c>
      <c r="AF1059">
        <f>IF(DB_ThemeSOFAcct[[#This Row],[Plan]]&lt;&gt;0,DB_ThemeSOFAcct[[#This Row],[Actuals]]/DB_ThemeSOFAcct[[#This Row],[Plan]],1.000011000011)</f>
        <v>0.4113921086717342</v>
      </c>
      <c r="AG1059" s="34">
        <f>SUM(DB_ThemeSOFAcct[[#This Row],[Plan01]:[Plan12]])/valUnits2</f>
        <v>40.917918</v>
      </c>
      <c r="AH1059" s="34">
        <f>SUMPRODUCT(DB_ThemeSOFAcct[[#This Row],[Act01]:[Act12]],$Q$3:$AB$3)/valUnits2</f>
        <v>2.9868399999999995</v>
      </c>
    </row>
    <row r="1060" spans="2:34" x14ac:dyDescent="0.2">
      <c r="B1060" t="s">
        <v>350</v>
      </c>
      <c r="C1060" t="s">
        <v>842</v>
      </c>
      <c r="D1060" t="s">
        <v>141</v>
      </c>
      <c r="J1060">
        <v>0</v>
      </c>
      <c r="V1060">
        <v>1.74</v>
      </c>
      <c r="AC1060">
        <f>SUMPRODUCT(DB_ThemeSOFAcct[[#This Row],[Plan01]:[Plan12]],$E$14:$P$14)/valUnits2</f>
        <v>0</v>
      </c>
      <c r="AD1060">
        <f>SUMPRODUCT(DB_ThemeSOFAcct[[#This Row],[Act01]:[Act12]],$Q$14:$AB$14)/valUnits2</f>
        <v>1.74E-3</v>
      </c>
      <c r="AE1060">
        <f>DB_ThemeSOFAcct[[#This Row],[Actuals]]-DB_ThemeSOFAcct[[#This Row],[Plan]]</f>
        <v>1.74E-3</v>
      </c>
      <c r="AF1060">
        <f>IF(DB_ThemeSOFAcct[[#This Row],[Plan]]&lt;&gt;0,DB_ThemeSOFAcct[[#This Row],[Actuals]]/DB_ThemeSOFAcct[[#This Row],[Plan]],1.000011000011)</f>
        <v>1.0000110000110001</v>
      </c>
      <c r="AG1060" s="34">
        <f>SUM(DB_ThemeSOFAcct[[#This Row],[Plan01]:[Plan12]])/valUnits2</f>
        <v>0</v>
      </c>
      <c r="AH1060" s="34">
        <f>SUMPRODUCT(DB_ThemeSOFAcct[[#This Row],[Act01]:[Act12]],$Q$3:$AB$3)/valUnits2</f>
        <v>1.74E-3</v>
      </c>
    </row>
    <row r="1061" spans="2:34" x14ac:dyDescent="0.2">
      <c r="B1061" t="s">
        <v>350</v>
      </c>
      <c r="C1061" t="s">
        <v>843</v>
      </c>
      <c r="D1061" t="s">
        <v>140</v>
      </c>
      <c r="F1061">
        <v>4458.7359999999999</v>
      </c>
      <c r="G1061">
        <v>2390.5330000000004</v>
      </c>
      <c r="H1061">
        <v>5272.5519999999997</v>
      </c>
      <c r="I1061">
        <v>506.59300000000002</v>
      </c>
      <c r="J1061">
        <v>1759.4940000000001</v>
      </c>
      <c r="K1061">
        <v>1759.4940000000001</v>
      </c>
      <c r="L1061">
        <v>1759.4940000000001</v>
      </c>
      <c r="M1061">
        <v>1759.4940000000001</v>
      </c>
      <c r="N1061">
        <v>1759.4940000000001</v>
      </c>
      <c r="O1061">
        <v>1759.4940000000001</v>
      </c>
      <c r="P1061">
        <v>1759.4940000000001</v>
      </c>
      <c r="R1061">
        <v>4481.1400000000003</v>
      </c>
      <c r="S1061">
        <v>2420.54</v>
      </c>
      <c r="T1061">
        <v>5263.23</v>
      </c>
      <c r="U1061">
        <v>509.59</v>
      </c>
      <c r="V1061">
        <v>-12671.15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f>SUMPRODUCT(DB_ThemeSOFAcct[[#This Row],[Plan01]:[Plan12]],$E$14:$P$14)/valUnits2</f>
        <v>14.387908000000001</v>
      </c>
      <c r="AD1061">
        <f>SUMPRODUCT(DB_ThemeSOFAcct[[#This Row],[Act01]:[Act12]],$Q$14:$AB$14)/valUnits2</f>
        <v>3.350000000000364E-3</v>
      </c>
      <c r="AE1061">
        <f>DB_ThemeSOFAcct[[#This Row],[Actuals]]-DB_ThemeSOFAcct[[#This Row],[Plan]]</f>
        <v>-14.384558</v>
      </c>
      <c r="AF1061">
        <f>IF(DB_ThemeSOFAcct[[#This Row],[Plan]]&lt;&gt;0,DB_ThemeSOFAcct[[#This Row],[Actuals]]/DB_ThemeSOFAcct[[#This Row],[Plan]],1.000011000011)</f>
        <v>2.3283440511298541E-4</v>
      </c>
      <c r="AG1061" s="34">
        <f>SUM(DB_ThemeSOFAcct[[#This Row],[Plan01]:[Plan12]])/valUnits2</f>
        <v>24.944871999999997</v>
      </c>
      <c r="AH1061" s="34">
        <f>SUMPRODUCT(DB_ThemeSOFAcct[[#This Row],[Act01]:[Act12]],$Q$3:$AB$3)/valUnits2</f>
        <v>3.350000000000364E-3</v>
      </c>
    </row>
    <row r="1062" spans="2:34" x14ac:dyDescent="0.2">
      <c r="B1062" t="s">
        <v>350</v>
      </c>
      <c r="C1062" t="s">
        <v>843</v>
      </c>
      <c r="D1062" t="s">
        <v>141</v>
      </c>
      <c r="J1062">
        <v>0</v>
      </c>
      <c r="V1062">
        <v>1.92</v>
      </c>
      <c r="AC1062">
        <f>SUMPRODUCT(DB_ThemeSOFAcct[[#This Row],[Plan01]:[Plan12]],$E$14:$P$14)/valUnits2</f>
        <v>0</v>
      </c>
      <c r="AD1062">
        <f>SUMPRODUCT(DB_ThemeSOFAcct[[#This Row],[Act01]:[Act12]],$Q$14:$AB$14)/valUnits2</f>
        <v>1.9199999999999998E-3</v>
      </c>
      <c r="AE1062">
        <f>DB_ThemeSOFAcct[[#This Row],[Actuals]]-DB_ThemeSOFAcct[[#This Row],[Plan]]</f>
        <v>1.9199999999999998E-3</v>
      </c>
      <c r="AF1062">
        <f>IF(DB_ThemeSOFAcct[[#This Row],[Plan]]&lt;&gt;0,DB_ThemeSOFAcct[[#This Row],[Actuals]]/DB_ThemeSOFAcct[[#This Row],[Plan]],1.000011000011)</f>
        <v>1.0000110000110001</v>
      </c>
      <c r="AG1062" s="34">
        <f>SUM(DB_ThemeSOFAcct[[#This Row],[Plan01]:[Plan12]])/valUnits2</f>
        <v>0</v>
      </c>
      <c r="AH1062" s="34">
        <f>SUMPRODUCT(DB_ThemeSOFAcct[[#This Row],[Act01]:[Act12]],$Q$3:$AB$3)/valUnits2</f>
        <v>1.9199999999999998E-3</v>
      </c>
    </row>
    <row r="1063" spans="2:34" x14ac:dyDescent="0.2">
      <c r="B1063" t="s">
        <v>350</v>
      </c>
      <c r="C1063" t="s">
        <v>845</v>
      </c>
      <c r="D1063" t="s">
        <v>236</v>
      </c>
      <c r="I1063">
        <v>22.68</v>
      </c>
      <c r="U1063">
        <v>22.68</v>
      </c>
      <c r="AC1063">
        <f>SUMPRODUCT(DB_ThemeSOFAcct[[#This Row],[Plan01]:[Plan12]],$E$14:$P$14)/valUnits2</f>
        <v>2.2679999999999999E-2</v>
      </c>
      <c r="AD1063">
        <f>SUMPRODUCT(DB_ThemeSOFAcct[[#This Row],[Act01]:[Act12]],$Q$14:$AB$14)/valUnits2</f>
        <v>2.2679999999999999E-2</v>
      </c>
      <c r="AE1063">
        <f>DB_ThemeSOFAcct[[#This Row],[Actuals]]-DB_ThemeSOFAcct[[#This Row],[Plan]]</f>
        <v>0</v>
      </c>
      <c r="AF1063">
        <f>IF(DB_ThemeSOFAcct[[#This Row],[Plan]]&lt;&gt;0,DB_ThemeSOFAcct[[#This Row],[Actuals]]/DB_ThemeSOFAcct[[#This Row],[Plan]],1.000011000011)</f>
        <v>1</v>
      </c>
      <c r="AG1063" s="34">
        <f>SUM(DB_ThemeSOFAcct[[#This Row],[Plan01]:[Plan12]])/valUnits2</f>
        <v>2.2679999999999999E-2</v>
      </c>
      <c r="AH1063" s="34">
        <f>SUMPRODUCT(DB_ThemeSOFAcct[[#This Row],[Act01]:[Act12]],$Q$3:$AB$3)/valUnits2</f>
        <v>2.2679999999999999E-2</v>
      </c>
    </row>
    <row r="1064" spans="2:34" x14ac:dyDescent="0.2">
      <c r="B1064" t="s">
        <v>350</v>
      </c>
      <c r="C1064" t="s">
        <v>845</v>
      </c>
      <c r="D1064" t="s">
        <v>141</v>
      </c>
      <c r="I1064">
        <v>199.55</v>
      </c>
      <c r="U1064">
        <v>199.55</v>
      </c>
      <c r="AC1064">
        <f>SUMPRODUCT(DB_ThemeSOFAcct[[#This Row],[Plan01]:[Plan12]],$E$14:$P$14)/valUnits2</f>
        <v>0.19955000000000001</v>
      </c>
      <c r="AD1064">
        <f>SUMPRODUCT(DB_ThemeSOFAcct[[#This Row],[Act01]:[Act12]],$Q$14:$AB$14)/valUnits2</f>
        <v>0.19955000000000001</v>
      </c>
      <c r="AE1064">
        <f>DB_ThemeSOFAcct[[#This Row],[Actuals]]-DB_ThemeSOFAcct[[#This Row],[Plan]]</f>
        <v>0</v>
      </c>
      <c r="AF1064">
        <f>IF(DB_ThemeSOFAcct[[#This Row],[Plan]]&lt;&gt;0,DB_ThemeSOFAcct[[#This Row],[Actuals]]/DB_ThemeSOFAcct[[#This Row],[Plan]],1.000011000011)</f>
        <v>1</v>
      </c>
      <c r="AG1064" s="34">
        <f>SUM(DB_ThemeSOFAcct[[#This Row],[Plan01]:[Plan12]])/valUnits2</f>
        <v>0.19955000000000001</v>
      </c>
      <c r="AH1064" s="34">
        <f>SUMPRODUCT(DB_ThemeSOFAcct[[#This Row],[Act01]:[Act12]],$Q$3:$AB$3)/valUnits2</f>
        <v>0.19955000000000001</v>
      </c>
    </row>
    <row r="1065" spans="2:34" x14ac:dyDescent="0.2">
      <c r="B1065" t="s">
        <v>350</v>
      </c>
      <c r="C1065" t="s">
        <v>357</v>
      </c>
      <c r="D1065" t="s">
        <v>141</v>
      </c>
      <c r="J1065">
        <v>0</v>
      </c>
      <c r="V1065">
        <v>0.21</v>
      </c>
      <c r="AC1065">
        <f>SUMPRODUCT(DB_ThemeSOFAcct[[#This Row],[Plan01]:[Plan12]],$E$14:$P$14)/valUnits2</f>
        <v>0</v>
      </c>
      <c r="AD1065">
        <f>SUMPRODUCT(DB_ThemeSOFAcct[[#This Row],[Act01]:[Act12]],$Q$14:$AB$14)/valUnits2</f>
        <v>2.0999999999999998E-4</v>
      </c>
      <c r="AE1065">
        <f>DB_ThemeSOFAcct[[#This Row],[Actuals]]-DB_ThemeSOFAcct[[#This Row],[Plan]]</f>
        <v>2.0999999999999998E-4</v>
      </c>
      <c r="AF1065">
        <f>IF(DB_ThemeSOFAcct[[#This Row],[Plan]]&lt;&gt;0,DB_ThemeSOFAcct[[#This Row],[Actuals]]/DB_ThemeSOFAcct[[#This Row],[Plan]],1.000011000011)</f>
        <v>1.0000110000110001</v>
      </c>
      <c r="AG1065" s="34">
        <f>SUM(DB_ThemeSOFAcct[[#This Row],[Plan01]:[Plan12]])/valUnits2</f>
        <v>0</v>
      </c>
      <c r="AH1065" s="34">
        <f>SUMPRODUCT(DB_ThemeSOFAcct[[#This Row],[Act01]:[Act12]],$Q$3:$AB$3)/valUnits2</f>
        <v>2.0999999999999998E-4</v>
      </c>
    </row>
    <row r="1066" spans="2:34" x14ac:dyDescent="0.2">
      <c r="B1066" t="s">
        <v>350</v>
      </c>
      <c r="C1066" t="s">
        <v>846</v>
      </c>
      <c r="D1066" t="s">
        <v>141</v>
      </c>
      <c r="J1066">
        <v>0</v>
      </c>
      <c r="V1066">
        <v>0.15</v>
      </c>
      <c r="AC1066">
        <f>SUMPRODUCT(DB_ThemeSOFAcct[[#This Row],[Plan01]:[Plan12]],$E$14:$P$14)/valUnits2</f>
        <v>0</v>
      </c>
      <c r="AD1066">
        <f>SUMPRODUCT(DB_ThemeSOFAcct[[#This Row],[Act01]:[Act12]],$Q$14:$AB$14)/valUnits2</f>
        <v>1.4999999999999999E-4</v>
      </c>
      <c r="AE1066">
        <f>DB_ThemeSOFAcct[[#This Row],[Actuals]]-DB_ThemeSOFAcct[[#This Row],[Plan]]</f>
        <v>1.4999999999999999E-4</v>
      </c>
      <c r="AF1066">
        <f>IF(DB_ThemeSOFAcct[[#This Row],[Plan]]&lt;&gt;0,DB_ThemeSOFAcct[[#This Row],[Actuals]]/DB_ThemeSOFAcct[[#This Row],[Plan]],1.000011000011)</f>
        <v>1.0000110000110001</v>
      </c>
      <c r="AG1066" s="34">
        <f>SUM(DB_ThemeSOFAcct[[#This Row],[Plan01]:[Plan12]])/valUnits2</f>
        <v>0</v>
      </c>
      <c r="AH1066" s="34">
        <f>SUMPRODUCT(DB_ThemeSOFAcct[[#This Row],[Act01]:[Act12]],$Q$3:$AB$3)/valUnits2</f>
        <v>1.4999999999999999E-4</v>
      </c>
    </row>
    <row r="1067" spans="2:34" x14ac:dyDescent="0.2">
      <c r="B1067" t="s">
        <v>350</v>
      </c>
      <c r="C1067" t="s">
        <v>847</v>
      </c>
      <c r="D1067" t="s">
        <v>141</v>
      </c>
      <c r="J1067">
        <v>0</v>
      </c>
      <c r="V1067">
        <v>0.6</v>
      </c>
      <c r="AC1067">
        <f>SUMPRODUCT(DB_ThemeSOFAcct[[#This Row],[Plan01]:[Plan12]],$E$14:$P$14)/valUnits2</f>
        <v>0</v>
      </c>
      <c r="AD1067">
        <f>SUMPRODUCT(DB_ThemeSOFAcct[[#This Row],[Act01]:[Act12]],$Q$14:$AB$14)/valUnits2</f>
        <v>5.9999999999999995E-4</v>
      </c>
      <c r="AE1067">
        <f>DB_ThemeSOFAcct[[#This Row],[Actuals]]-DB_ThemeSOFAcct[[#This Row],[Plan]]</f>
        <v>5.9999999999999995E-4</v>
      </c>
      <c r="AF1067">
        <f>IF(DB_ThemeSOFAcct[[#This Row],[Plan]]&lt;&gt;0,DB_ThemeSOFAcct[[#This Row],[Actuals]]/DB_ThemeSOFAcct[[#This Row],[Plan]],1.000011000011)</f>
        <v>1.0000110000110001</v>
      </c>
      <c r="AG1067" s="34">
        <f>SUM(DB_ThemeSOFAcct[[#This Row],[Plan01]:[Plan12]])/valUnits2</f>
        <v>0</v>
      </c>
      <c r="AH1067" s="34">
        <f>SUMPRODUCT(DB_ThemeSOFAcct[[#This Row],[Act01]:[Act12]],$Q$3:$AB$3)/valUnits2</f>
        <v>5.9999999999999995E-4</v>
      </c>
    </row>
    <row r="1068" spans="2:34" x14ac:dyDescent="0.2">
      <c r="B1068" t="s">
        <v>350</v>
      </c>
      <c r="C1068" t="s">
        <v>848</v>
      </c>
      <c r="D1068" t="s">
        <v>141</v>
      </c>
      <c r="H1068">
        <v>93.325999999999993</v>
      </c>
      <c r="T1068">
        <v>92.75</v>
      </c>
      <c r="AC1068">
        <f>SUMPRODUCT(DB_ThemeSOFAcct[[#This Row],[Plan01]:[Plan12]],$E$14:$P$14)/valUnits2</f>
        <v>9.3325999999999992E-2</v>
      </c>
      <c r="AD1068">
        <f>SUMPRODUCT(DB_ThemeSOFAcct[[#This Row],[Act01]:[Act12]],$Q$14:$AB$14)/valUnits2</f>
        <v>9.2749999999999999E-2</v>
      </c>
      <c r="AE1068">
        <f>DB_ThemeSOFAcct[[#This Row],[Actuals]]-DB_ThemeSOFAcct[[#This Row],[Plan]]</f>
        <v>-5.7599999999999318E-4</v>
      </c>
      <c r="AF1068">
        <f>IF(DB_ThemeSOFAcct[[#This Row],[Plan]]&lt;&gt;0,DB_ThemeSOFAcct[[#This Row],[Actuals]]/DB_ThemeSOFAcct[[#This Row],[Plan]],1.000011000011)</f>
        <v>0.9938280864925102</v>
      </c>
      <c r="AG1068" s="34">
        <f>SUM(DB_ThemeSOFAcct[[#This Row],[Plan01]:[Plan12]])/valUnits2</f>
        <v>9.3325999999999992E-2</v>
      </c>
      <c r="AH1068" s="34">
        <f>SUMPRODUCT(DB_ThemeSOFAcct[[#This Row],[Act01]:[Act12]],$Q$3:$AB$3)/valUnits2</f>
        <v>9.2749999999999999E-2</v>
      </c>
    </row>
    <row r="1069" spans="2:34" x14ac:dyDescent="0.2">
      <c r="B1069" t="s">
        <v>350</v>
      </c>
      <c r="C1069" t="s">
        <v>849</v>
      </c>
      <c r="D1069" t="s">
        <v>141</v>
      </c>
      <c r="J1069">
        <v>0</v>
      </c>
      <c r="V1069">
        <v>4.3600000000000003</v>
      </c>
      <c r="AC1069">
        <f>SUMPRODUCT(DB_ThemeSOFAcct[[#This Row],[Plan01]:[Plan12]],$E$14:$P$14)/valUnits2</f>
        <v>0</v>
      </c>
      <c r="AD1069">
        <f>SUMPRODUCT(DB_ThemeSOFAcct[[#This Row],[Act01]:[Act12]],$Q$14:$AB$14)/valUnits2</f>
        <v>4.3600000000000002E-3</v>
      </c>
      <c r="AE1069">
        <f>DB_ThemeSOFAcct[[#This Row],[Actuals]]-DB_ThemeSOFAcct[[#This Row],[Plan]]</f>
        <v>4.3600000000000002E-3</v>
      </c>
      <c r="AF1069">
        <f>IF(DB_ThemeSOFAcct[[#This Row],[Plan]]&lt;&gt;0,DB_ThemeSOFAcct[[#This Row],[Actuals]]/DB_ThemeSOFAcct[[#This Row],[Plan]],1.000011000011)</f>
        <v>1.0000110000110001</v>
      </c>
      <c r="AG1069" s="34">
        <f>SUM(DB_ThemeSOFAcct[[#This Row],[Plan01]:[Plan12]])/valUnits2</f>
        <v>0</v>
      </c>
      <c r="AH1069" s="34">
        <f>SUMPRODUCT(DB_ThemeSOFAcct[[#This Row],[Act01]:[Act12]],$Q$3:$AB$3)/valUnits2</f>
        <v>4.3600000000000002E-3</v>
      </c>
    </row>
    <row r="1070" spans="2:34" x14ac:dyDescent="0.2">
      <c r="B1070" t="s">
        <v>350</v>
      </c>
      <c r="C1070" t="s">
        <v>366</v>
      </c>
      <c r="D1070" t="s">
        <v>141</v>
      </c>
      <c r="J1070">
        <v>0</v>
      </c>
      <c r="V1070">
        <v>0.36</v>
      </c>
      <c r="AC1070">
        <f>SUMPRODUCT(DB_ThemeSOFAcct[[#This Row],[Plan01]:[Plan12]],$E$14:$P$14)/valUnits2</f>
        <v>0</v>
      </c>
      <c r="AD1070">
        <f>SUMPRODUCT(DB_ThemeSOFAcct[[#This Row],[Act01]:[Act12]],$Q$14:$AB$14)/valUnits2</f>
        <v>3.5999999999999997E-4</v>
      </c>
      <c r="AE1070">
        <f>DB_ThemeSOFAcct[[#This Row],[Actuals]]-DB_ThemeSOFAcct[[#This Row],[Plan]]</f>
        <v>3.5999999999999997E-4</v>
      </c>
      <c r="AF1070">
        <f>IF(DB_ThemeSOFAcct[[#This Row],[Plan]]&lt;&gt;0,DB_ThemeSOFAcct[[#This Row],[Actuals]]/DB_ThemeSOFAcct[[#This Row],[Plan]],1.000011000011)</f>
        <v>1.0000110000110001</v>
      </c>
      <c r="AG1070" s="34">
        <f>SUM(DB_ThemeSOFAcct[[#This Row],[Plan01]:[Plan12]])/valUnits2</f>
        <v>0</v>
      </c>
      <c r="AH1070" s="34">
        <f>SUMPRODUCT(DB_ThemeSOFAcct[[#This Row],[Act01]:[Act12]],$Q$3:$AB$3)/valUnits2</f>
        <v>3.5999999999999997E-4</v>
      </c>
    </row>
    <row r="1071" spans="2:34" x14ac:dyDescent="0.2">
      <c r="B1071" t="s">
        <v>350</v>
      </c>
      <c r="C1071" t="s">
        <v>353</v>
      </c>
      <c r="D1071" t="s">
        <v>140</v>
      </c>
      <c r="G1071">
        <v>0</v>
      </c>
      <c r="H1071">
        <v>0</v>
      </c>
      <c r="S1071">
        <v>0</v>
      </c>
      <c r="T1071">
        <v>0</v>
      </c>
      <c r="AC1071">
        <f>SUMPRODUCT(DB_ThemeSOFAcct[[#This Row],[Plan01]:[Plan12]],$E$14:$P$14)/valUnits2</f>
        <v>0</v>
      </c>
      <c r="AD1071">
        <f>SUMPRODUCT(DB_ThemeSOFAcct[[#This Row],[Act01]:[Act12]],$Q$14:$AB$14)/valUnits2</f>
        <v>0</v>
      </c>
      <c r="AE1071">
        <f>DB_ThemeSOFAcct[[#This Row],[Actuals]]-DB_ThemeSOFAcct[[#This Row],[Plan]]</f>
        <v>0</v>
      </c>
      <c r="AF1071">
        <f>IF(DB_ThemeSOFAcct[[#This Row],[Plan]]&lt;&gt;0,DB_ThemeSOFAcct[[#This Row],[Actuals]]/DB_ThemeSOFAcct[[#This Row],[Plan]],1.000011000011)</f>
        <v>1.0000110000110001</v>
      </c>
      <c r="AG1071" s="34">
        <f>SUM(DB_ThemeSOFAcct[[#This Row],[Plan01]:[Plan12]])/valUnits2</f>
        <v>0</v>
      </c>
      <c r="AH1071" s="34">
        <f>SUMPRODUCT(DB_ThemeSOFAcct[[#This Row],[Act01]:[Act12]],$Q$3:$AB$3)/valUnits2</f>
        <v>0</v>
      </c>
    </row>
    <row r="1072" spans="2:34" x14ac:dyDescent="0.2">
      <c r="B1072" t="s">
        <v>350</v>
      </c>
      <c r="C1072" t="s">
        <v>353</v>
      </c>
      <c r="D1072" t="s">
        <v>141</v>
      </c>
      <c r="J1072">
        <v>0</v>
      </c>
      <c r="V1072">
        <v>1.23</v>
      </c>
      <c r="AC1072">
        <f>SUMPRODUCT(DB_ThemeSOFAcct[[#This Row],[Plan01]:[Plan12]],$E$14:$P$14)/valUnits2</f>
        <v>0</v>
      </c>
      <c r="AD1072">
        <f>SUMPRODUCT(DB_ThemeSOFAcct[[#This Row],[Act01]:[Act12]],$Q$14:$AB$14)/valUnits2</f>
        <v>1.23E-3</v>
      </c>
      <c r="AE1072">
        <f>DB_ThemeSOFAcct[[#This Row],[Actuals]]-DB_ThemeSOFAcct[[#This Row],[Plan]]</f>
        <v>1.23E-3</v>
      </c>
      <c r="AF1072">
        <f>IF(DB_ThemeSOFAcct[[#This Row],[Plan]]&lt;&gt;0,DB_ThemeSOFAcct[[#This Row],[Actuals]]/DB_ThemeSOFAcct[[#This Row],[Plan]],1.000011000011)</f>
        <v>1.0000110000110001</v>
      </c>
      <c r="AG1072" s="34">
        <f>SUM(DB_ThemeSOFAcct[[#This Row],[Plan01]:[Plan12]])/valUnits2</f>
        <v>0</v>
      </c>
      <c r="AH1072" s="34">
        <f>SUMPRODUCT(DB_ThemeSOFAcct[[#This Row],[Act01]:[Act12]],$Q$3:$AB$3)/valUnits2</f>
        <v>1.23E-3</v>
      </c>
    </row>
    <row r="1073" spans="2:34" x14ac:dyDescent="0.2">
      <c r="B1073" t="s">
        <v>350</v>
      </c>
      <c r="C1073" t="s">
        <v>850</v>
      </c>
      <c r="D1073" t="s">
        <v>141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0.55000000000000004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f>SUMPRODUCT(DB_ThemeSOFAcct[[#This Row],[Plan01]:[Plan12]],$E$14:$P$14)/valUnits2</f>
        <v>0</v>
      </c>
      <c r="AD1073">
        <f>SUMPRODUCT(DB_ThemeSOFAcct[[#This Row],[Act01]:[Act12]],$Q$14:$AB$14)/valUnits2</f>
        <v>5.5000000000000003E-4</v>
      </c>
      <c r="AE1073">
        <f>DB_ThemeSOFAcct[[#This Row],[Actuals]]-DB_ThemeSOFAcct[[#This Row],[Plan]]</f>
        <v>5.5000000000000003E-4</v>
      </c>
      <c r="AF1073">
        <f>IF(DB_ThemeSOFAcct[[#This Row],[Plan]]&lt;&gt;0,DB_ThemeSOFAcct[[#This Row],[Actuals]]/DB_ThemeSOFAcct[[#This Row],[Plan]],1.000011000011)</f>
        <v>1.0000110000110001</v>
      </c>
      <c r="AG1073" s="34">
        <f>SUM(DB_ThemeSOFAcct[[#This Row],[Plan01]:[Plan12]])/valUnits2</f>
        <v>0</v>
      </c>
      <c r="AH1073" s="34">
        <f>SUMPRODUCT(DB_ThemeSOFAcct[[#This Row],[Act01]:[Act12]],$Q$3:$AB$3)/valUnits2</f>
        <v>5.5000000000000003E-4</v>
      </c>
    </row>
    <row r="1074" spans="2:34" x14ac:dyDescent="0.2">
      <c r="B1074" t="s">
        <v>350</v>
      </c>
      <c r="C1074" t="s">
        <v>852</v>
      </c>
      <c r="D1074" t="s">
        <v>235</v>
      </c>
      <c r="F1074">
        <v>103.29900000000001</v>
      </c>
      <c r="R1074">
        <v>107.41</v>
      </c>
      <c r="AC1074">
        <f>SUMPRODUCT(DB_ThemeSOFAcct[[#This Row],[Plan01]:[Plan12]],$E$14:$P$14)/valUnits2</f>
        <v>0.103299</v>
      </c>
      <c r="AD1074">
        <f>SUMPRODUCT(DB_ThemeSOFAcct[[#This Row],[Act01]:[Act12]],$Q$14:$AB$14)/valUnits2</f>
        <v>0.10740999999999999</v>
      </c>
      <c r="AE1074">
        <f>DB_ThemeSOFAcct[[#This Row],[Actuals]]-DB_ThemeSOFAcct[[#This Row],[Plan]]</f>
        <v>4.1109999999999897E-3</v>
      </c>
      <c r="AF1074">
        <f>IF(DB_ThemeSOFAcct[[#This Row],[Plan]]&lt;&gt;0,DB_ThemeSOFAcct[[#This Row],[Actuals]]/DB_ThemeSOFAcct[[#This Row],[Plan]],1.000011000011)</f>
        <v>1.0397970938731256</v>
      </c>
      <c r="AG1074" s="34">
        <f>SUM(DB_ThemeSOFAcct[[#This Row],[Plan01]:[Plan12]])/valUnits2</f>
        <v>0.103299</v>
      </c>
      <c r="AH1074" s="34">
        <f>SUMPRODUCT(DB_ThemeSOFAcct[[#This Row],[Act01]:[Act12]],$Q$3:$AB$3)/valUnits2</f>
        <v>0.10740999999999999</v>
      </c>
    </row>
    <row r="1075" spans="2:34" x14ac:dyDescent="0.2">
      <c r="B1075" t="s">
        <v>350</v>
      </c>
      <c r="C1075" t="s">
        <v>852</v>
      </c>
      <c r="D1075" t="s">
        <v>236</v>
      </c>
      <c r="E1075">
        <v>-201.078</v>
      </c>
      <c r="Q1075">
        <v>-202.13</v>
      </c>
      <c r="AC1075">
        <f>SUMPRODUCT(DB_ThemeSOFAcct[[#This Row],[Plan01]:[Plan12]],$E$14:$P$14)/valUnits2</f>
        <v>-0.20107800000000001</v>
      </c>
      <c r="AD1075">
        <f>SUMPRODUCT(DB_ThemeSOFAcct[[#This Row],[Act01]:[Act12]],$Q$14:$AB$14)/valUnits2</f>
        <v>-0.20213</v>
      </c>
      <c r="AE1075">
        <f>DB_ThemeSOFAcct[[#This Row],[Actuals]]-DB_ThemeSOFAcct[[#This Row],[Plan]]</f>
        <v>-1.0519999999999974E-3</v>
      </c>
      <c r="AF1075">
        <f>IF(DB_ThemeSOFAcct[[#This Row],[Plan]]&lt;&gt;0,DB_ThemeSOFAcct[[#This Row],[Actuals]]/DB_ThemeSOFAcct[[#This Row],[Plan]],1.000011000011)</f>
        <v>1.005231800594794</v>
      </c>
      <c r="AG1075" s="34">
        <f>SUM(DB_ThemeSOFAcct[[#This Row],[Plan01]:[Plan12]])/valUnits2</f>
        <v>-0.20107800000000001</v>
      </c>
      <c r="AH1075" s="34">
        <f>SUMPRODUCT(DB_ThemeSOFAcct[[#This Row],[Act01]:[Act12]],$Q$3:$AB$3)/valUnits2</f>
        <v>-0.20213</v>
      </c>
    </row>
    <row r="1076" spans="2:34" x14ac:dyDescent="0.2">
      <c r="B1076" t="s">
        <v>350</v>
      </c>
      <c r="C1076" t="s">
        <v>852</v>
      </c>
      <c r="D1076" t="s">
        <v>141</v>
      </c>
      <c r="F1076">
        <v>165.04300000000001</v>
      </c>
      <c r="R1076">
        <v>171.61</v>
      </c>
      <c r="AC1076">
        <f>SUMPRODUCT(DB_ThemeSOFAcct[[#This Row],[Plan01]:[Plan12]],$E$14:$P$14)/valUnits2</f>
        <v>0.165043</v>
      </c>
      <c r="AD1076">
        <f>SUMPRODUCT(DB_ThemeSOFAcct[[#This Row],[Act01]:[Act12]],$Q$14:$AB$14)/valUnits2</f>
        <v>0.17161000000000001</v>
      </c>
      <c r="AE1076">
        <f>DB_ThemeSOFAcct[[#This Row],[Actuals]]-DB_ThemeSOFAcct[[#This Row],[Plan]]</f>
        <v>6.5670000000000173E-3</v>
      </c>
      <c r="AF1076">
        <f>IF(DB_ThemeSOFAcct[[#This Row],[Plan]]&lt;&gt;0,DB_ThemeSOFAcct[[#This Row],[Actuals]]/DB_ThemeSOFAcct[[#This Row],[Plan]],1.000011000011)</f>
        <v>1.0397896305811214</v>
      </c>
      <c r="AG1076" s="34">
        <f>SUM(DB_ThemeSOFAcct[[#This Row],[Plan01]:[Plan12]])/valUnits2</f>
        <v>0.165043</v>
      </c>
      <c r="AH1076" s="34">
        <f>SUMPRODUCT(DB_ThemeSOFAcct[[#This Row],[Act01]:[Act12]],$Q$3:$AB$3)/valUnits2</f>
        <v>0.17161000000000001</v>
      </c>
    </row>
    <row r="1077" spans="2:34" x14ac:dyDescent="0.2">
      <c r="B1077" t="s">
        <v>350</v>
      </c>
      <c r="C1077" t="s">
        <v>853</v>
      </c>
      <c r="D1077" t="s">
        <v>140</v>
      </c>
      <c r="H1077">
        <v>441.58699999999999</v>
      </c>
      <c r="I1077">
        <v>437.142</v>
      </c>
      <c r="J1077">
        <v>0</v>
      </c>
      <c r="T1077">
        <v>434.99</v>
      </c>
      <c r="U1077">
        <v>436.28000000000003</v>
      </c>
      <c r="V1077">
        <v>726.67</v>
      </c>
      <c r="AC1077">
        <f>SUMPRODUCT(DB_ThemeSOFAcct[[#This Row],[Plan01]:[Plan12]],$E$14:$P$14)/valUnits2</f>
        <v>0.87872900000000009</v>
      </c>
      <c r="AD1077">
        <f>SUMPRODUCT(DB_ThemeSOFAcct[[#This Row],[Act01]:[Act12]],$Q$14:$AB$14)/valUnits2</f>
        <v>1.5979400000000001</v>
      </c>
      <c r="AE1077">
        <f>DB_ThemeSOFAcct[[#This Row],[Actuals]]-DB_ThemeSOFAcct[[#This Row],[Plan]]</f>
        <v>0.71921100000000004</v>
      </c>
      <c r="AF1077">
        <f>IF(DB_ThemeSOFAcct[[#This Row],[Plan]]&lt;&gt;0,DB_ThemeSOFAcct[[#This Row],[Actuals]]/DB_ThemeSOFAcct[[#This Row],[Plan]],1.000011000011)</f>
        <v>1.8184673545541343</v>
      </c>
      <c r="AG1077" s="34">
        <f>SUM(DB_ThemeSOFAcct[[#This Row],[Plan01]:[Plan12]])/valUnits2</f>
        <v>0.87872900000000009</v>
      </c>
      <c r="AH1077" s="34">
        <f>SUMPRODUCT(DB_ThemeSOFAcct[[#This Row],[Act01]:[Act12]],$Q$3:$AB$3)/valUnits2</f>
        <v>1.5979400000000001</v>
      </c>
    </row>
    <row r="1078" spans="2:34" x14ac:dyDescent="0.2">
      <c r="B1078" t="s">
        <v>350</v>
      </c>
      <c r="C1078" t="s">
        <v>853</v>
      </c>
      <c r="D1078" t="s">
        <v>141</v>
      </c>
      <c r="J1078">
        <v>0</v>
      </c>
      <c r="V1078">
        <v>0.02</v>
      </c>
      <c r="AC1078">
        <f>SUMPRODUCT(DB_ThemeSOFAcct[[#This Row],[Plan01]:[Plan12]],$E$14:$P$14)/valUnits2</f>
        <v>0</v>
      </c>
      <c r="AD1078">
        <f>SUMPRODUCT(DB_ThemeSOFAcct[[#This Row],[Act01]:[Act12]],$Q$14:$AB$14)/valUnits2</f>
        <v>2.0000000000000002E-5</v>
      </c>
      <c r="AE1078">
        <f>DB_ThemeSOFAcct[[#This Row],[Actuals]]-DB_ThemeSOFAcct[[#This Row],[Plan]]</f>
        <v>2.0000000000000002E-5</v>
      </c>
      <c r="AF1078">
        <f>IF(DB_ThemeSOFAcct[[#This Row],[Plan]]&lt;&gt;0,DB_ThemeSOFAcct[[#This Row],[Actuals]]/DB_ThemeSOFAcct[[#This Row],[Plan]],1.000011000011)</f>
        <v>1.0000110000110001</v>
      </c>
      <c r="AG1078" s="34">
        <f>SUM(DB_ThemeSOFAcct[[#This Row],[Plan01]:[Plan12]])/valUnits2</f>
        <v>0</v>
      </c>
      <c r="AH1078" s="34">
        <f>SUMPRODUCT(DB_ThemeSOFAcct[[#This Row],[Act01]:[Act12]],$Q$3:$AB$3)/valUnits2</f>
        <v>2.0000000000000002E-5</v>
      </c>
    </row>
    <row r="1079" spans="2:34" x14ac:dyDescent="0.2">
      <c r="B1079" t="s">
        <v>350</v>
      </c>
      <c r="C1079" t="s">
        <v>854</v>
      </c>
      <c r="D1079" t="s">
        <v>141</v>
      </c>
      <c r="J1079">
        <v>0</v>
      </c>
      <c r="V1079">
        <v>0.56000000000000005</v>
      </c>
      <c r="AC1079">
        <f>SUMPRODUCT(DB_ThemeSOFAcct[[#This Row],[Plan01]:[Plan12]],$E$14:$P$14)/valUnits2</f>
        <v>0</v>
      </c>
      <c r="AD1079">
        <f>SUMPRODUCT(DB_ThemeSOFAcct[[#This Row],[Act01]:[Act12]],$Q$14:$AB$14)/valUnits2</f>
        <v>5.6000000000000006E-4</v>
      </c>
      <c r="AE1079">
        <f>DB_ThemeSOFAcct[[#This Row],[Actuals]]-DB_ThemeSOFAcct[[#This Row],[Plan]]</f>
        <v>5.6000000000000006E-4</v>
      </c>
      <c r="AF1079">
        <f>IF(DB_ThemeSOFAcct[[#This Row],[Plan]]&lt;&gt;0,DB_ThemeSOFAcct[[#This Row],[Actuals]]/DB_ThemeSOFAcct[[#This Row],[Plan]],1.000011000011)</f>
        <v>1.0000110000110001</v>
      </c>
      <c r="AG1079" s="34">
        <f>SUM(DB_ThemeSOFAcct[[#This Row],[Plan01]:[Plan12]])/valUnits2</f>
        <v>0</v>
      </c>
      <c r="AH1079" s="34">
        <f>SUMPRODUCT(DB_ThemeSOFAcct[[#This Row],[Act01]:[Act12]],$Q$3:$AB$3)/valUnits2</f>
        <v>5.6000000000000006E-4</v>
      </c>
    </row>
    <row r="1080" spans="2:34" x14ac:dyDescent="0.2">
      <c r="B1080" t="s">
        <v>350</v>
      </c>
      <c r="C1080" t="s">
        <v>855</v>
      </c>
      <c r="D1080" t="s">
        <v>235</v>
      </c>
      <c r="J1080">
        <v>0</v>
      </c>
      <c r="V1080">
        <v>0</v>
      </c>
      <c r="AC1080">
        <f>SUMPRODUCT(DB_ThemeSOFAcct[[#This Row],[Plan01]:[Plan12]],$E$14:$P$14)/valUnits2</f>
        <v>0</v>
      </c>
      <c r="AD1080">
        <f>SUMPRODUCT(DB_ThemeSOFAcct[[#This Row],[Act01]:[Act12]],$Q$14:$AB$14)/valUnits2</f>
        <v>0</v>
      </c>
      <c r="AE1080">
        <f>DB_ThemeSOFAcct[[#This Row],[Actuals]]-DB_ThemeSOFAcct[[#This Row],[Plan]]</f>
        <v>0</v>
      </c>
      <c r="AF1080">
        <f>IF(DB_ThemeSOFAcct[[#This Row],[Plan]]&lt;&gt;0,DB_ThemeSOFAcct[[#This Row],[Actuals]]/DB_ThemeSOFAcct[[#This Row],[Plan]],1.000011000011)</f>
        <v>1.0000110000110001</v>
      </c>
      <c r="AG1080" s="34">
        <f>SUM(DB_ThemeSOFAcct[[#This Row],[Plan01]:[Plan12]])/valUnits2</f>
        <v>0</v>
      </c>
      <c r="AH1080" s="34">
        <f>SUMPRODUCT(DB_ThemeSOFAcct[[#This Row],[Act01]:[Act12]],$Q$3:$AB$3)/valUnits2</f>
        <v>0</v>
      </c>
    </row>
    <row r="1081" spans="2:34" x14ac:dyDescent="0.2">
      <c r="B1081" t="s">
        <v>350</v>
      </c>
      <c r="C1081" t="s">
        <v>855</v>
      </c>
      <c r="D1081" t="s">
        <v>140</v>
      </c>
      <c r="J1081">
        <v>0</v>
      </c>
      <c r="V1081">
        <v>0</v>
      </c>
      <c r="AC1081">
        <f>SUMPRODUCT(DB_ThemeSOFAcct[[#This Row],[Plan01]:[Plan12]],$E$14:$P$14)/valUnits2</f>
        <v>0</v>
      </c>
      <c r="AD1081">
        <f>SUMPRODUCT(DB_ThemeSOFAcct[[#This Row],[Act01]:[Act12]],$Q$14:$AB$14)/valUnits2</f>
        <v>0</v>
      </c>
      <c r="AE1081">
        <f>DB_ThemeSOFAcct[[#This Row],[Actuals]]-DB_ThemeSOFAcct[[#This Row],[Plan]]</f>
        <v>0</v>
      </c>
      <c r="AF1081">
        <f>IF(DB_ThemeSOFAcct[[#This Row],[Plan]]&lt;&gt;0,DB_ThemeSOFAcct[[#This Row],[Actuals]]/DB_ThemeSOFAcct[[#This Row],[Plan]],1.000011000011)</f>
        <v>1.0000110000110001</v>
      </c>
      <c r="AG1081" s="34">
        <f>SUM(DB_ThemeSOFAcct[[#This Row],[Plan01]:[Plan12]])/valUnits2</f>
        <v>0</v>
      </c>
      <c r="AH1081" s="34">
        <f>SUMPRODUCT(DB_ThemeSOFAcct[[#This Row],[Act01]:[Act12]],$Q$3:$AB$3)/valUnits2</f>
        <v>0</v>
      </c>
    </row>
    <row r="1082" spans="2:34" x14ac:dyDescent="0.2">
      <c r="B1082" t="s">
        <v>350</v>
      </c>
      <c r="C1082" t="s">
        <v>855</v>
      </c>
      <c r="D1082" t="s">
        <v>237</v>
      </c>
      <c r="J1082">
        <v>0</v>
      </c>
      <c r="V1082">
        <v>0</v>
      </c>
      <c r="AC1082">
        <f>SUMPRODUCT(DB_ThemeSOFAcct[[#This Row],[Plan01]:[Plan12]],$E$14:$P$14)/valUnits2</f>
        <v>0</v>
      </c>
      <c r="AD1082">
        <f>SUMPRODUCT(DB_ThemeSOFAcct[[#This Row],[Act01]:[Act12]],$Q$14:$AB$14)/valUnits2</f>
        <v>0</v>
      </c>
      <c r="AE1082">
        <f>DB_ThemeSOFAcct[[#This Row],[Actuals]]-DB_ThemeSOFAcct[[#This Row],[Plan]]</f>
        <v>0</v>
      </c>
      <c r="AF1082">
        <f>IF(DB_ThemeSOFAcct[[#This Row],[Plan]]&lt;&gt;0,DB_ThemeSOFAcct[[#This Row],[Actuals]]/DB_ThemeSOFAcct[[#This Row],[Plan]],1.000011000011)</f>
        <v>1.0000110000110001</v>
      </c>
      <c r="AG1082" s="34">
        <f>SUM(DB_ThemeSOFAcct[[#This Row],[Plan01]:[Plan12]])/valUnits2</f>
        <v>0</v>
      </c>
      <c r="AH1082" s="34">
        <f>SUMPRODUCT(DB_ThemeSOFAcct[[#This Row],[Act01]:[Act12]],$Q$3:$AB$3)/valUnits2</f>
        <v>0</v>
      </c>
    </row>
    <row r="1083" spans="2:34" x14ac:dyDescent="0.2">
      <c r="B1083" t="s">
        <v>350</v>
      </c>
      <c r="C1083" t="s">
        <v>855</v>
      </c>
      <c r="D1083" t="s">
        <v>141</v>
      </c>
      <c r="J1083">
        <v>0</v>
      </c>
      <c r="V1083">
        <v>1.4499999999999715</v>
      </c>
      <c r="AC1083">
        <f>SUMPRODUCT(DB_ThemeSOFAcct[[#This Row],[Plan01]:[Plan12]],$E$14:$P$14)/valUnits2</f>
        <v>0</v>
      </c>
      <c r="AD1083">
        <f>SUMPRODUCT(DB_ThemeSOFAcct[[#This Row],[Act01]:[Act12]],$Q$14:$AB$14)/valUnits2</f>
        <v>1.4499999999999715E-3</v>
      </c>
      <c r="AE1083">
        <f>DB_ThemeSOFAcct[[#This Row],[Actuals]]-DB_ThemeSOFAcct[[#This Row],[Plan]]</f>
        <v>1.4499999999999715E-3</v>
      </c>
      <c r="AF1083">
        <f>IF(DB_ThemeSOFAcct[[#This Row],[Plan]]&lt;&gt;0,DB_ThemeSOFAcct[[#This Row],[Actuals]]/DB_ThemeSOFAcct[[#This Row],[Plan]],1.000011000011)</f>
        <v>1.0000110000110001</v>
      </c>
      <c r="AG1083" s="34">
        <f>SUM(DB_ThemeSOFAcct[[#This Row],[Plan01]:[Plan12]])/valUnits2</f>
        <v>0</v>
      </c>
      <c r="AH1083" s="34">
        <f>SUMPRODUCT(DB_ThemeSOFAcct[[#This Row],[Act01]:[Act12]],$Q$3:$AB$3)/valUnits2</f>
        <v>1.4499999999999715E-3</v>
      </c>
    </row>
    <row r="1084" spans="2:34" x14ac:dyDescent="0.2">
      <c r="B1084" t="s">
        <v>350</v>
      </c>
      <c r="C1084" t="s">
        <v>367</v>
      </c>
      <c r="D1084" t="s">
        <v>140</v>
      </c>
      <c r="F1084">
        <v>1844.6279999999999</v>
      </c>
      <c r="G1084">
        <v>2216.7730000000001</v>
      </c>
      <c r="R1084">
        <v>1883.31</v>
      </c>
      <c r="S1084">
        <v>2236.8399999999997</v>
      </c>
      <c r="AC1084">
        <f>SUMPRODUCT(DB_ThemeSOFAcct[[#This Row],[Plan01]:[Plan12]],$E$14:$P$14)/valUnits2</f>
        <v>4.061401</v>
      </c>
      <c r="AD1084">
        <f>SUMPRODUCT(DB_ThemeSOFAcct[[#This Row],[Act01]:[Act12]],$Q$14:$AB$14)/valUnits2</f>
        <v>4.1201499999999998</v>
      </c>
      <c r="AE1084">
        <f>DB_ThemeSOFAcct[[#This Row],[Actuals]]-DB_ThemeSOFAcct[[#This Row],[Plan]]</f>
        <v>5.8748999999999718E-2</v>
      </c>
      <c r="AF1084">
        <f>IF(DB_ThemeSOFAcct[[#This Row],[Plan]]&lt;&gt;0,DB_ThemeSOFAcct[[#This Row],[Actuals]]/DB_ThemeSOFAcct[[#This Row],[Plan]],1.000011000011)</f>
        <v>1.0144652054795869</v>
      </c>
      <c r="AG1084" s="34">
        <f>SUM(DB_ThemeSOFAcct[[#This Row],[Plan01]:[Plan12]])/valUnits2</f>
        <v>4.061401</v>
      </c>
      <c r="AH1084" s="34">
        <f>SUMPRODUCT(DB_ThemeSOFAcct[[#This Row],[Act01]:[Act12]],$Q$3:$AB$3)/valUnits2</f>
        <v>4.1201499999999998</v>
      </c>
    </row>
    <row r="1085" spans="2:34" x14ac:dyDescent="0.2">
      <c r="B1085" t="s">
        <v>350</v>
      </c>
      <c r="C1085" t="s">
        <v>367</v>
      </c>
      <c r="D1085" t="s">
        <v>141</v>
      </c>
      <c r="E1085">
        <v>0</v>
      </c>
      <c r="H1085">
        <v>0</v>
      </c>
      <c r="I1085">
        <v>152.49199999999999</v>
      </c>
      <c r="J1085">
        <v>0</v>
      </c>
      <c r="K1085">
        <v>0</v>
      </c>
      <c r="N1085">
        <v>0</v>
      </c>
      <c r="Q1085">
        <v>0</v>
      </c>
      <c r="T1085">
        <v>0</v>
      </c>
      <c r="U1085">
        <v>153.27000000000001</v>
      </c>
      <c r="V1085">
        <v>0.69</v>
      </c>
      <c r="W1085">
        <v>0</v>
      </c>
      <c r="Z1085">
        <v>0</v>
      </c>
      <c r="AC1085">
        <f>SUMPRODUCT(DB_ThemeSOFAcct[[#This Row],[Plan01]:[Plan12]],$E$14:$P$14)/valUnits2</f>
        <v>0.15249199999999999</v>
      </c>
      <c r="AD1085">
        <f>SUMPRODUCT(DB_ThemeSOFAcct[[#This Row],[Act01]:[Act12]],$Q$14:$AB$14)/valUnits2</f>
        <v>0.15396000000000001</v>
      </c>
      <c r="AE1085">
        <f>DB_ThemeSOFAcct[[#This Row],[Actuals]]-DB_ThemeSOFAcct[[#This Row],[Plan]]</f>
        <v>1.4680000000000248E-3</v>
      </c>
      <c r="AF1085">
        <f>IF(DB_ThemeSOFAcct[[#This Row],[Plan]]&lt;&gt;0,DB_ThemeSOFAcct[[#This Row],[Actuals]]/DB_ThemeSOFAcct[[#This Row],[Plan]],1.000011000011)</f>
        <v>1.0096267345172207</v>
      </c>
      <c r="AG1085" s="34">
        <f>SUM(DB_ThemeSOFAcct[[#This Row],[Plan01]:[Plan12]])/valUnits2</f>
        <v>0.15249199999999999</v>
      </c>
      <c r="AH1085" s="34">
        <f>SUMPRODUCT(DB_ThemeSOFAcct[[#This Row],[Act01]:[Act12]],$Q$3:$AB$3)/valUnits2</f>
        <v>0.15396000000000001</v>
      </c>
    </row>
    <row r="1086" spans="2:34" x14ac:dyDescent="0.2">
      <c r="B1086" t="s">
        <v>350</v>
      </c>
      <c r="C1086" t="s">
        <v>856</v>
      </c>
      <c r="D1086" t="s">
        <v>143</v>
      </c>
      <c r="E1086">
        <v>1395.9569999999999</v>
      </c>
      <c r="G1086">
        <v>1289.9670000000001</v>
      </c>
      <c r="H1086">
        <v>1540.914</v>
      </c>
      <c r="I1086">
        <v>1797.19</v>
      </c>
      <c r="Q1086">
        <v>1319.78</v>
      </c>
      <c r="S1086">
        <v>1239.6999999999998</v>
      </c>
      <c r="T1086">
        <v>1495.1100000000001</v>
      </c>
      <c r="U1086">
        <v>1742.1699999999998</v>
      </c>
      <c r="AC1086">
        <f>SUMPRODUCT(DB_ThemeSOFAcct[[#This Row],[Plan01]:[Plan12]],$E$14:$P$14)/valUnits2</f>
        <v>6.0240280000000004</v>
      </c>
      <c r="AD1086">
        <f>SUMPRODUCT(DB_ThemeSOFAcct[[#This Row],[Act01]:[Act12]],$Q$14:$AB$14)/valUnits2</f>
        <v>5.796759999999999</v>
      </c>
      <c r="AE1086">
        <f>DB_ThemeSOFAcct[[#This Row],[Actuals]]-DB_ThemeSOFAcct[[#This Row],[Plan]]</f>
        <v>-0.22726800000000136</v>
      </c>
      <c r="AF1086">
        <f>IF(DB_ThemeSOFAcct[[#This Row],[Plan]]&lt;&gt;0,DB_ThemeSOFAcct[[#This Row],[Actuals]]/DB_ThemeSOFAcct[[#This Row],[Plan]],1.000011000011)</f>
        <v>0.96227308372404619</v>
      </c>
      <c r="AG1086" s="34">
        <f>SUM(DB_ThemeSOFAcct[[#This Row],[Plan01]:[Plan12]])/valUnits2</f>
        <v>6.0240280000000004</v>
      </c>
      <c r="AH1086" s="34">
        <f>SUMPRODUCT(DB_ThemeSOFAcct[[#This Row],[Act01]:[Act12]],$Q$3:$AB$3)/valUnits2</f>
        <v>5.796759999999999</v>
      </c>
    </row>
    <row r="1087" spans="2:34" x14ac:dyDescent="0.2">
      <c r="B1087" t="s">
        <v>350</v>
      </c>
      <c r="C1087" t="s">
        <v>856</v>
      </c>
      <c r="D1087" t="s">
        <v>235</v>
      </c>
      <c r="E1087">
        <v>1913.0809999999999</v>
      </c>
      <c r="F1087">
        <v>2592.71</v>
      </c>
      <c r="G1087">
        <v>986.83899999999994</v>
      </c>
      <c r="H1087">
        <v>9706.348</v>
      </c>
      <c r="I1087">
        <v>113.386</v>
      </c>
      <c r="J1087">
        <v>0</v>
      </c>
      <c r="Q1087">
        <v>1808.78</v>
      </c>
      <c r="R1087">
        <v>2484.8799999999997</v>
      </c>
      <c r="S1087">
        <v>947.79</v>
      </c>
      <c r="T1087">
        <v>9411.5</v>
      </c>
      <c r="U1087">
        <v>110.39</v>
      </c>
      <c r="V1087">
        <v>141.94</v>
      </c>
      <c r="AC1087">
        <f>SUMPRODUCT(DB_ThemeSOFAcct[[#This Row],[Plan01]:[Plan12]],$E$14:$P$14)/valUnits2</f>
        <v>15.312363999999999</v>
      </c>
      <c r="AD1087">
        <f>SUMPRODUCT(DB_ThemeSOFAcct[[#This Row],[Act01]:[Act12]],$Q$14:$AB$14)/valUnits2</f>
        <v>14.905280000000001</v>
      </c>
      <c r="AE1087">
        <f>DB_ThemeSOFAcct[[#This Row],[Actuals]]-DB_ThemeSOFAcct[[#This Row],[Plan]]</f>
        <v>-0.40708399999999756</v>
      </c>
      <c r="AF1087">
        <f>IF(DB_ThemeSOFAcct[[#This Row],[Plan]]&lt;&gt;0,DB_ThemeSOFAcct[[#This Row],[Actuals]]/DB_ThemeSOFAcct[[#This Row],[Plan]],1.000011000011)</f>
        <v>0.97341468632798978</v>
      </c>
      <c r="AG1087" s="34">
        <f>SUM(DB_ThemeSOFAcct[[#This Row],[Plan01]:[Plan12]])/valUnits2</f>
        <v>15.312363999999999</v>
      </c>
      <c r="AH1087" s="34">
        <f>SUMPRODUCT(DB_ThemeSOFAcct[[#This Row],[Act01]:[Act12]],$Q$3:$AB$3)/valUnits2</f>
        <v>14.905280000000001</v>
      </c>
    </row>
    <row r="1088" spans="2:34" x14ac:dyDescent="0.2">
      <c r="B1088" t="s">
        <v>350</v>
      </c>
      <c r="C1088" t="s">
        <v>856</v>
      </c>
      <c r="D1088" t="s">
        <v>140</v>
      </c>
      <c r="E1088">
        <v>0</v>
      </c>
      <c r="F1088">
        <v>695.4</v>
      </c>
      <c r="G1088">
        <v>347.7</v>
      </c>
      <c r="H1088">
        <v>711.67199999999991</v>
      </c>
      <c r="I1088">
        <v>369.59699999999998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695.4</v>
      </c>
      <c r="S1088">
        <v>347.7</v>
      </c>
      <c r="T1088">
        <v>701.27</v>
      </c>
      <c r="U1088">
        <v>369.38</v>
      </c>
      <c r="V1088">
        <v>675.8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f>SUMPRODUCT(DB_ThemeSOFAcct[[#This Row],[Plan01]:[Plan12]],$E$14:$P$14)/valUnits2</f>
        <v>2.1243689999999997</v>
      </c>
      <c r="AD1088">
        <f>SUMPRODUCT(DB_ThemeSOFAcct[[#This Row],[Act01]:[Act12]],$Q$14:$AB$14)/valUnits2</f>
        <v>2.7895500000000002</v>
      </c>
      <c r="AE1088">
        <f>DB_ThemeSOFAcct[[#This Row],[Actuals]]-DB_ThemeSOFAcct[[#This Row],[Plan]]</f>
        <v>0.66518100000000047</v>
      </c>
      <c r="AF1088">
        <f>IF(DB_ThemeSOFAcct[[#This Row],[Plan]]&lt;&gt;0,DB_ThemeSOFAcct[[#This Row],[Actuals]]/DB_ThemeSOFAcct[[#This Row],[Plan]],1.000011000011)</f>
        <v>1.3131193309636888</v>
      </c>
      <c r="AG1088" s="34">
        <f>SUM(DB_ThemeSOFAcct[[#This Row],[Plan01]:[Plan12]])/valUnits2</f>
        <v>2.1243689999999997</v>
      </c>
      <c r="AH1088" s="34">
        <f>SUMPRODUCT(DB_ThemeSOFAcct[[#This Row],[Act01]:[Act12]],$Q$3:$AB$3)/valUnits2</f>
        <v>2.7895500000000002</v>
      </c>
    </row>
    <row r="1089" spans="2:34" x14ac:dyDescent="0.2">
      <c r="B1089" t="s">
        <v>350</v>
      </c>
      <c r="C1089" t="s">
        <v>856</v>
      </c>
      <c r="D1089" t="s">
        <v>237</v>
      </c>
      <c r="F1089">
        <v>46.945</v>
      </c>
      <c r="R1089">
        <v>45.03</v>
      </c>
      <c r="AC1089">
        <f>SUMPRODUCT(DB_ThemeSOFAcct[[#This Row],[Plan01]:[Plan12]],$E$14:$P$14)/valUnits2</f>
        <v>4.6945000000000001E-2</v>
      </c>
      <c r="AD1089">
        <f>SUMPRODUCT(DB_ThemeSOFAcct[[#This Row],[Act01]:[Act12]],$Q$14:$AB$14)/valUnits2</f>
        <v>4.5030000000000001E-2</v>
      </c>
      <c r="AE1089">
        <f>DB_ThemeSOFAcct[[#This Row],[Actuals]]-DB_ThemeSOFAcct[[#This Row],[Plan]]</f>
        <v>-1.915E-3</v>
      </c>
      <c r="AF1089">
        <f>IF(DB_ThemeSOFAcct[[#This Row],[Plan]]&lt;&gt;0,DB_ThemeSOFAcct[[#This Row],[Actuals]]/DB_ThemeSOFAcct[[#This Row],[Plan]],1.000011000011)</f>
        <v>0.95920758334220901</v>
      </c>
      <c r="AG1089" s="34">
        <f>SUM(DB_ThemeSOFAcct[[#This Row],[Plan01]:[Plan12]])/valUnits2</f>
        <v>4.6945000000000001E-2</v>
      </c>
      <c r="AH1089" s="34">
        <f>SUMPRODUCT(DB_ThemeSOFAcct[[#This Row],[Act01]:[Act12]],$Q$3:$AB$3)/valUnits2</f>
        <v>4.5030000000000001E-2</v>
      </c>
    </row>
    <row r="1090" spans="2:34" x14ac:dyDescent="0.2">
      <c r="B1090" t="s">
        <v>350</v>
      </c>
      <c r="C1090" t="s">
        <v>856</v>
      </c>
      <c r="D1090" t="s">
        <v>141</v>
      </c>
      <c r="E1090">
        <v>2.85</v>
      </c>
      <c r="F1090">
        <v>21.073</v>
      </c>
      <c r="G1090">
        <v>4.6260000000000003</v>
      </c>
      <c r="H1090">
        <v>57.654000000000003</v>
      </c>
      <c r="J1090">
        <v>0</v>
      </c>
      <c r="Q1090">
        <v>2.69</v>
      </c>
      <c r="R1090">
        <v>20.149999999999999</v>
      </c>
      <c r="S1090">
        <v>4.45</v>
      </c>
      <c r="T1090">
        <v>55.769999999999996</v>
      </c>
      <c r="V1090">
        <v>17.920000000000002</v>
      </c>
      <c r="AC1090">
        <f>SUMPRODUCT(DB_ThemeSOFAcct[[#This Row],[Plan01]:[Plan12]],$E$14:$P$14)/valUnits2</f>
        <v>8.6203000000000002E-2</v>
      </c>
      <c r="AD1090">
        <f>SUMPRODUCT(DB_ThemeSOFAcct[[#This Row],[Act01]:[Act12]],$Q$14:$AB$14)/valUnits2</f>
        <v>0.10098</v>
      </c>
      <c r="AE1090">
        <f>DB_ThemeSOFAcct[[#This Row],[Actuals]]-DB_ThemeSOFAcct[[#This Row],[Plan]]</f>
        <v>1.4776999999999998E-2</v>
      </c>
      <c r="AF1090">
        <f>IF(DB_ThemeSOFAcct[[#This Row],[Plan]]&lt;&gt;0,DB_ThemeSOFAcct[[#This Row],[Actuals]]/DB_ThemeSOFAcct[[#This Row],[Plan]],1.000011000011)</f>
        <v>1.1714209482268598</v>
      </c>
      <c r="AG1090" s="34">
        <f>SUM(DB_ThemeSOFAcct[[#This Row],[Plan01]:[Plan12]])/valUnits2</f>
        <v>8.6203000000000002E-2</v>
      </c>
      <c r="AH1090" s="34">
        <f>SUMPRODUCT(DB_ThemeSOFAcct[[#This Row],[Act01]:[Act12]],$Q$3:$AB$3)/valUnits2</f>
        <v>0.10098</v>
      </c>
    </row>
    <row r="1091" spans="2:34" x14ac:dyDescent="0.2">
      <c r="B1091" t="s">
        <v>350</v>
      </c>
      <c r="C1091" t="s">
        <v>857</v>
      </c>
      <c r="D1091" t="s">
        <v>140</v>
      </c>
      <c r="F1091">
        <v>5789.56</v>
      </c>
      <c r="I1091">
        <v>-5789.56</v>
      </c>
      <c r="R1091">
        <v>5789.56</v>
      </c>
      <c r="U1091">
        <v>-5789.56</v>
      </c>
      <c r="AC1091">
        <f>SUMPRODUCT(DB_ThemeSOFAcct[[#This Row],[Plan01]:[Plan12]],$E$14:$P$14)/valUnits2</f>
        <v>0</v>
      </c>
      <c r="AD1091">
        <f>SUMPRODUCT(DB_ThemeSOFAcct[[#This Row],[Act01]:[Act12]],$Q$14:$AB$14)/valUnits2</f>
        <v>0</v>
      </c>
      <c r="AE1091">
        <f>DB_ThemeSOFAcct[[#This Row],[Actuals]]-DB_ThemeSOFAcct[[#This Row],[Plan]]</f>
        <v>0</v>
      </c>
      <c r="AF1091">
        <f>IF(DB_ThemeSOFAcct[[#This Row],[Plan]]&lt;&gt;0,DB_ThemeSOFAcct[[#This Row],[Actuals]]/DB_ThemeSOFAcct[[#This Row],[Plan]],1.000011000011)</f>
        <v>1.0000110000110001</v>
      </c>
      <c r="AG1091" s="34">
        <f>SUM(DB_ThemeSOFAcct[[#This Row],[Plan01]:[Plan12]])/valUnits2</f>
        <v>0</v>
      </c>
      <c r="AH1091" s="34">
        <f>SUMPRODUCT(DB_ThemeSOFAcct[[#This Row],[Act01]:[Act12]],$Q$3:$AB$3)/valUnits2</f>
        <v>0</v>
      </c>
    </row>
    <row r="1092" spans="2:34" x14ac:dyDescent="0.2">
      <c r="B1092" t="s">
        <v>350</v>
      </c>
      <c r="C1092" t="s">
        <v>857</v>
      </c>
      <c r="D1092" t="s">
        <v>141</v>
      </c>
      <c r="E1092">
        <v>0</v>
      </c>
      <c r="G1092">
        <v>582</v>
      </c>
      <c r="I1092">
        <v>-1164</v>
      </c>
      <c r="Q1092">
        <v>0</v>
      </c>
      <c r="S1092">
        <v>582</v>
      </c>
      <c r="U1092">
        <v>-1164</v>
      </c>
      <c r="AC1092">
        <f>SUMPRODUCT(DB_ThemeSOFAcct[[#This Row],[Plan01]:[Plan12]],$E$14:$P$14)/valUnits2</f>
        <v>-0.58199999999999996</v>
      </c>
      <c r="AD1092">
        <f>SUMPRODUCT(DB_ThemeSOFAcct[[#This Row],[Act01]:[Act12]],$Q$14:$AB$14)/valUnits2</f>
        <v>-0.58199999999999996</v>
      </c>
      <c r="AE1092">
        <f>DB_ThemeSOFAcct[[#This Row],[Actuals]]-DB_ThemeSOFAcct[[#This Row],[Plan]]</f>
        <v>0</v>
      </c>
      <c r="AF1092">
        <f>IF(DB_ThemeSOFAcct[[#This Row],[Plan]]&lt;&gt;0,DB_ThemeSOFAcct[[#This Row],[Actuals]]/DB_ThemeSOFAcct[[#This Row],[Plan]],1.000011000011)</f>
        <v>1</v>
      </c>
      <c r="AG1092" s="34">
        <f>SUM(DB_ThemeSOFAcct[[#This Row],[Plan01]:[Plan12]])/valUnits2</f>
        <v>-0.58199999999999996</v>
      </c>
      <c r="AH1092" s="34">
        <f>SUMPRODUCT(DB_ThemeSOFAcct[[#This Row],[Act01]:[Act12]],$Q$3:$AB$3)/valUnits2</f>
        <v>-0.58199999999999996</v>
      </c>
    </row>
    <row r="1093" spans="2:34" x14ac:dyDescent="0.2">
      <c r="B1093" t="s">
        <v>350</v>
      </c>
      <c r="C1093" t="s">
        <v>858</v>
      </c>
      <c r="D1093" t="s">
        <v>235</v>
      </c>
      <c r="I1093">
        <v>142.57</v>
      </c>
      <c r="J1093">
        <v>0</v>
      </c>
      <c r="U1093">
        <v>142.57</v>
      </c>
      <c r="V1093">
        <v>-49.52</v>
      </c>
      <c r="AC1093">
        <f>SUMPRODUCT(DB_ThemeSOFAcct[[#This Row],[Plan01]:[Plan12]],$E$14:$P$14)/valUnits2</f>
        <v>0.14257</v>
      </c>
      <c r="AD1093">
        <f>SUMPRODUCT(DB_ThemeSOFAcct[[#This Row],[Act01]:[Act12]],$Q$14:$AB$14)/valUnits2</f>
        <v>9.304999999999998E-2</v>
      </c>
      <c r="AE1093">
        <f>DB_ThemeSOFAcct[[#This Row],[Actuals]]-DB_ThemeSOFAcct[[#This Row],[Plan]]</f>
        <v>-4.9520000000000022E-2</v>
      </c>
      <c r="AF1093">
        <f>IF(DB_ThemeSOFAcct[[#This Row],[Plan]]&lt;&gt;0,DB_ThemeSOFAcct[[#This Row],[Actuals]]/DB_ThemeSOFAcct[[#This Row],[Plan]],1.000011000011)</f>
        <v>0.65266185031914137</v>
      </c>
      <c r="AG1093" s="34">
        <f>SUM(DB_ThemeSOFAcct[[#This Row],[Plan01]:[Plan12]])/valUnits2</f>
        <v>0.14257</v>
      </c>
      <c r="AH1093" s="34">
        <f>SUMPRODUCT(DB_ThemeSOFAcct[[#This Row],[Act01]:[Act12]],$Q$3:$AB$3)/valUnits2</f>
        <v>9.304999999999998E-2</v>
      </c>
    </row>
    <row r="1094" spans="2:34" x14ac:dyDescent="0.2">
      <c r="B1094" t="s">
        <v>350</v>
      </c>
      <c r="C1094" t="s">
        <v>858</v>
      </c>
      <c r="D1094" t="s">
        <v>140</v>
      </c>
      <c r="F1094">
        <v>4432.4799999999996</v>
      </c>
      <c r="G1094">
        <v>2491.3099999999995</v>
      </c>
      <c r="H1094">
        <v>3542.5700000000006</v>
      </c>
      <c r="I1094">
        <v>2603.4300000000003</v>
      </c>
      <c r="J1094">
        <v>0</v>
      </c>
      <c r="R1094">
        <v>4432.4799999999996</v>
      </c>
      <c r="S1094">
        <v>2491.3099999999995</v>
      </c>
      <c r="T1094">
        <v>3542.5700000000006</v>
      </c>
      <c r="U1094">
        <v>2603.4300000000003</v>
      </c>
      <c r="V1094">
        <v>4441.72</v>
      </c>
      <c r="AC1094">
        <f>SUMPRODUCT(DB_ThemeSOFAcct[[#This Row],[Plan01]:[Plan12]],$E$14:$P$14)/valUnits2</f>
        <v>13.069790000000001</v>
      </c>
      <c r="AD1094">
        <f>SUMPRODUCT(DB_ThemeSOFAcct[[#This Row],[Act01]:[Act12]],$Q$14:$AB$14)/valUnits2</f>
        <v>17.511510000000001</v>
      </c>
      <c r="AE1094">
        <f>DB_ThemeSOFAcct[[#This Row],[Actuals]]-DB_ThemeSOFAcct[[#This Row],[Plan]]</f>
        <v>4.4417200000000001</v>
      </c>
      <c r="AF1094">
        <f>IF(DB_ThemeSOFAcct[[#This Row],[Plan]]&lt;&gt;0,DB_ThemeSOFAcct[[#This Row],[Actuals]]/DB_ThemeSOFAcct[[#This Row],[Plan]],1.000011000011)</f>
        <v>1.3398463173471036</v>
      </c>
      <c r="AG1094" s="34">
        <f>SUM(DB_ThemeSOFAcct[[#This Row],[Plan01]:[Plan12]])/valUnits2</f>
        <v>13.069790000000001</v>
      </c>
      <c r="AH1094" s="34">
        <f>SUMPRODUCT(DB_ThemeSOFAcct[[#This Row],[Act01]:[Act12]],$Q$3:$AB$3)/valUnits2</f>
        <v>17.511510000000001</v>
      </c>
    </row>
    <row r="1095" spans="2:34" x14ac:dyDescent="0.2">
      <c r="B1095" t="s">
        <v>350</v>
      </c>
      <c r="C1095" t="s">
        <v>858</v>
      </c>
      <c r="D1095" t="s">
        <v>236</v>
      </c>
      <c r="H1095">
        <v>38.980000000000004</v>
      </c>
      <c r="I1095">
        <v>11.61</v>
      </c>
      <c r="J1095">
        <v>0</v>
      </c>
      <c r="T1095">
        <v>38.980000000000004</v>
      </c>
      <c r="U1095">
        <v>11.61</v>
      </c>
      <c r="V1095">
        <v>1.6699999999999979</v>
      </c>
      <c r="AC1095">
        <f>SUMPRODUCT(DB_ThemeSOFAcct[[#This Row],[Plan01]:[Plan12]],$E$14:$P$14)/valUnits2</f>
        <v>5.0590000000000003E-2</v>
      </c>
      <c r="AD1095">
        <f>SUMPRODUCT(DB_ThemeSOFAcct[[#This Row],[Act01]:[Act12]],$Q$14:$AB$14)/valUnits2</f>
        <v>5.2260000000000001E-2</v>
      </c>
      <c r="AE1095">
        <f>DB_ThemeSOFAcct[[#This Row],[Actuals]]-DB_ThemeSOFAcct[[#This Row],[Plan]]</f>
        <v>1.6699999999999979E-3</v>
      </c>
      <c r="AF1095">
        <f>IF(DB_ThemeSOFAcct[[#This Row],[Plan]]&lt;&gt;0,DB_ThemeSOFAcct[[#This Row],[Actuals]]/DB_ThemeSOFAcct[[#This Row],[Plan]],1.000011000011)</f>
        <v>1.0330104763787309</v>
      </c>
      <c r="AG1095" s="34">
        <f>SUM(DB_ThemeSOFAcct[[#This Row],[Plan01]:[Plan12]])/valUnits2</f>
        <v>5.0590000000000003E-2</v>
      </c>
      <c r="AH1095" s="34">
        <f>SUMPRODUCT(DB_ThemeSOFAcct[[#This Row],[Act01]:[Act12]],$Q$3:$AB$3)/valUnits2</f>
        <v>5.2260000000000001E-2</v>
      </c>
    </row>
    <row r="1096" spans="2:34" x14ac:dyDescent="0.2">
      <c r="B1096" t="s">
        <v>350</v>
      </c>
      <c r="C1096" t="s">
        <v>858</v>
      </c>
      <c r="D1096" t="s">
        <v>237</v>
      </c>
      <c r="F1096">
        <v>78.819999999999993</v>
      </c>
      <c r="R1096">
        <v>78.819999999999993</v>
      </c>
      <c r="AC1096">
        <f>SUMPRODUCT(DB_ThemeSOFAcct[[#This Row],[Plan01]:[Plan12]],$E$14:$P$14)/valUnits2</f>
        <v>7.8819999999999987E-2</v>
      </c>
      <c r="AD1096">
        <f>SUMPRODUCT(DB_ThemeSOFAcct[[#This Row],[Act01]:[Act12]],$Q$14:$AB$14)/valUnits2</f>
        <v>7.8819999999999987E-2</v>
      </c>
      <c r="AE1096">
        <f>DB_ThemeSOFAcct[[#This Row],[Actuals]]-DB_ThemeSOFAcct[[#This Row],[Plan]]</f>
        <v>0</v>
      </c>
      <c r="AF1096">
        <f>IF(DB_ThemeSOFAcct[[#This Row],[Plan]]&lt;&gt;0,DB_ThemeSOFAcct[[#This Row],[Actuals]]/DB_ThemeSOFAcct[[#This Row],[Plan]],1.000011000011)</f>
        <v>1</v>
      </c>
      <c r="AG1096" s="34">
        <f>SUM(DB_ThemeSOFAcct[[#This Row],[Plan01]:[Plan12]])/valUnits2</f>
        <v>7.8819999999999987E-2</v>
      </c>
      <c r="AH1096" s="34">
        <f>SUMPRODUCT(DB_ThemeSOFAcct[[#This Row],[Act01]:[Act12]],$Q$3:$AB$3)/valUnits2</f>
        <v>7.8819999999999987E-2</v>
      </c>
    </row>
    <row r="1097" spans="2:34" x14ac:dyDescent="0.2">
      <c r="B1097" t="s">
        <v>350</v>
      </c>
      <c r="C1097" t="s">
        <v>858</v>
      </c>
      <c r="D1097" t="s">
        <v>141</v>
      </c>
      <c r="F1097">
        <v>223.34</v>
      </c>
      <c r="G1097">
        <v>22.6</v>
      </c>
      <c r="H1097">
        <v>1002.88</v>
      </c>
      <c r="I1097">
        <v>527.71</v>
      </c>
      <c r="J1097">
        <v>0</v>
      </c>
      <c r="R1097">
        <v>223.34</v>
      </c>
      <c r="S1097">
        <v>22.6</v>
      </c>
      <c r="T1097">
        <v>1003.02</v>
      </c>
      <c r="U1097">
        <v>527.71000000000015</v>
      </c>
      <c r="V1097">
        <v>-298.25</v>
      </c>
      <c r="AC1097">
        <f>SUMPRODUCT(DB_ThemeSOFAcct[[#This Row],[Plan01]:[Plan12]],$E$14:$P$14)/valUnits2</f>
        <v>1.7765299999999999</v>
      </c>
      <c r="AD1097">
        <f>SUMPRODUCT(DB_ThemeSOFAcct[[#This Row],[Act01]:[Act12]],$Q$14:$AB$14)/valUnits2</f>
        <v>1.4784200000000001</v>
      </c>
      <c r="AE1097">
        <f>DB_ThemeSOFAcct[[#This Row],[Actuals]]-DB_ThemeSOFAcct[[#This Row],[Plan]]</f>
        <v>-0.29810999999999988</v>
      </c>
      <c r="AF1097">
        <f>IF(DB_ThemeSOFAcct[[#This Row],[Plan]]&lt;&gt;0,DB_ThemeSOFAcct[[#This Row],[Actuals]]/DB_ThemeSOFAcct[[#This Row],[Plan]],1.000011000011)</f>
        <v>0.83219534710925236</v>
      </c>
      <c r="AG1097" s="34">
        <f>SUM(DB_ThemeSOFAcct[[#This Row],[Plan01]:[Plan12]])/valUnits2</f>
        <v>1.7765299999999999</v>
      </c>
      <c r="AH1097" s="34">
        <f>SUMPRODUCT(DB_ThemeSOFAcct[[#This Row],[Act01]:[Act12]],$Q$3:$AB$3)/valUnits2</f>
        <v>1.4784200000000001</v>
      </c>
    </row>
    <row r="1098" spans="2:34" x14ac:dyDescent="0.2">
      <c r="B1098" t="s">
        <v>350</v>
      </c>
      <c r="C1098" t="s">
        <v>859</v>
      </c>
      <c r="D1098" t="s">
        <v>141</v>
      </c>
      <c r="H1098">
        <v>0</v>
      </c>
      <c r="I1098">
        <v>0</v>
      </c>
      <c r="J1098">
        <v>260.86</v>
      </c>
      <c r="K1098">
        <v>260.86</v>
      </c>
      <c r="L1098">
        <v>260.86</v>
      </c>
      <c r="M1098">
        <v>260.86</v>
      </c>
      <c r="N1098">
        <v>260.86</v>
      </c>
      <c r="O1098">
        <v>260.86</v>
      </c>
      <c r="P1098">
        <v>260.86</v>
      </c>
      <c r="T1098">
        <v>0</v>
      </c>
      <c r="U1098">
        <v>0</v>
      </c>
      <c r="V1098">
        <v>1.77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f>SUMPRODUCT(DB_ThemeSOFAcct[[#This Row],[Plan01]:[Plan12]],$E$14:$P$14)/valUnits2</f>
        <v>0.26086000000000004</v>
      </c>
      <c r="AD1098">
        <f>SUMPRODUCT(DB_ThemeSOFAcct[[#This Row],[Act01]:[Act12]],$Q$14:$AB$14)/valUnits2</f>
        <v>1.7700000000000001E-3</v>
      </c>
      <c r="AE1098">
        <f>DB_ThemeSOFAcct[[#This Row],[Actuals]]-DB_ThemeSOFAcct[[#This Row],[Plan]]</f>
        <v>-0.25909000000000004</v>
      </c>
      <c r="AF1098">
        <f>IF(DB_ThemeSOFAcct[[#This Row],[Plan]]&lt;&gt;0,DB_ThemeSOFAcct[[#This Row],[Actuals]]/DB_ThemeSOFAcct[[#This Row],[Plan]],1.000011000011)</f>
        <v>6.7852487924557224E-3</v>
      </c>
      <c r="AG1098" s="34">
        <f>SUM(DB_ThemeSOFAcct[[#This Row],[Plan01]:[Plan12]])/valUnits2</f>
        <v>1.8260200000000004</v>
      </c>
      <c r="AH1098" s="34">
        <f>SUMPRODUCT(DB_ThemeSOFAcct[[#This Row],[Act01]:[Act12]],$Q$3:$AB$3)/valUnits2</f>
        <v>1.7700000000000001E-3</v>
      </c>
    </row>
    <row r="1099" spans="2:34" x14ac:dyDescent="0.2">
      <c r="B1099" t="s">
        <v>350</v>
      </c>
      <c r="C1099" t="s">
        <v>860</v>
      </c>
      <c r="D1099" t="s">
        <v>143</v>
      </c>
      <c r="I1099">
        <v>639.91999999999996</v>
      </c>
      <c r="U1099">
        <v>639.91999999999996</v>
      </c>
      <c r="AC1099">
        <f>SUMPRODUCT(DB_ThemeSOFAcct[[#This Row],[Plan01]:[Plan12]],$E$14:$P$14)/valUnits2</f>
        <v>0.63991999999999993</v>
      </c>
      <c r="AD1099">
        <f>SUMPRODUCT(DB_ThemeSOFAcct[[#This Row],[Act01]:[Act12]],$Q$14:$AB$14)/valUnits2</f>
        <v>0.63991999999999993</v>
      </c>
      <c r="AE1099">
        <f>DB_ThemeSOFAcct[[#This Row],[Actuals]]-DB_ThemeSOFAcct[[#This Row],[Plan]]</f>
        <v>0</v>
      </c>
      <c r="AF1099">
        <f>IF(DB_ThemeSOFAcct[[#This Row],[Plan]]&lt;&gt;0,DB_ThemeSOFAcct[[#This Row],[Actuals]]/DB_ThemeSOFAcct[[#This Row],[Plan]],1.000011000011)</f>
        <v>1</v>
      </c>
      <c r="AG1099" s="34">
        <f>SUM(DB_ThemeSOFAcct[[#This Row],[Plan01]:[Plan12]])/valUnits2</f>
        <v>0.63991999999999993</v>
      </c>
      <c r="AH1099" s="34">
        <f>SUMPRODUCT(DB_ThemeSOFAcct[[#This Row],[Act01]:[Act12]],$Q$3:$AB$3)/valUnits2</f>
        <v>0.63991999999999993</v>
      </c>
    </row>
    <row r="1100" spans="2:34" x14ac:dyDescent="0.2">
      <c r="B1100" t="s">
        <v>350</v>
      </c>
      <c r="C1100" t="s">
        <v>860</v>
      </c>
      <c r="D1100" t="s">
        <v>236</v>
      </c>
      <c r="G1100">
        <v>5.26</v>
      </c>
      <c r="S1100">
        <v>5.26</v>
      </c>
      <c r="AC1100">
        <f>SUMPRODUCT(DB_ThemeSOFAcct[[#This Row],[Plan01]:[Plan12]],$E$14:$P$14)/valUnits2</f>
        <v>5.2599999999999999E-3</v>
      </c>
      <c r="AD1100">
        <f>SUMPRODUCT(DB_ThemeSOFAcct[[#This Row],[Act01]:[Act12]],$Q$14:$AB$14)/valUnits2</f>
        <v>5.2599999999999999E-3</v>
      </c>
      <c r="AE1100">
        <f>DB_ThemeSOFAcct[[#This Row],[Actuals]]-DB_ThemeSOFAcct[[#This Row],[Plan]]</f>
        <v>0</v>
      </c>
      <c r="AF1100">
        <f>IF(DB_ThemeSOFAcct[[#This Row],[Plan]]&lt;&gt;0,DB_ThemeSOFAcct[[#This Row],[Actuals]]/DB_ThemeSOFAcct[[#This Row],[Plan]],1.000011000011)</f>
        <v>1</v>
      </c>
      <c r="AG1100" s="34">
        <f>SUM(DB_ThemeSOFAcct[[#This Row],[Plan01]:[Plan12]])/valUnits2</f>
        <v>5.2599999999999999E-3</v>
      </c>
      <c r="AH1100" s="34">
        <f>SUMPRODUCT(DB_ThemeSOFAcct[[#This Row],[Act01]:[Act12]],$Q$3:$AB$3)/valUnits2</f>
        <v>5.2599999999999999E-3</v>
      </c>
    </row>
    <row r="1101" spans="2:34" x14ac:dyDescent="0.2">
      <c r="B1101" t="s">
        <v>350</v>
      </c>
      <c r="C1101" t="s">
        <v>860</v>
      </c>
      <c r="D1101" t="s">
        <v>237</v>
      </c>
      <c r="F1101">
        <v>32.49</v>
      </c>
      <c r="G1101">
        <v>0</v>
      </c>
      <c r="R1101">
        <v>32.49</v>
      </c>
      <c r="S1101">
        <v>0</v>
      </c>
      <c r="AC1101">
        <f>SUMPRODUCT(DB_ThemeSOFAcct[[#This Row],[Plan01]:[Plan12]],$E$14:$P$14)/valUnits2</f>
        <v>3.2490000000000005E-2</v>
      </c>
      <c r="AD1101">
        <f>SUMPRODUCT(DB_ThemeSOFAcct[[#This Row],[Act01]:[Act12]],$Q$14:$AB$14)/valUnits2</f>
        <v>3.2490000000000005E-2</v>
      </c>
      <c r="AE1101">
        <f>DB_ThemeSOFAcct[[#This Row],[Actuals]]-DB_ThemeSOFAcct[[#This Row],[Plan]]</f>
        <v>0</v>
      </c>
      <c r="AF1101">
        <f>IF(DB_ThemeSOFAcct[[#This Row],[Plan]]&lt;&gt;0,DB_ThemeSOFAcct[[#This Row],[Actuals]]/DB_ThemeSOFAcct[[#This Row],[Plan]],1.000011000011)</f>
        <v>1</v>
      </c>
      <c r="AG1101" s="34">
        <f>SUM(DB_ThemeSOFAcct[[#This Row],[Plan01]:[Plan12]])/valUnits2</f>
        <v>3.2490000000000005E-2</v>
      </c>
      <c r="AH1101" s="34">
        <f>SUMPRODUCT(DB_ThemeSOFAcct[[#This Row],[Act01]:[Act12]],$Q$3:$AB$3)/valUnits2</f>
        <v>3.2490000000000005E-2</v>
      </c>
    </row>
    <row r="1102" spans="2:34" x14ac:dyDescent="0.2">
      <c r="B1102" t="s">
        <v>350</v>
      </c>
      <c r="C1102" t="s">
        <v>860</v>
      </c>
      <c r="D1102" t="s">
        <v>141</v>
      </c>
      <c r="F1102">
        <v>1.52</v>
      </c>
      <c r="G1102">
        <v>1.7300000000000004</v>
      </c>
      <c r="I1102">
        <v>1.43</v>
      </c>
      <c r="J1102">
        <v>0</v>
      </c>
      <c r="R1102">
        <v>1.52</v>
      </c>
      <c r="S1102">
        <v>1.7300000000000004</v>
      </c>
      <c r="U1102">
        <v>1.43</v>
      </c>
      <c r="V1102">
        <v>27.2</v>
      </c>
      <c r="AC1102">
        <f>SUMPRODUCT(DB_ThemeSOFAcct[[#This Row],[Plan01]:[Plan12]],$E$14:$P$14)/valUnits2</f>
        <v>4.680000000000001E-3</v>
      </c>
      <c r="AD1102">
        <f>SUMPRODUCT(DB_ThemeSOFAcct[[#This Row],[Act01]:[Act12]],$Q$14:$AB$14)/valUnits2</f>
        <v>3.1879999999999999E-2</v>
      </c>
      <c r="AE1102">
        <f>DB_ThemeSOFAcct[[#This Row],[Actuals]]-DB_ThemeSOFAcct[[#This Row],[Plan]]</f>
        <v>2.7199999999999998E-2</v>
      </c>
      <c r="AF1102">
        <f>IF(DB_ThemeSOFAcct[[#This Row],[Plan]]&lt;&gt;0,DB_ThemeSOFAcct[[#This Row],[Actuals]]/DB_ThemeSOFAcct[[#This Row],[Plan]],1.000011000011)</f>
        <v>6.81196581196581</v>
      </c>
      <c r="AG1102" s="34">
        <f>SUM(DB_ThemeSOFAcct[[#This Row],[Plan01]:[Plan12]])/valUnits2</f>
        <v>4.680000000000001E-3</v>
      </c>
      <c r="AH1102" s="34">
        <f>SUMPRODUCT(DB_ThemeSOFAcct[[#This Row],[Act01]:[Act12]],$Q$3:$AB$3)/valUnits2</f>
        <v>3.1879999999999999E-2</v>
      </c>
    </row>
    <row r="1103" spans="2:34" x14ac:dyDescent="0.2">
      <c r="B1103" t="s">
        <v>350</v>
      </c>
      <c r="C1103" t="s">
        <v>862</v>
      </c>
      <c r="D1103" t="s">
        <v>140</v>
      </c>
      <c r="F1103">
        <v>1317.3430000000001</v>
      </c>
      <c r="G1103">
        <v>656.83400000000006</v>
      </c>
      <c r="H1103">
        <v>1510.954</v>
      </c>
      <c r="I1103">
        <v>178.346</v>
      </c>
      <c r="J1103">
        <v>1025.2429999999999</v>
      </c>
      <c r="K1103">
        <v>1025.2429999999999</v>
      </c>
      <c r="L1103">
        <v>1025.2429999999999</v>
      </c>
      <c r="M1103">
        <v>1025.2429999999999</v>
      </c>
      <c r="N1103">
        <v>1025.2429999999999</v>
      </c>
      <c r="O1103">
        <v>1025.2429999999999</v>
      </c>
      <c r="P1103">
        <v>1025.2429999999999</v>
      </c>
      <c r="R1103">
        <v>1322.56</v>
      </c>
      <c r="S1103">
        <v>665.1</v>
      </c>
      <c r="T1103">
        <v>1518.5700000000002</v>
      </c>
      <c r="U1103">
        <v>179.4</v>
      </c>
      <c r="V1103">
        <v>-3682.2799999999997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f>SUMPRODUCT(DB_ThemeSOFAcct[[#This Row],[Plan01]:[Plan12]],$E$14:$P$14)/valUnits2</f>
        <v>4.68872</v>
      </c>
      <c r="AD1103">
        <f>SUMPRODUCT(DB_ThemeSOFAcct[[#This Row],[Act01]:[Act12]],$Q$14:$AB$14)/valUnits2</f>
        <v>3.350000000000364E-3</v>
      </c>
      <c r="AE1103">
        <f>DB_ThemeSOFAcct[[#This Row],[Actuals]]-DB_ThemeSOFAcct[[#This Row],[Plan]]</f>
        <v>-4.6853699999999998</v>
      </c>
      <c r="AF1103">
        <f>IF(DB_ThemeSOFAcct[[#This Row],[Plan]]&lt;&gt;0,DB_ThemeSOFAcct[[#This Row],[Actuals]]/DB_ThemeSOFAcct[[#This Row],[Plan]],1.000011000011)</f>
        <v>7.1448071115365471E-4</v>
      </c>
      <c r="AG1103" s="34">
        <f>SUM(DB_ThemeSOFAcct[[#This Row],[Plan01]:[Plan12]])/valUnits2</f>
        <v>10.840178000000002</v>
      </c>
      <c r="AH1103" s="34">
        <f>SUMPRODUCT(DB_ThemeSOFAcct[[#This Row],[Act01]:[Act12]],$Q$3:$AB$3)/valUnits2</f>
        <v>3.350000000000364E-3</v>
      </c>
    </row>
    <row r="1104" spans="2:34" x14ac:dyDescent="0.2">
      <c r="B1104" t="s">
        <v>350</v>
      </c>
      <c r="C1104" t="s">
        <v>862</v>
      </c>
      <c r="D1104" t="s">
        <v>141</v>
      </c>
      <c r="J1104">
        <v>0</v>
      </c>
      <c r="V1104">
        <v>1.1000000000000001</v>
      </c>
      <c r="AC1104">
        <f>SUMPRODUCT(DB_ThemeSOFAcct[[#This Row],[Plan01]:[Plan12]],$E$14:$P$14)/valUnits2</f>
        <v>0</v>
      </c>
      <c r="AD1104">
        <f>SUMPRODUCT(DB_ThemeSOFAcct[[#This Row],[Act01]:[Act12]],$Q$14:$AB$14)/valUnits2</f>
        <v>1.1000000000000001E-3</v>
      </c>
      <c r="AE1104">
        <f>DB_ThemeSOFAcct[[#This Row],[Actuals]]-DB_ThemeSOFAcct[[#This Row],[Plan]]</f>
        <v>1.1000000000000001E-3</v>
      </c>
      <c r="AF1104">
        <f>IF(DB_ThemeSOFAcct[[#This Row],[Plan]]&lt;&gt;0,DB_ThemeSOFAcct[[#This Row],[Actuals]]/DB_ThemeSOFAcct[[#This Row],[Plan]],1.000011000011)</f>
        <v>1.0000110000110001</v>
      </c>
      <c r="AG1104" s="34">
        <f>SUM(DB_ThemeSOFAcct[[#This Row],[Plan01]:[Plan12]])/valUnits2</f>
        <v>0</v>
      </c>
      <c r="AH1104" s="34">
        <f>SUMPRODUCT(DB_ThemeSOFAcct[[#This Row],[Act01]:[Act12]],$Q$3:$AB$3)/valUnits2</f>
        <v>1.1000000000000001E-3</v>
      </c>
    </row>
    <row r="1105" spans="2:34" x14ac:dyDescent="0.2">
      <c r="B1105" t="s">
        <v>350</v>
      </c>
      <c r="C1105" t="s">
        <v>865</v>
      </c>
      <c r="D1105" t="s">
        <v>142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f>SUMPRODUCT(DB_ThemeSOFAcct[[#This Row],[Plan01]:[Plan12]],$E$14:$P$14)/valUnits2</f>
        <v>0</v>
      </c>
      <c r="AD1105">
        <f>SUMPRODUCT(DB_ThemeSOFAcct[[#This Row],[Act01]:[Act12]],$Q$14:$AB$14)/valUnits2</f>
        <v>0</v>
      </c>
      <c r="AE1105">
        <f>DB_ThemeSOFAcct[[#This Row],[Actuals]]-DB_ThemeSOFAcct[[#This Row],[Plan]]</f>
        <v>0</v>
      </c>
      <c r="AF1105">
        <f>IF(DB_ThemeSOFAcct[[#This Row],[Plan]]&lt;&gt;0,DB_ThemeSOFAcct[[#This Row],[Actuals]]/DB_ThemeSOFAcct[[#This Row],[Plan]],1.000011000011)</f>
        <v>1.0000110000110001</v>
      </c>
      <c r="AG1105" s="34">
        <f>SUM(DB_ThemeSOFAcct[[#This Row],[Plan01]:[Plan12]])/valUnits2</f>
        <v>0</v>
      </c>
      <c r="AH1105" s="34">
        <f>SUMPRODUCT(DB_ThemeSOFAcct[[#This Row],[Act01]:[Act12]],$Q$3:$AB$3)/valUnits2</f>
        <v>0</v>
      </c>
    </row>
    <row r="1106" spans="2:34" x14ac:dyDescent="0.2">
      <c r="B1106" t="s">
        <v>350</v>
      </c>
      <c r="C1106" t="s">
        <v>355</v>
      </c>
      <c r="D1106" t="s">
        <v>235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AC1106">
        <f>SUMPRODUCT(DB_ThemeSOFAcct[[#This Row],[Plan01]:[Plan12]],$E$14:$P$14)/valUnits2</f>
        <v>0</v>
      </c>
      <c r="AD1106">
        <f>SUMPRODUCT(DB_ThemeSOFAcct[[#This Row],[Act01]:[Act12]],$Q$14:$AB$14)/valUnits2</f>
        <v>0</v>
      </c>
      <c r="AE1106">
        <f>DB_ThemeSOFAcct[[#This Row],[Actuals]]-DB_ThemeSOFAcct[[#This Row],[Plan]]</f>
        <v>0</v>
      </c>
      <c r="AF1106">
        <f>IF(DB_ThemeSOFAcct[[#This Row],[Plan]]&lt;&gt;0,DB_ThemeSOFAcct[[#This Row],[Actuals]]/DB_ThemeSOFAcct[[#This Row],[Plan]],1.000011000011)</f>
        <v>1.0000110000110001</v>
      </c>
      <c r="AG1106" s="34">
        <f>SUM(DB_ThemeSOFAcct[[#This Row],[Plan01]:[Plan12]])/valUnits2</f>
        <v>0</v>
      </c>
      <c r="AH1106" s="34">
        <f>SUMPRODUCT(DB_ThemeSOFAcct[[#This Row],[Act01]:[Act12]],$Q$3:$AB$3)/valUnits2</f>
        <v>0</v>
      </c>
    </row>
    <row r="1107" spans="2:34" x14ac:dyDescent="0.2">
      <c r="B1107" t="s">
        <v>350</v>
      </c>
      <c r="C1107" t="s">
        <v>866</v>
      </c>
      <c r="D1107" t="s">
        <v>143</v>
      </c>
      <c r="F1107">
        <v>93776.43</v>
      </c>
      <c r="G1107">
        <v>54225.46</v>
      </c>
      <c r="H1107">
        <v>-134608.94</v>
      </c>
      <c r="I1107">
        <v>-5069.3399999999992</v>
      </c>
      <c r="J1107">
        <v>0</v>
      </c>
      <c r="R1107">
        <v>93767.53</v>
      </c>
      <c r="S1107">
        <v>52703.59</v>
      </c>
      <c r="T1107">
        <v>-133935.71000000002</v>
      </c>
      <c r="U1107">
        <v>-3957.6</v>
      </c>
      <c r="V1107">
        <v>1.0600000000000165</v>
      </c>
      <c r="AC1107">
        <f>SUMPRODUCT(DB_ThemeSOFAcct[[#This Row],[Plan01]:[Plan12]],$E$14:$P$14)/valUnits2</f>
        <v>8.3236099999999826</v>
      </c>
      <c r="AD1107">
        <f>SUMPRODUCT(DB_ThemeSOFAcct[[#This Row],[Act01]:[Act12]],$Q$14:$AB$14)/valUnits2</f>
        <v>8.5788699999999736</v>
      </c>
      <c r="AE1107">
        <f>DB_ThemeSOFAcct[[#This Row],[Actuals]]-DB_ThemeSOFAcct[[#This Row],[Plan]]</f>
        <v>0.25525999999999094</v>
      </c>
      <c r="AF1107">
        <f>IF(DB_ThemeSOFAcct[[#This Row],[Plan]]&lt;&gt;0,DB_ThemeSOFAcct[[#This Row],[Actuals]]/DB_ThemeSOFAcct[[#This Row],[Plan]],1.000011000011)</f>
        <v>1.0306669822348706</v>
      </c>
      <c r="AG1107" s="34">
        <f>SUM(DB_ThemeSOFAcct[[#This Row],[Plan01]:[Plan12]])/valUnits2</f>
        <v>8.3236099999999826</v>
      </c>
      <c r="AH1107" s="34">
        <f>SUMPRODUCT(DB_ThemeSOFAcct[[#This Row],[Act01]:[Act12]],$Q$3:$AB$3)/valUnits2</f>
        <v>8.5788699999999736</v>
      </c>
    </row>
    <row r="1108" spans="2:34" x14ac:dyDescent="0.2">
      <c r="B1108" t="s">
        <v>350</v>
      </c>
      <c r="C1108" t="s">
        <v>866</v>
      </c>
      <c r="D1108" t="s">
        <v>235</v>
      </c>
      <c r="F1108">
        <v>3131.9700000000003</v>
      </c>
      <c r="G1108">
        <v>807.64</v>
      </c>
      <c r="H1108">
        <v>-1293.4299999999998</v>
      </c>
      <c r="I1108">
        <v>-2406.11</v>
      </c>
      <c r="J1108">
        <v>0</v>
      </c>
      <c r="R1108">
        <v>3140.8700000000003</v>
      </c>
      <c r="S1108">
        <v>2574.0699999999997</v>
      </c>
      <c r="T1108">
        <v>-2146.25</v>
      </c>
      <c r="U1108">
        <v>-3328.6200000000003</v>
      </c>
      <c r="V1108">
        <v>-11.82</v>
      </c>
      <c r="AC1108">
        <f>SUMPRODUCT(DB_ThemeSOFAcct[[#This Row],[Plan01]:[Plan12]],$E$14:$P$14)/valUnits2</f>
        <v>0.24007000000000017</v>
      </c>
      <c r="AD1108">
        <f>SUMPRODUCT(DB_ThemeSOFAcct[[#This Row],[Act01]:[Act12]],$Q$14:$AB$14)/valUnits2</f>
        <v>0.22825000000000017</v>
      </c>
      <c r="AE1108">
        <f>DB_ThemeSOFAcct[[#This Row],[Actuals]]-DB_ThemeSOFAcct[[#This Row],[Plan]]</f>
        <v>-1.1819999999999997E-2</v>
      </c>
      <c r="AF1108">
        <f>IF(DB_ThemeSOFAcct[[#This Row],[Plan]]&lt;&gt;0,DB_ThemeSOFAcct[[#This Row],[Actuals]]/DB_ThemeSOFAcct[[#This Row],[Plan]],1.000011000011)</f>
        <v>0.95076436039488488</v>
      </c>
      <c r="AG1108" s="34">
        <f>SUM(DB_ThemeSOFAcct[[#This Row],[Plan01]:[Plan12]])/valUnits2</f>
        <v>0.24007000000000017</v>
      </c>
      <c r="AH1108" s="34">
        <f>SUMPRODUCT(DB_ThemeSOFAcct[[#This Row],[Act01]:[Act12]],$Q$3:$AB$3)/valUnits2</f>
        <v>0.22825000000000017</v>
      </c>
    </row>
    <row r="1109" spans="2:34" x14ac:dyDescent="0.2">
      <c r="B1109" t="s">
        <v>350</v>
      </c>
      <c r="C1109" t="s">
        <v>866</v>
      </c>
      <c r="D1109" t="s">
        <v>140</v>
      </c>
      <c r="E1109">
        <v>219.68</v>
      </c>
      <c r="F1109">
        <v>13983.84</v>
      </c>
      <c r="G1109">
        <v>11978.81</v>
      </c>
      <c r="H1109">
        <v>-14376.949999999999</v>
      </c>
      <c r="I1109">
        <v>5702.12</v>
      </c>
      <c r="J1109">
        <v>5555.5560000000005</v>
      </c>
      <c r="K1109">
        <v>5555.5560000000005</v>
      </c>
      <c r="L1109">
        <v>5555.5560000000005</v>
      </c>
      <c r="M1109">
        <v>5555.5560000000005</v>
      </c>
      <c r="Q1109">
        <v>219.68</v>
      </c>
      <c r="R1109">
        <v>13983.84</v>
      </c>
      <c r="S1109">
        <v>11978.81</v>
      </c>
      <c r="T1109">
        <v>-14376.949999999999</v>
      </c>
      <c r="U1109">
        <v>5702.12</v>
      </c>
      <c r="V1109">
        <v>5652.73</v>
      </c>
      <c r="W1109">
        <v>0</v>
      </c>
      <c r="X1109">
        <v>0</v>
      </c>
      <c r="Y1109">
        <v>0</v>
      </c>
      <c r="AC1109">
        <f>SUMPRODUCT(DB_ThemeSOFAcct[[#This Row],[Plan01]:[Plan12]],$E$14:$P$14)/valUnits2</f>
        <v>23.063056000000003</v>
      </c>
      <c r="AD1109">
        <f>SUMPRODUCT(DB_ThemeSOFAcct[[#This Row],[Act01]:[Act12]],$Q$14:$AB$14)/valUnits2</f>
        <v>23.160230000000002</v>
      </c>
      <c r="AE1109">
        <f>DB_ThemeSOFAcct[[#This Row],[Actuals]]-DB_ThemeSOFAcct[[#This Row],[Plan]]</f>
        <v>9.7173999999998983E-2</v>
      </c>
      <c r="AF1109">
        <f>IF(DB_ThemeSOFAcct[[#This Row],[Plan]]&lt;&gt;0,DB_ThemeSOFAcct[[#This Row],[Actuals]]/DB_ThemeSOFAcct[[#This Row],[Plan]],1.000011000011)</f>
        <v>1.0042134051966054</v>
      </c>
      <c r="AG1109" s="34">
        <f>SUM(DB_ThemeSOFAcct[[#This Row],[Plan01]:[Plan12]])/valUnits2</f>
        <v>39.729724000000004</v>
      </c>
      <c r="AH1109" s="34">
        <f>SUMPRODUCT(DB_ThemeSOFAcct[[#This Row],[Act01]:[Act12]],$Q$3:$AB$3)/valUnits2</f>
        <v>23.160230000000002</v>
      </c>
    </row>
    <row r="1110" spans="2:34" x14ac:dyDescent="0.2">
      <c r="B1110" t="s">
        <v>350</v>
      </c>
      <c r="C1110" t="s">
        <v>866</v>
      </c>
      <c r="D1110" t="s">
        <v>236</v>
      </c>
      <c r="G1110">
        <v>1529.38</v>
      </c>
      <c r="H1110">
        <v>-1197.67</v>
      </c>
      <c r="I1110">
        <v>-166.2</v>
      </c>
      <c r="J1110">
        <v>0</v>
      </c>
      <c r="S1110">
        <v>1529.38</v>
      </c>
      <c r="T1110">
        <v>-1197.67</v>
      </c>
      <c r="U1110">
        <v>-166.2</v>
      </c>
      <c r="V1110">
        <v>261.38</v>
      </c>
      <c r="AC1110">
        <f>SUMPRODUCT(DB_ThemeSOFAcct[[#This Row],[Plan01]:[Plan12]],$E$14:$P$14)/valUnits2</f>
        <v>0.16551000000000005</v>
      </c>
      <c r="AD1110">
        <f>SUMPRODUCT(DB_ThemeSOFAcct[[#This Row],[Act01]:[Act12]],$Q$14:$AB$14)/valUnits2</f>
        <v>0.42689000000000005</v>
      </c>
      <c r="AE1110">
        <f>DB_ThemeSOFAcct[[#This Row],[Actuals]]-DB_ThemeSOFAcct[[#This Row],[Plan]]</f>
        <v>0.26138</v>
      </c>
      <c r="AF1110">
        <f>IF(DB_ThemeSOFAcct[[#This Row],[Plan]]&lt;&gt;0,DB_ThemeSOFAcct[[#This Row],[Actuals]]/DB_ThemeSOFAcct[[#This Row],[Plan]],1.000011000011)</f>
        <v>2.5792399250800551</v>
      </c>
      <c r="AG1110" s="34">
        <f>SUM(DB_ThemeSOFAcct[[#This Row],[Plan01]:[Plan12]])/valUnits2</f>
        <v>0.16551000000000005</v>
      </c>
      <c r="AH1110" s="34">
        <f>SUMPRODUCT(DB_ThemeSOFAcct[[#This Row],[Act01]:[Act12]],$Q$3:$AB$3)/valUnits2</f>
        <v>0.42689000000000005</v>
      </c>
    </row>
    <row r="1111" spans="2:34" x14ac:dyDescent="0.2">
      <c r="B1111" t="s">
        <v>350</v>
      </c>
      <c r="C1111" t="s">
        <v>866</v>
      </c>
      <c r="D1111" t="s">
        <v>237</v>
      </c>
      <c r="F1111">
        <v>176.44</v>
      </c>
      <c r="G1111">
        <v>12860.33</v>
      </c>
      <c r="H1111">
        <v>-12397.020000000002</v>
      </c>
      <c r="I1111">
        <v>10246.359999999999</v>
      </c>
      <c r="J1111">
        <v>0</v>
      </c>
      <c r="R1111">
        <v>176.44</v>
      </c>
      <c r="S1111">
        <v>12860.33</v>
      </c>
      <c r="T1111">
        <v>-12397.020000000002</v>
      </c>
      <c r="U1111">
        <v>10246.36</v>
      </c>
      <c r="V1111">
        <v>-163.57999999999996</v>
      </c>
      <c r="AC1111">
        <f>SUMPRODUCT(DB_ThemeSOFAcct[[#This Row],[Plan01]:[Plan12]],$E$14:$P$14)/valUnits2</f>
        <v>10.886109999999997</v>
      </c>
      <c r="AD1111">
        <f>SUMPRODUCT(DB_ThemeSOFAcct[[#This Row],[Act01]:[Act12]],$Q$14:$AB$14)/valUnits2</f>
        <v>10.722529999999999</v>
      </c>
      <c r="AE1111">
        <f>DB_ThemeSOFAcct[[#This Row],[Actuals]]-DB_ThemeSOFAcct[[#This Row],[Plan]]</f>
        <v>-0.16357999999999784</v>
      </c>
      <c r="AF1111">
        <f>IF(DB_ThemeSOFAcct[[#This Row],[Plan]]&lt;&gt;0,DB_ThemeSOFAcct[[#This Row],[Actuals]]/DB_ThemeSOFAcct[[#This Row],[Plan]],1.000011000011)</f>
        <v>0.98497351211773554</v>
      </c>
      <c r="AG1111" s="34">
        <f>SUM(DB_ThemeSOFAcct[[#This Row],[Plan01]:[Plan12]])/valUnits2</f>
        <v>10.886109999999997</v>
      </c>
      <c r="AH1111" s="34">
        <f>SUMPRODUCT(DB_ThemeSOFAcct[[#This Row],[Act01]:[Act12]],$Q$3:$AB$3)/valUnits2</f>
        <v>10.722529999999999</v>
      </c>
    </row>
    <row r="1112" spans="2:34" x14ac:dyDescent="0.2">
      <c r="B1112" t="s">
        <v>350</v>
      </c>
      <c r="C1112" t="s">
        <v>866</v>
      </c>
      <c r="D1112" t="s">
        <v>141</v>
      </c>
      <c r="E1112">
        <v>11.85</v>
      </c>
      <c r="F1112">
        <v>351.97</v>
      </c>
      <c r="G1112">
        <v>2938.62</v>
      </c>
      <c r="H1112">
        <v>1790.15</v>
      </c>
      <c r="I1112">
        <v>2884.19</v>
      </c>
      <c r="J1112">
        <v>0</v>
      </c>
      <c r="Q1112">
        <v>11.85</v>
      </c>
      <c r="R1112">
        <v>351.97</v>
      </c>
      <c r="S1112">
        <v>2938.62</v>
      </c>
      <c r="T1112">
        <v>1790.1499999999999</v>
      </c>
      <c r="U1112">
        <v>2884.1899999999996</v>
      </c>
      <c r="V1112">
        <v>-909.13999999999987</v>
      </c>
      <c r="AC1112">
        <f>SUMPRODUCT(DB_ThemeSOFAcct[[#This Row],[Plan01]:[Plan12]],$E$14:$P$14)/valUnits2</f>
        <v>7.9767800000000006</v>
      </c>
      <c r="AD1112">
        <f>SUMPRODUCT(DB_ThemeSOFAcct[[#This Row],[Act01]:[Act12]],$Q$14:$AB$14)/valUnits2</f>
        <v>7.067639999999999</v>
      </c>
      <c r="AE1112">
        <f>DB_ThemeSOFAcct[[#This Row],[Actuals]]-DB_ThemeSOFAcct[[#This Row],[Plan]]</f>
        <v>-0.90914000000000161</v>
      </c>
      <c r="AF1112">
        <f>IF(DB_ThemeSOFAcct[[#This Row],[Plan]]&lt;&gt;0,DB_ThemeSOFAcct[[#This Row],[Actuals]]/DB_ThemeSOFAcct[[#This Row],[Plan]],1.000011000011)</f>
        <v>0.88602669247490828</v>
      </c>
      <c r="AG1112" s="34">
        <f>SUM(DB_ThemeSOFAcct[[#This Row],[Plan01]:[Plan12]])/valUnits2</f>
        <v>7.9767800000000006</v>
      </c>
      <c r="AH1112" s="34">
        <f>SUMPRODUCT(DB_ThemeSOFAcct[[#This Row],[Act01]:[Act12]],$Q$3:$AB$3)/valUnits2</f>
        <v>7.067639999999999</v>
      </c>
    </row>
    <row r="1113" spans="2:34" x14ac:dyDescent="0.2">
      <c r="B1113" t="s">
        <v>350</v>
      </c>
      <c r="C1113" t="s">
        <v>868</v>
      </c>
      <c r="D1113" t="s">
        <v>141</v>
      </c>
      <c r="J1113">
        <v>0</v>
      </c>
      <c r="V1113">
        <v>0.14000000000000001</v>
      </c>
      <c r="AC1113">
        <f>SUMPRODUCT(DB_ThemeSOFAcct[[#This Row],[Plan01]:[Plan12]],$E$14:$P$14)/valUnits2</f>
        <v>0</v>
      </c>
      <c r="AD1113">
        <f>SUMPRODUCT(DB_ThemeSOFAcct[[#This Row],[Act01]:[Act12]],$Q$14:$AB$14)/valUnits2</f>
        <v>1.4000000000000001E-4</v>
      </c>
      <c r="AE1113">
        <f>DB_ThemeSOFAcct[[#This Row],[Actuals]]-DB_ThemeSOFAcct[[#This Row],[Plan]]</f>
        <v>1.4000000000000001E-4</v>
      </c>
      <c r="AF1113">
        <f>IF(DB_ThemeSOFAcct[[#This Row],[Plan]]&lt;&gt;0,DB_ThemeSOFAcct[[#This Row],[Actuals]]/DB_ThemeSOFAcct[[#This Row],[Plan]],1.000011000011)</f>
        <v>1.0000110000110001</v>
      </c>
      <c r="AG1113" s="34">
        <f>SUM(DB_ThemeSOFAcct[[#This Row],[Plan01]:[Plan12]])/valUnits2</f>
        <v>0</v>
      </c>
      <c r="AH1113" s="34">
        <f>SUMPRODUCT(DB_ThemeSOFAcct[[#This Row],[Act01]:[Act12]],$Q$3:$AB$3)/valUnits2</f>
        <v>1.4000000000000001E-4</v>
      </c>
    </row>
    <row r="1114" spans="2:34" x14ac:dyDescent="0.2">
      <c r="B1114" t="s">
        <v>350</v>
      </c>
      <c r="C1114" t="s">
        <v>869</v>
      </c>
      <c r="D1114" t="s">
        <v>140</v>
      </c>
      <c r="E1114">
        <v>906.89</v>
      </c>
      <c r="F1114">
        <v>5202.9599999999991</v>
      </c>
      <c r="G1114">
        <v>5382.5899999999992</v>
      </c>
      <c r="H1114">
        <v>4203.3500000000004</v>
      </c>
      <c r="I1114">
        <v>2216.3300000000004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906.89</v>
      </c>
      <c r="R1114">
        <v>5202.9599999999991</v>
      </c>
      <c r="S1114">
        <v>5382.5899999999992</v>
      </c>
      <c r="T1114">
        <v>4203.3500000000004</v>
      </c>
      <c r="U1114">
        <v>2216.3300000000004</v>
      </c>
      <c r="V1114">
        <v>4054.87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f>SUMPRODUCT(DB_ThemeSOFAcct[[#This Row],[Plan01]:[Plan12]],$E$14:$P$14)/valUnits2</f>
        <v>17.912119999999998</v>
      </c>
      <c r="AD1114">
        <f>SUMPRODUCT(DB_ThemeSOFAcct[[#This Row],[Act01]:[Act12]],$Q$14:$AB$14)/valUnits2</f>
        <v>21.966989999999999</v>
      </c>
      <c r="AE1114">
        <f>DB_ThemeSOFAcct[[#This Row],[Actuals]]-DB_ThemeSOFAcct[[#This Row],[Plan]]</f>
        <v>4.0548700000000011</v>
      </c>
      <c r="AF1114">
        <f>IF(DB_ThemeSOFAcct[[#This Row],[Plan]]&lt;&gt;0,DB_ThemeSOFAcct[[#This Row],[Actuals]]/DB_ThemeSOFAcct[[#This Row],[Plan]],1.000011000011)</f>
        <v>1.2263757723820521</v>
      </c>
      <c r="AG1114" s="34">
        <f>SUM(DB_ThemeSOFAcct[[#This Row],[Plan01]:[Plan12]])/valUnits2</f>
        <v>17.912119999999998</v>
      </c>
      <c r="AH1114" s="34">
        <f>SUMPRODUCT(DB_ThemeSOFAcct[[#This Row],[Act01]:[Act12]],$Q$3:$AB$3)/valUnits2</f>
        <v>21.966989999999999</v>
      </c>
    </row>
    <row r="1115" spans="2:34" x14ac:dyDescent="0.2">
      <c r="B1115" t="s">
        <v>350</v>
      </c>
      <c r="C1115" t="s">
        <v>869</v>
      </c>
      <c r="D1115" t="s">
        <v>236</v>
      </c>
      <c r="I1115">
        <v>252.26</v>
      </c>
      <c r="J1115">
        <v>0</v>
      </c>
      <c r="U1115">
        <v>252.26</v>
      </c>
      <c r="V1115">
        <v>250.16</v>
      </c>
      <c r="AC1115">
        <f>SUMPRODUCT(DB_ThemeSOFAcct[[#This Row],[Plan01]:[Plan12]],$E$14:$P$14)/valUnits2</f>
        <v>0.25225999999999998</v>
      </c>
      <c r="AD1115">
        <f>SUMPRODUCT(DB_ThemeSOFAcct[[#This Row],[Act01]:[Act12]],$Q$14:$AB$14)/valUnits2</f>
        <v>0.50241999999999998</v>
      </c>
      <c r="AE1115">
        <f>DB_ThemeSOFAcct[[#This Row],[Actuals]]-DB_ThemeSOFAcct[[#This Row],[Plan]]</f>
        <v>0.25015999999999999</v>
      </c>
      <c r="AF1115">
        <f>IF(DB_ThemeSOFAcct[[#This Row],[Plan]]&lt;&gt;0,DB_ThemeSOFAcct[[#This Row],[Actuals]]/DB_ThemeSOFAcct[[#This Row],[Plan]],1.000011000011)</f>
        <v>1.9916752556885753</v>
      </c>
      <c r="AG1115" s="34">
        <f>SUM(DB_ThemeSOFAcct[[#This Row],[Plan01]:[Plan12]])/valUnits2</f>
        <v>0.25225999999999998</v>
      </c>
      <c r="AH1115" s="34">
        <f>SUMPRODUCT(DB_ThemeSOFAcct[[#This Row],[Act01]:[Act12]],$Q$3:$AB$3)/valUnits2</f>
        <v>0.50241999999999998</v>
      </c>
    </row>
    <row r="1116" spans="2:34" x14ac:dyDescent="0.2">
      <c r="B1116" t="s">
        <v>350</v>
      </c>
      <c r="C1116" t="s">
        <v>869</v>
      </c>
      <c r="D1116" t="s">
        <v>141</v>
      </c>
      <c r="G1116">
        <v>186.99</v>
      </c>
      <c r="J1116">
        <v>0</v>
      </c>
      <c r="S1116">
        <v>186.99</v>
      </c>
      <c r="V1116">
        <v>39.19</v>
      </c>
      <c r="AC1116">
        <f>SUMPRODUCT(DB_ThemeSOFAcct[[#This Row],[Plan01]:[Plan12]],$E$14:$P$14)/valUnits2</f>
        <v>0.18699000000000002</v>
      </c>
      <c r="AD1116">
        <f>SUMPRODUCT(DB_ThemeSOFAcct[[#This Row],[Act01]:[Act12]],$Q$14:$AB$14)/valUnits2</f>
        <v>0.22618000000000002</v>
      </c>
      <c r="AE1116">
        <f>DB_ThemeSOFAcct[[#This Row],[Actuals]]-DB_ThemeSOFAcct[[#This Row],[Plan]]</f>
        <v>3.9190000000000003E-2</v>
      </c>
      <c r="AF1116">
        <f>IF(DB_ThemeSOFAcct[[#This Row],[Plan]]&lt;&gt;0,DB_ThemeSOFAcct[[#This Row],[Actuals]]/DB_ThemeSOFAcct[[#This Row],[Plan]],1.000011000011)</f>
        <v>1.209583400181828</v>
      </c>
      <c r="AG1116" s="34">
        <f>SUM(DB_ThemeSOFAcct[[#This Row],[Plan01]:[Plan12]])/valUnits2</f>
        <v>0.18699000000000002</v>
      </c>
      <c r="AH1116" s="34">
        <f>SUMPRODUCT(DB_ThemeSOFAcct[[#This Row],[Act01]:[Act12]],$Q$3:$AB$3)/valUnits2</f>
        <v>0.22618000000000002</v>
      </c>
    </row>
    <row r="1117" spans="2:34" x14ac:dyDescent="0.2">
      <c r="B1117" t="s">
        <v>350</v>
      </c>
      <c r="C1117" t="s">
        <v>872</v>
      </c>
      <c r="D1117" t="s">
        <v>141</v>
      </c>
      <c r="I1117">
        <v>88.274000000000001</v>
      </c>
      <c r="J1117">
        <v>0</v>
      </c>
      <c r="U1117">
        <v>88.1</v>
      </c>
      <c r="V1117">
        <v>0.77</v>
      </c>
      <c r="AC1117">
        <f>SUMPRODUCT(DB_ThemeSOFAcct[[#This Row],[Plan01]:[Plan12]],$E$14:$P$14)/valUnits2</f>
        <v>8.8274000000000005E-2</v>
      </c>
      <c r="AD1117">
        <f>SUMPRODUCT(DB_ThemeSOFAcct[[#This Row],[Act01]:[Act12]],$Q$14:$AB$14)/valUnits2</f>
        <v>8.8869999999999991E-2</v>
      </c>
      <c r="AE1117">
        <f>DB_ThemeSOFAcct[[#This Row],[Actuals]]-DB_ThemeSOFAcct[[#This Row],[Plan]]</f>
        <v>5.9599999999998543E-4</v>
      </c>
      <c r="AF1117">
        <f>IF(DB_ThemeSOFAcct[[#This Row],[Plan]]&lt;&gt;0,DB_ThemeSOFAcct[[#This Row],[Actuals]]/DB_ThemeSOFAcct[[#This Row],[Plan]],1.000011000011)</f>
        <v>1.0067517049187755</v>
      </c>
      <c r="AG1117" s="34">
        <f>SUM(DB_ThemeSOFAcct[[#This Row],[Plan01]:[Plan12]])/valUnits2</f>
        <v>8.8274000000000005E-2</v>
      </c>
      <c r="AH1117" s="34">
        <f>SUMPRODUCT(DB_ThemeSOFAcct[[#This Row],[Act01]:[Act12]],$Q$3:$AB$3)/valUnits2</f>
        <v>8.8869999999999991E-2</v>
      </c>
    </row>
    <row r="1118" spans="2:34" x14ac:dyDescent="0.2">
      <c r="B1118" t="s">
        <v>350</v>
      </c>
      <c r="C1118" t="s">
        <v>874</v>
      </c>
      <c r="D1118" t="s">
        <v>140</v>
      </c>
      <c r="E1118">
        <v>0</v>
      </c>
      <c r="F1118">
        <v>2045.9449999999999</v>
      </c>
      <c r="G1118">
        <v>1033.742</v>
      </c>
      <c r="H1118">
        <v>2128.6370000000002</v>
      </c>
      <c r="I1118">
        <v>1121.423</v>
      </c>
      <c r="J1118">
        <v>371.988</v>
      </c>
      <c r="K1118">
        <v>371.988</v>
      </c>
      <c r="L1118">
        <v>371.988</v>
      </c>
      <c r="M1118">
        <v>371.988</v>
      </c>
      <c r="N1118">
        <v>371.988</v>
      </c>
      <c r="O1118">
        <v>371.988</v>
      </c>
      <c r="P1118">
        <v>371.988</v>
      </c>
      <c r="Q1118">
        <v>0</v>
      </c>
      <c r="R1118">
        <v>2086.1999999999998</v>
      </c>
      <c r="S1118">
        <v>1043.0999999999999</v>
      </c>
      <c r="T1118">
        <v>2103.85</v>
      </c>
      <c r="U1118">
        <v>1108.18</v>
      </c>
      <c r="V1118">
        <v>2027.44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f>SUMPRODUCT(DB_ThemeSOFAcct[[#This Row],[Plan01]:[Plan12]],$E$14:$P$14)/valUnits2</f>
        <v>6.7017350000000002</v>
      </c>
      <c r="AD1118">
        <f>SUMPRODUCT(DB_ThemeSOFAcct[[#This Row],[Act01]:[Act12]],$Q$14:$AB$14)/valUnits2</f>
        <v>8.3687699999999996</v>
      </c>
      <c r="AE1118">
        <f>DB_ThemeSOFAcct[[#This Row],[Actuals]]-DB_ThemeSOFAcct[[#This Row],[Plan]]</f>
        <v>1.6670349999999994</v>
      </c>
      <c r="AF1118">
        <f>IF(DB_ThemeSOFAcct[[#This Row],[Plan]]&lt;&gt;0,DB_ThemeSOFAcct[[#This Row],[Actuals]]/DB_ThemeSOFAcct[[#This Row],[Plan]],1.000011000011)</f>
        <v>1.2487467797518104</v>
      </c>
      <c r="AG1118" s="34">
        <f>SUM(DB_ThemeSOFAcct[[#This Row],[Plan01]:[Plan12]])/valUnits2</f>
        <v>8.933663000000001</v>
      </c>
      <c r="AH1118" s="34">
        <f>SUMPRODUCT(DB_ThemeSOFAcct[[#This Row],[Act01]:[Act12]],$Q$3:$AB$3)/valUnits2</f>
        <v>8.3687699999999996</v>
      </c>
    </row>
    <row r="1119" spans="2:34" x14ac:dyDescent="0.2">
      <c r="B1119" t="s">
        <v>350</v>
      </c>
      <c r="C1119" t="s">
        <v>874</v>
      </c>
      <c r="D1119" t="s">
        <v>141</v>
      </c>
      <c r="J1119">
        <v>0</v>
      </c>
      <c r="V1119">
        <v>2.5499999999999998</v>
      </c>
      <c r="AC1119">
        <f>SUMPRODUCT(DB_ThemeSOFAcct[[#This Row],[Plan01]:[Plan12]],$E$14:$P$14)/valUnits2</f>
        <v>0</v>
      </c>
      <c r="AD1119">
        <f>SUMPRODUCT(DB_ThemeSOFAcct[[#This Row],[Act01]:[Act12]],$Q$14:$AB$14)/valUnits2</f>
        <v>2.5499999999999997E-3</v>
      </c>
      <c r="AE1119">
        <f>DB_ThemeSOFAcct[[#This Row],[Actuals]]-DB_ThemeSOFAcct[[#This Row],[Plan]]</f>
        <v>2.5499999999999997E-3</v>
      </c>
      <c r="AF1119">
        <f>IF(DB_ThemeSOFAcct[[#This Row],[Plan]]&lt;&gt;0,DB_ThemeSOFAcct[[#This Row],[Actuals]]/DB_ThemeSOFAcct[[#This Row],[Plan]],1.000011000011)</f>
        <v>1.0000110000110001</v>
      </c>
      <c r="AG1119" s="34">
        <f>SUM(DB_ThemeSOFAcct[[#This Row],[Plan01]:[Plan12]])/valUnits2</f>
        <v>0</v>
      </c>
      <c r="AH1119" s="34">
        <f>SUMPRODUCT(DB_ThemeSOFAcct[[#This Row],[Act01]:[Act12]],$Q$3:$AB$3)/valUnits2</f>
        <v>2.5499999999999997E-3</v>
      </c>
    </row>
    <row r="1120" spans="2:34" x14ac:dyDescent="0.2">
      <c r="B1120" t="s">
        <v>350</v>
      </c>
      <c r="C1120" t="s">
        <v>875</v>
      </c>
      <c r="D1120" t="s">
        <v>141</v>
      </c>
      <c r="G1120">
        <v>10.256</v>
      </c>
      <c r="J1120">
        <v>0</v>
      </c>
      <c r="S1120">
        <v>10.32</v>
      </c>
      <c r="V1120">
        <v>0.85</v>
      </c>
      <c r="AC1120">
        <f>SUMPRODUCT(DB_ThemeSOFAcct[[#This Row],[Plan01]:[Plan12]],$E$14:$P$14)/valUnits2</f>
        <v>1.0255999999999999E-2</v>
      </c>
      <c r="AD1120">
        <f>SUMPRODUCT(DB_ThemeSOFAcct[[#This Row],[Act01]:[Act12]],$Q$14:$AB$14)/valUnits2</f>
        <v>1.1169999999999999E-2</v>
      </c>
      <c r="AE1120">
        <f>DB_ThemeSOFAcct[[#This Row],[Actuals]]-DB_ThemeSOFAcct[[#This Row],[Plan]]</f>
        <v>9.1399999999999988E-4</v>
      </c>
      <c r="AF1120">
        <f>IF(DB_ThemeSOFAcct[[#This Row],[Plan]]&lt;&gt;0,DB_ThemeSOFAcct[[#This Row],[Actuals]]/DB_ThemeSOFAcct[[#This Row],[Plan]],1.000011000011)</f>
        <v>1.0891185647425896</v>
      </c>
      <c r="AG1120" s="34">
        <f>SUM(DB_ThemeSOFAcct[[#This Row],[Plan01]:[Plan12]])/valUnits2</f>
        <v>1.0255999999999999E-2</v>
      </c>
      <c r="AH1120" s="34">
        <f>SUMPRODUCT(DB_ThemeSOFAcct[[#This Row],[Act01]:[Act12]],$Q$3:$AB$3)/valUnits2</f>
        <v>1.1169999999999999E-2</v>
      </c>
    </row>
    <row r="1121" spans="2:34" x14ac:dyDescent="0.2">
      <c r="B1121" t="s">
        <v>350</v>
      </c>
      <c r="C1121" t="s">
        <v>876</v>
      </c>
      <c r="D1121" t="s">
        <v>140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142.07999999999998</v>
      </c>
      <c r="K1121">
        <v>142.07999999999998</v>
      </c>
      <c r="L1121">
        <v>142.07999999999998</v>
      </c>
      <c r="M1121">
        <v>142.07999999999998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AC1121">
        <f>SUMPRODUCT(DB_ThemeSOFAcct[[#This Row],[Plan01]:[Plan12]],$E$14:$P$14)/valUnits2</f>
        <v>0.14207999999999998</v>
      </c>
      <c r="AD1121">
        <f>SUMPRODUCT(DB_ThemeSOFAcct[[#This Row],[Act01]:[Act12]],$Q$14:$AB$14)/valUnits2</f>
        <v>0</v>
      </c>
      <c r="AE1121">
        <f>DB_ThemeSOFAcct[[#This Row],[Actuals]]-DB_ThemeSOFAcct[[#This Row],[Plan]]</f>
        <v>-0.14207999999999998</v>
      </c>
      <c r="AF1121">
        <f>IF(DB_ThemeSOFAcct[[#This Row],[Plan]]&lt;&gt;0,DB_ThemeSOFAcct[[#This Row],[Actuals]]/DB_ThemeSOFAcct[[#This Row],[Plan]],1.000011000011)</f>
        <v>0</v>
      </c>
      <c r="AG1121" s="34">
        <f>SUM(DB_ThemeSOFAcct[[#This Row],[Plan01]:[Plan12]])/valUnits2</f>
        <v>0.56831999999999994</v>
      </c>
      <c r="AH1121" s="34">
        <f>SUMPRODUCT(DB_ThemeSOFAcct[[#This Row],[Act01]:[Act12]],$Q$3:$AB$3)/valUnits2</f>
        <v>0</v>
      </c>
    </row>
    <row r="1122" spans="2:34" x14ac:dyDescent="0.2">
      <c r="B1122" t="s">
        <v>350</v>
      </c>
      <c r="C1122" t="s">
        <v>876</v>
      </c>
      <c r="D1122" t="s">
        <v>141</v>
      </c>
      <c r="J1122">
        <v>0</v>
      </c>
      <c r="V1122">
        <v>0.91</v>
      </c>
      <c r="AC1122">
        <f>SUMPRODUCT(DB_ThemeSOFAcct[[#This Row],[Plan01]:[Plan12]],$E$14:$P$14)/valUnits2</f>
        <v>0</v>
      </c>
      <c r="AD1122">
        <f>SUMPRODUCT(DB_ThemeSOFAcct[[#This Row],[Act01]:[Act12]],$Q$14:$AB$14)/valUnits2</f>
        <v>9.1E-4</v>
      </c>
      <c r="AE1122">
        <f>DB_ThemeSOFAcct[[#This Row],[Actuals]]-DB_ThemeSOFAcct[[#This Row],[Plan]]</f>
        <v>9.1E-4</v>
      </c>
      <c r="AF1122">
        <f>IF(DB_ThemeSOFAcct[[#This Row],[Plan]]&lt;&gt;0,DB_ThemeSOFAcct[[#This Row],[Actuals]]/DB_ThemeSOFAcct[[#This Row],[Plan]],1.000011000011)</f>
        <v>1.0000110000110001</v>
      </c>
      <c r="AG1122" s="34">
        <f>SUM(DB_ThemeSOFAcct[[#This Row],[Plan01]:[Plan12]])/valUnits2</f>
        <v>0</v>
      </c>
      <c r="AH1122" s="34">
        <f>SUMPRODUCT(DB_ThemeSOFAcct[[#This Row],[Act01]:[Act12]],$Q$3:$AB$3)/valUnits2</f>
        <v>9.1E-4</v>
      </c>
    </row>
    <row r="1123" spans="2:34" x14ac:dyDescent="0.2">
      <c r="B1123" t="s">
        <v>350</v>
      </c>
      <c r="C1123" t="s">
        <v>362</v>
      </c>
      <c r="D1123" t="s">
        <v>140</v>
      </c>
      <c r="E1123">
        <v>0</v>
      </c>
      <c r="Q1123">
        <v>0</v>
      </c>
      <c r="AC1123">
        <f>SUMPRODUCT(DB_ThemeSOFAcct[[#This Row],[Plan01]:[Plan12]],$E$14:$P$14)/valUnits2</f>
        <v>0</v>
      </c>
      <c r="AD1123">
        <f>SUMPRODUCT(DB_ThemeSOFAcct[[#This Row],[Act01]:[Act12]],$Q$14:$AB$14)/valUnits2</f>
        <v>0</v>
      </c>
      <c r="AE1123">
        <f>DB_ThemeSOFAcct[[#This Row],[Actuals]]-DB_ThemeSOFAcct[[#This Row],[Plan]]</f>
        <v>0</v>
      </c>
      <c r="AF1123">
        <f>IF(DB_ThemeSOFAcct[[#This Row],[Plan]]&lt;&gt;0,DB_ThemeSOFAcct[[#This Row],[Actuals]]/DB_ThemeSOFAcct[[#This Row],[Plan]],1.000011000011)</f>
        <v>1.0000110000110001</v>
      </c>
      <c r="AG1123" s="34">
        <f>SUM(DB_ThemeSOFAcct[[#This Row],[Plan01]:[Plan12]])/valUnits2</f>
        <v>0</v>
      </c>
      <c r="AH1123" s="34">
        <f>SUMPRODUCT(DB_ThemeSOFAcct[[#This Row],[Act01]:[Act12]],$Q$3:$AB$3)/valUnits2</f>
        <v>0</v>
      </c>
    </row>
    <row r="1124" spans="2:34" x14ac:dyDescent="0.2">
      <c r="B1124" t="s">
        <v>350</v>
      </c>
      <c r="C1124" t="s">
        <v>362</v>
      </c>
      <c r="D1124" t="s">
        <v>141</v>
      </c>
      <c r="J1124">
        <v>0</v>
      </c>
      <c r="V1124">
        <v>0.59</v>
      </c>
      <c r="AC1124">
        <f>SUMPRODUCT(DB_ThemeSOFAcct[[#This Row],[Plan01]:[Plan12]],$E$14:$P$14)/valUnits2</f>
        <v>0</v>
      </c>
      <c r="AD1124">
        <f>SUMPRODUCT(DB_ThemeSOFAcct[[#This Row],[Act01]:[Act12]],$Q$14:$AB$14)/valUnits2</f>
        <v>5.8999999999999992E-4</v>
      </c>
      <c r="AE1124">
        <f>DB_ThemeSOFAcct[[#This Row],[Actuals]]-DB_ThemeSOFAcct[[#This Row],[Plan]]</f>
        <v>5.8999999999999992E-4</v>
      </c>
      <c r="AF1124">
        <f>IF(DB_ThemeSOFAcct[[#This Row],[Plan]]&lt;&gt;0,DB_ThemeSOFAcct[[#This Row],[Actuals]]/DB_ThemeSOFAcct[[#This Row],[Plan]],1.000011000011)</f>
        <v>1.0000110000110001</v>
      </c>
      <c r="AG1124" s="34">
        <f>SUM(DB_ThemeSOFAcct[[#This Row],[Plan01]:[Plan12]])/valUnits2</f>
        <v>0</v>
      </c>
      <c r="AH1124" s="34">
        <f>SUMPRODUCT(DB_ThemeSOFAcct[[#This Row],[Act01]:[Act12]],$Q$3:$AB$3)/valUnits2</f>
        <v>5.8999999999999992E-4</v>
      </c>
    </row>
    <row r="1125" spans="2:34" x14ac:dyDescent="0.2">
      <c r="B1125" t="s">
        <v>350</v>
      </c>
      <c r="C1125" t="s">
        <v>877</v>
      </c>
      <c r="D1125" t="s">
        <v>140</v>
      </c>
      <c r="I1125">
        <v>294.43900000000002</v>
      </c>
      <c r="J1125">
        <v>0</v>
      </c>
      <c r="U1125">
        <v>290.87</v>
      </c>
      <c r="V1125">
        <v>290.68</v>
      </c>
      <c r="AC1125">
        <f>SUMPRODUCT(DB_ThemeSOFAcct[[#This Row],[Plan01]:[Plan12]],$E$14:$P$14)/valUnits2</f>
        <v>0.29443900000000001</v>
      </c>
      <c r="AD1125">
        <f>SUMPRODUCT(DB_ThemeSOFAcct[[#This Row],[Act01]:[Act12]],$Q$14:$AB$14)/valUnits2</f>
        <v>0.5815499999999999</v>
      </c>
      <c r="AE1125">
        <f>DB_ThemeSOFAcct[[#This Row],[Actuals]]-DB_ThemeSOFAcct[[#This Row],[Plan]]</f>
        <v>0.28711099999999989</v>
      </c>
      <c r="AF1125">
        <f>IF(DB_ThemeSOFAcct[[#This Row],[Plan]]&lt;&gt;0,DB_ThemeSOFAcct[[#This Row],[Actuals]]/DB_ThemeSOFAcct[[#This Row],[Plan]],1.000011000011)</f>
        <v>1.9751119926368446</v>
      </c>
      <c r="AG1125" s="34">
        <f>SUM(DB_ThemeSOFAcct[[#This Row],[Plan01]:[Plan12]])/valUnits2</f>
        <v>0.29443900000000001</v>
      </c>
      <c r="AH1125" s="34">
        <f>SUMPRODUCT(DB_ThemeSOFAcct[[#This Row],[Act01]:[Act12]],$Q$3:$AB$3)/valUnits2</f>
        <v>0.5815499999999999</v>
      </c>
    </row>
    <row r="1126" spans="2:34" x14ac:dyDescent="0.2">
      <c r="B1126" t="s">
        <v>350</v>
      </c>
      <c r="C1126" t="s">
        <v>877</v>
      </c>
      <c r="D1126" t="s">
        <v>141</v>
      </c>
      <c r="J1126">
        <v>0</v>
      </c>
      <c r="V1126">
        <v>2.35</v>
      </c>
      <c r="AC1126">
        <f>SUMPRODUCT(DB_ThemeSOFAcct[[#This Row],[Plan01]:[Plan12]],$E$14:$P$14)/valUnits2</f>
        <v>0</v>
      </c>
      <c r="AD1126">
        <f>SUMPRODUCT(DB_ThemeSOFAcct[[#This Row],[Act01]:[Act12]],$Q$14:$AB$14)/valUnits2</f>
        <v>2.3500000000000001E-3</v>
      </c>
      <c r="AE1126">
        <f>DB_ThemeSOFAcct[[#This Row],[Actuals]]-DB_ThemeSOFAcct[[#This Row],[Plan]]</f>
        <v>2.3500000000000001E-3</v>
      </c>
      <c r="AF1126">
        <f>IF(DB_ThemeSOFAcct[[#This Row],[Plan]]&lt;&gt;0,DB_ThemeSOFAcct[[#This Row],[Actuals]]/DB_ThemeSOFAcct[[#This Row],[Plan]],1.000011000011)</f>
        <v>1.0000110000110001</v>
      </c>
      <c r="AG1126" s="34">
        <f>SUM(DB_ThemeSOFAcct[[#This Row],[Plan01]:[Plan12]])/valUnits2</f>
        <v>0</v>
      </c>
      <c r="AH1126" s="34">
        <f>SUMPRODUCT(DB_ThemeSOFAcct[[#This Row],[Act01]:[Act12]],$Q$3:$AB$3)/valUnits2</f>
        <v>2.3500000000000001E-3</v>
      </c>
    </row>
    <row r="1127" spans="2:34" x14ac:dyDescent="0.2">
      <c r="B1127" t="s">
        <v>350</v>
      </c>
      <c r="C1127" t="s">
        <v>878</v>
      </c>
      <c r="D1127" t="s">
        <v>141</v>
      </c>
      <c r="E1127">
        <v>0</v>
      </c>
      <c r="F1127">
        <v>0</v>
      </c>
      <c r="Q1127">
        <v>0</v>
      </c>
      <c r="R1127">
        <v>0</v>
      </c>
      <c r="AC1127">
        <f>SUMPRODUCT(DB_ThemeSOFAcct[[#This Row],[Plan01]:[Plan12]],$E$14:$P$14)/valUnits2</f>
        <v>0</v>
      </c>
      <c r="AD1127">
        <f>SUMPRODUCT(DB_ThemeSOFAcct[[#This Row],[Act01]:[Act12]],$Q$14:$AB$14)/valUnits2</f>
        <v>0</v>
      </c>
      <c r="AE1127">
        <f>DB_ThemeSOFAcct[[#This Row],[Actuals]]-DB_ThemeSOFAcct[[#This Row],[Plan]]</f>
        <v>0</v>
      </c>
      <c r="AF1127">
        <f>IF(DB_ThemeSOFAcct[[#This Row],[Plan]]&lt;&gt;0,DB_ThemeSOFAcct[[#This Row],[Actuals]]/DB_ThemeSOFAcct[[#This Row],[Plan]],1.000011000011)</f>
        <v>1.0000110000110001</v>
      </c>
      <c r="AG1127" s="34">
        <f>SUM(DB_ThemeSOFAcct[[#This Row],[Plan01]:[Plan12]])/valUnits2</f>
        <v>0</v>
      </c>
      <c r="AH1127" s="34">
        <f>SUMPRODUCT(DB_ThemeSOFAcct[[#This Row],[Act01]:[Act12]],$Q$3:$AB$3)/valUnits2</f>
        <v>0</v>
      </c>
    </row>
    <row r="1128" spans="2:34" x14ac:dyDescent="0.2">
      <c r="B1128" t="s">
        <v>350</v>
      </c>
      <c r="C1128" t="s">
        <v>881</v>
      </c>
      <c r="D1128" t="s">
        <v>141</v>
      </c>
      <c r="J1128">
        <v>0</v>
      </c>
      <c r="V1128">
        <v>1.1599999999999999</v>
      </c>
      <c r="AC1128">
        <f>SUMPRODUCT(DB_ThemeSOFAcct[[#This Row],[Plan01]:[Plan12]],$E$14:$P$14)/valUnits2</f>
        <v>0</v>
      </c>
      <c r="AD1128">
        <f>SUMPRODUCT(DB_ThemeSOFAcct[[#This Row],[Act01]:[Act12]],$Q$14:$AB$14)/valUnits2</f>
        <v>1.16E-3</v>
      </c>
      <c r="AE1128">
        <f>DB_ThemeSOFAcct[[#This Row],[Actuals]]-DB_ThemeSOFAcct[[#This Row],[Plan]]</f>
        <v>1.16E-3</v>
      </c>
      <c r="AF1128">
        <f>IF(DB_ThemeSOFAcct[[#This Row],[Plan]]&lt;&gt;0,DB_ThemeSOFAcct[[#This Row],[Actuals]]/DB_ThemeSOFAcct[[#This Row],[Plan]],1.000011000011)</f>
        <v>1.0000110000110001</v>
      </c>
      <c r="AG1128" s="34">
        <f>SUM(DB_ThemeSOFAcct[[#This Row],[Plan01]:[Plan12]])/valUnits2</f>
        <v>0</v>
      </c>
      <c r="AH1128" s="34">
        <f>SUMPRODUCT(DB_ThemeSOFAcct[[#This Row],[Act01]:[Act12]],$Q$3:$AB$3)/valUnits2</f>
        <v>1.16E-3</v>
      </c>
    </row>
    <row r="1129" spans="2:34" x14ac:dyDescent="0.2">
      <c r="B1129" t="s">
        <v>350</v>
      </c>
      <c r="C1129" t="s">
        <v>883</v>
      </c>
      <c r="D1129" t="s">
        <v>143</v>
      </c>
      <c r="E1129">
        <v>1227.6289999999999</v>
      </c>
      <c r="H1129">
        <v>3255.2069999999999</v>
      </c>
      <c r="Q1129">
        <v>1252.51</v>
      </c>
      <c r="T1129">
        <v>3212.95</v>
      </c>
      <c r="AC1129">
        <f>SUMPRODUCT(DB_ThemeSOFAcct[[#This Row],[Plan01]:[Plan12]],$E$14:$P$14)/valUnits2</f>
        <v>4.4828359999999989</v>
      </c>
      <c r="AD1129">
        <f>SUMPRODUCT(DB_ThemeSOFAcct[[#This Row],[Act01]:[Act12]],$Q$14:$AB$14)/valUnits2</f>
        <v>4.4654600000000002</v>
      </c>
      <c r="AE1129">
        <f>DB_ThemeSOFAcct[[#This Row],[Actuals]]-DB_ThemeSOFAcct[[#This Row],[Plan]]</f>
        <v>-1.7375999999998726E-2</v>
      </c>
      <c r="AF1129">
        <f>IF(DB_ThemeSOFAcct[[#This Row],[Plan]]&lt;&gt;0,DB_ThemeSOFAcct[[#This Row],[Actuals]]/DB_ThemeSOFAcct[[#This Row],[Plan]],1.000011000011)</f>
        <v>0.99612388229237059</v>
      </c>
      <c r="AG1129" s="34">
        <f>SUM(DB_ThemeSOFAcct[[#This Row],[Plan01]:[Plan12]])/valUnits2</f>
        <v>4.4828359999999989</v>
      </c>
      <c r="AH1129" s="34">
        <f>SUMPRODUCT(DB_ThemeSOFAcct[[#This Row],[Act01]:[Act12]],$Q$3:$AB$3)/valUnits2</f>
        <v>4.4654600000000002</v>
      </c>
    </row>
    <row r="1130" spans="2:34" x14ac:dyDescent="0.2">
      <c r="B1130" t="s">
        <v>350</v>
      </c>
      <c r="C1130" t="s">
        <v>883</v>
      </c>
      <c r="D1130" t="s">
        <v>140</v>
      </c>
      <c r="E1130">
        <v>0</v>
      </c>
      <c r="Q1130">
        <v>0</v>
      </c>
      <c r="AC1130">
        <f>SUMPRODUCT(DB_ThemeSOFAcct[[#This Row],[Plan01]:[Plan12]],$E$14:$P$14)/valUnits2</f>
        <v>0</v>
      </c>
      <c r="AD1130">
        <f>SUMPRODUCT(DB_ThemeSOFAcct[[#This Row],[Act01]:[Act12]],$Q$14:$AB$14)/valUnits2</f>
        <v>0</v>
      </c>
      <c r="AE1130">
        <f>DB_ThemeSOFAcct[[#This Row],[Actuals]]-DB_ThemeSOFAcct[[#This Row],[Plan]]</f>
        <v>0</v>
      </c>
      <c r="AF1130">
        <f>IF(DB_ThemeSOFAcct[[#This Row],[Plan]]&lt;&gt;0,DB_ThemeSOFAcct[[#This Row],[Actuals]]/DB_ThemeSOFAcct[[#This Row],[Plan]],1.000011000011)</f>
        <v>1.0000110000110001</v>
      </c>
      <c r="AG1130" s="34">
        <f>SUM(DB_ThemeSOFAcct[[#This Row],[Plan01]:[Plan12]])/valUnits2</f>
        <v>0</v>
      </c>
      <c r="AH1130" s="34">
        <f>SUMPRODUCT(DB_ThemeSOFAcct[[#This Row],[Act01]:[Act12]],$Q$3:$AB$3)/valUnits2</f>
        <v>0</v>
      </c>
    </row>
    <row r="1131" spans="2:34" x14ac:dyDescent="0.2">
      <c r="B1131" t="s">
        <v>350</v>
      </c>
      <c r="C1131" t="s">
        <v>884</v>
      </c>
      <c r="D1131" t="s">
        <v>236</v>
      </c>
      <c r="E1131">
        <v>2252.9369999999999</v>
      </c>
      <c r="F1131">
        <v>2253.0769999999998</v>
      </c>
      <c r="G1131">
        <v>2241.6669999999999</v>
      </c>
      <c r="H1131">
        <v>2241.6669999999999</v>
      </c>
      <c r="I1131">
        <v>2218.9870000000001</v>
      </c>
      <c r="J1131">
        <v>2241.6669999999999</v>
      </c>
      <c r="K1131">
        <v>2241.6669999999999</v>
      </c>
      <c r="L1131">
        <v>2241.6669999999999</v>
      </c>
      <c r="M1131">
        <v>2241.6669999999999</v>
      </c>
      <c r="N1131">
        <v>2241.6669999999999</v>
      </c>
      <c r="O1131">
        <v>2241.6669999999999</v>
      </c>
      <c r="P1131">
        <v>2241.6669999999999</v>
      </c>
      <c r="Q1131">
        <v>11.27</v>
      </c>
      <c r="R1131">
        <v>11.41</v>
      </c>
      <c r="S1131">
        <v>0</v>
      </c>
      <c r="T1131">
        <v>0</v>
      </c>
      <c r="U1131">
        <v>-22.68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f>SUMPRODUCT(DB_ThemeSOFAcct[[#This Row],[Plan01]:[Plan12]],$E$14:$P$14)/valUnits2</f>
        <v>13.450001999999998</v>
      </c>
      <c r="AD1131">
        <f>SUMPRODUCT(DB_ThemeSOFAcct[[#This Row],[Act01]:[Act12]],$Q$14:$AB$14)/valUnits2</f>
        <v>0</v>
      </c>
      <c r="AE1131">
        <f>DB_ThemeSOFAcct[[#This Row],[Actuals]]-DB_ThemeSOFAcct[[#This Row],[Plan]]</f>
        <v>-13.450001999999998</v>
      </c>
      <c r="AF1131">
        <f>IF(DB_ThemeSOFAcct[[#This Row],[Plan]]&lt;&gt;0,DB_ThemeSOFAcct[[#This Row],[Actuals]]/DB_ThemeSOFAcct[[#This Row],[Plan]],1.000011000011)</f>
        <v>0</v>
      </c>
      <c r="AG1131" s="34">
        <f>SUM(DB_ThemeSOFAcct[[#This Row],[Plan01]:[Plan12]])/valUnits2</f>
        <v>26.900004000000003</v>
      </c>
      <c r="AH1131" s="34">
        <f>SUMPRODUCT(DB_ThemeSOFAcct[[#This Row],[Act01]:[Act12]],$Q$3:$AB$3)/valUnits2</f>
        <v>0</v>
      </c>
    </row>
    <row r="1132" spans="2:34" x14ac:dyDescent="0.2">
      <c r="B1132" t="s">
        <v>350</v>
      </c>
      <c r="C1132" t="s">
        <v>884</v>
      </c>
      <c r="D1132" t="s">
        <v>141</v>
      </c>
      <c r="E1132">
        <v>16.41</v>
      </c>
      <c r="F1132">
        <v>17.809999999999999</v>
      </c>
      <c r="G1132">
        <v>82.41</v>
      </c>
      <c r="I1132">
        <v>-199.55</v>
      </c>
      <c r="Q1132">
        <v>16.41</v>
      </c>
      <c r="R1132">
        <v>17.809999999999999</v>
      </c>
      <c r="S1132">
        <v>82.41</v>
      </c>
      <c r="U1132">
        <v>-199.55</v>
      </c>
      <c r="AC1132">
        <f>SUMPRODUCT(DB_ThemeSOFAcct[[#This Row],[Plan01]:[Plan12]],$E$14:$P$14)/valUnits2</f>
        <v>-8.2920000000000021E-2</v>
      </c>
      <c r="AD1132">
        <f>SUMPRODUCT(DB_ThemeSOFAcct[[#This Row],[Act01]:[Act12]],$Q$14:$AB$14)/valUnits2</f>
        <v>-8.2920000000000021E-2</v>
      </c>
      <c r="AE1132">
        <f>DB_ThemeSOFAcct[[#This Row],[Actuals]]-DB_ThemeSOFAcct[[#This Row],[Plan]]</f>
        <v>0</v>
      </c>
      <c r="AF1132">
        <f>IF(DB_ThemeSOFAcct[[#This Row],[Plan]]&lt;&gt;0,DB_ThemeSOFAcct[[#This Row],[Actuals]]/DB_ThemeSOFAcct[[#This Row],[Plan]],1.000011000011)</f>
        <v>1</v>
      </c>
      <c r="AG1132" s="34">
        <f>SUM(DB_ThemeSOFAcct[[#This Row],[Plan01]:[Plan12]])/valUnits2</f>
        <v>-8.2920000000000021E-2</v>
      </c>
      <c r="AH1132" s="34">
        <f>SUMPRODUCT(DB_ThemeSOFAcct[[#This Row],[Act01]:[Act12]],$Q$3:$AB$3)/valUnits2</f>
        <v>-8.2920000000000021E-2</v>
      </c>
    </row>
    <row r="1133" spans="2:34" x14ac:dyDescent="0.2">
      <c r="B1133" t="s">
        <v>350</v>
      </c>
      <c r="C1133" t="s">
        <v>885</v>
      </c>
      <c r="D1133" t="s">
        <v>143</v>
      </c>
      <c r="G1133">
        <v>83.21</v>
      </c>
      <c r="S1133">
        <v>79.540000000000006</v>
      </c>
      <c r="AC1133">
        <f>SUMPRODUCT(DB_ThemeSOFAcct[[#This Row],[Plan01]:[Plan12]],$E$14:$P$14)/valUnits2</f>
        <v>8.3209999999999992E-2</v>
      </c>
      <c r="AD1133">
        <f>SUMPRODUCT(DB_ThemeSOFAcct[[#This Row],[Act01]:[Act12]],$Q$14:$AB$14)/valUnits2</f>
        <v>7.954E-2</v>
      </c>
      <c r="AE1133">
        <f>DB_ThemeSOFAcct[[#This Row],[Actuals]]-DB_ThemeSOFAcct[[#This Row],[Plan]]</f>
        <v>-3.6699999999999927E-3</v>
      </c>
      <c r="AF1133">
        <f>IF(DB_ThemeSOFAcct[[#This Row],[Plan]]&lt;&gt;0,DB_ThemeSOFAcct[[#This Row],[Actuals]]/DB_ThemeSOFAcct[[#This Row],[Plan]],1.000011000011)</f>
        <v>0.95589472419180399</v>
      </c>
      <c r="AG1133" s="34">
        <f>SUM(DB_ThemeSOFAcct[[#This Row],[Plan01]:[Plan12]])/valUnits2</f>
        <v>8.3209999999999992E-2</v>
      </c>
      <c r="AH1133" s="34">
        <f>SUMPRODUCT(DB_ThemeSOFAcct[[#This Row],[Act01]:[Act12]],$Q$3:$AB$3)/valUnits2</f>
        <v>7.954E-2</v>
      </c>
    </row>
    <row r="1134" spans="2:34" x14ac:dyDescent="0.2">
      <c r="B1134" t="s">
        <v>350</v>
      </c>
      <c r="C1134" t="s">
        <v>885</v>
      </c>
      <c r="D1134" t="s">
        <v>235</v>
      </c>
      <c r="G1134">
        <v>192.30799999999999</v>
      </c>
      <c r="S1134">
        <v>183.55</v>
      </c>
      <c r="AC1134">
        <f>SUMPRODUCT(DB_ThemeSOFAcct[[#This Row],[Plan01]:[Plan12]],$E$14:$P$14)/valUnits2</f>
        <v>0.19230799999999998</v>
      </c>
      <c r="AD1134">
        <f>SUMPRODUCT(DB_ThemeSOFAcct[[#This Row],[Act01]:[Act12]],$Q$14:$AB$14)/valUnits2</f>
        <v>0.18355000000000002</v>
      </c>
      <c r="AE1134">
        <f>DB_ThemeSOFAcct[[#This Row],[Actuals]]-DB_ThemeSOFAcct[[#This Row],[Plan]]</f>
        <v>-8.7579999999999603E-3</v>
      </c>
      <c r="AF1134">
        <f>IF(DB_ThemeSOFAcct[[#This Row],[Plan]]&lt;&gt;0,DB_ThemeSOFAcct[[#This Row],[Actuals]]/DB_ThemeSOFAcct[[#This Row],[Plan]],1.000011000011)</f>
        <v>0.95445847286644359</v>
      </c>
      <c r="AG1134" s="34">
        <f>SUM(DB_ThemeSOFAcct[[#This Row],[Plan01]:[Plan12]])/valUnits2</f>
        <v>0.19230799999999998</v>
      </c>
      <c r="AH1134" s="34">
        <f>SUMPRODUCT(DB_ThemeSOFAcct[[#This Row],[Act01]:[Act12]],$Q$3:$AB$3)/valUnits2</f>
        <v>0.18355000000000002</v>
      </c>
    </row>
    <row r="1135" spans="2:34" x14ac:dyDescent="0.2">
      <c r="B1135" t="s">
        <v>350</v>
      </c>
      <c r="C1135" t="s">
        <v>885</v>
      </c>
      <c r="D1135" t="s">
        <v>140</v>
      </c>
      <c r="G1135">
        <v>256.41000000000003</v>
      </c>
      <c r="S1135">
        <v>245.8</v>
      </c>
      <c r="AC1135">
        <f>SUMPRODUCT(DB_ThemeSOFAcct[[#This Row],[Plan01]:[Plan12]],$E$14:$P$14)/valUnits2</f>
        <v>0.25641000000000003</v>
      </c>
      <c r="AD1135">
        <f>SUMPRODUCT(DB_ThemeSOFAcct[[#This Row],[Act01]:[Act12]],$Q$14:$AB$14)/valUnits2</f>
        <v>0.24580000000000002</v>
      </c>
      <c r="AE1135">
        <f>DB_ThemeSOFAcct[[#This Row],[Actuals]]-DB_ThemeSOFAcct[[#This Row],[Plan]]</f>
        <v>-1.0610000000000008E-2</v>
      </c>
      <c r="AF1135">
        <f>IF(DB_ThemeSOFAcct[[#This Row],[Plan]]&lt;&gt;0,DB_ThemeSOFAcct[[#This Row],[Actuals]]/DB_ThemeSOFAcct[[#This Row],[Plan]],1.000011000011)</f>
        <v>0.95862095862095864</v>
      </c>
      <c r="AG1135" s="34">
        <f>SUM(DB_ThemeSOFAcct[[#This Row],[Plan01]:[Plan12]])/valUnits2</f>
        <v>0.25641000000000003</v>
      </c>
      <c r="AH1135" s="34">
        <f>SUMPRODUCT(DB_ThemeSOFAcct[[#This Row],[Act01]:[Act12]],$Q$3:$AB$3)/valUnits2</f>
        <v>0.24580000000000002</v>
      </c>
    </row>
    <row r="1136" spans="2:34" x14ac:dyDescent="0.2">
      <c r="B1136" t="s">
        <v>350</v>
      </c>
      <c r="C1136" t="s">
        <v>885</v>
      </c>
      <c r="D1136" t="s">
        <v>141</v>
      </c>
      <c r="E1136">
        <v>0</v>
      </c>
      <c r="F1136">
        <v>0</v>
      </c>
      <c r="G1136">
        <v>0</v>
      </c>
      <c r="H1136">
        <v>1.2789999999999999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1.29</v>
      </c>
      <c r="U1136">
        <v>0</v>
      </c>
      <c r="V1136">
        <v>9.07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f>SUMPRODUCT(DB_ThemeSOFAcct[[#This Row],[Plan01]:[Plan12]],$E$14:$P$14)/valUnits2</f>
        <v>1.279E-3</v>
      </c>
      <c r="AD1136">
        <f>SUMPRODUCT(DB_ThemeSOFAcct[[#This Row],[Act01]:[Act12]],$Q$14:$AB$14)/valUnits2</f>
        <v>1.0359999999999999E-2</v>
      </c>
      <c r="AE1136">
        <f>DB_ThemeSOFAcct[[#This Row],[Actuals]]-DB_ThemeSOFAcct[[#This Row],[Plan]]</f>
        <v>9.0809999999999988E-3</v>
      </c>
      <c r="AF1136">
        <f>IF(DB_ThemeSOFAcct[[#This Row],[Plan]]&lt;&gt;0,DB_ThemeSOFAcct[[#This Row],[Actuals]]/DB_ThemeSOFAcct[[#This Row],[Plan]],1.000011000011)</f>
        <v>8.100078186082877</v>
      </c>
      <c r="AG1136" s="34">
        <f>SUM(DB_ThemeSOFAcct[[#This Row],[Plan01]:[Plan12]])/valUnits2</f>
        <v>1.279E-3</v>
      </c>
      <c r="AH1136" s="34">
        <f>SUMPRODUCT(DB_ThemeSOFAcct[[#This Row],[Act01]:[Act12]],$Q$3:$AB$3)/valUnits2</f>
        <v>1.0359999999999999E-2</v>
      </c>
    </row>
    <row r="1137" spans="2:34" x14ac:dyDescent="0.2">
      <c r="B1137" t="s">
        <v>350</v>
      </c>
      <c r="C1137" t="s">
        <v>361</v>
      </c>
      <c r="D1137" t="s">
        <v>141</v>
      </c>
      <c r="J1137">
        <v>0</v>
      </c>
      <c r="V1137">
        <v>0.23</v>
      </c>
      <c r="AC1137">
        <f>SUMPRODUCT(DB_ThemeSOFAcct[[#This Row],[Plan01]:[Plan12]],$E$14:$P$14)/valUnits2</f>
        <v>0</v>
      </c>
      <c r="AD1137">
        <f>SUMPRODUCT(DB_ThemeSOFAcct[[#This Row],[Act01]:[Act12]],$Q$14:$AB$14)/valUnits2</f>
        <v>2.3000000000000001E-4</v>
      </c>
      <c r="AE1137">
        <f>DB_ThemeSOFAcct[[#This Row],[Actuals]]-DB_ThemeSOFAcct[[#This Row],[Plan]]</f>
        <v>2.3000000000000001E-4</v>
      </c>
      <c r="AF1137">
        <f>IF(DB_ThemeSOFAcct[[#This Row],[Plan]]&lt;&gt;0,DB_ThemeSOFAcct[[#This Row],[Actuals]]/DB_ThemeSOFAcct[[#This Row],[Plan]],1.000011000011)</f>
        <v>1.0000110000110001</v>
      </c>
      <c r="AG1137" s="34">
        <f>SUM(DB_ThemeSOFAcct[[#This Row],[Plan01]:[Plan12]])/valUnits2</f>
        <v>0</v>
      </c>
      <c r="AH1137" s="34">
        <f>SUMPRODUCT(DB_ThemeSOFAcct[[#This Row],[Act01]:[Act12]],$Q$3:$AB$3)/valUnits2</f>
        <v>2.3000000000000001E-4</v>
      </c>
    </row>
    <row r="1138" spans="2:34" x14ac:dyDescent="0.2">
      <c r="B1138" t="s">
        <v>350</v>
      </c>
      <c r="C1138" t="s">
        <v>358</v>
      </c>
      <c r="D1138" t="s">
        <v>141</v>
      </c>
      <c r="J1138">
        <v>0</v>
      </c>
      <c r="V1138">
        <v>0.86</v>
      </c>
      <c r="AC1138">
        <f>SUMPRODUCT(DB_ThemeSOFAcct[[#This Row],[Plan01]:[Plan12]],$E$14:$P$14)/valUnits2</f>
        <v>0</v>
      </c>
      <c r="AD1138">
        <f>SUMPRODUCT(DB_ThemeSOFAcct[[#This Row],[Act01]:[Act12]],$Q$14:$AB$14)/valUnits2</f>
        <v>8.5999999999999998E-4</v>
      </c>
      <c r="AE1138">
        <f>DB_ThemeSOFAcct[[#This Row],[Actuals]]-DB_ThemeSOFAcct[[#This Row],[Plan]]</f>
        <v>8.5999999999999998E-4</v>
      </c>
      <c r="AF1138">
        <f>IF(DB_ThemeSOFAcct[[#This Row],[Plan]]&lt;&gt;0,DB_ThemeSOFAcct[[#This Row],[Actuals]]/DB_ThemeSOFAcct[[#This Row],[Plan]],1.000011000011)</f>
        <v>1.0000110000110001</v>
      </c>
      <c r="AG1138" s="34">
        <f>SUM(DB_ThemeSOFAcct[[#This Row],[Plan01]:[Plan12]])/valUnits2</f>
        <v>0</v>
      </c>
      <c r="AH1138" s="34">
        <f>SUMPRODUCT(DB_ThemeSOFAcct[[#This Row],[Act01]:[Act12]],$Q$3:$AB$3)/valUnits2</f>
        <v>8.5999999999999998E-4</v>
      </c>
    </row>
    <row r="1139" spans="2:34" x14ac:dyDescent="0.2">
      <c r="B1139" t="s">
        <v>350</v>
      </c>
      <c r="C1139" t="s">
        <v>890</v>
      </c>
      <c r="D1139" t="s">
        <v>140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f>SUMPRODUCT(DB_ThemeSOFAcct[[#This Row],[Plan01]:[Plan12]],$E$14:$P$14)/valUnits2</f>
        <v>0</v>
      </c>
      <c r="AD1139">
        <f>SUMPRODUCT(DB_ThemeSOFAcct[[#This Row],[Act01]:[Act12]],$Q$14:$AB$14)/valUnits2</f>
        <v>0</v>
      </c>
      <c r="AE1139">
        <f>DB_ThemeSOFAcct[[#This Row],[Actuals]]-DB_ThemeSOFAcct[[#This Row],[Plan]]</f>
        <v>0</v>
      </c>
      <c r="AF1139">
        <f>IF(DB_ThemeSOFAcct[[#This Row],[Plan]]&lt;&gt;0,DB_ThemeSOFAcct[[#This Row],[Actuals]]/DB_ThemeSOFAcct[[#This Row],[Plan]],1.000011000011)</f>
        <v>1.0000110000110001</v>
      </c>
      <c r="AG1139" s="34">
        <f>SUM(DB_ThemeSOFAcct[[#This Row],[Plan01]:[Plan12]])/valUnits2</f>
        <v>0</v>
      </c>
      <c r="AH1139" s="34">
        <f>SUMPRODUCT(DB_ThemeSOFAcct[[#This Row],[Act01]:[Act12]],$Q$3:$AB$3)/valUnits2</f>
        <v>0</v>
      </c>
    </row>
    <row r="1140" spans="2:34" x14ac:dyDescent="0.2">
      <c r="B1140" t="s">
        <v>350</v>
      </c>
      <c r="C1140" t="s">
        <v>890</v>
      </c>
      <c r="D1140" t="s">
        <v>141</v>
      </c>
      <c r="F1140">
        <v>0</v>
      </c>
      <c r="G1140">
        <v>0</v>
      </c>
      <c r="H1140">
        <v>0</v>
      </c>
      <c r="I1140">
        <v>0</v>
      </c>
      <c r="J1140">
        <v>534.71100000000001</v>
      </c>
      <c r="K1140">
        <v>534.71100000000001</v>
      </c>
      <c r="L1140">
        <v>534.71100000000001</v>
      </c>
      <c r="M1140">
        <v>534.71100000000001</v>
      </c>
      <c r="N1140">
        <v>534.71100000000001</v>
      </c>
      <c r="O1140">
        <v>534.71100000000001</v>
      </c>
      <c r="P1140">
        <v>534.71100000000001</v>
      </c>
      <c r="R1140">
        <v>0</v>
      </c>
      <c r="S1140">
        <v>0</v>
      </c>
      <c r="T1140">
        <v>0</v>
      </c>
      <c r="U1140">
        <v>0</v>
      </c>
      <c r="V1140">
        <v>1.27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f>SUMPRODUCT(DB_ThemeSOFAcct[[#This Row],[Plan01]:[Plan12]],$E$14:$P$14)/valUnits2</f>
        <v>0.53471100000000005</v>
      </c>
      <c r="AD1140">
        <f>SUMPRODUCT(DB_ThemeSOFAcct[[#This Row],[Act01]:[Act12]],$Q$14:$AB$14)/valUnits2</f>
        <v>1.2700000000000001E-3</v>
      </c>
      <c r="AE1140">
        <f>DB_ThemeSOFAcct[[#This Row],[Actuals]]-DB_ThemeSOFAcct[[#This Row],[Plan]]</f>
        <v>-0.53344100000000005</v>
      </c>
      <c r="AF1140">
        <f>IF(DB_ThemeSOFAcct[[#This Row],[Plan]]&lt;&gt;0,DB_ThemeSOFAcct[[#This Row],[Actuals]]/DB_ThemeSOFAcct[[#This Row],[Plan]],1.000011000011)</f>
        <v>2.3751147816297026E-3</v>
      </c>
      <c r="AG1140" s="34">
        <f>SUM(DB_ThemeSOFAcct[[#This Row],[Plan01]:[Plan12]])/valUnits2</f>
        <v>3.7429770000000007</v>
      </c>
      <c r="AH1140" s="34">
        <f>SUMPRODUCT(DB_ThemeSOFAcct[[#This Row],[Act01]:[Act12]],$Q$3:$AB$3)/valUnits2</f>
        <v>1.2700000000000001E-3</v>
      </c>
    </row>
    <row r="1141" spans="2:34" x14ac:dyDescent="0.2">
      <c r="B1141" t="s">
        <v>350</v>
      </c>
      <c r="C1141" t="s">
        <v>891</v>
      </c>
      <c r="D1141" t="s">
        <v>141</v>
      </c>
      <c r="J1141">
        <v>0</v>
      </c>
      <c r="V1141">
        <v>361.49</v>
      </c>
      <c r="AC1141">
        <f>SUMPRODUCT(DB_ThemeSOFAcct[[#This Row],[Plan01]:[Plan12]],$E$14:$P$14)/valUnits2</f>
        <v>0</v>
      </c>
      <c r="AD1141">
        <f>SUMPRODUCT(DB_ThemeSOFAcct[[#This Row],[Act01]:[Act12]],$Q$14:$AB$14)/valUnits2</f>
        <v>0.36149000000000003</v>
      </c>
      <c r="AE1141">
        <f>DB_ThemeSOFAcct[[#This Row],[Actuals]]-DB_ThemeSOFAcct[[#This Row],[Plan]]</f>
        <v>0.36149000000000003</v>
      </c>
      <c r="AF1141">
        <f>IF(DB_ThemeSOFAcct[[#This Row],[Plan]]&lt;&gt;0,DB_ThemeSOFAcct[[#This Row],[Actuals]]/DB_ThemeSOFAcct[[#This Row],[Plan]],1.000011000011)</f>
        <v>1.0000110000110001</v>
      </c>
      <c r="AG1141" s="34">
        <f>SUM(DB_ThemeSOFAcct[[#This Row],[Plan01]:[Plan12]])/valUnits2</f>
        <v>0</v>
      </c>
      <c r="AH1141" s="34">
        <f>SUMPRODUCT(DB_ThemeSOFAcct[[#This Row],[Act01]:[Act12]],$Q$3:$AB$3)/valUnits2</f>
        <v>0.36149000000000003</v>
      </c>
    </row>
    <row r="1142" spans="2:34" x14ac:dyDescent="0.2">
      <c r="B1142" t="s">
        <v>350</v>
      </c>
      <c r="C1142" t="s">
        <v>368</v>
      </c>
      <c r="D1142" t="s">
        <v>141</v>
      </c>
      <c r="J1142">
        <v>0</v>
      </c>
      <c r="V1142">
        <v>10.37</v>
      </c>
      <c r="AC1142">
        <f>SUMPRODUCT(DB_ThemeSOFAcct[[#This Row],[Plan01]:[Plan12]],$E$14:$P$14)/valUnits2</f>
        <v>0</v>
      </c>
      <c r="AD1142">
        <f>SUMPRODUCT(DB_ThemeSOFAcct[[#This Row],[Act01]:[Act12]],$Q$14:$AB$14)/valUnits2</f>
        <v>1.0369999999999999E-2</v>
      </c>
      <c r="AE1142">
        <f>DB_ThemeSOFAcct[[#This Row],[Actuals]]-DB_ThemeSOFAcct[[#This Row],[Plan]]</f>
        <v>1.0369999999999999E-2</v>
      </c>
      <c r="AF1142">
        <f>IF(DB_ThemeSOFAcct[[#This Row],[Plan]]&lt;&gt;0,DB_ThemeSOFAcct[[#This Row],[Actuals]]/DB_ThemeSOFAcct[[#This Row],[Plan]],1.000011000011)</f>
        <v>1.0000110000110001</v>
      </c>
      <c r="AG1142" s="34">
        <f>SUM(DB_ThemeSOFAcct[[#This Row],[Plan01]:[Plan12]])/valUnits2</f>
        <v>0</v>
      </c>
      <c r="AH1142" s="34">
        <f>SUMPRODUCT(DB_ThemeSOFAcct[[#This Row],[Act01]:[Act12]],$Q$3:$AB$3)/valUnits2</f>
        <v>1.0369999999999999E-2</v>
      </c>
    </row>
    <row r="1143" spans="2:34" x14ac:dyDescent="0.2">
      <c r="B1143" t="s">
        <v>350</v>
      </c>
      <c r="C1143" t="s">
        <v>892</v>
      </c>
      <c r="D1143" t="s">
        <v>141</v>
      </c>
      <c r="J1143">
        <v>0</v>
      </c>
      <c r="V1143">
        <v>0.31</v>
      </c>
      <c r="AC1143">
        <f>SUMPRODUCT(DB_ThemeSOFAcct[[#This Row],[Plan01]:[Plan12]],$E$14:$P$14)/valUnits2</f>
        <v>0</v>
      </c>
      <c r="AD1143">
        <f>SUMPRODUCT(DB_ThemeSOFAcct[[#This Row],[Act01]:[Act12]],$Q$14:$AB$14)/valUnits2</f>
        <v>3.1E-4</v>
      </c>
      <c r="AE1143">
        <f>DB_ThemeSOFAcct[[#This Row],[Actuals]]-DB_ThemeSOFAcct[[#This Row],[Plan]]</f>
        <v>3.1E-4</v>
      </c>
      <c r="AF1143">
        <f>IF(DB_ThemeSOFAcct[[#This Row],[Plan]]&lt;&gt;0,DB_ThemeSOFAcct[[#This Row],[Actuals]]/DB_ThemeSOFAcct[[#This Row],[Plan]],1.000011000011)</f>
        <v>1.0000110000110001</v>
      </c>
      <c r="AG1143" s="34">
        <f>SUM(DB_ThemeSOFAcct[[#This Row],[Plan01]:[Plan12]])/valUnits2</f>
        <v>0</v>
      </c>
      <c r="AH1143" s="34">
        <f>SUMPRODUCT(DB_ThemeSOFAcct[[#This Row],[Act01]:[Act12]],$Q$3:$AB$3)/valUnits2</f>
        <v>3.1E-4</v>
      </c>
    </row>
    <row r="1144" spans="2:34" x14ac:dyDescent="0.2">
      <c r="B1144" t="s">
        <v>350</v>
      </c>
      <c r="C1144" t="s">
        <v>895</v>
      </c>
      <c r="D1144" t="s">
        <v>140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31.491</v>
      </c>
      <c r="K1144">
        <v>31.491</v>
      </c>
      <c r="L1144">
        <v>31.491</v>
      </c>
      <c r="M1144">
        <v>31.491</v>
      </c>
      <c r="N1144">
        <v>31.491</v>
      </c>
      <c r="O1144">
        <v>31.491</v>
      </c>
      <c r="P1144">
        <v>31.491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f>SUMPRODUCT(DB_ThemeSOFAcct[[#This Row],[Plan01]:[Plan12]],$E$14:$P$14)/valUnits2</f>
        <v>3.1490999999999998E-2</v>
      </c>
      <c r="AD1144">
        <f>SUMPRODUCT(DB_ThemeSOFAcct[[#This Row],[Act01]:[Act12]],$Q$14:$AB$14)/valUnits2</f>
        <v>0</v>
      </c>
      <c r="AE1144">
        <f>DB_ThemeSOFAcct[[#This Row],[Actuals]]-DB_ThemeSOFAcct[[#This Row],[Plan]]</f>
        <v>-3.1490999999999998E-2</v>
      </c>
      <c r="AF1144">
        <f>IF(DB_ThemeSOFAcct[[#This Row],[Plan]]&lt;&gt;0,DB_ThemeSOFAcct[[#This Row],[Actuals]]/DB_ThemeSOFAcct[[#This Row],[Plan]],1.000011000011)</f>
        <v>0</v>
      </c>
      <c r="AG1144" s="34">
        <f>SUM(DB_ThemeSOFAcct[[#This Row],[Plan01]:[Plan12]])/valUnits2</f>
        <v>0.22043699999999997</v>
      </c>
      <c r="AH1144" s="34">
        <f>SUMPRODUCT(DB_ThemeSOFAcct[[#This Row],[Act01]:[Act12]],$Q$3:$AB$3)/valUnits2</f>
        <v>0</v>
      </c>
    </row>
    <row r="1145" spans="2:34" x14ac:dyDescent="0.2">
      <c r="B1145" t="s">
        <v>350</v>
      </c>
      <c r="C1145" t="s">
        <v>895</v>
      </c>
      <c r="D1145" t="s">
        <v>141</v>
      </c>
      <c r="J1145">
        <v>0</v>
      </c>
      <c r="V1145">
        <v>1.05</v>
      </c>
      <c r="AC1145">
        <f>SUMPRODUCT(DB_ThemeSOFAcct[[#This Row],[Plan01]:[Plan12]],$E$14:$P$14)/valUnits2</f>
        <v>0</v>
      </c>
      <c r="AD1145">
        <f>SUMPRODUCT(DB_ThemeSOFAcct[[#This Row],[Act01]:[Act12]],$Q$14:$AB$14)/valUnits2</f>
        <v>1.0500000000000002E-3</v>
      </c>
      <c r="AE1145">
        <f>DB_ThemeSOFAcct[[#This Row],[Actuals]]-DB_ThemeSOFAcct[[#This Row],[Plan]]</f>
        <v>1.0500000000000002E-3</v>
      </c>
      <c r="AF1145">
        <f>IF(DB_ThemeSOFAcct[[#This Row],[Plan]]&lt;&gt;0,DB_ThemeSOFAcct[[#This Row],[Actuals]]/DB_ThemeSOFAcct[[#This Row],[Plan]],1.000011000011)</f>
        <v>1.0000110000110001</v>
      </c>
      <c r="AG1145" s="34">
        <f>SUM(DB_ThemeSOFAcct[[#This Row],[Plan01]:[Plan12]])/valUnits2</f>
        <v>0</v>
      </c>
      <c r="AH1145" s="34">
        <f>SUMPRODUCT(DB_ThemeSOFAcct[[#This Row],[Act01]:[Act12]],$Q$3:$AB$3)/valUnits2</f>
        <v>1.0500000000000002E-3</v>
      </c>
    </row>
    <row r="1146" spans="2:34" x14ac:dyDescent="0.2">
      <c r="B1146" t="s">
        <v>350</v>
      </c>
      <c r="C1146" t="s">
        <v>896</v>
      </c>
      <c r="D1146" t="s">
        <v>140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1070.2049999999999</v>
      </c>
      <c r="K1146">
        <v>1070.2049999999999</v>
      </c>
      <c r="L1146">
        <v>1070.2049999999999</v>
      </c>
      <c r="M1146">
        <v>1070.2049999999999</v>
      </c>
      <c r="N1146">
        <v>1070.2049999999999</v>
      </c>
      <c r="O1146">
        <v>1070.2049999999999</v>
      </c>
      <c r="P1146">
        <v>1070.2049999999999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f>SUMPRODUCT(DB_ThemeSOFAcct[[#This Row],[Plan01]:[Plan12]],$E$14:$P$14)/valUnits2</f>
        <v>1.0702049999999999</v>
      </c>
      <c r="AD1146">
        <f>SUMPRODUCT(DB_ThemeSOFAcct[[#This Row],[Act01]:[Act12]],$Q$14:$AB$14)/valUnits2</f>
        <v>0</v>
      </c>
      <c r="AE1146">
        <f>DB_ThemeSOFAcct[[#This Row],[Actuals]]-DB_ThemeSOFAcct[[#This Row],[Plan]]</f>
        <v>-1.0702049999999999</v>
      </c>
      <c r="AF1146">
        <f>IF(DB_ThemeSOFAcct[[#This Row],[Plan]]&lt;&gt;0,DB_ThemeSOFAcct[[#This Row],[Actuals]]/DB_ThemeSOFAcct[[#This Row],[Plan]],1.000011000011)</f>
        <v>0</v>
      </c>
      <c r="AG1146" s="34">
        <f>SUM(DB_ThemeSOFAcct[[#This Row],[Plan01]:[Plan12]])/valUnits2</f>
        <v>7.4914349999999992</v>
      </c>
      <c r="AH1146" s="34">
        <f>SUMPRODUCT(DB_ThemeSOFAcct[[#This Row],[Act01]:[Act12]],$Q$3:$AB$3)/valUnits2</f>
        <v>0</v>
      </c>
    </row>
    <row r="1147" spans="2:34" x14ac:dyDescent="0.2">
      <c r="B1147" t="s">
        <v>350</v>
      </c>
      <c r="C1147" t="s">
        <v>896</v>
      </c>
      <c r="D1147" t="s">
        <v>237</v>
      </c>
      <c r="F1147">
        <v>11.265000000000001</v>
      </c>
      <c r="H1147">
        <v>0</v>
      </c>
      <c r="R1147">
        <v>11.27</v>
      </c>
      <c r="T1147">
        <v>0</v>
      </c>
      <c r="AC1147">
        <f>SUMPRODUCT(DB_ThemeSOFAcct[[#This Row],[Plan01]:[Plan12]],$E$14:$P$14)/valUnits2</f>
        <v>1.1265000000000001E-2</v>
      </c>
      <c r="AD1147">
        <f>SUMPRODUCT(DB_ThemeSOFAcct[[#This Row],[Act01]:[Act12]],$Q$14:$AB$14)/valUnits2</f>
        <v>1.1269999999999999E-2</v>
      </c>
      <c r="AE1147">
        <f>DB_ThemeSOFAcct[[#This Row],[Actuals]]-DB_ThemeSOFAcct[[#This Row],[Plan]]</f>
        <v>4.9999999999980616E-6</v>
      </c>
      <c r="AF1147">
        <f>IF(DB_ThemeSOFAcct[[#This Row],[Plan]]&lt;&gt;0,DB_ThemeSOFAcct[[#This Row],[Actuals]]/DB_ThemeSOFAcct[[#This Row],[Plan]],1.000011000011)</f>
        <v>1.0004438526409229</v>
      </c>
      <c r="AG1147" s="34">
        <f>SUM(DB_ThemeSOFAcct[[#This Row],[Plan01]:[Plan12]])/valUnits2</f>
        <v>1.1265000000000001E-2</v>
      </c>
      <c r="AH1147" s="34">
        <f>SUMPRODUCT(DB_ThemeSOFAcct[[#This Row],[Act01]:[Act12]],$Q$3:$AB$3)/valUnits2</f>
        <v>1.1269999999999999E-2</v>
      </c>
    </row>
    <row r="1148" spans="2:34" x14ac:dyDescent="0.2">
      <c r="B1148" t="s">
        <v>350</v>
      </c>
      <c r="C1148" t="s">
        <v>896</v>
      </c>
      <c r="D1148" t="s">
        <v>141</v>
      </c>
      <c r="E1148">
        <v>0</v>
      </c>
      <c r="F1148">
        <v>0</v>
      </c>
      <c r="G1148">
        <v>0</v>
      </c>
      <c r="H1148">
        <v>0</v>
      </c>
      <c r="I1148">
        <v>177.86799999999999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178.73</v>
      </c>
      <c r="V1148">
        <v>37.35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f>SUMPRODUCT(DB_ThemeSOFAcct[[#This Row],[Plan01]:[Plan12]],$E$14:$P$14)/valUnits2</f>
        <v>0.177868</v>
      </c>
      <c r="AD1148">
        <f>SUMPRODUCT(DB_ThemeSOFAcct[[#This Row],[Act01]:[Act12]],$Q$14:$AB$14)/valUnits2</f>
        <v>0.21607999999999999</v>
      </c>
      <c r="AE1148">
        <f>DB_ThemeSOFAcct[[#This Row],[Actuals]]-DB_ThemeSOFAcct[[#This Row],[Plan]]</f>
        <v>3.8211999999999996E-2</v>
      </c>
      <c r="AF1148">
        <f>IF(DB_ThemeSOFAcct[[#This Row],[Plan]]&lt;&gt;0,DB_ThemeSOFAcct[[#This Row],[Actuals]]/DB_ThemeSOFAcct[[#This Row],[Plan]],1.000011000011)</f>
        <v>1.2148334720129534</v>
      </c>
      <c r="AG1148" s="34">
        <f>SUM(DB_ThemeSOFAcct[[#This Row],[Plan01]:[Plan12]])/valUnits2</f>
        <v>0.177868</v>
      </c>
      <c r="AH1148" s="34">
        <f>SUMPRODUCT(DB_ThemeSOFAcct[[#This Row],[Act01]:[Act12]],$Q$3:$AB$3)/valUnits2</f>
        <v>0.21607999999999999</v>
      </c>
    </row>
    <row r="1149" spans="2:34" x14ac:dyDescent="0.2">
      <c r="B1149" t="s">
        <v>350</v>
      </c>
      <c r="C1149" t="s">
        <v>897</v>
      </c>
      <c r="D1149" t="s">
        <v>141</v>
      </c>
      <c r="J1149">
        <v>0</v>
      </c>
      <c r="V1149">
        <v>2165.8900000000003</v>
      </c>
      <c r="AC1149">
        <f>SUMPRODUCT(DB_ThemeSOFAcct[[#This Row],[Plan01]:[Plan12]],$E$14:$P$14)/valUnits2</f>
        <v>0</v>
      </c>
      <c r="AD1149">
        <f>SUMPRODUCT(DB_ThemeSOFAcct[[#This Row],[Act01]:[Act12]],$Q$14:$AB$14)/valUnits2</f>
        <v>2.1658900000000005</v>
      </c>
      <c r="AE1149">
        <f>DB_ThemeSOFAcct[[#This Row],[Actuals]]-DB_ThemeSOFAcct[[#This Row],[Plan]]</f>
        <v>2.1658900000000005</v>
      </c>
      <c r="AF1149">
        <f>IF(DB_ThemeSOFAcct[[#This Row],[Plan]]&lt;&gt;0,DB_ThemeSOFAcct[[#This Row],[Actuals]]/DB_ThemeSOFAcct[[#This Row],[Plan]],1.000011000011)</f>
        <v>1.0000110000110001</v>
      </c>
      <c r="AG1149" s="34">
        <f>SUM(DB_ThemeSOFAcct[[#This Row],[Plan01]:[Plan12]])/valUnits2</f>
        <v>0</v>
      </c>
      <c r="AH1149" s="34">
        <f>SUMPRODUCT(DB_ThemeSOFAcct[[#This Row],[Act01]:[Act12]],$Q$3:$AB$3)/valUnits2</f>
        <v>2.1658900000000005</v>
      </c>
    </row>
    <row r="1150" spans="2:34" x14ac:dyDescent="0.2">
      <c r="B1150" t="s">
        <v>350</v>
      </c>
      <c r="C1150" t="s">
        <v>899</v>
      </c>
      <c r="D1150" t="s">
        <v>141</v>
      </c>
      <c r="F1150">
        <v>150.49</v>
      </c>
      <c r="G1150">
        <v>1065.2560000000001</v>
      </c>
      <c r="R1150">
        <v>150.01</v>
      </c>
      <c r="S1150">
        <v>1057.58</v>
      </c>
      <c r="AC1150">
        <f>SUMPRODUCT(DB_ThemeSOFAcct[[#This Row],[Plan01]:[Plan12]],$E$14:$P$14)/valUnits2</f>
        <v>1.215746</v>
      </c>
      <c r="AD1150">
        <f>SUMPRODUCT(DB_ThemeSOFAcct[[#This Row],[Act01]:[Act12]],$Q$14:$AB$14)/valUnits2</f>
        <v>1.2075899999999999</v>
      </c>
      <c r="AE1150">
        <f>DB_ThemeSOFAcct[[#This Row],[Actuals]]-DB_ThemeSOFAcct[[#This Row],[Plan]]</f>
        <v>-8.1560000000000521E-3</v>
      </c>
      <c r="AF1150">
        <f>IF(DB_ThemeSOFAcct[[#This Row],[Plan]]&lt;&gt;0,DB_ThemeSOFAcct[[#This Row],[Actuals]]/DB_ThemeSOFAcct[[#This Row],[Plan]],1.000011000011)</f>
        <v>0.99329136184696465</v>
      </c>
      <c r="AG1150" s="34">
        <f>SUM(DB_ThemeSOFAcct[[#This Row],[Plan01]:[Plan12]])/valUnits2</f>
        <v>1.215746</v>
      </c>
      <c r="AH1150" s="34">
        <f>SUMPRODUCT(DB_ThemeSOFAcct[[#This Row],[Act01]:[Act12]],$Q$3:$AB$3)/valUnits2</f>
        <v>1.2075899999999999</v>
      </c>
    </row>
    <row r="1151" spans="2:34" x14ac:dyDescent="0.2">
      <c r="B1151" t="s">
        <v>350</v>
      </c>
      <c r="C1151" t="s">
        <v>903</v>
      </c>
      <c r="D1151" t="s">
        <v>141</v>
      </c>
      <c r="J1151">
        <v>0</v>
      </c>
      <c r="V1151">
        <v>0.17</v>
      </c>
      <c r="AC1151">
        <f>SUMPRODUCT(DB_ThemeSOFAcct[[#This Row],[Plan01]:[Plan12]],$E$14:$P$14)/valUnits2</f>
        <v>0</v>
      </c>
      <c r="AD1151">
        <f>SUMPRODUCT(DB_ThemeSOFAcct[[#This Row],[Act01]:[Act12]],$Q$14:$AB$14)/valUnits2</f>
        <v>1.7000000000000001E-4</v>
      </c>
      <c r="AE1151">
        <f>DB_ThemeSOFAcct[[#This Row],[Actuals]]-DB_ThemeSOFAcct[[#This Row],[Plan]]</f>
        <v>1.7000000000000001E-4</v>
      </c>
      <c r="AF1151">
        <f>IF(DB_ThemeSOFAcct[[#This Row],[Plan]]&lt;&gt;0,DB_ThemeSOFAcct[[#This Row],[Actuals]]/DB_ThemeSOFAcct[[#This Row],[Plan]],1.000011000011)</f>
        <v>1.0000110000110001</v>
      </c>
      <c r="AG1151" s="34">
        <f>SUM(DB_ThemeSOFAcct[[#This Row],[Plan01]:[Plan12]])/valUnits2</f>
        <v>0</v>
      </c>
      <c r="AH1151" s="34">
        <f>SUMPRODUCT(DB_ThemeSOFAcct[[#This Row],[Act01]:[Act12]],$Q$3:$AB$3)/valUnits2</f>
        <v>1.7000000000000001E-4</v>
      </c>
    </row>
    <row r="1152" spans="2:34" x14ac:dyDescent="0.2">
      <c r="B1152" t="s">
        <v>350</v>
      </c>
      <c r="C1152" t="s">
        <v>365</v>
      </c>
      <c r="D1152" t="s">
        <v>140</v>
      </c>
      <c r="H1152">
        <v>0</v>
      </c>
      <c r="I1152">
        <v>0</v>
      </c>
      <c r="J1152">
        <v>104.051</v>
      </c>
      <c r="K1152">
        <v>104.051</v>
      </c>
      <c r="L1152">
        <v>104.051</v>
      </c>
      <c r="T1152">
        <v>0</v>
      </c>
      <c r="U1152">
        <v>0</v>
      </c>
      <c r="V1152">
        <v>0</v>
      </c>
      <c r="W1152">
        <v>0</v>
      </c>
      <c r="X1152">
        <v>0</v>
      </c>
      <c r="AC1152">
        <f>SUMPRODUCT(DB_ThemeSOFAcct[[#This Row],[Plan01]:[Plan12]],$E$14:$P$14)/valUnits2</f>
        <v>0.104051</v>
      </c>
      <c r="AD1152">
        <f>SUMPRODUCT(DB_ThemeSOFAcct[[#This Row],[Act01]:[Act12]],$Q$14:$AB$14)/valUnits2</f>
        <v>0</v>
      </c>
      <c r="AE1152">
        <f>DB_ThemeSOFAcct[[#This Row],[Actuals]]-DB_ThemeSOFAcct[[#This Row],[Plan]]</f>
        <v>-0.104051</v>
      </c>
      <c r="AF1152">
        <f>IF(DB_ThemeSOFAcct[[#This Row],[Plan]]&lt;&gt;0,DB_ThemeSOFAcct[[#This Row],[Actuals]]/DB_ThemeSOFAcct[[#This Row],[Plan]],1.000011000011)</f>
        <v>0</v>
      </c>
      <c r="AG1152" s="34">
        <f>SUM(DB_ThemeSOFAcct[[#This Row],[Plan01]:[Plan12]])/valUnits2</f>
        <v>0.31215300000000001</v>
      </c>
      <c r="AH1152" s="34">
        <f>SUMPRODUCT(DB_ThemeSOFAcct[[#This Row],[Act01]:[Act12]],$Q$3:$AB$3)/valUnits2</f>
        <v>0</v>
      </c>
    </row>
    <row r="1153" spans="2:34" x14ac:dyDescent="0.2">
      <c r="B1153" t="s">
        <v>350</v>
      </c>
      <c r="C1153" t="s">
        <v>365</v>
      </c>
      <c r="D1153" t="s">
        <v>141</v>
      </c>
      <c r="J1153">
        <v>0</v>
      </c>
      <c r="V1153">
        <v>0.13</v>
      </c>
      <c r="AC1153">
        <f>SUMPRODUCT(DB_ThemeSOFAcct[[#This Row],[Plan01]:[Plan12]],$E$14:$P$14)/valUnits2</f>
        <v>0</v>
      </c>
      <c r="AD1153">
        <f>SUMPRODUCT(DB_ThemeSOFAcct[[#This Row],[Act01]:[Act12]],$Q$14:$AB$14)/valUnits2</f>
        <v>1.3000000000000002E-4</v>
      </c>
      <c r="AE1153">
        <f>DB_ThemeSOFAcct[[#This Row],[Actuals]]-DB_ThemeSOFAcct[[#This Row],[Plan]]</f>
        <v>1.3000000000000002E-4</v>
      </c>
      <c r="AF1153">
        <f>IF(DB_ThemeSOFAcct[[#This Row],[Plan]]&lt;&gt;0,DB_ThemeSOFAcct[[#This Row],[Actuals]]/DB_ThemeSOFAcct[[#This Row],[Plan]],1.000011000011)</f>
        <v>1.0000110000110001</v>
      </c>
      <c r="AG1153" s="34">
        <f>SUM(DB_ThemeSOFAcct[[#This Row],[Plan01]:[Plan12]])/valUnits2</f>
        <v>0</v>
      </c>
      <c r="AH1153" s="34">
        <f>SUMPRODUCT(DB_ThemeSOFAcct[[#This Row],[Act01]:[Act12]],$Q$3:$AB$3)/valUnits2</f>
        <v>1.3000000000000002E-4</v>
      </c>
    </row>
    <row r="1154" spans="2:34" x14ac:dyDescent="0.2">
      <c r="B1154" t="s">
        <v>350</v>
      </c>
      <c r="C1154" t="s">
        <v>904</v>
      </c>
      <c r="D1154" t="s">
        <v>143</v>
      </c>
      <c r="I1154">
        <v>305.137</v>
      </c>
      <c r="U1154">
        <v>301.14</v>
      </c>
      <c r="AC1154">
        <f>SUMPRODUCT(DB_ThemeSOFAcct[[#This Row],[Plan01]:[Plan12]],$E$14:$P$14)/valUnits2</f>
        <v>0.30513699999999999</v>
      </c>
      <c r="AD1154">
        <f>SUMPRODUCT(DB_ThemeSOFAcct[[#This Row],[Act01]:[Act12]],$Q$14:$AB$14)/valUnits2</f>
        <v>0.30113999999999996</v>
      </c>
      <c r="AE1154">
        <f>DB_ThemeSOFAcct[[#This Row],[Actuals]]-DB_ThemeSOFAcct[[#This Row],[Plan]]</f>
        <v>-3.9970000000000283E-3</v>
      </c>
      <c r="AF1154">
        <f>IF(DB_ThemeSOFAcct[[#This Row],[Plan]]&lt;&gt;0,DB_ThemeSOFAcct[[#This Row],[Actuals]]/DB_ThemeSOFAcct[[#This Row],[Plan]],1.000011000011)</f>
        <v>0.98690096579569164</v>
      </c>
      <c r="AG1154" s="34">
        <f>SUM(DB_ThemeSOFAcct[[#This Row],[Plan01]:[Plan12]])/valUnits2</f>
        <v>0.30513699999999999</v>
      </c>
      <c r="AH1154" s="34">
        <f>SUMPRODUCT(DB_ThemeSOFAcct[[#This Row],[Act01]:[Act12]],$Q$3:$AB$3)/valUnits2</f>
        <v>0.30113999999999996</v>
      </c>
    </row>
    <row r="1155" spans="2:34" x14ac:dyDescent="0.2">
      <c r="B1155" t="s">
        <v>350</v>
      </c>
      <c r="C1155" t="s">
        <v>904</v>
      </c>
      <c r="D1155" t="s">
        <v>236</v>
      </c>
      <c r="G1155">
        <v>2.3330000000000002</v>
      </c>
      <c r="S1155">
        <v>2.31</v>
      </c>
      <c r="AC1155">
        <f>SUMPRODUCT(DB_ThemeSOFAcct[[#This Row],[Plan01]:[Plan12]],$E$14:$P$14)/valUnits2</f>
        <v>2.333E-3</v>
      </c>
      <c r="AD1155">
        <f>SUMPRODUCT(DB_ThemeSOFAcct[[#This Row],[Act01]:[Act12]],$Q$14:$AB$14)/valUnits2</f>
        <v>2.31E-3</v>
      </c>
      <c r="AE1155">
        <f>DB_ThemeSOFAcct[[#This Row],[Actuals]]-DB_ThemeSOFAcct[[#This Row],[Plan]]</f>
        <v>-2.3000000000000017E-5</v>
      </c>
      <c r="AF1155">
        <f>IF(DB_ThemeSOFAcct[[#This Row],[Plan]]&lt;&gt;0,DB_ThemeSOFAcct[[#This Row],[Actuals]]/DB_ThemeSOFAcct[[#This Row],[Plan]],1.000011000011)</f>
        <v>0.99014144877839694</v>
      </c>
      <c r="AG1155" s="34">
        <f>SUM(DB_ThemeSOFAcct[[#This Row],[Plan01]:[Plan12]])/valUnits2</f>
        <v>2.333E-3</v>
      </c>
      <c r="AH1155" s="34">
        <f>SUMPRODUCT(DB_ThemeSOFAcct[[#This Row],[Act01]:[Act12]],$Q$3:$AB$3)/valUnits2</f>
        <v>2.31E-3</v>
      </c>
    </row>
    <row r="1156" spans="2:34" x14ac:dyDescent="0.2">
      <c r="B1156" t="s">
        <v>350</v>
      </c>
      <c r="C1156" t="s">
        <v>904</v>
      </c>
      <c r="D1156" t="s">
        <v>141</v>
      </c>
      <c r="F1156">
        <v>5.5940000000000003</v>
      </c>
      <c r="G1156">
        <v>6.359</v>
      </c>
      <c r="I1156">
        <v>5.2140000000000004</v>
      </c>
      <c r="J1156">
        <v>0</v>
      </c>
      <c r="R1156">
        <v>5.58</v>
      </c>
      <c r="S1156">
        <v>6.3100000000000005</v>
      </c>
      <c r="U1156">
        <v>5.24</v>
      </c>
      <c r="V1156">
        <v>21.740000000000002</v>
      </c>
      <c r="AC1156">
        <f>SUMPRODUCT(DB_ThemeSOFAcct[[#This Row],[Plan01]:[Plan12]],$E$14:$P$14)/valUnits2</f>
        <v>1.7167000000000002E-2</v>
      </c>
      <c r="AD1156">
        <f>SUMPRODUCT(DB_ThemeSOFAcct[[#This Row],[Act01]:[Act12]],$Q$14:$AB$14)/valUnits2</f>
        <v>3.8870000000000002E-2</v>
      </c>
      <c r="AE1156">
        <f>DB_ThemeSOFAcct[[#This Row],[Actuals]]-DB_ThemeSOFAcct[[#This Row],[Plan]]</f>
        <v>2.1703E-2</v>
      </c>
      <c r="AF1156">
        <f>IF(DB_ThemeSOFAcct[[#This Row],[Plan]]&lt;&gt;0,DB_ThemeSOFAcct[[#This Row],[Actuals]]/DB_ThemeSOFAcct[[#This Row],[Plan]],1.000011000011)</f>
        <v>2.264227879070309</v>
      </c>
      <c r="AG1156" s="34">
        <f>SUM(DB_ThemeSOFAcct[[#This Row],[Plan01]:[Plan12]])/valUnits2</f>
        <v>1.7167000000000002E-2</v>
      </c>
      <c r="AH1156" s="34">
        <f>SUMPRODUCT(DB_ThemeSOFAcct[[#This Row],[Act01]:[Act12]],$Q$3:$AB$3)/valUnits2</f>
        <v>3.8870000000000002E-2</v>
      </c>
    </row>
    <row r="1157" spans="2:34" x14ac:dyDescent="0.2">
      <c r="B1157" t="s">
        <v>350</v>
      </c>
      <c r="C1157" t="s">
        <v>908</v>
      </c>
      <c r="D1157" t="s">
        <v>141</v>
      </c>
      <c r="G1157">
        <v>0</v>
      </c>
      <c r="H1157">
        <v>0</v>
      </c>
      <c r="I1157">
        <v>0</v>
      </c>
      <c r="J1157">
        <v>34.979999999999997</v>
      </c>
      <c r="K1157">
        <v>34.979999999999997</v>
      </c>
      <c r="L1157">
        <v>34.979999999999997</v>
      </c>
      <c r="M1157">
        <v>34.979999999999997</v>
      </c>
      <c r="N1157">
        <v>34.979999999999997</v>
      </c>
      <c r="O1157">
        <v>34.979999999999997</v>
      </c>
      <c r="P1157">
        <v>34.979999999999997</v>
      </c>
      <c r="S1157">
        <v>0</v>
      </c>
      <c r="T1157">
        <v>0</v>
      </c>
      <c r="U1157">
        <v>0</v>
      </c>
      <c r="V1157">
        <v>0.57999999999999996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f>SUMPRODUCT(DB_ThemeSOFAcct[[#This Row],[Plan01]:[Plan12]],$E$14:$P$14)/valUnits2</f>
        <v>3.4979999999999997E-2</v>
      </c>
      <c r="AD1157">
        <f>SUMPRODUCT(DB_ThemeSOFAcct[[#This Row],[Act01]:[Act12]],$Q$14:$AB$14)/valUnits2</f>
        <v>5.8E-4</v>
      </c>
      <c r="AE1157">
        <f>DB_ThemeSOFAcct[[#This Row],[Actuals]]-DB_ThemeSOFAcct[[#This Row],[Plan]]</f>
        <v>-3.44E-2</v>
      </c>
      <c r="AF1157">
        <f>IF(DB_ThemeSOFAcct[[#This Row],[Plan]]&lt;&gt;0,DB_ThemeSOFAcct[[#This Row],[Actuals]]/DB_ThemeSOFAcct[[#This Row],[Plan]],1.000011000011)</f>
        <v>1.6580903373356205E-2</v>
      </c>
      <c r="AG1157" s="34">
        <f>SUM(DB_ThemeSOFAcct[[#This Row],[Plan01]:[Plan12]])/valUnits2</f>
        <v>0.24485999999999997</v>
      </c>
      <c r="AH1157" s="34">
        <f>SUMPRODUCT(DB_ThemeSOFAcct[[#This Row],[Act01]:[Act12]],$Q$3:$AB$3)/valUnits2</f>
        <v>5.8E-4</v>
      </c>
    </row>
    <row r="1158" spans="2:34" x14ac:dyDescent="0.2">
      <c r="B1158" t="s">
        <v>350</v>
      </c>
      <c r="C1158" t="s">
        <v>909</v>
      </c>
      <c r="D1158" t="s">
        <v>143</v>
      </c>
      <c r="G1158">
        <v>0</v>
      </c>
      <c r="H1158">
        <v>0</v>
      </c>
      <c r="I1158">
        <v>1524.52</v>
      </c>
      <c r="S1158">
        <v>0</v>
      </c>
      <c r="T1158">
        <v>0</v>
      </c>
      <c r="U1158">
        <v>1524.52</v>
      </c>
      <c r="AC1158">
        <f>SUMPRODUCT(DB_ThemeSOFAcct[[#This Row],[Plan01]:[Plan12]],$E$14:$P$14)/valUnits2</f>
        <v>1.5245199999999999</v>
      </c>
      <c r="AD1158">
        <f>SUMPRODUCT(DB_ThemeSOFAcct[[#This Row],[Act01]:[Act12]],$Q$14:$AB$14)/valUnits2</f>
        <v>1.5245199999999999</v>
      </c>
      <c r="AE1158">
        <f>DB_ThemeSOFAcct[[#This Row],[Actuals]]-DB_ThemeSOFAcct[[#This Row],[Plan]]</f>
        <v>0</v>
      </c>
      <c r="AF1158">
        <f>IF(DB_ThemeSOFAcct[[#This Row],[Plan]]&lt;&gt;0,DB_ThemeSOFAcct[[#This Row],[Actuals]]/DB_ThemeSOFAcct[[#This Row],[Plan]],1.000011000011)</f>
        <v>1</v>
      </c>
      <c r="AG1158" s="34">
        <f>SUM(DB_ThemeSOFAcct[[#This Row],[Plan01]:[Plan12]])/valUnits2</f>
        <v>1.5245199999999999</v>
      </c>
      <c r="AH1158" s="34">
        <f>SUMPRODUCT(DB_ThemeSOFAcct[[#This Row],[Act01]:[Act12]],$Q$3:$AB$3)/valUnits2</f>
        <v>1.5245199999999999</v>
      </c>
    </row>
    <row r="1159" spans="2:34" x14ac:dyDescent="0.2">
      <c r="B1159" t="s">
        <v>350</v>
      </c>
      <c r="C1159" t="s">
        <v>909</v>
      </c>
      <c r="D1159" t="s">
        <v>235</v>
      </c>
      <c r="F1159">
        <v>226.36</v>
      </c>
      <c r="G1159">
        <v>72.09</v>
      </c>
      <c r="H1159">
        <v>51.7</v>
      </c>
      <c r="I1159">
        <v>98.62</v>
      </c>
      <c r="J1159">
        <v>250</v>
      </c>
      <c r="K1159">
        <v>250</v>
      </c>
      <c r="L1159">
        <v>250</v>
      </c>
      <c r="M1159">
        <v>250</v>
      </c>
      <c r="N1159">
        <v>250</v>
      </c>
      <c r="O1159">
        <v>250</v>
      </c>
      <c r="P1159">
        <v>250</v>
      </c>
      <c r="R1159">
        <v>226.36</v>
      </c>
      <c r="S1159">
        <v>72.09</v>
      </c>
      <c r="T1159">
        <v>51.7</v>
      </c>
      <c r="U1159">
        <v>98.62</v>
      </c>
      <c r="V1159">
        <v>-159.71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f>SUMPRODUCT(DB_ThemeSOFAcct[[#This Row],[Plan01]:[Plan12]],$E$14:$P$14)/valUnits2</f>
        <v>0.69877</v>
      </c>
      <c r="AD1159">
        <f>SUMPRODUCT(DB_ThemeSOFAcct[[#This Row],[Act01]:[Act12]],$Q$14:$AB$14)/valUnits2</f>
        <v>0.28906000000000004</v>
      </c>
      <c r="AE1159">
        <f>DB_ThemeSOFAcct[[#This Row],[Actuals]]-DB_ThemeSOFAcct[[#This Row],[Plan]]</f>
        <v>-0.40970999999999996</v>
      </c>
      <c r="AF1159">
        <f>IF(DB_ThemeSOFAcct[[#This Row],[Plan]]&lt;&gt;0,DB_ThemeSOFAcct[[#This Row],[Actuals]]/DB_ThemeSOFAcct[[#This Row],[Plan]],1.000011000011)</f>
        <v>0.41366973396110313</v>
      </c>
      <c r="AG1159" s="34">
        <f>SUM(DB_ThemeSOFAcct[[#This Row],[Plan01]:[Plan12]])/valUnits2</f>
        <v>2.1987700000000001</v>
      </c>
      <c r="AH1159" s="34">
        <f>SUMPRODUCT(DB_ThemeSOFAcct[[#This Row],[Act01]:[Act12]],$Q$3:$AB$3)/valUnits2</f>
        <v>0.28906000000000004</v>
      </c>
    </row>
    <row r="1160" spans="2:34" x14ac:dyDescent="0.2">
      <c r="B1160" t="s">
        <v>350</v>
      </c>
      <c r="C1160" t="s">
        <v>909</v>
      </c>
      <c r="D1160" t="s">
        <v>140</v>
      </c>
      <c r="E1160">
        <v>906.88</v>
      </c>
      <c r="F1160">
        <v>1030.55</v>
      </c>
      <c r="G1160">
        <v>1399.93</v>
      </c>
      <c r="J1160">
        <v>0</v>
      </c>
      <c r="Q1160">
        <v>906.88</v>
      </c>
      <c r="R1160">
        <v>1030.55</v>
      </c>
      <c r="S1160">
        <v>1399.93</v>
      </c>
      <c r="V1160">
        <v>83.1</v>
      </c>
      <c r="AC1160">
        <f>SUMPRODUCT(DB_ThemeSOFAcct[[#This Row],[Plan01]:[Plan12]],$E$14:$P$14)/valUnits2</f>
        <v>3.3373599999999999</v>
      </c>
      <c r="AD1160">
        <f>SUMPRODUCT(DB_ThemeSOFAcct[[#This Row],[Act01]:[Act12]],$Q$14:$AB$14)/valUnits2</f>
        <v>3.4204599999999994</v>
      </c>
      <c r="AE1160">
        <f>DB_ThemeSOFAcct[[#This Row],[Actuals]]-DB_ThemeSOFAcct[[#This Row],[Plan]]</f>
        <v>8.3099999999999508E-2</v>
      </c>
      <c r="AF1160">
        <f>IF(DB_ThemeSOFAcct[[#This Row],[Plan]]&lt;&gt;0,DB_ThemeSOFAcct[[#This Row],[Actuals]]/DB_ThemeSOFAcct[[#This Row],[Plan]],1.000011000011)</f>
        <v>1.024899920895558</v>
      </c>
      <c r="AG1160" s="34">
        <f>SUM(DB_ThemeSOFAcct[[#This Row],[Plan01]:[Plan12]])/valUnits2</f>
        <v>3.3373599999999999</v>
      </c>
      <c r="AH1160" s="34">
        <f>SUMPRODUCT(DB_ThemeSOFAcct[[#This Row],[Act01]:[Act12]],$Q$3:$AB$3)/valUnits2</f>
        <v>3.4204599999999994</v>
      </c>
    </row>
    <row r="1161" spans="2:34" x14ac:dyDescent="0.2">
      <c r="B1161" t="s">
        <v>350</v>
      </c>
      <c r="C1161" t="s">
        <v>909</v>
      </c>
      <c r="D1161" t="s">
        <v>236</v>
      </c>
      <c r="G1161">
        <v>19.89</v>
      </c>
      <c r="H1161">
        <v>98.210000000000008</v>
      </c>
      <c r="I1161">
        <v>7.74</v>
      </c>
      <c r="J1161">
        <v>0</v>
      </c>
      <c r="S1161">
        <v>19.89</v>
      </c>
      <c r="T1161">
        <v>98.210000000000008</v>
      </c>
      <c r="U1161">
        <v>7.74</v>
      </c>
      <c r="V1161">
        <v>-25.73</v>
      </c>
      <c r="AC1161">
        <f>SUMPRODUCT(DB_ThemeSOFAcct[[#This Row],[Plan01]:[Plan12]],$E$14:$P$14)/valUnits2</f>
        <v>0.12584000000000001</v>
      </c>
      <c r="AD1161">
        <f>SUMPRODUCT(DB_ThemeSOFAcct[[#This Row],[Act01]:[Act12]],$Q$14:$AB$14)/valUnits2</f>
        <v>0.10011</v>
      </c>
      <c r="AE1161">
        <f>DB_ThemeSOFAcct[[#This Row],[Actuals]]-DB_ThemeSOFAcct[[#This Row],[Plan]]</f>
        <v>-2.5730000000000003E-2</v>
      </c>
      <c r="AF1161">
        <f>IF(DB_ThemeSOFAcct[[#This Row],[Plan]]&lt;&gt;0,DB_ThemeSOFAcct[[#This Row],[Actuals]]/DB_ThemeSOFAcct[[#This Row],[Plan]],1.000011000011)</f>
        <v>0.79553401144310232</v>
      </c>
      <c r="AG1161" s="34">
        <f>SUM(DB_ThemeSOFAcct[[#This Row],[Plan01]:[Plan12]])/valUnits2</f>
        <v>0.12584000000000001</v>
      </c>
      <c r="AH1161" s="34">
        <f>SUMPRODUCT(DB_ThemeSOFAcct[[#This Row],[Act01]:[Act12]],$Q$3:$AB$3)/valUnits2</f>
        <v>0.10011</v>
      </c>
    </row>
    <row r="1162" spans="2:34" x14ac:dyDescent="0.2">
      <c r="B1162" t="s">
        <v>350</v>
      </c>
      <c r="C1162" t="s">
        <v>909</v>
      </c>
      <c r="D1162" t="s">
        <v>237</v>
      </c>
      <c r="F1162">
        <v>119.1</v>
      </c>
      <c r="G1162">
        <v>0</v>
      </c>
      <c r="H1162">
        <v>0</v>
      </c>
      <c r="I1162">
        <v>0</v>
      </c>
      <c r="R1162">
        <v>119.1</v>
      </c>
      <c r="S1162">
        <v>0</v>
      </c>
      <c r="T1162">
        <v>0</v>
      </c>
      <c r="U1162">
        <v>0</v>
      </c>
      <c r="AC1162">
        <f>SUMPRODUCT(DB_ThemeSOFAcct[[#This Row],[Plan01]:[Plan12]],$E$14:$P$14)/valUnits2</f>
        <v>0.1191</v>
      </c>
      <c r="AD1162">
        <f>SUMPRODUCT(DB_ThemeSOFAcct[[#This Row],[Act01]:[Act12]],$Q$14:$AB$14)/valUnits2</f>
        <v>0.1191</v>
      </c>
      <c r="AE1162">
        <f>DB_ThemeSOFAcct[[#This Row],[Actuals]]-DB_ThemeSOFAcct[[#This Row],[Plan]]</f>
        <v>0</v>
      </c>
      <c r="AF1162">
        <f>IF(DB_ThemeSOFAcct[[#This Row],[Plan]]&lt;&gt;0,DB_ThemeSOFAcct[[#This Row],[Actuals]]/DB_ThemeSOFAcct[[#This Row],[Plan]],1.000011000011)</f>
        <v>1</v>
      </c>
      <c r="AG1162" s="34">
        <f>SUM(DB_ThemeSOFAcct[[#This Row],[Plan01]:[Plan12]])/valUnits2</f>
        <v>0.1191</v>
      </c>
      <c r="AH1162" s="34">
        <f>SUMPRODUCT(DB_ThemeSOFAcct[[#This Row],[Act01]:[Act12]],$Q$3:$AB$3)/valUnits2</f>
        <v>0.1191</v>
      </c>
    </row>
    <row r="1163" spans="2:34" x14ac:dyDescent="0.2">
      <c r="B1163" t="s">
        <v>350</v>
      </c>
      <c r="C1163" t="s">
        <v>909</v>
      </c>
      <c r="D1163" t="s">
        <v>141</v>
      </c>
      <c r="E1163">
        <v>198.06</v>
      </c>
      <c r="F1163">
        <v>443.43</v>
      </c>
      <c r="G1163">
        <v>411.80999999999995</v>
      </c>
      <c r="H1163">
        <v>68.430000000000007</v>
      </c>
      <c r="I1163">
        <v>202.65</v>
      </c>
      <c r="J1163">
        <v>0</v>
      </c>
      <c r="Q1163">
        <v>198.05999999999997</v>
      </c>
      <c r="R1163">
        <v>443.42999999999995</v>
      </c>
      <c r="S1163">
        <v>411.81000000000006</v>
      </c>
      <c r="T1163">
        <v>68.429999999999993</v>
      </c>
      <c r="U1163">
        <v>202.65</v>
      </c>
      <c r="V1163">
        <v>272.93</v>
      </c>
      <c r="AC1163">
        <f>SUMPRODUCT(DB_ThemeSOFAcct[[#This Row],[Plan01]:[Plan12]],$E$14:$P$14)/valUnits2</f>
        <v>1.3243800000000001</v>
      </c>
      <c r="AD1163">
        <f>SUMPRODUCT(DB_ThemeSOFAcct[[#This Row],[Act01]:[Act12]],$Q$14:$AB$14)/valUnits2</f>
        <v>1.5973100000000002</v>
      </c>
      <c r="AE1163">
        <f>DB_ThemeSOFAcct[[#This Row],[Actuals]]-DB_ThemeSOFAcct[[#This Row],[Plan]]</f>
        <v>0.27293000000000012</v>
      </c>
      <c r="AF1163">
        <f>IF(DB_ThemeSOFAcct[[#This Row],[Plan]]&lt;&gt;0,DB_ThemeSOFAcct[[#This Row],[Actuals]]/DB_ThemeSOFAcct[[#This Row],[Plan]],1.000011000011)</f>
        <v>1.2060813361723977</v>
      </c>
      <c r="AG1163" s="34">
        <f>SUM(DB_ThemeSOFAcct[[#This Row],[Plan01]:[Plan12]])/valUnits2</f>
        <v>1.3243800000000001</v>
      </c>
      <c r="AH1163" s="34">
        <f>SUMPRODUCT(DB_ThemeSOFAcct[[#This Row],[Act01]:[Act12]],$Q$3:$AB$3)/valUnits2</f>
        <v>1.5973100000000002</v>
      </c>
    </row>
    <row r="1164" spans="2:34" x14ac:dyDescent="0.2">
      <c r="B1164" t="s">
        <v>350</v>
      </c>
      <c r="C1164" t="s">
        <v>354</v>
      </c>
      <c r="D1164" t="s">
        <v>141</v>
      </c>
      <c r="J1164">
        <v>0</v>
      </c>
      <c r="V1164">
        <v>0.17</v>
      </c>
      <c r="AC1164">
        <f>SUMPRODUCT(DB_ThemeSOFAcct[[#This Row],[Plan01]:[Plan12]],$E$14:$P$14)/valUnits2</f>
        <v>0</v>
      </c>
      <c r="AD1164">
        <f>SUMPRODUCT(DB_ThemeSOFAcct[[#This Row],[Act01]:[Act12]],$Q$14:$AB$14)/valUnits2</f>
        <v>1.7000000000000001E-4</v>
      </c>
      <c r="AE1164">
        <f>DB_ThemeSOFAcct[[#This Row],[Actuals]]-DB_ThemeSOFAcct[[#This Row],[Plan]]</f>
        <v>1.7000000000000001E-4</v>
      </c>
      <c r="AF1164">
        <f>IF(DB_ThemeSOFAcct[[#This Row],[Plan]]&lt;&gt;0,DB_ThemeSOFAcct[[#This Row],[Actuals]]/DB_ThemeSOFAcct[[#This Row],[Plan]],1.000011000011)</f>
        <v>1.0000110000110001</v>
      </c>
      <c r="AG1164" s="34">
        <f>SUM(DB_ThemeSOFAcct[[#This Row],[Plan01]:[Plan12]])/valUnits2</f>
        <v>0</v>
      </c>
      <c r="AH1164" s="34">
        <f>SUMPRODUCT(DB_ThemeSOFAcct[[#This Row],[Act01]:[Act12]],$Q$3:$AB$3)/valUnits2</f>
        <v>1.7000000000000001E-4</v>
      </c>
    </row>
    <row r="1165" spans="2:34" x14ac:dyDescent="0.2">
      <c r="B1165" t="s">
        <v>350</v>
      </c>
      <c r="C1165" t="s">
        <v>911</v>
      </c>
      <c r="D1165" t="s">
        <v>140</v>
      </c>
      <c r="E1165">
        <v>186.72399999999999</v>
      </c>
      <c r="F1165">
        <v>1891.0430000000001</v>
      </c>
      <c r="G1165">
        <v>2075.7509999999997</v>
      </c>
      <c r="H1165">
        <v>2139.8609999999999</v>
      </c>
      <c r="I1165">
        <v>2092.701</v>
      </c>
      <c r="J1165">
        <v>775.13099999999997</v>
      </c>
      <c r="K1165">
        <v>775.13099999999997</v>
      </c>
      <c r="L1165">
        <v>775.13099999999997</v>
      </c>
      <c r="M1165">
        <v>775.13099999999997</v>
      </c>
      <c r="N1165">
        <v>775.13099999999997</v>
      </c>
      <c r="Q1165">
        <v>0</v>
      </c>
      <c r="R1165">
        <v>1593.38</v>
      </c>
      <c r="S1165">
        <v>1300.6199999999999</v>
      </c>
      <c r="T1165">
        <v>1364.73</v>
      </c>
      <c r="U1165">
        <v>1317.57</v>
      </c>
      <c r="V1165">
        <v>1348.2</v>
      </c>
      <c r="W1165">
        <v>0</v>
      </c>
      <c r="X1165">
        <v>0</v>
      </c>
      <c r="Y1165">
        <v>0</v>
      </c>
      <c r="Z1165">
        <v>0</v>
      </c>
      <c r="AC1165">
        <f>SUMPRODUCT(DB_ThemeSOFAcct[[#This Row],[Plan01]:[Plan12]],$E$14:$P$14)/valUnits2</f>
        <v>9.1612109999999998</v>
      </c>
      <c r="AD1165">
        <f>SUMPRODUCT(DB_ThemeSOFAcct[[#This Row],[Act01]:[Act12]],$Q$14:$AB$14)/valUnits2</f>
        <v>6.9244999999999992</v>
      </c>
      <c r="AE1165">
        <f>DB_ThemeSOFAcct[[#This Row],[Actuals]]-DB_ThemeSOFAcct[[#This Row],[Plan]]</f>
        <v>-2.2367110000000006</v>
      </c>
      <c r="AF1165">
        <f>IF(DB_ThemeSOFAcct[[#This Row],[Plan]]&lt;&gt;0,DB_ThemeSOFAcct[[#This Row],[Actuals]]/DB_ThemeSOFAcct[[#This Row],[Plan]],1.000011000011)</f>
        <v>0.75584985434785856</v>
      </c>
      <c r="AG1165" s="34">
        <f>SUM(DB_ThemeSOFAcct[[#This Row],[Plan01]:[Plan12]])/valUnits2</f>
        <v>12.261734999999996</v>
      </c>
      <c r="AH1165" s="34">
        <f>SUMPRODUCT(DB_ThemeSOFAcct[[#This Row],[Act01]:[Act12]],$Q$3:$AB$3)/valUnits2</f>
        <v>6.9244999999999992</v>
      </c>
    </row>
    <row r="1166" spans="2:34" x14ac:dyDescent="0.2">
      <c r="B1166" t="s">
        <v>350</v>
      </c>
      <c r="C1166" t="s">
        <v>911</v>
      </c>
      <c r="D1166" t="s">
        <v>141</v>
      </c>
      <c r="J1166">
        <v>0</v>
      </c>
      <c r="V1166">
        <v>6.2</v>
      </c>
      <c r="AC1166">
        <f>SUMPRODUCT(DB_ThemeSOFAcct[[#This Row],[Plan01]:[Plan12]],$E$14:$P$14)/valUnits2</f>
        <v>0</v>
      </c>
      <c r="AD1166">
        <f>SUMPRODUCT(DB_ThemeSOFAcct[[#This Row],[Act01]:[Act12]],$Q$14:$AB$14)/valUnits2</f>
        <v>6.1999999999999998E-3</v>
      </c>
      <c r="AE1166">
        <f>DB_ThemeSOFAcct[[#This Row],[Actuals]]-DB_ThemeSOFAcct[[#This Row],[Plan]]</f>
        <v>6.1999999999999998E-3</v>
      </c>
      <c r="AF1166">
        <f>IF(DB_ThemeSOFAcct[[#This Row],[Plan]]&lt;&gt;0,DB_ThemeSOFAcct[[#This Row],[Actuals]]/DB_ThemeSOFAcct[[#This Row],[Plan]],1.000011000011)</f>
        <v>1.0000110000110001</v>
      </c>
      <c r="AG1166" s="34">
        <f>SUM(DB_ThemeSOFAcct[[#This Row],[Plan01]:[Plan12]])/valUnits2</f>
        <v>0</v>
      </c>
      <c r="AH1166" s="34">
        <f>SUMPRODUCT(DB_ThemeSOFAcct[[#This Row],[Act01]:[Act12]],$Q$3:$AB$3)/valUnits2</f>
        <v>6.1999999999999998E-3</v>
      </c>
    </row>
    <row r="1167" spans="2:34" x14ac:dyDescent="0.2">
      <c r="B1167" t="s">
        <v>350</v>
      </c>
      <c r="C1167" t="s">
        <v>915</v>
      </c>
      <c r="D1167" t="s">
        <v>140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575.25400000000002</v>
      </c>
      <c r="K1167">
        <v>575.25400000000002</v>
      </c>
      <c r="L1167">
        <v>575.25400000000002</v>
      </c>
      <c r="M1167">
        <v>575.25400000000002</v>
      </c>
      <c r="N1167">
        <v>575.25400000000002</v>
      </c>
      <c r="O1167">
        <v>575.25400000000002</v>
      </c>
      <c r="P1167">
        <v>575.25400000000002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f>SUMPRODUCT(DB_ThemeSOFAcct[[#This Row],[Plan01]:[Plan12]],$E$14:$P$14)/valUnits2</f>
        <v>0.57525400000000004</v>
      </c>
      <c r="AD1167">
        <f>SUMPRODUCT(DB_ThemeSOFAcct[[#This Row],[Act01]:[Act12]],$Q$14:$AB$14)/valUnits2</f>
        <v>0</v>
      </c>
      <c r="AE1167">
        <f>DB_ThemeSOFAcct[[#This Row],[Actuals]]-DB_ThemeSOFAcct[[#This Row],[Plan]]</f>
        <v>-0.57525400000000004</v>
      </c>
      <c r="AF1167">
        <f>IF(DB_ThemeSOFAcct[[#This Row],[Plan]]&lt;&gt;0,DB_ThemeSOFAcct[[#This Row],[Actuals]]/DB_ThemeSOFAcct[[#This Row],[Plan]],1.000011000011)</f>
        <v>0</v>
      </c>
      <c r="AG1167" s="34">
        <f>SUM(DB_ThemeSOFAcct[[#This Row],[Plan01]:[Plan12]])/valUnits2</f>
        <v>4.0267780000000002</v>
      </c>
      <c r="AH1167" s="34">
        <f>SUMPRODUCT(DB_ThemeSOFAcct[[#This Row],[Act01]:[Act12]],$Q$3:$AB$3)/valUnits2</f>
        <v>0</v>
      </c>
    </row>
    <row r="1168" spans="2:34" x14ac:dyDescent="0.2">
      <c r="B1168" t="s">
        <v>350</v>
      </c>
      <c r="C1168" t="s">
        <v>915</v>
      </c>
      <c r="D1168" t="s">
        <v>141</v>
      </c>
      <c r="J1168">
        <v>0</v>
      </c>
      <c r="V1168">
        <v>0.28999999999999998</v>
      </c>
      <c r="AC1168">
        <f>SUMPRODUCT(DB_ThemeSOFAcct[[#This Row],[Plan01]:[Plan12]],$E$14:$P$14)/valUnits2</f>
        <v>0</v>
      </c>
      <c r="AD1168">
        <f>SUMPRODUCT(DB_ThemeSOFAcct[[#This Row],[Act01]:[Act12]],$Q$14:$AB$14)/valUnits2</f>
        <v>2.9E-4</v>
      </c>
      <c r="AE1168">
        <f>DB_ThemeSOFAcct[[#This Row],[Actuals]]-DB_ThemeSOFAcct[[#This Row],[Plan]]</f>
        <v>2.9E-4</v>
      </c>
      <c r="AF1168">
        <f>IF(DB_ThemeSOFAcct[[#This Row],[Plan]]&lt;&gt;0,DB_ThemeSOFAcct[[#This Row],[Actuals]]/DB_ThemeSOFAcct[[#This Row],[Plan]],1.000011000011)</f>
        <v>1.0000110000110001</v>
      </c>
      <c r="AG1168" s="34">
        <f>SUM(DB_ThemeSOFAcct[[#This Row],[Plan01]:[Plan12]])/valUnits2</f>
        <v>0</v>
      </c>
      <c r="AH1168" s="34">
        <f>SUMPRODUCT(DB_ThemeSOFAcct[[#This Row],[Act01]:[Act12]],$Q$3:$AB$3)/valUnits2</f>
        <v>2.9E-4</v>
      </c>
    </row>
    <row r="1169" spans="2:34" x14ac:dyDescent="0.2">
      <c r="B1169" t="s">
        <v>350</v>
      </c>
      <c r="C1169" t="s">
        <v>917</v>
      </c>
      <c r="D1169" t="s">
        <v>235</v>
      </c>
      <c r="J1169">
        <v>0</v>
      </c>
      <c r="V1169">
        <v>226.36</v>
      </c>
      <c r="AC1169">
        <f>SUMPRODUCT(DB_ThemeSOFAcct[[#This Row],[Plan01]:[Plan12]],$E$14:$P$14)/valUnits2</f>
        <v>0</v>
      </c>
      <c r="AD1169">
        <f>SUMPRODUCT(DB_ThemeSOFAcct[[#This Row],[Act01]:[Act12]],$Q$14:$AB$14)/valUnits2</f>
        <v>0.22636000000000001</v>
      </c>
      <c r="AE1169">
        <f>DB_ThemeSOFAcct[[#This Row],[Actuals]]-DB_ThemeSOFAcct[[#This Row],[Plan]]</f>
        <v>0.22636000000000001</v>
      </c>
      <c r="AF1169">
        <f>IF(DB_ThemeSOFAcct[[#This Row],[Plan]]&lt;&gt;0,DB_ThemeSOFAcct[[#This Row],[Actuals]]/DB_ThemeSOFAcct[[#This Row],[Plan]],1.000011000011)</f>
        <v>1.0000110000110001</v>
      </c>
      <c r="AG1169" s="34">
        <f>SUM(DB_ThemeSOFAcct[[#This Row],[Plan01]:[Plan12]])/valUnits2</f>
        <v>0</v>
      </c>
      <c r="AH1169" s="34">
        <f>SUMPRODUCT(DB_ThemeSOFAcct[[#This Row],[Act01]:[Act12]],$Q$3:$AB$3)/valUnits2</f>
        <v>0.22636000000000001</v>
      </c>
    </row>
    <row r="1170" spans="2:34" x14ac:dyDescent="0.2">
      <c r="B1170" t="s">
        <v>350</v>
      </c>
      <c r="C1170" t="s">
        <v>917</v>
      </c>
      <c r="D1170" t="s">
        <v>236</v>
      </c>
      <c r="J1170">
        <v>0</v>
      </c>
      <c r="V1170">
        <v>25.73</v>
      </c>
      <c r="AC1170">
        <f>SUMPRODUCT(DB_ThemeSOFAcct[[#This Row],[Plan01]:[Plan12]],$E$14:$P$14)/valUnits2</f>
        <v>0</v>
      </c>
      <c r="AD1170">
        <f>SUMPRODUCT(DB_ThemeSOFAcct[[#This Row],[Act01]:[Act12]],$Q$14:$AB$14)/valUnits2</f>
        <v>2.5729999999999999E-2</v>
      </c>
      <c r="AE1170">
        <f>DB_ThemeSOFAcct[[#This Row],[Actuals]]-DB_ThemeSOFAcct[[#This Row],[Plan]]</f>
        <v>2.5729999999999999E-2</v>
      </c>
      <c r="AF1170">
        <f>IF(DB_ThemeSOFAcct[[#This Row],[Plan]]&lt;&gt;0,DB_ThemeSOFAcct[[#This Row],[Actuals]]/DB_ThemeSOFAcct[[#This Row],[Plan]],1.000011000011)</f>
        <v>1.0000110000110001</v>
      </c>
      <c r="AG1170" s="34">
        <f>SUM(DB_ThemeSOFAcct[[#This Row],[Plan01]:[Plan12]])/valUnits2</f>
        <v>0</v>
      </c>
      <c r="AH1170" s="34">
        <f>SUMPRODUCT(DB_ThemeSOFAcct[[#This Row],[Act01]:[Act12]],$Q$3:$AB$3)/valUnits2</f>
        <v>2.5729999999999999E-2</v>
      </c>
    </row>
    <row r="1171" spans="2:34" x14ac:dyDescent="0.2">
      <c r="B1171" t="s">
        <v>350</v>
      </c>
      <c r="C1171" t="s">
        <v>917</v>
      </c>
      <c r="D1171" t="s">
        <v>141</v>
      </c>
      <c r="J1171">
        <v>0</v>
      </c>
      <c r="V1171">
        <v>211.98</v>
      </c>
      <c r="AC1171">
        <f>SUMPRODUCT(DB_ThemeSOFAcct[[#This Row],[Plan01]:[Plan12]],$E$14:$P$14)/valUnits2</f>
        <v>0</v>
      </c>
      <c r="AD1171">
        <f>SUMPRODUCT(DB_ThemeSOFAcct[[#This Row],[Act01]:[Act12]],$Q$14:$AB$14)/valUnits2</f>
        <v>0.21198</v>
      </c>
      <c r="AE1171">
        <f>DB_ThemeSOFAcct[[#This Row],[Actuals]]-DB_ThemeSOFAcct[[#This Row],[Plan]]</f>
        <v>0.21198</v>
      </c>
      <c r="AF1171">
        <f>IF(DB_ThemeSOFAcct[[#This Row],[Plan]]&lt;&gt;0,DB_ThemeSOFAcct[[#This Row],[Actuals]]/DB_ThemeSOFAcct[[#This Row],[Plan]],1.000011000011)</f>
        <v>1.0000110000110001</v>
      </c>
      <c r="AG1171" s="34">
        <f>SUM(DB_ThemeSOFAcct[[#This Row],[Plan01]:[Plan12]])/valUnits2</f>
        <v>0</v>
      </c>
      <c r="AH1171" s="34">
        <f>SUMPRODUCT(DB_ThemeSOFAcct[[#This Row],[Act01]:[Act12]],$Q$3:$AB$3)/valUnits2</f>
        <v>0.21198</v>
      </c>
    </row>
    <row r="1172" spans="2:34" x14ac:dyDescent="0.2">
      <c r="B1172" t="s">
        <v>350</v>
      </c>
      <c r="C1172" t="s">
        <v>918</v>
      </c>
      <c r="D1172" t="s">
        <v>235</v>
      </c>
      <c r="I1172">
        <v>69.548000000000002</v>
      </c>
      <c r="U1172">
        <v>68.98</v>
      </c>
      <c r="AC1172">
        <f>SUMPRODUCT(DB_ThemeSOFAcct[[#This Row],[Plan01]:[Plan12]],$E$14:$P$14)/valUnits2</f>
        <v>6.9547999999999999E-2</v>
      </c>
      <c r="AD1172">
        <f>SUMPRODUCT(DB_ThemeSOFAcct[[#This Row],[Act01]:[Act12]],$Q$14:$AB$14)/valUnits2</f>
        <v>6.898E-2</v>
      </c>
      <c r="AE1172">
        <f>DB_ThemeSOFAcct[[#This Row],[Actuals]]-DB_ThemeSOFAcct[[#This Row],[Plan]]</f>
        <v>-5.6799999999999906E-4</v>
      </c>
      <c r="AF1172">
        <f>IF(DB_ThemeSOFAcct[[#This Row],[Plan]]&lt;&gt;0,DB_ThemeSOFAcct[[#This Row],[Actuals]]/DB_ThemeSOFAcct[[#This Row],[Plan]],1.000011000011)</f>
        <v>0.99183297866221887</v>
      </c>
      <c r="AG1172" s="34">
        <f>SUM(DB_ThemeSOFAcct[[#This Row],[Plan01]:[Plan12]])/valUnits2</f>
        <v>6.9547999999999999E-2</v>
      </c>
      <c r="AH1172" s="34">
        <f>SUMPRODUCT(DB_ThemeSOFAcct[[#This Row],[Act01]:[Act12]],$Q$3:$AB$3)/valUnits2</f>
        <v>6.898E-2</v>
      </c>
    </row>
    <row r="1173" spans="2:34" x14ac:dyDescent="0.2">
      <c r="B1173" t="s">
        <v>350</v>
      </c>
      <c r="C1173" t="s">
        <v>918</v>
      </c>
      <c r="D1173" t="s">
        <v>236</v>
      </c>
      <c r="E1173">
        <v>0</v>
      </c>
      <c r="H1173">
        <v>0</v>
      </c>
      <c r="K1173">
        <v>0</v>
      </c>
      <c r="N1173">
        <v>0</v>
      </c>
      <c r="Q1173">
        <v>0</v>
      </c>
      <c r="T1173">
        <v>0</v>
      </c>
      <c r="W1173">
        <v>0</v>
      </c>
      <c r="Z1173">
        <v>0</v>
      </c>
      <c r="AC1173">
        <f>SUMPRODUCT(DB_ThemeSOFAcct[[#This Row],[Plan01]:[Plan12]],$E$14:$P$14)/valUnits2</f>
        <v>0</v>
      </c>
      <c r="AD1173">
        <f>SUMPRODUCT(DB_ThemeSOFAcct[[#This Row],[Act01]:[Act12]],$Q$14:$AB$14)/valUnits2</f>
        <v>0</v>
      </c>
      <c r="AE1173">
        <f>DB_ThemeSOFAcct[[#This Row],[Actuals]]-DB_ThemeSOFAcct[[#This Row],[Plan]]</f>
        <v>0</v>
      </c>
      <c r="AF1173">
        <f>IF(DB_ThemeSOFAcct[[#This Row],[Plan]]&lt;&gt;0,DB_ThemeSOFAcct[[#This Row],[Actuals]]/DB_ThemeSOFAcct[[#This Row],[Plan]],1.000011000011)</f>
        <v>1.0000110000110001</v>
      </c>
      <c r="AG1173" s="34">
        <f>SUM(DB_ThemeSOFAcct[[#This Row],[Plan01]:[Plan12]])/valUnits2</f>
        <v>0</v>
      </c>
      <c r="AH1173" s="34">
        <f>SUMPRODUCT(DB_ThemeSOFAcct[[#This Row],[Act01]:[Act12]],$Q$3:$AB$3)/valUnits2</f>
        <v>0</v>
      </c>
    </row>
    <row r="1174" spans="2:34" x14ac:dyDescent="0.2">
      <c r="B1174" t="s">
        <v>350</v>
      </c>
      <c r="C1174" t="s">
        <v>918</v>
      </c>
      <c r="D1174" t="s">
        <v>141</v>
      </c>
      <c r="I1174">
        <v>45.470999999999997</v>
      </c>
      <c r="J1174">
        <v>0</v>
      </c>
      <c r="U1174">
        <v>45.1</v>
      </c>
      <c r="V1174">
        <v>0.53</v>
      </c>
      <c r="AC1174">
        <f>SUMPRODUCT(DB_ThemeSOFAcct[[#This Row],[Plan01]:[Plan12]],$E$14:$P$14)/valUnits2</f>
        <v>4.5470999999999998E-2</v>
      </c>
      <c r="AD1174">
        <f>SUMPRODUCT(DB_ThemeSOFAcct[[#This Row],[Act01]:[Act12]],$Q$14:$AB$14)/valUnits2</f>
        <v>4.5630000000000004E-2</v>
      </c>
      <c r="AE1174">
        <f>DB_ThemeSOFAcct[[#This Row],[Actuals]]-DB_ThemeSOFAcct[[#This Row],[Plan]]</f>
        <v>1.5900000000000636E-4</v>
      </c>
      <c r="AF1174">
        <f>IF(DB_ThemeSOFAcct[[#This Row],[Plan]]&lt;&gt;0,DB_ThemeSOFAcct[[#This Row],[Actuals]]/DB_ThemeSOFAcct[[#This Row],[Plan]],1.000011000011)</f>
        <v>1.0034967341822261</v>
      </c>
      <c r="AG1174" s="34">
        <f>SUM(DB_ThemeSOFAcct[[#This Row],[Plan01]:[Plan12]])/valUnits2</f>
        <v>4.5470999999999998E-2</v>
      </c>
      <c r="AH1174" s="34">
        <f>SUMPRODUCT(DB_ThemeSOFAcct[[#This Row],[Act01]:[Act12]],$Q$3:$AB$3)/valUnits2</f>
        <v>4.5630000000000004E-2</v>
      </c>
    </row>
    <row r="1175" spans="2:34" x14ac:dyDescent="0.2">
      <c r="B1175" t="s">
        <v>350</v>
      </c>
      <c r="C1175" t="s">
        <v>356</v>
      </c>
      <c r="D1175" t="s">
        <v>235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AC1175">
        <f>SUMPRODUCT(DB_ThemeSOFAcct[[#This Row],[Plan01]:[Plan12]],$E$14:$P$14)/valUnits2</f>
        <v>0</v>
      </c>
      <c r="AD1175">
        <f>SUMPRODUCT(DB_ThemeSOFAcct[[#This Row],[Act01]:[Act12]],$Q$14:$AB$14)/valUnits2</f>
        <v>0</v>
      </c>
      <c r="AE1175">
        <f>DB_ThemeSOFAcct[[#This Row],[Actuals]]-DB_ThemeSOFAcct[[#This Row],[Plan]]</f>
        <v>0</v>
      </c>
      <c r="AF1175">
        <f>IF(DB_ThemeSOFAcct[[#This Row],[Plan]]&lt;&gt;0,DB_ThemeSOFAcct[[#This Row],[Actuals]]/DB_ThemeSOFAcct[[#This Row],[Plan]],1.000011000011)</f>
        <v>1.0000110000110001</v>
      </c>
      <c r="AG1175" s="34">
        <f>SUM(DB_ThemeSOFAcct[[#This Row],[Plan01]:[Plan12]])/valUnits2</f>
        <v>0</v>
      </c>
      <c r="AH1175" s="34">
        <f>SUMPRODUCT(DB_ThemeSOFAcct[[#This Row],[Act01]:[Act12]],$Q$3:$AB$3)/valUnits2</f>
        <v>0</v>
      </c>
    </row>
    <row r="1176" spans="2:34" x14ac:dyDescent="0.2">
      <c r="B1176" t="s">
        <v>350</v>
      </c>
      <c r="C1176" t="s">
        <v>356</v>
      </c>
      <c r="D1176" t="s">
        <v>237</v>
      </c>
      <c r="F1176">
        <v>22.425999999999998</v>
      </c>
      <c r="R1176">
        <v>22.52</v>
      </c>
      <c r="AC1176">
        <f>SUMPRODUCT(DB_ThemeSOFAcct[[#This Row],[Plan01]:[Plan12]],$E$14:$P$14)/valUnits2</f>
        <v>2.2425999999999998E-2</v>
      </c>
      <c r="AD1176">
        <f>SUMPRODUCT(DB_ThemeSOFAcct[[#This Row],[Act01]:[Act12]],$Q$14:$AB$14)/valUnits2</f>
        <v>2.2519999999999998E-2</v>
      </c>
      <c r="AE1176">
        <f>DB_ThemeSOFAcct[[#This Row],[Actuals]]-DB_ThemeSOFAcct[[#This Row],[Plan]]</f>
        <v>9.4000000000000333E-5</v>
      </c>
      <c r="AF1176">
        <f>IF(DB_ThemeSOFAcct[[#This Row],[Plan]]&lt;&gt;0,DB_ThemeSOFAcct[[#This Row],[Actuals]]/DB_ThemeSOFAcct[[#This Row],[Plan]],1.000011000011)</f>
        <v>1.0041915633639527</v>
      </c>
      <c r="AG1176" s="34">
        <f>SUM(DB_ThemeSOFAcct[[#This Row],[Plan01]:[Plan12]])/valUnits2</f>
        <v>2.2425999999999998E-2</v>
      </c>
      <c r="AH1176" s="34">
        <f>SUMPRODUCT(DB_ThemeSOFAcct[[#This Row],[Act01]:[Act12]],$Q$3:$AB$3)/valUnits2</f>
        <v>2.2519999999999998E-2</v>
      </c>
    </row>
    <row r="1177" spans="2:34" x14ac:dyDescent="0.2">
      <c r="B1177" t="s">
        <v>350</v>
      </c>
      <c r="C1177" t="s">
        <v>356</v>
      </c>
      <c r="D1177" t="s">
        <v>141</v>
      </c>
      <c r="J1177">
        <v>0</v>
      </c>
      <c r="V1177">
        <v>0.4</v>
      </c>
      <c r="AC1177">
        <f>SUMPRODUCT(DB_ThemeSOFAcct[[#This Row],[Plan01]:[Plan12]],$E$14:$P$14)/valUnits2</f>
        <v>0</v>
      </c>
      <c r="AD1177">
        <f>SUMPRODUCT(DB_ThemeSOFAcct[[#This Row],[Act01]:[Act12]],$Q$14:$AB$14)/valUnits2</f>
        <v>4.0000000000000002E-4</v>
      </c>
      <c r="AE1177">
        <f>DB_ThemeSOFAcct[[#This Row],[Actuals]]-DB_ThemeSOFAcct[[#This Row],[Plan]]</f>
        <v>4.0000000000000002E-4</v>
      </c>
      <c r="AF1177">
        <f>IF(DB_ThemeSOFAcct[[#This Row],[Plan]]&lt;&gt;0,DB_ThemeSOFAcct[[#This Row],[Actuals]]/DB_ThemeSOFAcct[[#This Row],[Plan]],1.000011000011)</f>
        <v>1.0000110000110001</v>
      </c>
      <c r="AG1177" s="34">
        <f>SUM(DB_ThemeSOFAcct[[#This Row],[Plan01]:[Plan12]])/valUnits2</f>
        <v>0</v>
      </c>
      <c r="AH1177" s="34">
        <f>SUMPRODUCT(DB_ThemeSOFAcct[[#This Row],[Act01]:[Act12]],$Q$3:$AB$3)/valUnits2</f>
        <v>4.0000000000000002E-4</v>
      </c>
    </row>
    <row r="1178" spans="2:34" x14ac:dyDescent="0.2">
      <c r="B1178" t="s">
        <v>350</v>
      </c>
      <c r="C1178" t="s">
        <v>919</v>
      </c>
      <c r="D1178" t="s">
        <v>140</v>
      </c>
      <c r="E1178">
        <v>0</v>
      </c>
      <c r="F1178">
        <v>807.78099999999995</v>
      </c>
      <c r="G1178">
        <v>1252.502</v>
      </c>
      <c r="H1178">
        <v>538.79200000000003</v>
      </c>
      <c r="I1178">
        <v>731.83799999999997</v>
      </c>
      <c r="J1178">
        <v>1917.348</v>
      </c>
      <c r="K1178">
        <v>1917.348</v>
      </c>
      <c r="L1178">
        <v>1917.3479999999997</v>
      </c>
      <c r="M1178">
        <v>1917.3479999999997</v>
      </c>
      <c r="N1178">
        <v>1917.348</v>
      </c>
      <c r="O1178">
        <v>1917.3479999999997</v>
      </c>
      <c r="P1178">
        <v>1917.348</v>
      </c>
      <c r="Q1178">
        <v>0</v>
      </c>
      <c r="R1178">
        <v>824.72</v>
      </c>
      <c r="S1178">
        <v>1263.8400000000001</v>
      </c>
      <c r="T1178">
        <v>535.72</v>
      </c>
      <c r="U1178">
        <v>729.76</v>
      </c>
      <c r="V1178">
        <v>613.68000000000006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f>SUMPRODUCT(DB_ThemeSOFAcct[[#This Row],[Plan01]:[Plan12]],$E$14:$P$14)/valUnits2</f>
        <v>5.2482609999999994</v>
      </c>
      <c r="AD1178">
        <f>SUMPRODUCT(DB_ThemeSOFAcct[[#This Row],[Act01]:[Act12]],$Q$14:$AB$14)/valUnits2</f>
        <v>3.9677200000000012</v>
      </c>
      <c r="AE1178">
        <f>DB_ThemeSOFAcct[[#This Row],[Actuals]]-DB_ThemeSOFAcct[[#This Row],[Plan]]</f>
        <v>-1.2805409999999982</v>
      </c>
      <c r="AF1178">
        <f>IF(DB_ThemeSOFAcct[[#This Row],[Plan]]&lt;&gt;0,DB_ThemeSOFAcct[[#This Row],[Actuals]]/DB_ThemeSOFAcct[[#This Row],[Plan]],1.000011000011)</f>
        <v>0.7560066086652325</v>
      </c>
      <c r="AG1178" s="34">
        <f>SUM(DB_ThemeSOFAcct[[#This Row],[Plan01]:[Plan12]])/valUnits2</f>
        <v>16.752348999999999</v>
      </c>
      <c r="AH1178" s="34">
        <f>SUMPRODUCT(DB_ThemeSOFAcct[[#This Row],[Act01]:[Act12]],$Q$3:$AB$3)/valUnits2</f>
        <v>3.9677200000000012</v>
      </c>
    </row>
    <row r="1179" spans="2:34" x14ac:dyDescent="0.2">
      <c r="B1179" t="s">
        <v>350</v>
      </c>
      <c r="C1179" t="s">
        <v>919</v>
      </c>
      <c r="D1179" t="s">
        <v>141</v>
      </c>
      <c r="J1179">
        <v>0</v>
      </c>
      <c r="V1179">
        <v>12.23</v>
      </c>
      <c r="AC1179">
        <f>SUMPRODUCT(DB_ThemeSOFAcct[[#This Row],[Plan01]:[Plan12]],$E$14:$P$14)/valUnits2</f>
        <v>0</v>
      </c>
      <c r="AD1179">
        <f>SUMPRODUCT(DB_ThemeSOFAcct[[#This Row],[Act01]:[Act12]],$Q$14:$AB$14)/valUnits2</f>
        <v>1.2230000000000001E-2</v>
      </c>
      <c r="AE1179">
        <f>DB_ThemeSOFAcct[[#This Row],[Actuals]]-DB_ThemeSOFAcct[[#This Row],[Plan]]</f>
        <v>1.2230000000000001E-2</v>
      </c>
      <c r="AF1179">
        <f>IF(DB_ThemeSOFAcct[[#This Row],[Plan]]&lt;&gt;0,DB_ThemeSOFAcct[[#This Row],[Actuals]]/DB_ThemeSOFAcct[[#This Row],[Plan]],1.000011000011)</f>
        <v>1.0000110000110001</v>
      </c>
      <c r="AG1179" s="34">
        <f>SUM(DB_ThemeSOFAcct[[#This Row],[Plan01]:[Plan12]])/valUnits2</f>
        <v>0</v>
      </c>
      <c r="AH1179" s="34">
        <f>SUMPRODUCT(DB_ThemeSOFAcct[[#This Row],[Act01]:[Act12]],$Q$3:$AB$3)/valUnits2</f>
        <v>1.2230000000000001E-2</v>
      </c>
    </row>
    <row r="1180" spans="2:34" x14ac:dyDescent="0.2">
      <c r="B1180" t="s">
        <v>350</v>
      </c>
      <c r="C1180" t="s">
        <v>921</v>
      </c>
      <c r="D1180" t="s">
        <v>143</v>
      </c>
      <c r="I1180">
        <v>266.995</v>
      </c>
      <c r="U1180">
        <v>263.5</v>
      </c>
      <c r="AC1180">
        <f>SUMPRODUCT(DB_ThemeSOFAcct[[#This Row],[Plan01]:[Plan12]],$E$14:$P$14)/valUnits2</f>
        <v>0.26699499999999998</v>
      </c>
      <c r="AD1180">
        <f>SUMPRODUCT(DB_ThemeSOFAcct[[#This Row],[Act01]:[Act12]],$Q$14:$AB$14)/valUnits2</f>
        <v>0.26350000000000001</v>
      </c>
      <c r="AE1180">
        <f>DB_ThemeSOFAcct[[#This Row],[Actuals]]-DB_ThemeSOFAcct[[#This Row],[Plan]]</f>
        <v>-3.4949999999999704E-3</v>
      </c>
      <c r="AF1180">
        <f>IF(DB_ThemeSOFAcct[[#This Row],[Plan]]&lt;&gt;0,DB_ThemeSOFAcct[[#This Row],[Actuals]]/DB_ThemeSOFAcct[[#This Row],[Plan]],1.000011000011)</f>
        <v>0.98690986722597818</v>
      </c>
      <c r="AG1180" s="34">
        <f>SUM(DB_ThemeSOFAcct[[#This Row],[Plan01]:[Plan12]])/valUnits2</f>
        <v>0.26699499999999998</v>
      </c>
      <c r="AH1180" s="34">
        <f>SUMPRODUCT(DB_ThemeSOFAcct[[#This Row],[Act01]:[Act12]],$Q$3:$AB$3)/valUnits2</f>
        <v>0.26350000000000001</v>
      </c>
    </row>
    <row r="1181" spans="2:34" x14ac:dyDescent="0.2">
      <c r="B1181" t="s">
        <v>350</v>
      </c>
      <c r="C1181" t="s">
        <v>921</v>
      </c>
      <c r="D1181" t="s">
        <v>236</v>
      </c>
      <c r="G1181">
        <v>0.218</v>
      </c>
      <c r="S1181">
        <v>0.22</v>
      </c>
      <c r="AC1181">
        <f>SUMPRODUCT(DB_ThemeSOFAcct[[#This Row],[Plan01]:[Plan12]],$E$14:$P$14)/valUnits2</f>
        <v>2.1799999999999999E-4</v>
      </c>
      <c r="AD1181">
        <f>SUMPRODUCT(DB_ThemeSOFAcct[[#This Row],[Act01]:[Act12]],$Q$14:$AB$14)/valUnits2</f>
        <v>2.2000000000000001E-4</v>
      </c>
      <c r="AE1181">
        <f>DB_ThemeSOFAcct[[#This Row],[Actuals]]-DB_ThemeSOFAcct[[#This Row],[Plan]]</f>
        <v>2.0000000000000215E-6</v>
      </c>
      <c r="AF1181">
        <f>IF(DB_ThemeSOFAcct[[#This Row],[Plan]]&lt;&gt;0,DB_ThemeSOFAcct[[#This Row],[Actuals]]/DB_ThemeSOFAcct[[#This Row],[Plan]],1.000011000011)</f>
        <v>1.0091743119266057</v>
      </c>
      <c r="AG1181" s="34">
        <f>SUM(DB_ThemeSOFAcct[[#This Row],[Plan01]:[Plan12]])/valUnits2</f>
        <v>2.1799999999999999E-4</v>
      </c>
      <c r="AH1181" s="34">
        <f>SUMPRODUCT(DB_ThemeSOFAcct[[#This Row],[Act01]:[Act12]],$Q$3:$AB$3)/valUnits2</f>
        <v>2.2000000000000001E-4</v>
      </c>
    </row>
    <row r="1182" spans="2:34" x14ac:dyDescent="0.2">
      <c r="B1182" t="s">
        <v>350</v>
      </c>
      <c r="C1182" t="s">
        <v>921</v>
      </c>
      <c r="D1182" t="s">
        <v>141</v>
      </c>
      <c r="E1182">
        <v>164.34799999999998</v>
      </c>
      <c r="F1182">
        <v>221.614</v>
      </c>
      <c r="G1182">
        <v>1.1539999999999999</v>
      </c>
      <c r="Q1182">
        <v>164.36</v>
      </c>
      <c r="R1182">
        <v>220.39</v>
      </c>
      <c r="S1182">
        <v>1.1499999999999999</v>
      </c>
      <c r="AC1182">
        <f>SUMPRODUCT(DB_ThemeSOFAcct[[#This Row],[Plan01]:[Plan12]],$E$14:$P$14)/valUnits2</f>
        <v>0.38711599999999996</v>
      </c>
      <c r="AD1182">
        <f>SUMPRODUCT(DB_ThemeSOFAcct[[#This Row],[Act01]:[Act12]],$Q$14:$AB$14)/valUnits2</f>
        <v>0.38589999999999997</v>
      </c>
      <c r="AE1182">
        <f>DB_ThemeSOFAcct[[#This Row],[Actuals]]-DB_ThemeSOFAcct[[#This Row],[Plan]]</f>
        <v>-1.2159999999999949E-3</v>
      </c>
      <c r="AF1182">
        <f>IF(DB_ThemeSOFAcct[[#This Row],[Plan]]&lt;&gt;0,DB_ThemeSOFAcct[[#This Row],[Actuals]]/DB_ThemeSOFAcct[[#This Row],[Plan]],1.000011000011)</f>
        <v>0.9968588226784737</v>
      </c>
      <c r="AG1182" s="34">
        <f>SUM(DB_ThemeSOFAcct[[#This Row],[Plan01]:[Plan12]])/valUnits2</f>
        <v>0.38711599999999996</v>
      </c>
      <c r="AH1182" s="34">
        <f>SUMPRODUCT(DB_ThemeSOFAcct[[#This Row],[Act01]:[Act12]],$Q$3:$AB$3)/valUnits2</f>
        <v>0.38589999999999997</v>
      </c>
    </row>
    <row r="1183" spans="2:34" x14ac:dyDescent="0.2">
      <c r="B1183" t="s">
        <v>350</v>
      </c>
      <c r="C1183" t="s">
        <v>922</v>
      </c>
      <c r="D1183" t="s">
        <v>236</v>
      </c>
      <c r="G1183">
        <v>0.50900000000000001</v>
      </c>
      <c r="S1183">
        <v>0.53</v>
      </c>
      <c r="AC1183">
        <f>SUMPRODUCT(DB_ThemeSOFAcct[[#This Row],[Plan01]:[Plan12]],$E$14:$P$14)/valUnits2</f>
        <v>5.0900000000000001E-4</v>
      </c>
      <c r="AD1183">
        <f>SUMPRODUCT(DB_ThemeSOFAcct[[#This Row],[Act01]:[Act12]],$Q$14:$AB$14)/valUnits2</f>
        <v>5.2999999999999998E-4</v>
      </c>
      <c r="AE1183">
        <f>DB_ThemeSOFAcct[[#This Row],[Actuals]]-DB_ThemeSOFAcct[[#This Row],[Plan]]</f>
        <v>2.0999999999999968E-5</v>
      </c>
      <c r="AF1183">
        <f>IF(DB_ThemeSOFAcct[[#This Row],[Plan]]&lt;&gt;0,DB_ThemeSOFAcct[[#This Row],[Actuals]]/DB_ThemeSOFAcct[[#This Row],[Plan]],1.000011000011)</f>
        <v>1.0412573673870333</v>
      </c>
      <c r="AG1183" s="34">
        <f>SUM(DB_ThemeSOFAcct[[#This Row],[Plan01]:[Plan12]])/valUnits2</f>
        <v>5.0900000000000001E-4</v>
      </c>
      <c r="AH1183" s="34">
        <f>SUMPRODUCT(DB_ThemeSOFAcct[[#This Row],[Act01]:[Act12]],$Q$3:$AB$3)/valUnits2</f>
        <v>5.2999999999999998E-4</v>
      </c>
    </row>
    <row r="1184" spans="2:34" x14ac:dyDescent="0.2">
      <c r="B1184" t="s">
        <v>350</v>
      </c>
      <c r="C1184" t="s">
        <v>922</v>
      </c>
      <c r="D1184" t="s">
        <v>141</v>
      </c>
      <c r="F1184">
        <v>2.448</v>
      </c>
      <c r="G1184">
        <v>2.835</v>
      </c>
      <c r="I1184">
        <v>2.4</v>
      </c>
      <c r="J1184">
        <v>0</v>
      </c>
      <c r="R1184">
        <v>2.5299999999999998</v>
      </c>
      <c r="S1184">
        <v>2.8600000000000003</v>
      </c>
      <c r="U1184">
        <v>2.38</v>
      </c>
      <c r="V1184">
        <v>8.9500000000000011</v>
      </c>
      <c r="AC1184">
        <f>SUMPRODUCT(DB_ThemeSOFAcct[[#This Row],[Plan01]:[Plan12]],$E$14:$P$14)/valUnits2</f>
        <v>7.6829999999999997E-3</v>
      </c>
      <c r="AD1184">
        <f>SUMPRODUCT(DB_ThemeSOFAcct[[#This Row],[Act01]:[Act12]],$Q$14:$AB$14)/valUnits2</f>
        <v>1.6720000000000002E-2</v>
      </c>
      <c r="AE1184">
        <f>DB_ThemeSOFAcct[[#This Row],[Actuals]]-DB_ThemeSOFAcct[[#This Row],[Plan]]</f>
        <v>9.0370000000000034E-3</v>
      </c>
      <c r="AF1184">
        <f>IF(DB_ThemeSOFAcct[[#This Row],[Plan]]&lt;&gt;0,DB_ThemeSOFAcct[[#This Row],[Actuals]]/DB_ThemeSOFAcct[[#This Row],[Plan]],1.000011000011)</f>
        <v>2.1762332422230903</v>
      </c>
      <c r="AG1184" s="34">
        <f>SUM(DB_ThemeSOFAcct[[#This Row],[Plan01]:[Plan12]])/valUnits2</f>
        <v>7.6829999999999997E-3</v>
      </c>
      <c r="AH1184" s="34">
        <f>SUMPRODUCT(DB_ThemeSOFAcct[[#This Row],[Act01]:[Act12]],$Q$3:$AB$3)/valUnits2</f>
        <v>1.6720000000000002E-2</v>
      </c>
    </row>
    <row r="1185" spans="2:34" x14ac:dyDescent="0.2">
      <c r="B1185" t="s">
        <v>350</v>
      </c>
      <c r="C1185" t="s">
        <v>924</v>
      </c>
      <c r="D1185" t="s">
        <v>141</v>
      </c>
      <c r="J1185">
        <v>0</v>
      </c>
      <c r="V1185">
        <v>0.53</v>
      </c>
      <c r="AC1185">
        <f>SUMPRODUCT(DB_ThemeSOFAcct[[#This Row],[Plan01]:[Plan12]],$E$14:$P$14)/valUnits2</f>
        <v>0</v>
      </c>
      <c r="AD1185">
        <f>SUMPRODUCT(DB_ThemeSOFAcct[[#This Row],[Act01]:[Act12]],$Q$14:$AB$14)/valUnits2</f>
        <v>5.2999999999999998E-4</v>
      </c>
      <c r="AE1185">
        <f>DB_ThemeSOFAcct[[#This Row],[Actuals]]-DB_ThemeSOFAcct[[#This Row],[Plan]]</f>
        <v>5.2999999999999998E-4</v>
      </c>
      <c r="AF1185">
        <f>IF(DB_ThemeSOFAcct[[#This Row],[Plan]]&lt;&gt;0,DB_ThemeSOFAcct[[#This Row],[Actuals]]/DB_ThemeSOFAcct[[#This Row],[Plan]],1.000011000011)</f>
        <v>1.0000110000110001</v>
      </c>
      <c r="AG1185" s="34">
        <f>SUM(DB_ThemeSOFAcct[[#This Row],[Plan01]:[Plan12]])/valUnits2</f>
        <v>0</v>
      </c>
      <c r="AH1185" s="34">
        <f>SUMPRODUCT(DB_ThemeSOFAcct[[#This Row],[Act01]:[Act12]],$Q$3:$AB$3)/valUnits2</f>
        <v>5.2999999999999998E-4</v>
      </c>
    </row>
    <row r="1186" spans="2:34" x14ac:dyDescent="0.2">
      <c r="B1186" t="s">
        <v>350</v>
      </c>
      <c r="C1186" t="s">
        <v>927</v>
      </c>
      <c r="D1186" t="s">
        <v>143</v>
      </c>
      <c r="G1186">
        <v>0</v>
      </c>
      <c r="S1186">
        <v>24.49</v>
      </c>
      <c r="AC1186">
        <f>SUMPRODUCT(DB_ThemeSOFAcct[[#This Row],[Plan01]:[Plan12]],$E$14:$P$14)/valUnits2</f>
        <v>0</v>
      </c>
      <c r="AD1186">
        <f>SUMPRODUCT(DB_ThemeSOFAcct[[#This Row],[Act01]:[Act12]],$Q$14:$AB$14)/valUnits2</f>
        <v>2.4489999999999998E-2</v>
      </c>
      <c r="AE1186">
        <f>DB_ThemeSOFAcct[[#This Row],[Actuals]]-DB_ThemeSOFAcct[[#This Row],[Plan]]</f>
        <v>2.4489999999999998E-2</v>
      </c>
      <c r="AF1186">
        <f>IF(DB_ThemeSOFAcct[[#This Row],[Plan]]&lt;&gt;0,DB_ThemeSOFAcct[[#This Row],[Actuals]]/DB_ThemeSOFAcct[[#This Row],[Plan]],1.000011000011)</f>
        <v>1.0000110000110001</v>
      </c>
      <c r="AG1186" s="34">
        <f>SUM(DB_ThemeSOFAcct[[#This Row],[Plan01]:[Plan12]])/valUnits2</f>
        <v>0</v>
      </c>
      <c r="AH1186" s="34">
        <f>SUMPRODUCT(DB_ThemeSOFAcct[[#This Row],[Act01]:[Act12]],$Q$3:$AB$3)/valUnits2</f>
        <v>2.4489999999999998E-2</v>
      </c>
    </row>
    <row r="1187" spans="2:34" x14ac:dyDescent="0.2">
      <c r="B1187" t="s">
        <v>350</v>
      </c>
      <c r="C1187" t="s">
        <v>927</v>
      </c>
      <c r="D1187" t="s">
        <v>140</v>
      </c>
      <c r="E1187">
        <v>0</v>
      </c>
      <c r="F1187">
        <v>2474.14</v>
      </c>
      <c r="G1187">
        <v>3791.55</v>
      </c>
      <c r="H1187">
        <v>2410.69</v>
      </c>
      <c r="I1187">
        <v>3283.81</v>
      </c>
      <c r="J1187">
        <v>3474</v>
      </c>
      <c r="K1187">
        <v>3474</v>
      </c>
      <c r="L1187">
        <v>3474</v>
      </c>
      <c r="M1187">
        <v>3474</v>
      </c>
      <c r="N1187">
        <v>3474</v>
      </c>
      <c r="O1187">
        <v>3474</v>
      </c>
      <c r="P1187">
        <v>3474</v>
      </c>
      <c r="Q1187">
        <v>0</v>
      </c>
      <c r="R1187">
        <v>2474.1400000000003</v>
      </c>
      <c r="S1187">
        <v>3791.5499999999997</v>
      </c>
      <c r="T1187">
        <v>2410.69</v>
      </c>
      <c r="U1187">
        <v>3283.81</v>
      </c>
      <c r="V1187">
        <v>2761.48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f>SUMPRODUCT(DB_ThemeSOFAcct[[#This Row],[Plan01]:[Plan12]],$E$14:$P$14)/valUnits2</f>
        <v>15.434190000000001</v>
      </c>
      <c r="AD1187">
        <f>SUMPRODUCT(DB_ThemeSOFAcct[[#This Row],[Act01]:[Act12]],$Q$14:$AB$14)/valUnits2</f>
        <v>14.72167</v>
      </c>
      <c r="AE1187">
        <f>DB_ThemeSOFAcct[[#This Row],[Actuals]]-DB_ThemeSOFAcct[[#This Row],[Plan]]</f>
        <v>-0.71252000000000137</v>
      </c>
      <c r="AF1187">
        <f>IF(DB_ThemeSOFAcct[[#This Row],[Plan]]&lt;&gt;0,DB_ThemeSOFAcct[[#This Row],[Actuals]]/DB_ThemeSOFAcct[[#This Row],[Plan]],1.000011000011)</f>
        <v>0.9538349599169117</v>
      </c>
      <c r="AG1187" s="34">
        <f>SUM(DB_ThemeSOFAcct[[#This Row],[Plan01]:[Plan12]])/valUnits2</f>
        <v>36.278190000000002</v>
      </c>
      <c r="AH1187" s="34">
        <f>SUMPRODUCT(DB_ThemeSOFAcct[[#This Row],[Act01]:[Act12]],$Q$3:$AB$3)/valUnits2</f>
        <v>14.72167</v>
      </c>
    </row>
    <row r="1188" spans="2:34" x14ac:dyDescent="0.2">
      <c r="B1188" t="s">
        <v>350</v>
      </c>
      <c r="C1188" t="s">
        <v>927</v>
      </c>
      <c r="D1188" t="s">
        <v>236</v>
      </c>
      <c r="G1188">
        <v>2.29</v>
      </c>
      <c r="S1188">
        <v>2.29</v>
      </c>
      <c r="AC1188">
        <f>SUMPRODUCT(DB_ThemeSOFAcct[[#This Row],[Plan01]:[Plan12]],$E$14:$P$14)/valUnits2</f>
        <v>2.2899999999999999E-3</v>
      </c>
      <c r="AD1188">
        <f>SUMPRODUCT(DB_ThemeSOFAcct[[#This Row],[Act01]:[Act12]],$Q$14:$AB$14)/valUnits2</f>
        <v>2.2899999999999999E-3</v>
      </c>
      <c r="AE1188">
        <f>DB_ThemeSOFAcct[[#This Row],[Actuals]]-DB_ThemeSOFAcct[[#This Row],[Plan]]</f>
        <v>0</v>
      </c>
      <c r="AF1188">
        <f>IF(DB_ThemeSOFAcct[[#This Row],[Plan]]&lt;&gt;0,DB_ThemeSOFAcct[[#This Row],[Actuals]]/DB_ThemeSOFAcct[[#This Row],[Plan]],1.000011000011)</f>
        <v>1</v>
      </c>
      <c r="AG1188" s="34">
        <f>SUM(DB_ThemeSOFAcct[[#This Row],[Plan01]:[Plan12]])/valUnits2</f>
        <v>2.2899999999999999E-3</v>
      </c>
      <c r="AH1188" s="34">
        <f>SUMPRODUCT(DB_ThemeSOFAcct[[#This Row],[Act01]:[Act12]],$Q$3:$AB$3)/valUnits2</f>
        <v>2.2899999999999999E-3</v>
      </c>
    </row>
    <row r="1189" spans="2:34" x14ac:dyDescent="0.2">
      <c r="B1189" t="s">
        <v>350</v>
      </c>
      <c r="C1189" t="s">
        <v>927</v>
      </c>
      <c r="D1189" t="s">
        <v>237</v>
      </c>
      <c r="F1189">
        <v>10.82</v>
      </c>
      <c r="R1189">
        <v>10.82</v>
      </c>
      <c r="AC1189">
        <f>SUMPRODUCT(DB_ThemeSOFAcct[[#This Row],[Plan01]:[Plan12]],$E$14:$P$14)/valUnits2</f>
        <v>1.082E-2</v>
      </c>
      <c r="AD1189">
        <f>SUMPRODUCT(DB_ThemeSOFAcct[[#This Row],[Act01]:[Act12]],$Q$14:$AB$14)/valUnits2</f>
        <v>1.082E-2</v>
      </c>
      <c r="AE1189">
        <f>DB_ThemeSOFAcct[[#This Row],[Actuals]]-DB_ThemeSOFAcct[[#This Row],[Plan]]</f>
        <v>0</v>
      </c>
      <c r="AF1189">
        <f>IF(DB_ThemeSOFAcct[[#This Row],[Plan]]&lt;&gt;0,DB_ThemeSOFAcct[[#This Row],[Actuals]]/DB_ThemeSOFAcct[[#This Row],[Plan]],1.000011000011)</f>
        <v>1</v>
      </c>
      <c r="AG1189" s="34">
        <f>SUM(DB_ThemeSOFAcct[[#This Row],[Plan01]:[Plan12]])/valUnits2</f>
        <v>1.082E-2</v>
      </c>
      <c r="AH1189" s="34">
        <f>SUMPRODUCT(DB_ThemeSOFAcct[[#This Row],[Act01]:[Act12]],$Q$3:$AB$3)/valUnits2</f>
        <v>1.082E-2</v>
      </c>
    </row>
    <row r="1190" spans="2:34" x14ac:dyDescent="0.2">
      <c r="B1190" t="s">
        <v>350</v>
      </c>
      <c r="C1190" t="s">
        <v>927</v>
      </c>
      <c r="D1190" t="s">
        <v>141</v>
      </c>
      <c r="J1190">
        <v>0</v>
      </c>
      <c r="V1190">
        <v>7.85</v>
      </c>
      <c r="AC1190">
        <f>SUMPRODUCT(DB_ThemeSOFAcct[[#This Row],[Plan01]:[Plan12]],$E$14:$P$14)/valUnits2</f>
        <v>0</v>
      </c>
      <c r="AD1190">
        <f>SUMPRODUCT(DB_ThemeSOFAcct[[#This Row],[Act01]:[Act12]],$Q$14:$AB$14)/valUnits2</f>
        <v>7.8499999999999993E-3</v>
      </c>
      <c r="AE1190">
        <f>DB_ThemeSOFAcct[[#This Row],[Actuals]]-DB_ThemeSOFAcct[[#This Row],[Plan]]</f>
        <v>7.8499999999999993E-3</v>
      </c>
      <c r="AF1190">
        <f>IF(DB_ThemeSOFAcct[[#This Row],[Plan]]&lt;&gt;0,DB_ThemeSOFAcct[[#This Row],[Actuals]]/DB_ThemeSOFAcct[[#This Row],[Plan]],1.000011000011)</f>
        <v>1.0000110000110001</v>
      </c>
      <c r="AG1190" s="34">
        <f>SUM(DB_ThemeSOFAcct[[#This Row],[Plan01]:[Plan12]])/valUnits2</f>
        <v>0</v>
      </c>
      <c r="AH1190" s="34">
        <f>SUMPRODUCT(DB_ThemeSOFAcct[[#This Row],[Act01]:[Act12]],$Q$3:$AB$3)/valUnits2</f>
        <v>7.8499999999999993E-3</v>
      </c>
    </row>
    <row r="1191" spans="2:34" x14ac:dyDescent="0.2">
      <c r="B1191" t="s">
        <v>350</v>
      </c>
      <c r="C1191" t="s">
        <v>359</v>
      </c>
      <c r="D1191" t="s">
        <v>235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AC1191">
        <f>SUMPRODUCT(DB_ThemeSOFAcct[[#This Row],[Plan01]:[Plan12]],$E$14:$P$14)/valUnits2</f>
        <v>0</v>
      </c>
      <c r="AD1191">
        <f>SUMPRODUCT(DB_ThemeSOFAcct[[#This Row],[Act01]:[Act12]],$Q$14:$AB$14)/valUnits2</f>
        <v>0</v>
      </c>
      <c r="AE1191">
        <f>DB_ThemeSOFAcct[[#This Row],[Actuals]]-DB_ThemeSOFAcct[[#This Row],[Plan]]</f>
        <v>0</v>
      </c>
      <c r="AF1191">
        <f>IF(DB_ThemeSOFAcct[[#This Row],[Plan]]&lt;&gt;0,DB_ThemeSOFAcct[[#This Row],[Actuals]]/DB_ThemeSOFAcct[[#This Row],[Plan]],1.000011000011)</f>
        <v>1.0000110000110001</v>
      </c>
      <c r="AG1191" s="34">
        <f>SUM(DB_ThemeSOFAcct[[#This Row],[Plan01]:[Plan12]])/valUnits2</f>
        <v>0</v>
      </c>
      <c r="AH1191" s="34">
        <f>SUMPRODUCT(DB_ThemeSOFAcct[[#This Row],[Act01]:[Act12]],$Q$3:$AB$3)/valUnits2</f>
        <v>0</v>
      </c>
    </row>
    <row r="1192" spans="2:34" x14ac:dyDescent="0.2">
      <c r="B1192" t="s">
        <v>350</v>
      </c>
      <c r="C1192" t="s">
        <v>359</v>
      </c>
      <c r="D1192" t="s">
        <v>141</v>
      </c>
      <c r="J1192">
        <v>0</v>
      </c>
      <c r="V1192">
        <v>0.05</v>
      </c>
      <c r="AC1192">
        <f>SUMPRODUCT(DB_ThemeSOFAcct[[#This Row],[Plan01]:[Plan12]],$E$14:$P$14)/valUnits2</f>
        <v>0</v>
      </c>
      <c r="AD1192">
        <f>SUMPRODUCT(DB_ThemeSOFAcct[[#This Row],[Act01]:[Act12]],$Q$14:$AB$14)/valUnits2</f>
        <v>5.0000000000000002E-5</v>
      </c>
      <c r="AE1192">
        <f>DB_ThemeSOFAcct[[#This Row],[Actuals]]-DB_ThemeSOFAcct[[#This Row],[Plan]]</f>
        <v>5.0000000000000002E-5</v>
      </c>
      <c r="AF1192">
        <f>IF(DB_ThemeSOFAcct[[#This Row],[Plan]]&lt;&gt;0,DB_ThemeSOFAcct[[#This Row],[Actuals]]/DB_ThemeSOFAcct[[#This Row],[Plan]],1.000011000011)</f>
        <v>1.0000110000110001</v>
      </c>
      <c r="AG1192" s="34">
        <f>SUM(DB_ThemeSOFAcct[[#This Row],[Plan01]:[Plan12]])/valUnits2</f>
        <v>0</v>
      </c>
      <c r="AH1192" s="34">
        <f>SUMPRODUCT(DB_ThemeSOFAcct[[#This Row],[Act01]:[Act12]],$Q$3:$AB$3)/valUnits2</f>
        <v>5.0000000000000002E-5</v>
      </c>
    </row>
    <row r="1193" spans="2:34" x14ac:dyDescent="0.2">
      <c r="B1193" t="s">
        <v>350</v>
      </c>
      <c r="C1193" t="s">
        <v>360</v>
      </c>
      <c r="D1193" t="s">
        <v>235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AC1193">
        <f>SUMPRODUCT(DB_ThemeSOFAcct[[#This Row],[Plan01]:[Plan12]],$E$14:$P$14)/valUnits2</f>
        <v>0</v>
      </c>
      <c r="AD1193">
        <f>SUMPRODUCT(DB_ThemeSOFAcct[[#This Row],[Act01]:[Act12]],$Q$14:$AB$14)/valUnits2</f>
        <v>0</v>
      </c>
      <c r="AE1193">
        <f>DB_ThemeSOFAcct[[#This Row],[Actuals]]-DB_ThemeSOFAcct[[#This Row],[Plan]]</f>
        <v>0</v>
      </c>
      <c r="AF1193">
        <f>IF(DB_ThemeSOFAcct[[#This Row],[Plan]]&lt;&gt;0,DB_ThemeSOFAcct[[#This Row],[Actuals]]/DB_ThemeSOFAcct[[#This Row],[Plan]],1.000011000011)</f>
        <v>1.0000110000110001</v>
      </c>
      <c r="AG1193" s="34">
        <f>SUM(DB_ThemeSOFAcct[[#This Row],[Plan01]:[Plan12]])/valUnits2</f>
        <v>0</v>
      </c>
      <c r="AH1193" s="34">
        <f>SUMPRODUCT(DB_ThemeSOFAcct[[#This Row],[Act01]:[Act12]],$Q$3:$AB$3)/valUnits2</f>
        <v>0</v>
      </c>
    </row>
    <row r="1194" spans="2:34" x14ac:dyDescent="0.2">
      <c r="B1194" t="s">
        <v>350</v>
      </c>
      <c r="C1194" t="s">
        <v>360</v>
      </c>
      <c r="D1194" t="s">
        <v>141</v>
      </c>
      <c r="J1194">
        <v>0</v>
      </c>
      <c r="V1194">
        <v>4.32</v>
      </c>
      <c r="AC1194">
        <f>SUMPRODUCT(DB_ThemeSOFAcct[[#This Row],[Plan01]:[Plan12]],$E$14:$P$14)/valUnits2</f>
        <v>0</v>
      </c>
      <c r="AD1194">
        <f>SUMPRODUCT(DB_ThemeSOFAcct[[#This Row],[Act01]:[Act12]],$Q$14:$AB$14)/valUnits2</f>
        <v>4.3200000000000001E-3</v>
      </c>
      <c r="AE1194">
        <f>DB_ThemeSOFAcct[[#This Row],[Actuals]]-DB_ThemeSOFAcct[[#This Row],[Plan]]</f>
        <v>4.3200000000000001E-3</v>
      </c>
      <c r="AF1194">
        <f>IF(DB_ThemeSOFAcct[[#This Row],[Plan]]&lt;&gt;0,DB_ThemeSOFAcct[[#This Row],[Actuals]]/DB_ThemeSOFAcct[[#This Row],[Plan]],1.000011000011)</f>
        <v>1.0000110000110001</v>
      </c>
      <c r="AG1194" s="34">
        <f>SUM(DB_ThemeSOFAcct[[#This Row],[Plan01]:[Plan12]])/valUnits2</f>
        <v>0</v>
      </c>
      <c r="AH1194" s="34">
        <f>SUMPRODUCT(DB_ThemeSOFAcct[[#This Row],[Act01]:[Act12]],$Q$3:$AB$3)/valUnits2</f>
        <v>4.3200000000000001E-3</v>
      </c>
    </row>
    <row r="1195" spans="2:34" x14ac:dyDescent="0.2">
      <c r="B1195" t="s">
        <v>350</v>
      </c>
      <c r="C1195" t="s">
        <v>928</v>
      </c>
      <c r="D1195" t="s">
        <v>140</v>
      </c>
      <c r="E1195">
        <v>0</v>
      </c>
      <c r="Q1195">
        <v>0</v>
      </c>
      <c r="AC1195">
        <f>SUMPRODUCT(DB_ThemeSOFAcct[[#This Row],[Plan01]:[Plan12]],$E$14:$P$14)/valUnits2</f>
        <v>0</v>
      </c>
      <c r="AD1195">
        <f>SUMPRODUCT(DB_ThemeSOFAcct[[#This Row],[Act01]:[Act12]],$Q$14:$AB$14)/valUnits2</f>
        <v>0</v>
      </c>
      <c r="AE1195">
        <f>DB_ThemeSOFAcct[[#This Row],[Actuals]]-DB_ThemeSOFAcct[[#This Row],[Plan]]</f>
        <v>0</v>
      </c>
      <c r="AF1195">
        <f>IF(DB_ThemeSOFAcct[[#This Row],[Plan]]&lt;&gt;0,DB_ThemeSOFAcct[[#This Row],[Actuals]]/DB_ThemeSOFAcct[[#This Row],[Plan]],1.000011000011)</f>
        <v>1.0000110000110001</v>
      </c>
      <c r="AG1195" s="34">
        <f>SUM(DB_ThemeSOFAcct[[#This Row],[Plan01]:[Plan12]])/valUnits2</f>
        <v>0</v>
      </c>
      <c r="AH1195" s="34">
        <f>SUMPRODUCT(DB_ThemeSOFAcct[[#This Row],[Act01]:[Act12]],$Q$3:$AB$3)/valUnits2</f>
        <v>0</v>
      </c>
    </row>
    <row r="1196" spans="2:34" x14ac:dyDescent="0.2">
      <c r="B1196" t="s">
        <v>350</v>
      </c>
      <c r="C1196" t="s">
        <v>929</v>
      </c>
      <c r="D1196" t="s">
        <v>140</v>
      </c>
      <c r="F1196">
        <v>113.663</v>
      </c>
      <c r="G1196">
        <v>57.43</v>
      </c>
      <c r="H1196">
        <v>117.58499999999999</v>
      </c>
      <c r="I1196">
        <v>62.041000000000004</v>
      </c>
      <c r="J1196">
        <v>0</v>
      </c>
      <c r="R1196">
        <v>115.9</v>
      </c>
      <c r="S1196">
        <v>57.95</v>
      </c>
      <c r="T1196">
        <v>116.36999999999999</v>
      </c>
      <c r="U1196">
        <v>61.309999999999995</v>
      </c>
      <c r="V1196">
        <v>41.99</v>
      </c>
      <c r="AC1196">
        <f>SUMPRODUCT(DB_ThemeSOFAcct[[#This Row],[Plan01]:[Plan12]],$E$14:$P$14)/valUnits2</f>
        <v>0.350719</v>
      </c>
      <c r="AD1196">
        <f>SUMPRODUCT(DB_ThemeSOFAcct[[#This Row],[Act01]:[Act12]],$Q$14:$AB$14)/valUnits2</f>
        <v>0.39352000000000004</v>
      </c>
      <c r="AE1196">
        <f>DB_ThemeSOFAcct[[#This Row],[Actuals]]-DB_ThemeSOFAcct[[#This Row],[Plan]]</f>
        <v>4.2801000000000033E-2</v>
      </c>
      <c r="AF1196">
        <f>IF(DB_ThemeSOFAcct[[#This Row],[Plan]]&lt;&gt;0,DB_ThemeSOFAcct[[#This Row],[Actuals]]/DB_ThemeSOFAcct[[#This Row],[Plan]],1.000011000011)</f>
        <v>1.1220378707740386</v>
      </c>
      <c r="AG1196" s="34">
        <f>SUM(DB_ThemeSOFAcct[[#This Row],[Plan01]:[Plan12]])/valUnits2</f>
        <v>0.350719</v>
      </c>
      <c r="AH1196" s="34">
        <f>SUMPRODUCT(DB_ThemeSOFAcct[[#This Row],[Act01]:[Act12]],$Q$3:$AB$3)/valUnits2</f>
        <v>0.39352000000000004</v>
      </c>
    </row>
    <row r="1197" spans="2:34" x14ac:dyDescent="0.2">
      <c r="B1197" t="s">
        <v>350</v>
      </c>
      <c r="C1197" t="s">
        <v>930</v>
      </c>
      <c r="D1197" t="s">
        <v>143</v>
      </c>
      <c r="I1197">
        <v>621.1</v>
      </c>
      <c r="U1197">
        <v>621.1</v>
      </c>
      <c r="AC1197">
        <f>SUMPRODUCT(DB_ThemeSOFAcct[[#This Row],[Plan01]:[Plan12]],$E$14:$P$14)/valUnits2</f>
        <v>0.62109999999999999</v>
      </c>
      <c r="AD1197">
        <f>SUMPRODUCT(DB_ThemeSOFAcct[[#This Row],[Act01]:[Act12]],$Q$14:$AB$14)/valUnits2</f>
        <v>0.62109999999999999</v>
      </c>
      <c r="AE1197">
        <f>DB_ThemeSOFAcct[[#This Row],[Actuals]]-DB_ThemeSOFAcct[[#This Row],[Plan]]</f>
        <v>0</v>
      </c>
      <c r="AF1197">
        <f>IF(DB_ThemeSOFAcct[[#This Row],[Plan]]&lt;&gt;0,DB_ThemeSOFAcct[[#This Row],[Actuals]]/DB_ThemeSOFAcct[[#This Row],[Plan]],1.000011000011)</f>
        <v>1</v>
      </c>
      <c r="AG1197" s="34">
        <f>SUM(DB_ThemeSOFAcct[[#This Row],[Plan01]:[Plan12]])/valUnits2</f>
        <v>0.62109999999999999</v>
      </c>
      <c r="AH1197" s="34">
        <f>SUMPRODUCT(DB_ThemeSOFAcct[[#This Row],[Act01]:[Act12]],$Q$3:$AB$3)/valUnits2</f>
        <v>0.62109999999999999</v>
      </c>
    </row>
    <row r="1198" spans="2:34" x14ac:dyDescent="0.2">
      <c r="B1198" t="s">
        <v>350</v>
      </c>
      <c r="C1198" t="s">
        <v>930</v>
      </c>
      <c r="D1198" t="s">
        <v>140</v>
      </c>
      <c r="F1198">
        <v>357.72</v>
      </c>
      <c r="G1198">
        <v>504.23</v>
      </c>
      <c r="H1198">
        <v>267.85000000000002</v>
      </c>
      <c r="I1198">
        <v>364.86</v>
      </c>
      <c r="J1198">
        <v>0</v>
      </c>
      <c r="R1198">
        <v>357.72</v>
      </c>
      <c r="S1198">
        <v>504.23000000000008</v>
      </c>
      <c r="T1198">
        <v>267.84999999999997</v>
      </c>
      <c r="U1198">
        <v>364.86</v>
      </c>
      <c r="V1198">
        <v>306.82</v>
      </c>
      <c r="AC1198">
        <f>SUMPRODUCT(DB_ThemeSOFAcct[[#This Row],[Plan01]:[Plan12]],$E$14:$P$14)/valUnits2</f>
        <v>1.4946600000000003</v>
      </c>
      <c r="AD1198">
        <f>SUMPRODUCT(DB_ThemeSOFAcct[[#This Row],[Act01]:[Act12]],$Q$14:$AB$14)/valUnits2</f>
        <v>1.8014799999999997</v>
      </c>
      <c r="AE1198">
        <f>DB_ThemeSOFAcct[[#This Row],[Actuals]]-DB_ThemeSOFAcct[[#This Row],[Plan]]</f>
        <v>0.30681999999999943</v>
      </c>
      <c r="AF1198">
        <f>IF(DB_ThemeSOFAcct[[#This Row],[Plan]]&lt;&gt;0,DB_ThemeSOFAcct[[#This Row],[Actuals]]/DB_ThemeSOFAcct[[#This Row],[Plan]],1.000011000011)</f>
        <v>1.2052774544043456</v>
      </c>
      <c r="AG1198" s="34">
        <f>SUM(DB_ThemeSOFAcct[[#This Row],[Plan01]:[Plan12]])/valUnits2</f>
        <v>1.4946600000000003</v>
      </c>
      <c r="AH1198" s="34">
        <f>SUMPRODUCT(DB_ThemeSOFAcct[[#This Row],[Act01]:[Act12]],$Q$3:$AB$3)/valUnits2</f>
        <v>1.8014799999999997</v>
      </c>
    </row>
    <row r="1199" spans="2:34" x14ac:dyDescent="0.2">
      <c r="B1199" t="s">
        <v>350</v>
      </c>
      <c r="C1199" t="s">
        <v>930</v>
      </c>
      <c r="D1199" t="s">
        <v>236</v>
      </c>
      <c r="G1199">
        <v>3.36</v>
      </c>
      <c r="S1199">
        <v>3.36</v>
      </c>
      <c r="AC1199">
        <f>SUMPRODUCT(DB_ThemeSOFAcct[[#This Row],[Plan01]:[Plan12]],$E$14:$P$14)/valUnits2</f>
        <v>3.3599999999999997E-3</v>
      </c>
      <c r="AD1199">
        <f>SUMPRODUCT(DB_ThemeSOFAcct[[#This Row],[Act01]:[Act12]],$Q$14:$AB$14)/valUnits2</f>
        <v>3.3599999999999997E-3</v>
      </c>
      <c r="AE1199">
        <f>DB_ThemeSOFAcct[[#This Row],[Actuals]]-DB_ThemeSOFAcct[[#This Row],[Plan]]</f>
        <v>0</v>
      </c>
      <c r="AF1199">
        <f>IF(DB_ThemeSOFAcct[[#This Row],[Plan]]&lt;&gt;0,DB_ThemeSOFAcct[[#This Row],[Actuals]]/DB_ThemeSOFAcct[[#This Row],[Plan]],1.000011000011)</f>
        <v>1</v>
      </c>
      <c r="AG1199" s="34">
        <f>SUM(DB_ThemeSOFAcct[[#This Row],[Plan01]:[Plan12]])/valUnits2</f>
        <v>3.3599999999999997E-3</v>
      </c>
      <c r="AH1199" s="34">
        <f>SUMPRODUCT(DB_ThemeSOFAcct[[#This Row],[Act01]:[Act12]],$Q$3:$AB$3)/valUnits2</f>
        <v>3.3599999999999997E-3</v>
      </c>
    </row>
    <row r="1200" spans="2:34" x14ac:dyDescent="0.2">
      <c r="B1200" t="s">
        <v>350</v>
      </c>
      <c r="C1200" t="s">
        <v>930</v>
      </c>
      <c r="D1200" t="s">
        <v>141</v>
      </c>
      <c r="F1200">
        <v>13.51</v>
      </c>
      <c r="G1200">
        <v>5.73</v>
      </c>
      <c r="I1200">
        <v>4.78</v>
      </c>
      <c r="J1200">
        <v>0</v>
      </c>
      <c r="R1200">
        <v>13.51</v>
      </c>
      <c r="S1200">
        <v>5.73</v>
      </c>
      <c r="U1200">
        <v>4.78</v>
      </c>
      <c r="V1200">
        <v>22.94</v>
      </c>
      <c r="AC1200">
        <f>SUMPRODUCT(DB_ThemeSOFAcct[[#This Row],[Plan01]:[Plan12]],$E$14:$P$14)/valUnits2</f>
        <v>2.4020000000000003E-2</v>
      </c>
      <c r="AD1200">
        <f>SUMPRODUCT(DB_ThemeSOFAcct[[#This Row],[Act01]:[Act12]],$Q$14:$AB$14)/valUnits2</f>
        <v>4.6960000000000009E-2</v>
      </c>
      <c r="AE1200">
        <f>DB_ThemeSOFAcct[[#This Row],[Actuals]]-DB_ThemeSOFAcct[[#This Row],[Plan]]</f>
        <v>2.2940000000000006E-2</v>
      </c>
      <c r="AF1200">
        <f>IF(DB_ThemeSOFAcct[[#This Row],[Plan]]&lt;&gt;0,DB_ThemeSOFAcct[[#This Row],[Actuals]]/DB_ThemeSOFAcct[[#This Row],[Plan]],1.000011000011)</f>
        <v>1.9550374687760201</v>
      </c>
      <c r="AG1200" s="34">
        <f>SUM(DB_ThemeSOFAcct[[#This Row],[Plan01]:[Plan12]])/valUnits2</f>
        <v>2.4020000000000003E-2</v>
      </c>
      <c r="AH1200" s="34">
        <f>SUMPRODUCT(DB_ThemeSOFAcct[[#This Row],[Act01]:[Act12]],$Q$3:$AB$3)/valUnits2</f>
        <v>4.6960000000000009E-2</v>
      </c>
    </row>
    <row r="1201" spans="2:34" x14ac:dyDescent="0.2">
      <c r="B1201" t="s">
        <v>350</v>
      </c>
      <c r="C1201" t="s">
        <v>933</v>
      </c>
      <c r="D1201" t="s">
        <v>140</v>
      </c>
      <c r="E1201">
        <v>0</v>
      </c>
      <c r="F1201">
        <v>0</v>
      </c>
      <c r="G1201">
        <v>0</v>
      </c>
      <c r="H1201">
        <v>0</v>
      </c>
      <c r="I1201">
        <v>706.89</v>
      </c>
      <c r="J1201">
        <v>0</v>
      </c>
      <c r="Q1201">
        <v>0</v>
      </c>
      <c r="R1201">
        <v>0</v>
      </c>
      <c r="S1201">
        <v>0</v>
      </c>
      <c r="T1201">
        <v>0</v>
      </c>
      <c r="U1201">
        <v>706.89</v>
      </c>
      <c r="V1201">
        <v>0</v>
      </c>
      <c r="AC1201">
        <f>SUMPRODUCT(DB_ThemeSOFAcct[[#This Row],[Plan01]:[Plan12]],$E$14:$P$14)/valUnits2</f>
        <v>0.70689000000000002</v>
      </c>
      <c r="AD1201">
        <f>SUMPRODUCT(DB_ThemeSOFAcct[[#This Row],[Act01]:[Act12]],$Q$14:$AB$14)/valUnits2</f>
        <v>0.70689000000000002</v>
      </c>
      <c r="AE1201">
        <f>DB_ThemeSOFAcct[[#This Row],[Actuals]]-DB_ThemeSOFAcct[[#This Row],[Plan]]</f>
        <v>0</v>
      </c>
      <c r="AF1201">
        <f>IF(DB_ThemeSOFAcct[[#This Row],[Plan]]&lt;&gt;0,DB_ThemeSOFAcct[[#This Row],[Actuals]]/DB_ThemeSOFAcct[[#This Row],[Plan]],1.000011000011)</f>
        <v>1</v>
      </c>
      <c r="AG1201" s="34">
        <f>SUM(DB_ThemeSOFAcct[[#This Row],[Plan01]:[Plan12]])/valUnits2</f>
        <v>0.70689000000000002</v>
      </c>
      <c r="AH1201" s="34">
        <f>SUMPRODUCT(DB_ThemeSOFAcct[[#This Row],[Act01]:[Act12]],$Q$3:$AB$3)/valUnits2</f>
        <v>0.70689000000000002</v>
      </c>
    </row>
    <row r="1202" spans="2:34" x14ac:dyDescent="0.2">
      <c r="B1202" t="s">
        <v>350</v>
      </c>
      <c r="C1202" t="s">
        <v>935</v>
      </c>
      <c r="D1202" t="s">
        <v>140</v>
      </c>
      <c r="E1202">
        <v>0</v>
      </c>
      <c r="F1202">
        <v>352.15499999999997</v>
      </c>
      <c r="G1202">
        <v>183.23400000000001</v>
      </c>
      <c r="H1202">
        <v>373.84699999999998</v>
      </c>
      <c r="I1202">
        <v>193.87599999999998</v>
      </c>
      <c r="J1202">
        <v>316.44100000000003</v>
      </c>
      <c r="K1202">
        <v>316.44100000000003</v>
      </c>
      <c r="L1202">
        <v>316.44100000000003</v>
      </c>
      <c r="M1202">
        <v>316.44100000000003</v>
      </c>
      <c r="N1202">
        <v>316.44100000000003</v>
      </c>
      <c r="O1202">
        <v>316.44100000000003</v>
      </c>
      <c r="P1202">
        <v>316.44100000000003</v>
      </c>
      <c r="Q1202">
        <v>0</v>
      </c>
      <c r="R1202">
        <v>364.42</v>
      </c>
      <c r="S1202">
        <v>182.21</v>
      </c>
      <c r="T1202">
        <v>367.45</v>
      </c>
      <c r="U1202">
        <v>193.57</v>
      </c>
      <c r="V1202">
        <v>353.98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f>SUMPRODUCT(DB_ThemeSOFAcct[[#This Row],[Plan01]:[Plan12]],$E$14:$P$14)/valUnits2</f>
        <v>1.4195530000000001</v>
      </c>
      <c r="AD1202">
        <f>SUMPRODUCT(DB_ThemeSOFAcct[[#This Row],[Act01]:[Act12]],$Q$14:$AB$14)/valUnits2</f>
        <v>1.46163</v>
      </c>
      <c r="AE1202">
        <f>DB_ThemeSOFAcct[[#This Row],[Actuals]]-DB_ThemeSOFAcct[[#This Row],[Plan]]</f>
        <v>4.207699999999992E-2</v>
      </c>
      <c r="AF1202">
        <f>IF(DB_ThemeSOFAcct[[#This Row],[Plan]]&lt;&gt;0,DB_ThemeSOFAcct[[#This Row],[Actuals]]/DB_ThemeSOFAcct[[#This Row],[Plan]],1.000011000011)</f>
        <v>1.0296410208002096</v>
      </c>
      <c r="AG1202" s="34">
        <f>SUM(DB_ThemeSOFAcct[[#This Row],[Plan01]:[Plan12]])/valUnits2</f>
        <v>3.3181989999999995</v>
      </c>
      <c r="AH1202" s="34">
        <f>SUMPRODUCT(DB_ThemeSOFAcct[[#This Row],[Act01]:[Act12]],$Q$3:$AB$3)/valUnits2</f>
        <v>1.46163</v>
      </c>
    </row>
    <row r="1203" spans="2:34" x14ac:dyDescent="0.2">
      <c r="B1203" t="s">
        <v>350</v>
      </c>
      <c r="C1203" t="s">
        <v>935</v>
      </c>
      <c r="D1203" t="s">
        <v>237</v>
      </c>
      <c r="F1203">
        <v>44.914999999999999</v>
      </c>
      <c r="R1203">
        <v>45.03</v>
      </c>
      <c r="AC1203">
        <f>SUMPRODUCT(DB_ThemeSOFAcct[[#This Row],[Plan01]:[Plan12]],$E$14:$P$14)/valUnits2</f>
        <v>4.4914999999999997E-2</v>
      </c>
      <c r="AD1203">
        <f>SUMPRODUCT(DB_ThemeSOFAcct[[#This Row],[Act01]:[Act12]],$Q$14:$AB$14)/valUnits2</f>
        <v>4.5030000000000001E-2</v>
      </c>
      <c r="AE1203">
        <f>DB_ThemeSOFAcct[[#This Row],[Actuals]]-DB_ThemeSOFAcct[[#This Row],[Plan]]</f>
        <v>1.1500000000000399E-4</v>
      </c>
      <c r="AF1203">
        <f>IF(DB_ThemeSOFAcct[[#This Row],[Plan]]&lt;&gt;0,DB_ThemeSOFAcct[[#This Row],[Actuals]]/DB_ThemeSOFAcct[[#This Row],[Plan]],1.000011000011)</f>
        <v>1.0025603918512747</v>
      </c>
      <c r="AG1203" s="34">
        <f>SUM(DB_ThemeSOFAcct[[#This Row],[Plan01]:[Plan12]])/valUnits2</f>
        <v>4.4914999999999997E-2</v>
      </c>
      <c r="AH1203" s="34">
        <f>SUMPRODUCT(DB_ThemeSOFAcct[[#This Row],[Act01]:[Act12]],$Q$3:$AB$3)/valUnits2</f>
        <v>4.5030000000000001E-2</v>
      </c>
    </row>
    <row r="1204" spans="2:34" x14ac:dyDescent="0.2">
      <c r="B1204" t="s">
        <v>350</v>
      </c>
      <c r="C1204" t="s">
        <v>935</v>
      </c>
      <c r="D1204" t="s">
        <v>141</v>
      </c>
      <c r="E1204">
        <v>0</v>
      </c>
      <c r="H1204">
        <v>0</v>
      </c>
      <c r="J1204">
        <v>0</v>
      </c>
      <c r="K1204">
        <v>0</v>
      </c>
      <c r="N1204">
        <v>0</v>
      </c>
      <c r="Q1204">
        <v>0</v>
      </c>
      <c r="T1204">
        <v>0</v>
      </c>
      <c r="V1204">
        <v>7.78</v>
      </c>
      <c r="W1204">
        <v>0</v>
      </c>
      <c r="Z1204">
        <v>0</v>
      </c>
      <c r="AC1204">
        <f>SUMPRODUCT(DB_ThemeSOFAcct[[#This Row],[Plan01]:[Plan12]],$E$14:$P$14)/valUnits2</f>
        <v>0</v>
      </c>
      <c r="AD1204">
        <f>SUMPRODUCT(DB_ThemeSOFAcct[[#This Row],[Act01]:[Act12]],$Q$14:$AB$14)/valUnits2</f>
        <v>7.7800000000000005E-3</v>
      </c>
      <c r="AE1204">
        <f>DB_ThemeSOFAcct[[#This Row],[Actuals]]-DB_ThemeSOFAcct[[#This Row],[Plan]]</f>
        <v>7.7800000000000005E-3</v>
      </c>
      <c r="AF1204">
        <f>IF(DB_ThemeSOFAcct[[#This Row],[Plan]]&lt;&gt;0,DB_ThemeSOFAcct[[#This Row],[Actuals]]/DB_ThemeSOFAcct[[#This Row],[Plan]],1.000011000011)</f>
        <v>1.0000110000110001</v>
      </c>
      <c r="AG1204" s="34">
        <f>SUM(DB_ThemeSOFAcct[[#This Row],[Plan01]:[Plan12]])/valUnits2</f>
        <v>0</v>
      </c>
      <c r="AH1204" s="34">
        <f>SUMPRODUCT(DB_ThemeSOFAcct[[#This Row],[Act01]:[Act12]],$Q$3:$AB$3)/valUnits2</f>
        <v>7.7800000000000005E-3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5:L116"/>
  <sheetViews>
    <sheetView workbookViewId="0">
      <selection activeCell="E17" sqref="E17"/>
    </sheetView>
  </sheetViews>
  <sheetFormatPr defaultRowHeight="12.75" x14ac:dyDescent="0.2"/>
  <cols>
    <col min="2" max="2" width="10.5703125" bestFit="1" customWidth="1"/>
    <col min="3" max="3" width="20.140625" bestFit="1" customWidth="1"/>
    <col min="4" max="4" width="11.42578125" bestFit="1" customWidth="1"/>
    <col min="5" max="5" width="12.140625" bestFit="1" customWidth="1"/>
    <col min="6" max="6" width="11.42578125" bestFit="1" customWidth="1"/>
    <col min="7" max="7" width="19.140625" bestFit="1" customWidth="1"/>
    <col min="8" max="8" width="7.28515625" bestFit="1" customWidth="1"/>
    <col min="9" max="9" width="17.42578125" style="33" bestFit="1" customWidth="1"/>
    <col min="10" max="10" width="14.85546875" style="33" bestFit="1" customWidth="1"/>
    <col min="11" max="11" width="14.28515625" style="33" bestFit="1" customWidth="1"/>
    <col min="12" max="12" width="8.5703125" style="32" bestFit="1" customWidth="1"/>
  </cols>
  <sheetData>
    <row r="5" spans="2:12" x14ac:dyDescent="0.2">
      <c r="B5" t="s">
        <v>44</v>
      </c>
      <c r="C5" t="s">
        <v>181</v>
      </c>
      <c r="D5" t="s">
        <v>182</v>
      </c>
      <c r="E5" t="s">
        <v>99</v>
      </c>
      <c r="F5" t="s">
        <v>97</v>
      </c>
      <c r="G5" t="s">
        <v>100</v>
      </c>
      <c r="H5" t="s">
        <v>105</v>
      </c>
      <c r="I5" s="33" t="s">
        <v>101</v>
      </c>
      <c r="J5" s="33" t="s">
        <v>102</v>
      </c>
      <c r="K5" s="33" t="s">
        <v>103</v>
      </c>
      <c r="L5" s="32" t="s">
        <v>202</v>
      </c>
    </row>
    <row r="6" spans="2:12" x14ac:dyDescent="0.2">
      <c r="B6" t="s">
        <v>369</v>
      </c>
      <c r="C6" t="s">
        <v>196</v>
      </c>
      <c r="D6" s="164" t="s">
        <v>197</v>
      </c>
      <c r="E6" s="164">
        <v>41061</v>
      </c>
      <c r="F6" s="164">
        <v>42155</v>
      </c>
      <c r="G6" s="164">
        <v>42185</v>
      </c>
      <c r="I6" s="33">
        <v>312277.81226799998</v>
      </c>
      <c r="J6" s="33">
        <v>111046.23</v>
      </c>
      <c r="K6" s="33">
        <v>201231.582268</v>
      </c>
      <c r="L6" s="32">
        <v>0.35560076841033778</v>
      </c>
    </row>
    <row r="7" spans="2:12" x14ac:dyDescent="0.2">
      <c r="B7" t="s">
        <v>370</v>
      </c>
      <c r="C7" t="s">
        <v>200</v>
      </c>
      <c r="D7" s="164" t="s">
        <v>191</v>
      </c>
      <c r="E7" s="164">
        <v>40878</v>
      </c>
      <c r="F7" s="164">
        <v>42794</v>
      </c>
      <c r="G7" s="164">
        <v>42978</v>
      </c>
      <c r="I7" s="33">
        <v>18674527.198957998</v>
      </c>
      <c r="J7" s="33">
        <v>3954953.46</v>
      </c>
      <c r="K7" s="33">
        <v>14719573.738957997</v>
      </c>
      <c r="L7" s="32">
        <v>0.21178332483944645</v>
      </c>
    </row>
    <row r="8" spans="2:12" x14ac:dyDescent="0.2">
      <c r="B8" t="s">
        <v>371</v>
      </c>
      <c r="C8" t="s">
        <v>183</v>
      </c>
      <c r="D8" s="164" t="s">
        <v>184</v>
      </c>
      <c r="E8" s="164">
        <v>40817</v>
      </c>
      <c r="F8" s="164">
        <v>42052</v>
      </c>
      <c r="G8" s="164">
        <v>42141</v>
      </c>
      <c r="H8" t="s">
        <v>106</v>
      </c>
      <c r="I8" s="33">
        <v>7908871</v>
      </c>
      <c r="J8" s="33">
        <v>4372917.92</v>
      </c>
      <c r="K8" s="33">
        <v>3535953.08</v>
      </c>
      <c r="L8" s="32">
        <v>0.55291304157066157</v>
      </c>
    </row>
    <row r="9" spans="2:12" x14ac:dyDescent="0.2">
      <c r="B9" t="s">
        <v>372</v>
      </c>
      <c r="C9" t="s">
        <v>183</v>
      </c>
      <c r="D9" s="164" t="s">
        <v>184</v>
      </c>
      <c r="E9" s="164">
        <v>40909</v>
      </c>
      <c r="F9" s="164">
        <v>41274</v>
      </c>
      <c r="G9" s="164">
        <v>41320</v>
      </c>
      <c r="I9" s="33">
        <v>564769</v>
      </c>
      <c r="J9" s="33">
        <v>511632.85</v>
      </c>
      <c r="K9" s="33">
        <v>53136.150000000023</v>
      </c>
      <c r="L9" s="32">
        <v>0.90591525030587727</v>
      </c>
    </row>
    <row r="10" spans="2:12" x14ac:dyDescent="0.2">
      <c r="B10" t="s">
        <v>373</v>
      </c>
      <c r="C10" t="s">
        <v>183</v>
      </c>
      <c r="D10" s="164" t="s">
        <v>184</v>
      </c>
      <c r="E10" s="164">
        <v>40909</v>
      </c>
      <c r="F10" s="164">
        <v>41274</v>
      </c>
      <c r="G10" s="164">
        <v>41364</v>
      </c>
      <c r="I10" s="33">
        <v>2612996</v>
      </c>
      <c r="J10" s="33">
        <v>2589382.8199999998</v>
      </c>
      <c r="K10" s="33">
        <v>23613.180000000168</v>
      </c>
      <c r="L10" s="32">
        <v>0.99096317790000432</v>
      </c>
    </row>
    <row r="11" spans="2:12" x14ac:dyDescent="0.2">
      <c r="B11" t="s">
        <v>374</v>
      </c>
      <c r="C11" t="s">
        <v>183</v>
      </c>
      <c r="D11" s="164" t="s">
        <v>184</v>
      </c>
      <c r="E11" s="164">
        <v>41275</v>
      </c>
      <c r="F11" s="164">
        <v>41639</v>
      </c>
      <c r="G11" s="164">
        <v>41685</v>
      </c>
      <c r="I11" s="33">
        <v>492732</v>
      </c>
      <c r="J11" s="33">
        <v>195877.98</v>
      </c>
      <c r="K11" s="33">
        <v>296854.02</v>
      </c>
      <c r="L11" s="32">
        <v>0.39753452180901588</v>
      </c>
    </row>
    <row r="12" spans="2:12" x14ac:dyDescent="0.2">
      <c r="B12" t="s">
        <v>375</v>
      </c>
      <c r="C12" t="s">
        <v>183</v>
      </c>
      <c r="D12" s="164" t="s">
        <v>184</v>
      </c>
      <c r="E12" s="164">
        <v>41275</v>
      </c>
      <c r="F12" s="164">
        <v>41639</v>
      </c>
      <c r="G12" s="164">
        <v>41784</v>
      </c>
      <c r="I12" s="33">
        <v>3067106</v>
      </c>
      <c r="J12" s="33">
        <v>1079111.57</v>
      </c>
      <c r="K12" s="33">
        <v>1987994.43</v>
      </c>
      <c r="L12" s="32">
        <v>0.35183380359205063</v>
      </c>
    </row>
    <row r="13" spans="2:12" x14ac:dyDescent="0.2">
      <c r="B13" t="s">
        <v>376</v>
      </c>
      <c r="C13" t="s">
        <v>200</v>
      </c>
      <c r="D13" s="164" t="s">
        <v>191</v>
      </c>
      <c r="E13" s="164">
        <v>41214</v>
      </c>
      <c r="F13" s="164">
        <v>42308</v>
      </c>
      <c r="G13" s="164">
        <v>42389</v>
      </c>
      <c r="I13" s="33">
        <v>1060462.5139349999</v>
      </c>
      <c r="J13" s="33">
        <v>66685.88</v>
      </c>
      <c r="K13" s="33">
        <v>993776.63393499993</v>
      </c>
      <c r="L13" s="32">
        <v>6.2883769226837055E-2</v>
      </c>
    </row>
    <row r="14" spans="2:12" x14ac:dyDescent="0.2">
      <c r="B14" t="s">
        <v>377</v>
      </c>
      <c r="C14" t="s">
        <v>183</v>
      </c>
      <c r="D14" s="164" t="s">
        <v>184</v>
      </c>
      <c r="E14" s="164">
        <v>40817</v>
      </c>
      <c r="F14" s="164">
        <v>42155</v>
      </c>
      <c r="G14" s="164">
        <v>42217</v>
      </c>
      <c r="H14" t="s">
        <v>106</v>
      </c>
      <c r="I14" s="33">
        <v>2737984</v>
      </c>
      <c r="J14" s="33">
        <v>2534622.6800000002</v>
      </c>
      <c r="K14" s="33">
        <v>203361.31999999983</v>
      </c>
      <c r="L14" s="32">
        <v>0.92572589175101105</v>
      </c>
    </row>
    <row r="15" spans="2:12" x14ac:dyDescent="0.2">
      <c r="B15" t="s">
        <v>378</v>
      </c>
      <c r="C15" t="s">
        <v>183</v>
      </c>
      <c r="D15" s="164" t="s">
        <v>184</v>
      </c>
      <c r="E15" s="164">
        <v>40817</v>
      </c>
      <c r="F15" s="164">
        <v>41820</v>
      </c>
      <c r="G15" s="164">
        <v>41835</v>
      </c>
      <c r="H15" t="s">
        <v>106</v>
      </c>
      <c r="I15" s="33">
        <v>1838665</v>
      </c>
      <c r="J15" s="33">
        <v>1272209.3999999999</v>
      </c>
      <c r="K15" s="33">
        <v>566455.60000000009</v>
      </c>
      <c r="L15" s="32">
        <v>0.69192017034098108</v>
      </c>
    </row>
    <row r="16" spans="2:12" x14ac:dyDescent="0.2">
      <c r="B16" t="s">
        <v>379</v>
      </c>
      <c r="C16" t="s">
        <v>183</v>
      </c>
      <c r="D16" s="164" t="s">
        <v>184</v>
      </c>
      <c r="E16" s="164">
        <v>40817</v>
      </c>
      <c r="F16" s="164">
        <v>41578</v>
      </c>
      <c r="G16" s="164">
        <v>41639</v>
      </c>
      <c r="H16" t="s">
        <v>106</v>
      </c>
      <c r="I16" s="33">
        <v>3543288</v>
      </c>
      <c r="J16" s="33">
        <v>3719987.65</v>
      </c>
      <c r="K16" s="33">
        <v>-176699.64999999991</v>
      </c>
      <c r="L16" s="32">
        <v>1.0498688365156883</v>
      </c>
    </row>
    <row r="17" spans="2:12" x14ac:dyDescent="0.2">
      <c r="B17" t="s">
        <v>380</v>
      </c>
      <c r="C17" t="s">
        <v>183</v>
      </c>
      <c r="D17" s="164" t="s">
        <v>184</v>
      </c>
      <c r="E17" s="164">
        <v>41000</v>
      </c>
      <c r="F17" s="164">
        <v>41820</v>
      </c>
      <c r="G17" s="164">
        <v>41517</v>
      </c>
      <c r="I17" s="33">
        <v>4409000</v>
      </c>
      <c r="J17" s="33">
        <v>492165.06</v>
      </c>
      <c r="K17" s="33">
        <v>3916834.94</v>
      </c>
      <c r="L17" s="32">
        <v>0.1116273667498299</v>
      </c>
    </row>
    <row r="18" spans="2:12" x14ac:dyDescent="0.2">
      <c r="B18" t="s">
        <v>381</v>
      </c>
      <c r="C18" t="s">
        <v>200</v>
      </c>
      <c r="D18" s="164" t="s">
        <v>201</v>
      </c>
      <c r="E18" s="164">
        <v>40940</v>
      </c>
      <c r="F18" s="164">
        <v>41639</v>
      </c>
      <c r="G18" s="164">
        <v>41698</v>
      </c>
      <c r="I18" s="33">
        <v>1090870.782103</v>
      </c>
      <c r="J18" s="33">
        <v>202583.37</v>
      </c>
      <c r="K18" s="33">
        <v>888287.41210299998</v>
      </c>
      <c r="L18" s="32">
        <v>0.18570794389547787</v>
      </c>
    </row>
    <row r="19" spans="2:12" x14ac:dyDescent="0.2">
      <c r="B19" t="s">
        <v>382</v>
      </c>
      <c r="C19" t="s">
        <v>200</v>
      </c>
      <c r="D19" s="164" t="s">
        <v>201</v>
      </c>
      <c r="E19" s="164">
        <v>41275</v>
      </c>
      <c r="F19" s="164">
        <v>41639</v>
      </c>
      <c r="G19" s="164">
        <v>41669</v>
      </c>
      <c r="I19" s="33">
        <v>311859.81491399999</v>
      </c>
      <c r="J19" s="33">
        <v>3433.8600000000065</v>
      </c>
      <c r="K19" s="33">
        <v>308425.954914</v>
      </c>
      <c r="L19" s="32">
        <v>1.1010908862839366E-2</v>
      </c>
    </row>
    <row r="20" spans="2:12" x14ac:dyDescent="0.2">
      <c r="B20" t="s">
        <v>383</v>
      </c>
      <c r="C20" t="s">
        <v>183</v>
      </c>
      <c r="D20" s="164" t="s">
        <v>184</v>
      </c>
      <c r="E20" s="164">
        <v>40969</v>
      </c>
      <c r="F20" s="164">
        <v>42643</v>
      </c>
      <c r="G20" s="164">
        <v>42704</v>
      </c>
      <c r="I20" s="33">
        <v>1737942</v>
      </c>
      <c r="J20" s="33">
        <v>1040712.33</v>
      </c>
      <c r="K20" s="33">
        <v>697229.67</v>
      </c>
      <c r="L20" s="32">
        <v>0.59881879257190396</v>
      </c>
    </row>
    <row r="21" spans="2:12" x14ac:dyDescent="0.2">
      <c r="B21" t="s">
        <v>384</v>
      </c>
      <c r="C21" t="s">
        <v>183</v>
      </c>
      <c r="D21" s="164" t="s">
        <v>184</v>
      </c>
      <c r="E21" s="164">
        <v>40848</v>
      </c>
      <c r="F21" s="164">
        <v>41729</v>
      </c>
      <c r="G21" s="164">
        <v>41654</v>
      </c>
      <c r="I21" s="33">
        <v>1128372</v>
      </c>
      <c r="J21" s="33">
        <v>612383.49</v>
      </c>
      <c r="K21" s="33">
        <v>515988.51</v>
      </c>
      <c r="L21" s="32">
        <v>0.54271418468377453</v>
      </c>
    </row>
    <row r="22" spans="2:12" x14ac:dyDescent="0.2">
      <c r="B22" t="s">
        <v>385</v>
      </c>
      <c r="C22" t="s">
        <v>189</v>
      </c>
      <c r="D22" s="164" t="s">
        <v>187</v>
      </c>
      <c r="E22" s="164">
        <v>40817</v>
      </c>
      <c r="F22" s="164">
        <v>41639</v>
      </c>
      <c r="G22" s="164">
        <v>41820</v>
      </c>
      <c r="H22" t="s">
        <v>106</v>
      </c>
      <c r="I22" s="33">
        <v>1197818.153707</v>
      </c>
      <c r="J22" s="33">
        <v>876770.19</v>
      </c>
      <c r="K22" s="33">
        <v>321047.96370700002</v>
      </c>
      <c r="L22" s="32">
        <v>0.73197270160464434</v>
      </c>
    </row>
    <row r="23" spans="2:12" x14ac:dyDescent="0.2">
      <c r="B23" t="s">
        <v>386</v>
      </c>
      <c r="C23" t="s">
        <v>194</v>
      </c>
      <c r="D23" s="164" t="s">
        <v>195</v>
      </c>
      <c r="E23" s="164">
        <v>41091</v>
      </c>
      <c r="F23" s="164">
        <v>41455</v>
      </c>
      <c r="G23" s="164">
        <v>41517</v>
      </c>
      <c r="I23" s="33">
        <v>96874.441884</v>
      </c>
      <c r="J23" s="33">
        <v>71957.490000000005</v>
      </c>
      <c r="K23" s="33">
        <v>24916.951883999995</v>
      </c>
      <c r="L23" s="32">
        <v>0.7427912729155518</v>
      </c>
    </row>
    <row r="24" spans="2:12" x14ac:dyDescent="0.2">
      <c r="B24" t="s">
        <v>387</v>
      </c>
      <c r="C24" t="s">
        <v>198</v>
      </c>
      <c r="D24" s="164" t="s">
        <v>199</v>
      </c>
      <c r="E24" s="164">
        <v>41275</v>
      </c>
      <c r="F24" s="164">
        <v>41639</v>
      </c>
      <c r="G24" s="164">
        <v>3</v>
      </c>
      <c r="I24" s="33">
        <v>396927.06825800001</v>
      </c>
      <c r="J24" s="33">
        <v>119475.35</v>
      </c>
      <c r="K24" s="33">
        <v>277451.71825799998</v>
      </c>
      <c r="L24" s="32">
        <v>0.30100076198971093</v>
      </c>
    </row>
    <row r="25" spans="2:12" x14ac:dyDescent="0.2">
      <c r="B25" t="s">
        <v>388</v>
      </c>
      <c r="C25" t="s">
        <v>189</v>
      </c>
      <c r="D25" s="164" t="s">
        <v>187</v>
      </c>
      <c r="E25" s="164">
        <v>40817</v>
      </c>
      <c r="F25" s="164">
        <v>41639</v>
      </c>
      <c r="G25" s="164">
        <v>41820</v>
      </c>
      <c r="H25" t="s">
        <v>106</v>
      </c>
      <c r="I25" s="33">
        <v>1397044.9526500001</v>
      </c>
      <c r="J25" s="33">
        <v>1211733.3700000001</v>
      </c>
      <c r="K25" s="33">
        <v>185311.58265</v>
      </c>
      <c r="L25" s="32">
        <v>0.86735460280036825</v>
      </c>
    </row>
    <row r="26" spans="2:12" x14ac:dyDescent="0.2">
      <c r="B26" t="s">
        <v>389</v>
      </c>
      <c r="C26" t="s">
        <v>189</v>
      </c>
      <c r="D26" s="164" t="s">
        <v>191</v>
      </c>
      <c r="E26" s="164">
        <v>40879</v>
      </c>
      <c r="F26" s="164">
        <v>43071</v>
      </c>
      <c r="G26" s="164">
        <v>43161</v>
      </c>
      <c r="I26" s="33">
        <v>6276333.8272209996</v>
      </c>
      <c r="J26" s="33">
        <v>1515590.32</v>
      </c>
      <c r="K26" s="33">
        <v>4760743.5072209993</v>
      </c>
      <c r="L26" s="32">
        <v>0.24147700898679966</v>
      </c>
    </row>
    <row r="27" spans="2:12" x14ac:dyDescent="0.2">
      <c r="B27" t="s">
        <v>390</v>
      </c>
      <c r="C27" t="s">
        <v>198</v>
      </c>
      <c r="D27" s="164" t="s">
        <v>191</v>
      </c>
      <c r="E27" s="164">
        <v>40817</v>
      </c>
      <c r="F27" s="164">
        <v>41759</v>
      </c>
      <c r="G27" s="164">
        <v>41820</v>
      </c>
      <c r="H27" t="s">
        <v>106</v>
      </c>
      <c r="I27" s="33">
        <v>1381151.3088150001</v>
      </c>
      <c r="J27" s="33">
        <v>488198.47</v>
      </c>
      <c r="K27" s="33">
        <v>892952.83881500014</v>
      </c>
      <c r="L27" s="32">
        <v>0.35347211191427275</v>
      </c>
    </row>
    <row r="28" spans="2:12" x14ac:dyDescent="0.2">
      <c r="B28" t="s">
        <v>391</v>
      </c>
      <c r="C28" t="s">
        <v>189</v>
      </c>
      <c r="D28" s="164" t="s">
        <v>187</v>
      </c>
      <c r="E28" s="164">
        <v>40817</v>
      </c>
      <c r="F28" s="164">
        <v>41639</v>
      </c>
      <c r="G28" s="164">
        <v>41820</v>
      </c>
      <c r="H28" t="s">
        <v>106</v>
      </c>
      <c r="I28" s="33">
        <v>436251.96160500002</v>
      </c>
      <c r="J28" s="33">
        <v>350364.88</v>
      </c>
      <c r="K28" s="33">
        <v>85887.081605000014</v>
      </c>
      <c r="L28" s="32">
        <v>0.80312505349198726</v>
      </c>
    </row>
    <row r="29" spans="2:12" x14ac:dyDescent="0.2">
      <c r="B29" t="s">
        <v>392</v>
      </c>
      <c r="C29" t="s">
        <v>189</v>
      </c>
      <c r="D29" s="164" t="s">
        <v>191</v>
      </c>
      <c r="E29" s="164">
        <v>40553</v>
      </c>
      <c r="F29" s="164">
        <v>41897</v>
      </c>
      <c r="G29" s="164">
        <v>41988</v>
      </c>
      <c r="H29" t="s">
        <v>106</v>
      </c>
      <c r="I29" s="33">
        <v>1602718.27516</v>
      </c>
      <c r="J29" s="33">
        <v>734223.99</v>
      </c>
      <c r="K29" s="33">
        <v>868494.28515999997</v>
      </c>
      <c r="L29" s="32">
        <v>0.45811169771973936</v>
      </c>
    </row>
    <row r="30" spans="2:12" x14ac:dyDescent="0.2">
      <c r="B30" t="s">
        <v>393</v>
      </c>
      <c r="C30" t="s">
        <v>198</v>
      </c>
      <c r="D30" s="164" t="s">
        <v>199</v>
      </c>
      <c r="E30" s="164">
        <v>40909</v>
      </c>
      <c r="F30" s="164">
        <v>41274</v>
      </c>
      <c r="G30" s="164">
        <v>41320</v>
      </c>
      <c r="I30" s="33">
        <v>405381.467802</v>
      </c>
      <c r="J30" s="33">
        <v>390334.87</v>
      </c>
      <c r="K30" s="33">
        <v>15046.597802000004</v>
      </c>
      <c r="L30" s="32">
        <v>0.96288286713355831</v>
      </c>
    </row>
    <row r="31" spans="2:12" x14ac:dyDescent="0.2">
      <c r="B31" t="s">
        <v>394</v>
      </c>
      <c r="C31" t="s">
        <v>198</v>
      </c>
      <c r="D31" s="164" t="s">
        <v>199</v>
      </c>
      <c r="E31" s="164">
        <v>41275</v>
      </c>
      <c r="F31" s="164">
        <v>42369</v>
      </c>
      <c r="G31" s="164">
        <v>42492</v>
      </c>
      <c r="I31" s="33">
        <v>2161047.3716310002</v>
      </c>
      <c r="J31" s="33">
        <v>248236.07</v>
      </c>
      <c r="K31" s="33">
        <v>1912811.3016310001</v>
      </c>
      <c r="L31" s="32">
        <v>0.11486840744849088</v>
      </c>
    </row>
    <row r="32" spans="2:12" x14ac:dyDescent="0.2">
      <c r="B32" t="s">
        <v>395</v>
      </c>
      <c r="C32" t="s">
        <v>198</v>
      </c>
      <c r="D32" s="164" t="s">
        <v>199</v>
      </c>
      <c r="E32" s="164">
        <v>41275</v>
      </c>
      <c r="F32" s="164">
        <v>41639</v>
      </c>
      <c r="G32" s="164">
        <v>41685</v>
      </c>
      <c r="I32" s="33">
        <v>48513.308341999997</v>
      </c>
      <c r="J32" s="33">
        <v>20194.14</v>
      </c>
      <c r="K32" s="33">
        <v>28319.168341999997</v>
      </c>
      <c r="L32" s="32">
        <v>0.41625979942738905</v>
      </c>
    </row>
    <row r="33" spans="2:12" x14ac:dyDescent="0.2">
      <c r="B33" t="s">
        <v>396</v>
      </c>
      <c r="C33" t="s">
        <v>194</v>
      </c>
      <c r="D33" s="164" t="s">
        <v>195</v>
      </c>
      <c r="E33" s="164">
        <v>41091</v>
      </c>
      <c r="F33" s="164">
        <v>41455</v>
      </c>
      <c r="G33" s="164">
        <v>41517</v>
      </c>
      <c r="I33" s="33">
        <v>339417.05841599999</v>
      </c>
      <c r="J33" s="33">
        <v>134015.18</v>
      </c>
      <c r="K33" s="33">
        <v>205401.87841599999</v>
      </c>
      <c r="L33" s="32">
        <v>0.39483925948043208</v>
      </c>
    </row>
    <row r="34" spans="2:12" x14ac:dyDescent="0.2">
      <c r="B34" t="s">
        <v>397</v>
      </c>
      <c r="C34" t="s">
        <v>200</v>
      </c>
      <c r="D34" s="164" t="s">
        <v>191</v>
      </c>
      <c r="E34" s="164">
        <v>40817</v>
      </c>
      <c r="F34" s="164">
        <v>41305</v>
      </c>
      <c r="G34" s="164">
        <v>41394</v>
      </c>
      <c r="H34" t="s">
        <v>106</v>
      </c>
      <c r="I34" s="33">
        <v>399186.96643099998</v>
      </c>
      <c r="J34" s="33">
        <v>461279.22</v>
      </c>
      <c r="K34" s="33">
        <v>-62092.253568999993</v>
      </c>
      <c r="L34" s="32">
        <v>1.1555467958389185</v>
      </c>
    </row>
    <row r="35" spans="2:12" x14ac:dyDescent="0.2">
      <c r="B35" t="s">
        <v>398</v>
      </c>
      <c r="C35" t="s">
        <v>200</v>
      </c>
      <c r="D35" s="164" t="s">
        <v>201</v>
      </c>
      <c r="E35" s="164">
        <v>40909</v>
      </c>
      <c r="F35" s="164">
        <v>41486</v>
      </c>
      <c r="G35" s="164">
        <v>41670</v>
      </c>
      <c r="I35" s="33">
        <v>315952.60372299998</v>
      </c>
      <c r="J35" s="33">
        <v>147353.56</v>
      </c>
      <c r="K35" s="33">
        <v>168599.04372299998</v>
      </c>
      <c r="L35" s="32">
        <v>0.46637868548532962</v>
      </c>
    </row>
    <row r="36" spans="2:12" x14ac:dyDescent="0.2">
      <c r="B36" t="s">
        <v>399</v>
      </c>
      <c r="C36" t="s">
        <v>200</v>
      </c>
      <c r="D36" s="164" t="s">
        <v>191</v>
      </c>
      <c r="E36" s="164">
        <v>41214</v>
      </c>
      <c r="F36" s="164">
        <v>42308</v>
      </c>
      <c r="G36" s="164">
        <v>42389</v>
      </c>
      <c r="I36" s="33">
        <v>2054798.2397040001</v>
      </c>
      <c r="J36" s="33">
        <v>120272.91</v>
      </c>
      <c r="K36" s="33">
        <v>1934525.3297040001</v>
      </c>
      <c r="L36" s="32">
        <v>5.8532710256421906E-2</v>
      </c>
    </row>
    <row r="37" spans="2:12" x14ac:dyDescent="0.2">
      <c r="B37" t="s">
        <v>400</v>
      </c>
      <c r="C37" t="s">
        <v>200</v>
      </c>
      <c r="D37" s="164" t="s">
        <v>191</v>
      </c>
      <c r="E37" s="164">
        <v>40817</v>
      </c>
      <c r="F37" s="164">
        <v>41639</v>
      </c>
      <c r="G37" s="164">
        <v>41729</v>
      </c>
      <c r="H37" t="s">
        <v>106</v>
      </c>
      <c r="I37" s="33">
        <v>1884899.0151810001</v>
      </c>
      <c r="J37" s="33">
        <v>1275325.6100000001</v>
      </c>
      <c r="K37" s="33">
        <v>609573.40518100001</v>
      </c>
      <c r="L37" s="32">
        <v>0.67660155781742781</v>
      </c>
    </row>
    <row r="38" spans="2:12" x14ac:dyDescent="0.2">
      <c r="B38" t="s">
        <v>401</v>
      </c>
      <c r="C38" t="s">
        <v>194</v>
      </c>
      <c r="D38" s="164" t="s">
        <v>195</v>
      </c>
      <c r="E38" s="164">
        <v>41091</v>
      </c>
      <c r="F38" s="164">
        <v>41455</v>
      </c>
      <c r="G38" s="164">
        <v>41486</v>
      </c>
      <c r="I38" s="33">
        <v>169120.40377599999</v>
      </c>
      <c r="J38" s="33">
        <v>143687.21</v>
      </c>
      <c r="K38" s="33">
        <v>25433.193776</v>
      </c>
      <c r="L38" s="32">
        <v>0.84961487077758946</v>
      </c>
    </row>
    <row r="39" spans="2:12" x14ac:dyDescent="0.2">
      <c r="B39" t="s">
        <v>402</v>
      </c>
      <c r="C39" t="s">
        <v>183</v>
      </c>
      <c r="D39" s="164" t="s">
        <v>184</v>
      </c>
      <c r="E39" s="164">
        <v>40817</v>
      </c>
      <c r="F39" s="164">
        <v>42338</v>
      </c>
      <c r="G39" s="164">
        <v>42490</v>
      </c>
      <c r="H39" t="s">
        <v>106</v>
      </c>
      <c r="I39" s="33">
        <v>14613309</v>
      </c>
      <c r="J39" s="33">
        <v>11621246.580000002</v>
      </c>
      <c r="K39" s="33">
        <v>2992062.4199999981</v>
      </c>
      <c r="L39" s="32">
        <v>0.79525086207374396</v>
      </c>
    </row>
    <row r="40" spans="2:12" x14ac:dyDescent="0.2">
      <c r="B40" t="s">
        <v>403</v>
      </c>
      <c r="C40" t="s">
        <v>186</v>
      </c>
      <c r="D40" s="164" t="s">
        <v>188</v>
      </c>
      <c r="E40" s="164">
        <v>41091</v>
      </c>
      <c r="F40" s="164">
        <v>41455</v>
      </c>
      <c r="G40" s="164">
        <v>41547</v>
      </c>
      <c r="I40" s="33">
        <v>119924.499591</v>
      </c>
      <c r="J40" s="33">
        <v>65477.21</v>
      </c>
      <c r="K40" s="33">
        <v>54447.289591000001</v>
      </c>
      <c r="L40" s="32">
        <v>0.54598693530770326</v>
      </c>
    </row>
    <row r="41" spans="2:12" x14ac:dyDescent="0.2">
      <c r="B41" t="s">
        <v>404</v>
      </c>
      <c r="C41" t="s">
        <v>186</v>
      </c>
      <c r="D41" s="164" t="s">
        <v>188</v>
      </c>
      <c r="E41" s="164">
        <v>41275</v>
      </c>
      <c r="F41" s="164">
        <v>41455</v>
      </c>
      <c r="G41" s="164">
        <v>41547</v>
      </c>
      <c r="I41" s="33">
        <v>26048.010783000002</v>
      </c>
      <c r="J41" s="33">
        <v>8749.2800000000007</v>
      </c>
      <c r="K41" s="33">
        <v>17298.730782999999</v>
      </c>
      <c r="L41" s="32">
        <v>0.3358905243432308</v>
      </c>
    </row>
    <row r="42" spans="2:12" x14ac:dyDescent="0.2">
      <c r="B42" t="s">
        <v>405</v>
      </c>
      <c r="C42" t="s">
        <v>189</v>
      </c>
      <c r="D42" s="164" t="s">
        <v>191</v>
      </c>
      <c r="E42" s="164">
        <v>40817</v>
      </c>
      <c r="F42" s="164">
        <v>41639</v>
      </c>
      <c r="G42" s="164">
        <v>3</v>
      </c>
      <c r="H42" t="s">
        <v>106</v>
      </c>
      <c r="I42" s="33">
        <v>383052.934687</v>
      </c>
      <c r="J42" s="33">
        <v>181045.26</v>
      </c>
      <c r="K42" s="33">
        <v>202007.67468699999</v>
      </c>
      <c r="L42" s="32">
        <v>0.47263770514624986</v>
      </c>
    </row>
    <row r="43" spans="2:12" x14ac:dyDescent="0.2">
      <c r="B43" t="s">
        <v>406</v>
      </c>
      <c r="C43" t="s">
        <v>200</v>
      </c>
      <c r="D43" s="164" t="s">
        <v>201</v>
      </c>
      <c r="E43" s="164">
        <v>41000</v>
      </c>
      <c r="F43" s="164">
        <v>42094</v>
      </c>
      <c r="G43" s="164">
        <v>42124</v>
      </c>
      <c r="I43" s="33">
        <v>4441268.3914869996</v>
      </c>
      <c r="J43" s="33">
        <v>2986087.1</v>
      </c>
      <c r="K43" s="33">
        <v>1455181.2914869995</v>
      </c>
      <c r="L43" s="32">
        <v>0.67235006686912158</v>
      </c>
    </row>
    <row r="44" spans="2:12" x14ac:dyDescent="0.2">
      <c r="B44" t="s">
        <v>407</v>
      </c>
      <c r="C44" t="s">
        <v>185</v>
      </c>
      <c r="D44" s="164" t="s">
        <v>184</v>
      </c>
      <c r="E44" s="164">
        <v>41275</v>
      </c>
      <c r="F44" s="164">
        <v>41639</v>
      </c>
      <c r="G44" s="164">
        <v>41760</v>
      </c>
      <c r="I44" s="33">
        <v>0</v>
      </c>
      <c r="J44" s="33">
        <v>246637.56</v>
      </c>
      <c r="K44" s="33">
        <v>-246637.56</v>
      </c>
      <c r="L44" s="32">
        <v>0</v>
      </c>
    </row>
    <row r="45" spans="2:12" x14ac:dyDescent="0.2">
      <c r="B45" t="s">
        <v>408</v>
      </c>
      <c r="C45" t="s">
        <v>194</v>
      </c>
      <c r="D45" s="164" t="s">
        <v>195</v>
      </c>
      <c r="E45" s="164">
        <v>40878</v>
      </c>
      <c r="F45" s="164">
        <v>41517</v>
      </c>
      <c r="G45" s="164">
        <v>41547</v>
      </c>
      <c r="I45" s="33">
        <v>87524.623206999997</v>
      </c>
      <c r="J45" s="33">
        <v>47062.78</v>
      </c>
      <c r="K45" s="33">
        <v>40461.843206999998</v>
      </c>
      <c r="L45" s="32">
        <v>0.53770902719220204</v>
      </c>
    </row>
    <row r="46" spans="2:12" x14ac:dyDescent="0.2">
      <c r="B46" t="s">
        <v>409</v>
      </c>
      <c r="C46" t="s">
        <v>200</v>
      </c>
      <c r="D46" s="164" t="s">
        <v>191</v>
      </c>
      <c r="E46" s="164">
        <v>41214</v>
      </c>
      <c r="F46" s="164">
        <v>41455</v>
      </c>
      <c r="G46" s="164">
        <v>41532</v>
      </c>
      <c r="I46" s="33">
        <v>510174.23310499999</v>
      </c>
      <c r="J46" s="33">
        <v>496071.61</v>
      </c>
      <c r="K46" s="33">
        <v>14102.623105000006</v>
      </c>
      <c r="L46" s="32">
        <v>0.97235724152674419</v>
      </c>
    </row>
    <row r="47" spans="2:12" x14ac:dyDescent="0.2">
      <c r="B47" t="s">
        <v>410</v>
      </c>
      <c r="C47" t="s">
        <v>200</v>
      </c>
      <c r="D47" s="164" t="s">
        <v>191</v>
      </c>
      <c r="E47" s="164">
        <v>41214</v>
      </c>
      <c r="F47" s="164">
        <v>41379</v>
      </c>
      <c r="G47" s="164">
        <v>41409</v>
      </c>
      <c r="I47" s="33">
        <v>238809.989183</v>
      </c>
      <c r="J47" s="33">
        <v>244612.7</v>
      </c>
      <c r="K47" s="33">
        <v>-5802.7108170000138</v>
      </c>
      <c r="L47" s="32">
        <v>1.0242984426105952</v>
      </c>
    </row>
    <row r="48" spans="2:12" x14ac:dyDescent="0.2">
      <c r="B48" t="s">
        <v>411</v>
      </c>
      <c r="C48" t="s">
        <v>189</v>
      </c>
      <c r="D48" s="164" t="s">
        <v>187</v>
      </c>
      <c r="E48" s="164">
        <v>40817</v>
      </c>
      <c r="F48" s="164">
        <v>41639</v>
      </c>
      <c r="G48" s="164">
        <v>41820</v>
      </c>
      <c r="H48" t="s">
        <v>106</v>
      </c>
      <c r="I48" s="33">
        <v>82447.941762999995</v>
      </c>
      <c r="J48" s="33">
        <v>60812.67</v>
      </c>
      <c r="K48" s="33">
        <v>21635.271762999997</v>
      </c>
      <c r="L48" s="32">
        <v>0.7375886977847006</v>
      </c>
    </row>
    <row r="49" spans="2:12" x14ac:dyDescent="0.2">
      <c r="B49" t="s">
        <v>412</v>
      </c>
      <c r="C49" t="s">
        <v>198</v>
      </c>
      <c r="D49" s="164" t="s">
        <v>199</v>
      </c>
      <c r="E49" s="164">
        <v>40909</v>
      </c>
      <c r="F49" s="164">
        <v>41639</v>
      </c>
      <c r="G49" s="164">
        <v>41713</v>
      </c>
      <c r="I49" s="33">
        <v>391046.66724699998</v>
      </c>
      <c r="J49" s="33">
        <v>173130.76</v>
      </c>
      <c r="K49" s="33">
        <v>217915.90724699997</v>
      </c>
      <c r="L49" s="32">
        <v>0.44273682529723241</v>
      </c>
    </row>
    <row r="50" spans="2:12" x14ac:dyDescent="0.2">
      <c r="B50" t="s">
        <v>413</v>
      </c>
      <c r="C50" t="s">
        <v>189</v>
      </c>
      <c r="D50" s="164" t="s">
        <v>192</v>
      </c>
      <c r="E50" s="164">
        <v>40817</v>
      </c>
      <c r="F50" s="164">
        <v>41639</v>
      </c>
      <c r="G50" s="164">
        <v>41820</v>
      </c>
      <c r="H50" t="s">
        <v>106</v>
      </c>
      <c r="I50" s="33">
        <v>89294.919674999997</v>
      </c>
      <c r="J50" s="33">
        <v>74048.11</v>
      </c>
      <c r="K50" s="33">
        <v>15246.809674999997</v>
      </c>
      <c r="L50" s="32">
        <v>0.82925333568255999</v>
      </c>
    </row>
    <row r="51" spans="2:12" x14ac:dyDescent="0.2">
      <c r="B51" t="s">
        <v>414</v>
      </c>
      <c r="C51" t="s">
        <v>186</v>
      </c>
      <c r="D51" s="164" t="s">
        <v>188</v>
      </c>
      <c r="E51" s="164">
        <v>40909</v>
      </c>
      <c r="F51" s="164">
        <v>41274</v>
      </c>
      <c r="G51" s="164">
        <v>41305</v>
      </c>
      <c r="I51" s="33">
        <v>267644.95894699998</v>
      </c>
      <c r="J51" s="33">
        <v>280731.5</v>
      </c>
      <c r="K51" s="33">
        <v>-13086.541053000023</v>
      </c>
      <c r="L51" s="32">
        <v>1.0488951523857823</v>
      </c>
    </row>
    <row r="52" spans="2:12" x14ac:dyDescent="0.2">
      <c r="B52" t="s">
        <v>415</v>
      </c>
      <c r="C52" t="s">
        <v>183</v>
      </c>
      <c r="D52" s="164" t="s">
        <v>184</v>
      </c>
      <c r="E52" s="164">
        <v>40817</v>
      </c>
      <c r="F52" s="164">
        <v>42155</v>
      </c>
      <c r="G52" s="164">
        <v>42217</v>
      </c>
      <c r="H52" t="s">
        <v>106</v>
      </c>
      <c r="I52" s="33">
        <v>8802143</v>
      </c>
      <c r="J52" s="33">
        <v>7957247.8200000012</v>
      </c>
      <c r="K52" s="33">
        <v>844895.17999999877</v>
      </c>
      <c r="L52" s="32">
        <v>0.90401255921427326</v>
      </c>
    </row>
    <row r="53" spans="2:12" x14ac:dyDescent="0.2">
      <c r="B53" t="s">
        <v>416</v>
      </c>
      <c r="C53" t="s">
        <v>200</v>
      </c>
      <c r="D53" s="164" t="s">
        <v>201</v>
      </c>
      <c r="E53" s="164">
        <v>41275</v>
      </c>
      <c r="F53" s="164">
        <v>41639</v>
      </c>
      <c r="G53" s="164">
        <v>41670</v>
      </c>
      <c r="I53" s="33">
        <v>74252.336884000004</v>
      </c>
      <c r="J53" s="33">
        <v>24082.76</v>
      </c>
      <c r="K53" s="33">
        <v>50169.576884000009</v>
      </c>
      <c r="L53" s="32">
        <v>0.32433672811702963</v>
      </c>
    </row>
    <row r="54" spans="2:12" x14ac:dyDescent="0.2">
      <c r="B54" t="s">
        <v>417</v>
      </c>
      <c r="C54" t="s">
        <v>194</v>
      </c>
      <c r="D54" s="164" t="s">
        <v>195</v>
      </c>
      <c r="E54" s="164">
        <v>40969</v>
      </c>
      <c r="F54" s="164">
        <v>41333</v>
      </c>
      <c r="G54" s="164">
        <v>41364</v>
      </c>
      <c r="I54" s="33">
        <v>145234.36124999999</v>
      </c>
      <c r="J54" s="33">
        <v>142003.95000000001</v>
      </c>
      <c r="K54" s="33">
        <v>3230.4112499999756</v>
      </c>
      <c r="L54" s="32">
        <v>0.97775725233204769</v>
      </c>
    </row>
    <row r="55" spans="2:12" x14ac:dyDescent="0.2">
      <c r="B55" t="s">
        <v>418</v>
      </c>
      <c r="C55" t="s">
        <v>194</v>
      </c>
      <c r="D55" s="164" t="s">
        <v>195</v>
      </c>
      <c r="E55" s="164">
        <v>41334</v>
      </c>
      <c r="F55" s="164">
        <v>41698</v>
      </c>
      <c r="G55" s="164">
        <v>41759</v>
      </c>
      <c r="I55" s="33">
        <v>176672.494584</v>
      </c>
      <c r="J55" s="33">
        <v>12703.91</v>
      </c>
      <c r="K55" s="33">
        <v>163968.584584</v>
      </c>
      <c r="L55" s="32">
        <v>7.1906552459753997E-2</v>
      </c>
    </row>
    <row r="56" spans="2:12" x14ac:dyDescent="0.2">
      <c r="B56" t="s">
        <v>419</v>
      </c>
      <c r="C56" t="s">
        <v>183</v>
      </c>
      <c r="D56" t="s">
        <v>184</v>
      </c>
      <c r="E56" s="164">
        <v>40817</v>
      </c>
      <c r="F56" s="164">
        <v>41364</v>
      </c>
      <c r="G56" s="164">
        <v>41394</v>
      </c>
      <c r="H56" t="s">
        <v>106</v>
      </c>
      <c r="I56" s="33">
        <v>91749</v>
      </c>
      <c r="J56" s="33">
        <v>86886.39</v>
      </c>
      <c r="K56" s="33">
        <v>4862.6100000000006</v>
      </c>
      <c r="L56" s="32">
        <v>0.94700094823921788</v>
      </c>
    </row>
    <row r="57" spans="2:12" x14ac:dyDescent="0.2">
      <c r="B57" t="s">
        <v>420</v>
      </c>
      <c r="C57" t="s">
        <v>194</v>
      </c>
      <c r="D57" t="s">
        <v>195</v>
      </c>
      <c r="E57" s="164">
        <v>41275</v>
      </c>
      <c r="F57" s="164">
        <v>41639</v>
      </c>
      <c r="G57" s="164">
        <v>41649</v>
      </c>
      <c r="I57" s="33">
        <v>153988.521771</v>
      </c>
      <c r="J57" s="33">
        <v>67165.460000000006</v>
      </c>
      <c r="K57" s="33">
        <v>86823.061770999993</v>
      </c>
      <c r="L57" s="32">
        <v>0.43617186026295751</v>
      </c>
    </row>
    <row r="58" spans="2:12" x14ac:dyDescent="0.2">
      <c r="B58" t="s">
        <v>421</v>
      </c>
      <c r="C58" t="s">
        <v>200</v>
      </c>
      <c r="D58" t="s">
        <v>191</v>
      </c>
      <c r="E58" s="164">
        <v>41000</v>
      </c>
      <c r="F58" s="164">
        <v>41989</v>
      </c>
      <c r="G58" s="164">
        <v>42078</v>
      </c>
      <c r="I58" s="33">
        <v>445187.09938199999</v>
      </c>
      <c r="J58" s="33">
        <v>130158.15</v>
      </c>
      <c r="K58" s="33">
        <v>315028.94938200002</v>
      </c>
      <c r="L58" s="32">
        <v>0.29236729945832435</v>
      </c>
    </row>
    <row r="59" spans="2:12" x14ac:dyDescent="0.2">
      <c r="B59" t="s">
        <v>422</v>
      </c>
      <c r="C59" t="s">
        <v>183</v>
      </c>
      <c r="D59" t="s">
        <v>187</v>
      </c>
      <c r="E59" s="164">
        <v>40817</v>
      </c>
      <c r="F59" s="164">
        <v>42155</v>
      </c>
      <c r="G59" s="164">
        <v>42246</v>
      </c>
      <c r="H59" t="s">
        <v>106</v>
      </c>
      <c r="I59" s="33">
        <v>1150772.479546</v>
      </c>
      <c r="J59" s="33">
        <v>1760909.07</v>
      </c>
      <c r="K59" s="33">
        <v>-610136.59045400005</v>
      </c>
      <c r="L59" s="32">
        <v>1.5301974119981647</v>
      </c>
    </row>
    <row r="60" spans="2:12" x14ac:dyDescent="0.2">
      <c r="B60" t="s">
        <v>423</v>
      </c>
      <c r="C60" t="s">
        <v>183</v>
      </c>
      <c r="D60" t="s">
        <v>184</v>
      </c>
      <c r="E60" s="164">
        <v>40817</v>
      </c>
      <c r="F60" s="164">
        <v>42155</v>
      </c>
      <c r="G60" s="164">
        <v>42217</v>
      </c>
      <c r="H60" t="s">
        <v>106</v>
      </c>
      <c r="I60" s="33">
        <v>3345825</v>
      </c>
      <c r="J60" s="33">
        <v>2227134</v>
      </c>
      <c r="K60" s="33">
        <v>1118691</v>
      </c>
      <c r="L60" s="32">
        <v>0.6656456927663581</v>
      </c>
    </row>
    <row r="61" spans="2:12" x14ac:dyDescent="0.2">
      <c r="B61" t="s">
        <v>424</v>
      </c>
      <c r="C61" t="s">
        <v>183</v>
      </c>
      <c r="D61" t="s">
        <v>187</v>
      </c>
      <c r="E61" s="164">
        <v>40909</v>
      </c>
      <c r="F61" s="164">
        <v>41363</v>
      </c>
      <c r="G61" s="164">
        <v>41389</v>
      </c>
      <c r="I61" s="33">
        <v>84951.130579999997</v>
      </c>
      <c r="J61" s="33">
        <v>90122.2</v>
      </c>
      <c r="K61" s="33">
        <v>-5171.0694199999998</v>
      </c>
      <c r="L61" s="32">
        <v>1.0608711077144561</v>
      </c>
    </row>
    <row r="62" spans="2:12" x14ac:dyDescent="0.2">
      <c r="B62" t="s">
        <v>425</v>
      </c>
      <c r="C62" t="s">
        <v>193</v>
      </c>
      <c r="D62" t="s">
        <v>191</v>
      </c>
      <c r="E62" s="164">
        <v>40817</v>
      </c>
      <c r="F62" s="164">
        <v>41639</v>
      </c>
      <c r="G62" s="164">
        <v>41685</v>
      </c>
      <c r="H62" t="s">
        <v>106</v>
      </c>
      <c r="I62" s="33">
        <v>259724.947977</v>
      </c>
      <c r="J62" s="33">
        <v>196434.91</v>
      </c>
      <c r="K62" s="33">
        <v>63290.037977</v>
      </c>
      <c r="L62" s="32">
        <v>0.75631898872262104</v>
      </c>
    </row>
    <row r="63" spans="2:12" x14ac:dyDescent="0.2">
      <c r="B63" t="s">
        <v>426</v>
      </c>
      <c r="C63" t="s">
        <v>183</v>
      </c>
      <c r="D63" t="s">
        <v>184</v>
      </c>
      <c r="E63" s="164">
        <v>40909</v>
      </c>
      <c r="F63" s="164">
        <v>41274</v>
      </c>
      <c r="G63" s="164">
        <v>41364</v>
      </c>
      <c r="I63" s="33">
        <v>804429</v>
      </c>
      <c r="J63" s="33">
        <v>169575.71</v>
      </c>
      <c r="K63" s="33">
        <v>634853.29</v>
      </c>
      <c r="L63" s="32">
        <v>0.21080258170702448</v>
      </c>
    </row>
    <row r="64" spans="2:12" x14ac:dyDescent="0.2">
      <c r="B64" t="s">
        <v>427</v>
      </c>
      <c r="C64" t="s">
        <v>183</v>
      </c>
      <c r="D64" t="s">
        <v>184</v>
      </c>
      <c r="E64" s="164">
        <v>41275</v>
      </c>
      <c r="F64" s="164">
        <v>41639</v>
      </c>
      <c r="G64" s="164">
        <v>41729</v>
      </c>
      <c r="I64" s="33">
        <v>774631</v>
      </c>
      <c r="J64" s="33">
        <v>49986.11</v>
      </c>
      <c r="K64" s="33">
        <v>724644.89</v>
      </c>
      <c r="L64" s="32">
        <v>6.4528930548867783E-2</v>
      </c>
    </row>
    <row r="65" spans="2:12" x14ac:dyDescent="0.2">
      <c r="B65" t="s">
        <v>428</v>
      </c>
      <c r="C65" t="s">
        <v>198</v>
      </c>
      <c r="D65" t="s">
        <v>191</v>
      </c>
      <c r="E65" s="164">
        <v>40817</v>
      </c>
      <c r="F65" s="164">
        <v>41547</v>
      </c>
      <c r="G65" s="164">
        <v>41670</v>
      </c>
      <c r="H65" t="s">
        <v>106</v>
      </c>
      <c r="I65" s="33">
        <v>699315.986302</v>
      </c>
      <c r="J65" s="33">
        <v>781209.06</v>
      </c>
      <c r="K65" s="33">
        <v>-81893.073698000051</v>
      </c>
      <c r="L65" s="32">
        <v>1.1171045354347648</v>
      </c>
    </row>
    <row r="66" spans="2:12" x14ac:dyDescent="0.2">
      <c r="B66" t="s">
        <v>429</v>
      </c>
      <c r="C66" t="s">
        <v>183</v>
      </c>
      <c r="D66" t="s">
        <v>184</v>
      </c>
      <c r="E66" s="164">
        <v>40817</v>
      </c>
      <c r="F66" s="164">
        <v>41356</v>
      </c>
      <c r="G66" s="164">
        <v>41425</v>
      </c>
      <c r="H66" t="s">
        <v>106</v>
      </c>
      <c r="I66" s="33">
        <v>1895815</v>
      </c>
      <c r="J66" s="33">
        <v>1358266.16</v>
      </c>
      <c r="K66" s="33">
        <v>537548.84000000008</v>
      </c>
      <c r="L66" s="32">
        <v>0.71645501275177159</v>
      </c>
    </row>
    <row r="67" spans="2:12" x14ac:dyDescent="0.2">
      <c r="B67" t="s">
        <v>430</v>
      </c>
      <c r="C67" t="s">
        <v>183</v>
      </c>
      <c r="D67" t="s">
        <v>184</v>
      </c>
      <c r="E67" s="164">
        <v>40817</v>
      </c>
      <c r="F67" s="164">
        <v>41455</v>
      </c>
      <c r="G67" s="164">
        <v>41517</v>
      </c>
      <c r="H67" t="s">
        <v>106</v>
      </c>
      <c r="I67" s="33">
        <v>337153</v>
      </c>
      <c r="J67" s="33">
        <v>357021.08</v>
      </c>
      <c r="K67" s="33">
        <v>-19868.080000000016</v>
      </c>
      <c r="L67" s="32">
        <v>1.0589289728995441</v>
      </c>
    </row>
    <row r="68" spans="2:12" x14ac:dyDescent="0.2">
      <c r="B68" t="s">
        <v>431</v>
      </c>
      <c r="C68" t="s">
        <v>183</v>
      </c>
      <c r="D68" t="s">
        <v>184</v>
      </c>
      <c r="E68" s="164">
        <v>40817</v>
      </c>
      <c r="F68" s="164">
        <v>41599</v>
      </c>
      <c r="G68" s="164">
        <v>41305</v>
      </c>
      <c r="H68" t="s">
        <v>106</v>
      </c>
      <c r="I68" s="33">
        <v>75967</v>
      </c>
      <c r="J68" s="33">
        <v>59296.480000000003</v>
      </c>
      <c r="K68" s="33">
        <v>16670.519999999997</v>
      </c>
      <c r="L68" s="32">
        <v>0.78055576763594725</v>
      </c>
    </row>
    <row r="69" spans="2:12" x14ac:dyDescent="0.2">
      <c r="B69" t="s">
        <v>432</v>
      </c>
      <c r="C69" t="s">
        <v>183</v>
      </c>
      <c r="D69" t="s">
        <v>187</v>
      </c>
      <c r="E69" s="164">
        <v>40817</v>
      </c>
      <c r="F69" s="164">
        <v>41639</v>
      </c>
      <c r="G69" s="164">
        <v>41698</v>
      </c>
      <c r="H69" t="s">
        <v>106</v>
      </c>
      <c r="I69" s="33">
        <v>325993.99600500002</v>
      </c>
      <c r="J69" s="33">
        <v>240289.47</v>
      </c>
      <c r="K69" s="33">
        <v>85704.526005000022</v>
      </c>
      <c r="L69" s="32">
        <v>0.73709783905441773</v>
      </c>
    </row>
    <row r="70" spans="2:12" x14ac:dyDescent="0.2">
      <c r="B70" t="s">
        <v>433</v>
      </c>
      <c r="C70" t="s">
        <v>183</v>
      </c>
      <c r="D70" t="s">
        <v>184</v>
      </c>
      <c r="E70" s="164">
        <v>40817</v>
      </c>
      <c r="F70" s="164">
        <v>41424</v>
      </c>
      <c r="G70" s="164">
        <v>41487</v>
      </c>
      <c r="H70" t="s">
        <v>106</v>
      </c>
      <c r="I70" s="33">
        <v>5681</v>
      </c>
      <c r="J70" s="33">
        <v>-1.8189894035458565E-12</v>
      </c>
      <c r="K70" s="33">
        <v>5681.0000000000018</v>
      </c>
      <c r="L70" s="32">
        <v>-3.2018824213093759E-16</v>
      </c>
    </row>
    <row r="71" spans="2:12" x14ac:dyDescent="0.2">
      <c r="B71" t="s">
        <v>434</v>
      </c>
      <c r="C71" t="s">
        <v>189</v>
      </c>
      <c r="D71" t="s">
        <v>191</v>
      </c>
      <c r="E71" s="164">
        <v>40909</v>
      </c>
      <c r="F71" s="164">
        <v>42004</v>
      </c>
      <c r="G71" s="164">
        <v>42094</v>
      </c>
      <c r="I71" s="33">
        <v>1655722.4279100001</v>
      </c>
      <c r="J71" s="33">
        <v>542334.09</v>
      </c>
      <c r="K71" s="33">
        <v>1113388.3379100002</v>
      </c>
      <c r="L71" s="32">
        <v>0.32755133400263364</v>
      </c>
    </row>
    <row r="72" spans="2:12" x14ac:dyDescent="0.2">
      <c r="B72" t="s">
        <v>435</v>
      </c>
      <c r="C72" t="s">
        <v>198</v>
      </c>
      <c r="D72" t="s">
        <v>191</v>
      </c>
      <c r="E72" s="164">
        <v>41091</v>
      </c>
      <c r="F72" s="164">
        <v>42185</v>
      </c>
      <c r="G72" s="164">
        <v>42247</v>
      </c>
      <c r="I72" s="33">
        <v>612446.72067499999</v>
      </c>
      <c r="J72" s="33">
        <v>169302.65</v>
      </c>
      <c r="K72" s="33">
        <v>443144.07067499997</v>
      </c>
      <c r="L72" s="32">
        <v>0.27643653608497626</v>
      </c>
    </row>
    <row r="73" spans="2:12" x14ac:dyDescent="0.2">
      <c r="B73" t="s">
        <v>436</v>
      </c>
      <c r="C73" t="s">
        <v>189</v>
      </c>
      <c r="D73" t="s">
        <v>191</v>
      </c>
      <c r="E73" s="164">
        <v>40817</v>
      </c>
      <c r="F73" s="164">
        <v>41913</v>
      </c>
      <c r="G73" s="164">
        <v>42005</v>
      </c>
      <c r="H73" t="s">
        <v>106</v>
      </c>
      <c r="I73" s="33">
        <v>1440207.6399290001</v>
      </c>
      <c r="J73" s="33">
        <v>640425.91</v>
      </c>
      <c r="K73" s="33">
        <v>799781.72992900002</v>
      </c>
      <c r="L73" s="32">
        <v>0.44467609547715775</v>
      </c>
    </row>
    <row r="74" spans="2:12" x14ac:dyDescent="0.2">
      <c r="B74" t="s">
        <v>437</v>
      </c>
      <c r="C74" t="s">
        <v>200</v>
      </c>
      <c r="D74" t="s">
        <v>201</v>
      </c>
      <c r="E74" s="164">
        <v>40817</v>
      </c>
      <c r="F74" s="164">
        <v>41639</v>
      </c>
      <c r="G74" s="164">
        <v>41639</v>
      </c>
      <c r="H74" t="s">
        <v>106</v>
      </c>
      <c r="I74" s="33">
        <v>980778.32725099998</v>
      </c>
      <c r="J74" s="33">
        <v>894143.94</v>
      </c>
      <c r="K74" s="33">
        <v>86634.387251000036</v>
      </c>
      <c r="L74" s="32">
        <v>0.91166771854163475</v>
      </c>
    </row>
    <row r="75" spans="2:12" x14ac:dyDescent="0.2">
      <c r="B75" t="s">
        <v>438</v>
      </c>
      <c r="C75" t="s">
        <v>183</v>
      </c>
      <c r="D75" t="s">
        <v>184</v>
      </c>
      <c r="E75" s="164">
        <v>41275</v>
      </c>
      <c r="F75" s="164">
        <v>43100</v>
      </c>
      <c r="G75" s="164">
        <v>43159</v>
      </c>
      <c r="I75" s="33">
        <v>201325</v>
      </c>
      <c r="J75" s="33">
        <v>79422.17</v>
      </c>
      <c r="K75" s="33">
        <v>121902.83</v>
      </c>
      <c r="L75" s="32">
        <v>0.39449730535204269</v>
      </c>
    </row>
    <row r="76" spans="2:12" x14ac:dyDescent="0.2">
      <c r="B76" t="s">
        <v>439</v>
      </c>
      <c r="C76" t="s">
        <v>200</v>
      </c>
      <c r="D76" t="s">
        <v>201</v>
      </c>
      <c r="E76" s="164">
        <v>40909</v>
      </c>
      <c r="F76" s="164">
        <v>42003</v>
      </c>
      <c r="G76" s="164">
        <v>42063</v>
      </c>
      <c r="I76" s="33">
        <v>445514.02130600001</v>
      </c>
      <c r="J76" s="33">
        <v>185095.14</v>
      </c>
      <c r="K76" s="33">
        <v>260418.881306</v>
      </c>
      <c r="L76" s="32">
        <v>0.41546423041277963</v>
      </c>
    </row>
    <row r="77" spans="2:12" x14ac:dyDescent="0.2">
      <c r="B77" t="s">
        <v>440</v>
      </c>
      <c r="C77" t="s">
        <v>183</v>
      </c>
      <c r="D77" t="s">
        <v>184</v>
      </c>
      <c r="E77" s="164">
        <v>40817</v>
      </c>
      <c r="F77" s="164">
        <v>41409</v>
      </c>
      <c r="G77" s="164">
        <v>41426</v>
      </c>
      <c r="H77" t="s">
        <v>106</v>
      </c>
      <c r="I77" s="33">
        <v>50000</v>
      </c>
      <c r="J77" s="33">
        <v>46614.879999999997</v>
      </c>
      <c r="K77" s="33">
        <v>3385.1200000000026</v>
      </c>
      <c r="L77" s="32">
        <v>0.93229759999999995</v>
      </c>
    </row>
    <row r="78" spans="2:12" x14ac:dyDescent="0.2">
      <c r="B78" t="s">
        <v>441</v>
      </c>
      <c r="C78" t="s">
        <v>200</v>
      </c>
      <c r="D78" t="s">
        <v>201</v>
      </c>
      <c r="E78" s="164">
        <v>41275</v>
      </c>
      <c r="F78" s="164">
        <v>41639</v>
      </c>
      <c r="G78" s="164">
        <v>41669</v>
      </c>
      <c r="I78" s="33">
        <v>14850.467376000001</v>
      </c>
      <c r="J78" s="33">
        <v>3347.08</v>
      </c>
      <c r="K78" s="33">
        <v>11503.387376000001</v>
      </c>
      <c r="L78" s="32">
        <v>0.22538549900518631</v>
      </c>
    </row>
    <row r="79" spans="2:12" x14ac:dyDescent="0.2">
      <c r="B79" t="s">
        <v>442</v>
      </c>
      <c r="C79" t="s">
        <v>186</v>
      </c>
      <c r="D79" t="s">
        <v>188</v>
      </c>
      <c r="E79" s="164">
        <v>40923</v>
      </c>
      <c r="F79" s="164">
        <v>41698</v>
      </c>
      <c r="G79" s="164">
        <v>41759</v>
      </c>
      <c r="I79" s="33">
        <v>242286.42201400001</v>
      </c>
      <c r="J79" s="33">
        <v>47164.84</v>
      </c>
      <c r="K79" s="33">
        <v>195121.58201400001</v>
      </c>
      <c r="L79" s="32">
        <v>0.19466563420245925</v>
      </c>
    </row>
    <row r="80" spans="2:12" x14ac:dyDescent="0.2">
      <c r="B80" t="s">
        <v>443</v>
      </c>
      <c r="C80" t="s">
        <v>193</v>
      </c>
      <c r="D80" t="s">
        <v>191</v>
      </c>
      <c r="E80" s="164">
        <v>40817</v>
      </c>
      <c r="F80" s="164">
        <v>41639</v>
      </c>
      <c r="G80" s="164">
        <v>41685</v>
      </c>
      <c r="H80" t="s">
        <v>106</v>
      </c>
      <c r="I80" s="33">
        <v>516464.052417</v>
      </c>
      <c r="J80" s="33">
        <v>379021.25</v>
      </c>
      <c r="K80" s="33">
        <v>137442.802417</v>
      </c>
      <c r="L80" s="32">
        <v>0.73387731096911502</v>
      </c>
    </row>
    <row r="81" spans="2:12" x14ac:dyDescent="0.2">
      <c r="B81" t="s">
        <v>444</v>
      </c>
      <c r="C81" t="s">
        <v>186</v>
      </c>
      <c r="D81" t="s">
        <v>187</v>
      </c>
      <c r="E81" s="164">
        <v>40817</v>
      </c>
      <c r="F81" s="164">
        <v>41090</v>
      </c>
      <c r="G81" s="164">
        <v>41090</v>
      </c>
      <c r="H81" t="s">
        <v>106</v>
      </c>
      <c r="I81" s="33">
        <v>34117.850930000001</v>
      </c>
      <c r="J81" s="33">
        <v>72645.16</v>
      </c>
      <c r="K81" s="33">
        <v>-38527.309070000003</v>
      </c>
      <c r="L81" s="32">
        <v>2.1292419662963806</v>
      </c>
    </row>
    <row r="82" spans="2:12" x14ac:dyDescent="0.2">
      <c r="B82" t="s">
        <v>445</v>
      </c>
      <c r="C82" t="s">
        <v>186</v>
      </c>
      <c r="D82" t="s">
        <v>187</v>
      </c>
      <c r="E82" s="164">
        <v>40817</v>
      </c>
      <c r="F82" s="164">
        <v>41364</v>
      </c>
      <c r="G82" s="164">
        <v>41389</v>
      </c>
      <c r="H82" t="s">
        <v>106</v>
      </c>
      <c r="I82" s="33">
        <v>213393.53217799999</v>
      </c>
      <c r="J82" s="33">
        <v>162980.60999999999</v>
      </c>
      <c r="K82" s="33">
        <v>50412.922178000008</v>
      </c>
      <c r="L82" s="32">
        <v>0.76375609108926223</v>
      </c>
    </row>
    <row r="83" spans="2:12" x14ac:dyDescent="0.2">
      <c r="B83" t="s">
        <v>446</v>
      </c>
      <c r="C83" t="s">
        <v>200</v>
      </c>
      <c r="D83" t="s">
        <v>201</v>
      </c>
      <c r="E83" s="164">
        <v>41214</v>
      </c>
      <c r="F83" s="164">
        <v>41305</v>
      </c>
      <c r="G83" s="164">
        <v>41364</v>
      </c>
      <c r="I83" s="33">
        <v>36153.462828999996</v>
      </c>
      <c r="J83" s="33">
        <v>35819.03</v>
      </c>
      <c r="K83" s="33">
        <v>334.43282899999758</v>
      </c>
      <c r="L83" s="32">
        <v>0.99074963218373269</v>
      </c>
    </row>
    <row r="84" spans="2:12" x14ac:dyDescent="0.2">
      <c r="B84" t="s">
        <v>447</v>
      </c>
      <c r="C84" t="s">
        <v>186</v>
      </c>
      <c r="D84" t="s">
        <v>188</v>
      </c>
      <c r="E84" s="164">
        <v>41091</v>
      </c>
      <c r="F84" s="164">
        <v>41455</v>
      </c>
      <c r="G84" s="164">
        <v>41547</v>
      </c>
      <c r="I84" s="33">
        <v>145651.12216500001</v>
      </c>
      <c r="J84" s="33">
        <v>132899.82</v>
      </c>
      <c r="K84" s="33">
        <v>12751.302165000001</v>
      </c>
      <c r="L84" s="32">
        <v>0.91245311415757746</v>
      </c>
    </row>
    <row r="85" spans="2:12" x14ac:dyDescent="0.2">
      <c r="B85" t="s">
        <v>448</v>
      </c>
      <c r="C85" t="s">
        <v>186</v>
      </c>
      <c r="D85" t="s">
        <v>188</v>
      </c>
      <c r="E85" s="164">
        <v>41275</v>
      </c>
      <c r="F85" s="164">
        <v>41455</v>
      </c>
      <c r="G85" s="164">
        <v>41547</v>
      </c>
      <c r="I85" s="33">
        <v>39372.344757999999</v>
      </c>
      <c r="J85" s="33">
        <v>28910.98</v>
      </c>
      <c r="K85" s="33">
        <v>10461.364758</v>
      </c>
      <c r="L85" s="32">
        <v>0.73429662819676567</v>
      </c>
    </row>
    <row r="86" spans="2:12" x14ac:dyDescent="0.2">
      <c r="B86" t="s">
        <v>449</v>
      </c>
      <c r="C86" t="s">
        <v>183</v>
      </c>
      <c r="D86" t="s">
        <v>184</v>
      </c>
      <c r="E86" s="164">
        <v>40909</v>
      </c>
      <c r="F86" s="164">
        <v>41274</v>
      </c>
      <c r="G86" s="164">
        <v>41364</v>
      </c>
      <c r="I86" s="33">
        <v>342243</v>
      </c>
      <c r="J86" s="33">
        <v>340318.43</v>
      </c>
      <c r="K86" s="33">
        <v>1924.570000000007</v>
      </c>
      <c r="L86" s="32">
        <v>0.9943765979143474</v>
      </c>
    </row>
    <row r="87" spans="2:12" x14ac:dyDescent="0.2">
      <c r="B87" t="s">
        <v>450</v>
      </c>
      <c r="C87" t="s">
        <v>189</v>
      </c>
      <c r="D87" t="s">
        <v>190</v>
      </c>
      <c r="E87" s="164">
        <v>40909</v>
      </c>
      <c r="F87" s="164">
        <v>41274</v>
      </c>
      <c r="G87" s="164">
        <v>41305</v>
      </c>
      <c r="I87" s="33">
        <v>96402.214210000006</v>
      </c>
      <c r="J87" s="33">
        <v>92820.09</v>
      </c>
      <c r="K87" s="33">
        <v>3582.124210000009</v>
      </c>
      <c r="L87" s="32">
        <v>0.96284188865001785</v>
      </c>
    </row>
    <row r="88" spans="2:12" x14ac:dyDescent="0.2">
      <c r="B88" t="s">
        <v>451</v>
      </c>
      <c r="C88" t="s">
        <v>194</v>
      </c>
      <c r="D88" t="s">
        <v>195</v>
      </c>
      <c r="E88" s="164">
        <v>41153</v>
      </c>
      <c r="F88" s="164">
        <v>41364</v>
      </c>
      <c r="G88" s="164">
        <v>41424</v>
      </c>
      <c r="I88" s="33">
        <v>11557.150339</v>
      </c>
      <c r="J88" s="33">
        <v>6732.66</v>
      </c>
      <c r="K88" s="33">
        <v>4824.4903389999999</v>
      </c>
      <c r="L88" s="32">
        <v>0.58255364017204203</v>
      </c>
    </row>
    <row r="89" spans="2:12" x14ac:dyDescent="0.2">
      <c r="B89" t="s">
        <v>452</v>
      </c>
      <c r="C89" t="s">
        <v>200</v>
      </c>
      <c r="D89" t="s">
        <v>201</v>
      </c>
      <c r="E89" s="164">
        <v>41153</v>
      </c>
      <c r="F89" s="164">
        <v>41517</v>
      </c>
      <c r="G89" s="164">
        <v>41567</v>
      </c>
      <c r="I89" s="33">
        <v>194251.538523</v>
      </c>
      <c r="J89" s="33">
        <v>24881.98</v>
      </c>
      <c r="K89" s="33">
        <v>169369.55852299999</v>
      </c>
      <c r="L89" s="32">
        <v>0.1280915466059688</v>
      </c>
    </row>
    <row r="90" spans="2:12" x14ac:dyDescent="0.2">
      <c r="B90" t="s">
        <v>453</v>
      </c>
      <c r="C90" t="s">
        <v>183</v>
      </c>
      <c r="D90" t="s">
        <v>184</v>
      </c>
      <c r="E90" s="164">
        <v>40817</v>
      </c>
      <c r="F90" s="164">
        <v>41455</v>
      </c>
      <c r="G90" s="164">
        <v>41639</v>
      </c>
      <c r="H90" t="s">
        <v>106</v>
      </c>
      <c r="I90" s="33">
        <v>102885</v>
      </c>
      <c r="J90" s="33">
        <v>58572.54</v>
      </c>
      <c r="K90" s="33">
        <v>44312.46</v>
      </c>
      <c r="L90" s="32">
        <v>0.56930106429508676</v>
      </c>
    </row>
    <row r="91" spans="2:12" x14ac:dyDescent="0.2">
      <c r="B91" t="s">
        <v>454</v>
      </c>
      <c r="C91" t="s">
        <v>198</v>
      </c>
      <c r="D91" t="s">
        <v>199</v>
      </c>
      <c r="E91" s="164">
        <v>41284</v>
      </c>
      <c r="F91" s="164">
        <v>41343</v>
      </c>
      <c r="G91" s="164">
        <v>41374</v>
      </c>
      <c r="I91" s="33">
        <v>52923.609101000002</v>
      </c>
      <c r="J91" s="33">
        <v>50495.39</v>
      </c>
      <c r="K91" s="33">
        <v>2428.2191010000024</v>
      </c>
      <c r="L91" s="32">
        <v>0.95411841440431699</v>
      </c>
    </row>
    <row r="92" spans="2:12" x14ac:dyDescent="0.2">
      <c r="B92" t="s">
        <v>455</v>
      </c>
      <c r="C92" t="s">
        <v>200</v>
      </c>
      <c r="D92" t="s">
        <v>201</v>
      </c>
      <c r="E92" s="164">
        <v>40909</v>
      </c>
      <c r="F92" s="164">
        <v>41305</v>
      </c>
      <c r="G92" s="164">
        <v>41305</v>
      </c>
      <c r="I92" s="33">
        <v>466395.263485</v>
      </c>
      <c r="J92" s="33">
        <v>394196.86</v>
      </c>
      <c r="K92" s="33">
        <v>72198.403485000017</v>
      </c>
      <c r="L92" s="32">
        <v>0.8451991065571316</v>
      </c>
    </row>
    <row r="93" spans="2:12" x14ac:dyDescent="0.2">
      <c r="B93" t="s">
        <v>456</v>
      </c>
      <c r="C93" t="s">
        <v>194</v>
      </c>
      <c r="D93" t="s">
        <v>195</v>
      </c>
      <c r="E93" s="164">
        <v>41275</v>
      </c>
      <c r="F93" s="164">
        <v>41639</v>
      </c>
      <c r="G93" s="164">
        <v>41649</v>
      </c>
      <c r="I93" s="33">
        <v>183326.17279899999</v>
      </c>
      <c r="J93" s="33">
        <v>88023</v>
      </c>
      <c r="K93" s="33">
        <v>95303.172798999993</v>
      </c>
      <c r="L93" s="32">
        <v>0.4801442077586433</v>
      </c>
    </row>
    <row r="94" spans="2:12" x14ac:dyDescent="0.2">
      <c r="B94" t="s">
        <v>457</v>
      </c>
      <c r="C94" t="s">
        <v>183</v>
      </c>
      <c r="D94" t="s">
        <v>184</v>
      </c>
      <c r="E94" s="164">
        <v>40817</v>
      </c>
      <c r="F94" s="164">
        <v>41365</v>
      </c>
      <c r="G94" s="164">
        <v>41730</v>
      </c>
      <c r="H94" t="s">
        <v>106</v>
      </c>
      <c r="I94" s="33">
        <v>370289</v>
      </c>
      <c r="J94" s="33">
        <v>200967.11</v>
      </c>
      <c r="K94" s="33">
        <v>169321.89</v>
      </c>
      <c r="L94" s="32">
        <v>0.54273043487654238</v>
      </c>
    </row>
    <row r="95" spans="2:12" x14ac:dyDescent="0.2">
      <c r="B95" t="s">
        <v>458</v>
      </c>
      <c r="C95" t="s">
        <v>229</v>
      </c>
      <c r="D95" t="s">
        <v>184</v>
      </c>
      <c r="E95" s="164">
        <v>41365</v>
      </c>
      <c r="F95" s="164">
        <v>41639</v>
      </c>
      <c r="G95" s="164">
        <v>41670</v>
      </c>
      <c r="I95" s="33">
        <v>700000</v>
      </c>
      <c r="J95" s="33">
        <v>50926.25</v>
      </c>
      <c r="K95" s="33">
        <v>649073.75</v>
      </c>
      <c r="L95" s="32">
        <v>7.2751785714285713E-2</v>
      </c>
    </row>
    <row r="96" spans="2:12" x14ac:dyDescent="0.2">
      <c r="B96" t="s">
        <v>459</v>
      </c>
      <c r="C96" t="s">
        <v>186</v>
      </c>
      <c r="D96" t="s">
        <v>188</v>
      </c>
      <c r="E96" s="164">
        <v>40909</v>
      </c>
      <c r="F96" s="164">
        <v>41274</v>
      </c>
      <c r="G96" s="164">
        <v>41305</v>
      </c>
      <c r="I96" s="33">
        <v>13642.059639999999</v>
      </c>
      <c r="J96" s="33">
        <v>16224.72</v>
      </c>
      <c r="K96" s="33">
        <v>-2582.6603599999999</v>
      </c>
      <c r="L96" s="32">
        <v>1.1893160144548378</v>
      </c>
    </row>
    <row r="97" spans="2:12" x14ac:dyDescent="0.2">
      <c r="B97" t="s">
        <v>460</v>
      </c>
      <c r="C97" t="s">
        <v>183</v>
      </c>
      <c r="D97" t="s">
        <v>184</v>
      </c>
      <c r="E97" s="164">
        <v>40817</v>
      </c>
      <c r="F97" s="164">
        <v>42155</v>
      </c>
      <c r="G97" s="164">
        <v>42247</v>
      </c>
      <c r="H97" t="s">
        <v>106</v>
      </c>
      <c r="I97" s="33">
        <v>11480522</v>
      </c>
      <c r="J97" s="33">
        <v>9158410.4600000009</v>
      </c>
      <c r="K97" s="33">
        <v>2322111.5399999991</v>
      </c>
      <c r="L97" s="32">
        <v>0.79773467269171217</v>
      </c>
    </row>
    <row r="98" spans="2:12" x14ac:dyDescent="0.2">
      <c r="B98" t="s">
        <v>461</v>
      </c>
      <c r="C98" t="s">
        <v>183</v>
      </c>
      <c r="D98" t="s">
        <v>184</v>
      </c>
      <c r="E98" s="164">
        <v>40817</v>
      </c>
      <c r="F98" s="164">
        <v>42277</v>
      </c>
      <c r="G98" s="164">
        <v>42308</v>
      </c>
      <c r="H98" t="s">
        <v>106</v>
      </c>
      <c r="I98" s="33">
        <v>15951</v>
      </c>
      <c r="J98" s="33">
        <v>29644</v>
      </c>
      <c r="K98" s="33">
        <v>-13693</v>
      </c>
      <c r="L98" s="32">
        <v>1.8584414770233841</v>
      </c>
    </row>
    <row r="99" spans="2:12" x14ac:dyDescent="0.2">
      <c r="B99" t="s">
        <v>462</v>
      </c>
      <c r="C99" t="s">
        <v>183</v>
      </c>
      <c r="D99" t="s">
        <v>184</v>
      </c>
      <c r="E99" s="164">
        <v>41128</v>
      </c>
      <c r="F99" s="164">
        <v>41492</v>
      </c>
      <c r="G99" s="164">
        <v>41572</v>
      </c>
      <c r="I99" s="33">
        <v>2877</v>
      </c>
      <c r="J99" s="33">
        <v>2877.3</v>
      </c>
      <c r="K99" s="33">
        <v>-0.3000000000001819</v>
      </c>
      <c r="L99" s="32">
        <v>1.000104275286757</v>
      </c>
    </row>
    <row r="100" spans="2:12" x14ac:dyDescent="0.2">
      <c r="B100" t="s">
        <v>463</v>
      </c>
      <c r="C100" t="s">
        <v>200</v>
      </c>
      <c r="D100" t="s">
        <v>201</v>
      </c>
      <c r="E100" s="164">
        <v>40909</v>
      </c>
      <c r="F100" s="164">
        <v>41274</v>
      </c>
      <c r="G100" s="164">
        <v>41305</v>
      </c>
      <c r="I100" s="33">
        <v>74252.336884000004</v>
      </c>
      <c r="J100" s="33">
        <v>71466.2</v>
      </c>
      <c r="K100" s="33">
        <v>2786.1368840000068</v>
      </c>
      <c r="L100" s="32">
        <v>0.96247745187666456</v>
      </c>
    </row>
    <row r="101" spans="2:12" x14ac:dyDescent="0.2">
      <c r="B101" t="s">
        <v>464</v>
      </c>
      <c r="C101" t="s">
        <v>200</v>
      </c>
      <c r="D101" t="s">
        <v>201</v>
      </c>
      <c r="E101" s="164">
        <v>40909</v>
      </c>
      <c r="F101" s="164">
        <v>41274</v>
      </c>
      <c r="G101" s="164">
        <v>41305</v>
      </c>
      <c r="I101" s="33">
        <v>148504.67376800001</v>
      </c>
      <c r="J101" s="33">
        <v>106863.67</v>
      </c>
      <c r="K101" s="33">
        <v>41641.00376800001</v>
      </c>
      <c r="L101" s="32">
        <v>0.71959802535876238</v>
      </c>
    </row>
    <row r="102" spans="2:12" x14ac:dyDescent="0.2">
      <c r="B102" t="s">
        <v>465</v>
      </c>
      <c r="C102" t="s">
        <v>200</v>
      </c>
      <c r="D102" t="s">
        <v>201</v>
      </c>
      <c r="E102" s="164">
        <v>41278</v>
      </c>
      <c r="F102" s="164">
        <v>41333</v>
      </c>
      <c r="G102" s="164">
        <v>41356</v>
      </c>
      <c r="I102" s="33">
        <v>22275.701065000001</v>
      </c>
      <c r="J102" s="33">
        <v>24087.93</v>
      </c>
      <c r="K102" s="33">
        <v>-1812.2289349999992</v>
      </c>
      <c r="L102" s="32">
        <v>1.0813545185272488</v>
      </c>
    </row>
    <row r="103" spans="2:12" x14ac:dyDescent="0.2">
      <c r="B103" t="s">
        <v>466</v>
      </c>
      <c r="C103" t="s">
        <v>200</v>
      </c>
      <c r="D103" t="s">
        <v>201</v>
      </c>
      <c r="E103" s="164">
        <v>40909</v>
      </c>
      <c r="F103" s="164">
        <v>41274</v>
      </c>
      <c r="G103" s="164">
        <v>41305</v>
      </c>
      <c r="I103" s="33">
        <v>44551.402130000002</v>
      </c>
      <c r="J103" s="33">
        <v>45532.21</v>
      </c>
      <c r="K103" s="33">
        <v>-980.80786999999691</v>
      </c>
      <c r="L103" s="32">
        <v>1.0220151964496655</v>
      </c>
    </row>
    <row r="104" spans="2:12" x14ac:dyDescent="0.2">
      <c r="B104" t="s">
        <v>467</v>
      </c>
      <c r="C104" t="s">
        <v>194</v>
      </c>
      <c r="D104" t="s">
        <v>195</v>
      </c>
      <c r="E104" s="164">
        <v>40940</v>
      </c>
      <c r="F104" s="164">
        <v>41274</v>
      </c>
      <c r="G104" s="164">
        <v>41288</v>
      </c>
      <c r="I104" s="33">
        <v>127802.820836</v>
      </c>
      <c r="J104" s="33">
        <v>143730.99</v>
      </c>
      <c r="K104" s="33">
        <v>-15928.169163999992</v>
      </c>
      <c r="L104" s="32">
        <v>1.1246308106488467</v>
      </c>
    </row>
    <row r="105" spans="2:12" x14ac:dyDescent="0.2">
      <c r="B105" t="s">
        <v>468</v>
      </c>
      <c r="C105" t="s">
        <v>189</v>
      </c>
      <c r="D105" t="s">
        <v>187</v>
      </c>
      <c r="E105" s="164">
        <v>40909</v>
      </c>
      <c r="F105" s="164">
        <v>41639</v>
      </c>
      <c r="G105" s="164">
        <v>41729</v>
      </c>
      <c r="I105" s="33">
        <v>71037.814855000004</v>
      </c>
      <c r="J105" s="33">
        <v>20085.53</v>
      </c>
      <c r="K105" s="33">
        <v>50952.284855000005</v>
      </c>
      <c r="L105" s="32">
        <v>0.28274419815696622</v>
      </c>
    </row>
    <row r="106" spans="2:12" x14ac:dyDescent="0.2">
      <c r="B106" t="s">
        <v>469</v>
      </c>
      <c r="C106" t="s">
        <v>183</v>
      </c>
      <c r="D106" t="s">
        <v>184</v>
      </c>
      <c r="E106" s="164">
        <v>40817</v>
      </c>
      <c r="F106" s="164">
        <v>41274</v>
      </c>
      <c r="G106" s="164">
        <v>41305</v>
      </c>
      <c r="H106" t="s">
        <v>106</v>
      </c>
      <c r="I106" s="33">
        <v>191056</v>
      </c>
      <c r="J106" s="33">
        <v>170022.61</v>
      </c>
      <c r="K106" s="33">
        <v>21033.390000000014</v>
      </c>
      <c r="L106" s="32">
        <v>0.88990981701700023</v>
      </c>
    </row>
    <row r="107" spans="2:12" x14ac:dyDescent="0.2">
      <c r="B107" t="s">
        <v>470</v>
      </c>
      <c r="C107" t="s">
        <v>194</v>
      </c>
      <c r="D107" t="s">
        <v>195</v>
      </c>
      <c r="E107" s="164">
        <v>40817</v>
      </c>
      <c r="F107" s="164">
        <v>40967</v>
      </c>
      <c r="G107" s="164">
        <v>40999</v>
      </c>
      <c r="H107" t="s">
        <v>106</v>
      </c>
      <c r="I107" s="33">
        <v>31878.627113999999</v>
      </c>
      <c r="J107" s="33">
        <v>27525.87</v>
      </c>
      <c r="K107" s="33">
        <v>4352.757114</v>
      </c>
      <c r="L107" s="32">
        <v>0.86345845138078681</v>
      </c>
    </row>
    <row r="108" spans="2:12" x14ac:dyDescent="0.2">
      <c r="B108" t="s">
        <v>471</v>
      </c>
      <c r="C108" t="s">
        <v>194</v>
      </c>
      <c r="D108" t="s">
        <v>195</v>
      </c>
      <c r="E108" s="164">
        <v>40940</v>
      </c>
      <c r="F108" s="164">
        <v>41274</v>
      </c>
      <c r="G108" s="164">
        <v>41288</v>
      </c>
      <c r="I108" s="33">
        <v>180830.00343400001</v>
      </c>
      <c r="J108" s="33">
        <v>188391.94</v>
      </c>
      <c r="K108" s="33">
        <v>-7561.9365659999894</v>
      </c>
      <c r="L108" s="32">
        <v>1.0418179307769575</v>
      </c>
    </row>
    <row r="109" spans="2:12" x14ac:dyDescent="0.2">
      <c r="B109" t="s">
        <v>472</v>
      </c>
      <c r="C109" t="s">
        <v>198</v>
      </c>
      <c r="D109" t="s">
        <v>199</v>
      </c>
      <c r="E109" s="164">
        <v>41275</v>
      </c>
      <c r="F109" s="164">
        <v>41639</v>
      </c>
      <c r="G109" s="164">
        <v>41685</v>
      </c>
      <c r="I109" s="33">
        <v>44103.007583999999</v>
      </c>
      <c r="J109" s="33">
        <v>0</v>
      </c>
      <c r="K109" s="33">
        <v>44103.007583999999</v>
      </c>
      <c r="L109" s="32">
        <v>0</v>
      </c>
    </row>
    <row r="110" spans="2:12" x14ac:dyDescent="0.2">
      <c r="B110" t="s">
        <v>473</v>
      </c>
      <c r="C110" t="s">
        <v>200</v>
      </c>
      <c r="D110" t="s">
        <v>187</v>
      </c>
      <c r="E110" s="164">
        <v>40817</v>
      </c>
      <c r="F110" s="164">
        <v>41090</v>
      </c>
      <c r="G110" s="164">
        <v>41118</v>
      </c>
      <c r="H110" t="s">
        <v>106</v>
      </c>
      <c r="I110" s="33">
        <v>276346.47941700002</v>
      </c>
      <c r="J110" s="33">
        <v>288307.90999999997</v>
      </c>
      <c r="K110" s="33">
        <v>-11961.43058299995</v>
      </c>
      <c r="L110" s="32">
        <v>1.0432841793687209</v>
      </c>
    </row>
    <row r="111" spans="2:12" x14ac:dyDescent="0.2">
      <c r="B111" t="s">
        <v>474</v>
      </c>
      <c r="C111" t="s">
        <v>194</v>
      </c>
      <c r="D111" t="s">
        <v>195</v>
      </c>
      <c r="E111" s="164">
        <v>40817</v>
      </c>
      <c r="F111" s="164">
        <v>41090</v>
      </c>
      <c r="G111" s="164">
        <v>41109</v>
      </c>
      <c r="H111" t="s">
        <v>106</v>
      </c>
      <c r="I111" s="33">
        <v>121906.492313</v>
      </c>
      <c r="J111" s="33">
        <v>91046.09</v>
      </c>
      <c r="K111" s="33">
        <v>30860.402312999999</v>
      </c>
      <c r="L111" s="32">
        <v>0.74685185565207934</v>
      </c>
    </row>
    <row r="112" spans="2:12" x14ac:dyDescent="0.2">
      <c r="B112" t="s">
        <v>475</v>
      </c>
      <c r="C112" t="s">
        <v>183</v>
      </c>
      <c r="D112" t="s">
        <v>184</v>
      </c>
      <c r="E112" s="164">
        <v>40817</v>
      </c>
      <c r="F112" s="164">
        <v>41500</v>
      </c>
      <c r="G112" s="164">
        <v>41547</v>
      </c>
      <c r="H112" t="s">
        <v>106</v>
      </c>
      <c r="I112" s="33">
        <v>92409</v>
      </c>
      <c r="J112" s="33">
        <v>54459.88</v>
      </c>
      <c r="K112" s="33">
        <v>37949.120000000003</v>
      </c>
      <c r="L112" s="32">
        <v>0.58933523790972742</v>
      </c>
    </row>
    <row r="113" spans="2:12" x14ac:dyDescent="0.2">
      <c r="B113" t="s">
        <v>476</v>
      </c>
      <c r="C113" t="s">
        <v>183</v>
      </c>
      <c r="D113" t="s">
        <v>184</v>
      </c>
      <c r="E113" s="164">
        <v>41244</v>
      </c>
      <c r="F113" s="164">
        <v>41639</v>
      </c>
      <c r="G113" s="164">
        <v>41729</v>
      </c>
      <c r="I113" s="33">
        <v>5000</v>
      </c>
      <c r="J113" s="33">
        <v>0</v>
      </c>
      <c r="K113" s="33">
        <v>5000</v>
      </c>
      <c r="L113" s="32">
        <v>0</v>
      </c>
    </row>
    <row r="114" spans="2:12" x14ac:dyDescent="0.2">
      <c r="B114" t="s">
        <v>477</v>
      </c>
      <c r="C114" t="s">
        <v>200</v>
      </c>
      <c r="D114" t="s">
        <v>187</v>
      </c>
      <c r="E114" s="164">
        <v>40878</v>
      </c>
      <c r="F114" s="164">
        <v>41274</v>
      </c>
      <c r="G114" s="164">
        <v>41305</v>
      </c>
      <c r="I114" s="33">
        <v>14623.461959</v>
      </c>
      <c r="J114" s="33">
        <v>13799.9</v>
      </c>
      <c r="K114" s="33">
        <v>823.56195900000057</v>
      </c>
      <c r="L114" s="32">
        <v>0.94368214850156329</v>
      </c>
    </row>
    <row r="115" spans="2:12" x14ac:dyDescent="0.2">
      <c r="B115" t="s">
        <v>478</v>
      </c>
      <c r="C115" t="s">
        <v>200</v>
      </c>
      <c r="D115" t="s">
        <v>184</v>
      </c>
      <c r="E115" s="164">
        <v>40864</v>
      </c>
      <c r="F115" s="164">
        <v>41639</v>
      </c>
      <c r="G115" s="164">
        <v>41670</v>
      </c>
      <c r="I115" s="33">
        <v>6178</v>
      </c>
      <c r="J115" s="33">
        <v>2523.1799999999998</v>
      </c>
      <c r="K115" s="33">
        <v>3654.82</v>
      </c>
      <c r="L115" s="32">
        <v>0.40841372612495952</v>
      </c>
    </row>
    <row r="116" spans="2:12" x14ac:dyDescent="0.2">
      <c r="B116" t="s">
        <v>479</v>
      </c>
      <c r="C116" t="s">
        <v>185</v>
      </c>
      <c r="D116" t="s">
        <v>184</v>
      </c>
      <c r="E116" s="164">
        <v>40179</v>
      </c>
      <c r="F116" s="164">
        <v>73050</v>
      </c>
      <c r="G116" s="164">
        <v>73050</v>
      </c>
      <c r="I116" s="33">
        <v>0</v>
      </c>
      <c r="J116" s="33">
        <v>-174215.66</v>
      </c>
      <c r="K116" s="33">
        <v>174215.66</v>
      </c>
      <c r="L116" s="32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70C0"/>
  </sheetPr>
  <dimension ref="A1:BL48"/>
  <sheetViews>
    <sheetView showGridLines="0" showZeros="0" zoomScaleNormal="100" workbookViewId="0">
      <selection activeCell="AW17" sqref="AW17"/>
    </sheetView>
  </sheetViews>
  <sheetFormatPr defaultRowHeight="11.25" x14ac:dyDescent="0.2"/>
  <cols>
    <col min="1" max="1" width="2.7109375" style="158" customWidth="1"/>
    <col min="2" max="3" width="0.7109375" style="158" customWidth="1"/>
    <col min="4" max="4" width="10.85546875" style="158" customWidth="1"/>
    <col min="5" max="5" width="20.7109375" style="158" customWidth="1"/>
    <col min="6" max="6" width="17.42578125" style="158" customWidth="1"/>
    <col min="7" max="7" width="12.42578125" style="158" customWidth="1"/>
    <col min="8" max="8" width="1" style="158" customWidth="1"/>
    <col min="9" max="9" width="2.42578125" style="158" customWidth="1"/>
    <col min="10" max="10" width="6.5703125" style="158" customWidth="1"/>
    <col min="11" max="11" width="0.85546875" style="158" customWidth="1"/>
    <col min="12" max="12" width="7.28515625" style="261" customWidth="1"/>
    <col min="13" max="13" width="0.7109375" style="158" customWidth="1"/>
    <col min="14" max="14" width="4" style="158" customWidth="1"/>
    <col min="15" max="15" width="17" style="158" customWidth="1"/>
    <col min="16" max="16" width="18.7109375" style="158" customWidth="1"/>
    <col min="17" max="18" width="6.7109375" style="158" customWidth="1"/>
    <col min="19" max="19" width="1.140625" style="158" customWidth="1"/>
    <col min="20" max="20" width="1.85546875" style="158" customWidth="1"/>
    <col min="21" max="21" width="7" style="158" customWidth="1"/>
    <col min="22" max="22" width="0.7109375" style="158" customWidth="1"/>
    <col min="23" max="23" width="6" style="158" customWidth="1"/>
    <col min="24" max="24" width="5.85546875" style="158" customWidth="1"/>
    <col min="25" max="25" width="1.42578125" style="158" customWidth="1"/>
    <col min="26" max="26" width="6.42578125" style="158" customWidth="1"/>
    <col min="27" max="27" width="6.85546875" style="158" customWidth="1"/>
    <col min="28" max="28" width="7.28515625" style="158" customWidth="1"/>
    <col min="29" max="29" width="0.7109375" style="158" customWidth="1"/>
    <col min="30" max="30" width="1.140625" style="158" customWidth="1"/>
    <col min="31" max="31" width="11.5703125" style="158" customWidth="1"/>
    <col min="32" max="32" width="11.7109375" style="158" customWidth="1"/>
    <col min="33" max="33" width="0.85546875" style="158" customWidth="1"/>
    <col min="34" max="34" width="1.140625" style="158" customWidth="1"/>
    <col min="35" max="35" width="8.85546875" style="158" customWidth="1"/>
    <col min="36" max="36" width="2.7109375" style="158" customWidth="1"/>
    <col min="37" max="37" width="1.5703125" style="158" hidden="1" customWidth="1"/>
    <col min="38" max="38" width="1.7109375" style="393" hidden="1" customWidth="1"/>
    <col min="39" max="48" width="9.140625" style="393" hidden="1" customWidth="1"/>
    <col min="49" max="49" width="40.140625" style="158" customWidth="1"/>
    <col min="50" max="16384" width="9.140625" style="158"/>
  </cols>
  <sheetData>
    <row r="1" spans="1:64" ht="3.75" customHeight="1" x14ac:dyDescent="0.2">
      <c r="A1" s="312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2"/>
      <c r="M1" s="511"/>
      <c r="N1" s="515"/>
      <c r="O1" s="181"/>
      <c r="P1" s="181"/>
      <c r="Q1" s="181"/>
      <c r="R1" s="181"/>
      <c r="S1" s="337"/>
      <c r="T1" s="333"/>
      <c r="U1" s="211"/>
      <c r="V1" s="211"/>
      <c r="W1" s="211"/>
      <c r="X1" s="211"/>
      <c r="Y1" s="211"/>
      <c r="Z1" s="211"/>
      <c r="AA1" s="211"/>
      <c r="AB1" s="212"/>
      <c r="AC1" s="340"/>
      <c r="AD1" s="181"/>
      <c r="AE1" s="181"/>
      <c r="AF1" s="181"/>
      <c r="AG1" s="181"/>
      <c r="AH1" s="181"/>
      <c r="AI1" s="181"/>
      <c r="AJ1" s="313"/>
      <c r="AW1" s="264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313"/>
    </row>
    <row r="2" spans="1:64" ht="14.25" customHeight="1" x14ac:dyDescent="0.2">
      <c r="A2" s="314"/>
      <c r="B2" s="274" t="s">
        <v>273</v>
      </c>
      <c r="C2" s="274"/>
      <c r="E2" s="245"/>
      <c r="F2" s="245"/>
      <c r="G2" s="305"/>
      <c r="H2" s="307" t="s">
        <v>28</v>
      </c>
      <c r="I2" s="245"/>
      <c r="J2" s="273"/>
      <c r="K2" s="12"/>
      <c r="L2" s="184"/>
      <c r="M2" s="512"/>
      <c r="N2" s="516" t="s">
        <v>205</v>
      </c>
      <c r="P2" s="12"/>
      <c r="Q2" s="12"/>
      <c r="R2" s="169" t="s">
        <v>34</v>
      </c>
      <c r="S2" s="338"/>
      <c r="T2" s="334"/>
      <c r="U2" s="233"/>
      <c r="V2" s="234"/>
      <c r="W2" s="234"/>
      <c r="X2" s="304"/>
      <c r="Y2" s="304"/>
      <c r="Z2" s="390"/>
      <c r="AA2" s="304"/>
      <c r="AB2" s="392" t="str">
        <f>"Last updated: "&amp;TEXT(userLastUpdate, "dd-mmm-yyyy")</f>
        <v>Last updated: 15-Jul-2013</v>
      </c>
      <c r="AC2" s="341" t="s">
        <v>263</v>
      </c>
      <c r="AD2" s="12"/>
      <c r="AE2" s="12"/>
      <c r="AF2" s="12"/>
      <c r="AJ2" s="264"/>
      <c r="AK2" s="12"/>
      <c r="AM2" s="394" t="s">
        <v>0</v>
      </c>
      <c r="AO2" s="1"/>
      <c r="AW2" s="264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264"/>
    </row>
    <row r="3" spans="1:64" ht="3.75" customHeight="1" x14ac:dyDescent="0.2">
      <c r="A3" s="314"/>
      <c r="B3" s="245"/>
      <c r="C3" s="245"/>
      <c r="D3" s="245"/>
      <c r="E3" s="245"/>
      <c r="F3" s="245"/>
      <c r="G3" s="245"/>
      <c r="H3" s="245"/>
      <c r="I3" s="245"/>
      <c r="J3" s="245"/>
      <c r="K3" s="12"/>
      <c r="L3" s="184"/>
      <c r="M3" s="512"/>
      <c r="N3" s="517"/>
      <c r="O3" s="12"/>
      <c r="P3" s="12"/>
      <c r="Q3" s="12"/>
      <c r="R3" s="79"/>
      <c r="S3" s="338"/>
      <c r="T3" s="334"/>
      <c r="U3" s="303"/>
      <c r="V3" s="213"/>
      <c r="W3" s="213"/>
      <c r="X3" s="304"/>
      <c r="Y3" s="304"/>
      <c r="Z3" s="304"/>
      <c r="AA3" s="304"/>
      <c r="AB3" s="335"/>
      <c r="AC3" s="342"/>
      <c r="AD3" s="12"/>
      <c r="AE3" s="12"/>
      <c r="AF3" s="12"/>
      <c r="AG3" s="12"/>
      <c r="AH3" s="12"/>
      <c r="AI3" s="12"/>
      <c r="AJ3" s="264"/>
      <c r="AK3" s="12"/>
      <c r="AW3" s="264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264"/>
    </row>
    <row r="4" spans="1:64" ht="12.75" customHeight="1" thickBot="1" x14ac:dyDescent="0.25">
      <c r="A4" s="314"/>
      <c r="B4" s="245"/>
      <c r="C4" s="245"/>
      <c r="D4" s="12"/>
      <c r="E4" s="289" t="s">
        <v>260</v>
      </c>
      <c r="F4" s="245"/>
      <c r="G4" s="245"/>
      <c r="H4" s="245"/>
      <c r="I4" s="245"/>
      <c r="J4" s="245"/>
      <c r="K4" s="12"/>
      <c r="L4" s="184"/>
      <c r="M4" s="512"/>
      <c r="N4" s="517"/>
      <c r="O4" s="12"/>
      <c r="P4" s="12"/>
      <c r="Q4" s="12"/>
      <c r="R4" s="168" t="s">
        <v>204</v>
      </c>
      <c r="S4" s="338"/>
      <c r="T4" s="589"/>
      <c r="U4" s="585"/>
      <c r="V4" s="585"/>
      <c r="W4" s="585"/>
      <c r="X4" s="585"/>
      <c r="Y4" s="585"/>
      <c r="Z4" s="585"/>
      <c r="AA4" s="585"/>
      <c r="AB4" s="590"/>
      <c r="AD4" s="261"/>
      <c r="AE4" s="261"/>
      <c r="AF4" s="261"/>
      <c r="AG4" s="261"/>
      <c r="AH4" s="358"/>
      <c r="AI4" s="358"/>
      <c r="AJ4" s="363"/>
      <c r="AK4" s="186"/>
      <c r="AW4" s="264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264"/>
    </row>
    <row r="5" spans="1:64" s="12" customFormat="1" ht="12.75" customHeight="1" thickTop="1" thickBot="1" x14ac:dyDescent="0.25">
      <c r="A5" s="314"/>
      <c r="B5" s="184"/>
      <c r="C5" s="287"/>
      <c r="D5" s="291" t="s">
        <v>79</v>
      </c>
      <c r="E5" s="289" t="s">
        <v>258</v>
      </c>
      <c r="F5" s="289" t="s">
        <v>259</v>
      </c>
      <c r="G5" s="289"/>
      <c r="H5" s="84"/>
      <c r="J5" s="288" t="s">
        <v>30</v>
      </c>
      <c r="K5" s="288"/>
      <c r="L5" s="288" t="s">
        <v>171</v>
      </c>
      <c r="M5" s="512"/>
      <c r="N5" s="517"/>
      <c r="S5" s="338"/>
      <c r="T5" s="589" t="s">
        <v>269</v>
      </c>
      <c r="U5" s="585"/>
      <c r="V5" s="585"/>
      <c r="W5" s="585"/>
      <c r="X5" s="585"/>
      <c r="Y5" s="585"/>
      <c r="Z5" s="585"/>
      <c r="AA5" s="585"/>
      <c r="AB5" s="590"/>
      <c r="AC5" s="342"/>
      <c r="AD5" s="290"/>
      <c r="AE5" s="74"/>
      <c r="AF5" s="184"/>
      <c r="AG5" s="184"/>
      <c r="AH5" s="436"/>
      <c r="AI5" s="437"/>
      <c r="AJ5" s="438"/>
      <c r="AK5" s="187"/>
      <c r="AL5" s="530"/>
      <c r="AM5" s="394" t="s">
        <v>265</v>
      </c>
      <c r="AN5" s="394"/>
      <c r="AO5" s="395"/>
      <c r="AP5" s="394"/>
      <c r="AQ5" s="1" t="s">
        <v>270</v>
      </c>
      <c r="AR5" s="394"/>
      <c r="AS5" s="394"/>
      <c r="AT5" s="394"/>
      <c r="AU5" s="394"/>
      <c r="AV5" s="394"/>
      <c r="AW5" s="264"/>
      <c r="BL5" s="264"/>
    </row>
    <row r="6" spans="1:64" ht="12.75" customHeight="1" thickTop="1" thickBot="1" x14ac:dyDescent="0.25">
      <c r="A6" s="349"/>
      <c r="B6" s="350">
        <v>0</v>
      </c>
      <c r="C6" s="346"/>
      <c r="D6" s="346" t="str">
        <f t="shared" ref="D6:D41" si="0">IF(ISERROR(AM6),"",IF(VLOOKUP($B6+Slider_STProjectList, Table_STProjectList, 34,FALSE)="x",VLOOKUP($B6+Slider_STProjectList, Table_STProjectList, 2,FALSE),""))</f>
        <v>Theme 1</v>
      </c>
      <c r="E6" s="346" t="str">
        <f t="shared" ref="E6:E41" si="1">IF(ISERROR(AM6),"",IF(VLOOKUP($B6+Slider_STProjectList, Table_STProjectList, 35, FALSE)="x", VLOOKUP($B6+Slider_STProjectList,Table_STProjectList,3,FALSE),""))</f>
        <v>SubTheme 1</v>
      </c>
      <c r="F6" s="346" t="str">
        <f t="shared" ref="F6:F41" si="2">IF(ISERROR(AM6),"",VLOOKUP($B6+Slider_STProjectList,Table_STProjectList,4,FALSE))</f>
        <v>1004898 - Project 63</v>
      </c>
      <c r="G6" s="346"/>
      <c r="H6" s="346" t="s">
        <v>76</v>
      </c>
      <c r="I6" s="347">
        <f>IF(ISERROR(AM6),"",IF(AM6=1.000011000011,"ß",ABS(AM6-1)))</f>
        <v>1.3779123854588127E-2</v>
      </c>
      <c r="J6" s="159">
        <f>IF(ISERROR(AM6),"",AM6)</f>
        <v>0.98622087614541187</v>
      </c>
      <c r="K6" s="255"/>
      <c r="L6" s="431">
        <f t="shared" ref="L6:L41" si="3">IF(ISERROR(AM6),"",VLOOKUP($B6+Slider_STProjectList, Table_STProjectList, 32,FALSE))</f>
        <v>9.272000000000058E-3</v>
      </c>
      <c r="M6" s="513"/>
      <c r="N6" s="517"/>
      <c r="O6" s="12"/>
      <c r="P6" s="12"/>
      <c r="Q6" s="12"/>
      <c r="R6" s="12"/>
      <c r="S6" s="338"/>
      <c r="T6" s="334"/>
      <c r="U6" s="586" t="str">
        <f>valSTProject</f>
        <v>0500019 - BGD Integrated service delivery (MNH-FP-nutrition)</v>
      </c>
      <c r="V6" s="586"/>
      <c r="W6" s="586"/>
      <c r="X6" s="586"/>
      <c r="Y6" s="586"/>
      <c r="Z6" s="586"/>
      <c r="AA6" s="586"/>
      <c r="AB6" s="592"/>
      <c r="AC6" s="342"/>
      <c r="AD6" s="290"/>
      <c r="AE6" s="74"/>
      <c r="AF6" s="184"/>
      <c r="AG6" s="261"/>
      <c r="AH6" s="436"/>
      <c r="AI6" s="437"/>
      <c r="AJ6" s="438"/>
      <c r="AK6" s="12"/>
      <c r="AL6" s="394"/>
      <c r="AM6" s="393">
        <f t="shared" ref="AM6:AM41" si="4">VLOOKUP($B6+Slider_STProjectList,Table_STProjectList,33,FALSE)</f>
        <v>0.98622087614541187</v>
      </c>
      <c r="AO6" s="395"/>
      <c r="AQ6" s="1" t="s">
        <v>30</v>
      </c>
      <c r="AW6" s="264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264"/>
    </row>
    <row r="7" spans="1:64" ht="12.75" customHeight="1" thickTop="1" thickBot="1" x14ac:dyDescent="0.25">
      <c r="A7" s="324"/>
      <c r="B7" s="315">
        <v>1</v>
      </c>
      <c r="C7" s="12"/>
      <c r="D7" s="12" t="str">
        <f t="shared" si="0"/>
        <v/>
      </c>
      <c r="E7" s="12" t="str">
        <f t="shared" si="1"/>
        <v/>
      </c>
      <c r="F7" s="12" t="str">
        <f t="shared" si="2"/>
        <v>1005369 - Project 1</v>
      </c>
      <c r="G7" s="12"/>
      <c r="H7" s="12" t="s">
        <v>76</v>
      </c>
      <c r="I7" s="290">
        <f t="shared" ref="I7:I40" si="5">IF(ISERROR(AM7),"",IF(AM7=1.000011000011,"ß",ABS(AM7-1)))</f>
        <v>5.2500412137155616E-2</v>
      </c>
      <c r="J7" s="219">
        <f t="shared" ref="J7:J40" si="6">IF(ISERROR(AM7),"",AM7)</f>
        <v>0.94749958786284438</v>
      </c>
      <c r="K7" s="258"/>
      <c r="L7" s="231">
        <f t="shared" si="3"/>
        <v>-114.10007799999903</v>
      </c>
      <c r="M7" s="512"/>
      <c r="N7" s="517"/>
      <c r="O7" s="12"/>
      <c r="P7" s="12"/>
      <c r="Q7" s="12"/>
      <c r="R7" s="12"/>
      <c r="S7" s="338"/>
      <c r="T7" s="334"/>
      <c r="U7" s="586"/>
      <c r="V7" s="586"/>
      <c r="W7" s="586"/>
      <c r="X7" s="586"/>
      <c r="Y7" s="586"/>
      <c r="Z7" s="586"/>
      <c r="AA7" s="586"/>
      <c r="AB7" s="592"/>
      <c r="AC7" s="342"/>
      <c r="AD7" s="290"/>
      <c r="AE7" s="74"/>
      <c r="AF7" s="184"/>
      <c r="AG7" s="261"/>
      <c r="AH7" s="436"/>
      <c r="AI7" s="437"/>
      <c r="AJ7" s="438"/>
      <c r="AK7" s="12"/>
      <c r="AL7" s="394"/>
      <c r="AM7" s="393">
        <f t="shared" si="4"/>
        <v>0.94749958786284438</v>
      </c>
      <c r="AO7" s="395"/>
      <c r="AQ7" s="1" t="s">
        <v>31</v>
      </c>
      <c r="AW7" s="264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264"/>
    </row>
    <row r="8" spans="1:64" ht="12.75" customHeight="1" thickTop="1" thickBot="1" x14ac:dyDescent="0.25">
      <c r="A8" s="349"/>
      <c r="B8" s="350">
        <v>2</v>
      </c>
      <c r="C8" s="346"/>
      <c r="D8" s="346" t="str">
        <f t="shared" si="0"/>
        <v/>
      </c>
      <c r="E8" s="346" t="str">
        <f t="shared" si="1"/>
        <v/>
      </c>
      <c r="F8" s="346" t="str">
        <f t="shared" si="2"/>
        <v>1008845 - Project 46</v>
      </c>
      <c r="G8" s="346"/>
      <c r="H8" s="346" t="s">
        <v>76</v>
      </c>
      <c r="I8" s="347">
        <f t="shared" si="5"/>
        <v>0.49661003660288916</v>
      </c>
      <c r="J8" s="159">
        <f t="shared" si="6"/>
        <v>1.4966100366028892</v>
      </c>
      <c r="K8" s="255"/>
      <c r="L8" s="431">
        <f t="shared" si="3"/>
        <v>11.293459000000002</v>
      </c>
      <c r="M8" s="513"/>
      <c r="N8" s="517"/>
      <c r="O8" s="12"/>
      <c r="P8" s="12"/>
      <c r="Q8" s="12"/>
      <c r="R8" s="12"/>
      <c r="S8" s="338"/>
      <c r="T8" s="334"/>
      <c r="U8" s="586"/>
      <c r="V8" s="586"/>
      <c r="W8" s="586"/>
      <c r="X8" s="586"/>
      <c r="Y8" s="586"/>
      <c r="Z8" s="586"/>
      <c r="AA8" s="586"/>
      <c r="AB8" s="592"/>
      <c r="AC8" s="342"/>
      <c r="AD8" s="290"/>
      <c r="AE8" s="74"/>
      <c r="AF8" s="184"/>
      <c r="AG8" s="261"/>
      <c r="AH8" s="436"/>
      <c r="AI8" s="437"/>
      <c r="AJ8" s="438"/>
      <c r="AK8" s="12"/>
      <c r="AL8" s="394"/>
      <c r="AM8" s="393">
        <f t="shared" si="4"/>
        <v>1.4966100366028892</v>
      </c>
      <c r="AO8" s="395"/>
      <c r="AW8" s="264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264"/>
    </row>
    <row r="9" spans="1:64" ht="12.75" customHeight="1" thickTop="1" thickBot="1" x14ac:dyDescent="0.25">
      <c r="A9" s="324"/>
      <c r="B9" s="315">
        <v>3</v>
      </c>
      <c r="C9" s="12"/>
      <c r="D9" s="12" t="str">
        <f t="shared" si="0"/>
        <v/>
      </c>
      <c r="E9" s="12" t="str">
        <f t="shared" si="1"/>
        <v/>
      </c>
      <c r="F9" s="12" t="str">
        <f t="shared" si="2"/>
        <v>1009373 - Project 34</v>
      </c>
      <c r="G9" s="12"/>
      <c r="H9" s="12" t="s">
        <v>76</v>
      </c>
      <c r="I9" s="290">
        <f t="shared" si="5"/>
        <v>3.7285113209456267E-2</v>
      </c>
      <c r="J9" s="219">
        <f t="shared" si="6"/>
        <v>0.96271488679054373</v>
      </c>
      <c r="K9" s="258"/>
      <c r="L9" s="231">
        <f t="shared" si="3"/>
        <v>-3.6634290000000078</v>
      </c>
      <c r="M9" s="512"/>
      <c r="N9" s="517"/>
      <c r="O9" s="12"/>
      <c r="P9" s="12"/>
      <c r="Q9" s="12"/>
      <c r="R9" s="12"/>
      <c r="S9" s="338"/>
      <c r="T9" s="334"/>
      <c r="U9" s="586"/>
      <c r="V9" s="586"/>
      <c r="W9" s="586"/>
      <c r="X9" s="586"/>
      <c r="Y9" s="586"/>
      <c r="Z9" s="586"/>
      <c r="AA9" s="586"/>
      <c r="AB9" s="592"/>
      <c r="AC9" s="342"/>
      <c r="AD9" s="290"/>
      <c r="AE9" s="74"/>
      <c r="AF9" s="184"/>
      <c r="AG9" s="261"/>
      <c r="AH9" s="436"/>
      <c r="AI9" s="437"/>
      <c r="AJ9" s="438"/>
      <c r="AK9" s="12"/>
      <c r="AL9" s="394"/>
      <c r="AM9" s="393">
        <f t="shared" si="4"/>
        <v>0.96271488679054373</v>
      </c>
      <c r="AO9" s="395"/>
      <c r="AQ9" s="1" t="s">
        <v>155</v>
      </c>
      <c r="AR9" s="1">
        <f>1+threshRed</f>
        <v>1.5</v>
      </c>
      <c r="AS9" s="1">
        <f>1-threshRed</f>
        <v>0.5</v>
      </c>
      <c r="AW9" s="264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264"/>
    </row>
    <row r="10" spans="1:64" ht="12.75" customHeight="1" thickTop="1" thickBot="1" x14ac:dyDescent="0.25">
      <c r="A10" s="349"/>
      <c r="B10" s="350">
        <v>4</v>
      </c>
      <c r="C10" s="346"/>
      <c r="D10" s="346" t="str">
        <f t="shared" si="0"/>
        <v/>
      </c>
      <c r="E10" s="346" t="str">
        <f t="shared" si="1"/>
        <v>SubTheme 10</v>
      </c>
      <c r="F10" s="346" t="str">
        <f t="shared" si="2"/>
        <v>1004330 - Project 15</v>
      </c>
      <c r="G10" s="346"/>
      <c r="H10" s="346" t="s">
        <v>76</v>
      </c>
      <c r="I10" s="347">
        <f t="shared" si="5"/>
        <v>0.20870636807967013</v>
      </c>
      <c r="J10" s="159">
        <f t="shared" si="6"/>
        <v>0.79129363192032987</v>
      </c>
      <c r="K10" s="255"/>
      <c r="L10" s="431">
        <f t="shared" si="3"/>
        <v>-87.354664999999954</v>
      </c>
      <c r="M10" s="513"/>
      <c r="N10" s="517"/>
      <c r="O10" s="12"/>
      <c r="P10" s="12"/>
      <c r="Q10" s="12"/>
      <c r="R10" s="12"/>
      <c r="S10" s="338"/>
      <c r="T10" s="334"/>
      <c r="U10" s="586"/>
      <c r="V10" s="586"/>
      <c r="W10" s="586"/>
      <c r="X10" s="586"/>
      <c r="Y10" s="586"/>
      <c r="Z10" s="586"/>
      <c r="AA10" s="586"/>
      <c r="AB10" s="592"/>
      <c r="AC10" s="342"/>
      <c r="AD10" s="290"/>
      <c r="AE10" s="74"/>
      <c r="AF10" s="184"/>
      <c r="AG10" s="261"/>
      <c r="AH10" s="436"/>
      <c r="AI10" s="437"/>
      <c r="AJ10" s="438"/>
      <c r="AK10" s="12"/>
      <c r="AL10" s="531"/>
      <c r="AM10" s="393">
        <f t="shared" si="4"/>
        <v>0.79129363192032987</v>
      </c>
      <c r="AO10" s="395"/>
      <c r="AQ10" s="1"/>
      <c r="AR10" s="1">
        <f>1+threshYellow</f>
        <v>1.2</v>
      </c>
      <c r="AS10" s="1">
        <f>1-threshYellow</f>
        <v>0.8</v>
      </c>
      <c r="AW10" s="264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264"/>
    </row>
    <row r="11" spans="1:64" ht="12.75" customHeight="1" thickTop="1" thickBot="1" x14ac:dyDescent="0.25">
      <c r="A11" s="324"/>
      <c r="B11" s="315">
        <v>5</v>
      </c>
      <c r="C11" s="12"/>
      <c r="D11" s="12" t="str">
        <f t="shared" si="0"/>
        <v/>
      </c>
      <c r="E11" s="12" t="str">
        <f t="shared" si="1"/>
        <v/>
      </c>
      <c r="F11" s="12" t="str">
        <f t="shared" si="2"/>
        <v>1007755 - Project 11</v>
      </c>
      <c r="G11" s="12"/>
      <c r="H11" s="12" t="s">
        <v>76</v>
      </c>
      <c r="I11" s="290">
        <f t="shared" si="5"/>
        <v>0.11245539369503887</v>
      </c>
      <c r="J11" s="219">
        <f t="shared" si="6"/>
        <v>0.88754460630496113</v>
      </c>
      <c r="K11" s="258"/>
      <c r="L11" s="231">
        <f t="shared" si="3"/>
        <v>-163.64021699999944</v>
      </c>
      <c r="M11" s="512"/>
      <c r="N11" s="517"/>
      <c r="O11" s="12"/>
      <c r="P11" s="12"/>
      <c r="Q11" s="12"/>
      <c r="R11" s="12"/>
      <c r="S11" s="338"/>
      <c r="T11" s="334"/>
      <c r="U11" s="586"/>
      <c r="V11" s="586"/>
      <c r="W11" s="586"/>
      <c r="X11" s="586"/>
      <c r="Y11" s="586"/>
      <c r="Z11" s="586"/>
      <c r="AA11" s="586"/>
      <c r="AB11" s="592"/>
      <c r="AC11" s="342"/>
      <c r="AD11" s="290"/>
      <c r="AE11" s="74"/>
      <c r="AF11" s="184"/>
      <c r="AG11" s="261"/>
      <c r="AH11" s="436"/>
      <c r="AI11" s="437"/>
      <c r="AJ11" s="438"/>
      <c r="AK11" s="12"/>
      <c r="AL11" s="394"/>
      <c r="AM11" s="393">
        <f t="shared" si="4"/>
        <v>0.88754460630496113</v>
      </c>
      <c r="AO11" s="395"/>
      <c r="AW11" s="264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264"/>
    </row>
    <row r="12" spans="1:64" ht="12.75" customHeight="1" thickTop="1" thickBot="1" x14ac:dyDescent="0.25">
      <c r="A12" s="349"/>
      <c r="B12" s="350">
        <v>6</v>
      </c>
      <c r="C12" s="346"/>
      <c r="D12" s="346" t="str">
        <f t="shared" si="0"/>
        <v/>
      </c>
      <c r="E12" s="346" t="str">
        <f t="shared" si="1"/>
        <v>SubTheme 2</v>
      </c>
      <c r="F12" s="346" t="str">
        <f t="shared" si="2"/>
        <v>1006770 - Project 2</v>
      </c>
      <c r="G12" s="346"/>
      <c r="H12" s="346" t="s">
        <v>76</v>
      </c>
      <c r="I12" s="347">
        <f t="shared" si="5"/>
        <v>0.1106085188284891</v>
      </c>
      <c r="J12" s="159">
        <f t="shared" si="6"/>
        <v>0.8893914811715109</v>
      </c>
      <c r="K12" s="255"/>
      <c r="L12" s="431">
        <f t="shared" si="3"/>
        <v>-160.29864300000008</v>
      </c>
      <c r="M12" s="513"/>
      <c r="N12" s="517"/>
      <c r="O12" s="12"/>
      <c r="P12" s="12"/>
      <c r="Q12" s="12"/>
      <c r="R12" s="12"/>
      <c r="S12" s="338"/>
      <c r="T12" s="334"/>
      <c r="U12" s="586"/>
      <c r="V12" s="586"/>
      <c r="W12" s="586"/>
      <c r="X12" s="586"/>
      <c r="Y12" s="586"/>
      <c r="Z12" s="586"/>
      <c r="AA12" s="586"/>
      <c r="AB12" s="592"/>
      <c r="AC12" s="342"/>
      <c r="AD12" s="290"/>
      <c r="AE12" s="74"/>
      <c r="AF12" s="184"/>
      <c r="AG12" s="261"/>
      <c r="AH12" s="436"/>
      <c r="AI12" s="437"/>
      <c r="AJ12" s="438"/>
      <c r="AK12" s="12"/>
      <c r="AL12" s="394"/>
      <c r="AM12" s="393">
        <f t="shared" si="4"/>
        <v>0.8893914811715109</v>
      </c>
      <c r="AO12" s="395"/>
      <c r="AW12" s="264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264"/>
    </row>
    <row r="13" spans="1:64" ht="12.75" customHeight="1" thickTop="1" thickBot="1" x14ac:dyDescent="0.25">
      <c r="A13" s="324"/>
      <c r="B13" s="315">
        <v>7</v>
      </c>
      <c r="C13" s="12"/>
      <c r="D13" s="12" t="str">
        <f t="shared" si="0"/>
        <v/>
      </c>
      <c r="E13" s="12" t="str">
        <f t="shared" si="1"/>
        <v>SubTheme 26</v>
      </c>
      <c r="F13" s="12" t="str">
        <f t="shared" si="2"/>
        <v>1005539 - Project 35</v>
      </c>
      <c r="G13" s="12"/>
      <c r="H13" s="12" t="s">
        <v>76</v>
      </c>
      <c r="I13" s="290">
        <f t="shared" si="5"/>
        <v>0.75283388182659006</v>
      </c>
      <c r="J13" s="219">
        <f t="shared" si="6"/>
        <v>0.24716611817340992</v>
      </c>
      <c r="K13" s="258"/>
      <c r="L13" s="231">
        <f t="shared" si="3"/>
        <v>-0.35</v>
      </c>
      <c r="M13" s="512"/>
      <c r="N13" s="517"/>
      <c r="O13" s="12"/>
      <c r="P13" s="12"/>
      <c r="Q13" s="12"/>
      <c r="R13" s="12"/>
      <c r="S13" s="338"/>
      <c r="T13" s="334"/>
      <c r="U13" s="303"/>
      <c r="V13" s="213"/>
      <c r="W13" s="213"/>
      <c r="X13" s="304"/>
      <c r="Y13" s="304"/>
      <c r="Z13" s="304"/>
      <c r="AA13" s="304"/>
      <c r="AB13" s="335"/>
      <c r="AC13" s="342"/>
      <c r="AD13" s="12"/>
      <c r="AE13" s="12"/>
      <c r="AF13" s="12"/>
      <c r="AG13" s="12"/>
      <c r="AH13" s="101"/>
      <c r="AI13" s="101"/>
      <c r="AJ13" s="320"/>
      <c r="AK13" s="12"/>
      <c r="AL13" s="394"/>
      <c r="AM13" s="393">
        <f t="shared" si="4"/>
        <v>0.24716611817340992</v>
      </c>
      <c r="AO13" s="1"/>
      <c r="AW13" s="264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264"/>
    </row>
    <row r="14" spans="1:64" ht="12.75" customHeight="1" x14ac:dyDescent="0.2">
      <c r="A14" s="324"/>
      <c r="B14" s="350">
        <v>8</v>
      </c>
      <c r="C14" s="346"/>
      <c r="D14" s="346" t="str">
        <f t="shared" si="0"/>
        <v/>
      </c>
      <c r="E14" s="346" t="str">
        <f t="shared" si="1"/>
        <v>SubTheme 3</v>
      </c>
      <c r="F14" s="346" t="str">
        <f t="shared" si="2"/>
        <v>1007387 - Project 3</v>
      </c>
      <c r="G14" s="346"/>
      <c r="H14" s="346" t="s">
        <v>76</v>
      </c>
      <c r="I14" s="347">
        <f t="shared" si="5"/>
        <v>0.14685362539168034</v>
      </c>
      <c r="J14" s="159">
        <f t="shared" si="6"/>
        <v>1.1468536253916803</v>
      </c>
      <c r="K14" s="255"/>
      <c r="L14" s="431">
        <f t="shared" si="3"/>
        <v>20.163909000000018</v>
      </c>
      <c r="M14" s="513"/>
      <c r="N14" s="517"/>
      <c r="O14" s="12"/>
      <c r="P14" s="12"/>
      <c r="Q14" s="12"/>
      <c r="R14" s="12"/>
      <c r="S14" s="338"/>
      <c r="T14" s="334"/>
      <c r="U14" s="303"/>
      <c r="V14" s="213"/>
      <c r="W14" s="213"/>
      <c r="X14" s="304"/>
      <c r="Y14" s="304"/>
      <c r="Z14" s="304"/>
      <c r="AA14" s="304"/>
      <c r="AB14" s="335"/>
      <c r="AC14" s="12"/>
      <c r="AD14" s="12"/>
      <c r="AE14" s="12"/>
      <c r="AF14" s="12"/>
      <c r="AG14" s="12"/>
      <c r="AH14" s="364" t="s">
        <v>40</v>
      </c>
      <c r="AI14" s="365"/>
      <c r="AJ14" s="343"/>
      <c r="AK14" s="12"/>
      <c r="AL14" s="394"/>
      <c r="AM14" s="393">
        <f t="shared" si="4"/>
        <v>1.1468536253916803</v>
      </c>
      <c r="AQ14" s="393" t="s">
        <v>169</v>
      </c>
      <c r="AR14" s="393">
        <f>SUBTOTAL(5,DB_STProjectsSOF[Variance])</f>
        <v>0</v>
      </c>
      <c r="AW14" s="264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264"/>
    </row>
    <row r="15" spans="1:64" ht="12.75" customHeight="1" x14ac:dyDescent="0.2">
      <c r="A15" s="324"/>
      <c r="B15" s="315">
        <v>9</v>
      </c>
      <c r="C15" s="12"/>
      <c r="D15" s="12" t="str">
        <f t="shared" si="0"/>
        <v>Theme 2</v>
      </c>
      <c r="E15" s="12" t="str">
        <f t="shared" si="1"/>
        <v>SubTheme 28</v>
      </c>
      <c r="F15" s="12" t="str">
        <f t="shared" si="2"/>
        <v>1005953 - Project 62</v>
      </c>
      <c r="G15" s="12"/>
      <c r="H15" s="12" t="s">
        <v>76</v>
      </c>
      <c r="I15" s="290">
        <f t="shared" si="5"/>
        <v>6.4181605542875664E-3</v>
      </c>
      <c r="J15" s="219">
        <f t="shared" si="6"/>
        <v>0.99358183944571243</v>
      </c>
      <c r="K15" s="258"/>
      <c r="L15" s="231">
        <f t="shared" si="3"/>
        <v>0.2244710000000083</v>
      </c>
      <c r="M15" s="512"/>
      <c r="N15" s="517"/>
      <c r="O15" s="12"/>
      <c r="P15" s="12"/>
      <c r="Q15" s="12"/>
      <c r="R15" s="12"/>
      <c r="S15" s="338"/>
      <c r="T15" s="334"/>
      <c r="U15" s="213"/>
      <c r="V15" s="304"/>
      <c r="W15" s="304"/>
      <c r="X15" s="304"/>
      <c r="Y15" s="304"/>
      <c r="Z15" s="304"/>
      <c r="AA15" s="304"/>
      <c r="AB15" s="335"/>
      <c r="AC15" s="12"/>
      <c r="AD15" s="12"/>
      <c r="AE15" s="12"/>
      <c r="AF15" s="12"/>
      <c r="AG15" s="12"/>
      <c r="AH15" s="96"/>
      <c r="AI15" s="593" t="str">
        <f>Selections!$F$3</f>
        <v>1st   (Apr)</v>
      </c>
      <c r="AJ15" s="594"/>
      <c r="AK15" s="13"/>
      <c r="AL15" s="405"/>
      <c r="AM15" s="393">
        <f t="shared" si="4"/>
        <v>0.99358183944571243</v>
      </c>
      <c r="AQ15" s="393" t="s">
        <v>170</v>
      </c>
      <c r="AR15" s="393">
        <f>SUBTOTAL(4,DB_STProjectsSOF[Variance])</f>
        <v>0</v>
      </c>
      <c r="AW15" s="264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264"/>
    </row>
    <row r="16" spans="1:64" ht="12.75" customHeight="1" x14ac:dyDescent="0.2">
      <c r="A16" s="349"/>
      <c r="B16" s="350">
        <v>10</v>
      </c>
      <c r="C16" s="346"/>
      <c r="D16" s="346" t="str">
        <f t="shared" si="0"/>
        <v/>
      </c>
      <c r="E16" s="346" t="str">
        <f t="shared" si="1"/>
        <v>SubTheme 5</v>
      </c>
      <c r="F16" s="346" t="str">
        <f t="shared" si="2"/>
        <v>1001142 - Project 5</v>
      </c>
      <c r="G16" s="346"/>
      <c r="H16" s="346" t="s">
        <v>76</v>
      </c>
      <c r="I16" s="347">
        <f t="shared" si="5"/>
        <v>0.59700127380313173</v>
      </c>
      <c r="J16" s="159">
        <f t="shared" si="6"/>
        <v>0.40299872619686827</v>
      </c>
      <c r="K16" s="255"/>
      <c r="L16" s="431">
        <f t="shared" si="3"/>
        <v>-1934.5512040000008</v>
      </c>
      <c r="M16" s="513"/>
      <c r="N16" s="517"/>
      <c r="O16" s="12"/>
      <c r="P16" s="12"/>
      <c r="Q16" s="12"/>
      <c r="R16" s="12"/>
      <c r="S16" s="338"/>
      <c r="T16" s="334"/>
      <c r="U16" s="304"/>
      <c r="V16" s="304"/>
      <c r="W16" s="304"/>
      <c r="X16" s="304"/>
      <c r="Y16" s="304"/>
      <c r="Z16" s="304"/>
      <c r="AA16" s="304"/>
      <c r="AB16" s="335"/>
      <c r="AC16" s="12"/>
      <c r="AD16" s="12"/>
      <c r="AE16" s="12"/>
      <c r="AF16" s="12"/>
      <c r="AG16" s="12"/>
      <c r="AH16" s="96"/>
      <c r="AI16" s="593"/>
      <c r="AJ16" s="594"/>
      <c r="AM16" s="393">
        <f t="shared" si="4"/>
        <v>0.40299872619686827</v>
      </c>
      <c r="AQ16" s="393" t="s">
        <v>268</v>
      </c>
      <c r="AR16" s="393">
        <f>MAX(AR15,ABS(AR14))</f>
        <v>0</v>
      </c>
      <c r="AW16" s="264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264"/>
    </row>
    <row r="17" spans="1:64" ht="12.75" customHeight="1" thickBot="1" x14ac:dyDescent="0.25">
      <c r="A17" s="324"/>
      <c r="B17" s="315">
        <v>11</v>
      </c>
      <c r="C17" s="12"/>
      <c r="D17" s="12" t="str">
        <f t="shared" si="0"/>
        <v/>
      </c>
      <c r="E17" s="12" t="str">
        <f t="shared" si="1"/>
        <v/>
      </c>
      <c r="F17" s="12" t="str">
        <f t="shared" si="2"/>
        <v>1001169 - Project 36</v>
      </c>
      <c r="G17" s="12"/>
      <c r="H17" s="12" t="s">
        <v>76</v>
      </c>
      <c r="I17" s="290">
        <f t="shared" si="5"/>
        <v>0.42511470787206485</v>
      </c>
      <c r="J17" s="219">
        <f t="shared" si="6"/>
        <v>0.57488529212793515</v>
      </c>
      <c r="K17" s="258"/>
      <c r="L17" s="231">
        <f t="shared" si="3"/>
        <v>-42.557843999999996</v>
      </c>
      <c r="M17" s="512"/>
      <c r="N17" s="518"/>
      <c r="O17" s="101"/>
      <c r="P17" s="101"/>
      <c r="Q17" s="101"/>
      <c r="R17" s="101"/>
      <c r="S17" s="339"/>
      <c r="T17" s="336"/>
      <c r="U17" s="214"/>
      <c r="V17" s="214"/>
      <c r="W17" s="214"/>
      <c r="X17" s="214"/>
      <c r="Y17" s="214"/>
      <c r="Z17" s="214"/>
      <c r="AA17" s="214"/>
      <c r="AB17" s="215"/>
      <c r="AC17" s="101"/>
      <c r="AD17" s="101"/>
      <c r="AE17" s="101"/>
      <c r="AF17" s="101"/>
      <c r="AG17" s="101"/>
      <c r="AH17" s="366" t="s">
        <v>27</v>
      </c>
      <c r="AI17" s="323"/>
      <c r="AJ17" s="113"/>
      <c r="AM17" s="393">
        <f t="shared" si="4"/>
        <v>0.57488529212793515</v>
      </c>
      <c r="AW17" s="264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264"/>
    </row>
    <row r="18" spans="1:64" ht="12.75" customHeight="1" x14ac:dyDescent="0.2">
      <c r="A18" s="349"/>
      <c r="B18" s="350">
        <v>12</v>
      </c>
      <c r="C18" s="346"/>
      <c r="D18" s="346" t="str">
        <f t="shared" si="0"/>
        <v/>
      </c>
      <c r="E18" s="346" t="str">
        <f t="shared" si="1"/>
        <v/>
      </c>
      <c r="F18" s="346" t="str">
        <f t="shared" si="2"/>
        <v>1003604 - Project 6</v>
      </c>
      <c r="G18" s="346"/>
      <c r="H18" s="346" t="s">
        <v>76</v>
      </c>
      <c r="I18" s="347">
        <f t="shared" si="5"/>
        <v>0.78179186413542801</v>
      </c>
      <c r="J18" s="159">
        <f t="shared" si="6"/>
        <v>0.21820813586457202</v>
      </c>
      <c r="K18" s="255"/>
      <c r="L18" s="431">
        <f t="shared" si="3"/>
        <v>-171.88945000000001</v>
      </c>
      <c r="M18" s="513"/>
      <c r="N18" s="519" t="s">
        <v>278</v>
      </c>
      <c r="O18" s="12"/>
      <c r="P18" s="12"/>
      <c r="Q18" s="368"/>
      <c r="R18" s="595" t="s">
        <v>215</v>
      </c>
      <c r="S18" s="595"/>
      <c r="T18" s="595"/>
      <c r="U18" s="595"/>
      <c r="V18" s="368"/>
      <c r="W18" s="368"/>
      <c r="X18" s="368"/>
      <c r="Y18" s="299"/>
      <c r="Z18" s="597" t="s">
        <v>271</v>
      </c>
      <c r="AA18" s="597"/>
      <c r="AB18" s="597"/>
      <c r="AC18" s="299"/>
      <c r="AD18" s="299"/>
      <c r="AE18" s="299"/>
      <c r="AF18" s="299"/>
      <c r="AG18" s="12"/>
      <c r="AH18" s="96"/>
      <c r="AI18" s="131"/>
      <c r="AJ18" s="113"/>
      <c r="AM18" s="393">
        <f t="shared" si="4"/>
        <v>0.21820813586457202</v>
      </c>
      <c r="AQ18" s="393" t="s">
        <v>266</v>
      </c>
      <c r="AW18" s="264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264"/>
    </row>
    <row r="19" spans="1:64" ht="12.75" customHeight="1" thickBot="1" x14ac:dyDescent="0.25">
      <c r="A19" s="324"/>
      <c r="B19" s="315">
        <v>13</v>
      </c>
      <c r="C19" s="12"/>
      <c r="D19" s="12" t="str">
        <f t="shared" si="0"/>
        <v/>
      </c>
      <c r="E19" s="12" t="str">
        <f t="shared" si="1"/>
        <v/>
      </c>
      <c r="F19" s="12" t="str">
        <f t="shared" si="2"/>
        <v>1004364 - Project 66</v>
      </c>
      <c r="G19" s="12"/>
      <c r="H19" s="12" t="s">
        <v>76</v>
      </c>
      <c r="I19" s="290" t="str">
        <f t="shared" si="5"/>
        <v>ß</v>
      </c>
      <c r="J19" s="219">
        <f t="shared" si="6"/>
        <v>1.0000110000110001</v>
      </c>
      <c r="K19" s="258"/>
      <c r="L19" s="231">
        <f t="shared" si="3"/>
        <v>0</v>
      </c>
      <c r="M19" s="512"/>
      <c r="N19" s="520"/>
      <c r="O19" s="291" t="s">
        <v>261</v>
      </c>
      <c r="P19" s="12"/>
      <c r="Q19" s="316" t="s">
        <v>34</v>
      </c>
      <c r="R19" s="316" t="s">
        <v>35</v>
      </c>
      <c r="S19" s="316"/>
      <c r="T19" s="316"/>
      <c r="U19" s="316" t="s">
        <v>30</v>
      </c>
      <c r="V19" s="316"/>
      <c r="W19" s="596" t="s">
        <v>31</v>
      </c>
      <c r="X19" s="596"/>
      <c r="Y19" s="358"/>
      <c r="Z19" s="316" t="s">
        <v>111</v>
      </c>
      <c r="AA19" s="316" t="s">
        <v>35</v>
      </c>
      <c r="AB19" s="316" t="s">
        <v>98</v>
      </c>
      <c r="AC19" s="299"/>
      <c r="AD19" s="358"/>
      <c r="AE19" s="316" t="s">
        <v>97</v>
      </c>
      <c r="AF19" s="352" t="s">
        <v>267</v>
      </c>
      <c r="AG19" s="12"/>
      <c r="AH19" s="96"/>
      <c r="AI19" s="131"/>
      <c r="AJ19" s="113"/>
      <c r="AM19" s="393">
        <f t="shared" si="4"/>
        <v>1.0000110000110001</v>
      </c>
      <c r="AQ19" s="393" t="s">
        <v>30</v>
      </c>
      <c r="AR19" s="393" t="s">
        <v>31</v>
      </c>
      <c r="AW19" s="264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264"/>
    </row>
    <row r="20" spans="1:64" ht="12.75" customHeight="1" thickTop="1" thickBot="1" x14ac:dyDescent="0.25">
      <c r="A20" s="349"/>
      <c r="B20" s="350">
        <v>14</v>
      </c>
      <c r="C20" s="346"/>
      <c r="D20" s="346" t="str">
        <f t="shared" si="0"/>
        <v/>
      </c>
      <c r="E20" s="346" t="str">
        <f t="shared" si="1"/>
        <v/>
      </c>
      <c r="F20" s="346" t="str">
        <f t="shared" si="2"/>
        <v>1008042 - Project 67</v>
      </c>
      <c r="G20" s="346"/>
      <c r="H20" s="346" t="s">
        <v>76</v>
      </c>
      <c r="I20" s="347" t="str">
        <f t="shared" si="5"/>
        <v>ß</v>
      </c>
      <c r="J20" s="159">
        <f t="shared" si="6"/>
        <v>1.0000110000110001</v>
      </c>
      <c r="K20" s="255"/>
      <c r="L20" s="431">
        <f t="shared" si="3"/>
        <v>0</v>
      </c>
      <c r="M20" s="513"/>
      <c r="N20" s="521">
        <v>0</v>
      </c>
      <c r="O20" s="227" t="str">
        <f t="shared" ref="O20:O41" si="7">IF(ISERROR($AQ20),"",VLOOKUP($N20+Slider_STProjectsSOF,Table_STProjectSOF,3,FALSE))</f>
        <v/>
      </c>
      <c r="P20" s="227"/>
      <c r="Q20" s="439" t="str">
        <f t="shared" ref="Q20:Q41" si="8">IF(ISERROR($AQ20),"",VLOOKUP($N20+Slider_STProjectsSOF,Table_STProjectSOF,32,FALSE))</f>
        <v/>
      </c>
      <c r="R20" s="439" t="str">
        <f t="shared" ref="R20:R41" si="9">IF(ISERROR($AQ20),"",VLOOKUP($N20+Slider_STProjectsSOF,Table_STProjectSOF,31,FALSE))</f>
        <v/>
      </c>
      <c r="S20" s="354"/>
      <c r="T20" s="347" t="str">
        <f>IF(ISERROR(AQ20),"",IF(AQ20=1.000011000011,"ß",ABS(AQ20-1)))</f>
        <v/>
      </c>
      <c r="U20" s="355" t="str">
        <f>IF(ISERROR($AQ20),"",$AQ20)</f>
        <v/>
      </c>
      <c r="V20" s="227"/>
      <c r="W20" s="440" t="str">
        <f>IF(ISERROR($AQ20),"",IF($AR20&lt;0,$AR20,0))</f>
        <v/>
      </c>
      <c r="X20" s="441" t="str">
        <f>IF(ISERROR($AQ20),"",IF($AR20&gt;0,$AR20,0))</f>
        <v/>
      </c>
      <c r="Y20" s="74"/>
      <c r="Z20" s="439" t="str">
        <f t="shared" ref="Z20:Z41" si="10">IF(ISERROR($AQ20),"",VLOOKUP($N20+Slider_STProjectsSOF,Table_STProjectSOF,36,FALSE))</f>
        <v/>
      </c>
      <c r="AA20" s="439" t="str">
        <f t="shared" ref="AA20:AA41" si="11">IF(ISERROR($AQ20),"",VLOOKUP($N20+Slider_STProjectsSOF,Table_STProjectSOF,35,FALSE))</f>
        <v/>
      </c>
      <c r="AB20" s="356" t="str">
        <f t="shared" ref="AB20:AB41" si="12">IF(ISERROR($AQ20),"",VLOOKUP($N20+Slider_STProjectsSOF,Table_STProjectSOF,37,FALSE))</f>
        <v/>
      </c>
      <c r="AC20" s="355"/>
      <c r="AD20" s="119"/>
      <c r="AE20" s="357" t="str">
        <f t="shared" ref="AE20:AE41" si="13">IF(ISERROR($AQ20),"",VLOOKUP($N20+Slider_STProjectsSOF,Table_STProjectSOF,29,FALSE))</f>
        <v/>
      </c>
      <c r="AF20" s="357" t="str">
        <f t="shared" ref="AF20:AF41" si="14">IF(ISERROR($AQ20),"",VLOOKUP($N20+Slider_STProjectsSOF,Table_STProjectSOF,30,FALSE))</f>
        <v/>
      </c>
      <c r="AG20" s="346"/>
      <c r="AH20" s="96"/>
      <c r="AI20" s="300" t="s">
        <v>32</v>
      </c>
      <c r="AJ20" s="113"/>
      <c r="AM20" s="393">
        <f t="shared" si="4"/>
        <v>1.0000110000110001</v>
      </c>
      <c r="AQ20" s="393" t="e">
        <f t="shared" ref="AQ20:AQ41" si="15">VLOOKUP($N20+Slider_STProjectsSOF,Table_STProjectSOF,34,FALSE)</f>
        <v>#N/A</v>
      </c>
      <c r="AR20" s="393" t="e">
        <f t="shared" ref="AR20:AR41" si="16">VLOOKUP($N20+Slider_STProjectsSOF,Table_STProjectSOF,33,FALSE)</f>
        <v>#N/A</v>
      </c>
      <c r="AW20" s="264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264"/>
    </row>
    <row r="21" spans="1:64" ht="12.75" customHeight="1" thickTop="1" thickBot="1" x14ac:dyDescent="0.25">
      <c r="A21" s="324"/>
      <c r="B21" s="315">
        <v>15</v>
      </c>
      <c r="C21" s="12"/>
      <c r="D21" s="12" t="str">
        <f t="shared" si="0"/>
        <v/>
      </c>
      <c r="E21" s="12" t="str">
        <f t="shared" si="1"/>
        <v>SubTheme 8</v>
      </c>
      <c r="F21" s="12" t="str">
        <f t="shared" si="2"/>
        <v>1005472 - Project 9</v>
      </c>
      <c r="G21" s="12"/>
      <c r="H21" s="12" t="s">
        <v>76</v>
      </c>
      <c r="I21" s="290">
        <f t="shared" si="5"/>
        <v>3.135842080136908E-2</v>
      </c>
      <c r="J21" s="219">
        <f t="shared" si="6"/>
        <v>1.0313584208013691</v>
      </c>
      <c r="K21" s="258"/>
      <c r="L21" s="231">
        <f t="shared" si="3"/>
        <v>9.2152279999999678</v>
      </c>
      <c r="M21" s="512"/>
      <c r="N21" s="522">
        <v>1</v>
      </c>
      <c r="O21" s="84" t="str">
        <f t="shared" si="7"/>
        <v/>
      </c>
      <c r="P21" s="84"/>
      <c r="Q21" s="426" t="str">
        <f t="shared" si="8"/>
        <v/>
      </c>
      <c r="R21" s="426" t="str">
        <f t="shared" si="9"/>
        <v/>
      </c>
      <c r="S21" s="317"/>
      <c r="T21" s="290" t="str">
        <f t="shared" ref="T21:T32" si="17">IF(ISERROR(AQ21),"",IF(AQ21=1.000011000011,"ß",ABS(AQ21-1)))</f>
        <v/>
      </c>
      <c r="U21" s="44" t="str">
        <f t="shared" ref="U21:U41" si="18">IF(ISERROR($AQ21),"",$AQ21)</f>
        <v/>
      </c>
      <c r="V21" s="84"/>
      <c r="W21" s="440" t="str">
        <f t="shared" ref="W21:W41" si="19">IF(ISERROR($AQ21),"",IF($AR21&lt;0,$AR21,0))</f>
        <v/>
      </c>
      <c r="X21" s="442" t="str">
        <f t="shared" ref="X21:X41" si="20">IF(ISERROR($AQ21),"",IF($AR21&gt;0,$AR21,0))</f>
        <v/>
      </c>
      <c r="Y21" s="74"/>
      <c r="Z21" s="426" t="str">
        <f t="shared" si="10"/>
        <v/>
      </c>
      <c r="AA21" s="426" t="str">
        <f t="shared" si="11"/>
        <v/>
      </c>
      <c r="AB21" s="308" t="str">
        <f t="shared" si="12"/>
        <v/>
      </c>
      <c r="AC21" s="44"/>
      <c r="AD21" s="119"/>
      <c r="AE21" s="318" t="str">
        <f t="shared" si="13"/>
        <v/>
      </c>
      <c r="AF21" s="318" t="str">
        <f t="shared" si="14"/>
        <v/>
      </c>
      <c r="AG21" s="12"/>
      <c r="AH21" s="96"/>
      <c r="AI21" s="300" t="s">
        <v>272</v>
      </c>
      <c r="AJ21" s="113"/>
      <c r="AM21" s="393">
        <f t="shared" si="4"/>
        <v>1.0313584208013691</v>
      </c>
      <c r="AQ21" s="393" t="e">
        <f t="shared" si="15"/>
        <v>#N/A</v>
      </c>
      <c r="AR21" s="393" t="e">
        <f t="shared" si="16"/>
        <v>#N/A</v>
      </c>
      <c r="AW21" s="264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264"/>
    </row>
    <row r="22" spans="1:64" ht="12.75" customHeight="1" thickTop="1" thickBot="1" x14ac:dyDescent="0.25">
      <c r="A22" s="349"/>
      <c r="B22" s="350">
        <v>16</v>
      </c>
      <c r="C22" s="346"/>
      <c r="D22" s="346" t="str">
        <f t="shared" si="0"/>
        <v>Theme 3</v>
      </c>
      <c r="E22" s="346" t="str">
        <f t="shared" si="1"/>
        <v>SubTheme 4</v>
      </c>
      <c r="F22" s="346" t="str">
        <f t="shared" si="2"/>
        <v>1004006 - Project 4</v>
      </c>
      <c r="G22" s="346"/>
      <c r="H22" s="346" t="s">
        <v>76</v>
      </c>
      <c r="I22" s="347">
        <f t="shared" si="5"/>
        <v>0.21933918999234336</v>
      </c>
      <c r="J22" s="159">
        <f t="shared" si="6"/>
        <v>0.78066081000765664</v>
      </c>
      <c r="K22" s="255"/>
      <c r="L22" s="431">
        <f t="shared" si="3"/>
        <v>-1064.1361449999995</v>
      </c>
      <c r="M22" s="513"/>
      <c r="N22" s="521">
        <v>2</v>
      </c>
      <c r="O22" s="227" t="str">
        <f t="shared" si="7"/>
        <v/>
      </c>
      <c r="P22" s="227"/>
      <c r="Q22" s="439" t="str">
        <f t="shared" si="8"/>
        <v/>
      </c>
      <c r="R22" s="439" t="str">
        <f t="shared" si="9"/>
        <v/>
      </c>
      <c r="S22" s="354"/>
      <c r="T22" s="347" t="str">
        <f t="shared" si="17"/>
        <v/>
      </c>
      <c r="U22" s="355" t="str">
        <f t="shared" si="18"/>
        <v/>
      </c>
      <c r="V22" s="227"/>
      <c r="W22" s="440" t="str">
        <f t="shared" si="19"/>
        <v/>
      </c>
      <c r="X22" s="441" t="str">
        <f t="shared" si="20"/>
        <v/>
      </c>
      <c r="Y22" s="74"/>
      <c r="Z22" s="439" t="str">
        <f t="shared" si="10"/>
        <v/>
      </c>
      <c r="AA22" s="439" t="str">
        <f t="shared" si="11"/>
        <v/>
      </c>
      <c r="AB22" s="356" t="str">
        <f t="shared" si="12"/>
        <v/>
      </c>
      <c r="AC22" s="355"/>
      <c r="AD22" s="119"/>
      <c r="AE22" s="357" t="str">
        <f t="shared" si="13"/>
        <v/>
      </c>
      <c r="AF22" s="357" t="str">
        <f t="shared" si="14"/>
        <v/>
      </c>
      <c r="AG22" s="346"/>
      <c r="AH22" s="96"/>
      <c r="AI22" s="300"/>
      <c r="AJ22" s="113"/>
      <c r="AM22" s="393">
        <f t="shared" si="4"/>
        <v>0.78066081000765664</v>
      </c>
      <c r="AQ22" s="393" t="e">
        <f t="shared" si="15"/>
        <v>#N/A</v>
      </c>
      <c r="AR22" s="393" t="e">
        <f t="shared" si="16"/>
        <v>#N/A</v>
      </c>
      <c r="AW22" s="264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264"/>
    </row>
    <row r="23" spans="1:64" ht="12.75" customHeight="1" thickTop="1" thickBot="1" x14ac:dyDescent="0.25">
      <c r="A23" s="324"/>
      <c r="B23" s="315">
        <v>17</v>
      </c>
      <c r="C23" s="12"/>
      <c r="D23" s="12" t="str">
        <f t="shared" si="0"/>
        <v/>
      </c>
      <c r="E23" s="12" t="str">
        <f t="shared" si="1"/>
        <v>SubTheme 7</v>
      </c>
      <c r="F23" s="12" t="str">
        <f t="shared" si="2"/>
        <v>1006297 - Project 8</v>
      </c>
      <c r="G23" s="12"/>
      <c r="H23" s="12" t="s">
        <v>76</v>
      </c>
      <c r="I23" s="290">
        <f t="shared" si="5"/>
        <v>0.71669249568368587</v>
      </c>
      <c r="J23" s="219">
        <f t="shared" si="6"/>
        <v>0.28330750431631413</v>
      </c>
      <c r="K23" s="258"/>
      <c r="L23" s="231">
        <f t="shared" si="3"/>
        <v>-26.918844</v>
      </c>
      <c r="M23" s="512"/>
      <c r="N23" s="522">
        <v>3</v>
      </c>
      <c r="O23" s="84" t="str">
        <f t="shared" si="7"/>
        <v/>
      </c>
      <c r="P23" s="84"/>
      <c r="Q23" s="426" t="str">
        <f t="shared" si="8"/>
        <v/>
      </c>
      <c r="R23" s="426" t="str">
        <f t="shared" si="9"/>
        <v/>
      </c>
      <c r="S23" s="317"/>
      <c r="T23" s="290" t="str">
        <f t="shared" si="17"/>
        <v/>
      </c>
      <c r="U23" s="44" t="str">
        <f t="shared" si="18"/>
        <v/>
      </c>
      <c r="V23" s="84"/>
      <c r="W23" s="440" t="str">
        <f t="shared" si="19"/>
        <v/>
      </c>
      <c r="X23" s="442" t="str">
        <f t="shared" si="20"/>
        <v/>
      </c>
      <c r="Y23" s="74"/>
      <c r="Z23" s="426" t="str">
        <f t="shared" si="10"/>
        <v/>
      </c>
      <c r="AA23" s="426" t="str">
        <f t="shared" si="11"/>
        <v/>
      </c>
      <c r="AB23" s="308" t="str">
        <f t="shared" si="12"/>
        <v/>
      </c>
      <c r="AC23" s="44"/>
      <c r="AD23" s="119"/>
      <c r="AE23" s="318" t="str">
        <f t="shared" si="13"/>
        <v/>
      </c>
      <c r="AF23" s="318" t="str">
        <f t="shared" si="14"/>
        <v/>
      </c>
      <c r="AG23" s="12"/>
      <c r="AH23" s="96"/>
      <c r="AI23" s="131"/>
      <c r="AJ23" s="113"/>
      <c r="AM23" s="393">
        <f t="shared" si="4"/>
        <v>0.28330750431631413</v>
      </c>
      <c r="AQ23" s="393" t="e">
        <f t="shared" si="15"/>
        <v>#N/A</v>
      </c>
      <c r="AR23" s="393" t="e">
        <f t="shared" si="16"/>
        <v>#N/A</v>
      </c>
      <c r="AW23" s="264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264"/>
    </row>
    <row r="24" spans="1:64" ht="12.75" customHeight="1" thickTop="1" thickBot="1" x14ac:dyDescent="0.25">
      <c r="A24" s="349"/>
      <c r="B24" s="350">
        <v>18</v>
      </c>
      <c r="C24" s="346"/>
      <c r="D24" s="346" t="str">
        <f t="shared" si="0"/>
        <v/>
      </c>
      <c r="E24" s="346" t="str">
        <f t="shared" si="1"/>
        <v/>
      </c>
      <c r="F24" s="346" t="str">
        <f t="shared" si="2"/>
        <v>1009678 - Project 17</v>
      </c>
      <c r="G24" s="346"/>
      <c r="H24" s="346" t="s">
        <v>76</v>
      </c>
      <c r="I24" s="347">
        <f t="shared" si="5"/>
        <v>9.2954008468900451E-2</v>
      </c>
      <c r="J24" s="159">
        <f t="shared" si="6"/>
        <v>0.90704599153109955</v>
      </c>
      <c r="K24" s="255"/>
      <c r="L24" s="431">
        <f t="shared" si="3"/>
        <v>-84.282166999999959</v>
      </c>
      <c r="M24" s="513"/>
      <c r="N24" s="521">
        <v>4</v>
      </c>
      <c r="O24" s="227" t="str">
        <f t="shared" si="7"/>
        <v/>
      </c>
      <c r="P24" s="227"/>
      <c r="Q24" s="439" t="str">
        <f t="shared" si="8"/>
        <v/>
      </c>
      <c r="R24" s="439" t="str">
        <f t="shared" si="9"/>
        <v/>
      </c>
      <c r="S24" s="354"/>
      <c r="T24" s="347" t="str">
        <f t="shared" si="17"/>
        <v/>
      </c>
      <c r="U24" s="355" t="str">
        <f t="shared" si="18"/>
        <v/>
      </c>
      <c r="V24" s="227"/>
      <c r="W24" s="440" t="str">
        <f t="shared" si="19"/>
        <v/>
      </c>
      <c r="X24" s="441" t="str">
        <f t="shared" si="20"/>
        <v/>
      </c>
      <c r="Y24" s="74"/>
      <c r="Z24" s="439" t="str">
        <f t="shared" si="10"/>
        <v/>
      </c>
      <c r="AA24" s="439" t="str">
        <f t="shared" si="11"/>
        <v/>
      </c>
      <c r="AB24" s="356" t="str">
        <f t="shared" si="12"/>
        <v/>
      </c>
      <c r="AC24" s="355"/>
      <c r="AD24" s="119"/>
      <c r="AE24" s="357" t="str">
        <f t="shared" si="13"/>
        <v/>
      </c>
      <c r="AF24" s="357" t="str">
        <f t="shared" si="14"/>
        <v/>
      </c>
      <c r="AG24" s="346"/>
      <c r="AH24" s="96"/>
      <c r="AI24" s="131"/>
      <c r="AJ24" s="113"/>
      <c r="AM24" s="393">
        <f t="shared" si="4"/>
        <v>0.90704599153109955</v>
      </c>
      <c r="AQ24" s="393" t="e">
        <f t="shared" si="15"/>
        <v>#N/A</v>
      </c>
      <c r="AR24" s="393" t="e">
        <f t="shared" si="16"/>
        <v>#N/A</v>
      </c>
      <c r="AW24" s="264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264"/>
    </row>
    <row r="25" spans="1:64" ht="12.75" customHeight="1" thickTop="1" thickBot="1" x14ac:dyDescent="0.25">
      <c r="A25" s="324"/>
      <c r="B25" s="315">
        <v>19</v>
      </c>
      <c r="C25" s="12"/>
      <c r="D25" s="12" t="str">
        <f t="shared" si="0"/>
        <v>Theme 4</v>
      </c>
      <c r="E25" s="12" t="str">
        <f t="shared" si="1"/>
        <v>SubTheme 11</v>
      </c>
      <c r="F25" s="12" t="str">
        <f t="shared" si="2"/>
        <v>1002382 - Project 12</v>
      </c>
      <c r="G25" s="12"/>
      <c r="H25" s="12" t="s">
        <v>76</v>
      </c>
      <c r="I25" s="290">
        <f t="shared" si="5"/>
        <v>5.9446050254989724E-2</v>
      </c>
      <c r="J25" s="219">
        <f t="shared" si="6"/>
        <v>0.94055394974501028</v>
      </c>
      <c r="K25" s="258"/>
      <c r="L25" s="231">
        <f t="shared" si="3"/>
        <v>-29.060738999999955</v>
      </c>
      <c r="M25" s="512"/>
      <c r="N25" s="522">
        <v>5</v>
      </c>
      <c r="O25" s="84" t="str">
        <f t="shared" si="7"/>
        <v/>
      </c>
      <c r="P25" s="84"/>
      <c r="Q25" s="426" t="str">
        <f t="shared" si="8"/>
        <v/>
      </c>
      <c r="R25" s="426" t="str">
        <f t="shared" si="9"/>
        <v/>
      </c>
      <c r="S25" s="317"/>
      <c r="T25" s="290" t="str">
        <f t="shared" si="17"/>
        <v/>
      </c>
      <c r="U25" s="44" t="str">
        <f t="shared" si="18"/>
        <v/>
      </c>
      <c r="V25" s="84"/>
      <c r="W25" s="440" t="str">
        <f t="shared" si="19"/>
        <v/>
      </c>
      <c r="X25" s="442" t="str">
        <f t="shared" si="20"/>
        <v/>
      </c>
      <c r="Y25" s="74"/>
      <c r="Z25" s="426" t="str">
        <f t="shared" si="10"/>
        <v/>
      </c>
      <c r="AA25" s="426" t="str">
        <f t="shared" si="11"/>
        <v/>
      </c>
      <c r="AB25" s="308" t="str">
        <f t="shared" si="12"/>
        <v/>
      </c>
      <c r="AC25" s="44"/>
      <c r="AD25" s="119"/>
      <c r="AE25" s="318" t="str">
        <f t="shared" si="13"/>
        <v/>
      </c>
      <c r="AF25" s="318" t="str">
        <f t="shared" si="14"/>
        <v/>
      </c>
      <c r="AG25" s="12"/>
      <c r="AH25" s="96"/>
      <c r="AI25" s="131"/>
      <c r="AJ25" s="113"/>
      <c r="AM25" s="393">
        <f t="shared" si="4"/>
        <v>0.94055394974501028</v>
      </c>
      <c r="AQ25" s="393" t="e">
        <f t="shared" si="15"/>
        <v>#N/A</v>
      </c>
      <c r="AR25" s="393" t="e">
        <f t="shared" si="16"/>
        <v>#N/A</v>
      </c>
      <c r="AW25" s="264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264"/>
    </row>
    <row r="26" spans="1:64" ht="12.75" customHeight="1" thickTop="1" thickBot="1" x14ac:dyDescent="0.25">
      <c r="A26" s="349"/>
      <c r="B26" s="350">
        <v>20</v>
      </c>
      <c r="C26" s="346"/>
      <c r="D26" s="346" t="str">
        <f t="shared" si="0"/>
        <v/>
      </c>
      <c r="E26" s="346" t="str">
        <f t="shared" si="1"/>
        <v>SubTheme 29</v>
      </c>
      <c r="F26" s="346" t="str">
        <f t="shared" si="2"/>
        <v>1009144 - Project 42</v>
      </c>
      <c r="G26" s="346"/>
      <c r="H26" s="346" t="s">
        <v>76</v>
      </c>
      <c r="I26" s="347">
        <f t="shared" si="5"/>
        <v>0.14337561355032369</v>
      </c>
      <c r="J26" s="159">
        <f t="shared" si="6"/>
        <v>0.85662438644967631</v>
      </c>
      <c r="K26" s="255"/>
      <c r="L26" s="431">
        <f t="shared" si="3"/>
        <v>-3.8974929999999937</v>
      </c>
      <c r="M26" s="513"/>
      <c r="N26" s="521">
        <v>6</v>
      </c>
      <c r="O26" s="227" t="str">
        <f t="shared" si="7"/>
        <v/>
      </c>
      <c r="P26" s="227"/>
      <c r="Q26" s="439" t="str">
        <f t="shared" si="8"/>
        <v/>
      </c>
      <c r="R26" s="439" t="str">
        <f t="shared" si="9"/>
        <v/>
      </c>
      <c r="S26" s="354"/>
      <c r="T26" s="347" t="str">
        <f t="shared" si="17"/>
        <v/>
      </c>
      <c r="U26" s="355" t="str">
        <f t="shared" si="18"/>
        <v/>
      </c>
      <c r="V26" s="227"/>
      <c r="W26" s="440" t="str">
        <f t="shared" si="19"/>
        <v/>
      </c>
      <c r="X26" s="441" t="str">
        <f t="shared" si="20"/>
        <v/>
      </c>
      <c r="Y26" s="74"/>
      <c r="Z26" s="439" t="str">
        <f t="shared" si="10"/>
        <v/>
      </c>
      <c r="AA26" s="439" t="str">
        <f t="shared" si="11"/>
        <v/>
      </c>
      <c r="AB26" s="356" t="str">
        <f t="shared" si="12"/>
        <v/>
      </c>
      <c r="AC26" s="355"/>
      <c r="AD26" s="119"/>
      <c r="AE26" s="357" t="str">
        <f t="shared" si="13"/>
        <v/>
      </c>
      <c r="AF26" s="357" t="str">
        <f t="shared" si="14"/>
        <v/>
      </c>
      <c r="AG26" s="346"/>
      <c r="AH26" s="96"/>
      <c r="AI26" s="131"/>
      <c r="AJ26" s="113"/>
      <c r="AM26" s="393">
        <f t="shared" si="4"/>
        <v>0.85662438644967631</v>
      </c>
      <c r="AQ26" s="393" t="e">
        <f t="shared" si="15"/>
        <v>#N/A</v>
      </c>
      <c r="AR26" s="393" t="e">
        <f t="shared" si="16"/>
        <v>#N/A</v>
      </c>
      <c r="AW26" s="264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264"/>
    </row>
    <row r="27" spans="1:64" ht="12.75" customHeight="1" thickTop="1" thickBot="1" x14ac:dyDescent="0.25">
      <c r="A27" s="324"/>
      <c r="B27" s="315">
        <v>21</v>
      </c>
      <c r="C27" s="12"/>
      <c r="D27" s="12" t="str">
        <f t="shared" si="0"/>
        <v/>
      </c>
      <c r="E27" s="12" t="str">
        <f t="shared" si="1"/>
        <v>SubTheme 30</v>
      </c>
      <c r="F27" s="12" t="str">
        <f t="shared" si="2"/>
        <v>1003417 - Project 43</v>
      </c>
      <c r="G27" s="12"/>
      <c r="H27" s="12" t="s">
        <v>76</v>
      </c>
      <c r="I27" s="290">
        <f t="shared" si="5"/>
        <v>5.6393470283575553E-3</v>
      </c>
      <c r="J27" s="219">
        <f t="shared" si="6"/>
        <v>1.0056393470283576</v>
      </c>
      <c r="K27" s="258"/>
      <c r="L27" s="231">
        <f t="shared" si="3"/>
        <v>7.0587999999997209E-2</v>
      </c>
      <c r="M27" s="512"/>
      <c r="N27" s="522">
        <v>7</v>
      </c>
      <c r="O27" s="84" t="str">
        <f t="shared" si="7"/>
        <v/>
      </c>
      <c r="P27" s="84"/>
      <c r="Q27" s="426" t="str">
        <f t="shared" si="8"/>
        <v/>
      </c>
      <c r="R27" s="426" t="str">
        <f t="shared" si="9"/>
        <v/>
      </c>
      <c r="S27" s="317"/>
      <c r="T27" s="290" t="str">
        <f t="shared" si="17"/>
        <v/>
      </c>
      <c r="U27" s="44" t="str">
        <f t="shared" si="18"/>
        <v/>
      </c>
      <c r="V27" s="84"/>
      <c r="W27" s="440" t="str">
        <f t="shared" si="19"/>
        <v/>
      </c>
      <c r="X27" s="442" t="str">
        <f t="shared" si="20"/>
        <v/>
      </c>
      <c r="Y27" s="74"/>
      <c r="Z27" s="426" t="str">
        <f t="shared" si="10"/>
        <v/>
      </c>
      <c r="AA27" s="426" t="str">
        <f t="shared" si="11"/>
        <v/>
      </c>
      <c r="AB27" s="308" t="str">
        <f t="shared" si="12"/>
        <v/>
      </c>
      <c r="AC27" s="44"/>
      <c r="AD27" s="119"/>
      <c r="AE27" s="318" t="str">
        <f t="shared" si="13"/>
        <v/>
      </c>
      <c r="AF27" s="318" t="str">
        <f t="shared" si="14"/>
        <v/>
      </c>
      <c r="AG27" s="12"/>
      <c r="AH27" s="96"/>
      <c r="AI27" s="131"/>
      <c r="AJ27" s="113"/>
      <c r="AM27" s="393">
        <f t="shared" si="4"/>
        <v>1.0056393470283576</v>
      </c>
      <c r="AQ27" s="393" t="e">
        <f t="shared" si="15"/>
        <v>#N/A</v>
      </c>
      <c r="AR27" s="393" t="e">
        <f t="shared" si="16"/>
        <v>#N/A</v>
      </c>
      <c r="AT27" s="527" t="s">
        <v>2</v>
      </c>
      <c r="AU27" s="528">
        <f>Expense!AC16</f>
        <v>5256.423929999999</v>
      </c>
      <c r="AV27" s="528"/>
      <c r="AW27" s="264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264"/>
    </row>
    <row r="28" spans="1:64" ht="12.75" customHeight="1" thickTop="1" thickBot="1" x14ac:dyDescent="0.25">
      <c r="A28" s="349"/>
      <c r="B28" s="350">
        <v>22</v>
      </c>
      <c r="C28" s="346"/>
      <c r="D28" s="346" t="str">
        <f t="shared" si="0"/>
        <v>Theme 5</v>
      </c>
      <c r="E28" s="346" t="str">
        <f t="shared" si="1"/>
        <v>SubTheme 12</v>
      </c>
      <c r="F28" s="346" t="str">
        <f t="shared" si="2"/>
        <v>1004006 - Project 13</v>
      </c>
      <c r="G28" s="346"/>
      <c r="H28" s="346" t="s">
        <v>76</v>
      </c>
      <c r="I28" s="347">
        <f t="shared" si="5"/>
        <v>0.53336143686919901</v>
      </c>
      <c r="J28" s="159">
        <f t="shared" si="6"/>
        <v>1.533361436869199</v>
      </c>
      <c r="K28" s="255"/>
      <c r="L28" s="431">
        <f t="shared" si="3"/>
        <v>78.932621999999952</v>
      </c>
      <c r="M28" s="513"/>
      <c r="N28" s="521">
        <v>8</v>
      </c>
      <c r="O28" s="227" t="str">
        <f t="shared" si="7"/>
        <v/>
      </c>
      <c r="P28" s="227"/>
      <c r="Q28" s="439" t="str">
        <f t="shared" si="8"/>
        <v/>
      </c>
      <c r="R28" s="439" t="str">
        <f t="shared" si="9"/>
        <v/>
      </c>
      <c r="S28" s="354"/>
      <c r="T28" s="347" t="str">
        <f t="shared" si="17"/>
        <v/>
      </c>
      <c r="U28" s="355" t="str">
        <f t="shared" si="18"/>
        <v/>
      </c>
      <c r="V28" s="227"/>
      <c r="W28" s="440" t="str">
        <f t="shared" si="19"/>
        <v/>
      </c>
      <c r="X28" s="441" t="str">
        <f t="shared" si="20"/>
        <v/>
      </c>
      <c r="Y28" s="74"/>
      <c r="Z28" s="439" t="str">
        <f t="shared" si="10"/>
        <v/>
      </c>
      <c r="AA28" s="439" t="str">
        <f t="shared" si="11"/>
        <v/>
      </c>
      <c r="AB28" s="356" t="str">
        <f t="shared" si="12"/>
        <v/>
      </c>
      <c r="AC28" s="355"/>
      <c r="AD28" s="119"/>
      <c r="AE28" s="357" t="str">
        <f t="shared" si="13"/>
        <v/>
      </c>
      <c r="AF28" s="357" t="str">
        <f t="shared" si="14"/>
        <v/>
      </c>
      <c r="AG28" s="346"/>
      <c r="AH28" s="96"/>
      <c r="AI28" s="131"/>
      <c r="AJ28" s="113"/>
      <c r="AM28" s="393">
        <f t="shared" si="4"/>
        <v>1.533361436869199</v>
      </c>
      <c r="AQ28" s="393" t="e">
        <f t="shared" si="15"/>
        <v>#N/A</v>
      </c>
      <c r="AR28" s="393" t="e">
        <f t="shared" si="16"/>
        <v>#N/A</v>
      </c>
      <c r="AT28" s="529" t="s">
        <v>3</v>
      </c>
      <c r="AU28" s="528">
        <f>Expense!AC17</f>
        <v>1679.7570300000002</v>
      </c>
      <c r="AV28" s="528"/>
      <c r="AW28" s="264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264"/>
    </row>
    <row r="29" spans="1:64" ht="12.75" customHeight="1" thickTop="1" thickBot="1" x14ac:dyDescent="0.25">
      <c r="A29" s="324"/>
      <c r="B29" s="315">
        <v>23</v>
      </c>
      <c r="C29" s="12"/>
      <c r="D29" s="12" t="str">
        <f t="shared" si="0"/>
        <v/>
      </c>
      <c r="E29" s="12" t="str">
        <f t="shared" si="1"/>
        <v>SubTheme 14</v>
      </c>
      <c r="F29" s="12" t="str">
        <f t="shared" si="2"/>
        <v>1004932 - Project 19</v>
      </c>
      <c r="G29" s="12"/>
      <c r="H29" s="12" t="s">
        <v>76</v>
      </c>
      <c r="I29" s="290">
        <f t="shared" si="5"/>
        <v>0.24813706850120187</v>
      </c>
      <c r="J29" s="219">
        <f t="shared" si="6"/>
        <v>0.75186293149879813</v>
      </c>
      <c r="K29" s="258"/>
      <c r="L29" s="231">
        <f t="shared" si="3"/>
        <v>-16.713371999999993</v>
      </c>
      <c r="M29" s="512"/>
      <c r="N29" s="522">
        <v>9</v>
      </c>
      <c r="O29" s="84" t="str">
        <f t="shared" si="7"/>
        <v/>
      </c>
      <c r="P29" s="84"/>
      <c r="Q29" s="426" t="str">
        <f t="shared" si="8"/>
        <v/>
      </c>
      <c r="R29" s="426" t="str">
        <f t="shared" si="9"/>
        <v/>
      </c>
      <c r="S29" s="317"/>
      <c r="T29" s="290" t="str">
        <f t="shared" si="17"/>
        <v/>
      </c>
      <c r="U29" s="44" t="str">
        <f t="shared" si="18"/>
        <v/>
      </c>
      <c r="V29" s="84"/>
      <c r="W29" s="440" t="str">
        <f t="shared" si="19"/>
        <v/>
      </c>
      <c r="X29" s="442" t="str">
        <f t="shared" si="20"/>
        <v/>
      </c>
      <c r="Y29" s="74"/>
      <c r="Z29" s="426" t="str">
        <f t="shared" si="10"/>
        <v/>
      </c>
      <c r="AA29" s="426" t="str">
        <f t="shared" si="11"/>
        <v/>
      </c>
      <c r="AB29" s="308" t="str">
        <f t="shared" si="12"/>
        <v/>
      </c>
      <c r="AC29" s="44"/>
      <c r="AD29" s="119"/>
      <c r="AE29" s="318" t="str">
        <f t="shared" si="13"/>
        <v/>
      </c>
      <c r="AF29" s="318" t="str">
        <f t="shared" si="14"/>
        <v/>
      </c>
      <c r="AG29" s="12"/>
      <c r="AH29" s="96"/>
      <c r="AI29" s="131"/>
      <c r="AJ29" s="113"/>
      <c r="AM29" s="393">
        <f t="shared" si="4"/>
        <v>0.75186293149879813</v>
      </c>
      <c r="AQ29" s="393" t="e">
        <f t="shared" si="15"/>
        <v>#N/A</v>
      </c>
      <c r="AR29" s="393" t="e">
        <f t="shared" si="16"/>
        <v>#N/A</v>
      </c>
      <c r="AT29" s="527" t="s">
        <v>4</v>
      </c>
      <c r="AU29" s="528">
        <f>Expense!AC18</f>
        <v>4620.4859299999989</v>
      </c>
      <c r="AV29" s="528"/>
      <c r="AW29" s="264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264"/>
    </row>
    <row r="30" spans="1:64" ht="12.75" customHeight="1" thickTop="1" thickBot="1" x14ac:dyDescent="0.25">
      <c r="A30" s="349"/>
      <c r="B30" s="350">
        <v>24</v>
      </c>
      <c r="C30" s="346"/>
      <c r="D30" s="346" t="str">
        <f t="shared" si="0"/>
        <v/>
      </c>
      <c r="E30" s="346" t="str">
        <f t="shared" si="1"/>
        <v/>
      </c>
      <c r="F30" s="346" t="str">
        <f t="shared" si="2"/>
        <v>1007740 - Project 16</v>
      </c>
      <c r="G30" s="346"/>
      <c r="H30" s="346" t="s">
        <v>76</v>
      </c>
      <c r="I30" s="347">
        <f t="shared" si="5"/>
        <v>6.6097548365012804E-2</v>
      </c>
      <c r="J30" s="159">
        <f t="shared" si="6"/>
        <v>1.0660975483650128</v>
      </c>
      <c r="K30" s="255"/>
      <c r="L30" s="431">
        <f t="shared" si="3"/>
        <v>4.9000969999999739</v>
      </c>
      <c r="M30" s="513"/>
      <c r="N30" s="521">
        <v>10</v>
      </c>
      <c r="O30" s="227" t="str">
        <f t="shared" si="7"/>
        <v/>
      </c>
      <c r="P30" s="227"/>
      <c r="Q30" s="439" t="str">
        <f t="shared" si="8"/>
        <v/>
      </c>
      <c r="R30" s="439" t="str">
        <f t="shared" si="9"/>
        <v/>
      </c>
      <c r="S30" s="354"/>
      <c r="T30" s="347" t="str">
        <f t="shared" si="17"/>
        <v/>
      </c>
      <c r="U30" s="355" t="str">
        <f t="shared" si="18"/>
        <v/>
      </c>
      <c r="V30" s="227"/>
      <c r="W30" s="440" t="str">
        <f t="shared" si="19"/>
        <v/>
      </c>
      <c r="X30" s="441" t="str">
        <f t="shared" si="20"/>
        <v/>
      </c>
      <c r="Y30" s="74"/>
      <c r="Z30" s="439" t="str">
        <f t="shared" si="10"/>
        <v/>
      </c>
      <c r="AA30" s="439" t="str">
        <f t="shared" si="11"/>
        <v/>
      </c>
      <c r="AB30" s="356" t="str">
        <f t="shared" si="12"/>
        <v/>
      </c>
      <c r="AC30" s="355"/>
      <c r="AD30" s="119"/>
      <c r="AE30" s="357" t="str">
        <f t="shared" si="13"/>
        <v/>
      </c>
      <c r="AF30" s="357" t="str">
        <f t="shared" si="14"/>
        <v/>
      </c>
      <c r="AG30" s="346"/>
      <c r="AH30" s="96"/>
      <c r="AI30" s="131"/>
      <c r="AJ30" s="113"/>
      <c r="AM30" s="393">
        <f t="shared" si="4"/>
        <v>1.0660975483650128</v>
      </c>
      <c r="AQ30" s="393" t="e">
        <f t="shared" si="15"/>
        <v>#N/A</v>
      </c>
      <c r="AR30" s="393" t="e">
        <f t="shared" si="16"/>
        <v>#N/A</v>
      </c>
      <c r="AT30" s="529" t="s">
        <v>5</v>
      </c>
      <c r="AU30" s="528">
        <f>Expense!AC19</f>
        <v>495.67224000000004</v>
      </c>
      <c r="AV30" s="528"/>
      <c r="AW30" s="264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264"/>
    </row>
    <row r="31" spans="1:64" ht="12.75" customHeight="1" thickTop="1" thickBot="1" x14ac:dyDescent="0.25">
      <c r="A31" s="324"/>
      <c r="B31" s="315">
        <v>25</v>
      </c>
      <c r="C31" s="12"/>
      <c r="D31" s="12" t="str">
        <f t="shared" si="0"/>
        <v/>
      </c>
      <c r="E31" s="12" t="str">
        <f t="shared" si="1"/>
        <v>SubTheme 27</v>
      </c>
      <c r="F31" s="12" t="str">
        <f t="shared" si="2"/>
        <v>1005028 - Project 37</v>
      </c>
      <c r="G31" s="12"/>
      <c r="H31" s="12" t="s">
        <v>76</v>
      </c>
      <c r="I31" s="290">
        <f t="shared" si="5"/>
        <v>0.75010450949677943</v>
      </c>
      <c r="J31" s="219">
        <f t="shared" si="6"/>
        <v>0.24989549050322057</v>
      </c>
      <c r="K31" s="258"/>
      <c r="L31" s="231">
        <f t="shared" si="3"/>
        <v>-12.465316999999995</v>
      </c>
      <c r="M31" s="512"/>
      <c r="N31" s="522">
        <v>11</v>
      </c>
      <c r="O31" s="84" t="str">
        <f t="shared" si="7"/>
        <v/>
      </c>
      <c r="P31" s="84"/>
      <c r="Q31" s="426" t="str">
        <f t="shared" si="8"/>
        <v/>
      </c>
      <c r="R31" s="426" t="str">
        <f t="shared" si="9"/>
        <v/>
      </c>
      <c r="S31" s="317"/>
      <c r="T31" s="290" t="str">
        <f t="shared" si="17"/>
        <v/>
      </c>
      <c r="U31" s="44" t="str">
        <f t="shared" si="18"/>
        <v/>
      </c>
      <c r="V31" s="84"/>
      <c r="W31" s="440" t="str">
        <f t="shared" si="19"/>
        <v/>
      </c>
      <c r="X31" s="442" t="str">
        <f t="shared" si="20"/>
        <v/>
      </c>
      <c r="Y31" s="74"/>
      <c r="Z31" s="426" t="str">
        <f t="shared" si="10"/>
        <v/>
      </c>
      <c r="AA31" s="426" t="str">
        <f t="shared" si="11"/>
        <v/>
      </c>
      <c r="AB31" s="308" t="str">
        <f t="shared" si="12"/>
        <v/>
      </c>
      <c r="AC31" s="44"/>
      <c r="AD31" s="119"/>
      <c r="AE31" s="318" t="str">
        <f t="shared" si="13"/>
        <v/>
      </c>
      <c r="AF31" s="318" t="str">
        <f t="shared" si="14"/>
        <v/>
      </c>
      <c r="AG31" s="12"/>
      <c r="AH31" s="96"/>
      <c r="AI31" s="131"/>
      <c r="AJ31" s="113"/>
      <c r="AM31" s="393">
        <f t="shared" si="4"/>
        <v>0.24989549050322057</v>
      </c>
      <c r="AQ31" s="393" t="e">
        <f t="shared" si="15"/>
        <v>#N/A</v>
      </c>
      <c r="AR31" s="393" t="e">
        <f t="shared" si="16"/>
        <v>#N/A</v>
      </c>
      <c r="AT31" s="527" t="s">
        <v>6</v>
      </c>
      <c r="AU31" s="528">
        <f>Expense!AC20</f>
        <v>1007.0367499999998</v>
      </c>
      <c r="AV31" s="528"/>
      <c r="AW31" s="264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264"/>
    </row>
    <row r="32" spans="1:64" ht="12.75" customHeight="1" thickTop="1" thickBot="1" x14ac:dyDescent="0.25">
      <c r="A32" s="349"/>
      <c r="B32" s="350">
        <v>26</v>
      </c>
      <c r="C32" s="346"/>
      <c r="D32" s="346" t="str">
        <f t="shared" si="0"/>
        <v/>
      </c>
      <c r="E32" s="346" t="str">
        <f t="shared" si="1"/>
        <v>SubTheme 9</v>
      </c>
      <c r="F32" s="346" t="str">
        <f t="shared" si="2"/>
        <v>1003604 - Project 38</v>
      </c>
      <c r="G32" s="346"/>
      <c r="H32" s="346" t="s">
        <v>76</v>
      </c>
      <c r="I32" s="347">
        <f t="shared" si="5"/>
        <v>2.6805423701425024E-2</v>
      </c>
      <c r="J32" s="159">
        <f t="shared" si="6"/>
        <v>1.026805423701425</v>
      </c>
      <c r="K32" s="255"/>
      <c r="L32" s="431">
        <f t="shared" si="3"/>
        <v>3.7157999999999802E-2</v>
      </c>
      <c r="M32" s="513"/>
      <c r="N32" s="521">
        <v>12</v>
      </c>
      <c r="O32" s="227" t="str">
        <f t="shared" si="7"/>
        <v/>
      </c>
      <c r="P32" s="227"/>
      <c r="Q32" s="439" t="str">
        <f t="shared" si="8"/>
        <v/>
      </c>
      <c r="R32" s="439" t="str">
        <f t="shared" si="9"/>
        <v/>
      </c>
      <c r="S32" s="354"/>
      <c r="T32" s="347" t="str">
        <f t="shared" si="17"/>
        <v/>
      </c>
      <c r="U32" s="355" t="str">
        <f t="shared" si="18"/>
        <v/>
      </c>
      <c r="V32" s="227"/>
      <c r="W32" s="440" t="str">
        <f t="shared" si="19"/>
        <v/>
      </c>
      <c r="X32" s="441" t="str">
        <f t="shared" si="20"/>
        <v/>
      </c>
      <c r="Y32" s="74"/>
      <c r="Z32" s="439" t="str">
        <f t="shared" si="10"/>
        <v/>
      </c>
      <c r="AA32" s="439" t="str">
        <f t="shared" si="11"/>
        <v/>
      </c>
      <c r="AB32" s="356" t="str">
        <f t="shared" si="12"/>
        <v/>
      </c>
      <c r="AC32" s="355"/>
      <c r="AD32" s="119"/>
      <c r="AE32" s="357" t="str">
        <f t="shared" si="13"/>
        <v/>
      </c>
      <c r="AF32" s="357" t="str">
        <f t="shared" si="14"/>
        <v/>
      </c>
      <c r="AG32" s="346"/>
      <c r="AH32" s="96"/>
      <c r="AI32" s="131"/>
      <c r="AJ32" s="113"/>
      <c r="AM32" s="393">
        <f t="shared" si="4"/>
        <v>1.026805423701425</v>
      </c>
      <c r="AQ32" s="393" t="e">
        <f t="shared" si="15"/>
        <v>#N/A</v>
      </c>
      <c r="AR32" s="393" t="e">
        <f t="shared" si="16"/>
        <v>#N/A</v>
      </c>
      <c r="AT32" s="529" t="s">
        <v>7</v>
      </c>
      <c r="AU32" s="528">
        <f>Expense!AC21</f>
        <v>3059.5304700000002</v>
      </c>
      <c r="AV32" s="528"/>
      <c r="AW32" s="264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264"/>
    </row>
    <row r="33" spans="1:64" ht="12.75" customHeight="1" thickTop="1" thickBot="1" x14ac:dyDescent="0.25">
      <c r="A33" s="324"/>
      <c r="B33" s="315">
        <v>27</v>
      </c>
      <c r="C33" s="12"/>
      <c r="D33" s="12" t="str">
        <f t="shared" si="0"/>
        <v/>
      </c>
      <c r="E33" s="12" t="str">
        <f t="shared" si="1"/>
        <v/>
      </c>
      <c r="F33" s="12" t="str">
        <f t="shared" si="2"/>
        <v>1004172 - Project 10</v>
      </c>
      <c r="G33" s="12"/>
      <c r="H33" s="12" t="s">
        <v>76</v>
      </c>
      <c r="I33" s="290">
        <f t="shared" si="5"/>
        <v>0.19405256485207623</v>
      </c>
      <c r="J33" s="219">
        <f t="shared" si="6"/>
        <v>0.80594743514792377</v>
      </c>
      <c r="K33" s="258"/>
      <c r="L33" s="231">
        <f t="shared" si="3"/>
        <v>-155.26678000000004</v>
      </c>
      <c r="M33" s="512"/>
      <c r="N33" s="522">
        <v>13</v>
      </c>
      <c r="O33" s="84" t="str">
        <f t="shared" si="7"/>
        <v/>
      </c>
      <c r="P33" s="84"/>
      <c r="Q33" s="426" t="str">
        <f t="shared" si="8"/>
        <v/>
      </c>
      <c r="R33" s="426" t="str">
        <f t="shared" si="9"/>
        <v/>
      </c>
      <c r="S33" s="317"/>
      <c r="T33" s="290" t="str">
        <f t="shared" ref="T33:T41" si="21">IF(ISERROR(AQ33),"",IF(AQ33=1.000011000011,"ß",ABS(AQ33-1)))</f>
        <v/>
      </c>
      <c r="U33" s="44" t="str">
        <f t="shared" si="18"/>
        <v/>
      </c>
      <c r="V33" s="84"/>
      <c r="W33" s="440" t="str">
        <f t="shared" si="19"/>
        <v/>
      </c>
      <c r="X33" s="442" t="str">
        <f t="shared" si="20"/>
        <v/>
      </c>
      <c r="Y33" s="74"/>
      <c r="Z33" s="426" t="str">
        <f t="shared" si="10"/>
        <v/>
      </c>
      <c r="AA33" s="426" t="str">
        <f t="shared" si="11"/>
        <v/>
      </c>
      <c r="AB33" s="308" t="str">
        <f t="shared" si="12"/>
        <v/>
      </c>
      <c r="AC33" s="44"/>
      <c r="AD33" s="119"/>
      <c r="AE33" s="318" t="str">
        <f t="shared" si="13"/>
        <v/>
      </c>
      <c r="AF33" s="318" t="str">
        <f t="shared" si="14"/>
        <v/>
      </c>
      <c r="AG33" s="12"/>
      <c r="AH33" s="96"/>
      <c r="AI33" s="131"/>
      <c r="AJ33" s="113"/>
      <c r="AM33" s="393">
        <f t="shared" si="4"/>
        <v>0.80594743514792377</v>
      </c>
      <c r="AQ33" s="393" t="e">
        <f t="shared" si="15"/>
        <v>#N/A</v>
      </c>
      <c r="AR33" s="393" t="e">
        <f t="shared" si="16"/>
        <v>#N/A</v>
      </c>
      <c r="AT33" s="527" t="s">
        <v>8</v>
      </c>
      <c r="AU33" s="528">
        <f>Expense!AC22</f>
        <v>3061.9361700000004</v>
      </c>
      <c r="AV33" s="528"/>
      <c r="AW33" s="264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264"/>
    </row>
    <row r="34" spans="1:64" ht="12.75" customHeight="1" thickTop="1" thickBot="1" x14ac:dyDescent="0.25">
      <c r="A34" s="349"/>
      <c r="B34" s="350">
        <v>28</v>
      </c>
      <c r="C34" s="346"/>
      <c r="D34" s="346" t="str">
        <f t="shared" si="0"/>
        <v>Theme 6</v>
      </c>
      <c r="E34" s="346" t="str">
        <f t="shared" si="1"/>
        <v>SubTheme 15</v>
      </c>
      <c r="F34" s="346" t="str">
        <f t="shared" si="2"/>
        <v>1002499 - Project 18</v>
      </c>
      <c r="G34" s="346"/>
      <c r="H34" s="346" t="s">
        <v>76</v>
      </c>
      <c r="I34" s="347">
        <f t="shared" si="5"/>
        <v>0.22079299954536091</v>
      </c>
      <c r="J34" s="159">
        <f t="shared" si="6"/>
        <v>0.77920700045463909</v>
      </c>
      <c r="K34" s="255"/>
      <c r="L34" s="431">
        <f t="shared" si="3"/>
        <v>-192.891212</v>
      </c>
      <c r="M34" s="513"/>
      <c r="N34" s="521">
        <v>14</v>
      </c>
      <c r="O34" s="227" t="str">
        <f t="shared" si="7"/>
        <v/>
      </c>
      <c r="P34" s="227"/>
      <c r="Q34" s="439" t="str">
        <f t="shared" si="8"/>
        <v/>
      </c>
      <c r="R34" s="439" t="str">
        <f t="shared" si="9"/>
        <v/>
      </c>
      <c r="S34" s="354"/>
      <c r="T34" s="347" t="str">
        <f t="shared" si="21"/>
        <v/>
      </c>
      <c r="U34" s="355" t="str">
        <f t="shared" si="18"/>
        <v/>
      </c>
      <c r="V34" s="227"/>
      <c r="W34" s="440" t="str">
        <f t="shared" si="19"/>
        <v/>
      </c>
      <c r="X34" s="441" t="str">
        <f t="shared" si="20"/>
        <v/>
      </c>
      <c r="Y34" s="74"/>
      <c r="Z34" s="439" t="str">
        <f t="shared" si="10"/>
        <v/>
      </c>
      <c r="AA34" s="439" t="str">
        <f t="shared" si="11"/>
        <v/>
      </c>
      <c r="AB34" s="356" t="str">
        <f t="shared" si="12"/>
        <v/>
      </c>
      <c r="AC34" s="355"/>
      <c r="AD34" s="119"/>
      <c r="AE34" s="357" t="str">
        <f t="shared" si="13"/>
        <v/>
      </c>
      <c r="AF34" s="357" t="str">
        <f t="shared" si="14"/>
        <v/>
      </c>
      <c r="AG34" s="346"/>
      <c r="AH34" s="96"/>
      <c r="AI34" s="131"/>
      <c r="AJ34" s="113"/>
      <c r="AM34" s="393">
        <f t="shared" si="4"/>
        <v>0.77920700045463909</v>
      </c>
      <c r="AQ34" s="393" t="e">
        <f t="shared" si="15"/>
        <v>#N/A</v>
      </c>
      <c r="AR34" s="393" t="e">
        <f t="shared" si="16"/>
        <v>#N/A</v>
      </c>
      <c r="AT34" s="529" t="s">
        <v>9</v>
      </c>
      <c r="AU34" s="528">
        <f>Expense!AC23</f>
        <v>2592.1317999999987</v>
      </c>
      <c r="AV34" s="528"/>
      <c r="AW34" s="264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264"/>
    </row>
    <row r="35" spans="1:64" ht="12.75" customHeight="1" thickTop="1" thickBot="1" x14ac:dyDescent="0.25">
      <c r="A35" s="324"/>
      <c r="B35" s="315">
        <v>29</v>
      </c>
      <c r="C35" s="12"/>
      <c r="D35" s="12" t="str">
        <f t="shared" si="0"/>
        <v/>
      </c>
      <c r="E35" s="12" t="str">
        <f t="shared" si="1"/>
        <v/>
      </c>
      <c r="F35" s="12" t="str">
        <f t="shared" si="2"/>
        <v>1002757 - Project 31</v>
      </c>
      <c r="G35" s="12"/>
      <c r="H35" s="12" t="s">
        <v>76</v>
      </c>
      <c r="I35" s="290">
        <f t="shared" si="5"/>
        <v>9.9261404079697968E-3</v>
      </c>
      <c r="J35" s="219">
        <f t="shared" si="6"/>
        <v>1.0099261404079698</v>
      </c>
      <c r="K35" s="258"/>
      <c r="L35" s="231">
        <f t="shared" si="3"/>
        <v>1.7263999999999946E-2</v>
      </c>
      <c r="M35" s="512"/>
      <c r="N35" s="522">
        <v>15</v>
      </c>
      <c r="O35" s="84" t="str">
        <f t="shared" si="7"/>
        <v/>
      </c>
      <c r="P35" s="84"/>
      <c r="Q35" s="426" t="str">
        <f t="shared" si="8"/>
        <v/>
      </c>
      <c r="R35" s="426" t="str">
        <f t="shared" si="9"/>
        <v/>
      </c>
      <c r="S35" s="317"/>
      <c r="T35" s="290" t="str">
        <f t="shared" si="21"/>
        <v/>
      </c>
      <c r="U35" s="44" t="str">
        <f t="shared" si="18"/>
        <v/>
      </c>
      <c r="V35" s="84"/>
      <c r="W35" s="440" t="str">
        <f t="shared" si="19"/>
        <v/>
      </c>
      <c r="X35" s="442" t="str">
        <f t="shared" si="20"/>
        <v/>
      </c>
      <c r="Y35" s="74"/>
      <c r="Z35" s="426" t="str">
        <f t="shared" si="10"/>
        <v/>
      </c>
      <c r="AA35" s="426" t="str">
        <f t="shared" si="11"/>
        <v/>
      </c>
      <c r="AB35" s="308" t="str">
        <f t="shared" si="12"/>
        <v/>
      </c>
      <c r="AC35" s="44"/>
      <c r="AD35" s="119"/>
      <c r="AE35" s="318" t="str">
        <f t="shared" si="13"/>
        <v/>
      </c>
      <c r="AF35" s="318" t="str">
        <f t="shared" si="14"/>
        <v/>
      </c>
      <c r="AG35" s="12"/>
      <c r="AH35" s="96"/>
      <c r="AI35" s="131"/>
      <c r="AJ35" s="113"/>
      <c r="AM35" s="393">
        <f t="shared" si="4"/>
        <v>1.0099261404079698</v>
      </c>
      <c r="AQ35" s="393" t="e">
        <f t="shared" si="15"/>
        <v>#N/A</v>
      </c>
      <c r="AR35" s="393" t="e">
        <f t="shared" si="16"/>
        <v>#N/A</v>
      </c>
      <c r="AT35" s="527" t="s">
        <v>10</v>
      </c>
      <c r="AU35" s="528">
        <f>Expense!AC24</f>
        <v>182.50205999999997</v>
      </c>
      <c r="AV35" s="528"/>
      <c r="AW35" s="264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264"/>
    </row>
    <row r="36" spans="1:64" ht="12.75" customHeight="1" thickTop="1" thickBot="1" x14ac:dyDescent="0.25">
      <c r="A36" s="349"/>
      <c r="B36" s="350">
        <v>30</v>
      </c>
      <c r="C36" s="346"/>
      <c r="D36" s="346" t="str">
        <f t="shared" si="0"/>
        <v/>
      </c>
      <c r="E36" s="346" t="str">
        <f t="shared" si="1"/>
        <v/>
      </c>
      <c r="F36" s="346" t="str">
        <f t="shared" si="2"/>
        <v>1003484 - Project 29</v>
      </c>
      <c r="G36" s="346"/>
      <c r="H36" s="346" t="s">
        <v>76</v>
      </c>
      <c r="I36" s="347">
        <f t="shared" si="5"/>
        <v>4.0368641935944582E-2</v>
      </c>
      <c r="J36" s="159">
        <f t="shared" si="6"/>
        <v>1.0403686419359446</v>
      </c>
      <c r="K36" s="255"/>
      <c r="L36" s="431">
        <f t="shared" si="3"/>
        <v>35.229690000000005</v>
      </c>
      <c r="M36" s="513"/>
      <c r="N36" s="521">
        <v>16</v>
      </c>
      <c r="O36" s="227" t="str">
        <f t="shared" si="7"/>
        <v/>
      </c>
      <c r="P36" s="227"/>
      <c r="Q36" s="439" t="str">
        <f t="shared" si="8"/>
        <v/>
      </c>
      <c r="R36" s="439" t="str">
        <f t="shared" si="9"/>
        <v/>
      </c>
      <c r="S36" s="354"/>
      <c r="T36" s="347" t="str">
        <f t="shared" si="21"/>
        <v/>
      </c>
      <c r="U36" s="355" t="str">
        <f t="shared" si="18"/>
        <v/>
      </c>
      <c r="V36" s="227"/>
      <c r="W36" s="440" t="str">
        <f t="shared" si="19"/>
        <v/>
      </c>
      <c r="X36" s="441" t="str">
        <f t="shared" si="20"/>
        <v/>
      </c>
      <c r="Y36" s="74"/>
      <c r="Z36" s="439" t="str">
        <f t="shared" si="10"/>
        <v/>
      </c>
      <c r="AA36" s="439" t="str">
        <f t="shared" si="11"/>
        <v/>
      </c>
      <c r="AB36" s="356" t="str">
        <f t="shared" si="12"/>
        <v/>
      </c>
      <c r="AC36" s="355"/>
      <c r="AD36" s="119"/>
      <c r="AE36" s="357" t="str">
        <f t="shared" si="13"/>
        <v/>
      </c>
      <c r="AF36" s="357" t="str">
        <f t="shared" si="14"/>
        <v/>
      </c>
      <c r="AG36" s="346"/>
      <c r="AH36" s="96"/>
      <c r="AI36" s="131"/>
      <c r="AJ36" s="113"/>
      <c r="AM36" s="393">
        <f t="shared" si="4"/>
        <v>1.0403686419359446</v>
      </c>
      <c r="AN36" s="393" t="s">
        <v>169</v>
      </c>
      <c r="AO36" s="393">
        <f>SUBTOTAL(5,DB_STProjectList[Variance])</f>
        <v>-1934.5512040000008</v>
      </c>
      <c r="AQ36" s="393" t="e">
        <f t="shared" si="15"/>
        <v>#N/A</v>
      </c>
      <c r="AR36" s="393" t="e">
        <f t="shared" si="16"/>
        <v>#N/A</v>
      </c>
      <c r="AT36" s="527" t="s">
        <v>249</v>
      </c>
      <c r="AU36" s="528" t="e">
        <f>VLOOKUP('Project Details'!AT36,DB_STProjectList[[#All],[Subtheme(T)]:[Burn]],29,FALSE)</f>
        <v>#N/A</v>
      </c>
      <c r="AV36" s="532" t="e">
        <f>AU36/SUM($AU$36:$AU$47)</f>
        <v>#N/A</v>
      </c>
      <c r="AW36" s="264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264"/>
    </row>
    <row r="37" spans="1:64" ht="12.75" customHeight="1" thickTop="1" thickBot="1" x14ac:dyDescent="0.25">
      <c r="A37" s="324"/>
      <c r="B37" s="315">
        <v>31</v>
      </c>
      <c r="C37" s="12"/>
      <c r="D37" s="12" t="str">
        <f t="shared" si="0"/>
        <v/>
      </c>
      <c r="E37" s="12" t="str">
        <f t="shared" si="1"/>
        <v/>
      </c>
      <c r="F37" s="12" t="str">
        <f t="shared" si="2"/>
        <v>1004552 - Project 60</v>
      </c>
      <c r="G37" s="12"/>
      <c r="H37" s="12" t="s">
        <v>76</v>
      </c>
      <c r="I37" s="290" t="str">
        <f t="shared" si="5"/>
        <v>ß</v>
      </c>
      <c r="J37" s="219">
        <f t="shared" si="6"/>
        <v>1.0000110000110001</v>
      </c>
      <c r="K37" s="258"/>
      <c r="L37" s="231">
        <f t="shared" si="3"/>
        <v>81.741789999999995</v>
      </c>
      <c r="M37" s="512"/>
      <c r="N37" s="522">
        <v>17</v>
      </c>
      <c r="O37" s="84" t="str">
        <f t="shared" si="7"/>
        <v/>
      </c>
      <c r="P37" s="84"/>
      <c r="Q37" s="426" t="str">
        <f t="shared" si="8"/>
        <v/>
      </c>
      <c r="R37" s="426" t="str">
        <f t="shared" si="9"/>
        <v/>
      </c>
      <c r="S37" s="317"/>
      <c r="T37" s="290" t="str">
        <f t="shared" si="21"/>
        <v/>
      </c>
      <c r="U37" s="44" t="str">
        <f t="shared" si="18"/>
        <v/>
      </c>
      <c r="V37" s="84"/>
      <c r="W37" s="440" t="str">
        <f t="shared" si="19"/>
        <v/>
      </c>
      <c r="X37" s="442" t="str">
        <f t="shared" si="20"/>
        <v/>
      </c>
      <c r="Y37" s="74"/>
      <c r="Z37" s="426" t="str">
        <f t="shared" si="10"/>
        <v/>
      </c>
      <c r="AA37" s="426" t="str">
        <f t="shared" si="11"/>
        <v/>
      </c>
      <c r="AB37" s="308" t="str">
        <f t="shared" si="12"/>
        <v/>
      </c>
      <c r="AC37" s="44"/>
      <c r="AD37" s="119"/>
      <c r="AE37" s="318" t="str">
        <f t="shared" si="13"/>
        <v/>
      </c>
      <c r="AF37" s="318" t="str">
        <f t="shared" si="14"/>
        <v/>
      </c>
      <c r="AG37" s="12"/>
      <c r="AH37" s="96"/>
      <c r="AI37" s="131"/>
      <c r="AJ37" s="113"/>
      <c r="AM37" s="393">
        <f t="shared" si="4"/>
        <v>1.0000110000110001</v>
      </c>
      <c r="AN37" s="393" t="s">
        <v>170</v>
      </c>
      <c r="AO37" s="393">
        <f>SUBTOTAL(4,DB_STProjectList[Variance])</f>
        <v>657.9554119999998</v>
      </c>
      <c r="AQ37" s="393" t="e">
        <f t="shared" si="15"/>
        <v>#N/A</v>
      </c>
      <c r="AR37" s="393" t="e">
        <f t="shared" si="16"/>
        <v>#N/A</v>
      </c>
      <c r="AT37" s="529" t="s">
        <v>255</v>
      </c>
      <c r="AU37" s="528" t="e">
        <f>VLOOKUP('Project Details'!AT37,DB_STProjectList[[#All],[Subtheme(T)]:[Burn]],29,FALSE)</f>
        <v>#N/A</v>
      </c>
      <c r="AV37" s="532" t="e">
        <f t="shared" ref="AV37:AV47" si="22">AU37/SUM($AU$36:$AU$47)</f>
        <v>#N/A</v>
      </c>
      <c r="AW37" s="264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264"/>
    </row>
    <row r="38" spans="1:64" ht="12.75" customHeight="1" thickTop="1" thickBot="1" x14ac:dyDescent="0.25">
      <c r="A38" s="349"/>
      <c r="B38" s="350">
        <v>32</v>
      </c>
      <c r="C38" s="346"/>
      <c r="D38" s="346" t="str">
        <f t="shared" si="0"/>
        <v/>
      </c>
      <c r="E38" s="346" t="str">
        <f t="shared" si="1"/>
        <v/>
      </c>
      <c r="F38" s="346" t="str">
        <f t="shared" si="2"/>
        <v>1005645 - Project 56</v>
      </c>
      <c r="G38" s="346"/>
      <c r="H38" s="346" t="s">
        <v>76</v>
      </c>
      <c r="I38" s="347">
        <f t="shared" si="5"/>
        <v>1.0688121598189098</v>
      </c>
      <c r="J38" s="159">
        <f t="shared" si="6"/>
        <v>-6.8812159818909813E-2</v>
      </c>
      <c r="K38" s="255"/>
      <c r="L38" s="431">
        <f t="shared" si="3"/>
        <v>-60.17684899999999</v>
      </c>
      <c r="M38" s="513"/>
      <c r="N38" s="521">
        <v>18</v>
      </c>
      <c r="O38" s="227" t="str">
        <f t="shared" si="7"/>
        <v/>
      </c>
      <c r="P38" s="227"/>
      <c r="Q38" s="439" t="str">
        <f t="shared" si="8"/>
        <v/>
      </c>
      <c r="R38" s="439" t="str">
        <f t="shared" si="9"/>
        <v/>
      </c>
      <c r="S38" s="354"/>
      <c r="T38" s="347" t="str">
        <f t="shared" si="21"/>
        <v/>
      </c>
      <c r="U38" s="355" t="str">
        <f t="shared" si="18"/>
        <v/>
      </c>
      <c r="V38" s="227"/>
      <c r="W38" s="440" t="str">
        <f t="shared" si="19"/>
        <v/>
      </c>
      <c r="X38" s="441" t="str">
        <f t="shared" si="20"/>
        <v/>
      </c>
      <c r="Y38" s="74"/>
      <c r="Z38" s="439" t="str">
        <f t="shared" si="10"/>
        <v/>
      </c>
      <c r="AA38" s="439" t="str">
        <f t="shared" si="11"/>
        <v/>
      </c>
      <c r="AB38" s="356" t="str">
        <f t="shared" si="12"/>
        <v/>
      </c>
      <c r="AC38" s="355"/>
      <c r="AD38" s="119"/>
      <c r="AE38" s="357" t="str">
        <f t="shared" si="13"/>
        <v/>
      </c>
      <c r="AF38" s="357" t="str">
        <f t="shared" si="14"/>
        <v/>
      </c>
      <c r="AG38" s="346"/>
      <c r="AH38" s="96"/>
      <c r="AI38" s="131"/>
      <c r="AJ38" s="113"/>
      <c r="AM38" s="393">
        <f t="shared" si="4"/>
        <v>-6.8812159818909813E-2</v>
      </c>
      <c r="AQ38" s="393" t="e">
        <f t="shared" si="15"/>
        <v>#N/A</v>
      </c>
      <c r="AR38" s="393" t="e">
        <f t="shared" si="16"/>
        <v>#N/A</v>
      </c>
      <c r="AT38" s="529" t="s">
        <v>254</v>
      </c>
      <c r="AU38" s="528" t="e">
        <f>VLOOKUP('Project Details'!AT38,DB_STProjectList[[#All],[Subtheme(T)]:[Burn]],29,FALSE)</f>
        <v>#N/A</v>
      </c>
      <c r="AV38" s="532" t="e">
        <f t="shared" si="22"/>
        <v>#N/A</v>
      </c>
      <c r="AW38" s="264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264"/>
    </row>
    <row r="39" spans="1:64" ht="12.75" customHeight="1" thickTop="1" thickBot="1" x14ac:dyDescent="0.25">
      <c r="A39" s="324"/>
      <c r="B39" s="315">
        <v>33</v>
      </c>
      <c r="C39" s="12"/>
      <c r="D39" s="12" t="str">
        <f t="shared" si="0"/>
        <v/>
      </c>
      <c r="E39" s="12" t="str">
        <f t="shared" si="1"/>
        <v/>
      </c>
      <c r="F39" s="12" t="str">
        <f t="shared" si="2"/>
        <v>1008571 - Project 55</v>
      </c>
      <c r="G39" s="12"/>
      <c r="H39" s="12" t="s">
        <v>76</v>
      </c>
      <c r="I39" s="290">
        <f t="shared" si="5"/>
        <v>0.15430410297666963</v>
      </c>
      <c r="J39" s="219">
        <f t="shared" si="6"/>
        <v>1.1543041029766696</v>
      </c>
      <c r="K39" s="258"/>
      <c r="L39" s="231">
        <f t="shared" si="3"/>
        <v>0.17262000000000022</v>
      </c>
      <c r="M39" s="512"/>
      <c r="N39" s="522">
        <v>19</v>
      </c>
      <c r="O39" s="84" t="str">
        <f t="shared" si="7"/>
        <v/>
      </c>
      <c r="P39" s="84"/>
      <c r="Q39" s="426" t="str">
        <f t="shared" si="8"/>
        <v/>
      </c>
      <c r="R39" s="426" t="str">
        <f t="shared" si="9"/>
        <v/>
      </c>
      <c r="S39" s="317"/>
      <c r="T39" s="290" t="str">
        <f t="shared" si="21"/>
        <v/>
      </c>
      <c r="U39" s="44" t="str">
        <f t="shared" si="18"/>
        <v/>
      </c>
      <c r="V39" s="84"/>
      <c r="W39" s="440" t="str">
        <f t="shared" si="19"/>
        <v/>
      </c>
      <c r="X39" s="442" t="str">
        <f t="shared" si="20"/>
        <v/>
      </c>
      <c r="Y39" s="74"/>
      <c r="Z39" s="426" t="str">
        <f t="shared" si="10"/>
        <v/>
      </c>
      <c r="AA39" s="426" t="str">
        <f t="shared" si="11"/>
        <v/>
      </c>
      <c r="AB39" s="308" t="str">
        <f t="shared" si="12"/>
        <v/>
      </c>
      <c r="AC39" s="44"/>
      <c r="AD39" s="119"/>
      <c r="AE39" s="318" t="str">
        <f t="shared" si="13"/>
        <v/>
      </c>
      <c r="AF39" s="318" t="str">
        <f t="shared" si="14"/>
        <v/>
      </c>
      <c r="AG39" s="12"/>
      <c r="AH39" s="96"/>
      <c r="AI39" s="131"/>
      <c r="AJ39" s="113"/>
      <c r="AM39" s="393">
        <f t="shared" si="4"/>
        <v>1.1543041029766696</v>
      </c>
      <c r="AQ39" s="393" t="e">
        <f t="shared" si="15"/>
        <v>#N/A</v>
      </c>
      <c r="AR39" s="393" t="e">
        <f t="shared" si="16"/>
        <v>#N/A</v>
      </c>
      <c r="AT39" s="527" t="s">
        <v>253</v>
      </c>
      <c r="AU39" s="528" t="e">
        <f>VLOOKUP('Project Details'!AT39,DB_STProjectList[[#All],[Subtheme(T)]:[Burn]],29,FALSE)</f>
        <v>#N/A</v>
      </c>
      <c r="AV39" s="532" t="e">
        <f t="shared" si="22"/>
        <v>#N/A</v>
      </c>
      <c r="AW39" s="264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264"/>
    </row>
    <row r="40" spans="1:64" ht="12.75" customHeight="1" thickTop="1" thickBot="1" x14ac:dyDescent="0.25">
      <c r="A40" s="349"/>
      <c r="B40" s="350">
        <v>34</v>
      </c>
      <c r="C40" s="346"/>
      <c r="D40" s="346" t="str">
        <f t="shared" si="0"/>
        <v/>
      </c>
      <c r="E40" s="346" t="str">
        <f t="shared" si="1"/>
        <v/>
      </c>
      <c r="F40" s="346" t="str">
        <f t="shared" si="2"/>
        <v>1009741 - Project 30</v>
      </c>
      <c r="G40" s="346"/>
      <c r="H40" s="346" t="s">
        <v>76</v>
      </c>
      <c r="I40" s="347">
        <f t="shared" si="5"/>
        <v>0.32094885832887599</v>
      </c>
      <c r="J40" s="159">
        <f t="shared" si="6"/>
        <v>1.320948858328876</v>
      </c>
      <c r="K40" s="255"/>
      <c r="L40" s="431">
        <f t="shared" si="3"/>
        <v>264.26906400000018</v>
      </c>
      <c r="M40" s="513"/>
      <c r="N40" s="521">
        <v>20</v>
      </c>
      <c r="O40" s="227" t="str">
        <f t="shared" si="7"/>
        <v/>
      </c>
      <c r="P40" s="227"/>
      <c r="Q40" s="439" t="str">
        <f t="shared" si="8"/>
        <v/>
      </c>
      <c r="R40" s="439" t="str">
        <f t="shared" si="9"/>
        <v/>
      </c>
      <c r="S40" s="354"/>
      <c r="T40" s="347" t="str">
        <f t="shared" si="21"/>
        <v/>
      </c>
      <c r="U40" s="355" t="str">
        <f t="shared" si="18"/>
        <v/>
      </c>
      <c r="V40" s="227"/>
      <c r="W40" s="440" t="str">
        <f t="shared" si="19"/>
        <v/>
      </c>
      <c r="X40" s="441" t="str">
        <f t="shared" si="20"/>
        <v/>
      </c>
      <c r="Y40" s="74"/>
      <c r="Z40" s="439" t="str">
        <f t="shared" si="10"/>
        <v/>
      </c>
      <c r="AA40" s="439" t="str">
        <f t="shared" si="11"/>
        <v/>
      </c>
      <c r="AB40" s="356" t="str">
        <f t="shared" si="12"/>
        <v/>
      </c>
      <c r="AC40" s="355"/>
      <c r="AD40" s="119"/>
      <c r="AE40" s="357" t="str">
        <f t="shared" si="13"/>
        <v/>
      </c>
      <c r="AF40" s="357" t="str">
        <f t="shared" si="14"/>
        <v/>
      </c>
      <c r="AG40" s="346"/>
      <c r="AH40" s="96"/>
      <c r="AI40" s="131"/>
      <c r="AJ40" s="113"/>
      <c r="AM40" s="393">
        <f t="shared" si="4"/>
        <v>1.320948858328876</v>
      </c>
      <c r="AQ40" s="393" t="e">
        <f t="shared" si="15"/>
        <v>#N/A</v>
      </c>
      <c r="AR40" s="393" t="e">
        <f t="shared" si="16"/>
        <v>#N/A</v>
      </c>
      <c r="AT40" s="529" t="s">
        <v>252</v>
      </c>
      <c r="AU40" s="528" t="e">
        <f>VLOOKUP('Project Details'!AT40,DB_STProjectList[[#All],[Subtheme(T)]:[Burn]],29,FALSE)</f>
        <v>#N/A</v>
      </c>
      <c r="AV40" s="532" t="e">
        <f t="shared" si="22"/>
        <v>#N/A</v>
      </c>
      <c r="AW40" s="264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264"/>
    </row>
    <row r="41" spans="1:64" ht="12.75" customHeight="1" thickTop="1" thickBot="1" x14ac:dyDescent="0.25">
      <c r="A41" s="324"/>
      <c r="B41" s="315">
        <v>35</v>
      </c>
      <c r="C41" s="12"/>
      <c r="D41" s="12" t="str">
        <f t="shared" si="0"/>
        <v/>
      </c>
      <c r="E41" s="12" t="str">
        <f t="shared" si="1"/>
        <v/>
      </c>
      <c r="F41" s="12" t="str">
        <f t="shared" si="2"/>
        <v>1009863 - Project 59</v>
      </c>
      <c r="G41" s="12"/>
      <c r="H41" s="12" t="s">
        <v>76</v>
      </c>
      <c r="I41" s="290">
        <f t="shared" ref="I41" si="23">IF(ISERROR(AM41),"",IF(AM41=1.000011000011,"ß",ABS(AM41-1)))</f>
        <v>1.6666686785631031</v>
      </c>
      <c r="J41" s="219">
        <f t="shared" ref="J41" si="24">IF(ISERROR(AM41),"",AM41)</f>
        <v>2.6666686785631031</v>
      </c>
      <c r="K41" s="258"/>
      <c r="L41" s="231">
        <f t="shared" si="3"/>
        <v>131.992816</v>
      </c>
      <c r="M41" s="512"/>
      <c r="N41" s="523">
        <v>21</v>
      </c>
      <c r="O41" s="325" t="str">
        <f t="shared" si="7"/>
        <v/>
      </c>
      <c r="P41" s="325"/>
      <c r="Q41" s="326" t="str">
        <f t="shared" si="8"/>
        <v/>
      </c>
      <c r="R41" s="326" t="str">
        <f t="shared" si="9"/>
        <v/>
      </c>
      <c r="S41" s="327"/>
      <c r="T41" s="328" t="str">
        <f t="shared" si="21"/>
        <v/>
      </c>
      <c r="U41" s="329" t="str">
        <f t="shared" si="18"/>
        <v/>
      </c>
      <c r="V41" s="325"/>
      <c r="W41" s="330" t="str">
        <f t="shared" si="19"/>
        <v/>
      </c>
      <c r="X41" s="353" t="str">
        <f t="shared" si="20"/>
        <v/>
      </c>
      <c r="Y41" s="509"/>
      <c r="Z41" s="326" t="str">
        <f t="shared" si="10"/>
        <v/>
      </c>
      <c r="AA41" s="326" t="str">
        <f t="shared" si="11"/>
        <v/>
      </c>
      <c r="AB41" s="331" t="str">
        <f t="shared" si="12"/>
        <v/>
      </c>
      <c r="AC41" s="329"/>
      <c r="AD41" s="510"/>
      <c r="AE41" s="332" t="str">
        <f t="shared" si="13"/>
        <v/>
      </c>
      <c r="AF41" s="332" t="str">
        <f t="shared" si="14"/>
        <v/>
      </c>
      <c r="AG41" s="101"/>
      <c r="AH41" s="344"/>
      <c r="AI41" s="132"/>
      <c r="AJ41" s="345"/>
      <c r="AM41" s="393">
        <f t="shared" si="4"/>
        <v>2.6666686785631031</v>
      </c>
      <c r="AQ41" s="393" t="e">
        <f t="shared" si="15"/>
        <v>#N/A</v>
      </c>
      <c r="AR41" s="393" t="e">
        <f t="shared" si="16"/>
        <v>#N/A</v>
      </c>
      <c r="AT41" s="527" t="s">
        <v>244</v>
      </c>
      <c r="AU41" s="528" t="e">
        <f>VLOOKUP('Project Details'!AT41,DB_STProjectList[[#All],[Subtheme(T)]:[Burn]],29,FALSE)</f>
        <v>#N/A</v>
      </c>
      <c r="AV41" s="532" t="e">
        <f t="shared" si="22"/>
        <v>#N/A</v>
      </c>
      <c r="AW41" s="264"/>
      <c r="AX41" s="101"/>
      <c r="AY41" s="101"/>
      <c r="AZ41" s="101"/>
      <c r="BA41" s="101"/>
      <c r="BB41" s="101"/>
      <c r="BC41" s="101"/>
      <c r="BD41" s="101"/>
      <c r="BE41" s="101"/>
      <c r="BF41" s="101"/>
      <c r="BG41" s="101"/>
      <c r="BH41" s="101"/>
      <c r="BI41" s="101"/>
      <c r="BJ41" s="101"/>
      <c r="BK41" s="101"/>
      <c r="BL41" s="320"/>
    </row>
    <row r="42" spans="1:64" ht="12" customHeight="1" x14ac:dyDescent="0.2">
      <c r="A42" s="90"/>
      <c r="B42" s="252"/>
      <c r="C42" s="209"/>
      <c r="D42" s="242" t="s">
        <v>152</v>
      </c>
      <c r="E42" s="260"/>
      <c r="F42" s="260"/>
      <c r="G42" s="49"/>
      <c r="H42" s="49"/>
      <c r="I42" s="241" t="s">
        <v>31</v>
      </c>
      <c r="J42" s="49"/>
      <c r="K42" s="49"/>
      <c r="L42" s="49"/>
      <c r="M42" s="511"/>
      <c r="N42" s="524"/>
      <c r="O42" s="181"/>
      <c r="P42" s="311" t="s">
        <v>152</v>
      </c>
      <c r="Q42" s="260"/>
      <c r="R42" s="181"/>
      <c r="S42" s="181"/>
      <c r="T42" s="181"/>
      <c r="U42" s="181"/>
      <c r="V42" s="241" t="s">
        <v>31</v>
      </c>
      <c r="W42" s="49"/>
      <c r="X42" s="181"/>
      <c r="Y42" s="181"/>
      <c r="Z42" s="181"/>
      <c r="AA42" s="181"/>
      <c r="AB42" s="181"/>
      <c r="AC42" s="321"/>
      <c r="AD42" s="321"/>
      <c r="AE42" s="322"/>
      <c r="AF42" s="322"/>
      <c r="AG42" s="181"/>
      <c r="AH42" s="181"/>
      <c r="AI42" s="181"/>
      <c r="AJ42" s="313"/>
      <c r="AT42" s="529" t="s">
        <v>246</v>
      </c>
      <c r="AU42" s="528" t="e">
        <f>VLOOKUP('Project Details'!AT42,DB_STProjectList[[#All],[Subtheme(T)]:[Burn]],29,FALSE)</f>
        <v>#N/A</v>
      </c>
      <c r="AV42" s="532" t="e">
        <f t="shared" si="22"/>
        <v>#N/A</v>
      </c>
    </row>
    <row r="43" spans="1:64" ht="12" customHeight="1" x14ac:dyDescent="0.2">
      <c r="A43" s="97"/>
      <c r="B43" s="253"/>
      <c r="C43" s="131"/>
      <c r="D43" s="269">
        <v>1</v>
      </c>
      <c r="E43" s="13" t="str">
        <f>"between "&amp;$AS$10*100&amp;"% and "&amp;$AR$10*100&amp;"%"</f>
        <v>between 80% and 120%</v>
      </c>
      <c r="F43" s="13"/>
      <c r="G43" s="13"/>
      <c r="H43" s="13"/>
      <c r="I43" s="79" t="s">
        <v>213</v>
      </c>
      <c r="J43" s="13">
        <v>10</v>
      </c>
      <c r="K43" s="13"/>
      <c r="L43" s="13" t="s">
        <v>76</v>
      </c>
      <c r="M43" s="512"/>
      <c r="N43" s="525"/>
      <c r="O43" s="310">
        <v>1</v>
      </c>
      <c r="P43" s="13" t="str">
        <f>"between "&amp;$AS$10*100&amp;"% and "&amp;$AR$10*100&amp;"%"</f>
        <v>between 80% and 120%</v>
      </c>
      <c r="Q43" s="13"/>
      <c r="R43" s="12"/>
      <c r="S43" s="12"/>
      <c r="T43" s="12"/>
      <c r="U43" s="12"/>
      <c r="V43" s="79" t="s">
        <v>213</v>
      </c>
      <c r="W43" s="13"/>
      <c r="X43" s="199">
        <v>10</v>
      </c>
      <c r="Y43" s="12"/>
      <c r="Z43" s="12"/>
      <c r="AA43" s="12"/>
      <c r="AB43" s="12"/>
      <c r="AC43" s="119"/>
      <c r="AD43" s="119"/>
      <c r="AE43" s="591" t="s">
        <v>303</v>
      </c>
      <c r="AF43" s="591"/>
      <c r="AG43" s="12"/>
      <c r="AH43" s="12"/>
      <c r="AI43" s="12"/>
      <c r="AJ43" s="264"/>
      <c r="AT43" s="527" t="s">
        <v>251</v>
      </c>
      <c r="AU43" s="528" t="e">
        <f>VLOOKUP('Project Details'!AT43,DB_STProjectList[[#All],[Subtheme(T)]:[Burn]],29,FALSE)</f>
        <v>#N/A</v>
      </c>
      <c r="AV43" s="532" t="e">
        <f t="shared" si="22"/>
        <v>#N/A</v>
      </c>
    </row>
    <row r="44" spans="1:64" ht="12" customHeight="1" x14ac:dyDescent="0.2">
      <c r="A44" s="97"/>
      <c r="B44" s="253"/>
      <c r="C44" s="243"/>
      <c r="D44" s="269">
        <v>1.2</v>
      </c>
      <c r="E44" s="13" t="str">
        <f>"between "&amp;$AS$9*100&amp;"-"&amp;$AS$10*100&amp;"% or "&amp;$AR$10*100&amp;"-"&amp;$AR$9*100&amp;"%"</f>
        <v>between 50-80% or 120-150%</v>
      </c>
      <c r="F44" s="203"/>
      <c r="G44" s="13"/>
      <c r="H44" s="203"/>
      <c r="I44" s="239"/>
      <c r="J44" s="13">
        <v>5</v>
      </c>
      <c r="K44" s="203"/>
      <c r="L44" s="13" t="s">
        <v>76</v>
      </c>
      <c r="M44" s="512"/>
      <c r="N44" s="525"/>
      <c r="O44" s="310">
        <v>1.2</v>
      </c>
      <c r="P44" s="13" t="str">
        <f>"between "&amp;$AS$9*100&amp;"-"&amp;$AS$10*100&amp;"% or "&amp;$AR$10*100&amp;"-"&amp;$AR$9*100&amp;"%"</f>
        <v>between 50-80% or 120-150%</v>
      </c>
      <c r="Q44" s="203"/>
      <c r="R44" s="12"/>
      <c r="S44" s="12"/>
      <c r="T44" s="12"/>
      <c r="U44" s="12"/>
      <c r="V44" s="239"/>
      <c r="W44" s="13"/>
      <c r="X44" s="199">
        <v>5</v>
      </c>
      <c r="Y44" s="12"/>
      <c r="Z44" s="12"/>
      <c r="AA44" s="12"/>
      <c r="AB44" s="12"/>
      <c r="AC44" s="119"/>
      <c r="AD44" s="119"/>
      <c r="AE44" s="591"/>
      <c r="AF44" s="591"/>
      <c r="AG44" s="12"/>
      <c r="AH44" s="12"/>
      <c r="AI44" s="12"/>
      <c r="AJ44" s="264"/>
      <c r="AT44" s="529" t="s">
        <v>250</v>
      </c>
      <c r="AU44" s="528" t="e">
        <f>VLOOKUP('Project Details'!AT44,DB_STProjectList[[#All],[Subtheme(T)]:[Burn]],29,FALSE)</f>
        <v>#N/A</v>
      </c>
      <c r="AV44" s="532" t="e">
        <f t="shared" si="22"/>
        <v>#N/A</v>
      </c>
    </row>
    <row r="45" spans="1:64" ht="12" customHeight="1" thickBot="1" x14ac:dyDescent="0.25">
      <c r="A45" s="97"/>
      <c r="B45" s="243"/>
      <c r="C45" s="243"/>
      <c r="D45" s="269">
        <v>1.5</v>
      </c>
      <c r="E45" s="13" t="str">
        <f>"&lt;"&amp;$AS$9*100&amp;"% or &gt;"&amp;$AR$9*100&amp;"%"</f>
        <v>&lt;50% or &gt;150%</v>
      </c>
      <c r="F45" s="203"/>
      <c r="G45" s="13"/>
      <c r="H45" s="203"/>
      <c r="I45" s="239" t="s">
        <v>214</v>
      </c>
      <c r="J45" s="13">
        <v>0</v>
      </c>
      <c r="K45" s="203"/>
      <c r="L45" s="13" t="s">
        <v>76</v>
      </c>
      <c r="M45" s="512"/>
      <c r="N45" s="525"/>
      <c r="O45" s="310">
        <v>1.5</v>
      </c>
      <c r="P45" s="13" t="str">
        <f>"&lt;"&amp;$AS$9*100&amp;"% or &gt;"&amp;$AR$9*100&amp;"%"</f>
        <v>&lt;50% or &gt;150%</v>
      </c>
      <c r="Q45" s="203"/>
      <c r="R45" s="12"/>
      <c r="S45" s="12"/>
      <c r="T45" s="12"/>
      <c r="U45" s="12"/>
      <c r="V45" s="239" t="s">
        <v>214</v>
      </c>
      <c r="W45" s="13"/>
      <c r="X45" s="199"/>
      <c r="Y45" s="12"/>
      <c r="Z45" s="12"/>
      <c r="AA45" s="12"/>
      <c r="AB45" s="12"/>
      <c r="AC45" s="119"/>
      <c r="AD45" s="119"/>
      <c r="AE45" s="319"/>
      <c r="AF45" s="319"/>
      <c r="AG45" s="12"/>
      <c r="AH45" s="12"/>
      <c r="AI45" s="12"/>
      <c r="AJ45" s="264"/>
      <c r="AT45" s="527" t="s">
        <v>248</v>
      </c>
      <c r="AU45" s="528" t="e">
        <f>VLOOKUP('Project Details'!AT45,DB_STProjectList[[#All],[Subtheme(T)]:[Burn]],29,FALSE)</f>
        <v>#N/A</v>
      </c>
      <c r="AV45" s="532" t="e">
        <f t="shared" si="22"/>
        <v>#N/A</v>
      </c>
    </row>
    <row r="46" spans="1:64" ht="12" customHeight="1" thickTop="1" thickBot="1" x14ac:dyDescent="0.25">
      <c r="A46" s="97"/>
      <c r="B46" s="243"/>
      <c r="C46" s="243"/>
      <c r="D46" s="269" t="s">
        <v>216</v>
      </c>
      <c r="E46" s="13" t="s">
        <v>157</v>
      </c>
      <c r="F46" s="203"/>
      <c r="G46" s="13"/>
      <c r="H46" s="203"/>
      <c r="I46" s="239"/>
      <c r="J46" s="13">
        <v>-5</v>
      </c>
      <c r="K46" s="203"/>
      <c r="L46" s="13" t="s">
        <v>76</v>
      </c>
      <c r="M46" s="512"/>
      <c r="N46" s="525"/>
      <c r="O46" s="310" t="s">
        <v>216</v>
      </c>
      <c r="P46" s="13" t="s">
        <v>157</v>
      </c>
      <c r="Q46" s="203"/>
      <c r="R46" s="12"/>
      <c r="S46" s="12"/>
      <c r="T46" s="12"/>
      <c r="U46" s="12"/>
      <c r="V46" s="239"/>
      <c r="W46" s="309">
        <v>-5</v>
      </c>
      <c r="X46" s="199"/>
      <c r="Y46" s="12"/>
      <c r="Z46" s="12"/>
      <c r="AA46" s="12"/>
      <c r="AB46" s="12"/>
      <c r="AC46" s="119"/>
      <c r="AD46" s="119"/>
      <c r="AE46" s="319"/>
      <c r="AF46" s="319"/>
      <c r="AG46" s="12"/>
      <c r="AH46" s="12"/>
      <c r="AI46" s="12"/>
      <c r="AJ46" s="264"/>
      <c r="AT46" s="529" t="s">
        <v>247</v>
      </c>
      <c r="AU46" s="528" t="e">
        <f>VLOOKUP('Project Details'!AT46,DB_STProjectList[[#All],[Subtheme(T)]:[Burn]],29,FALSE)</f>
        <v>#N/A</v>
      </c>
      <c r="AV46" s="532" t="e">
        <f t="shared" si="22"/>
        <v>#N/A</v>
      </c>
    </row>
    <row r="47" spans="1:64" ht="12" customHeight="1" thickTop="1" thickBot="1" x14ac:dyDescent="0.25">
      <c r="A47" s="99"/>
      <c r="B47" s="244"/>
      <c r="C47" s="244"/>
      <c r="D47" s="205"/>
      <c r="E47" s="205"/>
      <c r="F47" s="206"/>
      <c r="G47" s="206"/>
      <c r="H47" s="205"/>
      <c r="I47" s="240" t="s">
        <v>212</v>
      </c>
      <c r="J47" s="60">
        <v>-10</v>
      </c>
      <c r="K47" s="205"/>
      <c r="L47" s="60" t="s">
        <v>76</v>
      </c>
      <c r="M47" s="514"/>
      <c r="N47" s="526"/>
      <c r="O47" s="205"/>
      <c r="P47" s="205"/>
      <c r="Q47" s="206"/>
      <c r="R47" s="101"/>
      <c r="S47" s="101"/>
      <c r="T47" s="101"/>
      <c r="U47" s="101"/>
      <c r="V47" s="240" t="s">
        <v>212</v>
      </c>
      <c r="W47" s="351">
        <v>-10</v>
      </c>
      <c r="X47" s="225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  <c r="AJ47" s="320"/>
      <c r="AT47" s="527" t="s">
        <v>245</v>
      </c>
      <c r="AU47" s="528" t="e">
        <f>VLOOKUP('Project Details'!AT47,DB_STProjectList[[#All],[Subtheme(T)]:[Burn]],29,FALSE)</f>
        <v>#N/A</v>
      </c>
      <c r="AV47" s="532" t="e">
        <f t="shared" si="22"/>
        <v>#N/A</v>
      </c>
    </row>
    <row r="48" spans="1:64" ht="12" customHeight="1" x14ac:dyDescent="0.2">
      <c r="AT48" s="527"/>
      <c r="AU48" s="528"/>
      <c r="AV48" s="528"/>
      <c r="AY48" s="297"/>
    </row>
  </sheetData>
  <sheetProtection formatCells="0" formatColumns="0" formatRows="0" insertColumns="0" insertRows="0" insertHyperlinks="0" deleteColumns="0" deleteRows="0" sort="0" autoFilter="0" pivotTables="0"/>
  <mergeCells count="8">
    <mergeCell ref="T5:AB5"/>
    <mergeCell ref="T4:AB4"/>
    <mergeCell ref="AE43:AF44"/>
    <mergeCell ref="U6:AB12"/>
    <mergeCell ref="AI15:AJ16"/>
    <mergeCell ref="R18:U18"/>
    <mergeCell ref="W19:X19"/>
    <mergeCell ref="Z18:AB18"/>
  </mergeCells>
  <conditionalFormatting sqref="J6:J41">
    <cfRule type="cellIs" dxfId="42" priority="30" operator="equal">
      <formula>1.000011000011</formula>
    </cfRule>
  </conditionalFormatting>
  <conditionalFormatting sqref="AB20:AD41">
    <cfRule type="cellIs" dxfId="41" priority="14" stopIfTrue="1" operator="equal">
      <formula>1.000011000011</formula>
    </cfRule>
  </conditionalFormatting>
  <conditionalFormatting sqref="W20:W41">
    <cfRule type="cellIs" dxfId="40" priority="18" stopIfTrue="1" operator="equal">
      <formula>0</formula>
    </cfRule>
    <cfRule type="containsBlanks" dxfId="39" priority="19" stopIfTrue="1">
      <formula>LEN(TRIM(W20))=0</formula>
    </cfRule>
    <cfRule type="dataBar" priority="20">
      <dataBar>
        <cfvo type="num" val="-$AR$16"/>
        <cfvo type="num" val="0"/>
        <color theme="0"/>
      </dataBar>
      <extLst>
        <ext xmlns:x14="http://schemas.microsoft.com/office/spreadsheetml/2009/9/main" uri="{B025F937-C7B1-47D3-B67F-A62EFF666E3E}">
          <x14:id>{8D3DC748-3866-4997-B7E9-15C47CED0956}</x14:id>
        </ext>
      </extLst>
    </cfRule>
  </conditionalFormatting>
  <conditionalFormatting sqref="X20:X41">
    <cfRule type="cellIs" dxfId="38" priority="15" stopIfTrue="1" operator="equal">
      <formula>0</formula>
    </cfRule>
    <cfRule type="containsBlanks" dxfId="37" priority="16" stopIfTrue="1">
      <formula>LEN(TRIM(X20))=0</formula>
    </cfRule>
    <cfRule type="dataBar" priority="17">
      <dataBar>
        <cfvo type="num" val="0"/>
        <cfvo type="num" val="$AR$16"/>
        <color rgb="FFFF0000"/>
      </dataBar>
      <extLst>
        <ext xmlns:x14="http://schemas.microsoft.com/office/spreadsheetml/2009/9/main" uri="{B025F937-C7B1-47D3-B67F-A62EFF666E3E}">
          <x14:id>{E9B8A2E0-3C4E-4D15-AF3F-E88D9BA785D2}</x14:id>
        </ext>
      </extLst>
    </cfRule>
  </conditionalFormatting>
  <conditionalFormatting sqref="AB20:AC41">
    <cfRule type="containsBlanks" dxfId="36" priority="13" stopIfTrue="1">
      <formula>LEN(TRIM(AB20))=0</formula>
    </cfRule>
    <cfRule type="dataBar" priority="2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{F246C5FA-E2FB-4835-91EE-9492D7C3A58F}</x14:id>
        </ext>
      </extLst>
    </cfRule>
  </conditionalFormatting>
  <conditionalFormatting sqref="U20:U41">
    <cfRule type="cellIs" dxfId="35" priority="12" operator="equal">
      <formula>1.000011000011</formula>
    </cfRule>
  </conditionalFormatting>
  <conditionalFormatting sqref="AK5:AL5">
    <cfRule type="expression" dxfId="34" priority="208">
      <formula>$AR$5="X"</formula>
    </cfRule>
  </conditionalFormatting>
  <conditionalFormatting sqref="AE20:AF41">
    <cfRule type="cellIs" dxfId="33" priority="11" operator="between">
      <formula>TODAY()</formula>
      <formula>TODAY()+90</formula>
    </cfRule>
  </conditionalFormatting>
  <conditionalFormatting sqref="L6:L41">
    <cfRule type="containsBlanks" dxfId="32" priority="232" stopIfTrue="1">
      <formula>LEN(TRIM(L6))=0</formula>
    </cfRule>
    <cfRule type="cellIs" dxfId="31" priority="233" stopIfTrue="1" operator="equal">
      <formula>0</formula>
    </cfRule>
    <cfRule type="colorScale" priority="234">
      <colorScale>
        <cfvo type="num" val="$AO$36"/>
        <cfvo type="num" val="0"/>
        <cfvo type="num" val="$AO$37"/>
        <color rgb="FF5A8AC6"/>
        <color rgb="FFFCFCFF"/>
        <color rgb="FFF8696B"/>
      </colorScale>
    </cfRule>
  </conditionalFormatting>
  <conditionalFormatting sqref="J43:J47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3:F45">
    <cfRule type="iconSet" priority="8">
      <iconSet showValue="0" reverse="1">
        <cfvo type="percent" val="0"/>
        <cfvo type="num" val="1.2"/>
        <cfvo type="num" val="1.5"/>
      </iconSet>
    </cfRule>
  </conditionalFormatting>
  <conditionalFormatting sqref="D43:D45">
    <cfRule type="iconSet" priority="7">
      <iconSet showValue="0" reverse="1">
        <cfvo type="percent" val="0"/>
        <cfvo type="num" val="1.2"/>
        <cfvo type="num" val="1.5"/>
      </iconSet>
    </cfRule>
  </conditionalFormatting>
  <conditionalFormatting sqref="I6:I41">
    <cfRule type="iconSet" priority="235">
      <iconSet showValue="0" reverse="1">
        <cfvo type="percent" val="0"/>
        <cfvo type="num" val="0.2"/>
        <cfvo type="num" val="0.5"/>
      </iconSet>
    </cfRule>
  </conditionalFormatting>
  <conditionalFormatting sqref="T20:T41">
    <cfRule type="iconSet" priority="236">
      <iconSet showValue="0" reverse="1">
        <cfvo type="percent" val="0"/>
        <cfvo type="num" val="0.2"/>
        <cfvo type="num" val="0.5"/>
      </iconSet>
    </cfRule>
  </conditionalFormatting>
  <conditionalFormatting sqref="Q43:Q45">
    <cfRule type="iconSet" priority="5">
      <iconSet showValue="0" reverse="1">
        <cfvo type="percent" val="0"/>
        <cfvo type="num" val="1.2"/>
        <cfvo type="num" val="1.5"/>
      </iconSet>
    </cfRule>
  </conditionalFormatting>
  <conditionalFormatting sqref="O43:O45">
    <cfRule type="iconSet" priority="4">
      <iconSet showValue="0" reverse="1">
        <cfvo type="percent" val="0"/>
        <cfvo type="num" val="1.2"/>
        <cfvo type="num" val="1.5"/>
      </iconSet>
    </cfRule>
  </conditionalFormatting>
  <conditionalFormatting sqref="X43:X47">
    <cfRule type="dataBar" priority="2">
      <dataBar>
        <cfvo type="num" val="0"/>
        <cfvo type="max"/>
        <color rgb="FFFF0000"/>
      </dataBar>
      <extLst>
        <ext xmlns:x14="http://schemas.microsoft.com/office/spreadsheetml/2009/9/main" uri="{B025F937-C7B1-47D3-B67F-A62EFF666E3E}">
          <x14:id>{D6486CE3-AA41-4B80-8318-92BB5F884983}</x14:id>
        </ext>
      </extLst>
    </cfRule>
  </conditionalFormatting>
  <conditionalFormatting sqref="W43:W47">
    <cfRule type="dataBar" priority="1">
      <dataBar>
        <cfvo type="min"/>
        <cfvo type="num" val="0"/>
        <color theme="0"/>
      </dataBar>
      <extLst>
        <ext xmlns:x14="http://schemas.microsoft.com/office/spreadsheetml/2009/9/main" uri="{B025F937-C7B1-47D3-B67F-A62EFF666E3E}">
          <x14:id>{780A0380-C8E3-4C8D-AC5F-269D818E8B7F}</x14:id>
        </ext>
      </extLst>
    </cfRule>
  </conditionalFormatting>
  <pageMargins left="0.25" right="0.25" top="0.31" bottom="0.3" header="0.3" footer="0.3"/>
  <pageSetup orientation="landscape"/>
  <colBreaks count="1" manualBreakCount="1">
    <brk id="13" max="1048575" man="1"/>
  </colBreaks>
  <drawing r:id="rId1"/>
  <legacyDrawing r:id="rId2"/>
  <controls>
    <mc:AlternateContent xmlns:mc="http://schemas.openxmlformats.org/markup-compatibility/2006">
      <mc:Choice Requires="x14">
        <control shapeId="14483" r:id="rId3" name="ComboBox1">
          <controlPr defaultSize="0" autoLine="0" linkedCell="valTheme" listFillRange="ThemeList" r:id="rId4">
            <anchor moveWithCells="1">
              <from>
                <xdr:col>4</xdr:col>
                <xdr:colOff>752475</xdr:colOff>
                <xdr:row>1</xdr:row>
                <xdr:rowOff>9525</xdr:rowOff>
              </from>
              <to>
                <xdr:col>6</xdr:col>
                <xdr:colOff>371475</xdr:colOff>
                <xdr:row>3</xdr:row>
                <xdr:rowOff>9525</xdr:rowOff>
              </to>
            </anchor>
          </controlPr>
        </control>
      </mc:Choice>
      <mc:Fallback>
        <control shapeId="14483" r:id="rId3" name="ComboBox1"/>
      </mc:Fallback>
    </mc:AlternateContent>
    <mc:AlternateContent xmlns:mc="http://schemas.openxmlformats.org/markup-compatibility/2006">
      <mc:Choice Requires="x14">
        <control shapeId="14337" r:id="rId5" name="Scroll Bar 1">
          <controlPr defaultSize="0" autoPict="0">
            <anchor moveWithCells="1">
              <from>
                <xdr:col>0</xdr:col>
                <xdr:colOff>28575</xdr:colOff>
                <xdr:row>5</xdr:row>
                <xdr:rowOff>0</xdr:rowOff>
              </from>
              <to>
                <xdr:col>1</xdr:col>
                <xdr:colOff>28575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9" r:id="rId6" name="Check Box 3">
          <controlPr defaultSize="0" autoFill="0" autoLine="0" autoPict="0" altText="Show cumulative">
            <anchor moveWithCells="1">
              <from>
                <xdr:col>15</xdr:col>
                <xdr:colOff>352425</xdr:colOff>
                <xdr:row>1</xdr:row>
                <xdr:rowOff>38100</xdr:rowOff>
              </from>
              <to>
                <xdr:col>16</xdr:col>
                <xdr:colOff>123825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0" r:id="rId7" name="Scroll Bar 4">
          <controlPr defaultSize="0" autoPict="0">
            <anchor moveWithCells="1">
              <from>
                <xdr:col>13</xdr:col>
                <xdr:colOff>47625</xdr:colOff>
                <xdr:row>19</xdr:row>
                <xdr:rowOff>0</xdr:rowOff>
              </from>
              <to>
                <xdr:col>13</xdr:col>
                <xdr:colOff>219075</xdr:colOff>
                <xdr:row>40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1" r:id="rId8" name="Check Box 5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21</xdr:row>
                <xdr:rowOff>76200</xdr:rowOff>
              </from>
              <to>
                <xdr:col>34</xdr:col>
                <xdr:colOff>447675</xdr:colOff>
                <xdr:row>22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2" r:id="rId9" name="Check Box 6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23</xdr:row>
                <xdr:rowOff>28575</xdr:rowOff>
              </from>
              <to>
                <xdr:col>34</xdr:col>
                <xdr:colOff>447675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3" r:id="rId10" name="Check Box 7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24</xdr:row>
                <xdr:rowOff>133350</xdr:rowOff>
              </from>
              <to>
                <xdr:col>34</xdr:col>
                <xdr:colOff>447675</xdr:colOff>
                <xdr:row>25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4" r:id="rId11" name="Check Box 8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26</xdr:row>
                <xdr:rowOff>57150</xdr:rowOff>
              </from>
              <to>
                <xdr:col>34</xdr:col>
                <xdr:colOff>447675</xdr:colOff>
                <xdr:row>27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5" r:id="rId12" name="Check Box 9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28</xdr:row>
                <xdr:rowOff>0</xdr:rowOff>
              </from>
              <to>
                <xdr:col>34</xdr:col>
                <xdr:colOff>447675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6" r:id="rId13" name="Check Box 10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29</xdr:row>
                <xdr:rowOff>104775</xdr:rowOff>
              </from>
              <to>
                <xdr:col>34</xdr:col>
                <xdr:colOff>447675</xdr:colOff>
                <xdr:row>30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7" r:id="rId14" name="Check Box 11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31</xdr:row>
                <xdr:rowOff>28575</xdr:rowOff>
              </from>
              <to>
                <xdr:col>34</xdr:col>
                <xdr:colOff>447675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8" r:id="rId15" name="Check Box 12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32</xdr:row>
                <xdr:rowOff>123825</xdr:rowOff>
              </from>
              <to>
                <xdr:col>34</xdr:col>
                <xdr:colOff>447675</xdr:colOff>
                <xdr:row>33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9" r:id="rId16" name="Check Box 13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34</xdr:row>
                <xdr:rowOff>38100</xdr:rowOff>
              </from>
              <to>
                <xdr:col>34</xdr:col>
                <xdr:colOff>447675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0" r:id="rId17" name="Check Box 14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35</xdr:row>
                <xdr:rowOff>123825</xdr:rowOff>
              </from>
              <to>
                <xdr:col>34</xdr:col>
                <xdr:colOff>447675</xdr:colOff>
                <xdr:row>36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1" r:id="rId18" name="Check Box 15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37</xdr:row>
                <xdr:rowOff>38100</xdr:rowOff>
              </from>
              <to>
                <xdr:col>34</xdr:col>
                <xdr:colOff>447675</xdr:colOff>
                <xdr:row>38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2" r:id="rId19" name="Check Box 16">
          <controlPr defaultSize="0" autoFill="0" autoLine="0" autoPict="0" macro="[0]!ProjectDetailsTables">
            <anchor moveWithCells="1">
              <from>
                <xdr:col>34</xdr:col>
                <xdr:colOff>19050</xdr:colOff>
                <xdr:row>38</xdr:row>
                <xdr:rowOff>123825</xdr:rowOff>
              </from>
              <to>
                <xdr:col>34</xdr:col>
                <xdr:colOff>447675</xdr:colOff>
                <xdr:row>39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3" r:id="rId20" name="Drop Down 17">
          <controlPr defaultSize="0" autoLine="0" autoPict="0" macro="[0]!UnitChange">
            <anchor moveWithCells="1">
              <from>
                <xdr:col>34</xdr:col>
                <xdr:colOff>0</xdr:colOff>
                <xdr:row>17</xdr:row>
                <xdr:rowOff>19050</xdr:rowOff>
              </from>
              <to>
                <xdr:col>48</xdr:col>
                <xdr:colOff>133350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7" r:id="rId21" name="SortSelector2">
          <controlPr defaultSize="0" autoLine="0" autoPict="0" macro="[0]!FilterProjectDetailTable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11</xdr:col>
                <xdr:colOff>19050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82" r:id="rId22" name="Button 46">
          <controlPr defaultSize="0" print="0" autoFill="0" autoPict="0" macro="[0]!ReturnToSummary">
            <anchor moveWithCells="1" sizeWithCells="1">
              <from>
                <xdr:col>30</xdr:col>
                <xdr:colOff>9525</xdr:colOff>
                <xdr:row>14</xdr:row>
                <xdr:rowOff>123825</xdr:rowOff>
              </from>
              <to>
                <xdr:col>31</xdr:col>
                <xdr:colOff>609600</xdr:colOff>
                <xdr:row>16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3DC748-3866-4997-B7E9-15C47CED0956}">
            <x14:dataBar minLength="0" maxLength="100" gradient="0" negativeBarColorSameAsPositive="1" axisPosition="none">
              <x14:cfvo type="num">
                <xm:f>-$AR$16</xm:f>
              </x14:cfvo>
              <x14:cfvo type="num">
                <xm:f>0</xm:f>
              </x14:cfvo>
            </x14:dataBar>
          </x14:cfRule>
          <xm:sqref>W20:W41</xm:sqref>
        </x14:conditionalFormatting>
        <x14:conditionalFormatting xmlns:xm="http://schemas.microsoft.com/office/excel/2006/main">
          <x14:cfRule type="dataBar" id="{E9B8A2E0-3C4E-4D15-AF3F-E88D9BA785D2}">
            <x14:dataBar minLength="0" maxLength="100">
              <x14:cfvo type="num">
                <xm:f>0</xm:f>
              </x14:cfvo>
              <x14:cfvo type="num">
                <xm:f>$AR$16</xm:f>
              </x14:cfvo>
              <x14:negativeFillColor rgb="FFFF0000"/>
              <x14:axisColor rgb="FF000000"/>
            </x14:dataBar>
          </x14:cfRule>
          <xm:sqref>X20:X41</xm:sqref>
        </x14:conditionalFormatting>
        <x14:conditionalFormatting xmlns:xm="http://schemas.microsoft.com/office/excel/2006/main">
          <x14:cfRule type="dataBar" id="{F246C5FA-E2FB-4835-91EE-9492D7C3A58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AB20:AC41</xm:sqref>
        </x14:conditionalFormatting>
        <x14:conditionalFormatting xmlns:xm="http://schemas.microsoft.com/office/excel/2006/main">
          <x14:cfRule type="dataBar" id="{D6486CE3-AA41-4B80-8318-92BB5F884983}">
            <x14:dataBar minLength="0" maxLength="100" gradient="0">
              <x14:cfvo type="num">
                <xm:f>0</xm:f>
              </x14:cfvo>
              <x14:cfvo type="autoMax"/>
              <x14:negativeFillColor rgb="FFFF0000"/>
              <x14:axisColor rgb="FF000000"/>
            </x14:dataBar>
          </x14:cfRule>
          <xm:sqref>X43:X47</xm:sqref>
        </x14:conditionalFormatting>
        <x14:conditionalFormatting xmlns:xm="http://schemas.microsoft.com/office/excel/2006/main">
          <x14:cfRule type="dataBar" id="{780A0380-C8E3-4C8D-AC5F-269D818E8B7F}">
            <x14:dataBar minLength="0" maxLength="100" gradient="0" negativeBarColorSameAsPositive="1" axisPosition="none">
              <x14:cfvo type="autoMin"/>
              <x14:cfvo type="num">
                <xm:f>0</xm:f>
              </x14:cfvo>
            </x14:dataBar>
          </x14:cfRule>
          <xm:sqref>W43:W47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I500"/>
  <sheetViews>
    <sheetView workbookViewId="0">
      <selection activeCell="B6" sqref="B6:AI70"/>
    </sheetView>
  </sheetViews>
  <sheetFormatPr defaultRowHeight="12.75" x14ac:dyDescent="0.2"/>
  <cols>
    <col min="2" max="2" width="11.85546875" customWidth="1"/>
    <col min="3" max="3" width="14.85546875" customWidth="1"/>
    <col min="4" max="4" width="18.42578125" customWidth="1"/>
    <col min="5" max="5" width="11" bestFit="1" customWidth="1"/>
    <col min="6" max="6" width="11" customWidth="1"/>
    <col min="7" max="7" width="11" bestFit="1" customWidth="1"/>
    <col min="8" max="8" width="11.5703125" customWidth="1"/>
    <col min="9" max="9" width="11" customWidth="1"/>
    <col min="10" max="10" width="12" bestFit="1" customWidth="1"/>
    <col min="11" max="12" width="11" bestFit="1" customWidth="1"/>
    <col min="13" max="13" width="12" bestFit="1" customWidth="1"/>
    <col min="14" max="15" width="11" bestFit="1" customWidth="1"/>
    <col min="16" max="16" width="12" bestFit="1" customWidth="1"/>
    <col min="17" max="19" width="10" bestFit="1" customWidth="1"/>
    <col min="20" max="20" width="11" bestFit="1" customWidth="1"/>
    <col min="21" max="21" width="10" customWidth="1"/>
    <col min="22" max="22" width="11" bestFit="1" customWidth="1"/>
    <col min="23" max="23" width="9" bestFit="1" customWidth="1"/>
    <col min="24" max="28" width="8.140625" bestFit="1" customWidth="1"/>
    <col min="29" max="29" width="8.42578125" customWidth="1"/>
    <col min="30" max="30" width="12" bestFit="1" customWidth="1"/>
    <col min="31" max="31" width="11" customWidth="1"/>
    <col min="32" max="32" width="12.5703125" customWidth="1"/>
    <col min="33" max="33" width="12.5703125" bestFit="1" customWidth="1"/>
    <col min="34" max="34" width="13.5703125" bestFit="1" customWidth="1"/>
    <col min="35" max="35" width="9.7109375" bestFit="1" customWidth="1"/>
  </cols>
  <sheetData>
    <row r="1" spans="1:35" x14ac:dyDescent="0.2">
      <c r="A1" t="s">
        <v>147</v>
      </c>
      <c r="B1">
        <v>1</v>
      </c>
    </row>
    <row r="4" spans="1:35" x14ac:dyDescent="0.2">
      <c r="E4">
        <f>Selections!$F$9</f>
        <v>1</v>
      </c>
      <c r="F4">
        <f>Selections!$F$10</f>
        <v>1</v>
      </c>
      <c r="G4">
        <f>Selections!$F$11</f>
        <v>1</v>
      </c>
      <c r="H4">
        <f>Selections!$F$12</f>
        <v>1</v>
      </c>
      <c r="I4">
        <f>Selections!$F$13</f>
        <v>1</v>
      </c>
      <c r="J4">
        <f>Selections!$F$14</f>
        <v>1</v>
      </c>
      <c r="K4">
        <f>Selections!$F$15</f>
        <v>0</v>
      </c>
      <c r="L4">
        <f>Selections!$F$16</f>
        <v>0</v>
      </c>
      <c r="M4">
        <f>Selections!$F$17</f>
        <v>0</v>
      </c>
      <c r="N4">
        <f>Selections!$F$18</f>
        <v>0</v>
      </c>
      <c r="O4">
        <f>Selections!$F$19</f>
        <v>0</v>
      </c>
      <c r="P4">
        <f>Selections!$F$20</f>
        <v>0</v>
      </c>
      <c r="Q4">
        <f>Selections!$F$9</f>
        <v>1</v>
      </c>
      <c r="R4">
        <f>Selections!$F$10</f>
        <v>1</v>
      </c>
      <c r="S4">
        <f>Selections!$F$11</f>
        <v>1</v>
      </c>
      <c r="T4">
        <f>Selections!$F$12</f>
        <v>1</v>
      </c>
      <c r="U4">
        <f>Selections!$F$13</f>
        <v>1</v>
      </c>
      <c r="V4">
        <f>Selections!$F$14</f>
        <v>1</v>
      </c>
      <c r="W4">
        <f>Selections!$F$15</f>
        <v>0</v>
      </c>
      <c r="X4">
        <f>Selections!$F$16</f>
        <v>0</v>
      </c>
      <c r="Y4">
        <f>Selections!$F$17</f>
        <v>0</v>
      </c>
      <c r="Z4">
        <f>Selections!$F$18</f>
        <v>0</v>
      </c>
      <c r="AA4">
        <f>Selections!$F$19</f>
        <v>0</v>
      </c>
      <c r="AB4">
        <f>Selections!$F$20</f>
        <v>0</v>
      </c>
    </row>
    <row r="5" spans="1:35" x14ac:dyDescent="0.2">
      <c r="A5" t="s">
        <v>42</v>
      </c>
      <c r="B5" t="s">
        <v>43</v>
      </c>
      <c r="C5" t="s">
        <v>242</v>
      </c>
      <c r="D5" t="s">
        <v>243</v>
      </c>
      <c r="E5" t="s">
        <v>45</v>
      </c>
      <c r="F5" t="s">
        <v>46</v>
      </c>
      <c r="G5" t="s">
        <v>47</v>
      </c>
      <c r="H5" t="s">
        <v>48</v>
      </c>
      <c r="I5" t="s">
        <v>49</v>
      </c>
      <c r="J5" t="s">
        <v>50</v>
      </c>
      <c r="K5" t="s">
        <v>51</v>
      </c>
      <c r="L5" t="s">
        <v>52</v>
      </c>
      <c r="M5" t="s">
        <v>53</v>
      </c>
      <c r="N5" t="s">
        <v>54</v>
      </c>
      <c r="O5" t="s">
        <v>55</v>
      </c>
      <c r="P5" t="s">
        <v>56</v>
      </c>
      <c r="Q5" t="s">
        <v>57</v>
      </c>
      <c r="R5" t="s">
        <v>58</v>
      </c>
      <c r="S5" t="s">
        <v>59</v>
      </c>
      <c r="T5" t="s">
        <v>60</v>
      </c>
      <c r="U5" t="s">
        <v>61</v>
      </c>
      <c r="V5" t="s">
        <v>62</v>
      </c>
      <c r="W5" t="s">
        <v>63</v>
      </c>
      <c r="X5" t="s">
        <v>64</v>
      </c>
      <c r="Y5" t="s">
        <v>65</v>
      </c>
      <c r="Z5" t="s">
        <v>66</v>
      </c>
      <c r="AA5" t="s">
        <v>67</v>
      </c>
      <c r="AB5" t="s">
        <v>68</v>
      </c>
      <c r="AC5" t="s">
        <v>108</v>
      </c>
      <c r="AD5" t="s">
        <v>35</v>
      </c>
      <c r="AE5" t="s">
        <v>34</v>
      </c>
      <c r="AF5" t="s">
        <v>31</v>
      </c>
      <c r="AG5" t="s">
        <v>30</v>
      </c>
      <c r="AH5" t="s">
        <v>256</v>
      </c>
      <c r="AI5" t="s">
        <v>257</v>
      </c>
    </row>
    <row r="6" spans="1:35" x14ac:dyDescent="0.2">
      <c r="A6">
        <f>SUBTOTAL(3,$B$6:B6)</f>
        <v>1</v>
      </c>
      <c r="B6" t="s">
        <v>342</v>
      </c>
      <c r="C6" t="s">
        <v>490</v>
      </c>
      <c r="D6" t="s">
        <v>965</v>
      </c>
      <c r="G6">
        <v>-672.90200000000004</v>
      </c>
      <c r="S6">
        <v>-663.63</v>
      </c>
      <c r="AC6">
        <v>2</v>
      </c>
      <c r="AD6">
        <f>SUMPRODUCT(DB_STProjectList[[#This Row],[Plan01]:[Plan12]],$E$4:$P$4)/valUnits2</f>
        <v>-0.672902</v>
      </c>
      <c r="AE6">
        <f>SUMPRODUCT(DB_STProjectList[[#This Row],[Act01]:[Act12]],$Q$4:$AB$4)/valUnits2</f>
        <v>-0.66362999999999994</v>
      </c>
      <c r="AF6">
        <f>DB_STProjectList[[#This Row],[Actual]]-DB_STProjectList[[#This Row],[Plan]]</f>
        <v>9.272000000000058E-3</v>
      </c>
      <c r="AG6">
        <f>IF(DB_STProjectList[[#This Row],[Plan]]&lt;&gt;0,DB_STProjectList[[#This Row],[Actual]]/DB_STProjectList[[#This Row],[Plan]],1.000011000011)</f>
        <v>0.98622087614541187</v>
      </c>
      <c r="AH6" s="34" t="str">
        <f>IF(B6=B5,"","x")</f>
        <v>x</v>
      </c>
      <c r="AI6" s="34" t="str">
        <f>IF(C6=C5,"","x")</f>
        <v>x</v>
      </c>
    </row>
    <row r="7" spans="1:35" x14ac:dyDescent="0.2">
      <c r="A7">
        <f>SUBTOTAL(3,$B$6:B7)</f>
        <v>2</v>
      </c>
      <c r="B7" t="s">
        <v>342</v>
      </c>
      <c r="C7" t="s">
        <v>490</v>
      </c>
      <c r="D7" t="s">
        <v>969</v>
      </c>
      <c r="E7">
        <v>65766.760000000009</v>
      </c>
      <c r="F7">
        <v>514652.18199999997</v>
      </c>
      <c r="G7">
        <v>73374.673999999985</v>
      </c>
      <c r="H7">
        <v>245683.70400000003</v>
      </c>
      <c r="I7">
        <v>862070.7639999995</v>
      </c>
      <c r="J7">
        <v>411769.67399999982</v>
      </c>
      <c r="K7">
        <v>845590.31500000018</v>
      </c>
      <c r="L7">
        <v>455236.6329999998</v>
      </c>
      <c r="M7">
        <v>729172.94100000011</v>
      </c>
      <c r="N7">
        <v>699693.15400000021</v>
      </c>
      <c r="O7">
        <v>594081.8060000001</v>
      </c>
      <c r="P7">
        <v>868483.57100000011</v>
      </c>
      <c r="Q7">
        <v>55130.33</v>
      </c>
      <c r="R7">
        <v>518725.89999999997</v>
      </c>
      <c r="S7">
        <v>63570.610000000044</v>
      </c>
      <c r="T7">
        <v>235346.51000000004</v>
      </c>
      <c r="U7">
        <v>850292.76000000024</v>
      </c>
      <c r="V7">
        <v>336151.57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f>SUMPRODUCT(DB_STProjectList[[#This Row],[Plan01]:[Plan12]],$E$4:$P$4)/valUnits2</f>
        <v>2173.3177579999992</v>
      </c>
      <c r="AE7">
        <f>SUMPRODUCT(DB_STProjectList[[#This Row],[Act01]:[Act12]],$Q$4:$AB$4)/valUnits2</f>
        <v>2059.2176800000002</v>
      </c>
      <c r="AF7">
        <f>DB_STProjectList[[#This Row],[Actual]]-DB_STProjectList[[#This Row],[Plan]]</f>
        <v>-114.10007799999903</v>
      </c>
      <c r="AG7">
        <f>IF(DB_STProjectList[[#This Row],[Plan]]&lt;&gt;0,DB_STProjectList[[#This Row],[Actual]]/DB_STProjectList[[#This Row],[Plan]],1.000011000011)</f>
        <v>0.94749958786284438</v>
      </c>
      <c r="AH7" s="34" t="str">
        <f>IF(B7=B6,"","x")</f>
        <v/>
      </c>
      <c r="AI7" s="34" t="str">
        <f>IF(C7=C6,"","x")</f>
        <v/>
      </c>
    </row>
    <row r="8" spans="1:35" x14ac:dyDescent="0.2">
      <c r="A8">
        <f>SUBTOTAL(3,$B$6:B8)</f>
        <v>3</v>
      </c>
      <c r="B8" t="s">
        <v>342</v>
      </c>
      <c r="C8" t="s">
        <v>490</v>
      </c>
      <c r="D8" t="s">
        <v>992</v>
      </c>
      <c r="E8">
        <v>2044.96</v>
      </c>
      <c r="F8">
        <v>2208.4100000000003</v>
      </c>
      <c r="G8">
        <v>2607.0700000000002</v>
      </c>
      <c r="H8">
        <v>8851.840000000002</v>
      </c>
      <c r="I8">
        <v>4353.82</v>
      </c>
      <c r="J8">
        <v>2675.0009999999997</v>
      </c>
      <c r="K8">
        <v>2675.0009999999997</v>
      </c>
      <c r="L8">
        <v>3250.0009999999997</v>
      </c>
      <c r="M8">
        <v>2675.0009999999997</v>
      </c>
      <c r="N8">
        <v>2675.0009999999997</v>
      </c>
      <c r="O8">
        <v>2675.0009999999997</v>
      </c>
      <c r="P8">
        <v>2675.0009999999997</v>
      </c>
      <c r="Q8">
        <v>2044.96</v>
      </c>
      <c r="R8">
        <v>2208.41</v>
      </c>
      <c r="S8">
        <v>2800.68</v>
      </c>
      <c r="T8">
        <v>8973.9300000000021</v>
      </c>
      <c r="U8">
        <v>5481.2200000000012</v>
      </c>
      <c r="V8">
        <v>12525.359999999999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f>SUMPRODUCT(DB_STProjectList[[#This Row],[Plan01]:[Plan12]],$E$4:$P$4)/valUnits2</f>
        <v>22.741101000000004</v>
      </c>
      <c r="AE8">
        <f>SUMPRODUCT(DB_STProjectList[[#This Row],[Act01]:[Act12]],$Q$4:$AB$4)/valUnits2</f>
        <v>34.034560000000006</v>
      </c>
      <c r="AF8">
        <f>DB_STProjectList[[#This Row],[Actual]]-DB_STProjectList[[#This Row],[Plan]]</f>
        <v>11.293459000000002</v>
      </c>
      <c r="AG8">
        <f>IF(DB_STProjectList[[#This Row],[Plan]]&lt;&gt;0,DB_STProjectList[[#This Row],[Actual]]/DB_STProjectList[[#This Row],[Plan]],1.000011000011)</f>
        <v>1.4966100366028892</v>
      </c>
      <c r="AH8" s="34" t="str">
        <f>IF(B8=B7,"","x")</f>
        <v/>
      </c>
      <c r="AI8" s="34" t="str">
        <f>IF(C8=C7,"","x")</f>
        <v/>
      </c>
    </row>
    <row r="9" spans="1:35" x14ac:dyDescent="0.2">
      <c r="A9">
        <f>SUBTOTAL(3,$B$6:B9)</f>
        <v>4</v>
      </c>
      <c r="B9" t="s">
        <v>342</v>
      </c>
      <c r="C9" t="s">
        <v>490</v>
      </c>
      <c r="D9" t="s">
        <v>997</v>
      </c>
      <c r="E9">
        <v>14713.720999999992</v>
      </c>
      <c r="F9">
        <v>64875.018999999971</v>
      </c>
      <c r="G9">
        <v>30457.132000000001</v>
      </c>
      <c r="H9">
        <v>19638.601999999999</v>
      </c>
      <c r="I9">
        <v>-33593.120999999985</v>
      </c>
      <c r="J9">
        <v>2163.116</v>
      </c>
      <c r="K9">
        <v>1569.923</v>
      </c>
      <c r="L9">
        <v>1416.6669999999999</v>
      </c>
      <c r="M9">
        <v>1416.6669999999999</v>
      </c>
      <c r="N9">
        <v>1416.6669999999999</v>
      </c>
      <c r="O9">
        <v>1416.6669999999999</v>
      </c>
      <c r="P9">
        <v>1416.6669999999999</v>
      </c>
      <c r="Q9">
        <v>13278.270000000008</v>
      </c>
      <c r="R9">
        <v>65002.159999999967</v>
      </c>
      <c r="S9">
        <v>29389.32</v>
      </c>
      <c r="T9">
        <v>18207.579999999998</v>
      </c>
      <c r="U9">
        <v>-35489.64</v>
      </c>
      <c r="V9">
        <v>4203.3499999999967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2</v>
      </c>
      <c r="AD9">
        <f>SUMPRODUCT(DB_STProjectList[[#This Row],[Plan01]:[Plan12]],$E$4:$P$4)/valUnits2</f>
        <v>98.254468999999972</v>
      </c>
      <c r="AE9">
        <f>SUMPRODUCT(DB_STProjectList[[#This Row],[Act01]:[Act12]],$Q$4:$AB$4)/valUnits2</f>
        <v>94.591039999999964</v>
      </c>
      <c r="AF9">
        <f>DB_STProjectList[[#This Row],[Actual]]-DB_STProjectList[[#This Row],[Plan]]</f>
        <v>-3.6634290000000078</v>
      </c>
      <c r="AG9">
        <f>IF(DB_STProjectList[[#This Row],[Plan]]&lt;&gt;0,DB_STProjectList[[#This Row],[Actual]]/DB_STProjectList[[#This Row],[Plan]],1.000011000011)</f>
        <v>0.96271488679054373</v>
      </c>
      <c r="AH9" s="34" t="str">
        <f>IF(B9=B8,"","x")</f>
        <v/>
      </c>
      <c r="AI9" s="34" t="str">
        <f>IF(C9=C8,"","x")</f>
        <v/>
      </c>
    </row>
    <row r="10" spans="1:35" x14ac:dyDescent="0.2">
      <c r="A10">
        <f>SUBTOTAL(3,$B$6:B10)</f>
        <v>5</v>
      </c>
      <c r="B10" t="s">
        <v>342</v>
      </c>
      <c r="C10" t="s">
        <v>491</v>
      </c>
      <c r="D10" t="s">
        <v>958</v>
      </c>
      <c r="E10">
        <v>84014.687999999951</v>
      </c>
      <c r="F10">
        <v>134799.62800000003</v>
      </c>
      <c r="G10">
        <v>-8622.4929999999695</v>
      </c>
      <c r="H10">
        <v>88570.839000000007</v>
      </c>
      <c r="I10">
        <v>15368.525999999987</v>
      </c>
      <c r="J10">
        <v>104421.75699999998</v>
      </c>
      <c r="K10">
        <v>80108.846000000005</v>
      </c>
      <c r="L10">
        <v>79158.816000000006</v>
      </c>
      <c r="M10">
        <v>72353.260000000009</v>
      </c>
      <c r="N10">
        <v>68565.23599999999</v>
      </c>
      <c r="O10">
        <v>71895.165000000008</v>
      </c>
      <c r="P10">
        <v>68565.236000000004</v>
      </c>
      <c r="Q10">
        <v>82322.100000000093</v>
      </c>
      <c r="R10">
        <v>139092.03000000009</v>
      </c>
      <c r="S10">
        <v>-9515.3400000000402</v>
      </c>
      <c r="T10">
        <v>88545.74000000002</v>
      </c>
      <c r="U10">
        <v>15213.529999999995</v>
      </c>
      <c r="V10">
        <v>15540.219999999954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2</v>
      </c>
      <c r="AD10">
        <f>SUMPRODUCT(DB_STProjectList[[#This Row],[Plan01]:[Plan12]],$E$4:$P$4)/valUnits2</f>
        <v>418.55294500000002</v>
      </c>
      <c r="AE10">
        <f>SUMPRODUCT(DB_STProjectList[[#This Row],[Act01]:[Act12]],$Q$4:$AB$4)/valUnits2</f>
        <v>331.19828000000007</v>
      </c>
      <c r="AF10">
        <f>DB_STProjectList[[#This Row],[Actual]]-DB_STProjectList[[#This Row],[Plan]]</f>
        <v>-87.354664999999954</v>
      </c>
      <c r="AG10">
        <f>IF(DB_STProjectList[[#This Row],[Plan]]&lt;&gt;0,DB_STProjectList[[#This Row],[Actual]]/DB_STProjectList[[#This Row],[Plan]],1.000011000011)</f>
        <v>0.79129363192032987</v>
      </c>
      <c r="AH10" s="34" t="str">
        <f>IF(B10=B9,"","x")</f>
        <v/>
      </c>
      <c r="AI10" s="34" t="str">
        <f>IF(C10=C9,"","x")</f>
        <v>x</v>
      </c>
    </row>
    <row r="11" spans="1:35" x14ac:dyDescent="0.2">
      <c r="A11">
        <f>SUBTOTAL(3,$B$6:B11)</f>
        <v>6</v>
      </c>
      <c r="B11" t="s">
        <v>342</v>
      </c>
      <c r="C11" t="s">
        <v>491</v>
      </c>
      <c r="D11" t="s">
        <v>988</v>
      </c>
      <c r="E11">
        <v>70081.046999999991</v>
      </c>
      <c r="F11">
        <v>165380.74499999994</v>
      </c>
      <c r="G11">
        <v>297212.17399999971</v>
      </c>
      <c r="H11">
        <v>468266.96799999994</v>
      </c>
      <c r="I11">
        <v>250625.07999999993</v>
      </c>
      <c r="J11">
        <v>203590.66299999985</v>
      </c>
      <c r="K11">
        <v>245034.39599999992</v>
      </c>
      <c r="L11">
        <v>213198.35199999996</v>
      </c>
      <c r="M11">
        <v>215667.80799999993</v>
      </c>
      <c r="N11">
        <v>206146.75899999996</v>
      </c>
      <c r="O11">
        <v>239213.33899999995</v>
      </c>
      <c r="P11">
        <v>189870.55299999987</v>
      </c>
      <c r="Q11">
        <v>65489.800000000032</v>
      </c>
      <c r="R11">
        <v>167308.02000000008</v>
      </c>
      <c r="S11">
        <v>288796.15999999997</v>
      </c>
      <c r="T11">
        <v>459014.25999999995</v>
      </c>
      <c r="U11">
        <v>237743.12999999995</v>
      </c>
      <c r="V11">
        <v>73165.090000000127</v>
      </c>
      <c r="W11">
        <v>54335.56</v>
      </c>
      <c r="X11">
        <v>0</v>
      </c>
      <c r="Y11">
        <v>0</v>
      </c>
      <c r="Z11">
        <v>0</v>
      </c>
      <c r="AA11">
        <v>0</v>
      </c>
      <c r="AB11">
        <v>0</v>
      </c>
      <c r="AC11">
        <v>2</v>
      </c>
      <c r="AD11">
        <f>SUMPRODUCT(DB_STProjectList[[#This Row],[Plan01]:[Plan12]],$E$4:$P$4)/valUnits2</f>
        <v>1455.1566769999995</v>
      </c>
      <c r="AE11">
        <f>SUMPRODUCT(DB_STProjectList[[#This Row],[Act01]:[Act12]],$Q$4:$AB$4)/valUnits2</f>
        <v>1291.5164600000001</v>
      </c>
      <c r="AF11">
        <f>DB_STProjectList[[#This Row],[Actual]]-DB_STProjectList[[#This Row],[Plan]]</f>
        <v>-163.64021699999944</v>
      </c>
      <c r="AG11">
        <f>IF(DB_STProjectList[[#This Row],[Plan]]&lt;&gt;0,DB_STProjectList[[#This Row],[Actual]]/DB_STProjectList[[#This Row],[Plan]],1.000011000011)</f>
        <v>0.88754460630496113</v>
      </c>
      <c r="AH11" s="34" t="str">
        <f>IF(B11=B10,"","x")</f>
        <v/>
      </c>
      <c r="AI11" s="34" t="str">
        <f>IF(C11=C10,"","x")</f>
        <v/>
      </c>
    </row>
    <row r="12" spans="1:35" x14ac:dyDescent="0.2">
      <c r="A12">
        <f>SUBTOTAL(3,$B$6:B12)</f>
        <v>7</v>
      </c>
      <c r="B12" t="s">
        <v>342</v>
      </c>
      <c r="C12" t="s">
        <v>492</v>
      </c>
      <c r="D12" t="s">
        <v>982</v>
      </c>
      <c r="E12">
        <v>440757.31299999985</v>
      </c>
      <c r="F12">
        <v>103798.72800000002</v>
      </c>
      <c r="G12">
        <v>108780.56999999996</v>
      </c>
      <c r="H12">
        <v>119426.92799999999</v>
      </c>
      <c r="I12">
        <v>351093.42799999996</v>
      </c>
      <c r="J12">
        <v>325386.22600000002</v>
      </c>
      <c r="K12">
        <v>250033.73200000002</v>
      </c>
      <c r="L12">
        <v>222259.22200000004</v>
      </c>
      <c r="M12">
        <v>244876.18399999998</v>
      </c>
      <c r="N12">
        <v>228024.742</v>
      </c>
      <c r="O12">
        <v>209195.40800000005</v>
      </c>
      <c r="P12">
        <v>208734.23900000003</v>
      </c>
      <c r="Q12">
        <v>437260.88000000012</v>
      </c>
      <c r="R12">
        <v>100274.65999999987</v>
      </c>
      <c r="S12">
        <v>93147.880000000063</v>
      </c>
      <c r="T12">
        <v>104145.76000000004</v>
      </c>
      <c r="U12">
        <v>336050.0799999999</v>
      </c>
      <c r="V12">
        <v>218065.28999999992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</v>
      </c>
      <c r="AD12">
        <f>SUMPRODUCT(DB_STProjectList[[#This Row],[Plan01]:[Plan12]],$E$4:$P$4)/valUnits2</f>
        <v>1449.2431929999998</v>
      </c>
      <c r="AE12">
        <f>SUMPRODUCT(DB_STProjectList[[#This Row],[Act01]:[Act12]],$Q$4:$AB$4)/valUnits2</f>
        <v>1288.9445499999997</v>
      </c>
      <c r="AF12">
        <f>DB_STProjectList[[#This Row],[Actual]]-DB_STProjectList[[#This Row],[Plan]]</f>
        <v>-160.29864300000008</v>
      </c>
      <c r="AG12">
        <f>IF(DB_STProjectList[[#This Row],[Plan]]&lt;&gt;0,DB_STProjectList[[#This Row],[Actual]]/DB_STProjectList[[#This Row],[Plan]],1.000011000011)</f>
        <v>0.8893914811715109</v>
      </c>
      <c r="AH12" s="34" t="str">
        <f>IF(B12=B11,"","x")</f>
        <v/>
      </c>
      <c r="AI12" s="34" t="str">
        <f>IF(C12=C11,"","x")</f>
        <v>x</v>
      </c>
    </row>
    <row r="13" spans="1:35" x14ac:dyDescent="0.2">
      <c r="A13">
        <f>SUBTOTAL(3,$B$6:B13)</f>
        <v>8</v>
      </c>
      <c r="B13" t="s">
        <v>342</v>
      </c>
      <c r="C13" t="s">
        <v>493</v>
      </c>
      <c r="D13" t="s">
        <v>972</v>
      </c>
      <c r="E13">
        <v>0</v>
      </c>
      <c r="F13">
        <v>0</v>
      </c>
      <c r="G13">
        <v>0</v>
      </c>
      <c r="H13">
        <v>0</v>
      </c>
      <c r="I13">
        <v>114.91</v>
      </c>
      <c r="J13">
        <v>350</v>
      </c>
      <c r="K13">
        <v>350</v>
      </c>
      <c r="L13">
        <v>350</v>
      </c>
      <c r="M13">
        <v>350</v>
      </c>
      <c r="N13">
        <v>350</v>
      </c>
      <c r="O13">
        <v>350</v>
      </c>
      <c r="P13">
        <v>350</v>
      </c>
      <c r="Q13">
        <v>0</v>
      </c>
      <c r="R13">
        <v>0</v>
      </c>
      <c r="S13">
        <v>0</v>
      </c>
      <c r="T13">
        <v>0</v>
      </c>
      <c r="U13">
        <v>114.91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</v>
      </c>
      <c r="AD13">
        <f>SUMPRODUCT(DB_STProjectList[[#This Row],[Plan01]:[Plan12]],$E$4:$P$4)/valUnits2</f>
        <v>0.46490999999999999</v>
      </c>
      <c r="AE13">
        <f>SUMPRODUCT(DB_STProjectList[[#This Row],[Act01]:[Act12]],$Q$4:$AB$4)/valUnits2</f>
        <v>0.11491</v>
      </c>
      <c r="AF13">
        <f>DB_STProjectList[[#This Row],[Actual]]-DB_STProjectList[[#This Row],[Plan]]</f>
        <v>-0.35</v>
      </c>
      <c r="AG13">
        <f>IF(DB_STProjectList[[#This Row],[Plan]]&lt;&gt;0,DB_STProjectList[[#This Row],[Actual]]/DB_STProjectList[[#This Row],[Plan]],1.000011000011)</f>
        <v>0.24716611817340992</v>
      </c>
      <c r="AH13" s="34" t="str">
        <f>IF(B13=B12,"","x")</f>
        <v/>
      </c>
      <c r="AI13" s="34" t="str">
        <f>IF(C13=C12,"","x")</f>
        <v>x</v>
      </c>
    </row>
    <row r="14" spans="1:35" x14ac:dyDescent="0.2">
      <c r="A14">
        <f>SUBTOTAL(3,$B$6:B14)</f>
        <v>9</v>
      </c>
      <c r="B14" t="s">
        <v>342</v>
      </c>
      <c r="C14" t="s">
        <v>494</v>
      </c>
      <c r="D14" t="s">
        <v>986</v>
      </c>
      <c r="E14">
        <v>11933.5</v>
      </c>
      <c r="F14">
        <v>15550.25</v>
      </c>
      <c r="G14">
        <v>21742.31</v>
      </c>
      <c r="H14">
        <v>25506.77</v>
      </c>
      <c r="I14">
        <v>17016.399999999998</v>
      </c>
      <c r="J14">
        <v>45556.940999999999</v>
      </c>
      <c r="K14">
        <v>70823.607000000004</v>
      </c>
      <c r="L14">
        <v>49038.190999999999</v>
      </c>
      <c r="M14">
        <v>47156.940999999999</v>
      </c>
      <c r="N14">
        <v>83535.987999999998</v>
      </c>
      <c r="O14">
        <v>43556.940999999999</v>
      </c>
      <c r="P14">
        <v>87092.271000000008</v>
      </c>
      <c r="Q14">
        <v>11933.5</v>
      </c>
      <c r="R14">
        <v>15550.25</v>
      </c>
      <c r="S14">
        <v>21742.310000000005</v>
      </c>
      <c r="T14">
        <v>25560.480000000003</v>
      </c>
      <c r="U14">
        <v>17076.719999999998</v>
      </c>
      <c r="V14">
        <v>65606.820000000007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f>SUMPRODUCT(DB_STProjectList[[#This Row],[Plan01]:[Plan12]],$E$4:$P$4)/valUnits2</f>
        <v>137.30617100000001</v>
      </c>
      <c r="AE14">
        <f>SUMPRODUCT(DB_STProjectList[[#This Row],[Act01]:[Act12]],$Q$4:$AB$4)/valUnits2</f>
        <v>157.47008000000002</v>
      </c>
      <c r="AF14">
        <f>DB_STProjectList[[#This Row],[Actual]]-DB_STProjectList[[#This Row],[Plan]]</f>
        <v>20.163909000000018</v>
      </c>
      <c r="AG14">
        <f>IF(DB_STProjectList[[#This Row],[Plan]]&lt;&gt;0,DB_STProjectList[[#This Row],[Actual]]/DB_STProjectList[[#This Row],[Plan]],1.000011000011)</f>
        <v>1.1468536253916803</v>
      </c>
      <c r="AH14" s="34" t="str">
        <f>IF(B14=B13,"","x")</f>
        <v/>
      </c>
      <c r="AI14" s="34" t="str">
        <f>IF(C14=C13,"","x")</f>
        <v>x</v>
      </c>
    </row>
    <row r="15" spans="1:35" x14ac:dyDescent="0.2">
      <c r="A15">
        <f>SUBTOTAL(3,$B$6:B15)</f>
        <v>10</v>
      </c>
      <c r="B15" t="s">
        <v>343</v>
      </c>
      <c r="C15" t="s">
        <v>507</v>
      </c>
      <c r="D15" t="s">
        <v>977</v>
      </c>
      <c r="G15">
        <v>-34974.351000000002</v>
      </c>
      <c r="S15">
        <v>-34749.879999999997</v>
      </c>
      <c r="AC15">
        <v>3</v>
      </c>
      <c r="AD15">
        <f>SUMPRODUCT(DB_STProjectList[[#This Row],[Plan01]:[Plan12]],$E$4:$P$4)/valUnits2</f>
        <v>-34.974351000000006</v>
      </c>
      <c r="AE15">
        <f>SUMPRODUCT(DB_STProjectList[[#This Row],[Act01]:[Act12]],$Q$4:$AB$4)/valUnits2</f>
        <v>-34.749879999999997</v>
      </c>
      <c r="AF15">
        <f>DB_STProjectList[[#This Row],[Actual]]-DB_STProjectList[[#This Row],[Plan]]</f>
        <v>0.2244710000000083</v>
      </c>
      <c r="AG15">
        <f>IF(DB_STProjectList[[#This Row],[Plan]]&lt;&gt;0,DB_STProjectList[[#This Row],[Actual]]/DB_STProjectList[[#This Row],[Plan]],1.000011000011)</f>
        <v>0.99358183944571243</v>
      </c>
      <c r="AH15" s="34" t="str">
        <f>IF(B15=B14,"","x")</f>
        <v>x</v>
      </c>
      <c r="AI15" s="34" t="str">
        <f>IF(C15=C14,"","x")</f>
        <v>x</v>
      </c>
    </row>
    <row r="16" spans="1:35" x14ac:dyDescent="0.2">
      <c r="A16">
        <f>SUBTOTAL(3,$B$6:B16)</f>
        <v>11</v>
      </c>
      <c r="B16" t="s">
        <v>343</v>
      </c>
      <c r="C16" t="s">
        <v>508</v>
      </c>
      <c r="D16" t="s">
        <v>938</v>
      </c>
      <c r="E16">
        <v>215921.79800000001</v>
      </c>
      <c r="F16">
        <v>382353.63800000009</v>
      </c>
      <c r="G16">
        <v>464928.49799999996</v>
      </c>
      <c r="H16">
        <v>572860.24300000013</v>
      </c>
      <c r="I16">
        <v>869353.78100000031</v>
      </c>
      <c r="J16">
        <v>735029.40600000008</v>
      </c>
      <c r="K16">
        <v>703729.44700000016</v>
      </c>
      <c r="L16">
        <v>720395.75400000031</v>
      </c>
      <c r="M16">
        <v>707596.03800000018</v>
      </c>
      <c r="N16">
        <v>600367.26700000011</v>
      </c>
      <c r="O16">
        <v>388777.21499999991</v>
      </c>
      <c r="P16">
        <v>4089.3270000000002</v>
      </c>
      <c r="Q16">
        <v>120798.50000000001</v>
      </c>
      <c r="R16">
        <v>210135.70999999985</v>
      </c>
      <c r="S16">
        <v>282874.15999999986</v>
      </c>
      <c r="T16">
        <v>284494.87000000005</v>
      </c>
      <c r="U16">
        <v>170887.63999999993</v>
      </c>
      <c r="V16">
        <v>236705.28000000014</v>
      </c>
      <c r="W16">
        <v>13036.52</v>
      </c>
      <c r="X16">
        <v>0</v>
      </c>
      <c r="Y16">
        <v>0</v>
      </c>
      <c r="Z16">
        <v>0</v>
      </c>
      <c r="AA16">
        <v>0</v>
      </c>
      <c r="AB16">
        <v>0</v>
      </c>
      <c r="AC16">
        <v>3</v>
      </c>
      <c r="AD16">
        <f>SUMPRODUCT(DB_STProjectList[[#This Row],[Plan01]:[Plan12]],$E$4:$P$4)/valUnits2</f>
        <v>3240.4473640000006</v>
      </c>
      <c r="AE16">
        <f>SUMPRODUCT(DB_STProjectList[[#This Row],[Act01]:[Act12]],$Q$4:$AB$4)/valUnits2</f>
        <v>1305.8961599999998</v>
      </c>
      <c r="AF16">
        <f>DB_STProjectList[[#This Row],[Actual]]-DB_STProjectList[[#This Row],[Plan]]</f>
        <v>-1934.5512040000008</v>
      </c>
      <c r="AG16">
        <f>IF(DB_STProjectList[[#This Row],[Plan]]&lt;&gt;0,DB_STProjectList[[#This Row],[Actual]]/DB_STProjectList[[#This Row],[Plan]],1.000011000011)</f>
        <v>0.40299872619686827</v>
      </c>
      <c r="AH16" s="34" t="str">
        <f>IF(B16=B15,"","x")</f>
        <v/>
      </c>
      <c r="AI16" s="34" t="str">
        <f>IF(C16=C15,"","x")</f>
        <v>x</v>
      </c>
    </row>
    <row r="17" spans="1:35" x14ac:dyDescent="0.2">
      <c r="A17">
        <f>SUBTOTAL(3,$B$6:B17)</f>
        <v>12</v>
      </c>
      <c r="B17" t="s">
        <v>343</v>
      </c>
      <c r="C17" t="s">
        <v>508</v>
      </c>
      <c r="D17" t="s">
        <v>939</v>
      </c>
      <c r="E17">
        <v>2808.1200000000003</v>
      </c>
      <c r="F17">
        <v>2500</v>
      </c>
      <c r="G17">
        <v>2500</v>
      </c>
      <c r="H17">
        <v>42132.15</v>
      </c>
      <c r="I17">
        <v>10878.82</v>
      </c>
      <c r="J17">
        <v>39289.993999999999</v>
      </c>
      <c r="K17">
        <v>2500</v>
      </c>
      <c r="L17">
        <v>2500</v>
      </c>
      <c r="M17">
        <v>2500</v>
      </c>
      <c r="N17">
        <v>2500</v>
      </c>
      <c r="O17">
        <v>2500</v>
      </c>
      <c r="P17">
        <v>2500</v>
      </c>
      <c r="Q17">
        <v>308.12</v>
      </c>
      <c r="R17">
        <v>0</v>
      </c>
      <c r="S17">
        <v>0</v>
      </c>
      <c r="T17">
        <v>39632.149999999994</v>
      </c>
      <c r="U17">
        <v>8378.8200000000015</v>
      </c>
      <c r="V17">
        <v>9232.15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f>SUMPRODUCT(DB_STProjectList[[#This Row],[Plan01]:[Plan12]],$E$4:$P$4)/valUnits2</f>
        <v>100.109084</v>
      </c>
      <c r="AE17">
        <f>SUMPRODUCT(DB_STProjectList[[#This Row],[Act01]:[Act12]],$Q$4:$AB$4)/valUnits2</f>
        <v>57.55124</v>
      </c>
      <c r="AF17">
        <f>DB_STProjectList[[#This Row],[Actual]]-DB_STProjectList[[#This Row],[Plan]]</f>
        <v>-42.557843999999996</v>
      </c>
      <c r="AG17">
        <f>IF(DB_STProjectList[[#This Row],[Plan]]&lt;&gt;0,DB_STProjectList[[#This Row],[Actual]]/DB_STProjectList[[#This Row],[Plan]],1.000011000011)</f>
        <v>0.57488529212793515</v>
      </c>
      <c r="AH17" s="34" t="str">
        <f>IF(B17=B16,"","x")</f>
        <v/>
      </c>
      <c r="AI17" s="34" t="str">
        <f>IF(C17=C16,"","x")</f>
        <v/>
      </c>
    </row>
    <row r="18" spans="1:35" x14ac:dyDescent="0.2">
      <c r="A18">
        <f>SUBTOTAL(3,$B$6:B18)</f>
        <v>13</v>
      </c>
      <c r="B18" t="s">
        <v>343</v>
      </c>
      <c r="C18" t="s">
        <v>508</v>
      </c>
      <c r="D18" t="s">
        <v>954</v>
      </c>
      <c r="E18">
        <v>6195.621000000001</v>
      </c>
      <c r="F18">
        <v>5389.0209999999997</v>
      </c>
      <c r="G18">
        <v>33493.805</v>
      </c>
      <c r="H18">
        <v>5774.4969999999994</v>
      </c>
      <c r="I18">
        <v>6729.3769999999995</v>
      </c>
      <c r="J18">
        <v>162283.679</v>
      </c>
      <c r="K18">
        <v>22853.374</v>
      </c>
      <c r="L18">
        <v>157713.17599999998</v>
      </c>
      <c r="M18">
        <v>23981.730000000003</v>
      </c>
      <c r="N18">
        <v>161194.774</v>
      </c>
      <c r="O18">
        <v>25470.115000000002</v>
      </c>
      <c r="P18">
        <v>151010.23300000001</v>
      </c>
      <c r="Q18">
        <v>3976.67</v>
      </c>
      <c r="R18">
        <v>3221.4100000000003</v>
      </c>
      <c r="S18">
        <v>31074.829999999998</v>
      </c>
      <c r="T18">
        <v>3492.9200000000005</v>
      </c>
      <c r="U18">
        <v>4464.74</v>
      </c>
      <c r="V18">
        <v>1745.98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</v>
      </c>
      <c r="AD18">
        <f>SUMPRODUCT(DB_STProjectList[[#This Row],[Plan01]:[Plan12]],$E$4:$P$4)/valUnits2</f>
        <v>219.86600000000001</v>
      </c>
      <c r="AE18">
        <f>SUMPRODUCT(DB_STProjectList[[#This Row],[Act01]:[Act12]],$Q$4:$AB$4)/valUnits2</f>
        <v>47.976549999999996</v>
      </c>
      <c r="AF18">
        <f>DB_STProjectList[[#This Row],[Actual]]-DB_STProjectList[[#This Row],[Plan]]</f>
        <v>-171.88945000000001</v>
      </c>
      <c r="AG18">
        <f>IF(DB_STProjectList[[#This Row],[Plan]]&lt;&gt;0,DB_STProjectList[[#This Row],[Actual]]/DB_STProjectList[[#This Row],[Plan]],1.000011000011)</f>
        <v>0.21820813586457202</v>
      </c>
      <c r="AH18" s="34" t="str">
        <f>IF(B18=B17,"","x")</f>
        <v/>
      </c>
      <c r="AI18" s="34" t="str">
        <f>IF(C18=C17,"","x")</f>
        <v/>
      </c>
    </row>
    <row r="19" spans="1:35" x14ac:dyDescent="0.2">
      <c r="A19">
        <f>SUBTOTAL(3,$B$6:B19)</f>
        <v>14</v>
      </c>
      <c r="B19" t="s">
        <v>343</v>
      </c>
      <c r="C19" t="s">
        <v>508</v>
      </c>
      <c r="D19" t="s">
        <v>960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C19">
        <v>3</v>
      </c>
      <c r="AD19">
        <f>SUMPRODUCT(DB_STProjectList[[#This Row],[Plan01]:[Plan12]],$E$4:$P$4)/valUnits2</f>
        <v>0</v>
      </c>
      <c r="AE19">
        <f>SUMPRODUCT(DB_STProjectList[[#This Row],[Act01]:[Act12]],$Q$4:$AB$4)/valUnits2</f>
        <v>0</v>
      </c>
      <c r="AF19">
        <f>DB_STProjectList[[#This Row],[Actual]]-DB_STProjectList[[#This Row],[Plan]]</f>
        <v>0</v>
      </c>
      <c r="AG19">
        <f>IF(DB_STProjectList[[#This Row],[Plan]]&lt;&gt;0,DB_STProjectList[[#This Row],[Actual]]/DB_STProjectList[[#This Row],[Plan]],1.000011000011)</f>
        <v>1.0000110000110001</v>
      </c>
      <c r="AH19" s="34" t="str">
        <f>IF(B19=B18,"","x")</f>
        <v/>
      </c>
      <c r="AI19" s="34" t="str">
        <f>IF(C19=C18,"","x")</f>
        <v/>
      </c>
    </row>
    <row r="20" spans="1:35" x14ac:dyDescent="0.2">
      <c r="A20">
        <f>SUBTOTAL(3,$B$6:B20)</f>
        <v>15</v>
      </c>
      <c r="B20" t="s">
        <v>343</v>
      </c>
      <c r="C20" t="s">
        <v>508</v>
      </c>
      <c r="D20" t="s">
        <v>989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C20">
        <v>3</v>
      </c>
      <c r="AD20">
        <f>SUMPRODUCT(DB_STProjectList[[#This Row],[Plan01]:[Plan12]],$E$4:$P$4)/valUnits2</f>
        <v>0</v>
      </c>
      <c r="AE20">
        <f>SUMPRODUCT(DB_STProjectList[[#This Row],[Act01]:[Act12]],$Q$4:$AB$4)/valUnits2</f>
        <v>0</v>
      </c>
      <c r="AF20">
        <f>DB_STProjectList[[#This Row],[Actual]]-DB_STProjectList[[#This Row],[Plan]]</f>
        <v>0</v>
      </c>
      <c r="AG20">
        <f>IF(DB_STProjectList[[#This Row],[Plan]]&lt;&gt;0,DB_STProjectList[[#This Row],[Actual]]/DB_STProjectList[[#This Row],[Plan]],1.000011000011)</f>
        <v>1.0000110000110001</v>
      </c>
      <c r="AH20" s="34" t="str">
        <f>IF(B20=B19,"","x")</f>
        <v/>
      </c>
      <c r="AI20" s="34" t="str">
        <f>IF(C20=C19,"","x")</f>
        <v/>
      </c>
    </row>
    <row r="21" spans="1:35" x14ac:dyDescent="0.2">
      <c r="A21">
        <f>SUBTOTAL(3,$B$6:B21)</f>
        <v>16</v>
      </c>
      <c r="B21" t="s">
        <v>343</v>
      </c>
      <c r="C21" t="s">
        <v>509</v>
      </c>
      <c r="D21" t="s">
        <v>971</v>
      </c>
      <c r="E21">
        <v>28867.22</v>
      </c>
      <c r="F21">
        <v>35171.499999999993</v>
      </c>
      <c r="G21">
        <v>54658.450000000004</v>
      </c>
      <c r="H21">
        <v>41769.94000000001</v>
      </c>
      <c r="I21">
        <v>36141.020000000004</v>
      </c>
      <c r="J21">
        <v>97259.601999999999</v>
      </c>
      <c r="K21">
        <v>120926.268</v>
      </c>
      <c r="L21">
        <v>78207.511000000013</v>
      </c>
      <c r="M21">
        <v>75379.602000000014</v>
      </c>
      <c r="N21">
        <v>106165.06</v>
      </c>
      <c r="O21">
        <v>66759.602000000014</v>
      </c>
      <c r="P21">
        <v>92875.166000000012</v>
      </c>
      <c r="Q21">
        <v>28867.22</v>
      </c>
      <c r="R21">
        <v>35237.410000000003</v>
      </c>
      <c r="S21">
        <v>54658.44999999999</v>
      </c>
      <c r="T21">
        <v>41823.65</v>
      </c>
      <c r="U21">
        <v>36201.340000000011</v>
      </c>
      <c r="V21">
        <v>106294.89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</v>
      </c>
      <c r="AD21">
        <f>SUMPRODUCT(DB_STProjectList[[#This Row],[Plan01]:[Plan12]],$E$4:$P$4)/valUnits2</f>
        <v>293.86773200000005</v>
      </c>
      <c r="AE21">
        <f>SUMPRODUCT(DB_STProjectList[[#This Row],[Act01]:[Act12]],$Q$4:$AB$4)/valUnits2</f>
        <v>303.08296000000001</v>
      </c>
      <c r="AF21">
        <f>DB_STProjectList[[#This Row],[Actual]]-DB_STProjectList[[#This Row],[Plan]]</f>
        <v>9.2152279999999678</v>
      </c>
      <c r="AG21">
        <f>IF(DB_STProjectList[[#This Row],[Plan]]&lt;&gt;0,DB_STProjectList[[#This Row],[Actual]]/DB_STProjectList[[#This Row],[Plan]],1.000011000011)</f>
        <v>1.0313584208013691</v>
      </c>
      <c r="AH21" s="34" t="str">
        <f>IF(B21=B20,"","x")</f>
        <v/>
      </c>
      <c r="AI21" s="34" t="str">
        <f>IF(C21=C20,"","x")</f>
        <v>x</v>
      </c>
    </row>
    <row r="22" spans="1:35" x14ac:dyDescent="0.2">
      <c r="A22">
        <f>SUBTOTAL(3,$B$6:B22)</f>
        <v>17</v>
      </c>
      <c r="B22" t="s">
        <v>344</v>
      </c>
      <c r="C22" t="s">
        <v>510</v>
      </c>
      <c r="D22" t="s">
        <v>956</v>
      </c>
      <c r="E22">
        <v>302169.71799999999</v>
      </c>
      <c r="F22">
        <v>127099.35499999997</v>
      </c>
      <c r="G22">
        <v>207000.44600000008</v>
      </c>
      <c r="H22">
        <v>1969811.9500000002</v>
      </c>
      <c r="I22">
        <v>438806.39500000002</v>
      </c>
      <c r="J22">
        <v>1806667.1410000001</v>
      </c>
      <c r="K22">
        <v>241779.03299999991</v>
      </c>
      <c r="L22">
        <v>238570.21399999992</v>
      </c>
      <c r="M22">
        <v>1770084.7790000001</v>
      </c>
      <c r="N22">
        <v>263508.00999999995</v>
      </c>
      <c r="O22">
        <v>282286.45400000009</v>
      </c>
      <c r="P22">
        <v>1693768.0220000001</v>
      </c>
      <c r="Q22">
        <v>302037.87000000029</v>
      </c>
      <c r="R22">
        <v>127293.38000000005</v>
      </c>
      <c r="S22">
        <v>207981.46000000002</v>
      </c>
      <c r="T22">
        <v>1969694.8300000003</v>
      </c>
      <c r="U22">
        <v>442139.48000000033</v>
      </c>
      <c r="V22">
        <v>738271.8400000002</v>
      </c>
      <c r="W22">
        <v>449.41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f>SUMPRODUCT(DB_STProjectList[[#This Row],[Plan01]:[Plan12]],$E$4:$P$4)/valUnits2</f>
        <v>4851.5550050000011</v>
      </c>
      <c r="AE22">
        <f>SUMPRODUCT(DB_STProjectList[[#This Row],[Act01]:[Act12]],$Q$4:$AB$4)/valUnits2</f>
        <v>3787.4188600000016</v>
      </c>
      <c r="AF22">
        <f>DB_STProjectList[[#This Row],[Actual]]-DB_STProjectList[[#This Row],[Plan]]</f>
        <v>-1064.1361449999995</v>
      </c>
      <c r="AG22">
        <f>IF(DB_STProjectList[[#This Row],[Plan]]&lt;&gt;0,DB_STProjectList[[#This Row],[Actual]]/DB_STProjectList[[#This Row],[Plan]],1.000011000011)</f>
        <v>0.78066081000765664</v>
      </c>
      <c r="AH22" s="34" t="str">
        <f>IF(B22=B21,"","x")</f>
        <v>x</v>
      </c>
      <c r="AI22" s="34" t="str">
        <f>IF(C22=C21,"","x")</f>
        <v>x</v>
      </c>
    </row>
    <row r="23" spans="1:35" x14ac:dyDescent="0.2">
      <c r="A23">
        <f>SUBTOTAL(3,$B$6:B23)</f>
        <v>18</v>
      </c>
      <c r="B23" t="s">
        <v>344</v>
      </c>
      <c r="C23" t="s">
        <v>511</v>
      </c>
      <c r="D23" t="s">
        <v>979</v>
      </c>
      <c r="E23">
        <v>0</v>
      </c>
      <c r="F23">
        <v>0</v>
      </c>
      <c r="G23">
        <v>0</v>
      </c>
      <c r="H23">
        <v>684.36</v>
      </c>
      <c r="I23">
        <v>5196.57</v>
      </c>
      <c r="J23">
        <v>31678.894000000004</v>
      </c>
      <c r="K23">
        <v>31678.894000000004</v>
      </c>
      <c r="L23">
        <v>31678.894000000004</v>
      </c>
      <c r="M23">
        <v>31782.894000000004</v>
      </c>
      <c r="Q23">
        <v>0</v>
      </c>
      <c r="R23">
        <v>0</v>
      </c>
      <c r="S23">
        <v>0</v>
      </c>
      <c r="T23">
        <v>684.36</v>
      </c>
      <c r="U23">
        <v>5196.57</v>
      </c>
      <c r="V23">
        <v>4760.05</v>
      </c>
      <c r="W23">
        <v>0</v>
      </c>
      <c r="X23">
        <v>0</v>
      </c>
      <c r="Y23">
        <v>0</v>
      </c>
      <c r="AC23">
        <v>4</v>
      </c>
      <c r="AD23">
        <f>SUMPRODUCT(DB_STProjectList[[#This Row],[Plan01]:[Plan12]],$E$4:$P$4)/valUnits2</f>
        <v>37.559823999999999</v>
      </c>
      <c r="AE23">
        <f>SUMPRODUCT(DB_STProjectList[[#This Row],[Act01]:[Act12]],$Q$4:$AB$4)/valUnits2</f>
        <v>10.640979999999999</v>
      </c>
      <c r="AF23">
        <f>DB_STProjectList[[#This Row],[Actual]]-DB_STProjectList[[#This Row],[Plan]]</f>
        <v>-26.918844</v>
      </c>
      <c r="AG23">
        <f>IF(DB_STProjectList[[#This Row],[Plan]]&lt;&gt;0,DB_STProjectList[[#This Row],[Actual]]/DB_STProjectList[[#This Row],[Plan]],1.000011000011)</f>
        <v>0.28330750431631413</v>
      </c>
      <c r="AH23" s="34" t="str">
        <f>IF(B23=B22,"","x")</f>
        <v/>
      </c>
      <c r="AI23" s="34" t="str">
        <f>IF(C23=C22,"","x")</f>
        <v>x</v>
      </c>
    </row>
    <row r="24" spans="1:35" x14ac:dyDescent="0.2">
      <c r="A24">
        <f>SUBTOTAL(3,$B$6:B24)</f>
        <v>19</v>
      </c>
      <c r="B24" t="s">
        <v>344</v>
      </c>
      <c r="C24" t="s">
        <v>511</v>
      </c>
      <c r="D24" t="s">
        <v>1000</v>
      </c>
      <c r="E24">
        <v>10791.550000000001</v>
      </c>
      <c r="F24">
        <v>17596.89</v>
      </c>
      <c r="G24">
        <v>429401.63000000012</v>
      </c>
      <c r="H24">
        <v>276425.63</v>
      </c>
      <c r="I24">
        <v>47985.639999999992</v>
      </c>
      <c r="J24">
        <v>124506.91699999999</v>
      </c>
      <c r="K24">
        <v>124506.917</v>
      </c>
      <c r="L24">
        <v>124506.917</v>
      </c>
      <c r="M24">
        <v>124506.91699999997</v>
      </c>
      <c r="N24">
        <v>0</v>
      </c>
      <c r="O24">
        <v>0</v>
      </c>
      <c r="P24">
        <v>0</v>
      </c>
      <c r="Q24">
        <v>10791.55</v>
      </c>
      <c r="R24">
        <v>17618.440000000002</v>
      </c>
      <c r="S24">
        <v>429401.63000000018</v>
      </c>
      <c r="T24">
        <v>276425.63</v>
      </c>
      <c r="U24">
        <v>47985.639999999992</v>
      </c>
      <c r="V24">
        <v>40203.200000000026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f>SUMPRODUCT(DB_STProjectList[[#This Row],[Plan01]:[Plan12]],$E$4:$P$4)/valUnits2</f>
        <v>906.70825700000023</v>
      </c>
      <c r="AE24">
        <f>SUMPRODUCT(DB_STProjectList[[#This Row],[Act01]:[Act12]],$Q$4:$AB$4)/valUnits2</f>
        <v>822.42609000000027</v>
      </c>
      <c r="AF24">
        <f>DB_STProjectList[[#This Row],[Actual]]-DB_STProjectList[[#This Row],[Plan]]</f>
        <v>-84.282166999999959</v>
      </c>
      <c r="AG24">
        <f>IF(DB_STProjectList[[#This Row],[Plan]]&lt;&gt;0,DB_STProjectList[[#This Row],[Actual]]/DB_STProjectList[[#This Row],[Plan]],1.000011000011)</f>
        <v>0.90704599153109955</v>
      </c>
      <c r="AH24" s="34" t="str">
        <f>IF(B24=B23,"","x")</f>
        <v/>
      </c>
      <c r="AI24" s="34" t="str">
        <f>IF(C24=C23,"","x")</f>
        <v/>
      </c>
    </row>
    <row r="25" spans="1:35" x14ac:dyDescent="0.2">
      <c r="A25">
        <f>SUBTOTAL(3,$B$6:B25)</f>
        <v>20</v>
      </c>
      <c r="B25" t="s">
        <v>345</v>
      </c>
      <c r="C25" t="s">
        <v>512</v>
      </c>
      <c r="D25" t="s">
        <v>944</v>
      </c>
      <c r="E25">
        <v>65719.659999999989</v>
      </c>
      <c r="F25">
        <v>5210.2360000000035</v>
      </c>
      <c r="G25">
        <v>77030.712000000014</v>
      </c>
      <c r="H25">
        <v>118105.82899999997</v>
      </c>
      <c r="I25">
        <v>117964.57100000001</v>
      </c>
      <c r="J25">
        <v>104828.03100000003</v>
      </c>
      <c r="K25">
        <v>91784.982000000047</v>
      </c>
      <c r="L25">
        <v>94447.068000000043</v>
      </c>
      <c r="M25">
        <v>91784.982000000033</v>
      </c>
      <c r="N25">
        <v>91784.982000000047</v>
      </c>
      <c r="O25">
        <v>96576.998000000051</v>
      </c>
      <c r="P25">
        <v>91784.982000000062</v>
      </c>
      <c r="Q25">
        <v>64850.26999999999</v>
      </c>
      <c r="R25">
        <v>5254.0800000000108</v>
      </c>
      <c r="S25">
        <v>77666.81</v>
      </c>
      <c r="T25">
        <v>119743.00000000003</v>
      </c>
      <c r="U25">
        <v>118016.49999999999</v>
      </c>
      <c r="V25">
        <v>74267.640000000014</v>
      </c>
      <c r="W25">
        <v>2515</v>
      </c>
      <c r="X25">
        <v>0</v>
      </c>
      <c r="Y25">
        <v>0</v>
      </c>
      <c r="Z25">
        <v>0</v>
      </c>
      <c r="AA25">
        <v>0</v>
      </c>
      <c r="AB25">
        <v>0</v>
      </c>
      <c r="AC25">
        <v>5</v>
      </c>
      <c r="AD25">
        <f>SUMPRODUCT(DB_STProjectList[[#This Row],[Plan01]:[Plan12]],$E$4:$P$4)/valUnits2</f>
        <v>488.859039</v>
      </c>
      <c r="AE25">
        <f>SUMPRODUCT(DB_STProjectList[[#This Row],[Act01]:[Act12]],$Q$4:$AB$4)/valUnits2</f>
        <v>459.79830000000004</v>
      </c>
      <c r="AF25">
        <f>DB_STProjectList[[#This Row],[Actual]]-DB_STProjectList[[#This Row],[Plan]]</f>
        <v>-29.060738999999955</v>
      </c>
      <c r="AG25">
        <f>IF(DB_STProjectList[[#This Row],[Plan]]&lt;&gt;0,DB_STProjectList[[#This Row],[Actual]]/DB_STProjectList[[#This Row],[Plan]],1.000011000011)</f>
        <v>0.94055394974501028</v>
      </c>
      <c r="AH25" s="34" t="str">
        <f>IF(B25=B24,"","x")</f>
        <v>x</v>
      </c>
      <c r="AI25" s="34" t="str">
        <f>IF(C25=C24,"","x")</f>
        <v>x</v>
      </c>
    </row>
    <row r="26" spans="1:35" x14ac:dyDescent="0.2">
      <c r="A26">
        <f>SUBTOTAL(3,$B$6:B26)</f>
        <v>21</v>
      </c>
      <c r="B26" t="s">
        <v>345</v>
      </c>
      <c r="C26" t="s">
        <v>513</v>
      </c>
      <c r="D26" t="s">
        <v>996</v>
      </c>
      <c r="E26">
        <v>467.00099999999998</v>
      </c>
      <c r="F26">
        <v>1640.1860000000001</v>
      </c>
      <c r="G26">
        <v>5402.9279999999999</v>
      </c>
      <c r="H26">
        <v>17264.332999999999</v>
      </c>
      <c r="I26">
        <v>2409.3450000000003</v>
      </c>
      <c r="Q26">
        <v>383.46</v>
      </c>
      <c r="R26">
        <v>1555.41</v>
      </c>
      <c r="S26">
        <v>5298.420000000001</v>
      </c>
      <c r="T26">
        <v>13512.25</v>
      </c>
      <c r="U26">
        <v>2536.7600000000002</v>
      </c>
      <c r="AC26">
        <v>5</v>
      </c>
      <c r="AD26">
        <f>SUMPRODUCT(DB_STProjectList[[#This Row],[Plan01]:[Plan12]],$E$4:$P$4)/valUnits2</f>
        <v>27.183792999999998</v>
      </c>
      <c r="AE26">
        <f>SUMPRODUCT(DB_STProjectList[[#This Row],[Act01]:[Act12]],$Q$4:$AB$4)/valUnits2</f>
        <v>23.286300000000004</v>
      </c>
      <c r="AF26">
        <f>DB_STProjectList[[#This Row],[Actual]]-DB_STProjectList[[#This Row],[Plan]]</f>
        <v>-3.8974929999999937</v>
      </c>
      <c r="AG26">
        <f>IF(DB_STProjectList[[#This Row],[Plan]]&lt;&gt;0,DB_STProjectList[[#This Row],[Actual]]/DB_STProjectList[[#This Row],[Plan]],1.000011000011)</f>
        <v>0.85662438644967631</v>
      </c>
      <c r="AH26" s="34" t="str">
        <f>IF(B26=B25,"","x")</f>
        <v/>
      </c>
      <c r="AI26" s="34" t="str">
        <f>IF(C26=C25,"","x")</f>
        <v>x</v>
      </c>
    </row>
    <row r="27" spans="1:35" x14ac:dyDescent="0.2">
      <c r="A27">
        <f>SUBTOTAL(3,$B$6:B27)</f>
        <v>22</v>
      </c>
      <c r="B27" t="s">
        <v>345</v>
      </c>
      <c r="C27" t="s">
        <v>514</v>
      </c>
      <c r="D27" t="s">
        <v>951</v>
      </c>
      <c r="G27">
        <v>942.30700000000002</v>
      </c>
      <c r="H27">
        <v>11574.745000000001</v>
      </c>
      <c r="S27">
        <v>936.19</v>
      </c>
      <c r="T27">
        <v>11651.449999999999</v>
      </c>
      <c r="AC27">
        <v>5</v>
      </c>
      <c r="AD27">
        <f>SUMPRODUCT(DB_STProjectList[[#This Row],[Plan01]:[Plan12]],$E$4:$P$4)/valUnits2</f>
        <v>12.517052000000001</v>
      </c>
      <c r="AE27">
        <f>SUMPRODUCT(DB_STProjectList[[#This Row],[Act01]:[Act12]],$Q$4:$AB$4)/valUnits2</f>
        <v>12.587639999999999</v>
      </c>
      <c r="AF27">
        <f>DB_STProjectList[[#This Row],[Actual]]-DB_STProjectList[[#This Row],[Plan]]</f>
        <v>7.0587999999997209E-2</v>
      </c>
      <c r="AG27">
        <f>IF(DB_STProjectList[[#This Row],[Plan]]&lt;&gt;0,DB_STProjectList[[#This Row],[Actual]]/DB_STProjectList[[#This Row],[Plan]],1.000011000011)</f>
        <v>1.0056393470283576</v>
      </c>
      <c r="AH27" s="34" t="str">
        <f>IF(B27=B26,"","x")</f>
        <v/>
      </c>
      <c r="AI27" s="34" t="str">
        <f>IF(C27=C26,"","x")</f>
        <v>x</v>
      </c>
    </row>
    <row r="28" spans="1:35" x14ac:dyDescent="0.2">
      <c r="A28">
        <f>SUBTOTAL(3,$B$6:B28)</f>
        <v>23</v>
      </c>
      <c r="B28" t="s">
        <v>346</v>
      </c>
      <c r="C28" t="s">
        <v>515</v>
      </c>
      <c r="D28" t="s">
        <v>955</v>
      </c>
      <c r="E28">
        <v>15386.895999999999</v>
      </c>
      <c r="F28">
        <v>6869.0990000000002</v>
      </c>
      <c r="G28">
        <v>6371.375</v>
      </c>
      <c r="H28">
        <v>61110.175000000003</v>
      </c>
      <c r="I28">
        <v>19435.687000000002</v>
      </c>
      <c r="J28">
        <v>38817.636000000006</v>
      </c>
      <c r="K28">
        <v>31603.296999999999</v>
      </c>
      <c r="L28">
        <v>33861.678</v>
      </c>
      <c r="M28">
        <v>37505.089</v>
      </c>
      <c r="N28">
        <v>37362.669000000002</v>
      </c>
      <c r="O28">
        <v>37564.241999999998</v>
      </c>
      <c r="Q28">
        <v>15072.140000000003</v>
      </c>
      <c r="R28">
        <v>6993.7000000000007</v>
      </c>
      <c r="S28">
        <v>6446.7899999999991</v>
      </c>
      <c r="T28">
        <v>60725.05999999999</v>
      </c>
      <c r="U28">
        <v>19586.399999999998</v>
      </c>
      <c r="V28">
        <v>118099.39999999997</v>
      </c>
      <c r="W28">
        <v>0</v>
      </c>
      <c r="X28">
        <v>0</v>
      </c>
      <c r="Y28">
        <v>0</v>
      </c>
      <c r="Z28">
        <v>0</v>
      </c>
      <c r="AA28">
        <v>0</v>
      </c>
      <c r="AC28">
        <v>6</v>
      </c>
      <c r="AD28">
        <f>SUMPRODUCT(DB_STProjectList[[#This Row],[Plan01]:[Plan12]],$E$4:$P$4)/valUnits2</f>
        <v>147.99086800000001</v>
      </c>
      <c r="AE28">
        <f>SUMPRODUCT(DB_STProjectList[[#This Row],[Act01]:[Act12]],$Q$4:$AB$4)/valUnits2</f>
        <v>226.92348999999996</v>
      </c>
      <c r="AF28">
        <f>DB_STProjectList[[#This Row],[Actual]]-DB_STProjectList[[#This Row],[Plan]]</f>
        <v>78.932621999999952</v>
      </c>
      <c r="AG28">
        <f>IF(DB_STProjectList[[#This Row],[Plan]]&lt;&gt;0,DB_STProjectList[[#This Row],[Actual]]/DB_STProjectList[[#This Row],[Plan]],1.000011000011)</f>
        <v>1.533361436869199</v>
      </c>
      <c r="AH28" s="34" t="str">
        <f>IF(B28=B27,"","x")</f>
        <v>x</v>
      </c>
      <c r="AI28" s="34" t="str">
        <f>IF(C28=C27,"","x")</f>
        <v>x</v>
      </c>
    </row>
    <row r="29" spans="1:35" x14ac:dyDescent="0.2">
      <c r="A29">
        <f>SUBTOTAL(3,$B$6:B29)</f>
        <v>24</v>
      </c>
      <c r="B29" t="s">
        <v>346</v>
      </c>
      <c r="C29" t="s">
        <v>516</v>
      </c>
      <c r="D29" t="s">
        <v>966</v>
      </c>
      <c r="E29">
        <v>1081.4570000000001</v>
      </c>
      <c r="F29">
        <v>3682.498</v>
      </c>
      <c r="G29">
        <v>16248.057000000001</v>
      </c>
      <c r="H29">
        <v>23347.986000000001</v>
      </c>
      <c r="I29">
        <v>2844.0320000000002</v>
      </c>
      <c r="J29">
        <v>20151.371999999999</v>
      </c>
      <c r="K29">
        <v>0</v>
      </c>
      <c r="Q29">
        <v>1091.95</v>
      </c>
      <c r="R29">
        <v>3753.04</v>
      </c>
      <c r="S29">
        <v>16082.359999999999</v>
      </c>
      <c r="T29">
        <v>23524.330000000005</v>
      </c>
      <c r="U29">
        <v>2902.7799999999997</v>
      </c>
      <c r="V29">
        <v>3287.5699999999988</v>
      </c>
      <c r="W29">
        <v>1323.46</v>
      </c>
      <c r="AC29">
        <v>6</v>
      </c>
      <c r="AD29">
        <f>SUMPRODUCT(DB_STProjectList[[#This Row],[Plan01]:[Plan12]],$E$4:$P$4)/valUnits2</f>
        <v>67.355401999999998</v>
      </c>
      <c r="AE29">
        <f>SUMPRODUCT(DB_STProjectList[[#This Row],[Act01]:[Act12]],$Q$4:$AB$4)/valUnits2</f>
        <v>50.642030000000005</v>
      </c>
      <c r="AF29">
        <f>DB_STProjectList[[#This Row],[Actual]]-DB_STProjectList[[#This Row],[Plan]]</f>
        <v>-16.713371999999993</v>
      </c>
      <c r="AG29">
        <f>IF(DB_STProjectList[[#This Row],[Plan]]&lt;&gt;0,DB_STProjectList[[#This Row],[Actual]]/DB_STProjectList[[#This Row],[Plan]],1.000011000011)</f>
        <v>0.75186293149879813</v>
      </c>
      <c r="AH29" s="34" t="str">
        <f>IF(B29=B28,"","x")</f>
        <v/>
      </c>
      <c r="AI29" s="34" t="str">
        <f>IF(C29=C28,"","x")</f>
        <v>x</v>
      </c>
    </row>
    <row r="30" spans="1:35" x14ac:dyDescent="0.2">
      <c r="A30">
        <f>SUBTOTAL(3,$B$6:B30)</f>
        <v>25</v>
      </c>
      <c r="B30" t="s">
        <v>346</v>
      </c>
      <c r="C30" t="s">
        <v>516</v>
      </c>
      <c r="D30" t="s">
        <v>987</v>
      </c>
      <c r="E30">
        <v>29175.425000000003</v>
      </c>
      <c r="F30">
        <v>5391.5890000000009</v>
      </c>
      <c r="G30">
        <v>3659.2970000000018</v>
      </c>
      <c r="H30">
        <v>15298.188</v>
      </c>
      <c r="I30">
        <v>5988.0910000000003</v>
      </c>
      <c r="J30">
        <v>14621.733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29736.309999999998</v>
      </c>
      <c r="R30">
        <v>5419.8799999999992</v>
      </c>
      <c r="S30">
        <v>3689.6000000000076</v>
      </c>
      <c r="T30">
        <v>14909.329999999998</v>
      </c>
      <c r="U30">
        <v>6076.8100000000013</v>
      </c>
      <c r="V30">
        <v>19202.489999999994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6</v>
      </c>
      <c r="AD30">
        <f>SUMPRODUCT(DB_STProjectList[[#This Row],[Plan01]:[Plan12]],$E$4:$P$4)/valUnits2</f>
        <v>74.134323000000009</v>
      </c>
      <c r="AE30">
        <f>SUMPRODUCT(DB_STProjectList[[#This Row],[Act01]:[Act12]],$Q$4:$AB$4)/valUnits2</f>
        <v>79.034419999999983</v>
      </c>
      <c r="AF30">
        <f>DB_STProjectList[[#This Row],[Actual]]-DB_STProjectList[[#This Row],[Plan]]</f>
        <v>4.9000969999999739</v>
      </c>
      <c r="AG30">
        <f>IF(DB_STProjectList[[#This Row],[Plan]]&lt;&gt;0,DB_STProjectList[[#This Row],[Actual]]/DB_STProjectList[[#This Row],[Plan]],1.000011000011)</f>
        <v>1.0660975483650128</v>
      </c>
      <c r="AH30" s="34" t="str">
        <f>IF(B30=B29,"","x")</f>
        <v/>
      </c>
      <c r="AI30" s="34" t="str">
        <f>IF(C30=C29,"","x")</f>
        <v/>
      </c>
    </row>
    <row r="31" spans="1:35" x14ac:dyDescent="0.2">
      <c r="A31">
        <f>SUBTOTAL(3,$B$6:B31)</f>
        <v>26</v>
      </c>
      <c r="B31" t="s">
        <v>346</v>
      </c>
      <c r="C31" t="s">
        <v>517</v>
      </c>
      <c r="D31" t="s">
        <v>967</v>
      </c>
      <c r="E31">
        <v>4215.1239999999998</v>
      </c>
      <c r="F31">
        <v>4144.5029999999997</v>
      </c>
      <c r="G31">
        <v>3940.9319999999998</v>
      </c>
      <c r="H31">
        <v>4317.5479999999998</v>
      </c>
      <c r="J31">
        <v>0</v>
      </c>
      <c r="Q31">
        <v>4152.79</v>
      </c>
      <c r="R31">
        <v>4231.41</v>
      </c>
      <c r="S31">
        <v>3977.1299999999997</v>
      </c>
      <c r="T31">
        <v>4292.93</v>
      </c>
      <c r="V31">
        <v>-12501.47</v>
      </c>
      <c r="AC31">
        <v>6</v>
      </c>
      <c r="AD31">
        <f>SUMPRODUCT(DB_STProjectList[[#This Row],[Plan01]:[Plan12]],$E$4:$P$4)/valUnits2</f>
        <v>16.618106999999998</v>
      </c>
      <c r="AE31">
        <f>SUMPRODUCT(DB_STProjectList[[#This Row],[Act01]:[Act12]],$Q$4:$AB$4)/valUnits2</f>
        <v>4.1527900000000031</v>
      </c>
      <c r="AF31">
        <f>DB_STProjectList[[#This Row],[Actual]]-DB_STProjectList[[#This Row],[Plan]]</f>
        <v>-12.465316999999995</v>
      </c>
      <c r="AG31">
        <f>IF(DB_STProjectList[[#This Row],[Plan]]&lt;&gt;0,DB_STProjectList[[#This Row],[Actual]]/DB_STProjectList[[#This Row],[Plan]],1.000011000011)</f>
        <v>0.24989549050322057</v>
      </c>
      <c r="AH31" s="34" t="str">
        <f>IF(B31=B30,"","x")</f>
        <v/>
      </c>
      <c r="AI31" s="34" t="str">
        <f>IF(C31=C30,"","x")</f>
        <v>x</v>
      </c>
    </row>
    <row r="32" spans="1:35" x14ac:dyDescent="0.2">
      <c r="A32">
        <f>SUBTOTAL(3,$B$6:B32)</f>
        <v>27</v>
      </c>
      <c r="B32" t="s">
        <v>346</v>
      </c>
      <c r="C32" t="s">
        <v>518</v>
      </c>
      <c r="D32" t="s">
        <v>953</v>
      </c>
      <c r="G32">
        <v>336.26799999999997</v>
      </c>
      <c r="H32">
        <v>320.65600000000006</v>
      </c>
      <c r="I32">
        <v>175.089</v>
      </c>
      <c r="J32">
        <v>554.19899999999996</v>
      </c>
      <c r="K32">
        <v>1924.893</v>
      </c>
      <c r="L32">
        <v>1924.893</v>
      </c>
      <c r="M32">
        <v>554.19900000000007</v>
      </c>
      <c r="N32">
        <v>1924.893</v>
      </c>
      <c r="O32">
        <v>1924.893</v>
      </c>
      <c r="P32">
        <v>554.19900000000007</v>
      </c>
      <c r="S32">
        <v>335.14</v>
      </c>
      <c r="T32">
        <v>314.67</v>
      </c>
      <c r="U32">
        <v>175.92000000000002</v>
      </c>
      <c r="V32">
        <v>597.64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6</v>
      </c>
      <c r="AD32">
        <f>SUMPRODUCT(DB_STProjectList[[#This Row],[Plan01]:[Plan12]],$E$4:$P$4)/valUnits2</f>
        <v>1.386212</v>
      </c>
      <c r="AE32">
        <f>SUMPRODUCT(DB_STProjectList[[#This Row],[Act01]:[Act12]],$Q$4:$AB$4)/valUnits2</f>
        <v>1.4233699999999998</v>
      </c>
      <c r="AF32">
        <f>DB_STProjectList[[#This Row],[Actual]]-DB_STProjectList[[#This Row],[Plan]]</f>
        <v>3.7157999999999802E-2</v>
      </c>
      <c r="AG32">
        <f>IF(DB_STProjectList[[#This Row],[Plan]]&lt;&gt;0,DB_STProjectList[[#This Row],[Actual]]/DB_STProjectList[[#This Row],[Plan]],1.000011000011)</f>
        <v>1.026805423701425</v>
      </c>
      <c r="AH32" s="34" t="str">
        <f>IF(B32=B31,"","x")</f>
        <v/>
      </c>
      <c r="AI32" s="34" t="str">
        <f>IF(C32=C31,"","x")</f>
        <v>x</v>
      </c>
    </row>
    <row r="33" spans="1:35" x14ac:dyDescent="0.2">
      <c r="A33">
        <f>SUBTOTAL(3,$B$6:B33)</f>
        <v>28</v>
      </c>
      <c r="B33" t="s">
        <v>346</v>
      </c>
      <c r="C33" t="s">
        <v>518</v>
      </c>
      <c r="D33" t="s">
        <v>957</v>
      </c>
      <c r="E33">
        <v>106024.56199999993</v>
      </c>
      <c r="F33">
        <v>8349.2410000000036</v>
      </c>
      <c r="G33">
        <v>11276.270999999988</v>
      </c>
      <c r="H33">
        <v>255844.53900000005</v>
      </c>
      <c r="I33">
        <v>207345.12499999985</v>
      </c>
      <c r="J33">
        <v>211287.69200000004</v>
      </c>
      <c r="K33">
        <v>153760.77800000005</v>
      </c>
      <c r="L33">
        <v>153057.74000000002</v>
      </c>
      <c r="M33">
        <v>148476.16500000004</v>
      </c>
      <c r="N33">
        <v>152530.88200000013</v>
      </c>
      <c r="O33">
        <v>168890.37200000009</v>
      </c>
      <c r="P33">
        <v>157184.54700000008</v>
      </c>
      <c r="Q33">
        <v>103900.49000000002</v>
      </c>
      <c r="R33">
        <v>9760.9900000000143</v>
      </c>
      <c r="S33">
        <v>11368.19</v>
      </c>
      <c r="T33">
        <v>254476.79999999993</v>
      </c>
      <c r="U33">
        <v>207378.06999999995</v>
      </c>
      <c r="V33">
        <v>57976.11</v>
      </c>
      <c r="W33">
        <v>11032.87</v>
      </c>
      <c r="X33">
        <v>0</v>
      </c>
      <c r="Y33">
        <v>0</v>
      </c>
      <c r="Z33">
        <v>0</v>
      </c>
      <c r="AA33">
        <v>0</v>
      </c>
      <c r="AB33">
        <v>0</v>
      </c>
      <c r="AC33">
        <v>6</v>
      </c>
      <c r="AD33">
        <f>SUMPRODUCT(DB_STProjectList[[#This Row],[Plan01]:[Plan12]],$E$4:$P$4)/valUnits2</f>
        <v>800.12742999999989</v>
      </c>
      <c r="AE33">
        <f>SUMPRODUCT(DB_STProjectList[[#This Row],[Act01]:[Act12]],$Q$4:$AB$4)/valUnits2</f>
        <v>644.86064999999985</v>
      </c>
      <c r="AF33">
        <f>DB_STProjectList[[#This Row],[Actual]]-DB_STProjectList[[#This Row],[Plan]]</f>
        <v>-155.26678000000004</v>
      </c>
      <c r="AG33">
        <f>IF(DB_STProjectList[[#This Row],[Plan]]&lt;&gt;0,DB_STProjectList[[#This Row],[Actual]]/DB_STProjectList[[#This Row],[Plan]],1.000011000011)</f>
        <v>0.80594743514792377</v>
      </c>
      <c r="AH33" s="34" t="str">
        <f>IF(B33=B32,"","x")</f>
        <v/>
      </c>
      <c r="AI33" s="34" t="str">
        <f>IF(C33=C32,"","x")</f>
        <v/>
      </c>
    </row>
    <row r="34" spans="1:35" x14ac:dyDescent="0.2">
      <c r="A34">
        <f>SUBTOTAL(3,$B$6:B34)</f>
        <v>29</v>
      </c>
      <c r="B34" t="s">
        <v>347</v>
      </c>
      <c r="C34" t="s">
        <v>519</v>
      </c>
      <c r="D34" t="s">
        <v>945</v>
      </c>
      <c r="E34">
        <v>140577.72099999999</v>
      </c>
      <c r="F34">
        <v>94060.826000000015</v>
      </c>
      <c r="G34">
        <v>190511.98500000002</v>
      </c>
      <c r="H34">
        <v>158423.66400000002</v>
      </c>
      <c r="I34">
        <v>228074.43299999999</v>
      </c>
      <c r="J34">
        <v>61980.573000000004</v>
      </c>
      <c r="K34">
        <v>89863.987000000008</v>
      </c>
      <c r="L34">
        <v>89863.987000000008</v>
      </c>
      <c r="M34">
        <v>89863.987000000008</v>
      </c>
      <c r="N34">
        <v>89863.987000000008</v>
      </c>
      <c r="O34">
        <v>89863.987000000008</v>
      </c>
      <c r="P34">
        <v>89863.987000000008</v>
      </c>
      <c r="Q34">
        <v>102200.32000000001</v>
      </c>
      <c r="R34">
        <v>57106.25</v>
      </c>
      <c r="S34">
        <v>151338.07000000004</v>
      </c>
      <c r="T34">
        <v>94046.640000000014</v>
      </c>
      <c r="U34">
        <v>161603.93999999997</v>
      </c>
      <c r="V34">
        <v>114442.77000000002</v>
      </c>
      <c r="W34">
        <v>5924.21</v>
      </c>
      <c r="X34">
        <v>0</v>
      </c>
      <c r="Y34">
        <v>0</v>
      </c>
      <c r="Z34">
        <v>0</v>
      </c>
      <c r="AA34">
        <v>0</v>
      </c>
      <c r="AB34">
        <v>0</v>
      </c>
      <c r="AC34">
        <v>7</v>
      </c>
      <c r="AD34">
        <f>SUMPRODUCT(DB_STProjectList[[#This Row],[Plan01]:[Plan12]],$E$4:$P$4)/valUnits2</f>
        <v>873.62920199999996</v>
      </c>
      <c r="AE34">
        <f>SUMPRODUCT(DB_STProjectList[[#This Row],[Act01]:[Act12]],$Q$4:$AB$4)/valUnits2</f>
        <v>680.73798999999997</v>
      </c>
      <c r="AF34">
        <f>DB_STProjectList[[#This Row],[Actual]]-DB_STProjectList[[#This Row],[Plan]]</f>
        <v>-192.891212</v>
      </c>
      <c r="AG34">
        <f>IF(DB_STProjectList[[#This Row],[Plan]]&lt;&gt;0,DB_STProjectList[[#This Row],[Actual]]/DB_STProjectList[[#This Row],[Plan]],1.000011000011)</f>
        <v>0.77920700045463909</v>
      </c>
      <c r="AH34" s="34" t="str">
        <f>IF(B34=B33,"","x")</f>
        <v>x</v>
      </c>
      <c r="AI34" s="34" t="str">
        <f>IF(C34=C33,"","x")</f>
        <v>x</v>
      </c>
    </row>
    <row r="35" spans="1:35" x14ac:dyDescent="0.2">
      <c r="A35">
        <f>SUBTOTAL(3,$B$6:B35)</f>
        <v>30</v>
      </c>
      <c r="B35" t="s">
        <v>347</v>
      </c>
      <c r="C35" t="s">
        <v>519</v>
      </c>
      <c r="D35" t="s">
        <v>948</v>
      </c>
      <c r="E35">
        <v>0</v>
      </c>
      <c r="F35">
        <v>0</v>
      </c>
      <c r="G35">
        <v>0</v>
      </c>
      <c r="H35">
        <v>875.94500000000005</v>
      </c>
      <c r="I35">
        <v>863.30100000000004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850.24</v>
      </c>
      <c r="U35">
        <v>840.46</v>
      </c>
      <c r="V35">
        <v>65.81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7</v>
      </c>
      <c r="AD35">
        <f>SUMPRODUCT(DB_STProjectList[[#This Row],[Plan01]:[Plan12]],$E$4:$P$4)/valUnits2</f>
        <v>1.7392460000000001</v>
      </c>
      <c r="AE35">
        <f>SUMPRODUCT(DB_STProjectList[[#This Row],[Act01]:[Act12]],$Q$4:$AB$4)/valUnits2</f>
        <v>1.75651</v>
      </c>
      <c r="AF35">
        <f>DB_STProjectList[[#This Row],[Actual]]-DB_STProjectList[[#This Row],[Plan]]</f>
        <v>1.7263999999999946E-2</v>
      </c>
      <c r="AG35">
        <f>IF(DB_STProjectList[[#This Row],[Plan]]&lt;&gt;0,DB_STProjectList[[#This Row],[Actual]]/DB_STProjectList[[#This Row],[Plan]],1.000011000011)</f>
        <v>1.0099261404079698</v>
      </c>
      <c r="AH35" s="34" t="str">
        <f>IF(B35=B34,"","x")</f>
        <v/>
      </c>
      <c r="AI35" s="34" t="str">
        <f>IF(C35=C34,"","x")</f>
        <v/>
      </c>
    </row>
    <row r="36" spans="1:35" x14ac:dyDescent="0.2">
      <c r="A36">
        <f>SUBTOTAL(3,$B$6:B36)</f>
        <v>31</v>
      </c>
      <c r="B36" t="s">
        <v>347</v>
      </c>
      <c r="C36" t="s">
        <v>519</v>
      </c>
      <c r="D36" t="s">
        <v>952</v>
      </c>
      <c r="E36">
        <v>33202.271000000001</v>
      </c>
      <c r="F36">
        <v>33202.270999999964</v>
      </c>
      <c r="G36">
        <v>33202.271999999997</v>
      </c>
      <c r="H36">
        <v>706688.05400000012</v>
      </c>
      <c r="I36">
        <v>33202.271000000008</v>
      </c>
      <c r="J36">
        <v>33202.271000000001</v>
      </c>
      <c r="K36">
        <v>611132.19900000002</v>
      </c>
      <c r="L36">
        <v>33202.271000000001</v>
      </c>
      <c r="M36">
        <v>33202.271000000001</v>
      </c>
      <c r="N36">
        <v>558405.255</v>
      </c>
      <c r="O36">
        <v>33202.271000000001</v>
      </c>
      <c r="P36">
        <v>573061.68199999991</v>
      </c>
      <c r="Q36">
        <v>0</v>
      </c>
      <c r="R36">
        <v>4.9999999994525979E-2</v>
      </c>
      <c r="S36">
        <v>-1.0000000000218279E-2</v>
      </c>
      <c r="T36">
        <v>0</v>
      </c>
      <c r="U36">
        <v>0</v>
      </c>
      <c r="V36">
        <v>907929.05999999994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7</v>
      </c>
      <c r="AD36">
        <f>SUMPRODUCT(DB_STProjectList[[#This Row],[Plan01]:[Plan12]],$E$4:$P$4)/valUnits2</f>
        <v>872.69940999999994</v>
      </c>
      <c r="AE36">
        <f>SUMPRODUCT(DB_STProjectList[[#This Row],[Act01]:[Act12]],$Q$4:$AB$4)/valUnits2</f>
        <v>907.92909999999995</v>
      </c>
      <c r="AF36">
        <f>DB_STProjectList[[#This Row],[Actual]]-DB_STProjectList[[#This Row],[Plan]]</f>
        <v>35.229690000000005</v>
      </c>
      <c r="AG36">
        <f>IF(DB_STProjectList[[#This Row],[Plan]]&lt;&gt;0,DB_STProjectList[[#This Row],[Actual]]/DB_STProjectList[[#This Row],[Plan]],1.000011000011)</f>
        <v>1.0403686419359446</v>
      </c>
      <c r="AH36" s="34" t="str">
        <f>IF(B36=B35,"","x")</f>
        <v/>
      </c>
      <c r="AI36" s="34" t="str">
        <f>IF(C36=C35,"","x")</f>
        <v/>
      </c>
    </row>
    <row r="37" spans="1:35" x14ac:dyDescent="0.2">
      <c r="A37">
        <f>SUBTOTAL(3,$B$6:B37)</f>
        <v>32</v>
      </c>
      <c r="B37" t="s">
        <v>347</v>
      </c>
      <c r="C37" t="s">
        <v>519</v>
      </c>
      <c r="D37" t="s">
        <v>963</v>
      </c>
      <c r="I37">
        <v>0</v>
      </c>
      <c r="J37">
        <v>0</v>
      </c>
      <c r="U37">
        <v>0</v>
      </c>
      <c r="V37">
        <v>81741.789999999994</v>
      </c>
      <c r="AC37">
        <v>7</v>
      </c>
      <c r="AD37">
        <f>SUMPRODUCT(DB_STProjectList[[#This Row],[Plan01]:[Plan12]],$E$4:$P$4)/valUnits2</f>
        <v>0</v>
      </c>
      <c r="AE37">
        <f>SUMPRODUCT(DB_STProjectList[[#This Row],[Act01]:[Act12]],$Q$4:$AB$4)/valUnits2</f>
        <v>81.741789999999995</v>
      </c>
      <c r="AF37">
        <f>DB_STProjectList[[#This Row],[Actual]]-DB_STProjectList[[#This Row],[Plan]]</f>
        <v>81.741789999999995</v>
      </c>
      <c r="AG37">
        <f>IF(DB_STProjectList[[#This Row],[Plan]]&lt;&gt;0,DB_STProjectList[[#This Row],[Actual]]/DB_STProjectList[[#This Row],[Plan]],1.000011000011)</f>
        <v>1.0000110000110001</v>
      </c>
      <c r="AH37" s="34" t="str">
        <f>IF(B37=B36,"","x")</f>
        <v/>
      </c>
      <c r="AI37" s="34" t="str">
        <f>IF(C37=C36,"","x")</f>
        <v/>
      </c>
    </row>
    <row r="38" spans="1:35" x14ac:dyDescent="0.2">
      <c r="A38">
        <f>SUBTOTAL(3,$B$6:B38)</f>
        <v>33</v>
      </c>
      <c r="B38" t="s">
        <v>347</v>
      </c>
      <c r="C38" t="s">
        <v>519</v>
      </c>
      <c r="D38" t="s">
        <v>973</v>
      </c>
      <c r="E38">
        <v>0</v>
      </c>
      <c r="F38">
        <v>1657.84</v>
      </c>
      <c r="G38">
        <v>0</v>
      </c>
      <c r="H38">
        <v>54235.468999999997</v>
      </c>
      <c r="I38">
        <v>0</v>
      </c>
      <c r="J38">
        <v>409.24</v>
      </c>
      <c r="K38">
        <v>21182.812999999998</v>
      </c>
      <c r="L38">
        <v>0</v>
      </c>
      <c r="M38">
        <v>409.24</v>
      </c>
      <c r="N38">
        <v>25956.75</v>
      </c>
      <c r="O38">
        <v>0</v>
      </c>
      <c r="P38">
        <v>129172.39600000001</v>
      </c>
      <c r="Q38">
        <v>0</v>
      </c>
      <c r="R38">
        <v>1657.84</v>
      </c>
      <c r="S38">
        <v>0</v>
      </c>
      <c r="T38">
        <v>0</v>
      </c>
      <c r="U38">
        <v>0</v>
      </c>
      <c r="V38">
        <v>-5532.14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7</v>
      </c>
      <c r="AD38">
        <f>SUMPRODUCT(DB_STProjectList[[#This Row],[Plan01]:[Plan12]],$E$4:$P$4)/valUnits2</f>
        <v>56.302548999999992</v>
      </c>
      <c r="AE38">
        <f>SUMPRODUCT(DB_STProjectList[[#This Row],[Act01]:[Act12]],$Q$4:$AB$4)/valUnits2</f>
        <v>-3.8743000000000003</v>
      </c>
      <c r="AF38">
        <f>DB_STProjectList[[#This Row],[Actual]]-DB_STProjectList[[#This Row],[Plan]]</f>
        <v>-60.17684899999999</v>
      </c>
      <c r="AG38">
        <f>IF(DB_STProjectList[[#This Row],[Plan]]&lt;&gt;0,DB_STProjectList[[#This Row],[Actual]]/DB_STProjectList[[#This Row],[Plan]],1.000011000011)</f>
        <v>-6.8812159818909813E-2</v>
      </c>
      <c r="AH38" s="34" t="str">
        <f>IF(B38=B37,"","x")</f>
        <v/>
      </c>
      <c r="AI38" s="34" t="str">
        <f>IF(C38=C37,"","x")</f>
        <v/>
      </c>
    </row>
    <row r="39" spans="1:35" x14ac:dyDescent="0.2">
      <c r="A39">
        <f>SUBTOTAL(3,$B$6:B39)</f>
        <v>34</v>
      </c>
      <c r="B39" t="s">
        <v>347</v>
      </c>
      <c r="C39" t="s">
        <v>519</v>
      </c>
      <c r="D39" t="s">
        <v>991</v>
      </c>
      <c r="E39">
        <v>1118.7</v>
      </c>
      <c r="J39">
        <v>0</v>
      </c>
      <c r="Q39">
        <v>1118.7</v>
      </c>
      <c r="V39">
        <v>172.62</v>
      </c>
      <c r="AC39">
        <v>7</v>
      </c>
      <c r="AD39">
        <f>SUMPRODUCT(DB_STProjectList[[#This Row],[Plan01]:[Plan12]],$E$4:$P$4)/valUnits2</f>
        <v>1.1187</v>
      </c>
      <c r="AE39">
        <f>SUMPRODUCT(DB_STProjectList[[#This Row],[Act01]:[Act12]],$Q$4:$AB$4)/valUnits2</f>
        <v>1.2913200000000002</v>
      </c>
      <c r="AF39">
        <f>DB_STProjectList[[#This Row],[Actual]]-DB_STProjectList[[#This Row],[Plan]]</f>
        <v>0.17262000000000022</v>
      </c>
      <c r="AG39">
        <f>IF(DB_STProjectList[[#This Row],[Plan]]&lt;&gt;0,DB_STProjectList[[#This Row],[Actual]]/DB_STProjectList[[#This Row],[Plan]],1.000011000011)</f>
        <v>1.1543041029766696</v>
      </c>
      <c r="AH39" s="34" t="str">
        <f>IF(B39=B38,"","x")</f>
        <v/>
      </c>
      <c r="AI39" s="34" t="str">
        <f>IF(C39=C38,"","x")</f>
        <v/>
      </c>
    </row>
    <row r="40" spans="1:35" x14ac:dyDescent="0.2">
      <c r="A40">
        <f>SUBTOTAL(3,$B$6:B40)</f>
        <v>35</v>
      </c>
      <c r="B40" t="s">
        <v>347</v>
      </c>
      <c r="C40" t="s">
        <v>519</v>
      </c>
      <c r="D40" t="s">
        <v>1001</v>
      </c>
      <c r="E40">
        <v>13028.225999999999</v>
      </c>
      <c r="F40">
        <v>13028.225999999997</v>
      </c>
      <c r="G40">
        <v>13028.226000000001</v>
      </c>
      <c r="H40">
        <v>758258.16599999997</v>
      </c>
      <c r="I40">
        <v>13028.226000000001</v>
      </c>
      <c r="J40">
        <v>13028.225999999999</v>
      </c>
      <c r="K40">
        <v>634588.65100000007</v>
      </c>
      <c r="L40">
        <v>13028.225999999997</v>
      </c>
      <c r="M40">
        <v>13028.225999999999</v>
      </c>
      <c r="N40">
        <v>598115.50900000008</v>
      </c>
      <c r="O40">
        <v>13028.225999999999</v>
      </c>
      <c r="P40">
        <v>596603.478</v>
      </c>
      <c r="Q40">
        <v>0</v>
      </c>
      <c r="R40">
        <v>0</v>
      </c>
      <c r="S40">
        <v>0</v>
      </c>
      <c r="T40">
        <v>0</v>
      </c>
      <c r="U40">
        <v>0</v>
      </c>
      <c r="V40">
        <v>1087668.3600000001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7</v>
      </c>
      <c r="AD40">
        <f>SUMPRODUCT(DB_STProjectList[[#This Row],[Plan01]:[Plan12]],$E$4:$P$4)/valUnits2</f>
        <v>823.39929599999994</v>
      </c>
      <c r="AE40">
        <f>SUMPRODUCT(DB_STProjectList[[#This Row],[Act01]:[Act12]],$Q$4:$AB$4)/valUnits2</f>
        <v>1087.6683600000001</v>
      </c>
      <c r="AF40">
        <f>DB_STProjectList[[#This Row],[Actual]]-DB_STProjectList[[#This Row],[Plan]]</f>
        <v>264.26906400000018</v>
      </c>
      <c r="AG40">
        <f>IF(DB_STProjectList[[#This Row],[Plan]]&lt;&gt;0,DB_STProjectList[[#This Row],[Actual]]/DB_STProjectList[[#This Row],[Plan]],1.000011000011)</f>
        <v>1.320948858328876</v>
      </c>
      <c r="AH40" s="34" t="str">
        <f>IF(B40=B39,"","x")</f>
        <v/>
      </c>
      <c r="AI40" s="34" t="str">
        <f>IF(C40=C39,"","x")</f>
        <v/>
      </c>
    </row>
    <row r="41" spans="1:35" x14ac:dyDescent="0.2">
      <c r="A41">
        <f>SUBTOTAL(3,$B$6:B41)</f>
        <v>36</v>
      </c>
      <c r="B41" t="s">
        <v>347</v>
      </c>
      <c r="C41" t="s">
        <v>519</v>
      </c>
      <c r="D41" t="s">
        <v>1002</v>
      </c>
      <c r="E41">
        <v>0</v>
      </c>
      <c r="F41">
        <v>0</v>
      </c>
      <c r="G41">
        <v>0</v>
      </c>
      <c r="H41">
        <v>79195.593999999997</v>
      </c>
      <c r="I41">
        <v>0</v>
      </c>
      <c r="J41">
        <v>0</v>
      </c>
      <c r="K41">
        <v>122621.942</v>
      </c>
      <c r="L41">
        <v>0</v>
      </c>
      <c r="M41">
        <v>0</v>
      </c>
      <c r="N41">
        <v>101561.269</v>
      </c>
      <c r="O41">
        <v>0</v>
      </c>
      <c r="P41">
        <v>101310.019</v>
      </c>
      <c r="Q41">
        <v>0</v>
      </c>
      <c r="R41">
        <v>0</v>
      </c>
      <c r="S41">
        <v>0</v>
      </c>
      <c r="T41">
        <v>0</v>
      </c>
      <c r="U41">
        <v>0</v>
      </c>
      <c r="V41">
        <v>211188.41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7</v>
      </c>
      <c r="AD41">
        <f>SUMPRODUCT(DB_STProjectList[[#This Row],[Plan01]:[Plan12]],$E$4:$P$4)/valUnits2</f>
        <v>79.195594</v>
      </c>
      <c r="AE41">
        <f>SUMPRODUCT(DB_STProjectList[[#This Row],[Act01]:[Act12]],$Q$4:$AB$4)/valUnits2</f>
        <v>211.18841</v>
      </c>
      <c r="AF41">
        <f>DB_STProjectList[[#This Row],[Actual]]-DB_STProjectList[[#This Row],[Plan]]</f>
        <v>131.992816</v>
      </c>
      <c r="AG41">
        <f>IF(DB_STProjectList[[#This Row],[Plan]]&lt;&gt;0,DB_STProjectList[[#This Row],[Actual]]/DB_STProjectList[[#This Row],[Plan]],1.000011000011)</f>
        <v>2.6666686785631031</v>
      </c>
      <c r="AH41" s="34" t="str">
        <f>IF(B41=B40,"","x")</f>
        <v/>
      </c>
      <c r="AI41" s="34" t="str">
        <f>IF(C41=C40,"","x")</f>
        <v/>
      </c>
    </row>
    <row r="42" spans="1:35" x14ac:dyDescent="0.2">
      <c r="A42">
        <f>SUBTOTAL(3,$B$6:B42)</f>
        <v>37</v>
      </c>
      <c r="B42" t="s">
        <v>347</v>
      </c>
      <c r="C42" t="s">
        <v>520</v>
      </c>
      <c r="D42" t="s">
        <v>949</v>
      </c>
      <c r="E42">
        <v>-405.262</v>
      </c>
      <c r="Q42">
        <v>-387.54</v>
      </c>
      <c r="AC42">
        <v>7</v>
      </c>
      <c r="AD42">
        <f>SUMPRODUCT(DB_STProjectList[[#This Row],[Plan01]:[Plan12]],$E$4:$P$4)/valUnits2</f>
        <v>-0.40526200000000001</v>
      </c>
      <c r="AE42">
        <f>SUMPRODUCT(DB_STProjectList[[#This Row],[Act01]:[Act12]],$Q$4:$AB$4)/valUnits2</f>
        <v>-0.38754</v>
      </c>
      <c r="AF42">
        <f>DB_STProjectList[[#This Row],[Actual]]-DB_STProjectList[[#This Row],[Plan]]</f>
        <v>1.7722000000000016E-2</v>
      </c>
      <c r="AG42">
        <f>IF(DB_STProjectList[[#This Row],[Plan]]&lt;&gt;0,DB_STProjectList[[#This Row],[Actual]]/DB_STProjectList[[#This Row],[Plan]],1.000011000011)</f>
        <v>0.95627026466828857</v>
      </c>
      <c r="AH42" s="34" t="str">
        <f>IF(B42=B41,"","x")</f>
        <v/>
      </c>
      <c r="AI42" s="34" t="str">
        <f>IF(C42=C41,"","x")</f>
        <v>x</v>
      </c>
    </row>
    <row r="43" spans="1:35" x14ac:dyDescent="0.2">
      <c r="A43">
        <f>SUBTOTAL(3,$B$6:B43)</f>
        <v>38</v>
      </c>
      <c r="B43" t="s">
        <v>347</v>
      </c>
      <c r="C43" t="s">
        <v>520</v>
      </c>
      <c r="D43" t="s">
        <v>961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7</v>
      </c>
      <c r="AD43">
        <f>SUMPRODUCT(DB_STProjectList[[#This Row],[Plan01]:[Plan12]],$E$4:$P$4)/valUnits2</f>
        <v>0</v>
      </c>
      <c r="AE43">
        <f>SUMPRODUCT(DB_STProjectList[[#This Row],[Act01]:[Act12]],$Q$4:$AB$4)/valUnits2</f>
        <v>0</v>
      </c>
      <c r="AF43">
        <f>DB_STProjectList[[#This Row],[Actual]]-DB_STProjectList[[#This Row],[Plan]]</f>
        <v>0</v>
      </c>
      <c r="AG43">
        <f>IF(DB_STProjectList[[#This Row],[Plan]]&lt;&gt;0,DB_STProjectList[[#This Row],[Actual]]/DB_STProjectList[[#This Row],[Plan]],1.000011000011)</f>
        <v>1.0000110000110001</v>
      </c>
      <c r="AH43" s="34" t="str">
        <f>IF(B43=B42,"","x")</f>
        <v/>
      </c>
      <c r="AI43" s="34" t="str">
        <f>IF(C43=C42,"","x")</f>
        <v/>
      </c>
    </row>
    <row r="44" spans="1:35" x14ac:dyDescent="0.2">
      <c r="A44">
        <f>SUBTOTAL(3,$B$6:B44)</f>
        <v>39</v>
      </c>
      <c r="B44" t="s">
        <v>347</v>
      </c>
      <c r="C44" t="s">
        <v>521</v>
      </c>
      <c r="D44" t="s">
        <v>962</v>
      </c>
      <c r="H44">
        <v>62592.341999999997</v>
      </c>
      <c r="J44">
        <v>0</v>
      </c>
      <c r="K44">
        <v>50087.85</v>
      </c>
      <c r="T44">
        <v>0</v>
      </c>
      <c r="V44">
        <v>91478.83</v>
      </c>
      <c r="W44">
        <v>0</v>
      </c>
      <c r="AC44">
        <v>7</v>
      </c>
      <c r="AD44">
        <f>SUMPRODUCT(DB_STProjectList[[#This Row],[Plan01]:[Plan12]],$E$4:$P$4)/valUnits2</f>
        <v>62.592341999999995</v>
      </c>
      <c r="AE44">
        <f>SUMPRODUCT(DB_STProjectList[[#This Row],[Act01]:[Act12]],$Q$4:$AB$4)/valUnits2</f>
        <v>91.478830000000002</v>
      </c>
      <c r="AF44">
        <f>DB_STProjectList[[#This Row],[Actual]]-DB_STProjectList[[#This Row],[Plan]]</f>
        <v>28.886488000000007</v>
      </c>
      <c r="AG44">
        <f>IF(DB_STProjectList[[#This Row],[Plan]]&lt;&gt;0,DB_STProjectList[[#This Row],[Actual]]/DB_STProjectList[[#This Row],[Plan]],1.000011000011)</f>
        <v>1.4615019517882877</v>
      </c>
      <c r="AH44" s="34" t="str">
        <f>IF(B44=B43,"","x")</f>
        <v/>
      </c>
      <c r="AI44" s="34" t="str">
        <f>IF(C44=C43,"","x")</f>
        <v>x</v>
      </c>
    </row>
    <row r="45" spans="1:35" x14ac:dyDescent="0.2">
      <c r="A45">
        <f>SUBTOTAL(3,$B$6:B45)</f>
        <v>40</v>
      </c>
      <c r="B45" t="s">
        <v>348</v>
      </c>
      <c r="C45" t="s">
        <v>522</v>
      </c>
      <c r="D45" t="s">
        <v>970</v>
      </c>
      <c r="E45">
        <v>17732.246000000006</v>
      </c>
      <c r="F45">
        <v>164616.27500000005</v>
      </c>
      <c r="G45">
        <v>289597.07899999997</v>
      </c>
      <c r="H45">
        <v>77662.606</v>
      </c>
      <c r="I45">
        <v>172655.95500000007</v>
      </c>
      <c r="J45">
        <v>111865.099</v>
      </c>
      <c r="K45">
        <v>105366.042</v>
      </c>
      <c r="L45">
        <v>105366.042</v>
      </c>
      <c r="M45">
        <v>105366.04200000002</v>
      </c>
      <c r="N45">
        <v>105366.042</v>
      </c>
      <c r="O45">
        <v>105366.042</v>
      </c>
      <c r="P45">
        <v>105366.042</v>
      </c>
      <c r="Q45">
        <v>17732</v>
      </c>
      <c r="R45">
        <v>163762.45000000004</v>
      </c>
      <c r="S45">
        <v>289561.78999999998</v>
      </c>
      <c r="T45">
        <v>77526.620000000024</v>
      </c>
      <c r="U45">
        <v>172676.24000000008</v>
      </c>
      <c r="V45">
        <v>109867.47000000002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8</v>
      </c>
      <c r="AD45">
        <f>SUMPRODUCT(DB_STProjectList[[#This Row],[Plan01]:[Plan12]],$E$4:$P$4)/valUnits2</f>
        <v>834.12926000000016</v>
      </c>
      <c r="AE45">
        <f>SUMPRODUCT(DB_STProjectList[[#This Row],[Act01]:[Act12]],$Q$4:$AB$4)/valUnits2</f>
        <v>831.12657000000002</v>
      </c>
      <c r="AF45">
        <f>DB_STProjectList[[#This Row],[Actual]]-DB_STProjectList[[#This Row],[Plan]]</f>
        <v>-3.0026900000001433</v>
      </c>
      <c r="AG45">
        <f>IF(DB_STProjectList[[#This Row],[Plan]]&lt;&gt;0,DB_STProjectList[[#This Row],[Actual]]/DB_STProjectList[[#This Row],[Plan]],1.000011000011)</f>
        <v>0.99640021020243297</v>
      </c>
      <c r="AH45" s="34" t="str">
        <f>IF(B45=B44,"","x")</f>
        <v>x</v>
      </c>
      <c r="AI45" s="34" t="str">
        <f>IF(C45=C44,"","x")</f>
        <v>x</v>
      </c>
    </row>
    <row r="46" spans="1:35" x14ac:dyDescent="0.2">
      <c r="A46">
        <f>SUBTOTAL(3,$B$6:B46)</f>
        <v>41</v>
      </c>
      <c r="B46" t="s">
        <v>348</v>
      </c>
      <c r="C46" t="s">
        <v>522</v>
      </c>
      <c r="D46" t="s">
        <v>981</v>
      </c>
      <c r="E46">
        <v>245891.72099999996</v>
      </c>
      <c r="F46">
        <v>483914.74299999978</v>
      </c>
      <c r="G46">
        <v>275003.33800000005</v>
      </c>
      <c r="H46">
        <v>399694.16499999992</v>
      </c>
      <c r="I46">
        <v>271451.53799999994</v>
      </c>
      <c r="J46">
        <v>325587.42199999996</v>
      </c>
      <c r="K46">
        <v>345019.97200000013</v>
      </c>
      <c r="L46">
        <v>249166.12</v>
      </c>
      <c r="M46">
        <v>249257.5</v>
      </c>
      <c r="N46">
        <v>249166.12</v>
      </c>
      <c r="O46">
        <v>249166.11999999997</v>
      </c>
      <c r="P46">
        <v>345935.16700000002</v>
      </c>
      <c r="Q46">
        <v>234386.22999999995</v>
      </c>
      <c r="R46">
        <v>485826.95999999996</v>
      </c>
      <c r="S46">
        <v>259481.33999999997</v>
      </c>
      <c r="T46">
        <v>379653.36000000016</v>
      </c>
      <c r="U46">
        <v>256172.07000000021</v>
      </c>
      <c r="V46">
        <v>461531.76999999984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8</v>
      </c>
      <c r="AD46">
        <f>SUMPRODUCT(DB_STProjectList[[#This Row],[Plan01]:[Plan12]],$E$4:$P$4)/valUnits2</f>
        <v>2001.5429269999997</v>
      </c>
      <c r="AE46">
        <f>SUMPRODUCT(DB_STProjectList[[#This Row],[Act01]:[Act12]],$Q$4:$AB$4)/valUnits2</f>
        <v>2077.0517300000001</v>
      </c>
      <c r="AF46">
        <f>DB_STProjectList[[#This Row],[Actual]]-DB_STProjectList[[#This Row],[Plan]]</f>
        <v>75.508803000000398</v>
      </c>
      <c r="AG46">
        <f>IF(DB_STProjectList[[#This Row],[Plan]]&lt;&gt;0,DB_STProjectList[[#This Row],[Actual]]/DB_STProjectList[[#This Row],[Plan]],1.000011000011)</f>
        <v>1.0377252978097133</v>
      </c>
      <c r="AH46" s="34" t="str">
        <f>IF(B46=B45,"","x")</f>
        <v/>
      </c>
      <c r="AI46" s="34" t="str">
        <f>IF(C46=C45,"","x")</f>
        <v/>
      </c>
    </row>
    <row r="47" spans="1:35" x14ac:dyDescent="0.2">
      <c r="A47">
        <f>SUBTOTAL(3,$B$6:B47)</f>
        <v>42</v>
      </c>
      <c r="B47" t="s">
        <v>348</v>
      </c>
      <c r="C47" t="s">
        <v>522</v>
      </c>
      <c r="D47" t="s">
        <v>993</v>
      </c>
      <c r="E47">
        <v>1237.7170000000001</v>
      </c>
      <c r="F47">
        <v>35113.851999999999</v>
      </c>
      <c r="G47">
        <v>1396.4090000000001</v>
      </c>
      <c r="H47">
        <v>39902.920999999995</v>
      </c>
      <c r="I47">
        <v>1930.5280000000007</v>
      </c>
      <c r="J47">
        <v>18191.547999999999</v>
      </c>
      <c r="K47">
        <v>15011.754000000003</v>
      </c>
      <c r="L47">
        <v>12982.258000000003</v>
      </c>
      <c r="M47">
        <v>15554.333000000002</v>
      </c>
      <c r="N47">
        <v>11717.338000000003</v>
      </c>
      <c r="O47">
        <v>14066.043000000001</v>
      </c>
      <c r="P47">
        <v>11475.656000000003</v>
      </c>
      <c r="Q47">
        <v>1218.6500000000001</v>
      </c>
      <c r="R47">
        <v>36087.75</v>
      </c>
      <c r="S47">
        <v>1409.0500000000009</v>
      </c>
      <c r="T47">
        <v>39763.08</v>
      </c>
      <c r="U47">
        <v>1917.34</v>
      </c>
      <c r="V47">
        <v>1392.989999999998</v>
      </c>
      <c r="W47">
        <v>37226.519999999997</v>
      </c>
      <c r="X47">
        <v>0</v>
      </c>
      <c r="Y47">
        <v>0</v>
      </c>
      <c r="Z47">
        <v>0</v>
      </c>
      <c r="AA47">
        <v>0</v>
      </c>
      <c r="AB47">
        <v>0</v>
      </c>
      <c r="AC47">
        <v>8</v>
      </c>
      <c r="AD47">
        <f>SUMPRODUCT(DB_STProjectList[[#This Row],[Plan01]:[Plan12]],$E$4:$P$4)/valUnits2</f>
        <v>97.772974999999988</v>
      </c>
      <c r="AE47">
        <f>SUMPRODUCT(DB_STProjectList[[#This Row],[Act01]:[Act12]],$Q$4:$AB$4)/valUnits2</f>
        <v>81.788859999999985</v>
      </c>
      <c r="AF47">
        <f>DB_STProjectList[[#This Row],[Actual]]-DB_STProjectList[[#This Row],[Plan]]</f>
        <v>-15.984115000000003</v>
      </c>
      <c r="AG47">
        <f>IF(DB_STProjectList[[#This Row],[Plan]]&lt;&gt;0,DB_STProjectList[[#This Row],[Actual]]/DB_STProjectList[[#This Row],[Plan]],1.000011000011)</f>
        <v>0.83651806646979898</v>
      </c>
      <c r="AH47" s="34" t="str">
        <f>IF(B47=B46,"","x")</f>
        <v/>
      </c>
      <c r="AI47" s="34" t="str">
        <f>IF(C47=C46,"","x")</f>
        <v/>
      </c>
    </row>
    <row r="48" spans="1:35" x14ac:dyDescent="0.2">
      <c r="A48">
        <f>SUBTOTAL(3,$B$6:B48)</f>
        <v>43</v>
      </c>
      <c r="B48" t="s">
        <v>348</v>
      </c>
      <c r="C48" t="s">
        <v>523</v>
      </c>
      <c r="D48" t="s">
        <v>942</v>
      </c>
      <c r="E48">
        <v>8390.4229999999989</v>
      </c>
      <c r="F48">
        <v>18741.251999999993</v>
      </c>
      <c r="G48">
        <v>49257.298999999992</v>
      </c>
      <c r="H48">
        <v>24177.780999999999</v>
      </c>
      <c r="I48">
        <v>-9218.2069999999949</v>
      </c>
      <c r="J48">
        <v>30212.933000000005</v>
      </c>
      <c r="K48">
        <v>28416.590000000007</v>
      </c>
      <c r="L48">
        <v>28499.923000000003</v>
      </c>
      <c r="M48">
        <v>31760.597000000005</v>
      </c>
      <c r="N48">
        <v>38667.686999999998</v>
      </c>
      <c r="O48">
        <v>29813.327000000005</v>
      </c>
      <c r="P48">
        <v>26469.320000000007</v>
      </c>
      <c r="Q48">
        <v>3365.28</v>
      </c>
      <c r="R48">
        <v>13709.209999999995</v>
      </c>
      <c r="S48">
        <v>44005.420000000006</v>
      </c>
      <c r="T48">
        <v>19039.509999999987</v>
      </c>
      <c r="U48">
        <v>-14080.35</v>
      </c>
      <c r="V48">
        <v>5929.9400000000014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8</v>
      </c>
      <c r="AD48">
        <f>SUMPRODUCT(DB_STProjectList[[#This Row],[Plan01]:[Plan12]],$E$4:$P$4)/valUnits2</f>
        <v>121.561481</v>
      </c>
      <c r="AE48">
        <f>SUMPRODUCT(DB_STProjectList[[#This Row],[Act01]:[Act12]],$Q$4:$AB$4)/valUnits2</f>
        <v>71.969009999999983</v>
      </c>
      <c r="AF48">
        <f>DB_STProjectList[[#This Row],[Actual]]-DB_STProjectList[[#This Row],[Plan]]</f>
        <v>-49.592471000000018</v>
      </c>
      <c r="AG48">
        <f>IF(DB_STProjectList[[#This Row],[Plan]]&lt;&gt;0,DB_STProjectList[[#This Row],[Actual]]/DB_STProjectList[[#This Row],[Plan]],1.000011000011)</f>
        <v>0.59203794991605918</v>
      </c>
      <c r="AH48" s="34" t="str">
        <f>IF(B48=B47,"","x")</f>
        <v/>
      </c>
      <c r="AI48" s="34" t="str">
        <f>IF(C48=C47,"","x")</f>
        <v>x</v>
      </c>
    </row>
    <row r="49" spans="1:35" x14ac:dyDescent="0.2">
      <c r="A49">
        <f>SUBTOTAL(3,$B$6:B49)</f>
        <v>44</v>
      </c>
      <c r="B49" t="s">
        <v>349</v>
      </c>
      <c r="C49" t="s">
        <v>524</v>
      </c>
      <c r="D49" t="s">
        <v>940</v>
      </c>
      <c r="E49">
        <v>10.851000000000001</v>
      </c>
      <c r="F49">
        <v>387.96699999999998</v>
      </c>
      <c r="G49">
        <v>755.56499999999994</v>
      </c>
      <c r="H49">
        <v>9715.5190000000002</v>
      </c>
      <c r="I49">
        <v>1785.4860000000001</v>
      </c>
      <c r="J49">
        <v>1880.8790000000001</v>
      </c>
      <c r="K49">
        <v>1880.8790000000001</v>
      </c>
      <c r="L49">
        <v>1880.8790000000001</v>
      </c>
      <c r="M49">
        <v>1880.8790000000001</v>
      </c>
      <c r="N49">
        <v>1880.8790000000001</v>
      </c>
      <c r="O49">
        <v>1880.8790000000001</v>
      </c>
      <c r="P49">
        <v>1880.8790000000001</v>
      </c>
      <c r="Q49">
        <v>10.9</v>
      </c>
      <c r="R49">
        <v>395.52</v>
      </c>
      <c r="S49">
        <v>850.12000000000012</v>
      </c>
      <c r="T49">
        <v>9751.92</v>
      </c>
      <c r="U49">
        <v>1809.73</v>
      </c>
      <c r="V49">
        <v>-250.13000000000011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9</v>
      </c>
      <c r="AD49">
        <f>SUMPRODUCT(DB_STProjectList[[#This Row],[Plan01]:[Plan12]],$E$4:$P$4)/valUnits2</f>
        <v>14.536267000000002</v>
      </c>
      <c r="AE49">
        <f>SUMPRODUCT(DB_STProjectList[[#This Row],[Act01]:[Act12]],$Q$4:$AB$4)/valUnits2</f>
        <v>12.568059999999997</v>
      </c>
      <c r="AF49">
        <f>DB_STProjectList[[#This Row],[Actual]]-DB_STProjectList[[#This Row],[Plan]]</f>
        <v>-1.9682070000000049</v>
      </c>
      <c r="AG49">
        <f>IF(DB_STProjectList[[#This Row],[Plan]]&lt;&gt;0,DB_STProjectList[[#This Row],[Actual]]/DB_STProjectList[[#This Row],[Plan]],1.000011000011)</f>
        <v>0.86460024434058591</v>
      </c>
      <c r="AH49" s="34" t="str">
        <f>IF(B49=B48,"","x")</f>
        <v>x</v>
      </c>
      <c r="AI49" s="34" t="str">
        <f>IF(C49=C48,"","x")</f>
        <v>x</v>
      </c>
    </row>
    <row r="50" spans="1:35" x14ac:dyDescent="0.2">
      <c r="A50">
        <f>SUBTOTAL(3,$B$6:B50)</f>
        <v>45</v>
      </c>
      <c r="B50" t="s">
        <v>349</v>
      </c>
      <c r="C50" t="s">
        <v>524</v>
      </c>
      <c r="D50" t="s">
        <v>978</v>
      </c>
      <c r="E50">
        <v>0</v>
      </c>
      <c r="H50">
        <v>65.539999999999992</v>
      </c>
      <c r="I50">
        <v>2562.48</v>
      </c>
      <c r="J50">
        <v>0</v>
      </c>
      <c r="K50">
        <v>0</v>
      </c>
      <c r="N50">
        <v>0</v>
      </c>
      <c r="Q50">
        <v>0</v>
      </c>
      <c r="T50">
        <v>65.539999999999992</v>
      </c>
      <c r="U50">
        <v>2562.48</v>
      </c>
      <c r="V50">
        <v>-2398.81</v>
      </c>
      <c r="W50">
        <v>0</v>
      </c>
      <c r="Z50">
        <v>0</v>
      </c>
      <c r="AC50">
        <v>9</v>
      </c>
      <c r="AD50">
        <f>SUMPRODUCT(DB_STProjectList[[#This Row],[Plan01]:[Plan12]],$E$4:$P$4)/valUnits2</f>
        <v>2.6280199999999998</v>
      </c>
      <c r="AE50">
        <f>SUMPRODUCT(DB_STProjectList[[#This Row],[Act01]:[Act12]],$Q$4:$AB$4)/valUnits2</f>
        <v>0.22921000000000002</v>
      </c>
      <c r="AF50">
        <f>DB_STProjectList[[#This Row],[Actual]]-DB_STProjectList[[#This Row],[Plan]]</f>
        <v>-2.3988099999999997</v>
      </c>
      <c r="AG50">
        <f>IF(DB_STProjectList[[#This Row],[Plan]]&lt;&gt;0,DB_STProjectList[[#This Row],[Actual]]/DB_STProjectList[[#This Row],[Plan]],1.000011000011)</f>
        <v>8.7217753289548797E-2</v>
      </c>
      <c r="AH50" s="34" t="str">
        <f>IF(B50=B49,"","x")</f>
        <v/>
      </c>
      <c r="AI50" s="34" t="str">
        <f>IF(C50=C49,"","x")</f>
        <v/>
      </c>
    </row>
    <row r="51" spans="1:35" x14ac:dyDescent="0.2">
      <c r="A51">
        <f>SUBTOTAL(3,$B$6:B51)</f>
        <v>46</v>
      </c>
      <c r="B51" t="s">
        <v>349</v>
      </c>
      <c r="C51" t="s">
        <v>524</v>
      </c>
      <c r="D51" t="s">
        <v>983</v>
      </c>
      <c r="E51">
        <v>35446.603999999999</v>
      </c>
      <c r="F51">
        <v>310283.34399999998</v>
      </c>
      <c r="G51">
        <v>73136.933000000019</v>
      </c>
      <c r="H51">
        <v>259758.69200000001</v>
      </c>
      <c r="I51">
        <v>219541.465</v>
      </c>
      <c r="J51">
        <v>163961.83999999994</v>
      </c>
      <c r="K51">
        <v>150294.72199999989</v>
      </c>
      <c r="L51">
        <v>143052.47399999999</v>
      </c>
      <c r="M51">
        <v>143221.63999999993</v>
      </c>
      <c r="N51">
        <v>163027.08099999992</v>
      </c>
      <c r="O51">
        <v>141024.22399999993</v>
      </c>
      <c r="P51">
        <v>141028.22399999999</v>
      </c>
      <c r="Q51">
        <v>33017.739999999969</v>
      </c>
      <c r="R51">
        <v>308017.81999999989</v>
      </c>
      <c r="S51">
        <v>71149.509999999951</v>
      </c>
      <c r="T51">
        <v>257375.53999999998</v>
      </c>
      <c r="U51">
        <v>217278.86999999997</v>
      </c>
      <c r="V51">
        <v>833244.80999999982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9</v>
      </c>
      <c r="AD51">
        <f>SUMPRODUCT(DB_STProjectList[[#This Row],[Plan01]:[Plan12]],$E$4:$P$4)/valUnits2</f>
        <v>1062.1288779999998</v>
      </c>
      <c r="AE51">
        <f>SUMPRODUCT(DB_STProjectList[[#This Row],[Act01]:[Act12]],$Q$4:$AB$4)/valUnits2</f>
        <v>1720.0842899999996</v>
      </c>
      <c r="AF51">
        <f>DB_STProjectList[[#This Row],[Actual]]-DB_STProjectList[[#This Row],[Plan]]</f>
        <v>657.9554119999998</v>
      </c>
      <c r="AG51">
        <f>IF(DB_STProjectList[[#This Row],[Plan]]&lt;&gt;0,DB_STProjectList[[#This Row],[Actual]]/DB_STProjectList[[#This Row],[Plan]],1.000011000011)</f>
        <v>1.6194685274342009</v>
      </c>
      <c r="AH51" s="34" t="str">
        <f>IF(B51=B50,"","x")</f>
        <v/>
      </c>
      <c r="AI51" s="34" t="str">
        <f>IF(C51=C50,"","x")</f>
        <v/>
      </c>
    </row>
    <row r="52" spans="1:35" x14ac:dyDescent="0.2">
      <c r="A52">
        <f>SUBTOTAL(3,$B$6:B52)</f>
        <v>47</v>
      </c>
      <c r="B52" t="s">
        <v>349</v>
      </c>
      <c r="C52" t="s">
        <v>524</v>
      </c>
      <c r="D52" t="s">
        <v>985</v>
      </c>
      <c r="E52">
        <v>33235.575999999994</v>
      </c>
      <c r="F52">
        <v>19493.719000000005</v>
      </c>
      <c r="G52">
        <v>8120.2590000000037</v>
      </c>
      <c r="H52">
        <v>20425.713000000003</v>
      </c>
      <c r="I52">
        <v>7765.0030000000006</v>
      </c>
      <c r="J52">
        <v>34499.630000000005</v>
      </c>
      <c r="Q52">
        <v>33551.56</v>
      </c>
      <c r="R52">
        <v>19839.069999999996</v>
      </c>
      <c r="S52">
        <v>8104.3999999999978</v>
      </c>
      <c r="T52">
        <v>20556.620000000003</v>
      </c>
      <c r="U52">
        <v>8030.6999999999953</v>
      </c>
      <c r="V52">
        <v>15887.61</v>
      </c>
      <c r="AC52">
        <v>9</v>
      </c>
      <c r="AD52">
        <f>SUMPRODUCT(DB_STProjectList[[#This Row],[Plan01]:[Plan12]],$E$4:$P$4)/valUnits2</f>
        <v>123.5399</v>
      </c>
      <c r="AE52">
        <f>SUMPRODUCT(DB_STProjectList[[#This Row],[Act01]:[Act12]],$Q$4:$AB$4)/valUnits2</f>
        <v>105.96995999999999</v>
      </c>
      <c r="AF52">
        <f>DB_STProjectList[[#This Row],[Actual]]-DB_STProjectList[[#This Row],[Plan]]</f>
        <v>-17.569940000000017</v>
      </c>
      <c r="AG52">
        <f>IF(DB_STProjectList[[#This Row],[Plan]]&lt;&gt;0,DB_STProjectList[[#This Row],[Actual]]/DB_STProjectList[[#This Row],[Plan]],1.000011000011)</f>
        <v>0.85777922760177061</v>
      </c>
      <c r="AH52" s="34" t="str">
        <f>IF(B52=B51,"","x")</f>
        <v/>
      </c>
      <c r="AI52" s="34" t="str">
        <f>IF(C52=C51,"","x")</f>
        <v/>
      </c>
    </row>
    <row r="53" spans="1:35" x14ac:dyDescent="0.2">
      <c r="A53">
        <f>SUBTOTAL(3,$B$6:B53)</f>
        <v>48</v>
      </c>
      <c r="B53" t="s">
        <v>349</v>
      </c>
      <c r="C53" t="s">
        <v>524</v>
      </c>
      <c r="D53" t="s">
        <v>994</v>
      </c>
      <c r="E53">
        <v>49.540000000000006</v>
      </c>
      <c r="Q53">
        <v>49.54</v>
      </c>
      <c r="AC53">
        <v>9</v>
      </c>
      <c r="AD53">
        <f>SUMPRODUCT(DB_STProjectList[[#This Row],[Plan01]:[Plan12]],$E$4:$P$4)/valUnits2</f>
        <v>4.9540000000000008E-2</v>
      </c>
      <c r="AE53">
        <f>SUMPRODUCT(DB_STProjectList[[#This Row],[Act01]:[Act12]],$Q$4:$AB$4)/valUnits2</f>
        <v>4.9540000000000001E-2</v>
      </c>
      <c r="AF53">
        <f>DB_STProjectList[[#This Row],[Actual]]-DB_STProjectList[[#This Row],[Plan]]</f>
        <v>0</v>
      </c>
      <c r="AG53">
        <f>IF(DB_STProjectList[[#This Row],[Plan]]&lt;&gt;0,DB_STProjectList[[#This Row],[Actual]]/DB_STProjectList[[#This Row],[Plan]],1.000011000011)</f>
        <v>0.99999999999999989</v>
      </c>
      <c r="AH53" s="34" t="str">
        <f>IF(B53=B52,"","x")</f>
        <v/>
      </c>
      <c r="AI53" s="34" t="str">
        <f>IF(C53=C52,"","x")</f>
        <v/>
      </c>
    </row>
    <row r="54" spans="1:35" x14ac:dyDescent="0.2">
      <c r="A54">
        <f>SUBTOTAL(3,$B$6:B54)</f>
        <v>49</v>
      </c>
      <c r="B54" t="s">
        <v>349</v>
      </c>
      <c r="C54" t="s">
        <v>525</v>
      </c>
      <c r="D54" t="s">
        <v>943</v>
      </c>
      <c r="E54">
        <v>166415.59899999999</v>
      </c>
      <c r="F54">
        <v>6163.9379999999992</v>
      </c>
      <c r="G54">
        <v>246945.94300000009</v>
      </c>
      <c r="H54">
        <v>186113.20499999999</v>
      </c>
      <c r="I54">
        <v>41581.979000000036</v>
      </c>
      <c r="J54">
        <v>90653.274999999994</v>
      </c>
      <c r="Q54">
        <v>161805.75</v>
      </c>
      <c r="R54">
        <v>6313.0200000000295</v>
      </c>
      <c r="S54">
        <v>251728.22000000003</v>
      </c>
      <c r="T54">
        <v>186058.44</v>
      </c>
      <c r="U54">
        <v>41285.010000000097</v>
      </c>
      <c r="V54">
        <v>106040.29999999999</v>
      </c>
      <c r="AC54">
        <v>9</v>
      </c>
      <c r="AD54">
        <f>SUMPRODUCT(DB_STProjectList[[#This Row],[Plan01]:[Plan12]],$E$4:$P$4)/valUnits2</f>
        <v>737.87393900000018</v>
      </c>
      <c r="AE54">
        <f>SUMPRODUCT(DB_STProjectList[[#This Row],[Act01]:[Act12]],$Q$4:$AB$4)/valUnits2</f>
        <v>753.2307400000002</v>
      </c>
      <c r="AF54">
        <f>DB_STProjectList[[#This Row],[Actual]]-DB_STProjectList[[#This Row],[Plan]]</f>
        <v>15.356801000000019</v>
      </c>
      <c r="AG54">
        <f>IF(DB_STProjectList[[#This Row],[Plan]]&lt;&gt;0,DB_STProjectList[[#This Row],[Actual]]/DB_STProjectList[[#This Row],[Plan]],1.000011000011)</f>
        <v>1.020812228469286</v>
      </c>
      <c r="AH54" s="34" t="str">
        <f>IF(B54=B53,"","x")</f>
        <v/>
      </c>
      <c r="AI54" s="34" t="str">
        <f>IF(C54=C53,"","x")</f>
        <v>x</v>
      </c>
    </row>
    <row r="55" spans="1:35" x14ac:dyDescent="0.2">
      <c r="A55">
        <f>SUBTOTAL(3,$B$6:B55)</f>
        <v>50</v>
      </c>
      <c r="B55" t="s">
        <v>350</v>
      </c>
      <c r="C55" t="s">
        <v>526</v>
      </c>
      <c r="D55" t="s">
        <v>974</v>
      </c>
      <c r="E55">
        <v>7645.4629999999997</v>
      </c>
      <c r="F55">
        <v>46426.638999999996</v>
      </c>
      <c r="G55">
        <v>33893.427000000003</v>
      </c>
      <c r="H55">
        <v>36835.581999999995</v>
      </c>
      <c r="I55">
        <v>15864.328000000001</v>
      </c>
      <c r="J55">
        <v>17714.494999999999</v>
      </c>
      <c r="K55">
        <v>17714.494999999995</v>
      </c>
      <c r="L55">
        <v>17714.494999999999</v>
      </c>
      <c r="M55">
        <v>17610.444</v>
      </c>
      <c r="N55">
        <v>11912.808000000003</v>
      </c>
      <c r="O55">
        <v>11137.677000000003</v>
      </c>
      <c r="P55">
        <v>11137.677000000001</v>
      </c>
      <c r="Q55">
        <v>6226.93</v>
      </c>
      <c r="R55">
        <v>45092.259999999995</v>
      </c>
      <c r="S55">
        <v>32033.759999999991</v>
      </c>
      <c r="T55">
        <v>34549.920000000006</v>
      </c>
      <c r="U55">
        <v>13949.939999999999</v>
      </c>
      <c r="V55">
        <v>11746.87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10</v>
      </c>
      <c r="AD55">
        <f>SUMPRODUCT(DB_STProjectList[[#This Row],[Plan01]:[Plan12]],$E$4:$P$4)/valUnits2</f>
        <v>158.37993400000002</v>
      </c>
      <c r="AE55">
        <f>SUMPRODUCT(DB_STProjectList[[#This Row],[Act01]:[Act12]],$Q$4:$AB$4)/valUnits2</f>
        <v>143.59968000000001</v>
      </c>
      <c r="AF55">
        <f>DB_STProjectList[[#This Row],[Actual]]-DB_STProjectList[[#This Row],[Plan]]</f>
        <v>-14.780254000000014</v>
      </c>
      <c r="AG55">
        <f>IF(DB_STProjectList[[#This Row],[Plan]]&lt;&gt;0,DB_STProjectList[[#This Row],[Actual]]/DB_STProjectList[[#This Row],[Plan]],1.000011000011)</f>
        <v>0.90667849375413923</v>
      </c>
      <c r="AH55" s="34" t="str">
        <f>IF(B55=B54,"","x")</f>
        <v>x</v>
      </c>
      <c r="AI55" s="34" t="str">
        <f>IF(C55=C54,"","x")</f>
        <v>x</v>
      </c>
    </row>
    <row r="56" spans="1:35" x14ac:dyDescent="0.2">
      <c r="A56">
        <f>SUBTOTAL(3,$B$6:B56)</f>
        <v>51</v>
      </c>
      <c r="B56" t="s">
        <v>350</v>
      </c>
      <c r="C56" t="s">
        <v>526</v>
      </c>
      <c r="D56" t="s">
        <v>995</v>
      </c>
      <c r="E56">
        <v>0</v>
      </c>
      <c r="F56">
        <v>0</v>
      </c>
      <c r="G56">
        <v>0</v>
      </c>
      <c r="H56">
        <v>0</v>
      </c>
      <c r="I56">
        <v>0</v>
      </c>
      <c r="J56">
        <v>1263.498</v>
      </c>
      <c r="K56">
        <v>1263.498</v>
      </c>
      <c r="L56">
        <v>1263.498</v>
      </c>
      <c r="M56">
        <v>1263.4979999999998</v>
      </c>
      <c r="N56">
        <v>1263.498</v>
      </c>
      <c r="O56">
        <v>1263.4979999999998</v>
      </c>
      <c r="P56">
        <v>1263.4979999999998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10</v>
      </c>
      <c r="AD56">
        <f>SUMPRODUCT(DB_STProjectList[[#This Row],[Plan01]:[Plan12]],$E$4:$P$4)/valUnits2</f>
        <v>1.263498</v>
      </c>
      <c r="AE56">
        <f>SUMPRODUCT(DB_STProjectList[[#This Row],[Act01]:[Act12]],$Q$4:$AB$4)/valUnits2</f>
        <v>0</v>
      </c>
      <c r="AF56">
        <f>DB_STProjectList[[#This Row],[Actual]]-DB_STProjectList[[#This Row],[Plan]]</f>
        <v>-1.263498</v>
      </c>
      <c r="AG56">
        <f>IF(DB_STProjectList[[#This Row],[Plan]]&lt;&gt;0,DB_STProjectList[[#This Row],[Actual]]/DB_STProjectList[[#This Row],[Plan]],1.000011000011)</f>
        <v>0</v>
      </c>
      <c r="AH56" s="34" t="str">
        <f>IF(B56=B55,"","x")</f>
        <v/>
      </c>
      <c r="AI56" s="34" t="str">
        <f>IF(C56=C55,"","x")</f>
        <v/>
      </c>
    </row>
    <row r="57" spans="1:35" x14ac:dyDescent="0.2">
      <c r="A57">
        <f>SUBTOTAL(3,$B$6:B57)</f>
        <v>52</v>
      </c>
      <c r="B57" t="s">
        <v>350</v>
      </c>
      <c r="C57" t="s">
        <v>527</v>
      </c>
      <c r="D57" t="s">
        <v>968</v>
      </c>
      <c r="E57">
        <v>1194.347</v>
      </c>
      <c r="F57">
        <v>104245.12699999999</v>
      </c>
      <c r="G57">
        <v>80304.293000000005</v>
      </c>
      <c r="H57">
        <v>-156547.37300000002</v>
      </c>
      <c r="I57">
        <v>13286.019000000008</v>
      </c>
      <c r="J57">
        <v>6776.2659999999996</v>
      </c>
      <c r="K57">
        <v>6776.2659999999996</v>
      </c>
      <c r="L57">
        <v>6776.2659999999996</v>
      </c>
      <c r="M57">
        <v>6776.2660000000005</v>
      </c>
      <c r="N57">
        <v>6776.2660000000005</v>
      </c>
      <c r="O57">
        <v>6776.2659999999996</v>
      </c>
      <c r="P57">
        <v>6776.2659999999996</v>
      </c>
      <c r="Q57">
        <v>27.68</v>
      </c>
      <c r="R57">
        <v>103078.46</v>
      </c>
      <c r="S57">
        <v>79382.249999999985</v>
      </c>
      <c r="T57">
        <v>-157904.17000000004</v>
      </c>
      <c r="U57">
        <v>12283.020000000006</v>
      </c>
      <c r="V57">
        <v>-1413.2700000000009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10</v>
      </c>
      <c r="AD57">
        <f>SUMPRODUCT(DB_STProjectList[[#This Row],[Plan01]:[Plan12]],$E$4:$P$4)/valUnits2</f>
        <v>49.258678999999972</v>
      </c>
      <c r="AE57">
        <f>SUMPRODUCT(DB_STProjectList[[#This Row],[Act01]:[Act12]],$Q$4:$AB$4)/valUnits2</f>
        <v>35.453969999999941</v>
      </c>
      <c r="AF57">
        <f>DB_STProjectList[[#This Row],[Actual]]-DB_STProjectList[[#This Row],[Plan]]</f>
        <v>-13.804709000000031</v>
      </c>
      <c r="AG57">
        <f>IF(DB_STProjectList[[#This Row],[Plan]]&lt;&gt;0,DB_STProjectList[[#This Row],[Actual]]/DB_STProjectList[[#This Row],[Plan]],1.000011000011)</f>
        <v>0.71975072656739258</v>
      </c>
      <c r="AH57" s="34" t="str">
        <f>IF(B57=B56,"","x")</f>
        <v/>
      </c>
      <c r="AI57" s="34" t="str">
        <f>IF(C57=C56,"","x")</f>
        <v>x</v>
      </c>
    </row>
    <row r="58" spans="1:35" x14ac:dyDescent="0.2">
      <c r="A58">
        <f>SUBTOTAL(3,$B$6:B58)</f>
        <v>53</v>
      </c>
      <c r="B58" t="s">
        <v>350</v>
      </c>
      <c r="C58" t="s">
        <v>528</v>
      </c>
      <c r="D58" t="s">
        <v>941</v>
      </c>
      <c r="E58">
        <v>362.40800000000002</v>
      </c>
      <c r="F58">
        <v>371.08699999999999</v>
      </c>
      <c r="G58">
        <v>1466.7360000000001</v>
      </c>
      <c r="H58">
        <v>347.59</v>
      </c>
      <c r="I58">
        <v>298.589</v>
      </c>
      <c r="J58">
        <v>295.84000000000003</v>
      </c>
      <c r="K58">
        <v>295.83999999999997</v>
      </c>
      <c r="L58">
        <v>295.84000000000003</v>
      </c>
      <c r="M58">
        <v>295.83999999999997</v>
      </c>
      <c r="N58">
        <v>295.83999999999997</v>
      </c>
      <c r="O58">
        <v>295.83999999999997</v>
      </c>
      <c r="P58">
        <v>295.83999999999997</v>
      </c>
      <c r="Q58">
        <v>362.42</v>
      </c>
      <c r="R58">
        <v>369.39</v>
      </c>
      <c r="S58">
        <v>1459.06</v>
      </c>
      <c r="T58">
        <v>347.59</v>
      </c>
      <c r="U58">
        <v>297.65000000000003</v>
      </c>
      <c r="V58">
        <v>612.29999999999995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10</v>
      </c>
      <c r="AD58">
        <f>SUMPRODUCT(DB_STProjectList[[#This Row],[Plan01]:[Plan12]],$E$4:$P$4)/valUnits2</f>
        <v>3.1422500000000007</v>
      </c>
      <c r="AE58">
        <f>SUMPRODUCT(DB_STProjectList[[#This Row],[Act01]:[Act12]],$Q$4:$AB$4)/valUnits2</f>
        <v>3.44841</v>
      </c>
      <c r="AF58">
        <f>DB_STProjectList[[#This Row],[Actual]]-DB_STProjectList[[#This Row],[Plan]]</f>
        <v>0.30615999999999932</v>
      </c>
      <c r="AG58">
        <f>IF(DB_STProjectList[[#This Row],[Plan]]&lt;&gt;0,DB_STProjectList[[#This Row],[Actual]]/DB_STProjectList[[#This Row],[Plan]],1.000011000011)</f>
        <v>1.0974333678096904</v>
      </c>
      <c r="AH58" s="34" t="str">
        <f>IF(B58=B57,"","x")</f>
        <v/>
      </c>
      <c r="AI58" s="34" t="str">
        <f>IF(C58=C57,"","x")</f>
        <v>x</v>
      </c>
    </row>
    <row r="59" spans="1:35" x14ac:dyDescent="0.2">
      <c r="A59">
        <f>SUBTOTAL(3,$B$6:B59)</f>
        <v>54</v>
      </c>
      <c r="B59" t="s">
        <v>351</v>
      </c>
      <c r="C59" t="s">
        <v>495</v>
      </c>
      <c r="D59" t="s">
        <v>998</v>
      </c>
      <c r="E59">
        <v>27190.5</v>
      </c>
      <c r="F59">
        <v>27753.145</v>
      </c>
      <c r="G59">
        <v>-3734.1850000000027</v>
      </c>
      <c r="H59">
        <v>20283.779000000002</v>
      </c>
      <c r="I59">
        <v>16809.739000000001</v>
      </c>
      <c r="J59">
        <v>14103.675999999999</v>
      </c>
      <c r="K59">
        <v>14103.675999999999</v>
      </c>
      <c r="L59">
        <v>14103.675999999999</v>
      </c>
      <c r="M59">
        <v>14103.675999999999</v>
      </c>
      <c r="N59">
        <v>14103.675999999998</v>
      </c>
      <c r="O59">
        <v>14103.675999999998</v>
      </c>
      <c r="P59">
        <v>14103.675999999998</v>
      </c>
      <c r="Q59">
        <v>24075.5</v>
      </c>
      <c r="R59">
        <v>24708.679999999993</v>
      </c>
      <c r="S59">
        <v>-6850.6200000000044</v>
      </c>
      <c r="T59">
        <v>17128.490000000005</v>
      </c>
      <c r="U59">
        <v>13694.57</v>
      </c>
      <c r="V59">
        <v>12993.910000000002</v>
      </c>
      <c r="W59">
        <v>61950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11</v>
      </c>
      <c r="AD59">
        <f>SUMPRODUCT(DB_STProjectList[[#This Row],[Plan01]:[Plan12]],$E$4:$P$4)/valUnits2</f>
        <v>102.406654</v>
      </c>
      <c r="AE59">
        <f>SUMPRODUCT(DB_STProjectList[[#This Row],[Act01]:[Act12]],$Q$4:$AB$4)/valUnits2</f>
        <v>85.750529999999998</v>
      </c>
      <c r="AF59">
        <f>DB_STProjectList[[#This Row],[Actual]]-DB_STProjectList[[#This Row],[Plan]]</f>
        <v>-16.656124000000005</v>
      </c>
      <c r="AG59">
        <f>IF(DB_STProjectList[[#This Row],[Plan]]&lt;&gt;0,DB_STProjectList[[#This Row],[Actual]]/DB_STProjectList[[#This Row],[Plan]],1.000011000011)</f>
        <v>0.83735310793378714</v>
      </c>
      <c r="AH59" s="34" t="str">
        <f>IF(B59=B58,"","x")</f>
        <v>x</v>
      </c>
      <c r="AI59" s="34" t="str">
        <f>IF(C59=C58,"","x")</f>
        <v>x</v>
      </c>
    </row>
    <row r="60" spans="1:35" x14ac:dyDescent="0.2">
      <c r="A60">
        <f>SUBTOTAL(3,$B$6:B60)</f>
        <v>55</v>
      </c>
      <c r="B60" t="s">
        <v>351</v>
      </c>
      <c r="C60" t="s">
        <v>496</v>
      </c>
      <c r="D60" t="s">
        <v>975</v>
      </c>
      <c r="E60">
        <v>72609.06</v>
      </c>
      <c r="F60">
        <v>101117.76800000001</v>
      </c>
      <c r="G60">
        <v>102317.175</v>
      </c>
      <c r="H60">
        <v>316028.11400000029</v>
      </c>
      <c r="I60">
        <v>185855.86699999985</v>
      </c>
      <c r="J60">
        <v>160519.15599999996</v>
      </c>
      <c r="K60">
        <v>152928.18699999992</v>
      </c>
      <c r="L60">
        <v>151615.40999999995</v>
      </c>
      <c r="M60">
        <v>150529.09799999997</v>
      </c>
      <c r="N60">
        <v>128905.88499999994</v>
      </c>
      <c r="O60">
        <v>124776.84399999995</v>
      </c>
      <c r="P60">
        <v>110270.7509999999</v>
      </c>
      <c r="Q60">
        <v>49863.319999999985</v>
      </c>
      <c r="R60">
        <v>75887.74000000002</v>
      </c>
      <c r="S60">
        <v>80644.14</v>
      </c>
      <c r="T60">
        <v>294089.46999999991</v>
      </c>
      <c r="U60">
        <v>151569.72999999992</v>
      </c>
      <c r="V60">
        <v>133393.3900000001</v>
      </c>
      <c r="W60">
        <v>789.59</v>
      </c>
      <c r="X60">
        <v>0</v>
      </c>
      <c r="Y60">
        <v>0</v>
      </c>
      <c r="Z60">
        <v>0</v>
      </c>
      <c r="AA60">
        <v>0</v>
      </c>
      <c r="AB60">
        <v>0</v>
      </c>
      <c r="AC60">
        <v>11</v>
      </c>
      <c r="AD60">
        <f>SUMPRODUCT(DB_STProjectList[[#This Row],[Plan01]:[Plan12]],$E$4:$P$4)/valUnits2</f>
        <v>938.4471400000001</v>
      </c>
      <c r="AE60">
        <f>SUMPRODUCT(DB_STProjectList[[#This Row],[Act01]:[Act12]],$Q$4:$AB$4)/valUnits2</f>
        <v>785.44779000000005</v>
      </c>
      <c r="AF60">
        <f>DB_STProjectList[[#This Row],[Actual]]-DB_STProjectList[[#This Row],[Plan]]</f>
        <v>-152.99935000000005</v>
      </c>
      <c r="AG60">
        <f>IF(DB_STProjectList[[#This Row],[Plan]]&lt;&gt;0,DB_STProjectList[[#This Row],[Actual]]/DB_STProjectList[[#This Row],[Plan]],1.000011000011)</f>
        <v>0.83696540435937605</v>
      </c>
      <c r="AH60" s="34" t="str">
        <f>IF(B60=B59,"","x")</f>
        <v/>
      </c>
      <c r="AI60" s="34" t="str">
        <f>IF(C60=C59,"","x")</f>
        <v>x</v>
      </c>
    </row>
    <row r="61" spans="1:35" x14ac:dyDescent="0.2">
      <c r="A61">
        <f>SUBTOTAL(3,$B$6:B61)</f>
        <v>56</v>
      </c>
      <c r="B61" t="s">
        <v>351</v>
      </c>
      <c r="C61" t="s">
        <v>497</v>
      </c>
      <c r="D61" t="s">
        <v>980</v>
      </c>
      <c r="E61">
        <v>2012.92</v>
      </c>
      <c r="F61">
        <v>28577.017000000007</v>
      </c>
      <c r="G61">
        <v>23279.862000000008</v>
      </c>
      <c r="H61">
        <v>27811.398999999998</v>
      </c>
      <c r="I61">
        <v>18282.652000000006</v>
      </c>
      <c r="J61">
        <v>20984.254999999994</v>
      </c>
      <c r="K61">
        <v>19830.663999999993</v>
      </c>
      <c r="L61">
        <v>19762.545999999998</v>
      </c>
      <c r="M61">
        <v>19710.521000000001</v>
      </c>
      <c r="N61">
        <v>15350.51</v>
      </c>
      <c r="O61">
        <v>15350.510000000002</v>
      </c>
      <c r="P61">
        <v>12570.727999999999</v>
      </c>
      <c r="Q61">
        <v>635.6400000000001</v>
      </c>
      <c r="R61">
        <v>27171.020000000004</v>
      </c>
      <c r="S61">
        <v>21635.270000000004</v>
      </c>
      <c r="T61">
        <v>25968.76</v>
      </c>
      <c r="U61">
        <v>13997.799999999997</v>
      </c>
      <c r="V61">
        <v>24979.720000000008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11</v>
      </c>
      <c r="AD61">
        <f>SUMPRODUCT(DB_STProjectList[[#This Row],[Plan01]:[Plan12]],$E$4:$P$4)/valUnits2</f>
        <v>120.948105</v>
      </c>
      <c r="AE61">
        <f>SUMPRODUCT(DB_STProjectList[[#This Row],[Act01]:[Act12]],$Q$4:$AB$4)/valUnits2</f>
        <v>114.38821000000002</v>
      </c>
      <c r="AF61">
        <f>DB_STProjectList[[#This Row],[Actual]]-DB_STProjectList[[#This Row],[Plan]]</f>
        <v>-6.5598949999999832</v>
      </c>
      <c r="AG61">
        <f>IF(DB_STProjectList[[#This Row],[Plan]]&lt;&gt;0,DB_STProjectList[[#This Row],[Actual]]/DB_STProjectList[[#This Row],[Plan]],1.000011000011)</f>
        <v>0.94576273022218926</v>
      </c>
      <c r="AH61" s="34" t="str">
        <f>IF(B61=B60,"","x")</f>
        <v/>
      </c>
      <c r="AI61" s="34" t="str">
        <f>IF(C61=C60,"","x")</f>
        <v>x</v>
      </c>
    </row>
    <row r="62" spans="1:35" x14ac:dyDescent="0.2">
      <c r="A62">
        <f>SUBTOTAL(3,$B$6:B62)</f>
        <v>57</v>
      </c>
      <c r="B62" t="s">
        <v>351</v>
      </c>
      <c r="C62" t="s">
        <v>498</v>
      </c>
      <c r="D62" t="s">
        <v>999</v>
      </c>
      <c r="E62">
        <v>13149.726000000001</v>
      </c>
      <c r="F62">
        <v>16922.166999999998</v>
      </c>
      <c r="G62">
        <v>20681.798000000006</v>
      </c>
      <c r="H62">
        <v>62885.596999999987</v>
      </c>
      <c r="I62">
        <v>72920.453999999998</v>
      </c>
      <c r="J62">
        <v>55721.223000000005</v>
      </c>
      <c r="K62">
        <v>55110.431000000004</v>
      </c>
      <c r="L62">
        <v>54757.452999999994</v>
      </c>
      <c r="M62">
        <v>54349.280999999995</v>
      </c>
      <c r="N62">
        <v>47596.421999999977</v>
      </c>
      <c r="O62">
        <v>46014.583999999988</v>
      </c>
      <c r="P62">
        <v>35792.195999999996</v>
      </c>
      <c r="Q62">
        <v>8875.6600000000017</v>
      </c>
      <c r="R62">
        <v>12415.550000000001</v>
      </c>
      <c r="S62">
        <v>15329.389999999998</v>
      </c>
      <c r="T62">
        <v>57287.890000000021</v>
      </c>
      <c r="U62">
        <v>57161.779999999962</v>
      </c>
      <c r="V62">
        <v>38060.519999999997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11</v>
      </c>
      <c r="AD62">
        <f>SUMPRODUCT(DB_STProjectList[[#This Row],[Plan01]:[Plan12]],$E$4:$P$4)/valUnits2</f>
        <v>242.28096500000001</v>
      </c>
      <c r="AE62">
        <f>SUMPRODUCT(DB_STProjectList[[#This Row],[Act01]:[Act12]],$Q$4:$AB$4)/valUnits2</f>
        <v>189.13078999999999</v>
      </c>
      <c r="AF62">
        <f>DB_STProjectList[[#This Row],[Actual]]-DB_STProjectList[[#This Row],[Plan]]</f>
        <v>-53.150175000000019</v>
      </c>
      <c r="AG62">
        <f>IF(DB_STProjectList[[#This Row],[Plan]]&lt;&gt;0,DB_STProjectList[[#This Row],[Actual]]/DB_STProjectList[[#This Row],[Plan]],1.000011000011)</f>
        <v>0.78062587376602199</v>
      </c>
      <c r="AH62" s="34" t="str">
        <f>IF(B62=B61,"","x")</f>
        <v/>
      </c>
      <c r="AI62" s="34" t="str">
        <f>IF(C62=C61,"","x")</f>
        <v>x</v>
      </c>
    </row>
    <row r="63" spans="1:35" x14ac:dyDescent="0.2">
      <c r="A63">
        <f>SUBTOTAL(3,$B$6:B63)</f>
        <v>58</v>
      </c>
      <c r="B63" t="s">
        <v>351</v>
      </c>
      <c r="C63" t="s">
        <v>499</v>
      </c>
      <c r="D63" t="s">
        <v>959</v>
      </c>
      <c r="E63">
        <v>244160.55199999994</v>
      </c>
      <c r="F63">
        <v>114456.284</v>
      </c>
      <c r="G63">
        <v>121330.45000000001</v>
      </c>
      <c r="H63">
        <v>-72717.621999999974</v>
      </c>
      <c r="I63">
        <v>-67906.537999999986</v>
      </c>
      <c r="J63">
        <v>66059.232999999978</v>
      </c>
      <c r="K63">
        <v>62735.447999999968</v>
      </c>
      <c r="L63">
        <v>63115.642999999975</v>
      </c>
      <c r="M63">
        <v>62631.940999999977</v>
      </c>
      <c r="N63">
        <v>54722.650999999976</v>
      </c>
      <c r="O63">
        <v>54722.650999999983</v>
      </c>
      <c r="P63">
        <v>46080.978999999985</v>
      </c>
      <c r="Q63">
        <v>227435.17</v>
      </c>
      <c r="R63">
        <v>98009.5</v>
      </c>
      <c r="S63">
        <v>104400.50999999992</v>
      </c>
      <c r="T63">
        <v>-89979.270000000048</v>
      </c>
      <c r="U63">
        <v>-94957.159999999974</v>
      </c>
      <c r="V63">
        <v>39750.469999999994</v>
      </c>
      <c r="W63">
        <v>858.06</v>
      </c>
      <c r="X63">
        <v>0</v>
      </c>
      <c r="Y63">
        <v>0</v>
      </c>
      <c r="Z63">
        <v>0</v>
      </c>
      <c r="AA63">
        <v>0</v>
      </c>
      <c r="AB63">
        <v>0</v>
      </c>
      <c r="AC63">
        <v>11</v>
      </c>
      <c r="AD63">
        <f>SUMPRODUCT(DB_STProjectList[[#This Row],[Plan01]:[Plan12]],$E$4:$P$4)/valUnits2</f>
        <v>405.38235899999995</v>
      </c>
      <c r="AE63">
        <f>SUMPRODUCT(DB_STProjectList[[#This Row],[Act01]:[Act12]],$Q$4:$AB$4)/valUnits2</f>
        <v>284.65921999999989</v>
      </c>
      <c r="AF63">
        <f>DB_STProjectList[[#This Row],[Actual]]-DB_STProjectList[[#This Row],[Plan]]</f>
        <v>-120.72313900000006</v>
      </c>
      <c r="AG63">
        <f>IF(DB_STProjectList[[#This Row],[Plan]]&lt;&gt;0,DB_STProjectList[[#This Row],[Actual]]/DB_STProjectList[[#This Row],[Plan]],1.000011000011)</f>
        <v>0.70219932782028116</v>
      </c>
      <c r="AH63" s="34" t="str">
        <f>IF(B63=B62,"","x")</f>
        <v/>
      </c>
      <c r="AI63" s="34" t="str">
        <f>IF(C63=C62,"","x")</f>
        <v>x</v>
      </c>
    </row>
    <row r="64" spans="1:35" x14ac:dyDescent="0.2">
      <c r="A64">
        <f>SUBTOTAL(3,$B$6:B64)</f>
        <v>59</v>
      </c>
      <c r="B64" t="s">
        <v>351</v>
      </c>
      <c r="C64" t="s">
        <v>500</v>
      </c>
      <c r="D64" t="s">
        <v>984</v>
      </c>
      <c r="E64">
        <v>782.85199999999998</v>
      </c>
      <c r="F64">
        <v>15475.51</v>
      </c>
      <c r="G64">
        <v>7216.0069999999996</v>
      </c>
      <c r="H64">
        <v>20930.584000000006</v>
      </c>
      <c r="I64">
        <v>20071.625</v>
      </c>
      <c r="J64">
        <v>408.54399999999998</v>
      </c>
      <c r="K64">
        <v>408.54399999999998</v>
      </c>
      <c r="L64">
        <v>408.54399999999998</v>
      </c>
      <c r="M64">
        <v>408.54399999999998</v>
      </c>
      <c r="N64">
        <v>408.54399999999998</v>
      </c>
      <c r="O64">
        <v>408.54399999999998</v>
      </c>
      <c r="P64">
        <v>408.54399999999998</v>
      </c>
      <c r="Q64">
        <v>777.27</v>
      </c>
      <c r="R64">
        <v>15510.34</v>
      </c>
      <c r="S64">
        <v>7217.9799999999987</v>
      </c>
      <c r="T64">
        <v>20868.700000000008</v>
      </c>
      <c r="U64">
        <v>20130.510000000002</v>
      </c>
      <c r="V64">
        <v>20821.050000000007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11</v>
      </c>
      <c r="AD64">
        <f>SUMPRODUCT(DB_STProjectList[[#This Row],[Plan01]:[Plan12]],$E$4:$P$4)/valUnits2</f>
        <v>64.88512200000001</v>
      </c>
      <c r="AE64">
        <f>SUMPRODUCT(DB_STProjectList[[#This Row],[Act01]:[Act12]],$Q$4:$AB$4)/valUnits2</f>
        <v>85.325850000000017</v>
      </c>
      <c r="AF64">
        <f>DB_STProjectList[[#This Row],[Actual]]-DB_STProjectList[[#This Row],[Plan]]</f>
        <v>20.440728000000007</v>
      </c>
      <c r="AG64">
        <f>IF(DB_STProjectList[[#This Row],[Plan]]&lt;&gt;0,DB_STProjectList[[#This Row],[Actual]]/DB_STProjectList[[#This Row],[Plan]],1.000011000011)</f>
        <v>1.3150295070725151</v>
      </c>
      <c r="AH64" s="34" t="str">
        <f>IF(B64=B63,"","x")</f>
        <v/>
      </c>
      <c r="AI64" s="34" t="str">
        <f>IF(C64=C63,"","x")</f>
        <v>x</v>
      </c>
    </row>
    <row r="65" spans="1:35" x14ac:dyDescent="0.2">
      <c r="A65">
        <f>SUBTOTAL(3,$B$6:B65)</f>
        <v>60</v>
      </c>
      <c r="B65" t="s">
        <v>351</v>
      </c>
      <c r="C65" t="s">
        <v>501</v>
      </c>
      <c r="D65" t="s">
        <v>950</v>
      </c>
      <c r="E65">
        <v>10744.099999999999</v>
      </c>
      <c r="F65">
        <v>13504.11</v>
      </c>
      <c r="G65">
        <v>16400.11</v>
      </c>
      <c r="H65">
        <v>10188.580000000002</v>
      </c>
      <c r="I65">
        <v>12552.95</v>
      </c>
      <c r="J65">
        <v>15299.603000000001</v>
      </c>
      <c r="K65">
        <v>15299.603000000001</v>
      </c>
      <c r="L65">
        <v>17769.600999999999</v>
      </c>
      <c r="M65">
        <v>15299.603000000001</v>
      </c>
      <c r="N65">
        <v>15299.603000000001</v>
      </c>
      <c r="O65">
        <v>15299.603000000001</v>
      </c>
      <c r="P65">
        <v>15299.603000000003</v>
      </c>
      <c r="Q65">
        <v>10744.1</v>
      </c>
      <c r="R65">
        <v>13504.11</v>
      </c>
      <c r="S65">
        <v>16400.11</v>
      </c>
      <c r="T65">
        <v>10367.76</v>
      </c>
      <c r="U65">
        <v>12552.950000000003</v>
      </c>
      <c r="V65">
        <v>14755.189999999999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11</v>
      </c>
      <c r="AD65">
        <f>SUMPRODUCT(DB_STProjectList[[#This Row],[Plan01]:[Plan12]],$E$4:$P$4)/valUnits2</f>
        <v>78.689453000000015</v>
      </c>
      <c r="AE65">
        <f>SUMPRODUCT(DB_STProjectList[[#This Row],[Act01]:[Act12]],$Q$4:$AB$4)/valUnits2</f>
        <v>78.324219999999997</v>
      </c>
      <c r="AF65">
        <f>DB_STProjectList[[#This Row],[Actual]]-DB_STProjectList[[#This Row],[Plan]]</f>
        <v>-0.36523300000001768</v>
      </c>
      <c r="AG65">
        <f>IF(DB_STProjectList[[#This Row],[Plan]]&lt;&gt;0,DB_STProjectList[[#This Row],[Actual]]/DB_STProjectList[[#This Row],[Plan]],1.000011000011)</f>
        <v>0.99535855205398338</v>
      </c>
      <c r="AH65" s="34" t="str">
        <f>IF(B65=B64,"","x")</f>
        <v/>
      </c>
      <c r="AI65" s="34" t="str">
        <f>IF(C65=C64,"","x")</f>
        <v>x</v>
      </c>
    </row>
    <row r="66" spans="1:35" x14ac:dyDescent="0.2">
      <c r="A66">
        <f>SUBTOTAL(3,$B$6:B66)</f>
        <v>61</v>
      </c>
      <c r="B66" t="s">
        <v>351</v>
      </c>
      <c r="C66" t="s">
        <v>502</v>
      </c>
      <c r="D66" t="s">
        <v>946</v>
      </c>
      <c r="E66">
        <v>3790.6190000000006</v>
      </c>
      <c r="F66">
        <v>7429.3749999999991</v>
      </c>
      <c r="G66">
        <v>7369.6729999999998</v>
      </c>
      <c r="H66">
        <v>19749.260999999999</v>
      </c>
      <c r="I66">
        <v>11334.579000000002</v>
      </c>
      <c r="J66">
        <v>10941.051999999998</v>
      </c>
      <c r="K66">
        <v>9792.2279999999973</v>
      </c>
      <c r="L66">
        <v>9705.8819999999978</v>
      </c>
      <c r="M66">
        <v>9653.8569999999982</v>
      </c>
      <c r="N66">
        <v>8377.4120000000003</v>
      </c>
      <c r="O66">
        <v>8377.4120000000003</v>
      </c>
      <c r="P66">
        <v>8084.5460000000012</v>
      </c>
      <c r="Q66">
        <v>2531.6400000000003</v>
      </c>
      <c r="R66">
        <v>6037.9699999999993</v>
      </c>
      <c r="S66">
        <v>5793.92</v>
      </c>
      <c r="T66">
        <v>18207.699999999997</v>
      </c>
      <c r="U66">
        <v>9214.9900000000016</v>
      </c>
      <c r="V66">
        <v>8734.8999999999978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11</v>
      </c>
      <c r="AD66">
        <f>SUMPRODUCT(DB_STProjectList[[#This Row],[Plan01]:[Plan12]],$E$4:$P$4)/valUnits2</f>
        <v>60.614558999999993</v>
      </c>
      <c r="AE66">
        <f>SUMPRODUCT(DB_STProjectList[[#This Row],[Act01]:[Act12]],$Q$4:$AB$4)/valUnits2</f>
        <v>50.521119999999996</v>
      </c>
      <c r="AF66">
        <f>DB_STProjectList[[#This Row],[Actual]]-DB_STProjectList[[#This Row],[Plan]]</f>
        <v>-10.093438999999996</v>
      </c>
      <c r="AG66">
        <f>IF(DB_STProjectList[[#This Row],[Plan]]&lt;&gt;0,DB_STProjectList[[#This Row],[Actual]]/DB_STProjectList[[#This Row],[Plan]],1.000011000011)</f>
        <v>0.8334816062919802</v>
      </c>
      <c r="AH66" s="34" t="str">
        <f>IF(B66=B65,"","x")</f>
        <v/>
      </c>
      <c r="AI66" s="34" t="str">
        <f>IF(C66=C65,"","x")</f>
        <v>x</v>
      </c>
    </row>
    <row r="67" spans="1:35" x14ac:dyDescent="0.2">
      <c r="A67">
        <f>SUBTOTAL(3,$B$6:B67)</f>
        <v>62</v>
      </c>
      <c r="B67" t="s">
        <v>351</v>
      </c>
      <c r="C67" t="s">
        <v>503</v>
      </c>
      <c r="D67" t="s">
        <v>976</v>
      </c>
      <c r="E67">
        <v>-820.4219999999998</v>
      </c>
      <c r="F67">
        <v>4724.91</v>
      </c>
      <c r="G67">
        <v>5398.1909999999989</v>
      </c>
      <c r="H67">
        <v>8843.530999999999</v>
      </c>
      <c r="I67">
        <v>5936.5229999999992</v>
      </c>
      <c r="J67">
        <v>6584.7249999999995</v>
      </c>
      <c r="K67">
        <v>6584.7249999999995</v>
      </c>
      <c r="L67">
        <v>6584.7249999999985</v>
      </c>
      <c r="M67">
        <v>6584.7249999999995</v>
      </c>
      <c r="N67">
        <v>5308.28</v>
      </c>
      <c r="O67">
        <v>4626.4539999999997</v>
      </c>
      <c r="P67">
        <v>3102.8919999999998</v>
      </c>
      <c r="Q67">
        <v>-1986.04</v>
      </c>
      <c r="R67">
        <v>3407.7</v>
      </c>
      <c r="S67">
        <v>3803.08</v>
      </c>
      <c r="T67">
        <v>7221.25</v>
      </c>
      <c r="U67">
        <v>2832.8</v>
      </c>
      <c r="V67">
        <v>3119.0100000000007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11</v>
      </c>
      <c r="AD67">
        <f>SUMPRODUCT(DB_STProjectList[[#This Row],[Plan01]:[Plan12]],$E$4:$P$4)/valUnits2</f>
        <v>30.667458</v>
      </c>
      <c r="AE67">
        <f>SUMPRODUCT(DB_STProjectList[[#This Row],[Act01]:[Act12]],$Q$4:$AB$4)/valUnits2</f>
        <v>18.397800000000004</v>
      </c>
      <c r="AF67">
        <f>DB_STProjectList[[#This Row],[Actual]]-DB_STProjectList[[#This Row],[Plan]]</f>
        <v>-12.269657999999996</v>
      </c>
      <c r="AG67">
        <f>IF(DB_STProjectList[[#This Row],[Plan]]&lt;&gt;0,DB_STProjectList[[#This Row],[Actual]]/DB_STProjectList[[#This Row],[Plan]],1.000011000011)</f>
        <v>0.59991278051151176</v>
      </c>
      <c r="AH67" s="34" t="str">
        <f>IF(B67=B66,"","x")</f>
        <v/>
      </c>
      <c r="AI67" s="34" t="str">
        <f>IF(C67=C66,"","x")</f>
        <v>x</v>
      </c>
    </row>
    <row r="68" spans="1:35" x14ac:dyDescent="0.2">
      <c r="A68">
        <f>SUBTOTAL(3,$B$6:B68)</f>
        <v>63</v>
      </c>
      <c r="B68" t="s">
        <v>351</v>
      </c>
      <c r="C68" t="s">
        <v>504</v>
      </c>
      <c r="D68" t="s">
        <v>947</v>
      </c>
      <c r="E68">
        <v>6923.6809999999987</v>
      </c>
      <c r="F68">
        <v>13818.389000000001</v>
      </c>
      <c r="G68">
        <v>8292.8059999999987</v>
      </c>
      <c r="H68">
        <v>11409.044999999996</v>
      </c>
      <c r="I68">
        <v>16331.744999999999</v>
      </c>
      <c r="J68">
        <v>4083.8270000000002</v>
      </c>
      <c r="K68">
        <v>4256.5210000000006</v>
      </c>
      <c r="L68">
        <v>4083.8270000000002</v>
      </c>
      <c r="M68">
        <v>4083.8270000000002</v>
      </c>
      <c r="N68">
        <v>1531.0490000000002</v>
      </c>
      <c r="O68">
        <v>1531.049</v>
      </c>
      <c r="P68">
        <v>1703.7429999999999</v>
      </c>
      <c r="Q68">
        <v>6831.78</v>
      </c>
      <c r="R68">
        <v>13761.250000000002</v>
      </c>
      <c r="S68">
        <v>8321.8099999999977</v>
      </c>
      <c r="T68">
        <v>11374.05</v>
      </c>
      <c r="U68">
        <v>16436.730000000003</v>
      </c>
      <c r="V68">
        <v>15531.169999999996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11</v>
      </c>
      <c r="AD68">
        <f>SUMPRODUCT(DB_STProjectList[[#This Row],[Plan01]:[Plan12]],$E$4:$P$4)/valUnits2</f>
        <v>60.859492999999993</v>
      </c>
      <c r="AE68">
        <f>SUMPRODUCT(DB_STProjectList[[#This Row],[Act01]:[Act12]],$Q$4:$AB$4)/valUnits2</f>
        <v>72.256789999999995</v>
      </c>
      <c r="AF68">
        <f>DB_STProjectList[[#This Row],[Actual]]-DB_STProjectList[[#This Row],[Plan]]</f>
        <v>11.397297000000002</v>
      </c>
      <c r="AG68">
        <f>IF(DB_STProjectList[[#This Row],[Plan]]&lt;&gt;0,DB_STProjectList[[#This Row],[Actual]]/DB_STProjectList[[#This Row],[Plan]],1.000011000011)</f>
        <v>1.1872722962052937</v>
      </c>
      <c r="AH68" s="34" t="str">
        <f>IF(B68=B67,"","x")</f>
        <v/>
      </c>
      <c r="AI68" s="34" t="str">
        <f>IF(C68=C67,"","x")</f>
        <v>x</v>
      </c>
    </row>
    <row r="69" spans="1:35" x14ac:dyDescent="0.2">
      <c r="A69">
        <f>SUBTOTAL(3,$B$6:B69)</f>
        <v>64</v>
      </c>
      <c r="B69" t="s">
        <v>351</v>
      </c>
      <c r="C69" t="s">
        <v>505</v>
      </c>
      <c r="D69" t="s">
        <v>964</v>
      </c>
      <c r="E69">
        <v>26.3</v>
      </c>
      <c r="H69">
        <v>1305.654</v>
      </c>
      <c r="I69">
        <v>5367.0060000000003</v>
      </c>
      <c r="J69">
        <v>0</v>
      </c>
      <c r="Q69">
        <v>26.3</v>
      </c>
      <c r="T69">
        <v>1298.21</v>
      </c>
      <c r="U69">
        <v>5395.34</v>
      </c>
      <c r="V69">
        <v>2024.4900000000002</v>
      </c>
      <c r="AC69">
        <v>11</v>
      </c>
      <c r="AD69">
        <f>SUMPRODUCT(DB_STProjectList[[#This Row],[Plan01]:[Plan12]],$E$4:$P$4)/valUnits2</f>
        <v>6.6989600000000005</v>
      </c>
      <c r="AE69">
        <f>SUMPRODUCT(DB_STProjectList[[#This Row],[Act01]:[Act12]],$Q$4:$AB$4)/valUnits2</f>
        <v>8.7443399999999993</v>
      </c>
      <c r="AF69">
        <f>DB_STProjectList[[#This Row],[Actual]]-DB_STProjectList[[#This Row],[Plan]]</f>
        <v>2.0453799999999989</v>
      </c>
      <c r="AG69">
        <f>IF(DB_STProjectList[[#This Row],[Plan]]&lt;&gt;0,DB_STProjectList[[#This Row],[Actual]]/DB_STProjectList[[#This Row],[Plan]],1.000011000011)</f>
        <v>1.3053279912105757</v>
      </c>
      <c r="AH69" s="34" t="str">
        <f>IF(B69=B68,"","x")</f>
        <v/>
      </c>
      <c r="AI69" s="34" t="str">
        <f>IF(C69=C68,"","x")</f>
        <v>x</v>
      </c>
    </row>
    <row r="70" spans="1:35" x14ac:dyDescent="0.2">
      <c r="A70">
        <f>SUBTOTAL(3,$B$6:B70)</f>
        <v>65</v>
      </c>
      <c r="B70" t="s">
        <v>351</v>
      </c>
      <c r="C70" t="s">
        <v>506</v>
      </c>
      <c r="D70" t="s">
        <v>990</v>
      </c>
      <c r="E70">
        <v>4217.107</v>
      </c>
      <c r="F70">
        <v>4199.4420000000009</v>
      </c>
      <c r="G70">
        <v>4208.4850000000006</v>
      </c>
      <c r="H70">
        <v>4375.2370000000001</v>
      </c>
      <c r="I70">
        <v>4525.7540000000008</v>
      </c>
      <c r="J70">
        <v>4166.6670000000004</v>
      </c>
      <c r="K70">
        <v>4166.6670000000004</v>
      </c>
      <c r="L70">
        <v>4166.6670000000004</v>
      </c>
      <c r="M70">
        <v>4166.6670000000004</v>
      </c>
      <c r="N70">
        <v>4166.6670000000004</v>
      </c>
      <c r="O70">
        <v>4166.6670000000004</v>
      </c>
      <c r="P70">
        <v>4166.6670000000004</v>
      </c>
      <c r="Q70">
        <v>50.44</v>
      </c>
      <c r="R70">
        <v>32.770000000000003</v>
      </c>
      <c r="S70">
        <v>41.97</v>
      </c>
      <c r="T70">
        <v>204.53</v>
      </c>
      <c r="U70">
        <v>357.3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11</v>
      </c>
      <c r="AD70">
        <f>SUMPRODUCT(DB_STProjectList[[#This Row],[Plan01]:[Plan12]],$E$4:$P$4)/valUnits2</f>
        <v>25.692692000000001</v>
      </c>
      <c r="AE70">
        <f>SUMPRODUCT(DB_STProjectList[[#This Row],[Act01]:[Act12]],$Q$4:$AB$4)/valUnits2</f>
        <v>0.68701000000000001</v>
      </c>
      <c r="AF70">
        <f>DB_STProjectList[[#This Row],[Actual]]-DB_STProjectList[[#This Row],[Plan]]</f>
        <v>-25.005682</v>
      </c>
      <c r="AG70">
        <f>IF(DB_STProjectList[[#This Row],[Plan]]&lt;&gt;0,DB_STProjectList[[#This Row],[Actual]]/DB_STProjectList[[#This Row],[Plan]],1.000011000011)</f>
        <v>2.6739510207805395E-2</v>
      </c>
      <c r="AH70" s="34" t="str">
        <f>IF(B70=B69,"","x")</f>
        <v/>
      </c>
      <c r="AI70" s="34" t="str">
        <f>IF(C70=C69,"","x")</f>
        <v>x</v>
      </c>
    </row>
    <row r="71" spans="1:35" x14ac:dyDescent="0.2">
      <c r="A71">
        <f>SUBTOTAL(3,$B$6:B71)</f>
        <v>65</v>
      </c>
    </row>
    <row r="72" spans="1:35" x14ac:dyDescent="0.2">
      <c r="A72">
        <f>SUBTOTAL(3,$B$6:B72)</f>
        <v>65</v>
      </c>
    </row>
    <row r="73" spans="1:35" x14ac:dyDescent="0.2">
      <c r="A73">
        <f>SUBTOTAL(3,$B$6:B73)</f>
        <v>65</v>
      </c>
    </row>
    <row r="74" spans="1:35" x14ac:dyDescent="0.2">
      <c r="A74">
        <f>SUBTOTAL(3,$B$6:B74)</f>
        <v>65</v>
      </c>
    </row>
    <row r="75" spans="1:35" x14ac:dyDescent="0.2">
      <c r="A75">
        <f>SUBTOTAL(3,$B$6:B75)</f>
        <v>65</v>
      </c>
    </row>
    <row r="76" spans="1:35" x14ac:dyDescent="0.2">
      <c r="A76">
        <f>SUBTOTAL(3,$B$6:B76)</f>
        <v>65</v>
      </c>
    </row>
    <row r="77" spans="1:35" x14ac:dyDescent="0.2">
      <c r="A77">
        <f>SUBTOTAL(3,$B$6:B77)</f>
        <v>65</v>
      </c>
    </row>
    <row r="78" spans="1:35" x14ac:dyDescent="0.2">
      <c r="A78">
        <f>SUBTOTAL(3,$B$6:B78)</f>
        <v>65</v>
      </c>
    </row>
    <row r="79" spans="1:35" x14ac:dyDescent="0.2">
      <c r="A79">
        <f>SUBTOTAL(3,$B$6:B79)</f>
        <v>65</v>
      </c>
    </row>
    <row r="80" spans="1:35" x14ac:dyDescent="0.2">
      <c r="A80">
        <f>SUBTOTAL(3,$B$6:B80)</f>
        <v>65</v>
      </c>
    </row>
    <row r="81" spans="1:1" x14ac:dyDescent="0.2">
      <c r="A81">
        <f>SUBTOTAL(3,$B$6:B81)</f>
        <v>65</v>
      </c>
    </row>
    <row r="82" spans="1:1" x14ac:dyDescent="0.2">
      <c r="A82">
        <f>SUBTOTAL(3,$B$6:B82)</f>
        <v>65</v>
      </c>
    </row>
    <row r="83" spans="1:1" x14ac:dyDescent="0.2">
      <c r="A83">
        <f>SUBTOTAL(3,$B$6:B83)</f>
        <v>65</v>
      </c>
    </row>
    <row r="84" spans="1:1" x14ac:dyDescent="0.2">
      <c r="A84">
        <f>SUBTOTAL(3,$B$6:B84)</f>
        <v>65</v>
      </c>
    </row>
    <row r="85" spans="1:1" x14ac:dyDescent="0.2">
      <c r="A85">
        <f>SUBTOTAL(3,$B$6:B85)</f>
        <v>65</v>
      </c>
    </row>
    <row r="86" spans="1:1" x14ac:dyDescent="0.2">
      <c r="A86">
        <f>SUBTOTAL(3,$B$6:B86)</f>
        <v>65</v>
      </c>
    </row>
    <row r="87" spans="1:1" x14ac:dyDescent="0.2">
      <c r="A87">
        <f>SUBTOTAL(3,$B$6:B87)</f>
        <v>65</v>
      </c>
    </row>
    <row r="88" spans="1:1" x14ac:dyDescent="0.2">
      <c r="A88">
        <f>SUBTOTAL(3,$B$6:B88)</f>
        <v>65</v>
      </c>
    </row>
    <row r="89" spans="1:1" x14ac:dyDescent="0.2">
      <c r="A89">
        <f>SUBTOTAL(3,$B$6:B89)</f>
        <v>65</v>
      </c>
    </row>
    <row r="90" spans="1:1" x14ac:dyDescent="0.2">
      <c r="A90">
        <f>SUBTOTAL(3,$B$6:B90)</f>
        <v>65</v>
      </c>
    </row>
    <row r="91" spans="1:1" x14ac:dyDescent="0.2">
      <c r="A91">
        <f>SUBTOTAL(3,$B$6:B91)</f>
        <v>65</v>
      </c>
    </row>
    <row r="92" spans="1:1" x14ac:dyDescent="0.2">
      <c r="A92">
        <f>SUBTOTAL(3,$B$6:B92)</f>
        <v>65</v>
      </c>
    </row>
    <row r="93" spans="1:1" x14ac:dyDescent="0.2">
      <c r="A93">
        <f>SUBTOTAL(3,$B$6:B93)</f>
        <v>65</v>
      </c>
    </row>
    <row r="94" spans="1:1" x14ac:dyDescent="0.2">
      <c r="A94">
        <f>SUBTOTAL(3,$B$6:B94)</f>
        <v>65</v>
      </c>
    </row>
    <row r="95" spans="1:1" x14ac:dyDescent="0.2">
      <c r="A95">
        <f>SUBTOTAL(3,$B$6:B95)</f>
        <v>65</v>
      </c>
    </row>
    <row r="96" spans="1:1" x14ac:dyDescent="0.2">
      <c r="A96">
        <f>SUBTOTAL(3,$B$6:B96)</f>
        <v>65</v>
      </c>
    </row>
    <row r="97" spans="1:1" x14ac:dyDescent="0.2">
      <c r="A97">
        <f>SUBTOTAL(3,$B$6:B97)</f>
        <v>65</v>
      </c>
    </row>
    <row r="98" spans="1:1" x14ac:dyDescent="0.2">
      <c r="A98">
        <f>SUBTOTAL(3,$B$6:B98)</f>
        <v>65</v>
      </c>
    </row>
    <row r="99" spans="1:1" x14ac:dyDescent="0.2">
      <c r="A99">
        <f>SUBTOTAL(3,$B$6:B99)</f>
        <v>65</v>
      </c>
    </row>
    <row r="100" spans="1:1" x14ac:dyDescent="0.2">
      <c r="A100">
        <f>SUBTOTAL(3,$B$6:B100)</f>
        <v>65</v>
      </c>
    </row>
    <row r="101" spans="1:1" x14ac:dyDescent="0.2">
      <c r="A101">
        <f>SUBTOTAL(3,$B$6:B101)</f>
        <v>65</v>
      </c>
    </row>
    <row r="102" spans="1:1" x14ac:dyDescent="0.2">
      <c r="A102">
        <f>SUBTOTAL(3,$B$6:B102)</f>
        <v>65</v>
      </c>
    </row>
    <row r="103" spans="1:1" x14ac:dyDescent="0.2">
      <c r="A103">
        <f>SUBTOTAL(3,$B$6:B103)</f>
        <v>65</v>
      </c>
    </row>
    <row r="104" spans="1:1" x14ac:dyDescent="0.2">
      <c r="A104">
        <f>SUBTOTAL(3,$B$6:B104)</f>
        <v>65</v>
      </c>
    </row>
    <row r="105" spans="1:1" x14ac:dyDescent="0.2">
      <c r="A105">
        <f>SUBTOTAL(3,$B$6:B105)</f>
        <v>65</v>
      </c>
    </row>
    <row r="106" spans="1:1" x14ac:dyDescent="0.2">
      <c r="A106">
        <f>SUBTOTAL(3,$B$6:B106)</f>
        <v>65</v>
      </c>
    </row>
    <row r="107" spans="1:1" x14ac:dyDescent="0.2">
      <c r="A107">
        <f>SUBTOTAL(3,$B$6:B107)</f>
        <v>65</v>
      </c>
    </row>
    <row r="108" spans="1:1" x14ac:dyDescent="0.2">
      <c r="A108">
        <f>SUBTOTAL(3,$B$6:B108)</f>
        <v>65</v>
      </c>
    </row>
    <row r="109" spans="1:1" x14ac:dyDescent="0.2">
      <c r="A109">
        <f>SUBTOTAL(3,$B$6:B109)</f>
        <v>65</v>
      </c>
    </row>
    <row r="110" spans="1:1" x14ac:dyDescent="0.2">
      <c r="A110">
        <f>SUBTOTAL(3,$B$6:B110)</f>
        <v>65</v>
      </c>
    </row>
    <row r="111" spans="1:1" x14ac:dyDescent="0.2">
      <c r="A111">
        <f>SUBTOTAL(3,$B$6:B111)</f>
        <v>65</v>
      </c>
    </row>
    <row r="112" spans="1:1" x14ac:dyDescent="0.2">
      <c r="A112">
        <f>SUBTOTAL(3,$B$6:B112)</f>
        <v>65</v>
      </c>
    </row>
    <row r="113" spans="1:1" x14ac:dyDescent="0.2">
      <c r="A113">
        <f>SUBTOTAL(3,$B$6:B113)</f>
        <v>65</v>
      </c>
    </row>
    <row r="114" spans="1:1" x14ac:dyDescent="0.2">
      <c r="A114">
        <f>SUBTOTAL(3,$B$6:B114)</f>
        <v>65</v>
      </c>
    </row>
    <row r="115" spans="1:1" x14ac:dyDescent="0.2">
      <c r="A115">
        <f>SUBTOTAL(3,$B$6:B115)</f>
        <v>65</v>
      </c>
    </row>
    <row r="116" spans="1:1" x14ac:dyDescent="0.2">
      <c r="A116">
        <f>SUBTOTAL(3,$B$6:B116)</f>
        <v>65</v>
      </c>
    </row>
    <row r="117" spans="1:1" x14ac:dyDescent="0.2">
      <c r="A117">
        <f>SUBTOTAL(3,$B$6:B117)</f>
        <v>65</v>
      </c>
    </row>
    <row r="118" spans="1:1" x14ac:dyDescent="0.2">
      <c r="A118">
        <f>SUBTOTAL(3,$B$6:B118)</f>
        <v>65</v>
      </c>
    </row>
    <row r="119" spans="1:1" x14ac:dyDescent="0.2">
      <c r="A119">
        <f>SUBTOTAL(3,$B$6:B119)</f>
        <v>65</v>
      </c>
    </row>
    <row r="120" spans="1:1" x14ac:dyDescent="0.2">
      <c r="A120">
        <f>SUBTOTAL(3,$B$6:B120)</f>
        <v>65</v>
      </c>
    </row>
    <row r="121" spans="1:1" x14ac:dyDescent="0.2">
      <c r="A121">
        <f>SUBTOTAL(3,$B$6:B121)</f>
        <v>65</v>
      </c>
    </row>
    <row r="122" spans="1:1" x14ac:dyDescent="0.2">
      <c r="A122">
        <f>SUBTOTAL(3,$B$6:B122)</f>
        <v>65</v>
      </c>
    </row>
    <row r="123" spans="1:1" x14ac:dyDescent="0.2">
      <c r="A123">
        <f>SUBTOTAL(3,$B$6:B123)</f>
        <v>65</v>
      </c>
    </row>
    <row r="124" spans="1:1" x14ac:dyDescent="0.2">
      <c r="A124">
        <f>SUBTOTAL(3,$B$6:B124)</f>
        <v>65</v>
      </c>
    </row>
    <row r="125" spans="1:1" x14ac:dyDescent="0.2">
      <c r="A125">
        <f>SUBTOTAL(3,$B$6:B125)</f>
        <v>65</v>
      </c>
    </row>
    <row r="126" spans="1:1" x14ac:dyDescent="0.2">
      <c r="A126">
        <f>SUBTOTAL(3,$B$6:B126)</f>
        <v>65</v>
      </c>
    </row>
    <row r="127" spans="1:1" x14ac:dyDescent="0.2">
      <c r="A127">
        <f>SUBTOTAL(3,$B$6:B127)</f>
        <v>65</v>
      </c>
    </row>
    <row r="128" spans="1:1" x14ac:dyDescent="0.2">
      <c r="A128">
        <f>SUBTOTAL(3,$B$6:B128)</f>
        <v>65</v>
      </c>
    </row>
    <row r="129" spans="1:1" x14ac:dyDescent="0.2">
      <c r="A129">
        <f>SUBTOTAL(3,$B$6:B129)</f>
        <v>65</v>
      </c>
    </row>
    <row r="130" spans="1:1" x14ac:dyDescent="0.2">
      <c r="A130">
        <f>SUBTOTAL(3,$B$6:B130)</f>
        <v>65</v>
      </c>
    </row>
    <row r="131" spans="1:1" x14ac:dyDescent="0.2">
      <c r="A131">
        <f>SUBTOTAL(3,$B$6:B131)</f>
        <v>65</v>
      </c>
    </row>
    <row r="132" spans="1:1" x14ac:dyDescent="0.2">
      <c r="A132">
        <f>SUBTOTAL(3,$B$6:B132)</f>
        <v>65</v>
      </c>
    </row>
    <row r="133" spans="1:1" x14ac:dyDescent="0.2">
      <c r="A133">
        <f>SUBTOTAL(3,$B$6:B133)</f>
        <v>65</v>
      </c>
    </row>
    <row r="134" spans="1:1" x14ac:dyDescent="0.2">
      <c r="A134">
        <f>SUBTOTAL(3,$B$6:B134)</f>
        <v>65</v>
      </c>
    </row>
    <row r="135" spans="1:1" x14ac:dyDescent="0.2">
      <c r="A135">
        <f>SUBTOTAL(3,$B$6:B135)</f>
        <v>65</v>
      </c>
    </row>
    <row r="136" spans="1:1" x14ac:dyDescent="0.2">
      <c r="A136">
        <f>SUBTOTAL(3,$B$6:B136)</f>
        <v>65</v>
      </c>
    </row>
    <row r="137" spans="1:1" x14ac:dyDescent="0.2">
      <c r="A137">
        <f>SUBTOTAL(3,$B$6:B137)</f>
        <v>65</v>
      </c>
    </row>
    <row r="138" spans="1:1" x14ac:dyDescent="0.2">
      <c r="A138">
        <f>SUBTOTAL(3,$B$6:B138)</f>
        <v>65</v>
      </c>
    </row>
    <row r="139" spans="1:1" x14ac:dyDescent="0.2">
      <c r="A139">
        <f>SUBTOTAL(3,$B$6:B139)</f>
        <v>65</v>
      </c>
    </row>
    <row r="140" spans="1:1" x14ac:dyDescent="0.2">
      <c r="A140">
        <f>SUBTOTAL(3,$B$6:B140)</f>
        <v>65</v>
      </c>
    </row>
    <row r="141" spans="1:1" x14ac:dyDescent="0.2">
      <c r="A141">
        <f>SUBTOTAL(3,$B$6:B141)</f>
        <v>65</v>
      </c>
    </row>
    <row r="142" spans="1:1" x14ac:dyDescent="0.2">
      <c r="A142">
        <f>SUBTOTAL(3,$B$6:B142)</f>
        <v>65</v>
      </c>
    </row>
    <row r="143" spans="1:1" x14ac:dyDescent="0.2">
      <c r="A143">
        <f>SUBTOTAL(3,$B$6:B143)</f>
        <v>65</v>
      </c>
    </row>
    <row r="144" spans="1:1" x14ac:dyDescent="0.2">
      <c r="A144">
        <f>SUBTOTAL(3,$B$6:B144)</f>
        <v>65</v>
      </c>
    </row>
    <row r="145" spans="1:1" x14ac:dyDescent="0.2">
      <c r="A145">
        <f>SUBTOTAL(3,$B$6:B145)</f>
        <v>65</v>
      </c>
    </row>
    <row r="146" spans="1:1" x14ac:dyDescent="0.2">
      <c r="A146">
        <f>SUBTOTAL(3,$B$6:B146)</f>
        <v>65</v>
      </c>
    </row>
    <row r="147" spans="1:1" x14ac:dyDescent="0.2">
      <c r="A147">
        <f>SUBTOTAL(3,$B$6:B147)</f>
        <v>65</v>
      </c>
    </row>
    <row r="148" spans="1:1" x14ac:dyDescent="0.2">
      <c r="A148">
        <f>SUBTOTAL(3,$B$6:B148)</f>
        <v>65</v>
      </c>
    </row>
    <row r="149" spans="1:1" x14ac:dyDescent="0.2">
      <c r="A149">
        <f>SUBTOTAL(3,$B$6:B149)</f>
        <v>65</v>
      </c>
    </row>
    <row r="150" spans="1:1" x14ac:dyDescent="0.2">
      <c r="A150">
        <f>SUBTOTAL(3,$B$6:B150)</f>
        <v>65</v>
      </c>
    </row>
    <row r="151" spans="1:1" x14ac:dyDescent="0.2">
      <c r="A151">
        <f>SUBTOTAL(3,$B$6:B151)</f>
        <v>65</v>
      </c>
    </row>
    <row r="152" spans="1:1" x14ac:dyDescent="0.2">
      <c r="A152">
        <f>SUBTOTAL(3,$B$6:B152)</f>
        <v>65</v>
      </c>
    </row>
    <row r="153" spans="1:1" x14ac:dyDescent="0.2">
      <c r="A153">
        <f>SUBTOTAL(3,$B$6:B153)</f>
        <v>65</v>
      </c>
    </row>
    <row r="154" spans="1:1" x14ac:dyDescent="0.2">
      <c r="A154">
        <f>SUBTOTAL(3,$B$6:B154)</f>
        <v>65</v>
      </c>
    </row>
    <row r="155" spans="1:1" x14ac:dyDescent="0.2">
      <c r="A155">
        <f>SUBTOTAL(3,$B$6:B155)</f>
        <v>65</v>
      </c>
    </row>
    <row r="156" spans="1:1" x14ac:dyDescent="0.2">
      <c r="A156">
        <f>SUBTOTAL(3,$B$6:B156)</f>
        <v>65</v>
      </c>
    </row>
    <row r="157" spans="1:1" x14ac:dyDescent="0.2">
      <c r="A157">
        <f>SUBTOTAL(3,$B$6:B157)</f>
        <v>65</v>
      </c>
    </row>
    <row r="158" spans="1:1" x14ac:dyDescent="0.2">
      <c r="A158">
        <f>SUBTOTAL(3,$B$6:B158)</f>
        <v>65</v>
      </c>
    </row>
    <row r="159" spans="1:1" x14ac:dyDescent="0.2">
      <c r="A159">
        <f>SUBTOTAL(3,$B$6:B159)</f>
        <v>65</v>
      </c>
    </row>
    <row r="160" spans="1:1" x14ac:dyDescent="0.2">
      <c r="A160">
        <f>SUBTOTAL(3,$B$6:B160)</f>
        <v>65</v>
      </c>
    </row>
    <row r="161" spans="1:1" x14ac:dyDescent="0.2">
      <c r="A161">
        <f>SUBTOTAL(3,$B$6:B161)</f>
        <v>65</v>
      </c>
    </row>
    <row r="162" spans="1:1" x14ac:dyDescent="0.2">
      <c r="A162">
        <f>SUBTOTAL(3,$B$6:B162)</f>
        <v>65</v>
      </c>
    </row>
    <row r="163" spans="1:1" x14ac:dyDescent="0.2">
      <c r="A163">
        <f>SUBTOTAL(3,$B$6:B163)</f>
        <v>65</v>
      </c>
    </row>
    <row r="164" spans="1:1" x14ac:dyDescent="0.2">
      <c r="A164">
        <f>SUBTOTAL(3,$B$6:B164)</f>
        <v>65</v>
      </c>
    </row>
    <row r="165" spans="1:1" x14ac:dyDescent="0.2">
      <c r="A165">
        <f>SUBTOTAL(3,$B$6:B165)</f>
        <v>65</v>
      </c>
    </row>
    <row r="166" spans="1:1" x14ac:dyDescent="0.2">
      <c r="A166">
        <f>SUBTOTAL(3,$B$6:B166)</f>
        <v>65</v>
      </c>
    </row>
    <row r="167" spans="1:1" x14ac:dyDescent="0.2">
      <c r="A167">
        <f>SUBTOTAL(3,$B$6:B167)</f>
        <v>65</v>
      </c>
    </row>
    <row r="168" spans="1:1" x14ac:dyDescent="0.2">
      <c r="A168">
        <f>SUBTOTAL(3,$B$6:B168)</f>
        <v>65</v>
      </c>
    </row>
    <row r="169" spans="1:1" x14ac:dyDescent="0.2">
      <c r="A169">
        <f>SUBTOTAL(3,$B$6:B169)</f>
        <v>65</v>
      </c>
    </row>
    <row r="170" spans="1:1" x14ac:dyDescent="0.2">
      <c r="A170">
        <f>SUBTOTAL(3,$B$6:B170)</f>
        <v>65</v>
      </c>
    </row>
    <row r="171" spans="1:1" x14ac:dyDescent="0.2">
      <c r="A171">
        <f>SUBTOTAL(3,$B$6:B171)</f>
        <v>65</v>
      </c>
    </row>
    <row r="172" spans="1:1" x14ac:dyDescent="0.2">
      <c r="A172">
        <f>SUBTOTAL(3,$B$6:B172)</f>
        <v>65</v>
      </c>
    </row>
    <row r="173" spans="1:1" x14ac:dyDescent="0.2">
      <c r="A173">
        <f>SUBTOTAL(3,$B$6:B173)</f>
        <v>65</v>
      </c>
    </row>
    <row r="174" spans="1:1" x14ac:dyDescent="0.2">
      <c r="A174">
        <f>SUBTOTAL(3,$B$6:B174)</f>
        <v>65</v>
      </c>
    </row>
    <row r="175" spans="1:1" x14ac:dyDescent="0.2">
      <c r="A175">
        <f>SUBTOTAL(3,$B$6:B175)</f>
        <v>65</v>
      </c>
    </row>
    <row r="176" spans="1:1" x14ac:dyDescent="0.2">
      <c r="A176">
        <f>SUBTOTAL(3,$B$6:B176)</f>
        <v>65</v>
      </c>
    </row>
    <row r="177" spans="1:1" x14ac:dyDescent="0.2">
      <c r="A177">
        <f>SUBTOTAL(3,$B$6:B177)</f>
        <v>65</v>
      </c>
    </row>
    <row r="178" spans="1:1" x14ac:dyDescent="0.2">
      <c r="A178">
        <f>SUBTOTAL(3,$B$6:B178)</f>
        <v>65</v>
      </c>
    </row>
    <row r="179" spans="1:1" x14ac:dyDescent="0.2">
      <c r="A179">
        <f>SUBTOTAL(3,$B$6:B179)</f>
        <v>65</v>
      </c>
    </row>
    <row r="180" spans="1:1" x14ac:dyDescent="0.2">
      <c r="A180">
        <f>SUBTOTAL(3,$B$6:B180)</f>
        <v>65</v>
      </c>
    </row>
    <row r="181" spans="1:1" x14ac:dyDescent="0.2">
      <c r="A181">
        <f>SUBTOTAL(3,$B$6:B181)</f>
        <v>65</v>
      </c>
    </row>
    <row r="182" spans="1:1" x14ac:dyDescent="0.2">
      <c r="A182">
        <f>SUBTOTAL(3,$B$6:B182)</f>
        <v>65</v>
      </c>
    </row>
    <row r="183" spans="1:1" x14ac:dyDescent="0.2">
      <c r="A183">
        <f>SUBTOTAL(3,$B$6:B183)</f>
        <v>65</v>
      </c>
    </row>
    <row r="184" spans="1:1" x14ac:dyDescent="0.2">
      <c r="A184">
        <f>SUBTOTAL(3,$B$6:B184)</f>
        <v>65</v>
      </c>
    </row>
    <row r="185" spans="1:1" x14ac:dyDescent="0.2">
      <c r="A185">
        <f>SUBTOTAL(3,$B$6:B185)</f>
        <v>65</v>
      </c>
    </row>
    <row r="186" spans="1:1" x14ac:dyDescent="0.2">
      <c r="A186">
        <f>SUBTOTAL(3,$B$6:B186)</f>
        <v>65</v>
      </c>
    </row>
    <row r="187" spans="1:1" x14ac:dyDescent="0.2">
      <c r="A187">
        <f>SUBTOTAL(3,$B$6:B187)</f>
        <v>65</v>
      </c>
    </row>
    <row r="188" spans="1:1" x14ac:dyDescent="0.2">
      <c r="A188">
        <f>SUBTOTAL(3,$B$6:B188)</f>
        <v>65</v>
      </c>
    </row>
    <row r="189" spans="1:1" x14ac:dyDescent="0.2">
      <c r="A189">
        <f>SUBTOTAL(3,$B$6:B189)</f>
        <v>65</v>
      </c>
    </row>
    <row r="190" spans="1:1" x14ac:dyDescent="0.2">
      <c r="A190">
        <f>SUBTOTAL(3,$B$6:B190)</f>
        <v>65</v>
      </c>
    </row>
    <row r="191" spans="1:1" x14ac:dyDescent="0.2">
      <c r="A191">
        <f>SUBTOTAL(3,$B$6:B191)</f>
        <v>65</v>
      </c>
    </row>
    <row r="192" spans="1:1" x14ac:dyDescent="0.2">
      <c r="A192">
        <f>SUBTOTAL(3,$B$6:B192)</f>
        <v>65</v>
      </c>
    </row>
    <row r="193" spans="1:1" x14ac:dyDescent="0.2">
      <c r="A193">
        <f>SUBTOTAL(3,$B$6:B193)</f>
        <v>65</v>
      </c>
    </row>
    <row r="194" spans="1:1" x14ac:dyDescent="0.2">
      <c r="A194">
        <f>SUBTOTAL(3,$B$6:B194)</f>
        <v>65</v>
      </c>
    </row>
    <row r="195" spans="1:1" x14ac:dyDescent="0.2">
      <c r="A195">
        <f>SUBTOTAL(3,$B$6:B195)</f>
        <v>65</v>
      </c>
    </row>
    <row r="196" spans="1:1" x14ac:dyDescent="0.2">
      <c r="A196">
        <f>SUBTOTAL(3,$B$6:B196)</f>
        <v>65</v>
      </c>
    </row>
    <row r="197" spans="1:1" x14ac:dyDescent="0.2">
      <c r="A197">
        <f>SUBTOTAL(3,$B$6:B197)</f>
        <v>65</v>
      </c>
    </row>
    <row r="198" spans="1:1" x14ac:dyDescent="0.2">
      <c r="A198">
        <f>SUBTOTAL(3,$B$6:B198)</f>
        <v>65</v>
      </c>
    </row>
    <row r="199" spans="1:1" x14ac:dyDescent="0.2">
      <c r="A199">
        <f>SUBTOTAL(3,$B$6:B199)</f>
        <v>65</v>
      </c>
    </row>
    <row r="200" spans="1:1" x14ac:dyDescent="0.2">
      <c r="A200">
        <f>SUBTOTAL(3,$B$6:B200)</f>
        <v>65</v>
      </c>
    </row>
    <row r="201" spans="1:1" x14ac:dyDescent="0.2">
      <c r="A201">
        <f>SUBTOTAL(3,$B$6:B201)</f>
        <v>65</v>
      </c>
    </row>
    <row r="202" spans="1:1" x14ac:dyDescent="0.2">
      <c r="A202">
        <f>SUBTOTAL(3,$B$6:B202)</f>
        <v>65</v>
      </c>
    </row>
    <row r="203" spans="1:1" x14ac:dyDescent="0.2">
      <c r="A203">
        <f>SUBTOTAL(3,$B$6:B203)</f>
        <v>65</v>
      </c>
    </row>
    <row r="204" spans="1:1" x14ac:dyDescent="0.2">
      <c r="A204">
        <f>SUBTOTAL(3,$B$6:B204)</f>
        <v>65</v>
      </c>
    </row>
    <row r="205" spans="1:1" x14ac:dyDescent="0.2">
      <c r="A205">
        <f>SUBTOTAL(3,$B$6:B205)</f>
        <v>65</v>
      </c>
    </row>
    <row r="206" spans="1:1" x14ac:dyDescent="0.2">
      <c r="A206">
        <f>SUBTOTAL(3,$B$6:B206)</f>
        <v>65</v>
      </c>
    </row>
    <row r="207" spans="1:1" x14ac:dyDescent="0.2">
      <c r="A207">
        <f>SUBTOTAL(3,$B$6:B207)</f>
        <v>65</v>
      </c>
    </row>
    <row r="208" spans="1:1" x14ac:dyDescent="0.2">
      <c r="A208">
        <f>SUBTOTAL(3,$B$6:B208)</f>
        <v>65</v>
      </c>
    </row>
    <row r="209" spans="1:1" x14ac:dyDescent="0.2">
      <c r="A209">
        <f>SUBTOTAL(3,$B$6:B209)</f>
        <v>65</v>
      </c>
    </row>
    <row r="210" spans="1:1" x14ac:dyDescent="0.2">
      <c r="A210">
        <f>SUBTOTAL(3,$B$6:B210)</f>
        <v>65</v>
      </c>
    </row>
    <row r="211" spans="1:1" x14ac:dyDescent="0.2">
      <c r="A211">
        <f>SUBTOTAL(3,$B$6:B211)</f>
        <v>65</v>
      </c>
    </row>
    <row r="212" spans="1:1" x14ac:dyDescent="0.2">
      <c r="A212">
        <f>SUBTOTAL(3,$B$6:B212)</f>
        <v>65</v>
      </c>
    </row>
    <row r="213" spans="1:1" x14ac:dyDescent="0.2">
      <c r="A213">
        <f>SUBTOTAL(3,$B$6:B213)</f>
        <v>65</v>
      </c>
    </row>
    <row r="214" spans="1:1" x14ac:dyDescent="0.2">
      <c r="A214">
        <f>SUBTOTAL(3,$B$6:B214)</f>
        <v>65</v>
      </c>
    </row>
    <row r="215" spans="1:1" x14ac:dyDescent="0.2">
      <c r="A215">
        <f>SUBTOTAL(3,$B$6:B215)</f>
        <v>65</v>
      </c>
    </row>
    <row r="216" spans="1:1" x14ac:dyDescent="0.2">
      <c r="A216">
        <f>SUBTOTAL(3,$B$6:B216)</f>
        <v>65</v>
      </c>
    </row>
    <row r="217" spans="1:1" x14ac:dyDescent="0.2">
      <c r="A217">
        <f>SUBTOTAL(3,$B$6:B217)</f>
        <v>65</v>
      </c>
    </row>
    <row r="218" spans="1:1" x14ac:dyDescent="0.2">
      <c r="A218">
        <f>SUBTOTAL(3,$B$6:B218)</f>
        <v>65</v>
      </c>
    </row>
    <row r="219" spans="1:1" x14ac:dyDescent="0.2">
      <c r="A219">
        <f>SUBTOTAL(3,$B$6:B219)</f>
        <v>65</v>
      </c>
    </row>
    <row r="220" spans="1:1" x14ac:dyDescent="0.2">
      <c r="A220">
        <f>SUBTOTAL(3,$B$6:B220)</f>
        <v>65</v>
      </c>
    </row>
    <row r="221" spans="1:1" x14ac:dyDescent="0.2">
      <c r="A221">
        <f>SUBTOTAL(3,$B$6:B221)</f>
        <v>65</v>
      </c>
    </row>
    <row r="222" spans="1:1" x14ac:dyDescent="0.2">
      <c r="A222">
        <f>SUBTOTAL(3,$B$6:B222)</f>
        <v>65</v>
      </c>
    </row>
    <row r="223" spans="1:1" x14ac:dyDescent="0.2">
      <c r="A223">
        <f>SUBTOTAL(3,$B$6:B223)</f>
        <v>65</v>
      </c>
    </row>
    <row r="224" spans="1:1" x14ac:dyDescent="0.2">
      <c r="A224">
        <f>SUBTOTAL(3,$B$6:B224)</f>
        <v>65</v>
      </c>
    </row>
    <row r="225" spans="1:1" x14ac:dyDescent="0.2">
      <c r="A225">
        <f>SUBTOTAL(3,$B$6:B225)</f>
        <v>65</v>
      </c>
    </row>
    <row r="226" spans="1:1" x14ac:dyDescent="0.2">
      <c r="A226">
        <f>SUBTOTAL(3,$B$6:B226)</f>
        <v>65</v>
      </c>
    </row>
    <row r="227" spans="1:1" x14ac:dyDescent="0.2">
      <c r="A227">
        <f>SUBTOTAL(3,$B$6:B227)</f>
        <v>65</v>
      </c>
    </row>
    <row r="228" spans="1:1" x14ac:dyDescent="0.2">
      <c r="A228">
        <f>SUBTOTAL(3,$B$6:B228)</f>
        <v>65</v>
      </c>
    </row>
    <row r="229" spans="1:1" x14ac:dyDescent="0.2">
      <c r="A229">
        <f>SUBTOTAL(3,$B$6:B229)</f>
        <v>65</v>
      </c>
    </row>
    <row r="230" spans="1:1" x14ac:dyDescent="0.2">
      <c r="A230">
        <f>SUBTOTAL(3,$B$6:B230)</f>
        <v>65</v>
      </c>
    </row>
    <row r="231" spans="1:1" x14ac:dyDescent="0.2">
      <c r="A231">
        <f>SUBTOTAL(3,$B$6:B231)</f>
        <v>65</v>
      </c>
    </row>
    <row r="232" spans="1:1" x14ac:dyDescent="0.2">
      <c r="A232">
        <f>SUBTOTAL(3,$B$6:B232)</f>
        <v>65</v>
      </c>
    </row>
    <row r="233" spans="1:1" x14ac:dyDescent="0.2">
      <c r="A233">
        <f>SUBTOTAL(3,$B$6:B233)</f>
        <v>65</v>
      </c>
    </row>
    <row r="234" spans="1:1" x14ac:dyDescent="0.2">
      <c r="A234">
        <f>SUBTOTAL(3,$B$6:B234)</f>
        <v>65</v>
      </c>
    </row>
    <row r="235" spans="1:1" x14ac:dyDescent="0.2">
      <c r="A235">
        <f>SUBTOTAL(3,$B$6:B235)</f>
        <v>65</v>
      </c>
    </row>
    <row r="236" spans="1:1" x14ac:dyDescent="0.2">
      <c r="A236">
        <f>SUBTOTAL(3,$B$6:B236)</f>
        <v>65</v>
      </c>
    </row>
    <row r="237" spans="1:1" x14ac:dyDescent="0.2">
      <c r="A237">
        <f>SUBTOTAL(3,$B$6:B237)</f>
        <v>65</v>
      </c>
    </row>
    <row r="238" spans="1:1" x14ac:dyDescent="0.2">
      <c r="A238">
        <f>SUBTOTAL(3,$B$6:B238)</f>
        <v>65</v>
      </c>
    </row>
    <row r="239" spans="1:1" x14ac:dyDescent="0.2">
      <c r="A239">
        <f>SUBTOTAL(3,$B$6:B239)</f>
        <v>65</v>
      </c>
    </row>
    <row r="240" spans="1:1" x14ac:dyDescent="0.2">
      <c r="A240">
        <f>SUBTOTAL(3,$B$6:B240)</f>
        <v>65</v>
      </c>
    </row>
    <row r="241" spans="1:1" x14ac:dyDescent="0.2">
      <c r="A241">
        <f>SUBTOTAL(3,$B$6:B241)</f>
        <v>65</v>
      </c>
    </row>
    <row r="242" spans="1:1" x14ac:dyDescent="0.2">
      <c r="A242">
        <f>SUBTOTAL(3,$B$6:B242)</f>
        <v>65</v>
      </c>
    </row>
    <row r="243" spans="1:1" x14ac:dyDescent="0.2">
      <c r="A243">
        <f>SUBTOTAL(3,$B$6:B243)</f>
        <v>65</v>
      </c>
    </row>
    <row r="244" spans="1:1" x14ac:dyDescent="0.2">
      <c r="A244">
        <f>SUBTOTAL(3,$B$6:B244)</f>
        <v>65</v>
      </c>
    </row>
    <row r="245" spans="1:1" x14ac:dyDescent="0.2">
      <c r="A245">
        <f>SUBTOTAL(3,$B$6:B245)</f>
        <v>65</v>
      </c>
    </row>
    <row r="246" spans="1:1" x14ac:dyDescent="0.2">
      <c r="A246">
        <f>SUBTOTAL(3,$B$6:B246)</f>
        <v>65</v>
      </c>
    </row>
    <row r="247" spans="1:1" x14ac:dyDescent="0.2">
      <c r="A247">
        <f>SUBTOTAL(3,$B$6:B247)</f>
        <v>65</v>
      </c>
    </row>
    <row r="248" spans="1:1" x14ac:dyDescent="0.2">
      <c r="A248">
        <f>SUBTOTAL(3,$B$6:B248)</f>
        <v>65</v>
      </c>
    </row>
    <row r="249" spans="1:1" x14ac:dyDescent="0.2">
      <c r="A249">
        <f>SUBTOTAL(3,$B$6:B249)</f>
        <v>65</v>
      </c>
    </row>
    <row r="250" spans="1:1" x14ac:dyDescent="0.2">
      <c r="A250">
        <f>SUBTOTAL(3,$B$6:B250)</f>
        <v>65</v>
      </c>
    </row>
    <row r="251" spans="1:1" x14ac:dyDescent="0.2">
      <c r="A251">
        <f>SUBTOTAL(3,$B$6:B251)</f>
        <v>65</v>
      </c>
    </row>
    <row r="252" spans="1:1" x14ac:dyDescent="0.2">
      <c r="A252">
        <f>SUBTOTAL(3,$B$6:B252)</f>
        <v>65</v>
      </c>
    </row>
    <row r="253" spans="1:1" x14ac:dyDescent="0.2">
      <c r="A253">
        <f>SUBTOTAL(3,$B$6:B253)</f>
        <v>65</v>
      </c>
    </row>
    <row r="254" spans="1:1" x14ac:dyDescent="0.2">
      <c r="A254">
        <f>SUBTOTAL(3,$B$6:B254)</f>
        <v>65</v>
      </c>
    </row>
    <row r="255" spans="1:1" x14ac:dyDescent="0.2">
      <c r="A255">
        <f>SUBTOTAL(3,$B$6:B255)</f>
        <v>65</v>
      </c>
    </row>
    <row r="256" spans="1:1" x14ac:dyDescent="0.2">
      <c r="A256">
        <f>SUBTOTAL(3,$B$6:B256)</f>
        <v>65</v>
      </c>
    </row>
    <row r="257" spans="1:1" x14ac:dyDescent="0.2">
      <c r="A257">
        <f>SUBTOTAL(3,$B$6:B257)</f>
        <v>65</v>
      </c>
    </row>
    <row r="258" spans="1:1" x14ac:dyDescent="0.2">
      <c r="A258">
        <f>SUBTOTAL(3,$B$6:B258)</f>
        <v>65</v>
      </c>
    </row>
    <row r="259" spans="1:1" x14ac:dyDescent="0.2">
      <c r="A259">
        <f>SUBTOTAL(3,$B$6:B259)</f>
        <v>65</v>
      </c>
    </row>
    <row r="260" spans="1:1" x14ac:dyDescent="0.2">
      <c r="A260">
        <f>SUBTOTAL(3,$B$6:B260)</f>
        <v>65</v>
      </c>
    </row>
    <row r="261" spans="1:1" x14ac:dyDescent="0.2">
      <c r="A261">
        <f>SUBTOTAL(3,$B$6:B261)</f>
        <v>65</v>
      </c>
    </row>
    <row r="262" spans="1:1" x14ac:dyDescent="0.2">
      <c r="A262">
        <f>SUBTOTAL(3,$B$6:B262)</f>
        <v>65</v>
      </c>
    </row>
    <row r="263" spans="1:1" x14ac:dyDescent="0.2">
      <c r="A263">
        <f>SUBTOTAL(3,$B$6:B263)</f>
        <v>65</v>
      </c>
    </row>
    <row r="264" spans="1:1" x14ac:dyDescent="0.2">
      <c r="A264">
        <f>SUBTOTAL(3,$B$6:B264)</f>
        <v>65</v>
      </c>
    </row>
    <row r="265" spans="1:1" x14ac:dyDescent="0.2">
      <c r="A265">
        <f>SUBTOTAL(3,$B$6:B265)</f>
        <v>65</v>
      </c>
    </row>
    <row r="266" spans="1:1" x14ac:dyDescent="0.2">
      <c r="A266">
        <f>SUBTOTAL(3,$B$6:B266)</f>
        <v>65</v>
      </c>
    </row>
    <row r="267" spans="1:1" x14ac:dyDescent="0.2">
      <c r="A267">
        <f>SUBTOTAL(3,$B$6:B267)</f>
        <v>65</v>
      </c>
    </row>
    <row r="268" spans="1:1" x14ac:dyDescent="0.2">
      <c r="A268">
        <f>SUBTOTAL(3,$B$6:B268)</f>
        <v>65</v>
      </c>
    </row>
    <row r="269" spans="1:1" x14ac:dyDescent="0.2">
      <c r="A269">
        <f>SUBTOTAL(3,$B$6:B269)</f>
        <v>65</v>
      </c>
    </row>
    <row r="270" spans="1:1" x14ac:dyDescent="0.2">
      <c r="A270">
        <f>SUBTOTAL(3,$B$6:B270)</f>
        <v>65</v>
      </c>
    </row>
    <row r="271" spans="1:1" x14ac:dyDescent="0.2">
      <c r="A271">
        <f>SUBTOTAL(3,$B$6:B271)</f>
        <v>65</v>
      </c>
    </row>
    <row r="272" spans="1:1" x14ac:dyDescent="0.2">
      <c r="A272">
        <f>SUBTOTAL(3,$B$6:B272)</f>
        <v>65</v>
      </c>
    </row>
    <row r="273" spans="1:1" x14ac:dyDescent="0.2">
      <c r="A273">
        <f>SUBTOTAL(3,$B$6:B273)</f>
        <v>65</v>
      </c>
    </row>
    <row r="274" spans="1:1" x14ac:dyDescent="0.2">
      <c r="A274">
        <f>SUBTOTAL(3,$B$6:B274)</f>
        <v>65</v>
      </c>
    </row>
    <row r="275" spans="1:1" x14ac:dyDescent="0.2">
      <c r="A275">
        <f>SUBTOTAL(3,$B$6:B275)</f>
        <v>65</v>
      </c>
    </row>
    <row r="276" spans="1:1" x14ac:dyDescent="0.2">
      <c r="A276">
        <f>SUBTOTAL(3,$B$6:B276)</f>
        <v>65</v>
      </c>
    </row>
    <row r="277" spans="1:1" x14ac:dyDescent="0.2">
      <c r="A277">
        <f>SUBTOTAL(3,$B$6:B277)</f>
        <v>65</v>
      </c>
    </row>
    <row r="278" spans="1:1" x14ac:dyDescent="0.2">
      <c r="A278">
        <f>SUBTOTAL(3,$B$6:B278)</f>
        <v>65</v>
      </c>
    </row>
    <row r="279" spans="1:1" x14ac:dyDescent="0.2">
      <c r="A279">
        <f>SUBTOTAL(3,$B$6:B279)</f>
        <v>65</v>
      </c>
    </row>
    <row r="280" spans="1:1" x14ac:dyDescent="0.2">
      <c r="A280">
        <f>SUBTOTAL(3,$B$6:B280)</f>
        <v>65</v>
      </c>
    </row>
    <row r="281" spans="1:1" x14ac:dyDescent="0.2">
      <c r="A281">
        <f>SUBTOTAL(3,$B$6:B281)</f>
        <v>65</v>
      </c>
    </row>
    <row r="282" spans="1:1" x14ac:dyDescent="0.2">
      <c r="A282">
        <f>SUBTOTAL(3,$B$6:B282)</f>
        <v>65</v>
      </c>
    </row>
    <row r="283" spans="1:1" x14ac:dyDescent="0.2">
      <c r="A283">
        <f>SUBTOTAL(3,$B$6:B283)</f>
        <v>65</v>
      </c>
    </row>
    <row r="284" spans="1:1" x14ac:dyDescent="0.2">
      <c r="A284">
        <f>SUBTOTAL(3,$B$6:B284)</f>
        <v>65</v>
      </c>
    </row>
    <row r="285" spans="1:1" x14ac:dyDescent="0.2">
      <c r="A285">
        <f>SUBTOTAL(3,$B$6:B285)</f>
        <v>65</v>
      </c>
    </row>
    <row r="286" spans="1:1" x14ac:dyDescent="0.2">
      <c r="A286">
        <f>SUBTOTAL(3,$B$6:B286)</f>
        <v>65</v>
      </c>
    </row>
    <row r="287" spans="1:1" x14ac:dyDescent="0.2">
      <c r="A287">
        <f>SUBTOTAL(3,$B$6:B287)</f>
        <v>65</v>
      </c>
    </row>
    <row r="288" spans="1:1" x14ac:dyDescent="0.2">
      <c r="A288">
        <f>SUBTOTAL(3,$B$6:B288)</f>
        <v>65</v>
      </c>
    </row>
    <row r="289" spans="1:1" x14ac:dyDescent="0.2">
      <c r="A289">
        <f>SUBTOTAL(3,$B$6:B289)</f>
        <v>65</v>
      </c>
    </row>
    <row r="290" spans="1:1" x14ac:dyDescent="0.2">
      <c r="A290">
        <f>SUBTOTAL(3,$B$6:B290)</f>
        <v>65</v>
      </c>
    </row>
    <row r="291" spans="1:1" x14ac:dyDescent="0.2">
      <c r="A291">
        <f>SUBTOTAL(3,$B$6:B291)</f>
        <v>65</v>
      </c>
    </row>
    <row r="292" spans="1:1" x14ac:dyDescent="0.2">
      <c r="A292">
        <f>SUBTOTAL(3,$B$6:B292)</f>
        <v>65</v>
      </c>
    </row>
    <row r="293" spans="1:1" x14ac:dyDescent="0.2">
      <c r="A293">
        <f>SUBTOTAL(3,$B$6:B293)</f>
        <v>65</v>
      </c>
    </row>
    <row r="294" spans="1:1" x14ac:dyDescent="0.2">
      <c r="A294">
        <f>SUBTOTAL(3,$B$6:B294)</f>
        <v>65</v>
      </c>
    </row>
    <row r="295" spans="1:1" x14ac:dyDescent="0.2">
      <c r="A295">
        <f>SUBTOTAL(3,$B$6:B295)</f>
        <v>65</v>
      </c>
    </row>
    <row r="296" spans="1:1" x14ac:dyDescent="0.2">
      <c r="A296">
        <f>SUBTOTAL(3,$B$6:B296)</f>
        <v>65</v>
      </c>
    </row>
    <row r="297" spans="1:1" x14ac:dyDescent="0.2">
      <c r="A297">
        <f>SUBTOTAL(3,$B$6:B297)</f>
        <v>65</v>
      </c>
    </row>
    <row r="298" spans="1:1" x14ac:dyDescent="0.2">
      <c r="A298">
        <f>SUBTOTAL(3,$B$6:B298)</f>
        <v>65</v>
      </c>
    </row>
    <row r="299" spans="1:1" x14ac:dyDescent="0.2">
      <c r="A299">
        <f>SUBTOTAL(3,$B$6:B299)</f>
        <v>65</v>
      </c>
    </row>
    <row r="300" spans="1:1" x14ac:dyDescent="0.2">
      <c r="A300">
        <f>SUBTOTAL(3,$B$6:B300)</f>
        <v>65</v>
      </c>
    </row>
    <row r="301" spans="1:1" x14ac:dyDescent="0.2">
      <c r="A301">
        <f>SUBTOTAL(3,$B$6:B301)</f>
        <v>65</v>
      </c>
    </row>
    <row r="302" spans="1:1" x14ac:dyDescent="0.2">
      <c r="A302">
        <f>SUBTOTAL(3,$B$6:B302)</f>
        <v>65</v>
      </c>
    </row>
    <row r="303" spans="1:1" x14ac:dyDescent="0.2">
      <c r="A303">
        <f>SUBTOTAL(3,$B$6:B303)</f>
        <v>65</v>
      </c>
    </row>
    <row r="304" spans="1:1" x14ac:dyDescent="0.2">
      <c r="A304">
        <f>SUBTOTAL(3,$B$6:B304)</f>
        <v>65</v>
      </c>
    </row>
    <row r="305" spans="1:1" x14ac:dyDescent="0.2">
      <c r="A305">
        <f>SUBTOTAL(3,$B$6:B305)</f>
        <v>65</v>
      </c>
    </row>
    <row r="306" spans="1:1" x14ac:dyDescent="0.2">
      <c r="A306">
        <f>SUBTOTAL(3,$B$6:B306)</f>
        <v>65</v>
      </c>
    </row>
    <row r="307" spans="1:1" x14ac:dyDescent="0.2">
      <c r="A307">
        <f>SUBTOTAL(3,$B$6:B307)</f>
        <v>65</v>
      </c>
    </row>
    <row r="308" spans="1:1" x14ac:dyDescent="0.2">
      <c r="A308">
        <f>SUBTOTAL(3,$B$6:B308)</f>
        <v>65</v>
      </c>
    </row>
    <row r="309" spans="1:1" x14ac:dyDescent="0.2">
      <c r="A309">
        <f>SUBTOTAL(3,$B$6:B309)</f>
        <v>65</v>
      </c>
    </row>
    <row r="310" spans="1:1" x14ac:dyDescent="0.2">
      <c r="A310">
        <f>SUBTOTAL(3,$B$6:B310)</f>
        <v>65</v>
      </c>
    </row>
    <row r="311" spans="1:1" x14ac:dyDescent="0.2">
      <c r="A311">
        <f>SUBTOTAL(3,$B$6:B311)</f>
        <v>65</v>
      </c>
    </row>
    <row r="312" spans="1:1" x14ac:dyDescent="0.2">
      <c r="A312">
        <f>SUBTOTAL(3,$B$6:B312)</f>
        <v>65</v>
      </c>
    </row>
    <row r="313" spans="1:1" x14ac:dyDescent="0.2">
      <c r="A313">
        <f>SUBTOTAL(3,$B$6:B313)</f>
        <v>65</v>
      </c>
    </row>
    <row r="314" spans="1:1" x14ac:dyDescent="0.2">
      <c r="A314">
        <f>SUBTOTAL(3,$B$6:B314)</f>
        <v>65</v>
      </c>
    </row>
    <row r="315" spans="1:1" x14ac:dyDescent="0.2">
      <c r="A315">
        <f>SUBTOTAL(3,$B$6:B315)</f>
        <v>65</v>
      </c>
    </row>
    <row r="316" spans="1:1" x14ac:dyDescent="0.2">
      <c r="A316">
        <f>SUBTOTAL(3,$B$6:B316)</f>
        <v>65</v>
      </c>
    </row>
    <row r="317" spans="1:1" x14ac:dyDescent="0.2">
      <c r="A317">
        <f>SUBTOTAL(3,$B$6:B317)</f>
        <v>65</v>
      </c>
    </row>
    <row r="318" spans="1:1" x14ac:dyDescent="0.2">
      <c r="A318">
        <f>SUBTOTAL(3,$B$6:B318)</f>
        <v>65</v>
      </c>
    </row>
    <row r="319" spans="1:1" x14ac:dyDescent="0.2">
      <c r="A319">
        <f>SUBTOTAL(3,$B$6:B319)</f>
        <v>65</v>
      </c>
    </row>
    <row r="320" spans="1:1" x14ac:dyDescent="0.2">
      <c r="A320">
        <f>SUBTOTAL(3,$B$6:B320)</f>
        <v>65</v>
      </c>
    </row>
    <row r="321" spans="1:1" x14ac:dyDescent="0.2">
      <c r="A321">
        <f>SUBTOTAL(3,$B$6:B321)</f>
        <v>65</v>
      </c>
    </row>
    <row r="322" spans="1:1" x14ac:dyDescent="0.2">
      <c r="A322">
        <f>SUBTOTAL(3,$B$6:B322)</f>
        <v>65</v>
      </c>
    </row>
    <row r="323" spans="1:1" x14ac:dyDescent="0.2">
      <c r="A323">
        <f>SUBTOTAL(3,$B$6:B323)</f>
        <v>65</v>
      </c>
    </row>
    <row r="324" spans="1:1" x14ac:dyDescent="0.2">
      <c r="A324">
        <f>SUBTOTAL(3,$B$6:B324)</f>
        <v>65</v>
      </c>
    </row>
    <row r="325" spans="1:1" x14ac:dyDescent="0.2">
      <c r="A325">
        <f>SUBTOTAL(3,$B$6:B325)</f>
        <v>65</v>
      </c>
    </row>
    <row r="326" spans="1:1" x14ac:dyDescent="0.2">
      <c r="A326">
        <f>SUBTOTAL(3,$B$6:B326)</f>
        <v>65</v>
      </c>
    </row>
    <row r="327" spans="1:1" x14ac:dyDescent="0.2">
      <c r="A327">
        <f>SUBTOTAL(3,$B$6:B327)</f>
        <v>65</v>
      </c>
    </row>
    <row r="328" spans="1:1" x14ac:dyDescent="0.2">
      <c r="A328">
        <f>SUBTOTAL(3,$B$6:B328)</f>
        <v>65</v>
      </c>
    </row>
    <row r="329" spans="1:1" x14ac:dyDescent="0.2">
      <c r="A329">
        <f>SUBTOTAL(3,$B$6:B329)</f>
        <v>65</v>
      </c>
    </row>
    <row r="330" spans="1:1" x14ac:dyDescent="0.2">
      <c r="A330">
        <f>SUBTOTAL(3,$B$6:B330)</f>
        <v>65</v>
      </c>
    </row>
    <row r="331" spans="1:1" x14ac:dyDescent="0.2">
      <c r="A331">
        <f>SUBTOTAL(3,$B$6:B331)</f>
        <v>65</v>
      </c>
    </row>
    <row r="332" spans="1:1" x14ac:dyDescent="0.2">
      <c r="A332">
        <f>SUBTOTAL(3,$B$6:B332)</f>
        <v>65</v>
      </c>
    </row>
    <row r="333" spans="1:1" x14ac:dyDescent="0.2">
      <c r="A333">
        <f>SUBTOTAL(3,$B$6:B333)</f>
        <v>65</v>
      </c>
    </row>
    <row r="334" spans="1:1" x14ac:dyDescent="0.2">
      <c r="A334">
        <f>SUBTOTAL(3,$B$6:B334)</f>
        <v>65</v>
      </c>
    </row>
    <row r="335" spans="1:1" x14ac:dyDescent="0.2">
      <c r="A335">
        <f>SUBTOTAL(3,$B$6:B335)</f>
        <v>65</v>
      </c>
    </row>
    <row r="336" spans="1:1" x14ac:dyDescent="0.2">
      <c r="A336">
        <f>SUBTOTAL(3,$B$6:B336)</f>
        <v>65</v>
      </c>
    </row>
    <row r="337" spans="1:1" x14ac:dyDescent="0.2">
      <c r="A337">
        <f>SUBTOTAL(3,$B$6:B337)</f>
        <v>65</v>
      </c>
    </row>
    <row r="338" spans="1:1" x14ac:dyDescent="0.2">
      <c r="A338">
        <f>SUBTOTAL(3,$B$6:B338)</f>
        <v>65</v>
      </c>
    </row>
    <row r="339" spans="1:1" x14ac:dyDescent="0.2">
      <c r="A339">
        <f>SUBTOTAL(3,$B$6:B339)</f>
        <v>65</v>
      </c>
    </row>
    <row r="340" spans="1:1" x14ac:dyDescent="0.2">
      <c r="A340">
        <f>SUBTOTAL(3,$B$6:B340)</f>
        <v>65</v>
      </c>
    </row>
    <row r="341" spans="1:1" x14ac:dyDescent="0.2">
      <c r="A341">
        <f>SUBTOTAL(3,$B$6:B341)</f>
        <v>65</v>
      </c>
    </row>
    <row r="342" spans="1:1" x14ac:dyDescent="0.2">
      <c r="A342">
        <f>SUBTOTAL(3,$B$6:B342)</f>
        <v>65</v>
      </c>
    </row>
    <row r="343" spans="1:1" x14ac:dyDescent="0.2">
      <c r="A343">
        <f>SUBTOTAL(3,$B$6:B343)</f>
        <v>65</v>
      </c>
    </row>
    <row r="344" spans="1:1" x14ac:dyDescent="0.2">
      <c r="A344">
        <f>SUBTOTAL(3,$B$6:B344)</f>
        <v>65</v>
      </c>
    </row>
    <row r="345" spans="1:1" x14ac:dyDescent="0.2">
      <c r="A345">
        <f>SUBTOTAL(3,$B$6:B345)</f>
        <v>65</v>
      </c>
    </row>
    <row r="346" spans="1:1" x14ac:dyDescent="0.2">
      <c r="A346">
        <f>SUBTOTAL(3,$B$6:B346)</f>
        <v>65</v>
      </c>
    </row>
    <row r="347" spans="1:1" x14ac:dyDescent="0.2">
      <c r="A347">
        <f>SUBTOTAL(3,$B$6:B347)</f>
        <v>65</v>
      </c>
    </row>
    <row r="348" spans="1:1" x14ac:dyDescent="0.2">
      <c r="A348">
        <f>SUBTOTAL(3,$B$6:B348)</f>
        <v>65</v>
      </c>
    </row>
    <row r="349" spans="1:1" x14ac:dyDescent="0.2">
      <c r="A349">
        <f>SUBTOTAL(3,$B$6:B349)</f>
        <v>65</v>
      </c>
    </row>
    <row r="350" spans="1:1" x14ac:dyDescent="0.2">
      <c r="A350">
        <f>SUBTOTAL(3,$B$6:B350)</f>
        <v>65</v>
      </c>
    </row>
    <row r="351" spans="1:1" x14ac:dyDescent="0.2">
      <c r="A351">
        <f>SUBTOTAL(3,$B$6:B351)</f>
        <v>65</v>
      </c>
    </row>
    <row r="352" spans="1:1" x14ac:dyDescent="0.2">
      <c r="A352">
        <f>SUBTOTAL(3,$B$6:B352)</f>
        <v>65</v>
      </c>
    </row>
    <row r="353" spans="1:1" x14ac:dyDescent="0.2">
      <c r="A353">
        <f>SUBTOTAL(3,$B$6:B353)</f>
        <v>65</v>
      </c>
    </row>
    <row r="354" spans="1:1" x14ac:dyDescent="0.2">
      <c r="A354">
        <f>SUBTOTAL(3,$B$6:B354)</f>
        <v>65</v>
      </c>
    </row>
    <row r="355" spans="1:1" x14ac:dyDescent="0.2">
      <c r="A355">
        <f>SUBTOTAL(3,$B$6:B355)</f>
        <v>65</v>
      </c>
    </row>
    <row r="356" spans="1:1" x14ac:dyDescent="0.2">
      <c r="A356">
        <f>SUBTOTAL(3,$B$6:B356)</f>
        <v>65</v>
      </c>
    </row>
    <row r="357" spans="1:1" x14ac:dyDescent="0.2">
      <c r="A357">
        <f>SUBTOTAL(3,$B$6:B357)</f>
        <v>65</v>
      </c>
    </row>
    <row r="358" spans="1:1" x14ac:dyDescent="0.2">
      <c r="A358">
        <f>SUBTOTAL(3,$B$6:B358)</f>
        <v>65</v>
      </c>
    </row>
    <row r="359" spans="1:1" x14ac:dyDescent="0.2">
      <c r="A359">
        <f>SUBTOTAL(3,$B$6:B359)</f>
        <v>65</v>
      </c>
    </row>
    <row r="360" spans="1:1" x14ac:dyDescent="0.2">
      <c r="A360">
        <f>SUBTOTAL(3,$B$6:B360)</f>
        <v>65</v>
      </c>
    </row>
    <row r="361" spans="1:1" x14ac:dyDescent="0.2">
      <c r="A361">
        <f>SUBTOTAL(3,$B$6:B361)</f>
        <v>65</v>
      </c>
    </row>
    <row r="362" spans="1:1" x14ac:dyDescent="0.2">
      <c r="A362">
        <f>SUBTOTAL(3,$B$6:B362)</f>
        <v>65</v>
      </c>
    </row>
    <row r="363" spans="1:1" x14ac:dyDescent="0.2">
      <c r="A363">
        <f>SUBTOTAL(3,$B$6:B363)</f>
        <v>65</v>
      </c>
    </row>
    <row r="364" spans="1:1" x14ac:dyDescent="0.2">
      <c r="A364">
        <f>SUBTOTAL(3,$B$6:B364)</f>
        <v>65</v>
      </c>
    </row>
    <row r="365" spans="1:1" x14ac:dyDescent="0.2">
      <c r="A365">
        <f>SUBTOTAL(3,$B$6:B365)</f>
        <v>65</v>
      </c>
    </row>
    <row r="366" spans="1:1" x14ac:dyDescent="0.2">
      <c r="A366">
        <f>SUBTOTAL(3,$B$6:B366)</f>
        <v>65</v>
      </c>
    </row>
    <row r="367" spans="1:1" x14ac:dyDescent="0.2">
      <c r="A367">
        <f>SUBTOTAL(3,$B$6:B367)</f>
        <v>65</v>
      </c>
    </row>
    <row r="368" spans="1:1" x14ac:dyDescent="0.2">
      <c r="A368">
        <f>SUBTOTAL(3,$B$6:B368)</f>
        <v>65</v>
      </c>
    </row>
    <row r="369" spans="1:1" x14ac:dyDescent="0.2">
      <c r="A369">
        <f>SUBTOTAL(3,$B$6:B369)</f>
        <v>65</v>
      </c>
    </row>
    <row r="370" spans="1:1" x14ac:dyDescent="0.2">
      <c r="A370">
        <f>SUBTOTAL(3,$B$6:B370)</f>
        <v>65</v>
      </c>
    </row>
    <row r="371" spans="1:1" x14ac:dyDescent="0.2">
      <c r="A371">
        <f>SUBTOTAL(3,$B$6:B371)</f>
        <v>65</v>
      </c>
    </row>
    <row r="372" spans="1:1" x14ac:dyDescent="0.2">
      <c r="A372">
        <f>SUBTOTAL(3,$B$6:B372)</f>
        <v>65</v>
      </c>
    </row>
    <row r="373" spans="1:1" x14ac:dyDescent="0.2">
      <c r="A373">
        <f>SUBTOTAL(3,$B$6:B373)</f>
        <v>65</v>
      </c>
    </row>
    <row r="374" spans="1:1" x14ac:dyDescent="0.2">
      <c r="A374">
        <f>SUBTOTAL(3,$B$6:B374)</f>
        <v>65</v>
      </c>
    </row>
    <row r="375" spans="1:1" x14ac:dyDescent="0.2">
      <c r="A375">
        <f>SUBTOTAL(3,$B$6:B375)</f>
        <v>65</v>
      </c>
    </row>
    <row r="376" spans="1:1" x14ac:dyDescent="0.2">
      <c r="A376">
        <f>SUBTOTAL(3,$B$6:B376)</f>
        <v>65</v>
      </c>
    </row>
    <row r="377" spans="1:1" x14ac:dyDescent="0.2">
      <c r="A377">
        <f>SUBTOTAL(3,$B$6:B377)</f>
        <v>65</v>
      </c>
    </row>
    <row r="378" spans="1:1" x14ac:dyDescent="0.2">
      <c r="A378">
        <f>SUBTOTAL(3,$B$6:B378)</f>
        <v>65</v>
      </c>
    </row>
    <row r="379" spans="1:1" x14ac:dyDescent="0.2">
      <c r="A379">
        <f>SUBTOTAL(3,$B$6:B379)</f>
        <v>65</v>
      </c>
    </row>
    <row r="380" spans="1:1" x14ac:dyDescent="0.2">
      <c r="A380">
        <f>SUBTOTAL(3,$B$6:B380)</f>
        <v>65</v>
      </c>
    </row>
    <row r="381" spans="1:1" x14ac:dyDescent="0.2">
      <c r="A381">
        <f>SUBTOTAL(3,$B$6:B381)</f>
        <v>65</v>
      </c>
    </row>
    <row r="382" spans="1:1" x14ac:dyDescent="0.2">
      <c r="A382">
        <f>SUBTOTAL(3,$B$6:B382)</f>
        <v>65</v>
      </c>
    </row>
    <row r="383" spans="1:1" x14ac:dyDescent="0.2">
      <c r="A383">
        <f>SUBTOTAL(3,$B$6:B383)</f>
        <v>65</v>
      </c>
    </row>
    <row r="384" spans="1:1" x14ac:dyDescent="0.2">
      <c r="A384">
        <f>SUBTOTAL(3,$B$6:B384)</f>
        <v>65</v>
      </c>
    </row>
    <row r="385" spans="1:1" x14ac:dyDescent="0.2">
      <c r="A385">
        <f>SUBTOTAL(3,$B$6:B385)</f>
        <v>65</v>
      </c>
    </row>
    <row r="386" spans="1:1" x14ac:dyDescent="0.2">
      <c r="A386">
        <f>SUBTOTAL(3,$B$6:B386)</f>
        <v>65</v>
      </c>
    </row>
    <row r="387" spans="1:1" x14ac:dyDescent="0.2">
      <c r="A387">
        <f>SUBTOTAL(3,$B$6:B387)</f>
        <v>65</v>
      </c>
    </row>
    <row r="388" spans="1:1" x14ac:dyDescent="0.2">
      <c r="A388">
        <f>SUBTOTAL(3,$B$6:B388)</f>
        <v>65</v>
      </c>
    </row>
    <row r="389" spans="1:1" x14ac:dyDescent="0.2">
      <c r="A389">
        <f>SUBTOTAL(3,$B$6:B389)</f>
        <v>65</v>
      </c>
    </row>
    <row r="390" spans="1:1" x14ac:dyDescent="0.2">
      <c r="A390">
        <f>SUBTOTAL(3,$B$6:B390)</f>
        <v>65</v>
      </c>
    </row>
    <row r="391" spans="1:1" x14ac:dyDescent="0.2">
      <c r="A391">
        <f>SUBTOTAL(3,$B$6:B391)</f>
        <v>65</v>
      </c>
    </row>
    <row r="392" spans="1:1" x14ac:dyDescent="0.2">
      <c r="A392">
        <f>SUBTOTAL(3,$B$6:B392)</f>
        <v>65</v>
      </c>
    </row>
    <row r="393" spans="1:1" x14ac:dyDescent="0.2">
      <c r="A393">
        <f>SUBTOTAL(3,$B$6:B393)</f>
        <v>65</v>
      </c>
    </row>
    <row r="394" spans="1:1" x14ac:dyDescent="0.2">
      <c r="A394">
        <f>SUBTOTAL(3,$B$6:B394)</f>
        <v>65</v>
      </c>
    </row>
    <row r="395" spans="1:1" x14ac:dyDescent="0.2">
      <c r="A395">
        <f>SUBTOTAL(3,$B$6:B395)</f>
        <v>65</v>
      </c>
    </row>
    <row r="396" spans="1:1" x14ac:dyDescent="0.2">
      <c r="A396">
        <f>SUBTOTAL(3,$B$6:B396)</f>
        <v>65</v>
      </c>
    </row>
    <row r="397" spans="1:1" x14ac:dyDescent="0.2">
      <c r="A397">
        <f>SUBTOTAL(3,$B$6:B397)</f>
        <v>65</v>
      </c>
    </row>
    <row r="398" spans="1:1" x14ac:dyDescent="0.2">
      <c r="A398">
        <f>SUBTOTAL(3,$B$6:B398)</f>
        <v>65</v>
      </c>
    </row>
    <row r="399" spans="1:1" x14ac:dyDescent="0.2">
      <c r="A399">
        <f>SUBTOTAL(3,$B$6:B399)</f>
        <v>65</v>
      </c>
    </row>
    <row r="400" spans="1:1" x14ac:dyDescent="0.2">
      <c r="A400">
        <f>SUBTOTAL(3,$B$6:B400)</f>
        <v>65</v>
      </c>
    </row>
    <row r="401" spans="1:1" x14ac:dyDescent="0.2">
      <c r="A401">
        <f>SUBTOTAL(3,$B$6:B401)</f>
        <v>65</v>
      </c>
    </row>
    <row r="402" spans="1:1" x14ac:dyDescent="0.2">
      <c r="A402">
        <f>SUBTOTAL(3,$B$6:B402)</f>
        <v>65</v>
      </c>
    </row>
    <row r="403" spans="1:1" x14ac:dyDescent="0.2">
      <c r="A403">
        <f>SUBTOTAL(3,$B$6:B403)</f>
        <v>65</v>
      </c>
    </row>
    <row r="404" spans="1:1" x14ac:dyDescent="0.2">
      <c r="A404">
        <f>SUBTOTAL(3,$B$6:B404)</f>
        <v>65</v>
      </c>
    </row>
    <row r="405" spans="1:1" x14ac:dyDescent="0.2">
      <c r="A405">
        <f>SUBTOTAL(3,$B$6:B405)</f>
        <v>65</v>
      </c>
    </row>
    <row r="406" spans="1:1" x14ac:dyDescent="0.2">
      <c r="A406">
        <f>SUBTOTAL(3,$B$6:B406)</f>
        <v>65</v>
      </c>
    </row>
    <row r="407" spans="1:1" x14ac:dyDescent="0.2">
      <c r="A407">
        <f>SUBTOTAL(3,$B$6:B407)</f>
        <v>65</v>
      </c>
    </row>
    <row r="408" spans="1:1" x14ac:dyDescent="0.2">
      <c r="A408">
        <f>SUBTOTAL(3,$B$6:B408)</f>
        <v>65</v>
      </c>
    </row>
    <row r="409" spans="1:1" x14ac:dyDescent="0.2">
      <c r="A409">
        <f>SUBTOTAL(3,$B$6:B409)</f>
        <v>65</v>
      </c>
    </row>
    <row r="410" spans="1:1" x14ac:dyDescent="0.2">
      <c r="A410">
        <f>SUBTOTAL(3,$B$6:B410)</f>
        <v>65</v>
      </c>
    </row>
    <row r="411" spans="1:1" x14ac:dyDescent="0.2">
      <c r="A411">
        <f>SUBTOTAL(3,$B$6:B411)</f>
        <v>65</v>
      </c>
    </row>
    <row r="412" spans="1:1" x14ac:dyDescent="0.2">
      <c r="A412">
        <f>SUBTOTAL(3,$B$6:B412)</f>
        <v>65</v>
      </c>
    </row>
    <row r="413" spans="1:1" x14ac:dyDescent="0.2">
      <c r="A413">
        <f>SUBTOTAL(3,$B$6:B413)</f>
        <v>65</v>
      </c>
    </row>
    <row r="414" spans="1:1" x14ac:dyDescent="0.2">
      <c r="A414">
        <f>SUBTOTAL(3,$B$6:B414)</f>
        <v>65</v>
      </c>
    </row>
    <row r="415" spans="1:1" x14ac:dyDescent="0.2">
      <c r="A415">
        <f>SUBTOTAL(3,$B$6:B415)</f>
        <v>65</v>
      </c>
    </row>
    <row r="416" spans="1:1" x14ac:dyDescent="0.2">
      <c r="A416">
        <f>SUBTOTAL(3,$B$6:B416)</f>
        <v>65</v>
      </c>
    </row>
    <row r="417" spans="1:1" x14ac:dyDescent="0.2">
      <c r="A417">
        <f>SUBTOTAL(3,$B$6:B417)</f>
        <v>65</v>
      </c>
    </row>
    <row r="418" spans="1:1" x14ac:dyDescent="0.2">
      <c r="A418">
        <f>SUBTOTAL(3,$B$6:B418)</f>
        <v>65</v>
      </c>
    </row>
    <row r="419" spans="1:1" x14ac:dyDescent="0.2">
      <c r="A419">
        <f>SUBTOTAL(3,$B$6:B419)</f>
        <v>65</v>
      </c>
    </row>
    <row r="420" spans="1:1" x14ac:dyDescent="0.2">
      <c r="A420">
        <f>SUBTOTAL(3,$B$6:B420)</f>
        <v>65</v>
      </c>
    </row>
    <row r="421" spans="1:1" x14ac:dyDescent="0.2">
      <c r="A421">
        <f>SUBTOTAL(3,$B$6:B421)</f>
        <v>65</v>
      </c>
    </row>
    <row r="422" spans="1:1" x14ac:dyDescent="0.2">
      <c r="A422">
        <f>SUBTOTAL(3,$B$6:B422)</f>
        <v>65</v>
      </c>
    </row>
    <row r="423" spans="1:1" x14ac:dyDescent="0.2">
      <c r="A423">
        <f>SUBTOTAL(3,$B$6:B423)</f>
        <v>65</v>
      </c>
    </row>
    <row r="424" spans="1:1" x14ac:dyDescent="0.2">
      <c r="A424">
        <f>SUBTOTAL(3,$B$6:B424)</f>
        <v>65</v>
      </c>
    </row>
    <row r="425" spans="1:1" x14ac:dyDescent="0.2">
      <c r="A425">
        <f>SUBTOTAL(3,$B$6:B425)</f>
        <v>65</v>
      </c>
    </row>
    <row r="426" spans="1:1" x14ac:dyDescent="0.2">
      <c r="A426">
        <f>SUBTOTAL(3,$B$6:B426)</f>
        <v>65</v>
      </c>
    </row>
    <row r="427" spans="1:1" x14ac:dyDescent="0.2">
      <c r="A427">
        <f>SUBTOTAL(3,$B$6:B427)</f>
        <v>65</v>
      </c>
    </row>
    <row r="428" spans="1:1" x14ac:dyDescent="0.2">
      <c r="A428">
        <f>SUBTOTAL(3,$B$6:B428)</f>
        <v>65</v>
      </c>
    </row>
    <row r="429" spans="1:1" x14ac:dyDescent="0.2">
      <c r="A429">
        <f>SUBTOTAL(3,$B$6:B429)</f>
        <v>65</v>
      </c>
    </row>
    <row r="430" spans="1:1" x14ac:dyDescent="0.2">
      <c r="A430">
        <f>SUBTOTAL(3,$B$6:B430)</f>
        <v>65</v>
      </c>
    </row>
    <row r="431" spans="1:1" x14ac:dyDescent="0.2">
      <c r="A431">
        <f>SUBTOTAL(3,$B$6:B431)</f>
        <v>65</v>
      </c>
    </row>
    <row r="432" spans="1:1" x14ac:dyDescent="0.2">
      <c r="A432">
        <f>SUBTOTAL(3,$B$6:B432)</f>
        <v>65</v>
      </c>
    </row>
    <row r="433" spans="1:1" x14ac:dyDescent="0.2">
      <c r="A433">
        <f>SUBTOTAL(3,$B$6:B433)</f>
        <v>65</v>
      </c>
    </row>
    <row r="434" spans="1:1" x14ac:dyDescent="0.2">
      <c r="A434">
        <f>SUBTOTAL(3,$B$6:B434)</f>
        <v>65</v>
      </c>
    </row>
    <row r="435" spans="1:1" x14ac:dyDescent="0.2">
      <c r="A435">
        <f>SUBTOTAL(3,$B$6:B435)</f>
        <v>65</v>
      </c>
    </row>
    <row r="436" spans="1:1" x14ac:dyDescent="0.2">
      <c r="A436">
        <f>SUBTOTAL(3,$B$6:B436)</f>
        <v>65</v>
      </c>
    </row>
    <row r="437" spans="1:1" x14ac:dyDescent="0.2">
      <c r="A437">
        <f>SUBTOTAL(3,$B$6:B437)</f>
        <v>65</v>
      </c>
    </row>
    <row r="438" spans="1:1" x14ac:dyDescent="0.2">
      <c r="A438">
        <f>SUBTOTAL(3,$B$6:B438)</f>
        <v>65</v>
      </c>
    </row>
    <row r="439" spans="1:1" x14ac:dyDescent="0.2">
      <c r="A439">
        <f>SUBTOTAL(3,$B$6:B439)</f>
        <v>65</v>
      </c>
    </row>
    <row r="440" spans="1:1" x14ac:dyDescent="0.2">
      <c r="A440">
        <f>SUBTOTAL(3,$B$6:B440)</f>
        <v>65</v>
      </c>
    </row>
    <row r="441" spans="1:1" x14ac:dyDescent="0.2">
      <c r="A441">
        <f>SUBTOTAL(3,$B$6:B441)</f>
        <v>65</v>
      </c>
    </row>
    <row r="442" spans="1:1" x14ac:dyDescent="0.2">
      <c r="A442">
        <f>SUBTOTAL(3,$B$6:B442)</f>
        <v>65</v>
      </c>
    </row>
    <row r="443" spans="1:1" x14ac:dyDescent="0.2">
      <c r="A443">
        <f>SUBTOTAL(3,$B$6:B443)</f>
        <v>65</v>
      </c>
    </row>
    <row r="444" spans="1:1" x14ac:dyDescent="0.2">
      <c r="A444">
        <f>SUBTOTAL(3,$B$6:B444)</f>
        <v>65</v>
      </c>
    </row>
    <row r="445" spans="1:1" x14ac:dyDescent="0.2">
      <c r="A445">
        <f>SUBTOTAL(3,$B$6:B445)</f>
        <v>65</v>
      </c>
    </row>
    <row r="446" spans="1:1" x14ac:dyDescent="0.2">
      <c r="A446">
        <f>SUBTOTAL(3,$B$6:B446)</f>
        <v>65</v>
      </c>
    </row>
    <row r="447" spans="1:1" x14ac:dyDescent="0.2">
      <c r="A447">
        <f>SUBTOTAL(3,$B$6:B447)</f>
        <v>65</v>
      </c>
    </row>
    <row r="448" spans="1:1" x14ac:dyDescent="0.2">
      <c r="A448">
        <f>SUBTOTAL(3,$B$6:B448)</f>
        <v>65</v>
      </c>
    </row>
    <row r="449" spans="1:1" x14ac:dyDescent="0.2">
      <c r="A449">
        <f>SUBTOTAL(3,$B$6:B449)</f>
        <v>65</v>
      </c>
    </row>
    <row r="450" spans="1:1" x14ac:dyDescent="0.2">
      <c r="A450">
        <f>SUBTOTAL(3,$B$6:B450)</f>
        <v>65</v>
      </c>
    </row>
    <row r="451" spans="1:1" x14ac:dyDescent="0.2">
      <c r="A451">
        <f>SUBTOTAL(3,$B$6:B451)</f>
        <v>65</v>
      </c>
    </row>
    <row r="452" spans="1:1" x14ac:dyDescent="0.2">
      <c r="A452">
        <f>SUBTOTAL(3,$B$6:B452)</f>
        <v>65</v>
      </c>
    </row>
    <row r="453" spans="1:1" x14ac:dyDescent="0.2">
      <c r="A453">
        <f>SUBTOTAL(3,$B$6:B453)</f>
        <v>65</v>
      </c>
    </row>
    <row r="454" spans="1:1" x14ac:dyDescent="0.2">
      <c r="A454">
        <f>SUBTOTAL(3,$B$6:B454)</f>
        <v>65</v>
      </c>
    </row>
    <row r="455" spans="1:1" x14ac:dyDescent="0.2">
      <c r="A455">
        <f>SUBTOTAL(3,$B$6:B455)</f>
        <v>65</v>
      </c>
    </row>
    <row r="456" spans="1:1" x14ac:dyDescent="0.2">
      <c r="A456">
        <f>SUBTOTAL(3,$B$6:B456)</f>
        <v>65</v>
      </c>
    </row>
    <row r="457" spans="1:1" x14ac:dyDescent="0.2">
      <c r="A457">
        <f>SUBTOTAL(3,$B$6:B457)</f>
        <v>65</v>
      </c>
    </row>
    <row r="458" spans="1:1" x14ac:dyDescent="0.2">
      <c r="A458">
        <f>SUBTOTAL(3,$B$6:B458)</f>
        <v>65</v>
      </c>
    </row>
    <row r="459" spans="1:1" x14ac:dyDescent="0.2">
      <c r="A459">
        <f>SUBTOTAL(3,$B$6:B459)</f>
        <v>65</v>
      </c>
    </row>
    <row r="460" spans="1:1" x14ac:dyDescent="0.2">
      <c r="A460">
        <f>SUBTOTAL(3,$B$6:B460)</f>
        <v>65</v>
      </c>
    </row>
    <row r="461" spans="1:1" x14ac:dyDescent="0.2">
      <c r="A461">
        <f>SUBTOTAL(3,$B$6:B461)</f>
        <v>65</v>
      </c>
    </row>
    <row r="462" spans="1:1" x14ac:dyDescent="0.2">
      <c r="A462">
        <f>SUBTOTAL(3,$B$6:B462)</f>
        <v>65</v>
      </c>
    </row>
    <row r="463" spans="1:1" x14ac:dyDescent="0.2">
      <c r="A463">
        <f>SUBTOTAL(3,$B$6:B463)</f>
        <v>65</v>
      </c>
    </row>
    <row r="464" spans="1:1" x14ac:dyDescent="0.2">
      <c r="A464">
        <f>SUBTOTAL(3,$B$6:B464)</f>
        <v>65</v>
      </c>
    </row>
    <row r="465" spans="1:1" x14ac:dyDescent="0.2">
      <c r="A465">
        <f>SUBTOTAL(3,$B$6:B465)</f>
        <v>65</v>
      </c>
    </row>
    <row r="466" spans="1:1" x14ac:dyDescent="0.2">
      <c r="A466">
        <f>SUBTOTAL(3,$B$6:B466)</f>
        <v>65</v>
      </c>
    </row>
    <row r="467" spans="1:1" x14ac:dyDescent="0.2">
      <c r="A467">
        <f>SUBTOTAL(3,$B$6:B467)</f>
        <v>65</v>
      </c>
    </row>
    <row r="468" spans="1:1" x14ac:dyDescent="0.2">
      <c r="A468">
        <f>SUBTOTAL(3,$B$6:B468)</f>
        <v>65</v>
      </c>
    </row>
    <row r="469" spans="1:1" x14ac:dyDescent="0.2">
      <c r="A469">
        <f>SUBTOTAL(3,$B$6:B469)</f>
        <v>65</v>
      </c>
    </row>
    <row r="470" spans="1:1" x14ac:dyDescent="0.2">
      <c r="A470">
        <f>SUBTOTAL(3,$B$6:B470)</f>
        <v>65</v>
      </c>
    </row>
    <row r="471" spans="1:1" x14ac:dyDescent="0.2">
      <c r="A471">
        <f>SUBTOTAL(3,$B$6:B471)</f>
        <v>65</v>
      </c>
    </row>
    <row r="472" spans="1:1" x14ac:dyDescent="0.2">
      <c r="A472">
        <f>SUBTOTAL(3,$B$6:B472)</f>
        <v>65</v>
      </c>
    </row>
    <row r="473" spans="1:1" x14ac:dyDescent="0.2">
      <c r="A473">
        <f>SUBTOTAL(3,$B$6:B473)</f>
        <v>65</v>
      </c>
    </row>
    <row r="474" spans="1:1" x14ac:dyDescent="0.2">
      <c r="A474">
        <f>SUBTOTAL(3,$B$6:B474)</f>
        <v>65</v>
      </c>
    </row>
    <row r="475" spans="1:1" x14ac:dyDescent="0.2">
      <c r="A475">
        <f>SUBTOTAL(3,$B$6:B475)</f>
        <v>65</v>
      </c>
    </row>
    <row r="476" spans="1:1" x14ac:dyDescent="0.2">
      <c r="A476">
        <f>SUBTOTAL(3,$B$6:B476)</f>
        <v>65</v>
      </c>
    </row>
    <row r="477" spans="1:1" x14ac:dyDescent="0.2">
      <c r="A477">
        <f>SUBTOTAL(3,$B$6:B477)</f>
        <v>65</v>
      </c>
    </row>
    <row r="478" spans="1:1" x14ac:dyDescent="0.2">
      <c r="A478">
        <f>SUBTOTAL(3,$B$6:B478)</f>
        <v>65</v>
      </c>
    </row>
    <row r="479" spans="1:1" x14ac:dyDescent="0.2">
      <c r="A479">
        <f>SUBTOTAL(3,$B$6:B479)</f>
        <v>65</v>
      </c>
    </row>
    <row r="480" spans="1:1" x14ac:dyDescent="0.2">
      <c r="A480">
        <f>SUBTOTAL(3,$B$6:B480)</f>
        <v>65</v>
      </c>
    </row>
    <row r="481" spans="1:1" x14ac:dyDescent="0.2">
      <c r="A481">
        <f>SUBTOTAL(3,$B$6:B481)</f>
        <v>65</v>
      </c>
    </row>
    <row r="482" spans="1:1" x14ac:dyDescent="0.2">
      <c r="A482">
        <f>SUBTOTAL(3,$B$6:B482)</f>
        <v>65</v>
      </c>
    </row>
    <row r="483" spans="1:1" x14ac:dyDescent="0.2">
      <c r="A483">
        <f>SUBTOTAL(3,$B$6:B483)</f>
        <v>65</v>
      </c>
    </row>
    <row r="484" spans="1:1" x14ac:dyDescent="0.2">
      <c r="A484">
        <f>SUBTOTAL(3,$B$6:B484)</f>
        <v>65</v>
      </c>
    </row>
    <row r="485" spans="1:1" x14ac:dyDescent="0.2">
      <c r="A485">
        <f>SUBTOTAL(3,$B$6:B485)</f>
        <v>65</v>
      </c>
    </row>
    <row r="486" spans="1:1" x14ac:dyDescent="0.2">
      <c r="A486">
        <f>SUBTOTAL(3,$B$6:B486)</f>
        <v>65</v>
      </c>
    </row>
    <row r="487" spans="1:1" x14ac:dyDescent="0.2">
      <c r="A487">
        <f>SUBTOTAL(3,$B$6:B487)</f>
        <v>65</v>
      </c>
    </row>
    <row r="488" spans="1:1" x14ac:dyDescent="0.2">
      <c r="A488">
        <f>SUBTOTAL(3,$B$6:B488)</f>
        <v>65</v>
      </c>
    </row>
    <row r="489" spans="1:1" x14ac:dyDescent="0.2">
      <c r="A489">
        <f>SUBTOTAL(3,$B$6:B489)</f>
        <v>65</v>
      </c>
    </row>
    <row r="490" spans="1:1" x14ac:dyDescent="0.2">
      <c r="A490">
        <f>SUBTOTAL(3,$B$6:B490)</f>
        <v>65</v>
      </c>
    </row>
    <row r="491" spans="1:1" x14ac:dyDescent="0.2">
      <c r="A491">
        <f>SUBTOTAL(3,$B$6:B491)</f>
        <v>65</v>
      </c>
    </row>
    <row r="492" spans="1:1" x14ac:dyDescent="0.2">
      <c r="A492">
        <f>SUBTOTAL(3,$B$6:B492)</f>
        <v>65</v>
      </c>
    </row>
    <row r="493" spans="1:1" x14ac:dyDescent="0.2">
      <c r="A493">
        <f>SUBTOTAL(3,$B$6:B493)</f>
        <v>65</v>
      </c>
    </row>
    <row r="494" spans="1:1" x14ac:dyDescent="0.2">
      <c r="A494">
        <f>SUBTOTAL(3,$B$6:B494)</f>
        <v>65</v>
      </c>
    </row>
    <row r="495" spans="1:1" x14ac:dyDescent="0.2">
      <c r="A495">
        <f>SUBTOTAL(3,$B$6:B495)</f>
        <v>65</v>
      </c>
    </row>
    <row r="496" spans="1:1" x14ac:dyDescent="0.2">
      <c r="A496">
        <f>SUBTOTAL(3,$B$6:B496)</f>
        <v>65</v>
      </c>
    </row>
    <row r="497" spans="1:1" x14ac:dyDescent="0.2">
      <c r="A497">
        <f>SUBTOTAL(3,$B$6:B497)</f>
        <v>65</v>
      </c>
    </row>
    <row r="498" spans="1:1" x14ac:dyDescent="0.2">
      <c r="A498">
        <f>SUBTOTAL(3,$B$6:B498)</f>
        <v>65</v>
      </c>
    </row>
    <row r="499" spans="1:1" x14ac:dyDescent="0.2">
      <c r="A499">
        <f>SUBTOTAL(3,$B$6:B499)</f>
        <v>65</v>
      </c>
    </row>
    <row r="500" spans="1:1" x14ac:dyDescent="0.2">
      <c r="A500">
        <f>SUBTOTAL(3,$B$6:B500)</f>
        <v>65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AP119"/>
  <sheetViews>
    <sheetView topLeftCell="F1" workbookViewId="0">
      <selection activeCell="AB13" sqref="Q13:AB13"/>
    </sheetView>
  </sheetViews>
  <sheetFormatPr defaultRowHeight="12.75" x14ac:dyDescent="0.2"/>
  <cols>
    <col min="2" max="2" width="11.85546875" customWidth="1"/>
    <col min="3" max="3" width="14.85546875" customWidth="1"/>
    <col min="4" max="4" width="18.42578125" customWidth="1"/>
    <col min="5" max="16" width="15.7109375" bestFit="1" customWidth="1"/>
    <col min="17" max="28" width="14.28515625" bestFit="1" customWidth="1"/>
    <col min="29" max="29" width="12" bestFit="1" customWidth="1"/>
    <col min="30" max="30" width="11" bestFit="1" customWidth="1"/>
    <col min="31" max="31" width="12.5703125" customWidth="1"/>
    <col min="32" max="32" width="12.5703125" bestFit="1" customWidth="1"/>
    <col min="33" max="33" width="12" bestFit="1" customWidth="1"/>
    <col min="34" max="34" width="12.7109375" bestFit="1" customWidth="1"/>
    <col min="35" max="35" width="12.5703125" customWidth="1"/>
    <col min="36" max="36" width="1.42578125" customWidth="1"/>
    <col min="38" max="38" width="2.5703125" customWidth="1"/>
    <col min="39" max="39" width="11.5703125" bestFit="1" customWidth="1"/>
    <col min="40" max="40" width="9.5703125" bestFit="1" customWidth="1"/>
    <col min="42" max="42" width="0.5703125" customWidth="1"/>
  </cols>
  <sheetData>
    <row r="2" spans="2:42" x14ac:dyDescent="0.2">
      <c r="B2" s="29" t="s">
        <v>112</v>
      </c>
      <c r="C2" s="32"/>
      <c r="D2" s="33">
        <v>1</v>
      </c>
      <c r="E2" s="33">
        <v>2</v>
      </c>
      <c r="F2" s="33">
        <v>3</v>
      </c>
      <c r="G2" s="33">
        <v>4</v>
      </c>
      <c r="H2" s="33">
        <v>5</v>
      </c>
      <c r="I2" s="33">
        <v>6</v>
      </c>
      <c r="J2" s="33">
        <v>7</v>
      </c>
      <c r="K2" s="33">
        <v>8</v>
      </c>
      <c r="L2" s="33">
        <v>9</v>
      </c>
      <c r="M2" s="33">
        <v>10</v>
      </c>
      <c r="N2" s="33">
        <v>11</v>
      </c>
      <c r="O2" s="33">
        <v>12</v>
      </c>
      <c r="AJ2" s="216"/>
      <c r="AK2" s="216"/>
      <c r="AL2" s="216"/>
      <c r="AM2" s="216"/>
      <c r="AN2" s="216"/>
      <c r="AO2" s="216"/>
      <c r="AP2" s="216"/>
    </row>
    <row r="3" spans="2:42" x14ac:dyDescent="0.2">
      <c r="B3" s="29" t="s">
        <v>109</v>
      </c>
      <c r="D3" s="30">
        <v>2</v>
      </c>
      <c r="E3" s="30">
        <v>3</v>
      </c>
      <c r="F3" s="30">
        <v>4</v>
      </c>
      <c r="G3" s="30">
        <v>5</v>
      </c>
      <c r="H3" s="30">
        <v>6</v>
      </c>
      <c r="I3" s="30">
        <v>7</v>
      </c>
      <c r="J3" s="30">
        <v>8</v>
      </c>
      <c r="K3" s="30">
        <v>9</v>
      </c>
      <c r="L3" s="30">
        <v>10</v>
      </c>
      <c r="M3" s="30">
        <v>11</v>
      </c>
      <c r="N3" s="30">
        <v>12</v>
      </c>
      <c r="O3" s="30">
        <v>13</v>
      </c>
      <c r="AJ3" s="216"/>
      <c r="AK3" s="216"/>
      <c r="AL3" s="216"/>
      <c r="AM3" s="216"/>
      <c r="AN3" s="216"/>
      <c r="AO3" s="216"/>
      <c r="AP3" s="216"/>
    </row>
    <row r="4" spans="2:42" x14ac:dyDescent="0.2">
      <c r="B4" s="29" t="s">
        <v>109</v>
      </c>
      <c r="D4" s="30">
        <v>14</v>
      </c>
      <c r="E4" s="30">
        <v>15</v>
      </c>
      <c r="F4" s="30">
        <v>16</v>
      </c>
      <c r="G4" s="30">
        <v>17</v>
      </c>
      <c r="H4" s="30">
        <v>18</v>
      </c>
      <c r="I4" s="30">
        <v>19</v>
      </c>
      <c r="J4" s="30">
        <v>20</v>
      </c>
      <c r="K4" s="30">
        <v>21</v>
      </c>
      <c r="L4" s="30">
        <v>22</v>
      </c>
      <c r="M4" s="30">
        <v>23</v>
      </c>
      <c r="N4" s="30">
        <v>24</v>
      </c>
      <c r="O4" s="30">
        <v>25</v>
      </c>
    </row>
    <row r="5" spans="2:42" ht="16.5" customHeight="1" x14ac:dyDescent="0.2">
      <c r="B5" s="31" t="s">
        <v>262</v>
      </c>
      <c r="C5" s="31" t="s">
        <v>110</v>
      </c>
      <c r="D5" s="31" t="s">
        <v>14</v>
      </c>
      <c r="E5" s="31" t="s">
        <v>15</v>
      </c>
      <c r="F5" s="31" t="s">
        <v>16</v>
      </c>
      <c r="G5" s="31" t="s">
        <v>17</v>
      </c>
      <c r="H5" s="31" t="s">
        <v>18</v>
      </c>
      <c r="I5" s="31" t="s">
        <v>19</v>
      </c>
      <c r="J5" s="31" t="s">
        <v>20</v>
      </c>
      <c r="K5" s="31" t="s">
        <v>21</v>
      </c>
      <c r="L5" s="31" t="s">
        <v>22</v>
      </c>
      <c r="M5" s="31" t="s">
        <v>23</v>
      </c>
      <c r="N5" s="31" t="s">
        <v>24</v>
      </c>
      <c r="O5" s="31" t="s">
        <v>25</v>
      </c>
    </row>
    <row r="6" spans="2:42" ht="16.5" customHeight="1" x14ac:dyDescent="0.2">
      <c r="B6" t="str">
        <f>valSTProject</f>
        <v>0500019 - BGD Integrated service delivery (MNH-FP-nutrition)</v>
      </c>
      <c r="C6" t="s">
        <v>35</v>
      </c>
      <c r="D6" s="37" t="e">
        <f>VLOOKUP($B6,DB_STProjectMonth[[#All],[ProjectFull]:[SumOfAct12]],D3,FALSE)/valUnits2</f>
        <v>#N/A</v>
      </c>
      <c r="E6" s="37" t="e">
        <f>VLOOKUP($B6,DB_STProjectMonth[[#All],[ProjectFull]:[SumOfAct12]],E3,FALSE)/valUnits2+D6*valCumm2</f>
        <v>#N/A</v>
      </c>
      <c r="F6" s="37" t="e">
        <f>VLOOKUP($B6,DB_STProjectMonth[[#All],[ProjectFull]:[SumOfAct12]],F3,FALSE)/valUnits2+E6*valCumm2</f>
        <v>#N/A</v>
      </c>
      <c r="G6" s="37" t="e">
        <f>VLOOKUP($B6,DB_STProjectMonth[[#All],[ProjectFull]:[SumOfAct12]],G3,FALSE)/valUnits2+F6*valCumm2</f>
        <v>#N/A</v>
      </c>
      <c r="H6" s="37" t="e">
        <f>VLOOKUP($B6,DB_STProjectMonth[[#All],[ProjectFull]:[SumOfAct12]],H3,FALSE)/valUnits2+G6*valCumm2</f>
        <v>#N/A</v>
      </c>
      <c r="I6" s="37" t="e">
        <f>VLOOKUP($B6,DB_STProjectMonth[[#All],[ProjectFull]:[SumOfAct12]],I3,FALSE)/valUnits2+H6*valCumm2</f>
        <v>#N/A</v>
      </c>
      <c r="J6" s="37" t="e">
        <f>VLOOKUP($B6,DB_STProjectMonth[[#All],[ProjectFull]:[SumOfAct12]],J3,FALSE)/valUnits2+I6*valCumm2</f>
        <v>#N/A</v>
      </c>
      <c r="K6" s="37" t="e">
        <f>VLOOKUP($B6,DB_STProjectMonth[[#All],[ProjectFull]:[SumOfAct12]],K3,FALSE)/valUnits2+J6*valCumm2</f>
        <v>#N/A</v>
      </c>
      <c r="L6" s="37" t="e">
        <f>VLOOKUP($B6,DB_STProjectMonth[[#All],[ProjectFull]:[SumOfAct12]],L3,FALSE)/valUnits2+K6*valCumm2</f>
        <v>#N/A</v>
      </c>
      <c r="M6" s="37" t="e">
        <f>VLOOKUP($B6,DB_STProjectMonth[[#All],[ProjectFull]:[SumOfAct12]],M3,FALSE)/valUnits2+L6*valCumm2</f>
        <v>#N/A</v>
      </c>
      <c r="N6" s="37" t="e">
        <f>VLOOKUP($B6,DB_STProjectMonth[[#All],[ProjectFull]:[SumOfAct12]],N3,FALSE)/valUnits2+M6*valCumm2</f>
        <v>#N/A</v>
      </c>
      <c r="O6" s="37" t="e">
        <f>VLOOKUP($B6,DB_STProjectMonth[[#All],[ProjectFull]:[SumOfAct12]],O3,FALSE)/valUnits2+N6*valCumm2</f>
        <v>#N/A</v>
      </c>
      <c r="AJ6" s="216"/>
      <c r="AK6" s="277"/>
      <c r="AL6" s="277"/>
      <c r="AM6" s="277"/>
      <c r="AN6" s="277"/>
      <c r="AO6" s="277"/>
      <c r="AP6" s="216"/>
    </row>
    <row r="7" spans="2:42" ht="16.5" customHeight="1" x14ac:dyDescent="0.2">
      <c r="B7" t="str">
        <f>valSTProject</f>
        <v>0500019 - BGD Integrated service delivery (MNH-FP-nutrition)</v>
      </c>
      <c r="C7" t="s">
        <v>111</v>
      </c>
      <c r="D7" s="37" t="e">
        <f>IF(LastClosedMon&gt;D2,VLOOKUP($B7,DB_STProjectMonth[[#All],[ProjectFull]:[SumOfAct12]],D4,FALSE),"")/valUnits2</f>
        <v>#N/A</v>
      </c>
      <c r="E7" s="37" t="e">
        <f>IF(LastClosedMon&gt;E2,(VLOOKUP($B7,DB_STProjectMonth[[#All],[ProjectFull]:[SumOfAct12]],E4,FALSE)/valUnits2+D7*valCumm2),"")</f>
        <v>#N/A</v>
      </c>
      <c r="F7" s="37" t="e">
        <f>IF(LastClosedMon&gt;F2,(VLOOKUP($B7,DB_STProjectMonth[[#All],[ProjectFull]:[SumOfAct12]],F4,FALSE)/valUnits2+E7*valCumm2),"")</f>
        <v>#N/A</v>
      </c>
      <c r="G7" s="37" t="e">
        <f>IF(LastClosedMon&gt;G2,(VLOOKUP($B7,DB_STProjectMonth[[#All],[ProjectFull]:[SumOfAct12]],G4,FALSE)/valUnits2+F7*valCumm2),"")</f>
        <v>#N/A</v>
      </c>
      <c r="H7" s="37" t="e">
        <f>IF(LastClosedMon&gt;H2,(VLOOKUP($B7,DB_STProjectMonth[[#All],[ProjectFull]:[SumOfAct12]],H4,FALSE)/valUnits2+G7*valCumm2),"")</f>
        <v>#N/A</v>
      </c>
      <c r="I7" s="37" t="e">
        <f>IF(LastClosedMon&gt;I2,(VLOOKUP($B7,DB_STProjectMonth[[#All],[ProjectFull]:[SumOfAct12]],I4,FALSE)/valUnits2+H7*valCumm2),"")</f>
        <v>#N/A</v>
      </c>
      <c r="J7" s="37" t="str">
        <f>IF(LastClosedMon&gt;J2,(VLOOKUP($B7,DB_STProjectMonth[[#All],[ProjectFull]:[SumOfAct12]],J4,FALSE)/valUnits2+I7*valCumm2),"")</f>
        <v/>
      </c>
      <c r="K7" s="37" t="str">
        <f>IF(LastClosedMon&gt;K2,(VLOOKUP($B7,DB_STProjectMonth[[#All],[ProjectFull]:[SumOfAct12]],K4,FALSE)/valUnits2+J7*valCumm2),"")</f>
        <v/>
      </c>
      <c r="L7" s="37" t="str">
        <f>IF(LastClosedMon&gt;L2,(VLOOKUP($B7,DB_STProjectMonth[[#All],[ProjectFull]:[SumOfAct12]],L4,FALSE)/valUnits2+K7*valCumm2),"")</f>
        <v/>
      </c>
      <c r="M7" s="37" t="str">
        <f>IF(LastClosedMon&gt;M2,(VLOOKUP($B7,DB_STProjectMonth[[#All],[ProjectFull]:[SumOfAct12]],M4,FALSE)/valUnits2+L7*valCumm2),"")</f>
        <v/>
      </c>
      <c r="N7" s="37" t="str">
        <f>IF(LastClosedMon&gt;N2,(VLOOKUP($B7,DB_STProjectMonth[[#All],[ProjectFull]:[SumOfAct12]],N4,FALSE)/valUnits2+M7*valCumm2),"")</f>
        <v/>
      </c>
      <c r="O7" s="37" t="str">
        <f>IF(LastClosedMon&gt;O2,(VLOOKUP($B7,DB_STProjectMonth[[#All],[ProjectFull]:[SumOfAct12]],O4,FALSE)/valUnits2+N7*valCumm2),"")</f>
        <v/>
      </c>
      <c r="AJ7" s="216"/>
      <c r="AK7" s="238"/>
      <c r="AL7" s="238"/>
      <c r="AM7" s="237" t="s">
        <v>111</v>
      </c>
      <c r="AN7" s="237" t="s">
        <v>35</v>
      </c>
      <c r="AO7" s="237" t="s">
        <v>30</v>
      </c>
      <c r="AP7" s="216"/>
    </row>
    <row r="8" spans="2:42" ht="16.5" customHeight="1" x14ac:dyDescent="0.2">
      <c r="AJ8" s="216"/>
      <c r="AK8" s="265" t="s">
        <v>215</v>
      </c>
      <c r="AL8" s="265"/>
      <c r="AM8" s="434" t="e">
        <f>VLOOKUP(valSTProject,DB_STProjectMonth[[#All],[ProjectFull]:[Burn]],27,FALSE)</f>
        <v>#N/A</v>
      </c>
      <c r="AN8" s="434" t="e">
        <f>VLOOKUP(valSTProject,DB_STProjectMonth[[#All],[ProjectFull]:[Burn]],26,FALSE)</f>
        <v>#N/A</v>
      </c>
      <c r="AO8" s="236" t="e">
        <f>VLOOKUP(valSTProject,DB_STProjectMonth[[#All],[ProjectFull]:[Burn]],29,FALSE)</f>
        <v>#N/A</v>
      </c>
      <c r="AP8" s="216"/>
    </row>
    <row r="9" spans="2:42" ht="3.75" customHeight="1" x14ac:dyDescent="0.2">
      <c r="AJ9" s="216"/>
      <c r="AK9" s="278"/>
      <c r="AL9" s="278"/>
      <c r="AM9" s="435"/>
      <c r="AN9" s="435"/>
      <c r="AO9" s="277"/>
      <c r="AP9" s="216"/>
    </row>
    <row r="10" spans="2:42" ht="16.5" customHeight="1" x14ac:dyDescent="0.2">
      <c r="AJ10" s="216"/>
      <c r="AK10" s="265" t="s">
        <v>208</v>
      </c>
      <c r="AL10" s="265"/>
      <c r="AM10" s="434" t="e">
        <f>VLOOKUP(valSTProject,DB_STProjectMonth[[#All],[ProjectFull]:[FY Burn]],31,FALSE)</f>
        <v>#N/A</v>
      </c>
      <c r="AN10" s="434" t="e">
        <f>VLOOKUP(valSTProject,DB_STProjectMonth[[#All],[ProjectFull]:[FY Burn]],30,FALSE)</f>
        <v>#N/A</v>
      </c>
      <c r="AO10" s="236" t="e">
        <f>VLOOKUP(valSTProject,DB_STProjectMonth[[#All],[ProjectFull]:[FY Burn]],32,FALSE)</f>
        <v>#N/A</v>
      </c>
      <c r="AP10" s="216"/>
    </row>
    <row r="11" spans="2:42" ht="3.75" customHeight="1" x14ac:dyDescent="0.2">
      <c r="AJ11" s="216"/>
      <c r="AK11" s="277"/>
      <c r="AL11" s="277"/>
      <c r="AM11" s="277"/>
      <c r="AN11" s="277"/>
      <c r="AO11" s="277"/>
      <c r="AP11" s="216"/>
    </row>
    <row r="12" spans="2:42" x14ac:dyDescent="0.2">
      <c r="AJ12" s="216"/>
      <c r="AK12" s="216"/>
      <c r="AL12" s="216"/>
      <c r="AM12" s="216"/>
      <c r="AN12" s="216"/>
      <c r="AO12" s="216"/>
      <c r="AP12" s="216"/>
    </row>
    <row r="13" spans="2:42" x14ac:dyDescent="0.2">
      <c r="Q13">
        <f>Selections!$G$9</f>
        <v>1</v>
      </c>
      <c r="R13">
        <f>Selections!$G$10</f>
        <v>1</v>
      </c>
      <c r="S13">
        <f>Selections!$G$11</f>
        <v>1</v>
      </c>
      <c r="T13">
        <f>Selections!$G$12</f>
        <v>1</v>
      </c>
      <c r="U13">
        <f>Selections!$G$13</f>
        <v>1</v>
      </c>
      <c r="V13">
        <f>Selections!$G$14</f>
        <v>1</v>
      </c>
      <c r="W13">
        <f>Selections!$G$15</f>
        <v>0</v>
      </c>
      <c r="X13">
        <f>Selections!$G$16</f>
        <v>0</v>
      </c>
      <c r="Y13">
        <f>Selections!$G$17</f>
        <v>0</v>
      </c>
      <c r="Z13">
        <f>Selections!$G$18</f>
        <v>0</v>
      </c>
      <c r="AA13">
        <f>Selections!$G$19</f>
        <v>0</v>
      </c>
      <c r="AB13">
        <f>Selections!$G$20</f>
        <v>0</v>
      </c>
      <c r="AC13">
        <v>26</v>
      </c>
      <c r="AD13">
        <v>27</v>
      </c>
      <c r="AE13">
        <v>28</v>
      </c>
      <c r="AF13">
        <v>29</v>
      </c>
      <c r="AG13">
        <v>30</v>
      </c>
      <c r="AH13">
        <v>31</v>
      </c>
      <c r="AI13">
        <v>32</v>
      </c>
    </row>
    <row r="14" spans="2:42" x14ac:dyDescent="0.2">
      <c r="E14">
        <f>Selections!$F$9</f>
        <v>1</v>
      </c>
      <c r="F14">
        <f>Selections!$F$10</f>
        <v>1</v>
      </c>
      <c r="G14">
        <f>Selections!$F$11</f>
        <v>1</v>
      </c>
      <c r="H14">
        <f>Selections!$F$12</f>
        <v>1</v>
      </c>
      <c r="I14">
        <f>Selections!$F$13</f>
        <v>1</v>
      </c>
      <c r="J14">
        <f>Selections!$F$14</f>
        <v>1</v>
      </c>
      <c r="K14">
        <f>Selections!$F$15</f>
        <v>0</v>
      </c>
      <c r="L14">
        <f>Selections!$F$16</f>
        <v>0</v>
      </c>
      <c r="M14">
        <f>Selections!$F$17</f>
        <v>0</v>
      </c>
      <c r="N14">
        <f>Selections!$F$18</f>
        <v>0</v>
      </c>
      <c r="O14">
        <f>Selections!$F$19</f>
        <v>0</v>
      </c>
      <c r="P14">
        <f>Selections!$F$20</f>
        <v>0</v>
      </c>
      <c r="Q14">
        <f>Selections!$F$9</f>
        <v>1</v>
      </c>
      <c r="R14">
        <f>Selections!$F$10</f>
        <v>1</v>
      </c>
      <c r="S14">
        <f>Selections!$F$11</f>
        <v>1</v>
      </c>
      <c r="T14">
        <f>Selections!$F$12</f>
        <v>1</v>
      </c>
      <c r="U14">
        <f>Selections!$F$13</f>
        <v>1</v>
      </c>
      <c r="V14">
        <f>Selections!$F$14</f>
        <v>1</v>
      </c>
      <c r="W14">
        <f>Selections!$F$15</f>
        <v>0</v>
      </c>
      <c r="X14">
        <f>Selections!$F$16</f>
        <v>0</v>
      </c>
      <c r="Y14">
        <f>Selections!$F$17</f>
        <v>0</v>
      </c>
      <c r="Z14">
        <f>Selections!$F$18</f>
        <v>0</v>
      </c>
      <c r="AA14">
        <f>Selections!$F$19</f>
        <v>0</v>
      </c>
      <c r="AB14">
        <f>Selections!$F$20</f>
        <v>0</v>
      </c>
    </row>
    <row r="15" spans="2:42" x14ac:dyDescent="0.2">
      <c r="B15" t="s">
        <v>43</v>
      </c>
      <c r="C15" t="s">
        <v>242</v>
      </c>
      <c r="D15" t="s">
        <v>243</v>
      </c>
      <c r="E15" t="s">
        <v>116</v>
      </c>
      <c r="F15" t="s">
        <v>117</v>
      </c>
      <c r="G15" t="s">
        <v>118</v>
      </c>
      <c r="H15" t="s">
        <v>119</v>
      </c>
      <c r="I15" t="s">
        <v>120</v>
      </c>
      <c r="J15" t="s">
        <v>121</v>
      </c>
      <c r="K15" t="s">
        <v>122</v>
      </c>
      <c r="L15" t="s">
        <v>123</v>
      </c>
      <c r="M15" t="s">
        <v>124</v>
      </c>
      <c r="N15" t="s">
        <v>125</v>
      </c>
      <c r="O15" t="s">
        <v>126</v>
      </c>
      <c r="P15" t="s">
        <v>127</v>
      </c>
      <c r="Q15" t="s">
        <v>128</v>
      </c>
      <c r="R15" t="s">
        <v>129</v>
      </c>
      <c r="S15" t="s">
        <v>130</v>
      </c>
      <c r="T15" t="s">
        <v>131</v>
      </c>
      <c r="U15" t="s">
        <v>132</v>
      </c>
      <c r="V15" t="s">
        <v>133</v>
      </c>
      <c r="W15" t="s">
        <v>134</v>
      </c>
      <c r="X15" t="s">
        <v>135</v>
      </c>
      <c r="Y15" t="s">
        <v>136</v>
      </c>
      <c r="Z15" t="s">
        <v>137</v>
      </c>
      <c r="AA15" t="s">
        <v>138</v>
      </c>
      <c r="AB15" t="s">
        <v>139</v>
      </c>
      <c r="AC15" t="s">
        <v>35</v>
      </c>
      <c r="AD15" t="s">
        <v>34</v>
      </c>
      <c r="AE15" t="s">
        <v>31</v>
      </c>
      <c r="AF15" t="s">
        <v>30</v>
      </c>
      <c r="AG15" t="s">
        <v>209</v>
      </c>
      <c r="AH15" t="s">
        <v>210</v>
      </c>
      <c r="AI15" t="s">
        <v>211</v>
      </c>
    </row>
    <row r="16" spans="2:42" x14ac:dyDescent="0.2">
      <c r="B16" t="s">
        <v>342</v>
      </c>
      <c r="C16" t="s">
        <v>490</v>
      </c>
      <c r="D16" t="s">
        <v>490</v>
      </c>
      <c r="E16">
        <v>82525.441000000006</v>
      </c>
      <c r="F16">
        <v>581735.61099999992</v>
      </c>
      <c r="G16">
        <v>105765.97399999999</v>
      </c>
      <c r="H16">
        <v>274174.14600000001</v>
      </c>
      <c r="I16">
        <v>832831.46299999952</v>
      </c>
      <c r="J16">
        <v>416607.79099999979</v>
      </c>
      <c r="K16">
        <v>849835.23900000018</v>
      </c>
      <c r="L16">
        <v>459903.3009999998</v>
      </c>
      <c r="M16">
        <v>733264.60900000017</v>
      </c>
      <c r="N16">
        <v>703784.82200000028</v>
      </c>
      <c r="O16">
        <v>598173.47400000016</v>
      </c>
      <c r="P16">
        <v>872575.23900000018</v>
      </c>
      <c r="Q16">
        <v>70453.560000000012</v>
      </c>
      <c r="R16">
        <v>585936.46999999986</v>
      </c>
      <c r="S16">
        <v>95096.98000000004</v>
      </c>
      <c r="T16">
        <v>262528.02</v>
      </c>
      <c r="U16">
        <v>820284.3400000002</v>
      </c>
      <c r="V16">
        <v>352880.27999999997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f>SUMPRODUCT(DB_STProjectMonth[[#This Row],[SumOfPlan01]:[SumOfPlan12]],$E$14:$P$14)/valUnits2</f>
        <v>2293.640425999999</v>
      </c>
      <c r="AD16">
        <f>SUMPRODUCT(DB_STProjectMonth[[#This Row],[SumOfAct01]:[SumOfAct12]],$Q$14:$AB$14)/valUnits2</f>
        <v>2187.17965</v>
      </c>
      <c r="AE16">
        <f>DB_STProjectMonth[[#This Row],[Actual]]-DB_STProjectMonth[[#This Row],[Plan]]</f>
        <v>-106.46077599999899</v>
      </c>
      <c r="AF16">
        <f>IF(DB_STProjectMonth[[#This Row],[Plan]]&lt;&gt;0,DB_STProjectMonth[[#This Row],[Actual]]/DB_STProjectMonth[[#This Row],[Plan]],1.000011000011)</f>
        <v>0.9535843653638153</v>
      </c>
      <c r="AG16">
        <f>SUM(DB_STProjectMonth[[#This Row],[SumOfPlan01]:[SumOfPlan12]])/valUnits2</f>
        <v>6511.1771100000005</v>
      </c>
      <c r="AH16">
        <f>SUMPRODUCT(DB_STProjectMonth[[#This Row],[SumOfAct01]:[SumOfAct12]],$Q$13:$AB$13)/valUnits2</f>
        <v>2187.17965</v>
      </c>
      <c r="AI16">
        <f>IF(DB_STProjectMonth[[#This Row],[FY Plan]]&lt;&gt;0,DB_STProjectMonth[[#This Row],[FY Actuals]]/DB_STProjectMonth[[#This Row],[FY Plan]],0)</f>
        <v>0.33591155839408582</v>
      </c>
    </row>
    <row r="17" spans="2:35" x14ac:dyDescent="0.2">
      <c r="B17" t="s">
        <v>342</v>
      </c>
      <c r="C17" t="s">
        <v>491</v>
      </c>
      <c r="D17" t="s">
        <v>491</v>
      </c>
      <c r="E17">
        <v>154095.73499999993</v>
      </c>
      <c r="F17">
        <v>300180.37299999996</v>
      </c>
      <c r="G17">
        <v>288589.68099999975</v>
      </c>
      <c r="H17">
        <v>556837.80699999991</v>
      </c>
      <c r="I17">
        <v>265993.60599999991</v>
      </c>
      <c r="J17">
        <v>308012.41999999981</v>
      </c>
      <c r="K17">
        <v>325143.24199999991</v>
      </c>
      <c r="L17">
        <v>292357.16799999995</v>
      </c>
      <c r="M17">
        <v>288021.06799999997</v>
      </c>
      <c r="N17">
        <v>274711.99499999994</v>
      </c>
      <c r="O17">
        <v>311108.50399999996</v>
      </c>
      <c r="P17">
        <v>258435.78899999987</v>
      </c>
      <c r="Q17">
        <v>147811.90000000014</v>
      </c>
      <c r="R17">
        <v>306400.05000000016</v>
      </c>
      <c r="S17">
        <v>279280.81999999995</v>
      </c>
      <c r="T17">
        <v>547560</v>
      </c>
      <c r="U17">
        <v>252956.65999999995</v>
      </c>
      <c r="V17">
        <v>88705.310000000085</v>
      </c>
      <c r="W17">
        <v>54335.56</v>
      </c>
      <c r="X17">
        <v>0</v>
      </c>
      <c r="Y17">
        <v>0</v>
      </c>
      <c r="Z17">
        <v>0</v>
      </c>
      <c r="AA17">
        <v>0</v>
      </c>
      <c r="AB17">
        <v>0</v>
      </c>
      <c r="AC17">
        <f>SUMPRODUCT(DB_STProjectMonth[[#This Row],[SumOfPlan01]:[SumOfPlan12]],$E$14:$P$14)/valUnits2</f>
        <v>1873.7096219999989</v>
      </c>
      <c r="AD17">
        <f>SUMPRODUCT(DB_STProjectMonth[[#This Row],[SumOfAct01]:[SumOfAct12]],$Q$14:$AB$14)/valUnits2</f>
        <v>1622.7147400000001</v>
      </c>
      <c r="AE17">
        <f>DB_STProjectMonth[[#This Row],[Actual]]-DB_STProjectMonth[[#This Row],[Plan]]</f>
        <v>-250.99488199999882</v>
      </c>
      <c r="AF17">
        <f>IF(DB_STProjectMonth[[#This Row],[Plan]]&lt;&gt;0,DB_STProjectMonth[[#This Row],[Actual]]/DB_STProjectMonth[[#This Row],[Plan]],1.000011000011)</f>
        <v>0.86604387411316874</v>
      </c>
      <c r="AG17">
        <f>SUM(DB_STProjectMonth[[#This Row],[SumOfPlan01]:[SumOfPlan12]])/valUnits2</f>
        <v>3623.4873879999996</v>
      </c>
      <c r="AH17">
        <f>SUMPRODUCT(DB_STProjectMonth[[#This Row],[SumOfAct01]:[SumOfAct12]],$Q$13:$AB$13)/valUnits2</f>
        <v>1622.7147400000001</v>
      </c>
      <c r="AI17">
        <f>IF(DB_STProjectMonth[[#This Row],[FY Plan]]&lt;&gt;0,DB_STProjectMonth[[#This Row],[FY Actuals]]/DB_STProjectMonth[[#This Row],[FY Plan]],0)</f>
        <v>0.44783231352591102</v>
      </c>
    </row>
    <row r="18" spans="2:35" x14ac:dyDescent="0.2">
      <c r="B18" t="s">
        <v>342</v>
      </c>
      <c r="C18" t="s">
        <v>492</v>
      </c>
      <c r="D18" t="s">
        <v>492</v>
      </c>
      <c r="E18">
        <v>440757.31299999985</v>
      </c>
      <c r="F18">
        <v>103798.72800000002</v>
      </c>
      <c r="G18">
        <v>108780.56999999996</v>
      </c>
      <c r="H18">
        <v>119426.92799999999</v>
      </c>
      <c r="I18">
        <v>351093.42799999996</v>
      </c>
      <c r="J18">
        <v>325386.22600000002</v>
      </c>
      <c r="K18">
        <v>250033.73200000002</v>
      </c>
      <c r="L18">
        <v>222259.22200000004</v>
      </c>
      <c r="M18">
        <v>244876.18399999998</v>
      </c>
      <c r="N18">
        <v>228024.742</v>
      </c>
      <c r="O18">
        <v>209195.40800000005</v>
      </c>
      <c r="P18">
        <v>208734.23900000003</v>
      </c>
      <c r="Q18">
        <v>437260.88000000012</v>
      </c>
      <c r="R18">
        <v>100274.65999999987</v>
      </c>
      <c r="S18">
        <v>93147.880000000063</v>
      </c>
      <c r="T18">
        <v>104145.76000000004</v>
      </c>
      <c r="U18">
        <v>336050.0799999999</v>
      </c>
      <c r="V18">
        <v>218065.28999999992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f>SUMPRODUCT(DB_STProjectMonth[[#This Row],[SumOfPlan01]:[SumOfPlan12]],$E$14:$P$14)/valUnits2</f>
        <v>1449.2431929999998</v>
      </c>
      <c r="AD18">
        <f>SUMPRODUCT(DB_STProjectMonth[[#This Row],[SumOfAct01]:[SumOfAct12]],$Q$14:$AB$14)/valUnits2</f>
        <v>1288.9445499999997</v>
      </c>
      <c r="AE18">
        <f>DB_STProjectMonth[[#This Row],[Actual]]-DB_STProjectMonth[[#This Row],[Plan]]</f>
        <v>-160.29864300000008</v>
      </c>
      <c r="AF18">
        <f>IF(DB_STProjectMonth[[#This Row],[Plan]]&lt;&gt;0,DB_STProjectMonth[[#This Row],[Actual]]/DB_STProjectMonth[[#This Row],[Plan]],1.000011000011)</f>
        <v>0.8893914811715109</v>
      </c>
      <c r="AG18">
        <f>SUM(DB_STProjectMonth[[#This Row],[SumOfPlan01]:[SumOfPlan12]])/valUnits2</f>
        <v>2812.3667199999995</v>
      </c>
      <c r="AH18">
        <f>SUMPRODUCT(DB_STProjectMonth[[#This Row],[SumOfAct01]:[SumOfAct12]],$Q$13:$AB$13)/valUnits2</f>
        <v>1288.9445499999997</v>
      </c>
      <c r="AI18">
        <f>IF(DB_STProjectMonth[[#This Row],[FY Plan]]&lt;&gt;0,DB_STProjectMonth[[#This Row],[FY Actuals]]/DB_STProjectMonth[[#This Row],[FY Plan]],0)</f>
        <v>0.45831311430111077</v>
      </c>
    </row>
    <row r="19" spans="2:35" x14ac:dyDescent="0.2">
      <c r="B19" t="s">
        <v>342</v>
      </c>
      <c r="C19" t="s">
        <v>493</v>
      </c>
      <c r="D19" t="s">
        <v>493</v>
      </c>
      <c r="E19">
        <v>0</v>
      </c>
      <c r="F19">
        <v>0</v>
      </c>
      <c r="G19">
        <v>0</v>
      </c>
      <c r="H19">
        <v>0</v>
      </c>
      <c r="I19">
        <v>114.91</v>
      </c>
      <c r="J19">
        <v>350</v>
      </c>
      <c r="K19">
        <v>350</v>
      </c>
      <c r="L19">
        <v>350</v>
      </c>
      <c r="M19">
        <v>350</v>
      </c>
      <c r="N19">
        <v>350</v>
      </c>
      <c r="O19">
        <v>350</v>
      </c>
      <c r="P19">
        <v>350</v>
      </c>
      <c r="Q19">
        <v>0</v>
      </c>
      <c r="R19">
        <v>0</v>
      </c>
      <c r="S19">
        <v>0</v>
      </c>
      <c r="T19">
        <v>0</v>
      </c>
      <c r="U19">
        <v>114.91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f>SUMPRODUCT(DB_STProjectMonth[[#This Row],[SumOfPlan01]:[SumOfPlan12]],$E$14:$P$14)/valUnits2</f>
        <v>0.46490999999999999</v>
      </c>
      <c r="AD19">
        <f>SUMPRODUCT(DB_STProjectMonth[[#This Row],[SumOfAct01]:[SumOfAct12]],$Q$14:$AB$14)/valUnits2</f>
        <v>0.11491</v>
      </c>
      <c r="AE19">
        <f>DB_STProjectMonth[[#This Row],[Actual]]-DB_STProjectMonth[[#This Row],[Plan]]</f>
        <v>-0.35</v>
      </c>
      <c r="AF19">
        <f>IF(DB_STProjectMonth[[#This Row],[Plan]]&lt;&gt;0,DB_STProjectMonth[[#This Row],[Actual]]/DB_STProjectMonth[[#This Row],[Plan]],1.000011000011)</f>
        <v>0.24716611817340992</v>
      </c>
      <c r="AG19">
        <f>SUM(DB_STProjectMonth[[#This Row],[SumOfPlan01]:[SumOfPlan12]])/valUnits2</f>
        <v>2.5649099999999998</v>
      </c>
      <c r="AH19">
        <f>SUMPRODUCT(DB_STProjectMonth[[#This Row],[SumOfAct01]:[SumOfAct12]],$Q$13:$AB$13)/valUnits2</f>
        <v>0.11491</v>
      </c>
      <c r="AI19">
        <f>IF(DB_STProjectMonth[[#This Row],[FY Plan]]&lt;&gt;0,DB_STProjectMonth[[#This Row],[FY Actuals]]/DB_STProjectMonth[[#This Row],[FY Plan]],0)</f>
        <v>4.4800792230526611E-2</v>
      </c>
    </row>
    <row r="20" spans="2:35" x14ac:dyDescent="0.2">
      <c r="B20" t="s">
        <v>342</v>
      </c>
      <c r="C20" t="s">
        <v>494</v>
      </c>
      <c r="D20" t="s">
        <v>494</v>
      </c>
      <c r="E20">
        <v>11933.5</v>
      </c>
      <c r="F20">
        <v>15550.25</v>
      </c>
      <c r="G20">
        <v>21742.31</v>
      </c>
      <c r="H20">
        <v>25506.77</v>
      </c>
      <c r="I20">
        <v>17016.399999999998</v>
      </c>
      <c r="J20">
        <v>45556.940999999999</v>
      </c>
      <c r="K20">
        <v>70823.607000000004</v>
      </c>
      <c r="L20">
        <v>49038.190999999999</v>
      </c>
      <c r="M20">
        <v>47156.940999999999</v>
      </c>
      <c r="N20">
        <v>83535.987999999998</v>
      </c>
      <c r="O20">
        <v>43556.940999999999</v>
      </c>
      <c r="P20">
        <v>87092.271000000008</v>
      </c>
      <c r="Q20">
        <v>11933.5</v>
      </c>
      <c r="R20">
        <v>15550.25</v>
      </c>
      <c r="S20">
        <v>21742.310000000005</v>
      </c>
      <c r="T20">
        <v>25560.480000000003</v>
      </c>
      <c r="U20">
        <v>17076.719999999998</v>
      </c>
      <c r="V20">
        <v>65606.820000000007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f>SUMPRODUCT(DB_STProjectMonth[[#This Row],[SumOfPlan01]:[SumOfPlan12]],$E$14:$P$14)/valUnits2</f>
        <v>137.30617100000001</v>
      </c>
      <c r="AD20">
        <f>SUMPRODUCT(DB_STProjectMonth[[#This Row],[SumOfAct01]:[SumOfAct12]],$Q$14:$AB$14)/valUnits2</f>
        <v>157.47008000000002</v>
      </c>
      <c r="AE20">
        <f>DB_STProjectMonth[[#This Row],[Actual]]-DB_STProjectMonth[[#This Row],[Plan]]</f>
        <v>20.163909000000018</v>
      </c>
      <c r="AF20">
        <f>IF(DB_STProjectMonth[[#This Row],[Plan]]&lt;&gt;0,DB_STProjectMonth[[#This Row],[Actual]]/DB_STProjectMonth[[#This Row],[Plan]],1.000011000011)</f>
        <v>1.1468536253916803</v>
      </c>
      <c r="AG20">
        <f>SUM(DB_STProjectMonth[[#This Row],[SumOfPlan01]:[SumOfPlan12]])/valUnits2</f>
        <v>518.51010999999994</v>
      </c>
      <c r="AH20">
        <f>SUMPRODUCT(DB_STProjectMonth[[#This Row],[SumOfAct01]:[SumOfAct12]],$Q$13:$AB$13)/valUnits2</f>
        <v>157.47008000000002</v>
      </c>
      <c r="AI20">
        <f>IF(DB_STProjectMonth[[#This Row],[FY Plan]]&lt;&gt;0,DB_STProjectMonth[[#This Row],[FY Actuals]]/DB_STProjectMonth[[#This Row],[FY Plan]],0)</f>
        <v>0.30369722202716559</v>
      </c>
    </row>
    <row r="21" spans="2:35" x14ac:dyDescent="0.2">
      <c r="B21" t="s">
        <v>351</v>
      </c>
      <c r="C21" t="s">
        <v>495</v>
      </c>
      <c r="D21" t="s">
        <v>495</v>
      </c>
      <c r="E21">
        <v>27190.5</v>
      </c>
      <c r="F21">
        <v>27753.145</v>
      </c>
      <c r="G21">
        <v>-3734.1850000000027</v>
      </c>
      <c r="H21">
        <v>20283.779000000002</v>
      </c>
      <c r="I21">
        <v>16809.739000000001</v>
      </c>
      <c r="J21">
        <v>14103.675999999999</v>
      </c>
      <c r="K21">
        <v>14103.675999999999</v>
      </c>
      <c r="L21">
        <v>14103.675999999999</v>
      </c>
      <c r="M21">
        <v>14103.675999999999</v>
      </c>
      <c r="N21">
        <v>14103.675999999998</v>
      </c>
      <c r="O21">
        <v>14103.675999999998</v>
      </c>
      <c r="P21">
        <v>14103.675999999998</v>
      </c>
      <c r="Q21">
        <v>24075.5</v>
      </c>
      <c r="R21">
        <v>24708.679999999993</v>
      </c>
      <c r="S21">
        <v>-6850.6200000000044</v>
      </c>
      <c r="T21">
        <v>17128.490000000005</v>
      </c>
      <c r="U21">
        <v>13694.57</v>
      </c>
      <c r="V21">
        <v>12993.910000000002</v>
      </c>
      <c r="W21">
        <v>61950</v>
      </c>
      <c r="X21">
        <v>0</v>
      </c>
      <c r="Y21">
        <v>0</v>
      </c>
      <c r="Z21">
        <v>0</v>
      </c>
      <c r="AA21">
        <v>0</v>
      </c>
      <c r="AB21">
        <v>0</v>
      </c>
      <c r="AC21">
        <f>SUMPRODUCT(DB_STProjectMonth[[#This Row],[SumOfPlan01]:[SumOfPlan12]],$E$14:$P$14)/valUnits2</f>
        <v>102.406654</v>
      </c>
      <c r="AD21">
        <f>SUMPRODUCT(DB_STProjectMonth[[#This Row],[SumOfAct01]:[SumOfAct12]],$Q$14:$AB$14)/valUnits2</f>
        <v>85.750529999999998</v>
      </c>
      <c r="AE21">
        <f>DB_STProjectMonth[[#This Row],[Actual]]-DB_STProjectMonth[[#This Row],[Plan]]</f>
        <v>-16.656124000000005</v>
      </c>
      <c r="AF21">
        <f>IF(DB_STProjectMonth[[#This Row],[Plan]]&lt;&gt;0,DB_STProjectMonth[[#This Row],[Actual]]/DB_STProjectMonth[[#This Row],[Plan]],1.000011000011)</f>
        <v>0.83735310793378714</v>
      </c>
      <c r="AG21">
        <f>SUM(DB_STProjectMonth[[#This Row],[SumOfPlan01]:[SumOfPlan12]])/valUnits2</f>
        <v>187.02871000000005</v>
      </c>
      <c r="AH21">
        <f>SUMPRODUCT(DB_STProjectMonth[[#This Row],[SumOfAct01]:[SumOfAct12]],$Q$13:$AB$13)/valUnits2</f>
        <v>85.750529999999998</v>
      </c>
      <c r="AI21">
        <f>IF(DB_STProjectMonth[[#This Row],[FY Plan]]&lt;&gt;0,DB_STProjectMonth[[#This Row],[FY Actuals]]/DB_STProjectMonth[[#This Row],[FY Plan]],0)</f>
        <v>0.45848859247331586</v>
      </c>
    </row>
    <row r="22" spans="2:35" x14ac:dyDescent="0.2">
      <c r="B22" t="s">
        <v>351</v>
      </c>
      <c r="C22" t="s">
        <v>496</v>
      </c>
      <c r="D22" t="s">
        <v>496</v>
      </c>
      <c r="E22">
        <v>72609.06</v>
      </c>
      <c r="F22">
        <v>101117.76800000001</v>
      </c>
      <c r="G22">
        <v>102317.175</v>
      </c>
      <c r="H22">
        <v>316028.11400000029</v>
      </c>
      <c r="I22">
        <v>185855.86699999985</v>
      </c>
      <c r="J22">
        <v>160519.15599999996</v>
      </c>
      <c r="K22">
        <v>152928.18699999992</v>
      </c>
      <c r="L22">
        <v>151615.40999999995</v>
      </c>
      <c r="M22">
        <v>150529.09799999997</v>
      </c>
      <c r="N22">
        <v>128905.88499999994</v>
      </c>
      <c r="O22">
        <v>124776.84399999995</v>
      </c>
      <c r="P22">
        <v>110270.7509999999</v>
      </c>
      <c r="Q22">
        <v>49863.319999999985</v>
      </c>
      <c r="R22">
        <v>75887.74000000002</v>
      </c>
      <c r="S22">
        <v>80644.14</v>
      </c>
      <c r="T22">
        <v>294089.46999999991</v>
      </c>
      <c r="U22">
        <v>151569.72999999992</v>
      </c>
      <c r="V22">
        <v>133393.3900000001</v>
      </c>
      <c r="W22">
        <v>789.59</v>
      </c>
      <c r="X22">
        <v>0</v>
      </c>
      <c r="Y22">
        <v>0</v>
      </c>
      <c r="Z22">
        <v>0</v>
      </c>
      <c r="AA22">
        <v>0</v>
      </c>
      <c r="AB22">
        <v>0</v>
      </c>
      <c r="AC22">
        <f>SUMPRODUCT(DB_STProjectMonth[[#This Row],[SumOfPlan01]:[SumOfPlan12]],$E$14:$P$14)/valUnits2</f>
        <v>938.4471400000001</v>
      </c>
      <c r="AD22">
        <f>SUMPRODUCT(DB_STProjectMonth[[#This Row],[SumOfAct01]:[SumOfAct12]],$Q$14:$AB$14)/valUnits2</f>
        <v>785.44779000000005</v>
      </c>
      <c r="AE22">
        <f>DB_STProjectMonth[[#This Row],[Actual]]-DB_STProjectMonth[[#This Row],[Plan]]</f>
        <v>-152.99935000000005</v>
      </c>
      <c r="AF22">
        <f>IF(DB_STProjectMonth[[#This Row],[Plan]]&lt;&gt;0,DB_STProjectMonth[[#This Row],[Actual]]/DB_STProjectMonth[[#This Row],[Plan]],1.000011000011)</f>
        <v>0.83696540435937605</v>
      </c>
      <c r="AG22">
        <f>SUM(DB_STProjectMonth[[#This Row],[SumOfPlan01]:[SumOfPlan12]])/valUnits2</f>
        <v>1757.473315</v>
      </c>
      <c r="AH22">
        <f>SUMPRODUCT(DB_STProjectMonth[[#This Row],[SumOfAct01]:[SumOfAct12]],$Q$13:$AB$13)/valUnits2</f>
        <v>785.44779000000005</v>
      </c>
      <c r="AI22">
        <f>IF(DB_STProjectMonth[[#This Row],[FY Plan]]&lt;&gt;0,DB_STProjectMonth[[#This Row],[FY Actuals]]/DB_STProjectMonth[[#This Row],[FY Plan]],0)</f>
        <v>0.44691875734113212</v>
      </c>
    </row>
    <row r="23" spans="2:35" x14ac:dyDescent="0.2">
      <c r="B23" t="s">
        <v>351</v>
      </c>
      <c r="C23" t="s">
        <v>497</v>
      </c>
      <c r="D23" t="s">
        <v>497</v>
      </c>
      <c r="E23">
        <v>2012.92</v>
      </c>
      <c r="F23">
        <v>28577.017000000007</v>
      </c>
      <c r="G23">
        <v>23279.862000000008</v>
      </c>
      <c r="H23">
        <v>27811.398999999998</v>
      </c>
      <c r="I23">
        <v>18282.652000000006</v>
      </c>
      <c r="J23">
        <v>20984.254999999994</v>
      </c>
      <c r="K23">
        <v>19830.663999999993</v>
      </c>
      <c r="L23">
        <v>19762.545999999998</v>
      </c>
      <c r="M23">
        <v>19710.521000000001</v>
      </c>
      <c r="N23">
        <v>15350.51</v>
      </c>
      <c r="O23">
        <v>15350.510000000002</v>
      </c>
      <c r="P23">
        <v>12570.727999999999</v>
      </c>
      <c r="Q23">
        <v>635.6400000000001</v>
      </c>
      <c r="R23">
        <v>27171.020000000004</v>
      </c>
      <c r="S23">
        <v>21635.270000000004</v>
      </c>
      <c r="T23">
        <v>25968.76</v>
      </c>
      <c r="U23">
        <v>13997.799999999997</v>
      </c>
      <c r="V23">
        <v>24979.720000000008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f>SUMPRODUCT(DB_STProjectMonth[[#This Row],[SumOfPlan01]:[SumOfPlan12]],$E$14:$P$14)/valUnits2</f>
        <v>120.948105</v>
      </c>
      <c r="AD23">
        <f>SUMPRODUCT(DB_STProjectMonth[[#This Row],[SumOfAct01]:[SumOfAct12]],$Q$14:$AB$14)/valUnits2</f>
        <v>114.38821000000002</v>
      </c>
      <c r="AE23">
        <f>DB_STProjectMonth[[#This Row],[Actual]]-DB_STProjectMonth[[#This Row],[Plan]]</f>
        <v>-6.5598949999999832</v>
      </c>
      <c r="AF23">
        <f>IF(DB_STProjectMonth[[#This Row],[Plan]]&lt;&gt;0,DB_STProjectMonth[[#This Row],[Actual]]/DB_STProjectMonth[[#This Row],[Plan]],1.000011000011)</f>
        <v>0.94576273022218926</v>
      </c>
      <c r="AG23">
        <f>SUM(DB_STProjectMonth[[#This Row],[SumOfPlan01]:[SumOfPlan12]])/valUnits2</f>
        <v>223.52358400000003</v>
      </c>
      <c r="AH23">
        <f>SUMPRODUCT(DB_STProjectMonth[[#This Row],[SumOfAct01]:[SumOfAct12]],$Q$13:$AB$13)/valUnits2</f>
        <v>114.38821000000002</v>
      </c>
      <c r="AI23">
        <f>IF(DB_STProjectMonth[[#This Row],[FY Plan]]&lt;&gt;0,DB_STProjectMonth[[#This Row],[FY Actuals]]/DB_STProjectMonth[[#This Row],[FY Plan]],0)</f>
        <v>0.5117500710797479</v>
      </c>
    </row>
    <row r="24" spans="2:35" x14ac:dyDescent="0.2">
      <c r="B24" t="s">
        <v>351</v>
      </c>
      <c r="C24" t="s">
        <v>498</v>
      </c>
      <c r="D24" t="s">
        <v>498</v>
      </c>
      <c r="E24">
        <v>13149.726000000001</v>
      </c>
      <c r="F24">
        <v>16922.166999999998</v>
      </c>
      <c r="G24">
        <v>20681.798000000006</v>
      </c>
      <c r="H24">
        <v>62885.596999999987</v>
      </c>
      <c r="I24">
        <v>72920.453999999998</v>
      </c>
      <c r="J24">
        <v>55721.223000000005</v>
      </c>
      <c r="K24">
        <v>55110.431000000004</v>
      </c>
      <c r="L24">
        <v>54757.452999999994</v>
      </c>
      <c r="M24">
        <v>54349.280999999995</v>
      </c>
      <c r="N24">
        <v>47596.421999999977</v>
      </c>
      <c r="O24">
        <v>46014.583999999988</v>
      </c>
      <c r="P24">
        <v>35792.195999999996</v>
      </c>
      <c r="Q24">
        <v>8875.6600000000017</v>
      </c>
      <c r="R24">
        <v>12415.550000000001</v>
      </c>
      <c r="S24">
        <v>15329.389999999998</v>
      </c>
      <c r="T24">
        <v>57287.890000000021</v>
      </c>
      <c r="U24">
        <v>57161.779999999962</v>
      </c>
      <c r="V24">
        <v>38060.519999999997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f>SUMPRODUCT(DB_STProjectMonth[[#This Row],[SumOfPlan01]:[SumOfPlan12]],$E$14:$P$14)/valUnits2</f>
        <v>242.28096500000001</v>
      </c>
      <c r="AD24">
        <f>SUMPRODUCT(DB_STProjectMonth[[#This Row],[SumOfAct01]:[SumOfAct12]],$Q$14:$AB$14)/valUnits2</f>
        <v>189.13078999999999</v>
      </c>
      <c r="AE24">
        <f>DB_STProjectMonth[[#This Row],[Actual]]-DB_STProjectMonth[[#This Row],[Plan]]</f>
        <v>-53.150175000000019</v>
      </c>
      <c r="AF24">
        <f>IF(DB_STProjectMonth[[#This Row],[Plan]]&lt;&gt;0,DB_STProjectMonth[[#This Row],[Actual]]/DB_STProjectMonth[[#This Row],[Plan]],1.000011000011)</f>
        <v>0.78062587376602199</v>
      </c>
      <c r="AG24">
        <f>SUM(DB_STProjectMonth[[#This Row],[SumOfPlan01]:[SumOfPlan12]])/valUnits2</f>
        <v>535.90133199999991</v>
      </c>
      <c r="AH24">
        <f>SUMPRODUCT(DB_STProjectMonth[[#This Row],[SumOfAct01]:[SumOfAct12]],$Q$13:$AB$13)/valUnits2</f>
        <v>189.13078999999999</v>
      </c>
      <c r="AI24">
        <f>IF(DB_STProjectMonth[[#This Row],[FY Plan]]&lt;&gt;0,DB_STProjectMonth[[#This Row],[FY Actuals]]/DB_STProjectMonth[[#This Row],[FY Plan]],0)</f>
        <v>0.35292091791255337</v>
      </c>
    </row>
    <row r="25" spans="2:35" x14ac:dyDescent="0.2">
      <c r="B25" t="s">
        <v>351</v>
      </c>
      <c r="C25" t="s">
        <v>499</v>
      </c>
      <c r="D25" t="s">
        <v>499</v>
      </c>
      <c r="E25">
        <v>244160.55199999994</v>
      </c>
      <c r="F25">
        <v>114456.284</v>
      </c>
      <c r="G25">
        <v>121330.45000000001</v>
      </c>
      <c r="H25">
        <v>-72717.621999999974</v>
      </c>
      <c r="I25">
        <v>-67906.537999999986</v>
      </c>
      <c r="J25">
        <v>66059.232999999978</v>
      </c>
      <c r="K25">
        <v>62735.447999999968</v>
      </c>
      <c r="L25">
        <v>63115.642999999975</v>
      </c>
      <c r="M25">
        <v>62631.940999999977</v>
      </c>
      <c r="N25">
        <v>54722.650999999976</v>
      </c>
      <c r="O25">
        <v>54722.650999999983</v>
      </c>
      <c r="P25">
        <v>46080.978999999985</v>
      </c>
      <c r="Q25">
        <v>227435.17</v>
      </c>
      <c r="R25">
        <v>98009.5</v>
      </c>
      <c r="S25">
        <v>104400.50999999992</v>
      </c>
      <c r="T25">
        <v>-89979.270000000048</v>
      </c>
      <c r="U25">
        <v>-94957.159999999974</v>
      </c>
      <c r="V25">
        <v>39750.469999999994</v>
      </c>
      <c r="W25">
        <v>858.06</v>
      </c>
      <c r="X25">
        <v>0</v>
      </c>
      <c r="Y25">
        <v>0</v>
      </c>
      <c r="Z25">
        <v>0</v>
      </c>
      <c r="AA25">
        <v>0</v>
      </c>
      <c r="AB25">
        <v>0</v>
      </c>
      <c r="AC25">
        <f>SUMPRODUCT(DB_STProjectMonth[[#This Row],[SumOfPlan01]:[SumOfPlan12]],$E$14:$P$14)/valUnits2</f>
        <v>405.38235899999995</v>
      </c>
      <c r="AD25">
        <f>SUMPRODUCT(DB_STProjectMonth[[#This Row],[SumOfAct01]:[SumOfAct12]],$Q$14:$AB$14)/valUnits2</f>
        <v>284.65921999999989</v>
      </c>
      <c r="AE25">
        <f>DB_STProjectMonth[[#This Row],[Actual]]-DB_STProjectMonth[[#This Row],[Plan]]</f>
        <v>-120.72313900000006</v>
      </c>
      <c r="AF25">
        <f>IF(DB_STProjectMonth[[#This Row],[Plan]]&lt;&gt;0,DB_STProjectMonth[[#This Row],[Actual]]/DB_STProjectMonth[[#This Row],[Plan]],1.000011000011)</f>
        <v>0.70219932782028116</v>
      </c>
      <c r="AG25">
        <f>SUM(DB_STProjectMonth[[#This Row],[SumOfPlan01]:[SumOfPlan12]])/valUnits2</f>
        <v>749.39167199999963</v>
      </c>
      <c r="AH25">
        <f>SUMPRODUCT(DB_STProjectMonth[[#This Row],[SumOfAct01]:[SumOfAct12]],$Q$13:$AB$13)/valUnits2</f>
        <v>284.65921999999989</v>
      </c>
      <c r="AI25">
        <f>IF(DB_STProjectMonth[[#This Row],[FY Plan]]&lt;&gt;0,DB_STProjectMonth[[#This Row],[FY Actuals]]/DB_STProjectMonth[[#This Row],[FY Plan]],0)</f>
        <v>0.37985372754449298</v>
      </c>
    </row>
    <row r="26" spans="2:35" x14ac:dyDescent="0.2">
      <c r="B26" t="s">
        <v>351</v>
      </c>
      <c r="C26" t="s">
        <v>500</v>
      </c>
      <c r="D26" t="s">
        <v>500</v>
      </c>
      <c r="E26">
        <v>782.85199999999998</v>
      </c>
      <c r="F26">
        <v>15475.51</v>
      </c>
      <c r="G26">
        <v>7216.0069999999996</v>
      </c>
      <c r="H26">
        <v>20930.584000000006</v>
      </c>
      <c r="I26">
        <v>20071.625</v>
      </c>
      <c r="J26">
        <v>408.54399999999998</v>
      </c>
      <c r="K26">
        <v>408.54399999999998</v>
      </c>
      <c r="L26">
        <v>408.54399999999998</v>
      </c>
      <c r="M26">
        <v>408.54399999999998</v>
      </c>
      <c r="N26">
        <v>408.54399999999998</v>
      </c>
      <c r="O26">
        <v>408.54399999999998</v>
      </c>
      <c r="P26">
        <v>408.54399999999998</v>
      </c>
      <c r="Q26">
        <v>777.27</v>
      </c>
      <c r="R26">
        <v>15510.34</v>
      </c>
      <c r="S26">
        <v>7217.9799999999987</v>
      </c>
      <c r="T26">
        <v>20868.700000000008</v>
      </c>
      <c r="U26">
        <v>20130.510000000002</v>
      </c>
      <c r="V26">
        <v>20821.050000000007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f>SUMPRODUCT(DB_STProjectMonth[[#This Row],[SumOfPlan01]:[SumOfPlan12]],$E$14:$P$14)/valUnits2</f>
        <v>64.88512200000001</v>
      </c>
      <c r="AD26">
        <f>SUMPRODUCT(DB_STProjectMonth[[#This Row],[SumOfAct01]:[SumOfAct12]],$Q$14:$AB$14)/valUnits2</f>
        <v>85.325850000000017</v>
      </c>
      <c r="AE26">
        <f>DB_STProjectMonth[[#This Row],[Actual]]-DB_STProjectMonth[[#This Row],[Plan]]</f>
        <v>20.440728000000007</v>
      </c>
      <c r="AF26">
        <f>IF(DB_STProjectMonth[[#This Row],[Plan]]&lt;&gt;0,DB_STProjectMonth[[#This Row],[Actual]]/DB_STProjectMonth[[#This Row],[Plan]],1.000011000011)</f>
        <v>1.3150295070725151</v>
      </c>
      <c r="AG26">
        <f>SUM(DB_STProjectMonth[[#This Row],[SumOfPlan01]:[SumOfPlan12]])/valUnits2</f>
        <v>67.33638599999999</v>
      </c>
      <c r="AH26">
        <f>SUMPRODUCT(DB_STProjectMonth[[#This Row],[SumOfAct01]:[SumOfAct12]],$Q$13:$AB$13)/valUnits2</f>
        <v>85.325850000000017</v>
      </c>
      <c r="AI26">
        <f>IF(DB_STProjectMonth[[#This Row],[FY Plan]]&lt;&gt;0,DB_STProjectMonth[[#This Row],[FY Actuals]]/DB_STProjectMonth[[#This Row],[FY Plan]],0)</f>
        <v>1.267158145374776</v>
      </c>
    </row>
    <row r="27" spans="2:35" x14ac:dyDescent="0.2">
      <c r="B27" t="s">
        <v>351</v>
      </c>
      <c r="C27" t="s">
        <v>501</v>
      </c>
      <c r="D27" t="s">
        <v>501</v>
      </c>
      <c r="E27">
        <v>10744.099999999999</v>
      </c>
      <c r="F27">
        <v>13504.11</v>
      </c>
      <c r="G27">
        <v>16400.11</v>
      </c>
      <c r="H27">
        <v>10188.580000000002</v>
      </c>
      <c r="I27">
        <v>12552.95</v>
      </c>
      <c r="J27">
        <v>15299.603000000001</v>
      </c>
      <c r="K27">
        <v>15299.603000000001</v>
      </c>
      <c r="L27">
        <v>17769.600999999999</v>
      </c>
      <c r="M27">
        <v>15299.603000000001</v>
      </c>
      <c r="N27">
        <v>15299.603000000001</v>
      </c>
      <c r="O27">
        <v>15299.603000000001</v>
      </c>
      <c r="P27">
        <v>15299.603000000003</v>
      </c>
      <c r="Q27">
        <v>10744.1</v>
      </c>
      <c r="R27">
        <v>13504.11</v>
      </c>
      <c r="S27">
        <v>16400.11</v>
      </c>
      <c r="T27">
        <v>10367.76</v>
      </c>
      <c r="U27">
        <v>12552.950000000003</v>
      </c>
      <c r="V27">
        <v>14755.189999999999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f>SUMPRODUCT(DB_STProjectMonth[[#This Row],[SumOfPlan01]:[SumOfPlan12]],$E$14:$P$14)/valUnits2</f>
        <v>78.689453000000015</v>
      </c>
      <c r="AD27">
        <f>SUMPRODUCT(DB_STProjectMonth[[#This Row],[SumOfAct01]:[SumOfAct12]],$Q$14:$AB$14)/valUnits2</f>
        <v>78.324219999999997</v>
      </c>
      <c r="AE27">
        <f>DB_STProjectMonth[[#This Row],[Actual]]-DB_STProjectMonth[[#This Row],[Plan]]</f>
        <v>-0.36523300000001768</v>
      </c>
      <c r="AF27">
        <f>IF(DB_STProjectMonth[[#This Row],[Plan]]&lt;&gt;0,DB_STProjectMonth[[#This Row],[Actual]]/DB_STProjectMonth[[#This Row],[Plan]],1.000011000011)</f>
        <v>0.99535855205398338</v>
      </c>
      <c r="AG27">
        <f>SUM(DB_STProjectMonth[[#This Row],[SumOfPlan01]:[SumOfPlan12]])/valUnits2</f>
        <v>172.95706900000002</v>
      </c>
      <c r="AH27">
        <f>SUMPRODUCT(DB_STProjectMonth[[#This Row],[SumOfAct01]:[SumOfAct12]],$Q$13:$AB$13)/valUnits2</f>
        <v>78.324219999999997</v>
      </c>
      <c r="AI27">
        <f>IF(DB_STProjectMonth[[#This Row],[FY Plan]]&lt;&gt;0,DB_STProjectMonth[[#This Row],[FY Actuals]]/DB_STProjectMonth[[#This Row],[FY Plan]],0)</f>
        <v>0.45285353442246407</v>
      </c>
    </row>
    <row r="28" spans="2:35" x14ac:dyDescent="0.2">
      <c r="B28" t="s">
        <v>351</v>
      </c>
      <c r="C28" t="s">
        <v>502</v>
      </c>
      <c r="D28" t="s">
        <v>502</v>
      </c>
      <c r="E28">
        <v>3790.6190000000006</v>
      </c>
      <c r="F28">
        <v>7429.3749999999991</v>
      </c>
      <c r="G28">
        <v>7369.6729999999998</v>
      </c>
      <c r="H28">
        <v>19749.260999999999</v>
      </c>
      <c r="I28">
        <v>11334.579000000002</v>
      </c>
      <c r="J28">
        <v>10941.051999999998</v>
      </c>
      <c r="K28">
        <v>9792.2279999999973</v>
      </c>
      <c r="L28">
        <v>9705.8819999999978</v>
      </c>
      <c r="M28">
        <v>9653.8569999999982</v>
      </c>
      <c r="N28">
        <v>8377.4120000000003</v>
      </c>
      <c r="O28">
        <v>8377.4120000000003</v>
      </c>
      <c r="P28">
        <v>8084.5460000000012</v>
      </c>
      <c r="Q28">
        <v>2531.6400000000003</v>
      </c>
      <c r="R28">
        <v>6037.9699999999993</v>
      </c>
      <c r="S28">
        <v>5793.92</v>
      </c>
      <c r="T28">
        <v>18207.699999999997</v>
      </c>
      <c r="U28">
        <v>9214.9900000000016</v>
      </c>
      <c r="V28">
        <v>8734.8999999999978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f>SUMPRODUCT(DB_STProjectMonth[[#This Row],[SumOfPlan01]:[SumOfPlan12]],$E$14:$P$14)/valUnits2</f>
        <v>60.614558999999993</v>
      </c>
      <c r="AD28">
        <f>SUMPRODUCT(DB_STProjectMonth[[#This Row],[SumOfAct01]:[SumOfAct12]],$Q$14:$AB$14)/valUnits2</f>
        <v>50.521119999999996</v>
      </c>
      <c r="AE28">
        <f>DB_STProjectMonth[[#This Row],[Actual]]-DB_STProjectMonth[[#This Row],[Plan]]</f>
        <v>-10.093438999999996</v>
      </c>
      <c r="AF28">
        <f>IF(DB_STProjectMonth[[#This Row],[Plan]]&lt;&gt;0,DB_STProjectMonth[[#This Row],[Actual]]/DB_STProjectMonth[[#This Row],[Plan]],1.000011000011)</f>
        <v>0.8334816062919802</v>
      </c>
      <c r="AG28">
        <f>SUM(DB_STProjectMonth[[#This Row],[SumOfPlan01]:[SumOfPlan12]])/valUnits2</f>
        <v>114.60589599999999</v>
      </c>
      <c r="AH28">
        <f>SUMPRODUCT(DB_STProjectMonth[[#This Row],[SumOfAct01]:[SumOfAct12]],$Q$13:$AB$13)/valUnits2</f>
        <v>50.521119999999996</v>
      </c>
      <c r="AI28">
        <f>IF(DB_STProjectMonth[[#This Row],[FY Plan]]&lt;&gt;0,DB_STProjectMonth[[#This Row],[FY Actuals]]/DB_STProjectMonth[[#This Row],[FY Plan]],0)</f>
        <v>0.44082478967748745</v>
      </c>
    </row>
    <row r="29" spans="2:35" x14ac:dyDescent="0.2">
      <c r="B29" t="s">
        <v>351</v>
      </c>
      <c r="C29" t="s">
        <v>503</v>
      </c>
      <c r="D29" t="s">
        <v>503</v>
      </c>
      <c r="E29">
        <v>-820.4219999999998</v>
      </c>
      <c r="F29">
        <v>4724.91</v>
      </c>
      <c r="G29">
        <v>5398.1909999999989</v>
      </c>
      <c r="H29">
        <v>8843.530999999999</v>
      </c>
      <c r="I29">
        <v>5936.5229999999992</v>
      </c>
      <c r="J29">
        <v>6584.7249999999995</v>
      </c>
      <c r="K29">
        <v>6584.7249999999995</v>
      </c>
      <c r="L29">
        <v>6584.7249999999985</v>
      </c>
      <c r="M29">
        <v>6584.7249999999995</v>
      </c>
      <c r="N29">
        <v>5308.28</v>
      </c>
      <c r="O29">
        <v>4626.4539999999997</v>
      </c>
      <c r="P29">
        <v>3102.8919999999998</v>
      </c>
      <c r="Q29">
        <v>-1986.04</v>
      </c>
      <c r="R29">
        <v>3407.7</v>
      </c>
      <c r="S29">
        <v>3803.08</v>
      </c>
      <c r="T29">
        <v>7221.25</v>
      </c>
      <c r="U29">
        <v>2832.8</v>
      </c>
      <c r="V29">
        <v>3119.0100000000007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f>SUMPRODUCT(DB_STProjectMonth[[#This Row],[SumOfPlan01]:[SumOfPlan12]],$E$14:$P$14)/valUnits2</f>
        <v>30.667458</v>
      </c>
      <c r="AD29">
        <f>SUMPRODUCT(DB_STProjectMonth[[#This Row],[SumOfAct01]:[SumOfAct12]],$Q$14:$AB$14)/valUnits2</f>
        <v>18.397800000000004</v>
      </c>
      <c r="AE29">
        <f>DB_STProjectMonth[[#This Row],[Actual]]-DB_STProjectMonth[[#This Row],[Plan]]</f>
        <v>-12.269657999999996</v>
      </c>
      <c r="AF29">
        <f>IF(DB_STProjectMonth[[#This Row],[Plan]]&lt;&gt;0,DB_STProjectMonth[[#This Row],[Actual]]/DB_STProjectMonth[[#This Row],[Plan]],1.000011000011)</f>
        <v>0.59991278051151176</v>
      </c>
      <c r="AG29">
        <f>SUM(DB_STProjectMonth[[#This Row],[SumOfPlan01]:[SumOfPlan12]])/valUnits2</f>
        <v>63.459258999999989</v>
      </c>
      <c r="AH29">
        <f>SUMPRODUCT(DB_STProjectMonth[[#This Row],[SumOfAct01]:[SumOfAct12]],$Q$13:$AB$13)/valUnits2</f>
        <v>18.397800000000004</v>
      </c>
      <c r="AI29">
        <f>IF(DB_STProjectMonth[[#This Row],[FY Plan]]&lt;&gt;0,DB_STProjectMonth[[#This Row],[FY Actuals]]/DB_STProjectMonth[[#This Row],[FY Plan]],0)</f>
        <v>0.28991514067316809</v>
      </c>
    </row>
    <row r="30" spans="2:35" x14ac:dyDescent="0.2">
      <c r="B30" t="s">
        <v>351</v>
      </c>
      <c r="C30" t="s">
        <v>504</v>
      </c>
      <c r="D30" t="s">
        <v>504</v>
      </c>
      <c r="E30">
        <v>6923.6809999999987</v>
      </c>
      <c r="F30">
        <v>13818.389000000001</v>
      </c>
      <c r="G30">
        <v>8292.8059999999987</v>
      </c>
      <c r="H30">
        <v>11409.044999999996</v>
      </c>
      <c r="I30">
        <v>16331.744999999999</v>
      </c>
      <c r="J30">
        <v>4083.8270000000002</v>
      </c>
      <c r="K30">
        <v>4256.5210000000006</v>
      </c>
      <c r="L30">
        <v>4083.8270000000002</v>
      </c>
      <c r="M30">
        <v>4083.8270000000002</v>
      </c>
      <c r="N30">
        <v>1531.0490000000002</v>
      </c>
      <c r="O30">
        <v>1531.049</v>
      </c>
      <c r="P30">
        <v>1703.7429999999999</v>
      </c>
      <c r="Q30">
        <v>6831.78</v>
      </c>
      <c r="R30">
        <v>13761.250000000002</v>
      </c>
      <c r="S30">
        <v>8321.8099999999977</v>
      </c>
      <c r="T30">
        <v>11374.05</v>
      </c>
      <c r="U30">
        <v>16436.730000000003</v>
      </c>
      <c r="V30">
        <v>15531.169999999996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f>SUMPRODUCT(DB_STProjectMonth[[#This Row],[SumOfPlan01]:[SumOfPlan12]],$E$14:$P$14)/valUnits2</f>
        <v>60.859492999999993</v>
      </c>
      <c r="AD30">
        <f>SUMPRODUCT(DB_STProjectMonth[[#This Row],[SumOfAct01]:[SumOfAct12]],$Q$14:$AB$14)/valUnits2</f>
        <v>72.256789999999995</v>
      </c>
      <c r="AE30">
        <f>DB_STProjectMonth[[#This Row],[Actual]]-DB_STProjectMonth[[#This Row],[Plan]]</f>
        <v>11.397297000000002</v>
      </c>
      <c r="AF30">
        <f>IF(DB_STProjectMonth[[#This Row],[Plan]]&lt;&gt;0,DB_STProjectMonth[[#This Row],[Actual]]/DB_STProjectMonth[[#This Row],[Plan]],1.000011000011)</f>
        <v>1.1872722962052937</v>
      </c>
      <c r="AG30">
        <f>SUM(DB_STProjectMonth[[#This Row],[SumOfPlan01]:[SumOfPlan12]])/valUnits2</f>
        <v>78.049509</v>
      </c>
      <c r="AH30">
        <f>SUMPRODUCT(DB_STProjectMonth[[#This Row],[SumOfAct01]:[SumOfAct12]],$Q$13:$AB$13)/valUnits2</f>
        <v>72.256789999999995</v>
      </c>
      <c r="AI30">
        <f>IF(DB_STProjectMonth[[#This Row],[FY Plan]]&lt;&gt;0,DB_STProjectMonth[[#This Row],[FY Actuals]]/DB_STProjectMonth[[#This Row],[FY Plan]],0)</f>
        <v>0.92578148057279896</v>
      </c>
    </row>
    <row r="31" spans="2:35" x14ac:dyDescent="0.2">
      <c r="B31" t="s">
        <v>351</v>
      </c>
      <c r="C31" t="s">
        <v>505</v>
      </c>
      <c r="D31" t="s">
        <v>505</v>
      </c>
      <c r="E31">
        <v>26.3</v>
      </c>
      <c r="H31">
        <v>1305.654</v>
      </c>
      <c r="I31">
        <v>5367.0060000000003</v>
      </c>
      <c r="J31">
        <v>0</v>
      </c>
      <c r="Q31">
        <v>26.3</v>
      </c>
      <c r="T31">
        <v>1298.21</v>
      </c>
      <c r="U31">
        <v>5395.34</v>
      </c>
      <c r="V31">
        <v>2024.4900000000002</v>
      </c>
      <c r="AC31">
        <f>SUMPRODUCT(DB_STProjectMonth[[#This Row],[SumOfPlan01]:[SumOfPlan12]],$E$14:$P$14)/valUnits2</f>
        <v>6.6989600000000005</v>
      </c>
      <c r="AD31">
        <f>SUMPRODUCT(DB_STProjectMonth[[#This Row],[SumOfAct01]:[SumOfAct12]],$Q$14:$AB$14)/valUnits2</f>
        <v>8.7443399999999993</v>
      </c>
      <c r="AE31">
        <f>DB_STProjectMonth[[#This Row],[Actual]]-DB_STProjectMonth[[#This Row],[Plan]]</f>
        <v>2.0453799999999989</v>
      </c>
      <c r="AF31">
        <f>IF(DB_STProjectMonth[[#This Row],[Plan]]&lt;&gt;0,DB_STProjectMonth[[#This Row],[Actual]]/DB_STProjectMonth[[#This Row],[Plan]],1.000011000011)</f>
        <v>1.3053279912105757</v>
      </c>
      <c r="AG31">
        <f>SUM(DB_STProjectMonth[[#This Row],[SumOfPlan01]:[SumOfPlan12]])/valUnits2</f>
        <v>6.6989600000000005</v>
      </c>
      <c r="AH31">
        <f>SUMPRODUCT(DB_STProjectMonth[[#This Row],[SumOfAct01]:[SumOfAct12]],$Q$13:$AB$13)/valUnits2</f>
        <v>8.7443399999999993</v>
      </c>
      <c r="AI31">
        <f>IF(DB_STProjectMonth[[#This Row],[FY Plan]]&lt;&gt;0,DB_STProjectMonth[[#This Row],[FY Actuals]]/DB_STProjectMonth[[#This Row],[FY Plan]],0)</f>
        <v>1.3053279912105757</v>
      </c>
    </row>
    <row r="32" spans="2:35" x14ac:dyDescent="0.2">
      <c r="B32" t="s">
        <v>351</v>
      </c>
      <c r="C32" t="s">
        <v>506</v>
      </c>
      <c r="D32" t="s">
        <v>506</v>
      </c>
      <c r="E32">
        <v>4217.107</v>
      </c>
      <c r="F32">
        <v>4199.4420000000009</v>
      </c>
      <c r="G32">
        <v>4208.4850000000006</v>
      </c>
      <c r="H32">
        <v>4375.2370000000001</v>
      </c>
      <c r="I32">
        <v>4525.7540000000008</v>
      </c>
      <c r="J32">
        <v>4166.6670000000004</v>
      </c>
      <c r="K32">
        <v>4166.6670000000004</v>
      </c>
      <c r="L32">
        <v>4166.6670000000004</v>
      </c>
      <c r="M32">
        <v>4166.6670000000004</v>
      </c>
      <c r="N32">
        <v>4166.6670000000004</v>
      </c>
      <c r="O32">
        <v>4166.6670000000004</v>
      </c>
      <c r="P32">
        <v>4166.6670000000004</v>
      </c>
      <c r="Q32">
        <v>50.44</v>
      </c>
      <c r="R32">
        <v>32.770000000000003</v>
      </c>
      <c r="S32">
        <v>41.97</v>
      </c>
      <c r="T32">
        <v>204.53</v>
      </c>
      <c r="U32">
        <v>357.3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f>SUMPRODUCT(DB_STProjectMonth[[#This Row],[SumOfPlan01]:[SumOfPlan12]],$E$14:$P$14)/valUnits2</f>
        <v>25.692692000000001</v>
      </c>
      <c r="AD32">
        <f>SUMPRODUCT(DB_STProjectMonth[[#This Row],[SumOfAct01]:[SumOfAct12]],$Q$14:$AB$14)/valUnits2</f>
        <v>0.68701000000000001</v>
      </c>
      <c r="AE32">
        <f>DB_STProjectMonth[[#This Row],[Actual]]-DB_STProjectMonth[[#This Row],[Plan]]</f>
        <v>-25.005682</v>
      </c>
      <c r="AF32">
        <f>IF(DB_STProjectMonth[[#This Row],[Plan]]&lt;&gt;0,DB_STProjectMonth[[#This Row],[Actual]]/DB_STProjectMonth[[#This Row],[Plan]],1.000011000011)</f>
        <v>2.6739510207805395E-2</v>
      </c>
      <c r="AG32">
        <f>SUM(DB_STProjectMonth[[#This Row],[SumOfPlan01]:[SumOfPlan12]])/valUnits2</f>
        <v>50.69269400000001</v>
      </c>
      <c r="AH32">
        <f>SUMPRODUCT(DB_STProjectMonth[[#This Row],[SumOfAct01]:[SumOfAct12]],$Q$13:$AB$13)/valUnits2</f>
        <v>0.68701000000000001</v>
      </c>
      <c r="AI32">
        <f>IF(DB_STProjectMonth[[#This Row],[FY Plan]]&lt;&gt;0,DB_STProjectMonth[[#This Row],[FY Actuals]]/DB_STProjectMonth[[#This Row],[FY Plan]],0)</f>
        <v>1.3552446038871003E-2</v>
      </c>
    </row>
    <row r="33" spans="2:35" x14ac:dyDescent="0.2">
      <c r="B33" t="s">
        <v>343</v>
      </c>
      <c r="C33" t="s">
        <v>507</v>
      </c>
      <c r="D33" t="s">
        <v>507</v>
      </c>
      <c r="G33">
        <v>-34974.351000000002</v>
      </c>
      <c r="S33">
        <v>-34749.879999999997</v>
      </c>
      <c r="AC33">
        <f>SUMPRODUCT(DB_STProjectMonth[[#This Row],[SumOfPlan01]:[SumOfPlan12]],$E$14:$P$14)/valUnits2</f>
        <v>-34.974351000000006</v>
      </c>
      <c r="AD33">
        <f>SUMPRODUCT(DB_STProjectMonth[[#This Row],[SumOfAct01]:[SumOfAct12]],$Q$14:$AB$14)/valUnits2</f>
        <v>-34.749879999999997</v>
      </c>
      <c r="AE33">
        <f>DB_STProjectMonth[[#This Row],[Actual]]-DB_STProjectMonth[[#This Row],[Plan]]</f>
        <v>0.2244710000000083</v>
      </c>
      <c r="AF33">
        <f>IF(DB_STProjectMonth[[#This Row],[Plan]]&lt;&gt;0,DB_STProjectMonth[[#This Row],[Actual]]/DB_STProjectMonth[[#This Row],[Plan]],1.000011000011)</f>
        <v>0.99358183944571243</v>
      </c>
      <c r="AG33">
        <f>SUM(DB_STProjectMonth[[#This Row],[SumOfPlan01]:[SumOfPlan12]])/valUnits2</f>
        <v>-34.974351000000006</v>
      </c>
      <c r="AH33">
        <f>SUMPRODUCT(DB_STProjectMonth[[#This Row],[SumOfAct01]:[SumOfAct12]],$Q$13:$AB$13)/valUnits2</f>
        <v>-34.749879999999997</v>
      </c>
      <c r="AI33">
        <f>IF(DB_STProjectMonth[[#This Row],[FY Plan]]&lt;&gt;0,DB_STProjectMonth[[#This Row],[FY Actuals]]/DB_STProjectMonth[[#This Row],[FY Plan]],0)</f>
        <v>0.99358183944571243</v>
      </c>
    </row>
    <row r="34" spans="2:35" x14ac:dyDescent="0.2">
      <c r="B34" t="s">
        <v>343</v>
      </c>
      <c r="C34" t="s">
        <v>508</v>
      </c>
      <c r="D34" t="s">
        <v>508</v>
      </c>
      <c r="E34">
        <v>224925.53900000002</v>
      </c>
      <c r="F34">
        <v>390242.6590000001</v>
      </c>
      <c r="G34">
        <v>500922.30299999996</v>
      </c>
      <c r="H34">
        <v>620766.89000000013</v>
      </c>
      <c r="I34">
        <v>886961.97800000024</v>
      </c>
      <c r="J34">
        <v>936603.07900000003</v>
      </c>
      <c r="K34">
        <v>729082.82100000011</v>
      </c>
      <c r="L34">
        <v>880608.93000000028</v>
      </c>
      <c r="M34">
        <v>734077.76800000016</v>
      </c>
      <c r="N34">
        <v>764062.04100000008</v>
      </c>
      <c r="O34">
        <v>416747.3299999999</v>
      </c>
      <c r="P34">
        <v>157599.56</v>
      </c>
      <c r="Q34">
        <v>125083.29000000001</v>
      </c>
      <c r="R34">
        <v>213357.11999999985</v>
      </c>
      <c r="S34">
        <v>313948.98999999987</v>
      </c>
      <c r="T34">
        <v>327619.94</v>
      </c>
      <c r="U34">
        <v>183731.19999999992</v>
      </c>
      <c r="V34">
        <v>247683.41000000015</v>
      </c>
      <c r="W34">
        <v>13036.52</v>
      </c>
      <c r="X34">
        <v>0</v>
      </c>
      <c r="Y34">
        <v>0</v>
      </c>
      <c r="Z34">
        <v>0</v>
      </c>
      <c r="AA34">
        <v>0</v>
      </c>
      <c r="AB34">
        <v>0</v>
      </c>
      <c r="AC34">
        <f>SUMPRODUCT(DB_STProjectMonth[[#This Row],[SumOfPlan01]:[SumOfPlan12]],$E$14:$P$14)/valUnits2</f>
        <v>3560.4224480000003</v>
      </c>
      <c r="AD34">
        <f>SUMPRODUCT(DB_STProjectMonth[[#This Row],[SumOfAct01]:[SumOfAct12]],$Q$14:$AB$14)/valUnits2</f>
        <v>1411.4239499999996</v>
      </c>
      <c r="AE34">
        <f>DB_STProjectMonth[[#This Row],[Actual]]-DB_STProjectMonth[[#This Row],[Plan]]</f>
        <v>-2148.9984980000008</v>
      </c>
      <c r="AF34">
        <f>IF(DB_STProjectMonth[[#This Row],[Plan]]&lt;&gt;0,DB_STProjectMonth[[#This Row],[Actual]]/DB_STProjectMonth[[#This Row],[Plan]],1.000011000011)</f>
        <v>0.39642036039651424</v>
      </c>
      <c r="AG34">
        <f>SUM(DB_STProjectMonth[[#This Row],[SumOfPlan01]:[SumOfPlan12]])/valUnits2</f>
        <v>7242.6008980000006</v>
      </c>
      <c r="AH34">
        <f>SUMPRODUCT(DB_STProjectMonth[[#This Row],[SumOfAct01]:[SumOfAct12]],$Q$13:$AB$13)/valUnits2</f>
        <v>1411.4239499999996</v>
      </c>
      <c r="AI34">
        <f>IF(DB_STProjectMonth[[#This Row],[FY Plan]]&lt;&gt;0,DB_STProjectMonth[[#This Row],[FY Actuals]]/DB_STProjectMonth[[#This Row],[FY Plan]],0)</f>
        <v>0.19487805139031694</v>
      </c>
    </row>
    <row r="35" spans="2:35" x14ac:dyDescent="0.2">
      <c r="B35" t="s">
        <v>343</v>
      </c>
      <c r="C35" t="s">
        <v>509</v>
      </c>
      <c r="D35" t="s">
        <v>509</v>
      </c>
      <c r="E35">
        <v>28867.22</v>
      </c>
      <c r="F35">
        <v>35171.499999999993</v>
      </c>
      <c r="G35">
        <v>54658.450000000004</v>
      </c>
      <c r="H35">
        <v>41769.94000000001</v>
      </c>
      <c r="I35">
        <v>36141.020000000004</v>
      </c>
      <c r="J35">
        <v>97259.601999999999</v>
      </c>
      <c r="K35">
        <v>120926.268</v>
      </c>
      <c r="L35">
        <v>78207.511000000013</v>
      </c>
      <c r="M35">
        <v>75379.602000000014</v>
      </c>
      <c r="N35">
        <v>106165.06</v>
      </c>
      <c r="O35">
        <v>66759.602000000014</v>
      </c>
      <c r="P35">
        <v>92875.166000000012</v>
      </c>
      <c r="Q35">
        <v>28867.22</v>
      </c>
      <c r="R35">
        <v>35237.410000000003</v>
      </c>
      <c r="S35">
        <v>54658.44999999999</v>
      </c>
      <c r="T35">
        <v>41823.65</v>
      </c>
      <c r="U35">
        <v>36201.340000000011</v>
      </c>
      <c r="V35">
        <v>106294.89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f>SUMPRODUCT(DB_STProjectMonth[[#This Row],[SumOfPlan01]:[SumOfPlan12]],$E$14:$P$14)/valUnits2</f>
        <v>293.86773200000005</v>
      </c>
      <c r="AD35">
        <f>SUMPRODUCT(DB_STProjectMonth[[#This Row],[SumOfAct01]:[SumOfAct12]],$Q$14:$AB$14)/valUnits2</f>
        <v>303.08296000000001</v>
      </c>
      <c r="AE35">
        <f>DB_STProjectMonth[[#This Row],[Actual]]-DB_STProjectMonth[[#This Row],[Plan]]</f>
        <v>9.2152279999999678</v>
      </c>
      <c r="AF35">
        <f>IF(DB_STProjectMonth[[#This Row],[Plan]]&lt;&gt;0,DB_STProjectMonth[[#This Row],[Actual]]/DB_STProjectMonth[[#This Row],[Plan]],1.000011000011)</f>
        <v>1.0313584208013691</v>
      </c>
      <c r="AG35">
        <f>SUM(DB_STProjectMonth[[#This Row],[SumOfPlan01]:[SumOfPlan12]])/valUnits2</f>
        <v>834.18094099999985</v>
      </c>
      <c r="AH35">
        <f>SUMPRODUCT(DB_STProjectMonth[[#This Row],[SumOfAct01]:[SumOfAct12]],$Q$13:$AB$13)/valUnits2</f>
        <v>303.08296000000001</v>
      </c>
      <c r="AI35">
        <f>IF(DB_STProjectMonth[[#This Row],[FY Plan]]&lt;&gt;0,DB_STProjectMonth[[#This Row],[FY Actuals]]/DB_STProjectMonth[[#This Row],[FY Plan]],0)</f>
        <v>0.36332999844934133</v>
      </c>
    </row>
    <row r="36" spans="2:35" x14ac:dyDescent="0.2">
      <c r="B36" t="s">
        <v>344</v>
      </c>
      <c r="C36" t="s">
        <v>510</v>
      </c>
      <c r="D36" t="s">
        <v>510</v>
      </c>
      <c r="E36">
        <v>302169.71799999999</v>
      </c>
      <c r="F36">
        <v>127099.35499999997</v>
      </c>
      <c r="G36">
        <v>207000.44600000008</v>
      </c>
      <c r="H36">
        <v>1969811.9500000002</v>
      </c>
      <c r="I36">
        <v>438806.39500000002</v>
      </c>
      <c r="J36">
        <v>1806667.1410000001</v>
      </c>
      <c r="K36">
        <v>241779.03299999991</v>
      </c>
      <c r="L36">
        <v>238570.21399999992</v>
      </c>
      <c r="M36">
        <v>1770084.7790000001</v>
      </c>
      <c r="N36">
        <v>263508.00999999995</v>
      </c>
      <c r="O36">
        <v>282286.45400000009</v>
      </c>
      <c r="P36">
        <v>1693768.0220000001</v>
      </c>
      <c r="Q36">
        <v>302037.87000000029</v>
      </c>
      <c r="R36">
        <v>127293.38000000005</v>
      </c>
      <c r="S36">
        <v>207981.46000000002</v>
      </c>
      <c r="T36">
        <v>1969694.8300000003</v>
      </c>
      <c r="U36">
        <v>442139.48000000033</v>
      </c>
      <c r="V36">
        <v>738271.8400000002</v>
      </c>
      <c r="W36">
        <v>449.41</v>
      </c>
      <c r="X36">
        <v>0</v>
      </c>
      <c r="Y36">
        <v>0</v>
      </c>
      <c r="Z36">
        <v>0</v>
      </c>
      <c r="AA36">
        <v>0</v>
      </c>
      <c r="AB36">
        <v>0</v>
      </c>
      <c r="AC36">
        <f>SUMPRODUCT(DB_STProjectMonth[[#This Row],[SumOfPlan01]:[SumOfPlan12]],$E$14:$P$14)/valUnits2</f>
        <v>4851.5550050000011</v>
      </c>
      <c r="AD36">
        <f>SUMPRODUCT(DB_STProjectMonth[[#This Row],[SumOfAct01]:[SumOfAct12]],$Q$14:$AB$14)/valUnits2</f>
        <v>3787.4188600000016</v>
      </c>
      <c r="AE36">
        <f>DB_STProjectMonth[[#This Row],[Actual]]-DB_STProjectMonth[[#This Row],[Plan]]</f>
        <v>-1064.1361449999995</v>
      </c>
      <c r="AF36">
        <f>IF(DB_STProjectMonth[[#This Row],[Plan]]&lt;&gt;0,DB_STProjectMonth[[#This Row],[Actual]]/DB_STProjectMonth[[#This Row],[Plan]],1.000011000011)</f>
        <v>0.78066081000765664</v>
      </c>
      <c r="AG36">
        <f>SUM(DB_STProjectMonth[[#This Row],[SumOfPlan01]:[SumOfPlan12]])/valUnits2</f>
        <v>9341.5515170000017</v>
      </c>
      <c r="AH36">
        <f>SUMPRODUCT(DB_STProjectMonth[[#This Row],[SumOfAct01]:[SumOfAct12]],$Q$13:$AB$13)/valUnits2</f>
        <v>3787.4188600000016</v>
      </c>
      <c r="AI36">
        <f>IF(DB_STProjectMonth[[#This Row],[FY Plan]]&lt;&gt;0,DB_STProjectMonth[[#This Row],[FY Actuals]]/DB_STProjectMonth[[#This Row],[FY Plan]],0)</f>
        <v>0.40543788182375884</v>
      </c>
    </row>
    <row r="37" spans="2:35" x14ac:dyDescent="0.2">
      <c r="B37" t="s">
        <v>344</v>
      </c>
      <c r="C37" t="s">
        <v>511</v>
      </c>
      <c r="D37" t="s">
        <v>511</v>
      </c>
      <c r="E37">
        <v>10791.550000000001</v>
      </c>
      <c r="F37">
        <v>17596.89</v>
      </c>
      <c r="G37">
        <v>429401.63000000012</v>
      </c>
      <c r="H37">
        <v>277109.99</v>
      </c>
      <c r="I37">
        <v>53182.209999999992</v>
      </c>
      <c r="J37">
        <v>156185.81099999999</v>
      </c>
      <c r="K37">
        <v>156185.81100000002</v>
      </c>
      <c r="L37">
        <v>156185.81100000002</v>
      </c>
      <c r="M37">
        <v>156289.81099999999</v>
      </c>
      <c r="N37">
        <v>0</v>
      </c>
      <c r="O37">
        <v>0</v>
      </c>
      <c r="P37">
        <v>0</v>
      </c>
      <c r="Q37">
        <v>10791.55</v>
      </c>
      <c r="R37">
        <v>17618.440000000002</v>
      </c>
      <c r="S37">
        <v>429401.63000000018</v>
      </c>
      <c r="T37">
        <v>277109.99</v>
      </c>
      <c r="U37">
        <v>53182.209999999992</v>
      </c>
      <c r="V37">
        <v>44963.250000000029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f>SUMPRODUCT(DB_STProjectMonth[[#This Row],[SumOfPlan01]:[SumOfPlan12]],$E$14:$P$14)/valUnits2</f>
        <v>944.26808100000005</v>
      </c>
      <c r="AD37">
        <f>SUMPRODUCT(DB_STProjectMonth[[#This Row],[SumOfAct01]:[SumOfAct12]],$Q$14:$AB$14)/valUnits2</f>
        <v>833.06707000000006</v>
      </c>
      <c r="AE37">
        <f>DB_STProjectMonth[[#This Row],[Actual]]-DB_STProjectMonth[[#This Row],[Plan]]</f>
        <v>-111.20101099999999</v>
      </c>
      <c r="AF37">
        <f>IF(DB_STProjectMonth[[#This Row],[Plan]]&lt;&gt;0,DB_STProjectMonth[[#This Row],[Actual]]/DB_STProjectMonth[[#This Row],[Plan]],1.000011000011)</f>
        <v>0.88223576202826237</v>
      </c>
      <c r="AG37">
        <f>SUM(DB_STProjectMonth[[#This Row],[SumOfPlan01]:[SumOfPlan12]])/valUnits2</f>
        <v>1412.9295139999999</v>
      </c>
      <c r="AH37">
        <f>SUMPRODUCT(DB_STProjectMonth[[#This Row],[SumOfAct01]:[SumOfAct12]],$Q$13:$AB$13)/valUnits2</f>
        <v>833.06707000000006</v>
      </c>
      <c r="AI37">
        <f>IF(DB_STProjectMonth[[#This Row],[FY Plan]]&lt;&gt;0,DB_STProjectMonth[[#This Row],[FY Actuals]]/DB_STProjectMonth[[#This Row],[FY Plan]],0)</f>
        <v>0.58960270965080863</v>
      </c>
    </row>
    <row r="38" spans="2:35" x14ac:dyDescent="0.2">
      <c r="B38" t="s">
        <v>345</v>
      </c>
      <c r="C38" t="s">
        <v>512</v>
      </c>
      <c r="D38" t="s">
        <v>512</v>
      </c>
      <c r="E38">
        <v>65719.659999999989</v>
      </c>
      <c r="F38">
        <v>5210.2360000000035</v>
      </c>
      <c r="G38">
        <v>77030.712000000014</v>
      </c>
      <c r="H38">
        <v>118105.82899999997</v>
      </c>
      <c r="I38">
        <v>117964.57100000001</v>
      </c>
      <c r="J38">
        <v>104828.03100000003</v>
      </c>
      <c r="K38">
        <v>91784.982000000047</v>
      </c>
      <c r="L38">
        <v>94447.068000000043</v>
      </c>
      <c r="M38">
        <v>91784.982000000033</v>
      </c>
      <c r="N38">
        <v>91784.982000000047</v>
      </c>
      <c r="O38">
        <v>96576.998000000051</v>
      </c>
      <c r="P38">
        <v>91784.982000000062</v>
      </c>
      <c r="Q38">
        <v>64850.26999999999</v>
      </c>
      <c r="R38">
        <v>5254.0800000000108</v>
      </c>
      <c r="S38">
        <v>77666.81</v>
      </c>
      <c r="T38">
        <v>119743.00000000003</v>
      </c>
      <c r="U38">
        <v>118016.49999999999</v>
      </c>
      <c r="V38">
        <v>74267.640000000014</v>
      </c>
      <c r="W38">
        <v>2515</v>
      </c>
      <c r="X38">
        <v>0</v>
      </c>
      <c r="Y38">
        <v>0</v>
      </c>
      <c r="Z38">
        <v>0</v>
      </c>
      <c r="AA38">
        <v>0</v>
      </c>
      <c r="AB38">
        <v>0</v>
      </c>
      <c r="AC38">
        <f>SUMPRODUCT(DB_STProjectMonth[[#This Row],[SumOfPlan01]:[SumOfPlan12]],$E$14:$P$14)/valUnits2</f>
        <v>488.859039</v>
      </c>
      <c r="AD38">
        <f>SUMPRODUCT(DB_STProjectMonth[[#This Row],[SumOfAct01]:[SumOfAct12]],$Q$14:$AB$14)/valUnits2</f>
        <v>459.79830000000004</v>
      </c>
      <c r="AE38">
        <f>DB_STProjectMonth[[#This Row],[Actual]]-DB_STProjectMonth[[#This Row],[Plan]]</f>
        <v>-29.060738999999955</v>
      </c>
      <c r="AF38">
        <f>IF(DB_STProjectMonth[[#This Row],[Plan]]&lt;&gt;0,DB_STProjectMonth[[#This Row],[Actual]]/DB_STProjectMonth[[#This Row],[Plan]],1.000011000011)</f>
        <v>0.94055394974501028</v>
      </c>
      <c r="AG38">
        <f>SUM(DB_STProjectMonth[[#This Row],[SumOfPlan01]:[SumOfPlan12]])/valUnits2</f>
        <v>1047.0230330000004</v>
      </c>
      <c r="AH38">
        <f>SUMPRODUCT(DB_STProjectMonth[[#This Row],[SumOfAct01]:[SumOfAct12]],$Q$13:$AB$13)/valUnits2</f>
        <v>459.79830000000004</v>
      </c>
      <c r="AI38">
        <f>IF(DB_STProjectMonth[[#This Row],[FY Plan]]&lt;&gt;0,DB_STProjectMonth[[#This Row],[FY Actuals]]/DB_STProjectMonth[[#This Row],[FY Plan]],0)</f>
        <v>0.43914821881478117</v>
      </c>
    </row>
    <row r="39" spans="2:35" x14ac:dyDescent="0.2">
      <c r="B39" t="s">
        <v>345</v>
      </c>
      <c r="C39" t="s">
        <v>513</v>
      </c>
      <c r="D39" t="s">
        <v>513</v>
      </c>
      <c r="E39">
        <v>467.00099999999998</v>
      </c>
      <c r="F39">
        <v>1640.1860000000001</v>
      </c>
      <c r="G39">
        <v>5402.9279999999999</v>
      </c>
      <c r="H39">
        <v>17264.332999999999</v>
      </c>
      <c r="I39">
        <v>2409.3450000000003</v>
      </c>
      <c r="Q39">
        <v>383.46</v>
      </c>
      <c r="R39">
        <v>1555.41</v>
      </c>
      <c r="S39">
        <v>5298.420000000001</v>
      </c>
      <c r="T39">
        <v>13512.25</v>
      </c>
      <c r="U39">
        <v>2536.7600000000002</v>
      </c>
      <c r="AC39">
        <f>SUMPRODUCT(DB_STProjectMonth[[#This Row],[SumOfPlan01]:[SumOfPlan12]],$E$14:$P$14)/valUnits2</f>
        <v>27.183792999999998</v>
      </c>
      <c r="AD39">
        <f>SUMPRODUCT(DB_STProjectMonth[[#This Row],[SumOfAct01]:[SumOfAct12]],$Q$14:$AB$14)/valUnits2</f>
        <v>23.286300000000004</v>
      </c>
      <c r="AE39">
        <f>DB_STProjectMonth[[#This Row],[Actual]]-DB_STProjectMonth[[#This Row],[Plan]]</f>
        <v>-3.8974929999999937</v>
      </c>
      <c r="AF39">
        <f>IF(DB_STProjectMonth[[#This Row],[Plan]]&lt;&gt;0,DB_STProjectMonth[[#This Row],[Actual]]/DB_STProjectMonth[[#This Row],[Plan]],1.000011000011)</f>
        <v>0.85662438644967631</v>
      </c>
      <c r="AG39">
        <f>SUM(DB_STProjectMonth[[#This Row],[SumOfPlan01]:[SumOfPlan12]])/valUnits2</f>
        <v>27.183792999999998</v>
      </c>
      <c r="AH39">
        <f>SUMPRODUCT(DB_STProjectMonth[[#This Row],[SumOfAct01]:[SumOfAct12]],$Q$13:$AB$13)/valUnits2</f>
        <v>23.286300000000004</v>
      </c>
      <c r="AI39">
        <f>IF(DB_STProjectMonth[[#This Row],[FY Plan]]&lt;&gt;0,DB_STProjectMonth[[#This Row],[FY Actuals]]/DB_STProjectMonth[[#This Row],[FY Plan]],0)</f>
        <v>0.85662438644967631</v>
      </c>
    </row>
    <row r="40" spans="2:35" x14ac:dyDescent="0.2">
      <c r="B40" t="s">
        <v>345</v>
      </c>
      <c r="C40" t="s">
        <v>514</v>
      </c>
      <c r="D40" t="s">
        <v>514</v>
      </c>
      <c r="G40">
        <v>942.30700000000002</v>
      </c>
      <c r="H40">
        <v>11574.745000000001</v>
      </c>
      <c r="S40">
        <v>936.19</v>
      </c>
      <c r="T40">
        <v>11651.449999999999</v>
      </c>
      <c r="AC40">
        <f>SUMPRODUCT(DB_STProjectMonth[[#This Row],[SumOfPlan01]:[SumOfPlan12]],$E$14:$P$14)/valUnits2</f>
        <v>12.517052000000001</v>
      </c>
      <c r="AD40">
        <f>SUMPRODUCT(DB_STProjectMonth[[#This Row],[SumOfAct01]:[SumOfAct12]],$Q$14:$AB$14)/valUnits2</f>
        <v>12.587639999999999</v>
      </c>
      <c r="AE40">
        <f>DB_STProjectMonth[[#This Row],[Actual]]-DB_STProjectMonth[[#This Row],[Plan]]</f>
        <v>7.0587999999997209E-2</v>
      </c>
      <c r="AF40">
        <f>IF(DB_STProjectMonth[[#This Row],[Plan]]&lt;&gt;0,DB_STProjectMonth[[#This Row],[Actual]]/DB_STProjectMonth[[#This Row],[Plan]],1.000011000011)</f>
        <v>1.0056393470283576</v>
      </c>
      <c r="AG40">
        <f>SUM(DB_STProjectMonth[[#This Row],[SumOfPlan01]:[SumOfPlan12]])/valUnits2</f>
        <v>12.517052000000001</v>
      </c>
      <c r="AH40">
        <f>SUMPRODUCT(DB_STProjectMonth[[#This Row],[SumOfAct01]:[SumOfAct12]],$Q$13:$AB$13)/valUnits2</f>
        <v>12.587639999999999</v>
      </c>
      <c r="AI40">
        <f>IF(DB_STProjectMonth[[#This Row],[FY Plan]]&lt;&gt;0,DB_STProjectMonth[[#This Row],[FY Actuals]]/DB_STProjectMonth[[#This Row],[FY Plan]],0)</f>
        <v>1.0056393470283576</v>
      </c>
    </row>
    <row r="41" spans="2:35" x14ac:dyDescent="0.2">
      <c r="B41" t="s">
        <v>346</v>
      </c>
      <c r="C41" t="s">
        <v>515</v>
      </c>
      <c r="D41" t="s">
        <v>515</v>
      </c>
      <c r="E41">
        <v>15386.895999999999</v>
      </c>
      <c r="F41">
        <v>6869.0990000000002</v>
      </c>
      <c r="G41">
        <v>6371.375</v>
      </c>
      <c r="H41">
        <v>61110.175000000003</v>
      </c>
      <c r="I41">
        <v>19435.687000000002</v>
      </c>
      <c r="J41">
        <v>38817.636000000006</v>
      </c>
      <c r="K41">
        <v>31603.296999999999</v>
      </c>
      <c r="L41">
        <v>33861.678</v>
      </c>
      <c r="M41">
        <v>37505.089</v>
      </c>
      <c r="N41">
        <v>37362.669000000002</v>
      </c>
      <c r="O41">
        <v>37564.241999999998</v>
      </c>
      <c r="Q41">
        <v>15072.140000000003</v>
      </c>
      <c r="R41">
        <v>6993.7000000000007</v>
      </c>
      <c r="S41">
        <v>6446.7899999999991</v>
      </c>
      <c r="T41">
        <v>60725.05999999999</v>
      </c>
      <c r="U41">
        <v>19586.399999999998</v>
      </c>
      <c r="V41">
        <v>118099.39999999997</v>
      </c>
      <c r="W41">
        <v>0</v>
      </c>
      <c r="X41">
        <v>0</v>
      </c>
      <c r="Y41">
        <v>0</v>
      </c>
      <c r="Z41">
        <v>0</v>
      </c>
      <c r="AA41">
        <v>0</v>
      </c>
      <c r="AC41">
        <f>SUMPRODUCT(DB_STProjectMonth[[#This Row],[SumOfPlan01]:[SumOfPlan12]],$E$14:$P$14)/valUnits2</f>
        <v>147.99086800000001</v>
      </c>
      <c r="AD41">
        <f>SUMPRODUCT(DB_STProjectMonth[[#This Row],[SumOfAct01]:[SumOfAct12]],$Q$14:$AB$14)/valUnits2</f>
        <v>226.92348999999996</v>
      </c>
      <c r="AE41">
        <f>DB_STProjectMonth[[#This Row],[Actual]]-DB_STProjectMonth[[#This Row],[Plan]]</f>
        <v>78.932621999999952</v>
      </c>
      <c r="AF41">
        <f>IF(DB_STProjectMonth[[#This Row],[Plan]]&lt;&gt;0,DB_STProjectMonth[[#This Row],[Actual]]/DB_STProjectMonth[[#This Row],[Plan]],1.000011000011)</f>
        <v>1.533361436869199</v>
      </c>
      <c r="AG41">
        <f>SUM(DB_STProjectMonth[[#This Row],[SumOfPlan01]:[SumOfPlan12]])/valUnits2</f>
        <v>325.88784299999998</v>
      </c>
      <c r="AH41">
        <f>SUMPRODUCT(DB_STProjectMonth[[#This Row],[SumOfAct01]:[SumOfAct12]],$Q$13:$AB$13)/valUnits2</f>
        <v>226.92348999999996</v>
      </c>
      <c r="AI41">
        <f>IF(DB_STProjectMonth[[#This Row],[FY Plan]]&lt;&gt;0,DB_STProjectMonth[[#This Row],[FY Actuals]]/DB_STProjectMonth[[#This Row],[FY Plan]],0)</f>
        <v>0.69632388833847958</v>
      </c>
    </row>
    <row r="42" spans="2:35" x14ac:dyDescent="0.2">
      <c r="B42" t="s">
        <v>346</v>
      </c>
      <c r="C42" t="s">
        <v>516</v>
      </c>
      <c r="D42" t="s">
        <v>516</v>
      </c>
      <c r="E42">
        <v>30256.882000000001</v>
      </c>
      <c r="F42">
        <v>9074.0870000000014</v>
      </c>
      <c r="G42">
        <v>19907.354000000003</v>
      </c>
      <c r="H42">
        <v>38646.173999999999</v>
      </c>
      <c r="I42">
        <v>8832.1229999999996</v>
      </c>
      <c r="J42">
        <v>34773.104999999996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30828.26</v>
      </c>
      <c r="R42">
        <v>9172.9199999999983</v>
      </c>
      <c r="S42">
        <v>19771.960000000006</v>
      </c>
      <c r="T42">
        <v>38433.660000000003</v>
      </c>
      <c r="U42">
        <v>8979.59</v>
      </c>
      <c r="V42">
        <v>22490.059999999994</v>
      </c>
      <c r="W42">
        <v>1323.46</v>
      </c>
      <c r="X42">
        <v>0</v>
      </c>
      <c r="Y42">
        <v>0</v>
      </c>
      <c r="Z42">
        <v>0</v>
      </c>
      <c r="AA42">
        <v>0</v>
      </c>
      <c r="AB42">
        <v>0</v>
      </c>
      <c r="AC42">
        <f>SUMPRODUCT(DB_STProjectMonth[[#This Row],[SumOfPlan01]:[SumOfPlan12]],$E$14:$P$14)/valUnits2</f>
        <v>141.48972499999996</v>
      </c>
      <c r="AD42">
        <f>SUMPRODUCT(DB_STProjectMonth[[#This Row],[SumOfAct01]:[SumOfAct12]],$Q$14:$AB$14)/valUnits2</f>
        <v>129.67644999999999</v>
      </c>
      <c r="AE42">
        <f>DB_STProjectMonth[[#This Row],[Actual]]-DB_STProjectMonth[[#This Row],[Plan]]</f>
        <v>-11.813274999999976</v>
      </c>
      <c r="AF42">
        <f>IF(DB_STProjectMonth[[#This Row],[Plan]]&lt;&gt;0,DB_STProjectMonth[[#This Row],[Actual]]/DB_STProjectMonth[[#This Row],[Plan]],1.000011000011)</f>
        <v>0.91650789483123263</v>
      </c>
      <c r="AG42">
        <f>SUM(DB_STProjectMonth[[#This Row],[SumOfPlan01]:[SumOfPlan12]])/valUnits2</f>
        <v>141.48972499999996</v>
      </c>
      <c r="AH42">
        <f>SUMPRODUCT(DB_STProjectMonth[[#This Row],[SumOfAct01]:[SumOfAct12]],$Q$13:$AB$13)/valUnits2</f>
        <v>129.67644999999999</v>
      </c>
      <c r="AI42">
        <f>IF(DB_STProjectMonth[[#This Row],[FY Plan]]&lt;&gt;0,DB_STProjectMonth[[#This Row],[FY Actuals]]/DB_STProjectMonth[[#This Row],[FY Plan]],0)</f>
        <v>0.91650789483123263</v>
      </c>
    </row>
    <row r="43" spans="2:35" x14ac:dyDescent="0.2">
      <c r="B43" t="s">
        <v>346</v>
      </c>
      <c r="C43" t="s">
        <v>517</v>
      </c>
      <c r="D43" t="s">
        <v>517</v>
      </c>
      <c r="E43">
        <v>4215.1239999999998</v>
      </c>
      <c r="F43">
        <v>4144.5029999999997</v>
      </c>
      <c r="G43">
        <v>3940.9319999999998</v>
      </c>
      <c r="H43">
        <v>4317.5479999999998</v>
      </c>
      <c r="J43">
        <v>0</v>
      </c>
      <c r="Q43">
        <v>4152.79</v>
      </c>
      <c r="R43">
        <v>4231.41</v>
      </c>
      <c r="S43">
        <v>3977.1299999999997</v>
      </c>
      <c r="T43">
        <v>4292.93</v>
      </c>
      <c r="V43">
        <v>-12501.47</v>
      </c>
      <c r="AC43">
        <f>SUMPRODUCT(DB_STProjectMonth[[#This Row],[SumOfPlan01]:[SumOfPlan12]],$E$14:$P$14)/valUnits2</f>
        <v>16.618106999999998</v>
      </c>
      <c r="AD43">
        <f>SUMPRODUCT(DB_STProjectMonth[[#This Row],[SumOfAct01]:[SumOfAct12]],$Q$14:$AB$14)/valUnits2</f>
        <v>4.1527900000000031</v>
      </c>
      <c r="AE43">
        <f>DB_STProjectMonth[[#This Row],[Actual]]-DB_STProjectMonth[[#This Row],[Plan]]</f>
        <v>-12.465316999999995</v>
      </c>
      <c r="AF43">
        <f>IF(DB_STProjectMonth[[#This Row],[Plan]]&lt;&gt;0,DB_STProjectMonth[[#This Row],[Actual]]/DB_STProjectMonth[[#This Row],[Plan]],1.000011000011)</f>
        <v>0.24989549050322057</v>
      </c>
      <c r="AG43">
        <f>SUM(DB_STProjectMonth[[#This Row],[SumOfPlan01]:[SumOfPlan12]])/valUnits2</f>
        <v>16.618106999999998</v>
      </c>
      <c r="AH43">
        <f>SUMPRODUCT(DB_STProjectMonth[[#This Row],[SumOfAct01]:[SumOfAct12]],$Q$13:$AB$13)/valUnits2</f>
        <v>4.1527900000000031</v>
      </c>
      <c r="AI43">
        <f>IF(DB_STProjectMonth[[#This Row],[FY Plan]]&lt;&gt;0,DB_STProjectMonth[[#This Row],[FY Actuals]]/DB_STProjectMonth[[#This Row],[FY Plan]],0)</f>
        <v>0.24989549050322057</v>
      </c>
    </row>
    <row r="44" spans="2:35" x14ac:dyDescent="0.2">
      <c r="B44" t="s">
        <v>346</v>
      </c>
      <c r="C44" t="s">
        <v>518</v>
      </c>
      <c r="D44" t="s">
        <v>518</v>
      </c>
      <c r="E44">
        <v>106024.56199999993</v>
      </c>
      <c r="F44">
        <v>8349.2410000000036</v>
      </c>
      <c r="G44">
        <v>11612.538999999988</v>
      </c>
      <c r="H44">
        <v>256165.19500000004</v>
      </c>
      <c r="I44">
        <v>207520.21399999986</v>
      </c>
      <c r="J44">
        <v>211841.89100000003</v>
      </c>
      <c r="K44">
        <v>155685.67100000006</v>
      </c>
      <c r="L44">
        <v>154982.63300000003</v>
      </c>
      <c r="M44">
        <v>149030.36400000003</v>
      </c>
      <c r="N44">
        <v>154455.77500000014</v>
      </c>
      <c r="O44">
        <v>170815.2650000001</v>
      </c>
      <c r="P44">
        <v>157738.74600000007</v>
      </c>
      <c r="Q44">
        <v>103900.49000000002</v>
      </c>
      <c r="R44">
        <v>9760.9900000000143</v>
      </c>
      <c r="S44">
        <v>11703.33</v>
      </c>
      <c r="T44">
        <v>254791.46999999994</v>
      </c>
      <c r="U44">
        <v>207553.98999999996</v>
      </c>
      <c r="V44">
        <v>58573.75</v>
      </c>
      <c r="W44">
        <v>11032.87</v>
      </c>
      <c r="X44">
        <v>0</v>
      </c>
      <c r="Y44">
        <v>0</v>
      </c>
      <c r="Z44">
        <v>0</v>
      </c>
      <c r="AA44">
        <v>0</v>
      </c>
      <c r="AB44">
        <v>0</v>
      </c>
      <c r="AC44">
        <f>SUMPRODUCT(DB_STProjectMonth[[#This Row],[SumOfPlan01]:[SumOfPlan12]],$E$14:$P$14)/valUnits2</f>
        <v>801.51364199999989</v>
      </c>
      <c r="AD44">
        <f>SUMPRODUCT(DB_STProjectMonth[[#This Row],[SumOfAct01]:[SumOfAct12]],$Q$14:$AB$14)/valUnits2</f>
        <v>646.28401999999994</v>
      </c>
      <c r="AE44">
        <f>DB_STProjectMonth[[#This Row],[Actual]]-DB_STProjectMonth[[#This Row],[Plan]]</f>
        <v>-155.22962199999995</v>
      </c>
      <c r="AF44">
        <f>IF(DB_STProjectMonth[[#This Row],[Plan]]&lt;&gt;0,DB_STProjectMonth[[#This Row],[Actual]]/DB_STProjectMonth[[#This Row],[Plan]],1.000011000011)</f>
        <v>0.80632940742885073</v>
      </c>
      <c r="AG44">
        <f>SUM(DB_STProjectMonth[[#This Row],[SumOfPlan01]:[SumOfPlan12]])/valUnits2</f>
        <v>1744.2220960000004</v>
      </c>
      <c r="AH44">
        <f>SUMPRODUCT(DB_STProjectMonth[[#This Row],[SumOfAct01]:[SumOfAct12]],$Q$13:$AB$13)/valUnits2</f>
        <v>646.28401999999994</v>
      </c>
      <c r="AI44">
        <f>IF(DB_STProjectMonth[[#This Row],[FY Plan]]&lt;&gt;0,DB_STProjectMonth[[#This Row],[FY Actuals]]/DB_STProjectMonth[[#This Row],[FY Plan]],0)</f>
        <v>0.37052851324502417</v>
      </c>
    </row>
    <row r="45" spans="2:35" x14ac:dyDescent="0.2">
      <c r="B45" t="s">
        <v>347</v>
      </c>
      <c r="C45" t="s">
        <v>519</v>
      </c>
      <c r="D45" t="s">
        <v>519</v>
      </c>
      <c r="E45">
        <v>187926.91800000001</v>
      </c>
      <c r="F45">
        <v>141949.16299999997</v>
      </c>
      <c r="G45">
        <v>236742.48300000001</v>
      </c>
      <c r="H45">
        <v>1757676.8920000002</v>
      </c>
      <c r="I45">
        <v>275168.23100000003</v>
      </c>
      <c r="J45">
        <v>108620.31000000001</v>
      </c>
      <c r="K45">
        <v>1479389.5919999999</v>
      </c>
      <c r="L45">
        <v>136094.484</v>
      </c>
      <c r="M45">
        <v>136503.72400000002</v>
      </c>
      <c r="N45">
        <v>1373902.7700000003</v>
      </c>
      <c r="O45">
        <v>136094.484</v>
      </c>
      <c r="P45">
        <v>1490011.5620000002</v>
      </c>
      <c r="Q45">
        <v>103319.02</v>
      </c>
      <c r="R45">
        <v>58764.139999999992</v>
      </c>
      <c r="S45">
        <v>151338.06000000003</v>
      </c>
      <c r="T45">
        <v>94896.880000000019</v>
      </c>
      <c r="U45">
        <v>162444.39999999997</v>
      </c>
      <c r="V45">
        <v>2397676.6800000006</v>
      </c>
      <c r="W45">
        <v>5924.21</v>
      </c>
      <c r="X45">
        <v>0</v>
      </c>
      <c r="Y45">
        <v>0</v>
      </c>
      <c r="Z45">
        <v>0</v>
      </c>
      <c r="AA45">
        <v>0</v>
      </c>
      <c r="AB45">
        <v>0</v>
      </c>
      <c r="AC45">
        <f>SUMPRODUCT(DB_STProjectMonth[[#This Row],[SumOfPlan01]:[SumOfPlan12]],$E$14:$P$14)/valUnits2</f>
        <v>2708.0839970000006</v>
      </c>
      <c r="AD45">
        <f>SUMPRODUCT(DB_STProjectMonth[[#This Row],[SumOfAct01]:[SumOfAct12]],$Q$14:$AB$14)/valUnits2</f>
        <v>2968.4391800000008</v>
      </c>
      <c r="AE45">
        <f>DB_STProjectMonth[[#This Row],[Actual]]-DB_STProjectMonth[[#This Row],[Plan]]</f>
        <v>260.35518300000012</v>
      </c>
      <c r="AF45">
        <f>IF(DB_STProjectMonth[[#This Row],[Plan]]&lt;&gt;0,DB_STProjectMonth[[#This Row],[Actual]]/DB_STProjectMonth[[#This Row],[Plan]],1.000011000011)</f>
        <v>1.0961399953946849</v>
      </c>
      <c r="AG45">
        <f>SUM(DB_STProjectMonth[[#This Row],[SumOfPlan01]:[SumOfPlan12]])/valUnits2</f>
        <v>7460.0806130000019</v>
      </c>
      <c r="AH45">
        <f>SUMPRODUCT(DB_STProjectMonth[[#This Row],[SumOfAct01]:[SumOfAct12]],$Q$13:$AB$13)/valUnits2</f>
        <v>2968.4391800000008</v>
      </c>
      <c r="AI45">
        <f>IF(DB_STProjectMonth[[#This Row],[FY Plan]]&lt;&gt;0,DB_STProjectMonth[[#This Row],[FY Actuals]]/DB_STProjectMonth[[#This Row],[FY Plan]],0)</f>
        <v>0.39790979936961707</v>
      </c>
    </row>
    <row r="46" spans="2:35" x14ac:dyDescent="0.2">
      <c r="B46" t="s">
        <v>347</v>
      </c>
      <c r="C46" t="s">
        <v>520</v>
      </c>
      <c r="D46" t="s">
        <v>520</v>
      </c>
      <c r="E46">
        <v>-405.262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-387.54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f>SUMPRODUCT(DB_STProjectMonth[[#This Row],[SumOfPlan01]:[SumOfPlan12]],$E$14:$P$14)/valUnits2</f>
        <v>-0.40526200000000001</v>
      </c>
      <c r="AD46">
        <f>SUMPRODUCT(DB_STProjectMonth[[#This Row],[SumOfAct01]:[SumOfAct12]],$Q$14:$AB$14)/valUnits2</f>
        <v>-0.38754</v>
      </c>
      <c r="AE46">
        <f>DB_STProjectMonth[[#This Row],[Actual]]-DB_STProjectMonth[[#This Row],[Plan]]</f>
        <v>1.7722000000000016E-2</v>
      </c>
      <c r="AF46">
        <f>IF(DB_STProjectMonth[[#This Row],[Plan]]&lt;&gt;0,DB_STProjectMonth[[#This Row],[Actual]]/DB_STProjectMonth[[#This Row],[Plan]],1.000011000011)</f>
        <v>0.95627026466828857</v>
      </c>
      <c r="AG46">
        <f>SUM(DB_STProjectMonth[[#This Row],[SumOfPlan01]:[SumOfPlan12]])/valUnits2</f>
        <v>-0.40526200000000001</v>
      </c>
      <c r="AH46">
        <f>SUMPRODUCT(DB_STProjectMonth[[#This Row],[SumOfAct01]:[SumOfAct12]],$Q$13:$AB$13)/valUnits2</f>
        <v>-0.38754</v>
      </c>
      <c r="AI46">
        <f>IF(DB_STProjectMonth[[#This Row],[FY Plan]]&lt;&gt;0,DB_STProjectMonth[[#This Row],[FY Actuals]]/DB_STProjectMonth[[#This Row],[FY Plan]],0)</f>
        <v>0.95627026466828857</v>
      </c>
    </row>
    <row r="47" spans="2:35" x14ac:dyDescent="0.2">
      <c r="B47" t="s">
        <v>347</v>
      </c>
      <c r="C47" t="s">
        <v>521</v>
      </c>
      <c r="D47" t="s">
        <v>521</v>
      </c>
      <c r="H47">
        <v>62592.341999999997</v>
      </c>
      <c r="J47">
        <v>0</v>
      </c>
      <c r="K47">
        <v>50087.85</v>
      </c>
      <c r="T47">
        <v>0</v>
      </c>
      <c r="V47">
        <v>91478.83</v>
      </c>
      <c r="W47">
        <v>0</v>
      </c>
      <c r="AC47">
        <f>SUMPRODUCT(DB_STProjectMonth[[#This Row],[SumOfPlan01]:[SumOfPlan12]],$E$14:$P$14)/valUnits2</f>
        <v>62.592341999999995</v>
      </c>
      <c r="AD47">
        <f>SUMPRODUCT(DB_STProjectMonth[[#This Row],[SumOfAct01]:[SumOfAct12]],$Q$14:$AB$14)/valUnits2</f>
        <v>91.478830000000002</v>
      </c>
      <c r="AE47">
        <f>DB_STProjectMonth[[#This Row],[Actual]]-DB_STProjectMonth[[#This Row],[Plan]]</f>
        <v>28.886488000000007</v>
      </c>
      <c r="AF47">
        <f>IF(DB_STProjectMonth[[#This Row],[Plan]]&lt;&gt;0,DB_STProjectMonth[[#This Row],[Actual]]/DB_STProjectMonth[[#This Row],[Plan]],1.000011000011)</f>
        <v>1.4615019517882877</v>
      </c>
      <c r="AG47">
        <f>SUM(DB_STProjectMonth[[#This Row],[SumOfPlan01]:[SumOfPlan12]])/valUnits2</f>
        <v>112.68019199999999</v>
      </c>
      <c r="AH47">
        <f>SUMPRODUCT(DB_STProjectMonth[[#This Row],[SumOfAct01]:[SumOfAct12]],$Q$13:$AB$13)/valUnits2</f>
        <v>91.478830000000002</v>
      </c>
      <c r="AI47">
        <f>IF(DB_STProjectMonth[[#This Row],[FY Plan]]&lt;&gt;0,DB_STProjectMonth[[#This Row],[FY Actuals]]/DB_STProjectMonth[[#This Row],[FY Plan]],0)</f>
        <v>0.81184481829778932</v>
      </c>
    </row>
    <row r="48" spans="2:35" x14ac:dyDescent="0.2">
      <c r="B48" t="s">
        <v>348</v>
      </c>
      <c r="C48" t="s">
        <v>522</v>
      </c>
      <c r="D48" t="s">
        <v>522</v>
      </c>
      <c r="E48">
        <v>264861.68399999995</v>
      </c>
      <c r="F48">
        <v>683644.86999999976</v>
      </c>
      <c r="G48">
        <v>565996.826</v>
      </c>
      <c r="H48">
        <v>517259.69199999992</v>
      </c>
      <c r="I48">
        <v>446038.02100000001</v>
      </c>
      <c r="J48">
        <v>455644.06899999996</v>
      </c>
      <c r="K48">
        <v>465397.76800000016</v>
      </c>
      <c r="L48">
        <v>367514.42000000004</v>
      </c>
      <c r="M48">
        <v>370177.875</v>
      </c>
      <c r="N48">
        <v>366249.5</v>
      </c>
      <c r="O48">
        <v>368598.20499999996</v>
      </c>
      <c r="P48">
        <v>462776.86500000005</v>
      </c>
      <c r="Q48">
        <v>253336.87999999995</v>
      </c>
      <c r="R48">
        <v>685677.16</v>
      </c>
      <c r="S48">
        <v>550452.17999999993</v>
      </c>
      <c r="T48">
        <v>496943.06000000023</v>
      </c>
      <c r="U48">
        <v>430765.65000000031</v>
      </c>
      <c r="V48">
        <v>572792.22999999986</v>
      </c>
      <c r="W48">
        <v>37226.519999999997</v>
      </c>
      <c r="X48">
        <v>0</v>
      </c>
      <c r="Y48">
        <v>0</v>
      </c>
      <c r="Z48">
        <v>0</v>
      </c>
      <c r="AA48">
        <v>0</v>
      </c>
      <c r="AB48">
        <v>0</v>
      </c>
      <c r="AC48">
        <f>SUMPRODUCT(DB_STProjectMonth[[#This Row],[SumOfPlan01]:[SumOfPlan12]],$E$14:$P$14)/valUnits2</f>
        <v>2933.445162</v>
      </c>
      <c r="AD48">
        <f>SUMPRODUCT(DB_STProjectMonth[[#This Row],[SumOfAct01]:[SumOfAct12]],$Q$14:$AB$14)/valUnits2</f>
        <v>2989.9671600000006</v>
      </c>
      <c r="AE48">
        <f>DB_STProjectMonth[[#This Row],[Actual]]-DB_STProjectMonth[[#This Row],[Plan]]</f>
        <v>56.521998000000622</v>
      </c>
      <c r="AF48">
        <f>IF(DB_STProjectMonth[[#This Row],[Plan]]&lt;&gt;0,DB_STProjectMonth[[#This Row],[Actual]]/DB_STProjectMonth[[#This Row],[Plan]],1.000011000011)</f>
        <v>1.0192681283878047</v>
      </c>
      <c r="AG48">
        <f>SUM(DB_STProjectMonth[[#This Row],[SumOfPlan01]:[SumOfPlan12]])/valUnits2</f>
        <v>5334.1597949999996</v>
      </c>
      <c r="AH48">
        <f>SUMPRODUCT(DB_STProjectMonth[[#This Row],[SumOfAct01]:[SumOfAct12]],$Q$13:$AB$13)/valUnits2</f>
        <v>2989.9671600000006</v>
      </c>
      <c r="AI48">
        <f>IF(DB_STProjectMonth[[#This Row],[FY Plan]]&lt;&gt;0,DB_STProjectMonth[[#This Row],[FY Actuals]]/DB_STProjectMonth[[#This Row],[FY Plan]],0)</f>
        <v>0.56053198158830198</v>
      </c>
    </row>
    <row r="49" spans="2:35" x14ac:dyDescent="0.2">
      <c r="B49" t="s">
        <v>348</v>
      </c>
      <c r="C49" t="s">
        <v>523</v>
      </c>
      <c r="D49" t="s">
        <v>523</v>
      </c>
      <c r="E49">
        <v>8390.4229999999989</v>
      </c>
      <c r="F49">
        <v>18741.251999999993</v>
      </c>
      <c r="G49">
        <v>49257.298999999992</v>
      </c>
      <c r="H49">
        <v>24177.780999999999</v>
      </c>
      <c r="I49">
        <v>-9218.2069999999949</v>
      </c>
      <c r="J49">
        <v>30212.933000000005</v>
      </c>
      <c r="K49">
        <v>28416.590000000007</v>
      </c>
      <c r="L49">
        <v>28499.923000000003</v>
      </c>
      <c r="M49">
        <v>31760.597000000005</v>
      </c>
      <c r="N49">
        <v>38667.686999999998</v>
      </c>
      <c r="O49">
        <v>29813.327000000005</v>
      </c>
      <c r="P49">
        <v>26469.320000000007</v>
      </c>
      <c r="Q49">
        <v>3365.28</v>
      </c>
      <c r="R49">
        <v>13709.209999999995</v>
      </c>
      <c r="S49">
        <v>44005.420000000006</v>
      </c>
      <c r="T49">
        <v>19039.509999999987</v>
      </c>
      <c r="U49">
        <v>-14080.35</v>
      </c>
      <c r="V49">
        <v>5929.9400000000014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f>SUMPRODUCT(DB_STProjectMonth[[#This Row],[SumOfPlan01]:[SumOfPlan12]],$E$14:$P$14)/valUnits2</f>
        <v>121.561481</v>
      </c>
      <c r="AD49">
        <f>SUMPRODUCT(DB_STProjectMonth[[#This Row],[SumOfAct01]:[SumOfAct12]],$Q$14:$AB$14)/valUnits2</f>
        <v>71.969009999999983</v>
      </c>
      <c r="AE49">
        <f>DB_STProjectMonth[[#This Row],[Actual]]-DB_STProjectMonth[[#This Row],[Plan]]</f>
        <v>-49.592471000000018</v>
      </c>
      <c r="AF49">
        <f>IF(DB_STProjectMonth[[#This Row],[Plan]]&lt;&gt;0,DB_STProjectMonth[[#This Row],[Actual]]/DB_STProjectMonth[[#This Row],[Plan]],1.000011000011)</f>
        <v>0.59203794991605918</v>
      </c>
      <c r="AG49">
        <f>SUM(DB_STProjectMonth[[#This Row],[SumOfPlan01]:[SumOfPlan12]])/valUnits2</f>
        <v>305.18892500000004</v>
      </c>
      <c r="AH49">
        <f>SUMPRODUCT(DB_STProjectMonth[[#This Row],[SumOfAct01]:[SumOfAct12]],$Q$13:$AB$13)/valUnits2</f>
        <v>71.969009999999983</v>
      </c>
      <c r="AI49">
        <f>IF(DB_STProjectMonth[[#This Row],[FY Plan]]&lt;&gt;0,DB_STProjectMonth[[#This Row],[FY Actuals]]/DB_STProjectMonth[[#This Row],[FY Plan]],0)</f>
        <v>0.23581789542330206</v>
      </c>
    </row>
    <row r="50" spans="2:35" x14ac:dyDescent="0.2">
      <c r="B50" t="s">
        <v>349</v>
      </c>
      <c r="C50" t="s">
        <v>524</v>
      </c>
      <c r="D50" t="s">
        <v>524</v>
      </c>
      <c r="E50">
        <v>68742.570999999982</v>
      </c>
      <c r="F50">
        <v>330165.02999999997</v>
      </c>
      <c r="G50">
        <v>82012.757000000027</v>
      </c>
      <c r="H50">
        <v>289965.46399999998</v>
      </c>
      <c r="I50">
        <v>231654.43399999998</v>
      </c>
      <c r="J50">
        <v>200342.34899999993</v>
      </c>
      <c r="K50">
        <v>152175.60099999988</v>
      </c>
      <c r="L50">
        <v>144933.35299999997</v>
      </c>
      <c r="M50">
        <v>145102.51899999991</v>
      </c>
      <c r="N50">
        <v>164907.9599999999</v>
      </c>
      <c r="O50">
        <v>142905.10299999992</v>
      </c>
      <c r="P50">
        <v>142909.10299999997</v>
      </c>
      <c r="Q50">
        <v>66629.739999999962</v>
      </c>
      <c r="R50">
        <v>328252.40999999992</v>
      </c>
      <c r="S50">
        <v>80104.029999999941</v>
      </c>
      <c r="T50">
        <v>287749.62</v>
      </c>
      <c r="U50">
        <v>229681.77999999994</v>
      </c>
      <c r="V50">
        <v>846483.47999999986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f>SUMPRODUCT(DB_STProjectMonth[[#This Row],[SumOfPlan01]:[SumOfPlan12]],$E$14:$P$14)/valUnits2</f>
        <v>1202.882605</v>
      </c>
      <c r="AD50">
        <f>SUMPRODUCT(DB_STProjectMonth[[#This Row],[SumOfAct01]:[SumOfAct12]],$Q$14:$AB$14)/valUnits2</f>
        <v>1838.9010599999997</v>
      </c>
      <c r="AE50">
        <f>DB_STProjectMonth[[#This Row],[Actual]]-DB_STProjectMonth[[#This Row],[Plan]]</f>
        <v>636.01845499999968</v>
      </c>
      <c r="AF50">
        <f>IF(DB_STProjectMonth[[#This Row],[Plan]]&lt;&gt;0,DB_STProjectMonth[[#This Row],[Actual]]/DB_STProjectMonth[[#This Row],[Plan]],1.000011000011)</f>
        <v>1.5287452427662296</v>
      </c>
      <c r="AG50">
        <f>SUM(DB_STProjectMonth[[#This Row],[SumOfPlan01]:[SumOfPlan12]])/valUnits2</f>
        <v>2095.8162439999992</v>
      </c>
      <c r="AH50">
        <f>SUMPRODUCT(DB_STProjectMonth[[#This Row],[SumOfAct01]:[SumOfAct12]],$Q$13:$AB$13)/valUnits2</f>
        <v>1838.9010599999997</v>
      </c>
      <c r="AI50">
        <f>IF(DB_STProjectMonth[[#This Row],[FY Plan]]&lt;&gt;0,DB_STProjectMonth[[#This Row],[FY Actuals]]/DB_STProjectMonth[[#This Row],[FY Plan]],0)</f>
        <v>0.87741521484266172</v>
      </c>
    </row>
    <row r="51" spans="2:35" x14ac:dyDescent="0.2">
      <c r="B51" t="s">
        <v>349</v>
      </c>
      <c r="C51" t="s">
        <v>525</v>
      </c>
      <c r="D51" t="s">
        <v>525</v>
      </c>
      <c r="E51">
        <v>166415.59899999999</v>
      </c>
      <c r="F51">
        <v>6163.9379999999992</v>
      </c>
      <c r="G51">
        <v>246945.94300000009</v>
      </c>
      <c r="H51">
        <v>186113.20499999999</v>
      </c>
      <c r="I51">
        <v>41581.979000000036</v>
      </c>
      <c r="J51">
        <v>90653.274999999994</v>
      </c>
      <c r="Q51">
        <v>161805.75</v>
      </c>
      <c r="R51">
        <v>6313.0200000000295</v>
      </c>
      <c r="S51">
        <v>251728.22000000003</v>
      </c>
      <c r="T51">
        <v>186058.44</v>
      </c>
      <c r="U51">
        <v>41285.010000000097</v>
      </c>
      <c r="V51">
        <v>106040.29999999999</v>
      </c>
      <c r="AC51">
        <f>SUMPRODUCT(DB_STProjectMonth[[#This Row],[SumOfPlan01]:[SumOfPlan12]],$E$14:$P$14)/valUnits2</f>
        <v>737.87393900000018</v>
      </c>
      <c r="AD51">
        <f>SUMPRODUCT(DB_STProjectMonth[[#This Row],[SumOfAct01]:[SumOfAct12]],$Q$14:$AB$14)/valUnits2</f>
        <v>753.2307400000002</v>
      </c>
      <c r="AE51">
        <f>DB_STProjectMonth[[#This Row],[Actual]]-DB_STProjectMonth[[#This Row],[Plan]]</f>
        <v>15.356801000000019</v>
      </c>
      <c r="AF51">
        <f>IF(DB_STProjectMonth[[#This Row],[Plan]]&lt;&gt;0,DB_STProjectMonth[[#This Row],[Actual]]/DB_STProjectMonth[[#This Row],[Plan]],1.000011000011)</f>
        <v>1.020812228469286</v>
      </c>
      <c r="AG51">
        <f>SUM(DB_STProjectMonth[[#This Row],[SumOfPlan01]:[SumOfPlan12]])/valUnits2</f>
        <v>737.87393900000018</v>
      </c>
      <c r="AH51">
        <f>SUMPRODUCT(DB_STProjectMonth[[#This Row],[SumOfAct01]:[SumOfAct12]],$Q$13:$AB$13)/valUnits2</f>
        <v>753.2307400000002</v>
      </c>
      <c r="AI51">
        <f>IF(DB_STProjectMonth[[#This Row],[FY Plan]]&lt;&gt;0,DB_STProjectMonth[[#This Row],[FY Actuals]]/DB_STProjectMonth[[#This Row],[FY Plan]],0)</f>
        <v>1.020812228469286</v>
      </c>
    </row>
    <row r="52" spans="2:35" x14ac:dyDescent="0.2">
      <c r="B52" t="s">
        <v>350</v>
      </c>
      <c r="C52" t="s">
        <v>526</v>
      </c>
      <c r="D52" t="s">
        <v>526</v>
      </c>
      <c r="E52">
        <v>7645.4629999999997</v>
      </c>
      <c r="F52">
        <v>46426.638999999996</v>
      </c>
      <c r="G52">
        <v>33893.427000000003</v>
      </c>
      <c r="H52">
        <v>36835.581999999995</v>
      </c>
      <c r="I52">
        <v>15864.328000000001</v>
      </c>
      <c r="J52">
        <v>18977.992999999999</v>
      </c>
      <c r="K52">
        <v>18977.992999999995</v>
      </c>
      <c r="L52">
        <v>18977.992999999999</v>
      </c>
      <c r="M52">
        <v>18873.941999999999</v>
      </c>
      <c r="N52">
        <v>13176.306000000002</v>
      </c>
      <c r="O52">
        <v>12401.175000000003</v>
      </c>
      <c r="P52">
        <v>12401.175000000001</v>
      </c>
      <c r="Q52">
        <v>6226.93</v>
      </c>
      <c r="R52">
        <v>45092.259999999995</v>
      </c>
      <c r="S52">
        <v>32033.759999999991</v>
      </c>
      <c r="T52">
        <v>34549.920000000006</v>
      </c>
      <c r="U52">
        <v>13949.939999999999</v>
      </c>
      <c r="V52">
        <v>11746.87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f>SUMPRODUCT(DB_STProjectMonth[[#This Row],[SumOfPlan01]:[SumOfPlan12]],$E$14:$P$14)/valUnits2</f>
        <v>159.64343199999999</v>
      </c>
      <c r="AD52">
        <f>SUMPRODUCT(DB_STProjectMonth[[#This Row],[SumOfAct01]:[SumOfAct12]],$Q$14:$AB$14)/valUnits2</f>
        <v>143.59968000000001</v>
      </c>
      <c r="AE52">
        <f>DB_STProjectMonth[[#This Row],[Actual]]-DB_STProjectMonth[[#This Row],[Plan]]</f>
        <v>-16.043751999999984</v>
      </c>
      <c r="AF52">
        <f>IF(DB_STProjectMonth[[#This Row],[Plan]]&lt;&gt;0,DB_STProjectMonth[[#This Row],[Actual]]/DB_STProjectMonth[[#This Row],[Plan]],1.000011000011)</f>
        <v>0.8995025864891204</v>
      </c>
      <c r="AG52">
        <f>SUM(DB_STProjectMonth[[#This Row],[SumOfPlan01]:[SumOfPlan12]])/valUnits2</f>
        <v>254.45201600000001</v>
      </c>
      <c r="AH52">
        <f>SUMPRODUCT(DB_STProjectMonth[[#This Row],[SumOfAct01]:[SumOfAct12]],$Q$13:$AB$13)/valUnits2</f>
        <v>143.59968000000001</v>
      </c>
      <c r="AI52">
        <f>IF(DB_STProjectMonth[[#This Row],[FY Plan]]&lt;&gt;0,DB_STProjectMonth[[#This Row],[FY Actuals]]/DB_STProjectMonth[[#This Row],[FY Plan]],0)</f>
        <v>0.56434876114324051</v>
      </c>
    </row>
    <row r="53" spans="2:35" x14ac:dyDescent="0.2">
      <c r="B53" t="s">
        <v>350</v>
      </c>
      <c r="C53" t="s">
        <v>527</v>
      </c>
      <c r="D53" t="s">
        <v>527</v>
      </c>
      <c r="E53">
        <v>1194.347</v>
      </c>
      <c r="F53">
        <v>104245.12699999999</v>
      </c>
      <c r="G53">
        <v>80304.293000000005</v>
      </c>
      <c r="H53">
        <v>-156547.37300000002</v>
      </c>
      <c r="I53">
        <v>13286.019000000008</v>
      </c>
      <c r="J53">
        <v>6776.2659999999996</v>
      </c>
      <c r="K53">
        <v>6776.2659999999996</v>
      </c>
      <c r="L53">
        <v>6776.2659999999996</v>
      </c>
      <c r="M53">
        <v>6776.2660000000005</v>
      </c>
      <c r="N53">
        <v>6776.2660000000005</v>
      </c>
      <c r="O53">
        <v>6776.2659999999996</v>
      </c>
      <c r="P53">
        <v>6776.2659999999996</v>
      </c>
      <c r="Q53">
        <v>27.68</v>
      </c>
      <c r="R53">
        <v>103078.46</v>
      </c>
      <c r="S53">
        <v>79382.249999999985</v>
      </c>
      <c r="T53">
        <v>-157904.17000000004</v>
      </c>
      <c r="U53">
        <v>12283.020000000006</v>
      </c>
      <c r="V53">
        <v>-1413.2700000000009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f>SUMPRODUCT(DB_STProjectMonth[[#This Row],[SumOfPlan01]:[SumOfPlan12]],$E$14:$P$14)/valUnits2</f>
        <v>49.258678999999972</v>
      </c>
      <c r="AD53">
        <f>SUMPRODUCT(DB_STProjectMonth[[#This Row],[SumOfAct01]:[SumOfAct12]],$Q$14:$AB$14)/valUnits2</f>
        <v>35.453969999999941</v>
      </c>
      <c r="AE53">
        <f>DB_STProjectMonth[[#This Row],[Actual]]-DB_STProjectMonth[[#This Row],[Plan]]</f>
        <v>-13.804709000000031</v>
      </c>
      <c r="AF53">
        <f>IF(DB_STProjectMonth[[#This Row],[Plan]]&lt;&gt;0,DB_STProjectMonth[[#This Row],[Actual]]/DB_STProjectMonth[[#This Row],[Plan]],1.000011000011)</f>
        <v>0.71975072656739258</v>
      </c>
      <c r="AG53">
        <f>SUM(DB_STProjectMonth[[#This Row],[SumOfPlan01]:[SumOfPlan12]])/valUnits2</f>
        <v>89.916274999999999</v>
      </c>
      <c r="AH53">
        <f>SUMPRODUCT(DB_STProjectMonth[[#This Row],[SumOfAct01]:[SumOfAct12]],$Q$13:$AB$13)/valUnits2</f>
        <v>35.453969999999941</v>
      </c>
      <c r="AI53">
        <f>IF(DB_STProjectMonth[[#This Row],[FY Plan]]&lt;&gt;0,DB_STProjectMonth[[#This Row],[FY Actuals]]/DB_STProjectMonth[[#This Row],[FY Plan]],0)</f>
        <v>0.39429980834948891</v>
      </c>
    </row>
    <row r="54" spans="2:35" x14ac:dyDescent="0.2">
      <c r="B54" t="s">
        <v>350</v>
      </c>
      <c r="C54" t="s">
        <v>528</v>
      </c>
      <c r="D54" t="s">
        <v>528</v>
      </c>
      <c r="E54">
        <v>362.40800000000002</v>
      </c>
      <c r="F54">
        <v>371.08699999999999</v>
      </c>
      <c r="G54">
        <v>1466.7360000000001</v>
      </c>
      <c r="H54">
        <v>347.59</v>
      </c>
      <c r="I54">
        <v>298.589</v>
      </c>
      <c r="J54">
        <v>295.84000000000003</v>
      </c>
      <c r="K54">
        <v>295.83999999999997</v>
      </c>
      <c r="L54">
        <v>295.84000000000003</v>
      </c>
      <c r="M54">
        <v>295.83999999999997</v>
      </c>
      <c r="N54">
        <v>295.83999999999997</v>
      </c>
      <c r="O54">
        <v>295.83999999999997</v>
      </c>
      <c r="P54">
        <v>295.83999999999997</v>
      </c>
      <c r="Q54">
        <v>362.42</v>
      </c>
      <c r="R54">
        <v>369.39</v>
      </c>
      <c r="S54">
        <v>1459.06</v>
      </c>
      <c r="T54">
        <v>347.59</v>
      </c>
      <c r="U54">
        <v>297.65000000000003</v>
      </c>
      <c r="V54">
        <v>612.29999999999995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f>SUMPRODUCT(DB_STProjectMonth[[#This Row],[SumOfPlan01]:[SumOfPlan12]],$E$14:$P$14)/valUnits2</f>
        <v>3.1422500000000007</v>
      </c>
      <c r="AD54">
        <f>SUMPRODUCT(DB_STProjectMonth[[#This Row],[SumOfAct01]:[SumOfAct12]],$Q$14:$AB$14)/valUnits2</f>
        <v>3.44841</v>
      </c>
      <c r="AE54">
        <f>DB_STProjectMonth[[#This Row],[Actual]]-DB_STProjectMonth[[#This Row],[Plan]]</f>
        <v>0.30615999999999932</v>
      </c>
      <c r="AF54">
        <f>IF(DB_STProjectMonth[[#This Row],[Plan]]&lt;&gt;0,DB_STProjectMonth[[#This Row],[Actual]]/DB_STProjectMonth[[#This Row],[Plan]],1.000011000011)</f>
        <v>1.0974333678096904</v>
      </c>
      <c r="AG54">
        <f>SUM(DB_STProjectMonth[[#This Row],[SumOfPlan01]:[SumOfPlan12]])/valUnits2</f>
        <v>4.9172900000000013</v>
      </c>
      <c r="AH54">
        <f>SUMPRODUCT(DB_STProjectMonth[[#This Row],[SumOfAct01]:[SumOfAct12]],$Q$13:$AB$13)/valUnits2</f>
        <v>3.44841</v>
      </c>
      <c r="AI54">
        <f>IF(DB_STProjectMonth[[#This Row],[FY Plan]]&lt;&gt;0,DB_STProjectMonth[[#This Row],[FY Actuals]]/DB_STProjectMonth[[#This Row],[FY Plan]],0)</f>
        <v>0.70128261705126183</v>
      </c>
    </row>
    <row r="55" spans="2:35" x14ac:dyDescent="0.2">
      <c r="B55" t="s">
        <v>342</v>
      </c>
      <c r="C55" t="s">
        <v>490</v>
      </c>
      <c r="D55" t="s">
        <v>965</v>
      </c>
      <c r="G55">
        <v>-672.90200000000004</v>
      </c>
      <c r="S55">
        <v>-663.63</v>
      </c>
      <c r="AC55">
        <f>SUMPRODUCT(DB_STProjectMonth[[#This Row],[SumOfPlan01]:[SumOfPlan12]],$E$14:$P$14)/valUnits2</f>
        <v>-0.672902</v>
      </c>
      <c r="AD55">
        <f>SUMPRODUCT(DB_STProjectMonth[[#This Row],[SumOfAct01]:[SumOfAct12]],$Q$14:$AB$14)/valUnits2</f>
        <v>-0.66362999999999994</v>
      </c>
      <c r="AE55">
        <f>DB_STProjectMonth[[#This Row],[Actual]]-DB_STProjectMonth[[#This Row],[Plan]]</f>
        <v>9.272000000000058E-3</v>
      </c>
      <c r="AF55">
        <f>IF(DB_STProjectMonth[[#This Row],[Plan]]&lt;&gt;0,DB_STProjectMonth[[#This Row],[Actual]]/DB_STProjectMonth[[#This Row],[Plan]],1.000011000011)</f>
        <v>0.98622087614541187</v>
      </c>
      <c r="AG55">
        <f>SUM(DB_STProjectMonth[[#This Row],[SumOfPlan01]:[SumOfPlan12]])/valUnits2</f>
        <v>-0.672902</v>
      </c>
      <c r="AH55">
        <f>SUMPRODUCT(DB_STProjectMonth[[#This Row],[SumOfAct01]:[SumOfAct12]],$Q$13:$AB$13)/valUnits2</f>
        <v>-0.66362999999999994</v>
      </c>
      <c r="AI55">
        <f>IF(DB_STProjectMonth[[#This Row],[FY Plan]]&lt;&gt;0,DB_STProjectMonth[[#This Row],[FY Actuals]]/DB_STProjectMonth[[#This Row],[FY Plan]],0)</f>
        <v>0.98622087614541187</v>
      </c>
    </row>
    <row r="56" spans="2:35" x14ac:dyDescent="0.2">
      <c r="B56" t="s">
        <v>342</v>
      </c>
      <c r="C56" t="s">
        <v>490</v>
      </c>
      <c r="D56" t="s">
        <v>969</v>
      </c>
      <c r="E56">
        <v>65766.760000000009</v>
      </c>
      <c r="F56">
        <v>514652.18199999997</v>
      </c>
      <c r="G56">
        <v>73374.673999999985</v>
      </c>
      <c r="H56">
        <v>245683.70400000003</v>
      </c>
      <c r="I56">
        <v>862070.7639999995</v>
      </c>
      <c r="J56">
        <v>411769.67399999982</v>
      </c>
      <c r="K56">
        <v>845590.31500000018</v>
      </c>
      <c r="L56">
        <v>455236.6329999998</v>
      </c>
      <c r="M56">
        <v>729172.94100000011</v>
      </c>
      <c r="N56">
        <v>699693.15400000021</v>
      </c>
      <c r="O56">
        <v>594081.8060000001</v>
      </c>
      <c r="P56">
        <v>868483.57100000011</v>
      </c>
      <c r="Q56">
        <v>55130.33</v>
      </c>
      <c r="R56">
        <v>518725.89999999997</v>
      </c>
      <c r="S56">
        <v>63570.610000000044</v>
      </c>
      <c r="T56">
        <v>235346.51000000004</v>
      </c>
      <c r="U56">
        <v>850292.76000000024</v>
      </c>
      <c r="V56">
        <v>336151.57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f>SUMPRODUCT(DB_STProjectMonth[[#This Row],[SumOfPlan01]:[SumOfPlan12]],$E$14:$P$14)/valUnits2</f>
        <v>2173.3177579999992</v>
      </c>
      <c r="AD56">
        <f>SUMPRODUCT(DB_STProjectMonth[[#This Row],[SumOfAct01]:[SumOfAct12]],$Q$14:$AB$14)/valUnits2</f>
        <v>2059.2176800000002</v>
      </c>
      <c r="AE56">
        <f>DB_STProjectMonth[[#This Row],[Actual]]-DB_STProjectMonth[[#This Row],[Plan]]</f>
        <v>-114.10007799999903</v>
      </c>
      <c r="AF56">
        <f>IF(DB_STProjectMonth[[#This Row],[Plan]]&lt;&gt;0,DB_STProjectMonth[[#This Row],[Actual]]/DB_STProjectMonth[[#This Row],[Plan]],1.000011000011)</f>
        <v>0.94749958786284438</v>
      </c>
      <c r="AG56">
        <f>SUM(DB_STProjectMonth[[#This Row],[SumOfPlan01]:[SumOfPlan12]])/valUnits2</f>
        <v>6365.5761780000003</v>
      </c>
      <c r="AH56">
        <f>SUMPRODUCT(DB_STProjectMonth[[#This Row],[SumOfAct01]:[SumOfAct12]],$Q$13:$AB$13)/valUnits2</f>
        <v>2059.2176800000002</v>
      </c>
      <c r="AI56">
        <f>IF(DB_STProjectMonth[[#This Row],[FY Plan]]&lt;&gt;0,DB_STProjectMonth[[#This Row],[FY Actuals]]/DB_STProjectMonth[[#This Row],[FY Plan]],0)</f>
        <v>0.32349274007855572</v>
      </c>
    </row>
    <row r="57" spans="2:35" x14ac:dyDescent="0.2">
      <c r="B57" t="s">
        <v>342</v>
      </c>
      <c r="C57" t="s">
        <v>490</v>
      </c>
      <c r="D57" t="s">
        <v>992</v>
      </c>
      <c r="E57">
        <v>2044.96</v>
      </c>
      <c r="F57">
        <v>2208.4100000000003</v>
      </c>
      <c r="G57">
        <v>2607.0700000000002</v>
      </c>
      <c r="H57">
        <v>8851.840000000002</v>
      </c>
      <c r="I57">
        <v>4353.82</v>
      </c>
      <c r="J57">
        <v>2675.0009999999997</v>
      </c>
      <c r="K57">
        <v>2675.0009999999997</v>
      </c>
      <c r="L57">
        <v>3250.0009999999997</v>
      </c>
      <c r="M57">
        <v>2675.0009999999997</v>
      </c>
      <c r="N57">
        <v>2675.0009999999997</v>
      </c>
      <c r="O57">
        <v>2675.0009999999997</v>
      </c>
      <c r="P57">
        <v>2675.0009999999997</v>
      </c>
      <c r="Q57">
        <v>2044.96</v>
      </c>
      <c r="R57">
        <v>2208.41</v>
      </c>
      <c r="S57">
        <v>2800.68</v>
      </c>
      <c r="T57">
        <v>8973.9300000000021</v>
      </c>
      <c r="U57">
        <v>5481.2200000000012</v>
      </c>
      <c r="V57">
        <v>12525.359999999999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f>SUMPRODUCT(DB_STProjectMonth[[#This Row],[SumOfPlan01]:[SumOfPlan12]],$E$14:$P$14)/valUnits2</f>
        <v>22.741101000000004</v>
      </c>
      <c r="AD57">
        <f>SUMPRODUCT(DB_STProjectMonth[[#This Row],[SumOfAct01]:[SumOfAct12]],$Q$14:$AB$14)/valUnits2</f>
        <v>34.034560000000006</v>
      </c>
      <c r="AE57">
        <f>DB_STProjectMonth[[#This Row],[Actual]]-DB_STProjectMonth[[#This Row],[Plan]]</f>
        <v>11.293459000000002</v>
      </c>
      <c r="AF57">
        <f>IF(DB_STProjectMonth[[#This Row],[Plan]]&lt;&gt;0,DB_STProjectMonth[[#This Row],[Actual]]/DB_STProjectMonth[[#This Row],[Plan]],1.000011000011)</f>
        <v>1.4966100366028892</v>
      </c>
      <c r="AG57">
        <f>SUM(DB_STProjectMonth[[#This Row],[SumOfPlan01]:[SumOfPlan12]])/valUnits2</f>
        <v>39.366107</v>
      </c>
      <c r="AH57">
        <f>SUMPRODUCT(DB_STProjectMonth[[#This Row],[SumOfAct01]:[SumOfAct12]],$Q$13:$AB$13)/valUnits2</f>
        <v>34.034560000000006</v>
      </c>
      <c r="AI57">
        <f>IF(DB_STProjectMonth[[#This Row],[FY Plan]]&lt;&gt;0,DB_STProjectMonth[[#This Row],[FY Actuals]]/DB_STProjectMonth[[#This Row],[FY Plan]],0)</f>
        <v>0.86456504322360361</v>
      </c>
    </row>
    <row r="58" spans="2:35" x14ac:dyDescent="0.2">
      <c r="B58" t="s">
        <v>342</v>
      </c>
      <c r="C58" t="s">
        <v>490</v>
      </c>
      <c r="D58" t="s">
        <v>997</v>
      </c>
      <c r="E58">
        <v>14713.720999999992</v>
      </c>
      <c r="F58">
        <v>64875.018999999971</v>
      </c>
      <c r="G58">
        <v>30457.132000000001</v>
      </c>
      <c r="H58">
        <v>19638.601999999999</v>
      </c>
      <c r="I58">
        <v>-33593.120999999985</v>
      </c>
      <c r="J58">
        <v>2163.116</v>
      </c>
      <c r="K58">
        <v>1569.923</v>
      </c>
      <c r="L58">
        <v>1416.6669999999999</v>
      </c>
      <c r="M58">
        <v>1416.6669999999999</v>
      </c>
      <c r="N58">
        <v>1416.6669999999999</v>
      </c>
      <c r="O58">
        <v>1416.6669999999999</v>
      </c>
      <c r="P58">
        <v>1416.6669999999999</v>
      </c>
      <c r="Q58">
        <v>13278.270000000008</v>
      </c>
      <c r="R58">
        <v>65002.159999999967</v>
      </c>
      <c r="S58">
        <v>29389.32</v>
      </c>
      <c r="T58">
        <v>18207.579999999998</v>
      </c>
      <c r="U58">
        <v>-35489.64</v>
      </c>
      <c r="V58">
        <v>4203.3499999999967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f>SUMPRODUCT(DB_STProjectMonth[[#This Row],[SumOfPlan01]:[SumOfPlan12]],$E$14:$P$14)/valUnits2</f>
        <v>98.254468999999972</v>
      </c>
      <c r="AD58">
        <f>SUMPRODUCT(DB_STProjectMonth[[#This Row],[SumOfAct01]:[SumOfAct12]],$Q$14:$AB$14)/valUnits2</f>
        <v>94.591039999999964</v>
      </c>
      <c r="AE58">
        <f>DB_STProjectMonth[[#This Row],[Actual]]-DB_STProjectMonth[[#This Row],[Plan]]</f>
        <v>-3.6634290000000078</v>
      </c>
      <c r="AF58">
        <f>IF(DB_STProjectMonth[[#This Row],[Plan]]&lt;&gt;0,DB_STProjectMonth[[#This Row],[Actual]]/DB_STProjectMonth[[#This Row],[Plan]],1.000011000011)</f>
        <v>0.96271488679054373</v>
      </c>
      <c r="AG58">
        <f>SUM(DB_STProjectMonth[[#This Row],[SumOfPlan01]:[SumOfPlan12]])/valUnits2</f>
        <v>106.90772699999997</v>
      </c>
      <c r="AH58">
        <f>SUMPRODUCT(DB_STProjectMonth[[#This Row],[SumOfAct01]:[SumOfAct12]],$Q$13:$AB$13)/valUnits2</f>
        <v>94.591039999999964</v>
      </c>
      <c r="AI58">
        <f>IF(DB_STProjectMonth[[#This Row],[FY Plan]]&lt;&gt;0,DB_STProjectMonth[[#This Row],[FY Actuals]]/DB_STProjectMonth[[#This Row],[FY Plan]],0)</f>
        <v>0.88479142391643961</v>
      </c>
    </row>
    <row r="59" spans="2:35" x14ac:dyDescent="0.2">
      <c r="B59" t="s">
        <v>342</v>
      </c>
      <c r="C59" t="s">
        <v>491</v>
      </c>
      <c r="D59" t="s">
        <v>958</v>
      </c>
      <c r="E59">
        <v>84014.687999999951</v>
      </c>
      <c r="F59">
        <v>134799.62800000003</v>
      </c>
      <c r="G59">
        <v>-8622.4929999999695</v>
      </c>
      <c r="H59">
        <v>88570.839000000007</v>
      </c>
      <c r="I59">
        <v>15368.525999999987</v>
      </c>
      <c r="J59">
        <v>104421.75699999998</v>
      </c>
      <c r="K59">
        <v>80108.846000000005</v>
      </c>
      <c r="L59">
        <v>79158.816000000006</v>
      </c>
      <c r="M59">
        <v>72353.260000000009</v>
      </c>
      <c r="N59">
        <v>68565.23599999999</v>
      </c>
      <c r="O59">
        <v>71895.165000000008</v>
      </c>
      <c r="P59">
        <v>68565.236000000004</v>
      </c>
      <c r="Q59">
        <v>82322.100000000093</v>
      </c>
      <c r="R59">
        <v>139092.03000000009</v>
      </c>
      <c r="S59">
        <v>-9515.3400000000402</v>
      </c>
      <c r="T59">
        <v>88545.74000000002</v>
      </c>
      <c r="U59">
        <v>15213.529999999995</v>
      </c>
      <c r="V59">
        <v>15540.219999999954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f>SUMPRODUCT(DB_STProjectMonth[[#This Row],[SumOfPlan01]:[SumOfPlan12]],$E$14:$P$14)/valUnits2</f>
        <v>418.55294500000002</v>
      </c>
      <c r="AD59">
        <f>SUMPRODUCT(DB_STProjectMonth[[#This Row],[SumOfAct01]:[SumOfAct12]],$Q$14:$AB$14)/valUnits2</f>
        <v>331.19828000000007</v>
      </c>
      <c r="AE59">
        <f>DB_STProjectMonth[[#This Row],[Actual]]-DB_STProjectMonth[[#This Row],[Plan]]</f>
        <v>-87.354664999999954</v>
      </c>
      <c r="AF59">
        <f>IF(DB_STProjectMonth[[#This Row],[Plan]]&lt;&gt;0,DB_STProjectMonth[[#This Row],[Actual]]/DB_STProjectMonth[[#This Row],[Plan]],1.000011000011)</f>
        <v>0.79129363192032987</v>
      </c>
      <c r="AG59">
        <f>SUM(DB_STProjectMonth[[#This Row],[SumOfPlan01]:[SumOfPlan12]])/valUnits2</f>
        <v>859.19950400000016</v>
      </c>
      <c r="AH59">
        <f>SUMPRODUCT(DB_STProjectMonth[[#This Row],[SumOfAct01]:[SumOfAct12]],$Q$13:$AB$13)/valUnits2</f>
        <v>331.19828000000007</v>
      </c>
      <c r="AI59">
        <f>IF(DB_STProjectMonth[[#This Row],[FY Plan]]&lt;&gt;0,DB_STProjectMonth[[#This Row],[FY Actuals]]/DB_STProjectMonth[[#This Row],[FY Plan]],0)</f>
        <v>0.38547308099935773</v>
      </c>
    </row>
    <row r="60" spans="2:35" x14ac:dyDescent="0.2">
      <c r="B60" t="s">
        <v>342</v>
      </c>
      <c r="C60" t="s">
        <v>491</v>
      </c>
      <c r="D60" t="s">
        <v>988</v>
      </c>
      <c r="E60">
        <v>70081.046999999991</v>
      </c>
      <c r="F60">
        <v>165380.74499999994</v>
      </c>
      <c r="G60">
        <v>297212.17399999971</v>
      </c>
      <c r="H60">
        <v>468266.96799999994</v>
      </c>
      <c r="I60">
        <v>250625.07999999993</v>
      </c>
      <c r="J60">
        <v>203590.66299999985</v>
      </c>
      <c r="K60">
        <v>245034.39599999992</v>
      </c>
      <c r="L60">
        <v>213198.35199999996</v>
      </c>
      <c r="M60">
        <v>215667.80799999993</v>
      </c>
      <c r="N60">
        <v>206146.75899999996</v>
      </c>
      <c r="O60">
        <v>239213.33899999995</v>
      </c>
      <c r="P60">
        <v>189870.55299999987</v>
      </c>
      <c r="Q60">
        <v>65489.800000000032</v>
      </c>
      <c r="R60">
        <v>167308.02000000008</v>
      </c>
      <c r="S60">
        <v>288796.15999999997</v>
      </c>
      <c r="T60">
        <v>459014.25999999995</v>
      </c>
      <c r="U60">
        <v>237743.12999999995</v>
      </c>
      <c r="V60">
        <v>73165.090000000127</v>
      </c>
      <c r="W60">
        <v>54335.56</v>
      </c>
      <c r="X60">
        <v>0</v>
      </c>
      <c r="Y60">
        <v>0</v>
      </c>
      <c r="Z60">
        <v>0</v>
      </c>
      <c r="AA60">
        <v>0</v>
      </c>
      <c r="AB60">
        <v>0</v>
      </c>
      <c r="AC60">
        <f>SUMPRODUCT(DB_STProjectMonth[[#This Row],[SumOfPlan01]:[SumOfPlan12]],$E$14:$P$14)/valUnits2</f>
        <v>1455.1566769999995</v>
      </c>
      <c r="AD60">
        <f>SUMPRODUCT(DB_STProjectMonth[[#This Row],[SumOfAct01]:[SumOfAct12]],$Q$14:$AB$14)/valUnits2</f>
        <v>1291.5164600000001</v>
      </c>
      <c r="AE60">
        <f>DB_STProjectMonth[[#This Row],[Actual]]-DB_STProjectMonth[[#This Row],[Plan]]</f>
        <v>-163.64021699999944</v>
      </c>
      <c r="AF60">
        <f>IF(DB_STProjectMonth[[#This Row],[Plan]]&lt;&gt;0,DB_STProjectMonth[[#This Row],[Actual]]/DB_STProjectMonth[[#This Row],[Plan]],1.000011000011)</f>
        <v>0.88754460630496113</v>
      </c>
      <c r="AG60">
        <f>SUM(DB_STProjectMonth[[#This Row],[SumOfPlan01]:[SumOfPlan12]])/valUnits2</f>
        <v>2764.2878839999989</v>
      </c>
      <c r="AH60">
        <f>SUMPRODUCT(DB_STProjectMonth[[#This Row],[SumOfAct01]:[SumOfAct12]],$Q$13:$AB$13)/valUnits2</f>
        <v>1291.5164600000001</v>
      </c>
      <c r="AI60">
        <f>IF(DB_STProjectMonth[[#This Row],[FY Plan]]&lt;&gt;0,DB_STProjectMonth[[#This Row],[FY Actuals]]/DB_STProjectMonth[[#This Row],[FY Plan]],0)</f>
        <v>0.46721489012611123</v>
      </c>
    </row>
    <row r="61" spans="2:35" x14ac:dyDescent="0.2">
      <c r="B61" t="s">
        <v>342</v>
      </c>
      <c r="C61" t="s">
        <v>492</v>
      </c>
      <c r="D61" t="s">
        <v>982</v>
      </c>
      <c r="E61">
        <v>440757.31299999985</v>
      </c>
      <c r="F61">
        <v>103798.72800000002</v>
      </c>
      <c r="G61">
        <v>108780.56999999996</v>
      </c>
      <c r="H61">
        <v>119426.92799999999</v>
      </c>
      <c r="I61">
        <v>351093.42799999996</v>
      </c>
      <c r="J61">
        <v>325386.22600000002</v>
      </c>
      <c r="K61">
        <v>250033.73200000002</v>
      </c>
      <c r="L61">
        <v>222259.22200000004</v>
      </c>
      <c r="M61">
        <v>244876.18399999998</v>
      </c>
      <c r="N61">
        <v>228024.742</v>
      </c>
      <c r="O61">
        <v>209195.40800000005</v>
      </c>
      <c r="P61">
        <v>208734.23900000003</v>
      </c>
      <c r="Q61">
        <v>437260.88000000012</v>
      </c>
      <c r="R61">
        <v>100274.65999999987</v>
      </c>
      <c r="S61">
        <v>93147.880000000063</v>
      </c>
      <c r="T61">
        <v>104145.76000000004</v>
      </c>
      <c r="U61">
        <v>336050.0799999999</v>
      </c>
      <c r="V61">
        <v>218065.28999999992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f>SUMPRODUCT(DB_STProjectMonth[[#This Row],[SumOfPlan01]:[SumOfPlan12]],$E$14:$P$14)/valUnits2</f>
        <v>1449.2431929999998</v>
      </c>
      <c r="AD61">
        <f>SUMPRODUCT(DB_STProjectMonth[[#This Row],[SumOfAct01]:[SumOfAct12]],$Q$14:$AB$14)/valUnits2</f>
        <v>1288.9445499999997</v>
      </c>
      <c r="AE61">
        <f>DB_STProjectMonth[[#This Row],[Actual]]-DB_STProjectMonth[[#This Row],[Plan]]</f>
        <v>-160.29864300000008</v>
      </c>
      <c r="AF61">
        <f>IF(DB_STProjectMonth[[#This Row],[Plan]]&lt;&gt;0,DB_STProjectMonth[[#This Row],[Actual]]/DB_STProjectMonth[[#This Row],[Plan]],1.000011000011)</f>
        <v>0.8893914811715109</v>
      </c>
      <c r="AG61">
        <f>SUM(DB_STProjectMonth[[#This Row],[SumOfPlan01]:[SumOfPlan12]])/valUnits2</f>
        <v>2812.3667199999995</v>
      </c>
      <c r="AH61">
        <f>SUMPRODUCT(DB_STProjectMonth[[#This Row],[SumOfAct01]:[SumOfAct12]],$Q$13:$AB$13)/valUnits2</f>
        <v>1288.9445499999997</v>
      </c>
      <c r="AI61">
        <f>IF(DB_STProjectMonth[[#This Row],[FY Plan]]&lt;&gt;0,DB_STProjectMonth[[#This Row],[FY Actuals]]/DB_STProjectMonth[[#This Row],[FY Plan]],0)</f>
        <v>0.45831311430111077</v>
      </c>
    </row>
    <row r="62" spans="2:35" x14ac:dyDescent="0.2">
      <c r="B62" t="s">
        <v>342</v>
      </c>
      <c r="C62" t="s">
        <v>493</v>
      </c>
      <c r="D62" t="s">
        <v>972</v>
      </c>
      <c r="E62">
        <v>0</v>
      </c>
      <c r="F62">
        <v>0</v>
      </c>
      <c r="G62">
        <v>0</v>
      </c>
      <c r="H62">
        <v>0</v>
      </c>
      <c r="I62">
        <v>114.91</v>
      </c>
      <c r="J62">
        <v>350</v>
      </c>
      <c r="K62">
        <v>350</v>
      </c>
      <c r="L62">
        <v>350</v>
      </c>
      <c r="M62">
        <v>350</v>
      </c>
      <c r="N62">
        <v>350</v>
      </c>
      <c r="O62">
        <v>350</v>
      </c>
      <c r="P62">
        <v>350</v>
      </c>
      <c r="Q62">
        <v>0</v>
      </c>
      <c r="R62">
        <v>0</v>
      </c>
      <c r="S62">
        <v>0</v>
      </c>
      <c r="T62">
        <v>0</v>
      </c>
      <c r="U62">
        <v>114.91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f>SUMPRODUCT(DB_STProjectMonth[[#This Row],[SumOfPlan01]:[SumOfPlan12]],$E$14:$P$14)/valUnits2</f>
        <v>0.46490999999999999</v>
      </c>
      <c r="AD62">
        <f>SUMPRODUCT(DB_STProjectMonth[[#This Row],[SumOfAct01]:[SumOfAct12]],$Q$14:$AB$14)/valUnits2</f>
        <v>0.11491</v>
      </c>
      <c r="AE62">
        <f>DB_STProjectMonth[[#This Row],[Actual]]-DB_STProjectMonth[[#This Row],[Plan]]</f>
        <v>-0.35</v>
      </c>
      <c r="AF62">
        <f>IF(DB_STProjectMonth[[#This Row],[Plan]]&lt;&gt;0,DB_STProjectMonth[[#This Row],[Actual]]/DB_STProjectMonth[[#This Row],[Plan]],1.000011000011)</f>
        <v>0.24716611817340992</v>
      </c>
      <c r="AG62">
        <f>SUM(DB_STProjectMonth[[#This Row],[SumOfPlan01]:[SumOfPlan12]])/valUnits2</f>
        <v>2.5649099999999998</v>
      </c>
      <c r="AH62">
        <f>SUMPRODUCT(DB_STProjectMonth[[#This Row],[SumOfAct01]:[SumOfAct12]],$Q$13:$AB$13)/valUnits2</f>
        <v>0.11491</v>
      </c>
      <c r="AI62">
        <f>IF(DB_STProjectMonth[[#This Row],[FY Plan]]&lt;&gt;0,DB_STProjectMonth[[#This Row],[FY Actuals]]/DB_STProjectMonth[[#This Row],[FY Plan]],0)</f>
        <v>4.4800792230526611E-2</v>
      </c>
    </row>
    <row r="63" spans="2:35" x14ac:dyDescent="0.2">
      <c r="B63" t="s">
        <v>342</v>
      </c>
      <c r="C63" t="s">
        <v>494</v>
      </c>
      <c r="D63" t="s">
        <v>986</v>
      </c>
      <c r="E63">
        <v>11933.5</v>
      </c>
      <c r="F63">
        <v>15550.25</v>
      </c>
      <c r="G63">
        <v>21742.31</v>
      </c>
      <c r="H63">
        <v>25506.77</v>
      </c>
      <c r="I63">
        <v>17016.399999999998</v>
      </c>
      <c r="J63">
        <v>45556.940999999999</v>
      </c>
      <c r="K63">
        <v>70823.607000000004</v>
      </c>
      <c r="L63">
        <v>49038.190999999999</v>
      </c>
      <c r="M63">
        <v>47156.940999999999</v>
      </c>
      <c r="N63">
        <v>83535.987999999998</v>
      </c>
      <c r="O63">
        <v>43556.940999999999</v>
      </c>
      <c r="P63">
        <v>87092.271000000008</v>
      </c>
      <c r="Q63">
        <v>11933.5</v>
      </c>
      <c r="R63">
        <v>15550.25</v>
      </c>
      <c r="S63">
        <v>21742.310000000005</v>
      </c>
      <c r="T63">
        <v>25560.480000000003</v>
      </c>
      <c r="U63">
        <v>17076.719999999998</v>
      </c>
      <c r="V63">
        <v>65606.820000000007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f>SUMPRODUCT(DB_STProjectMonth[[#This Row],[SumOfPlan01]:[SumOfPlan12]],$E$14:$P$14)/valUnits2</f>
        <v>137.30617100000001</v>
      </c>
      <c r="AD63">
        <f>SUMPRODUCT(DB_STProjectMonth[[#This Row],[SumOfAct01]:[SumOfAct12]],$Q$14:$AB$14)/valUnits2</f>
        <v>157.47008000000002</v>
      </c>
      <c r="AE63">
        <f>DB_STProjectMonth[[#This Row],[Actual]]-DB_STProjectMonth[[#This Row],[Plan]]</f>
        <v>20.163909000000018</v>
      </c>
      <c r="AF63">
        <f>IF(DB_STProjectMonth[[#This Row],[Plan]]&lt;&gt;0,DB_STProjectMonth[[#This Row],[Actual]]/DB_STProjectMonth[[#This Row],[Plan]],1.000011000011)</f>
        <v>1.1468536253916803</v>
      </c>
      <c r="AG63">
        <f>SUM(DB_STProjectMonth[[#This Row],[SumOfPlan01]:[SumOfPlan12]])/valUnits2</f>
        <v>518.51010999999994</v>
      </c>
      <c r="AH63">
        <f>SUMPRODUCT(DB_STProjectMonth[[#This Row],[SumOfAct01]:[SumOfAct12]],$Q$13:$AB$13)/valUnits2</f>
        <v>157.47008000000002</v>
      </c>
      <c r="AI63">
        <f>IF(DB_STProjectMonth[[#This Row],[FY Plan]]&lt;&gt;0,DB_STProjectMonth[[#This Row],[FY Actuals]]/DB_STProjectMonth[[#This Row],[FY Plan]],0)</f>
        <v>0.30369722202716559</v>
      </c>
    </row>
    <row r="64" spans="2:35" x14ac:dyDescent="0.2">
      <c r="B64" t="s">
        <v>351</v>
      </c>
      <c r="C64" t="s">
        <v>495</v>
      </c>
      <c r="D64" t="s">
        <v>998</v>
      </c>
      <c r="E64">
        <v>27190.5</v>
      </c>
      <c r="F64">
        <v>27753.145</v>
      </c>
      <c r="G64">
        <v>-3734.1850000000027</v>
      </c>
      <c r="H64">
        <v>20283.779000000002</v>
      </c>
      <c r="I64">
        <v>16809.739000000001</v>
      </c>
      <c r="J64">
        <v>14103.675999999999</v>
      </c>
      <c r="K64">
        <v>14103.675999999999</v>
      </c>
      <c r="L64">
        <v>14103.675999999999</v>
      </c>
      <c r="M64">
        <v>14103.675999999999</v>
      </c>
      <c r="N64">
        <v>14103.675999999998</v>
      </c>
      <c r="O64">
        <v>14103.675999999998</v>
      </c>
      <c r="P64">
        <v>14103.675999999998</v>
      </c>
      <c r="Q64">
        <v>24075.5</v>
      </c>
      <c r="R64">
        <v>24708.679999999993</v>
      </c>
      <c r="S64">
        <v>-6850.6200000000044</v>
      </c>
      <c r="T64">
        <v>17128.490000000005</v>
      </c>
      <c r="U64">
        <v>13694.57</v>
      </c>
      <c r="V64">
        <v>12993.910000000002</v>
      </c>
      <c r="W64">
        <v>61950</v>
      </c>
      <c r="X64">
        <v>0</v>
      </c>
      <c r="Y64">
        <v>0</v>
      </c>
      <c r="Z64">
        <v>0</v>
      </c>
      <c r="AA64">
        <v>0</v>
      </c>
      <c r="AB64">
        <v>0</v>
      </c>
      <c r="AC64">
        <f>SUMPRODUCT(DB_STProjectMonth[[#This Row],[SumOfPlan01]:[SumOfPlan12]],$E$14:$P$14)/valUnits2</f>
        <v>102.406654</v>
      </c>
      <c r="AD64">
        <f>SUMPRODUCT(DB_STProjectMonth[[#This Row],[SumOfAct01]:[SumOfAct12]],$Q$14:$AB$14)/valUnits2</f>
        <v>85.750529999999998</v>
      </c>
      <c r="AE64">
        <f>DB_STProjectMonth[[#This Row],[Actual]]-DB_STProjectMonth[[#This Row],[Plan]]</f>
        <v>-16.656124000000005</v>
      </c>
      <c r="AF64">
        <f>IF(DB_STProjectMonth[[#This Row],[Plan]]&lt;&gt;0,DB_STProjectMonth[[#This Row],[Actual]]/DB_STProjectMonth[[#This Row],[Plan]],1.000011000011)</f>
        <v>0.83735310793378714</v>
      </c>
      <c r="AG64">
        <f>SUM(DB_STProjectMonth[[#This Row],[SumOfPlan01]:[SumOfPlan12]])/valUnits2</f>
        <v>187.02871000000005</v>
      </c>
      <c r="AH64">
        <f>SUMPRODUCT(DB_STProjectMonth[[#This Row],[SumOfAct01]:[SumOfAct12]],$Q$13:$AB$13)/valUnits2</f>
        <v>85.750529999999998</v>
      </c>
      <c r="AI64">
        <f>IF(DB_STProjectMonth[[#This Row],[FY Plan]]&lt;&gt;0,DB_STProjectMonth[[#This Row],[FY Actuals]]/DB_STProjectMonth[[#This Row],[FY Plan]],0)</f>
        <v>0.45848859247331586</v>
      </c>
    </row>
    <row r="65" spans="2:35" x14ac:dyDescent="0.2">
      <c r="B65" t="s">
        <v>351</v>
      </c>
      <c r="C65" t="s">
        <v>496</v>
      </c>
      <c r="D65" t="s">
        <v>975</v>
      </c>
      <c r="E65">
        <v>72609.06</v>
      </c>
      <c r="F65">
        <v>101117.76800000001</v>
      </c>
      <c r="G65">
        <v>102317.175</v>
      </c>
      <c r="H65">
        <v>316028.11400000029</v>
      </c>
      <c r="I65">
        <v>185855.86699999985</v>
      </c>
      <c r="J65">
        <v>160519.15599999996</v>
      </c>
      <c r="K65">
        <v>152928.18699999992</v>
      </c>
      <c r="L65">
        <v>151615.40999999995</v>
      </c>
      <c r="M65">
        <v>150529.09799999997</v>
      </c>
      <c r="N65">
        <v>128905.88499999994</v>
      </c>
      <c r="O65">
        <v>124776.84399999995</v>
      </c>
      <c r="P65">
        <v>110270.7509999999</v>
      </c>
      <c r="Q65">
        <v>49863.319999999985</v>
      </c>
      <c r="R65">
        <v>75887.74000000002</v>
      </c>
      <c r="S65">
        <v>80644.14</v>
      </c>
      <c r="T65">
        <v>294089.46999999991</v>
      </c>
      <c r="U65">
        <v>151569.72999999992</v>
      </c>
      <c r="V65">
        <v>133393.3900000001</v>
      </c>
      <c r="W65">
        <v>789.59</v>
      </c>
      <c r="X65">
        <v>0</v>
      </c>
      <c r="Y65">
        <v>0</v>
      </c>
      <c r="Z65">
        <v>0</v>
      </c>
      <c r="AA65">
        <v>0</v>
      </c>
      <c r="AB65">
        <v>0</v>
      </c>
      <c r="AC65">
        <f>SUMPRODUCT(DB_STProjectMonth[[#This Row],[SumOfPlan01]:[SumOfPlan12]],$E$14:$P$14)/valUnits2</f>
        <v>938.4471400000001</v>
      </c>
      <c r="AD65">
        <f>SUMPRODUCT(DB_STProjectMonth[[#This Row],[SumOfAct01]:[SumOfAct12]],$Q$14:$AB$14)/valUnits2</f>
        <v>785.44779000000005</v>
      </c>
      <c r="AE65">
        <f>DB_STProjectMonth[[#This Row],[Actual]]-DB_STProjectMonth[[#This Row],[Plan]]</f>
        <v>-152.99935000000005</v>
      </c>
      <c r="AF65">
        <f>IF(DB_STProjectMonth[[#This Row],[Plan]]&lt;&gt;0,DB_STProjectMonth[[#This Row],[Actual]]/DB_STProjectMonth[[#This Row],[Plan]],1.000011000011)</f>
        <v>0.83696540435937605</v>
      </c>
      <c r="AG65">
        <f>SUM(DB_STProjectMonth[[#This Row],[SumOfPlan01]:[SumOfPlan12]])/valUnits2</f>
        <v>1757.473315</v>
      </c>
      <c r="AH65">
        <f>SUMPRODUCT(DB_STProjectMonth[[#This Row],[SumOfAct01]:[SumOfAct12]],$Q$13:$AB$13)/valUnits2</f>
        <v>785.44779000000005</v>
      </c>
      <c r="AI65">
        <f>IF(DB_STProjectMonth[[#This Row],[FY Plan]]&lt;&gt;0,DB_STProjectMonth[[#This Row],[FY Actuals]]/DB_STProjectMonth[[#This Row],[FY Plan]],0)</f>
        <v>0.44691875734113212</v>
      </c>
    </row>
    <row r="66" spans="2:35" x14ac:dyDescent="0.2">
      <c r="B66" t="s">
        <v>351</v>
      </c>
      <c r="C66" t="s">
        <v>497</v>
      </c>
      <c r="D66" t="s">
        <v>980</v>
      </c>
      <c r="E66">
        <v>2012.92</v>
      </c>
      <c r="F66">
        <v>28577.017000000007</v>
      </c>
      <c r="G66">
        <v>23279.862000000008</v>
      </c>
      <c r="H66">
        <v>27811.398999999998</v>
      </c>
      <c r="I66">
        <v>18282.652000000006</v>
      </c>
      <c r="J66">
        <v>20984.254999999994</v>
      </c>
      <c r="K66">
        <v>19830.663999999993</v>
      </c>
      <c r="L66">
        <v>19762.545999999998</v>
      </c>
      <c r="M66">
        <v>19710.521000000001</v>
      </c>
      <c r="N66">
        <v>15350.51</v>
      </c>
      <c r="O66">
        <v>15350.510000000002</v>
      </c>
      <c r="P66">
        <v>12570.727999999999</v>
      </c>
      <c r="Q66">
        <v>635.6400000000001</v>
      </c>
      <c r="R66">
        <v>27171.020000000004</v>
      </c>
      <c r="S66">
        <v>21635.270000000004</v>
      </c>
      <c r="T66">
        <v>25968.76</v>
      </c>
      <c r="U66">
        <v>13997.799999999997</v>
      </c>
      <c r="V66">
        <v>24979.720000000008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f>SUMPRODUCT(DB_STProjectMonth[[#This Row],[SumOfPlan01]:[SumOfPlan12]],$E$14:$P$14)/valUnits2</f>
        <v>120.948105</v>
      </c>
      <c r="AD66">
        <f>SUMPRODUCT(DB_STProjectMonth[[#This Row],[SumOfAct01]:[SumOfAct12]],$Q$14:$AB$14)/valUnits2</f>
        <v>114.38821000000002</v>
      </c>
      <c r="AE66">
        <f>DB_STProjectMonth[[#This Row],[Actual]]-DB_STProjectMonth[[#This Row],[Plan]]</f>
        <v>-6.5598949999999832</v>
      </c>
      <c r="AF66">
        <f>IF(DB_STProjectMonth[[#This Row],[Plan]]&lt;&gt;0,DB_STProjectMonth[[#This Row],[Actual]]/DB_STProjectMonth[[#This Row],[Plan]],1.000011000011)</f>
        <v>0.94576273022218926</v>
      </c>
      <c r="AG66">
        <f>SUM(DB_STProjectMonth[[#This Row],[SumOfPlan01]:[SumOfPlan12]])/valUnits2</f>
        <v>223.52358400000003</v>
      </c>
      <c r="AH66">
        <f>SUMPRODUCT(DB_STProjectMonth[[#This Row],[SumOfAct01]:[SumOfAct12]],$Q$13:$AB$13)/valUnits2</f>
        <v>114.38821000000002</v>
      </c>
      <c r="AI66">
        <f>IF(DB_STProjectMonth[[#This Row],[FY Plan]]&lt;&gt;0,DB_STProjectMonth[[#This Row],[FY Actuals]]/DB_STProjectMonth[[#This Row],[FY Plan]],0)</f>
        <v>0.5117500710797479</v>
      </c>
    </row>
    <row r="67" spans="2:35" x14ac:dyDescent="0.2">
      <c r="B67" t="s">
        <v>351</v>
      </c>
      <c r="C67" t="s">
        <v>498</v>
      </c>
      <c r="D67" t="s">
        <v>999</v>
      </c>
      <c r="E67">
        <v>13149.726000000001</v>
      </c>
      <c r="F67">
        <v>16922.166999999998</v>
      </c>
      <c r="G67">
        <v>20681.798000000006</v>
      </c>
      <c r="H67">
        <v>62885.596999999987</v>
      </c>
      <c r="I67">
        <v>72920.453999999998</v>
      </c>
      <c r="J67">
        <v>55721.223000000005</v>
      </c>
      <c r="K67">
        <v>55110.431000000004</v>
      </c>
      <c r="L67">
        <v>54757.452999999994</v>
      </c>
      <c r="M67">
        <v>54349.280999999995</v>
      </c>
      <c r="N67">
        <v>47596.421999999977</v>
      </c>
      <c r="O67">
        <v>46014.583999999988</v>
      </c>
      <c r="P67">
        <v>35792.195999999996</v>
      </c>
      <c r="Q67">
        <v>8875.6600000000017</v>
      </c>
      <c r="R67">
        <v>12415.550000000001</v>
      </c>
      <c r="S67">
        <v>15329.389999999998</v>
      </c>
      <c r="T67">
        <v>57287.890000000021</v>
      </c>
      <c r="U67">
        <v>57161.779999999962</v>
      </c>
      <c r="V67">
        <v>38060.519999999997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f>SUMPRODUCT(DB_STProjectMonth[[#This Row],[SumOfPlan01]:[SumOfPlan12]],$E$14:$P$14)/valUnits2</f>
        <v>242.28096500000001</v>
      </c>
      <c r="AD67">
        <f>SUMPRODUCT(DB_STProjectMonth[[#This Row],[SumOfAct01]:[SumOfAct12]],$Q$14:$AB$14)/valUnits2</f>
        <v>189.13078999999999</v>
      </c>
      <c r="AE67">
        <f>DB_STProjectMonth[[#This Row],[Actual]]-DB_STProjectMonth[[#This Row],[Plan]]</f>
        <v>-53.150175000000019</v>
      </c>
      <c r="AF67">
        <f>IF(DB_STProjectMonth[[#This Row],[Plan]]&lt;&gt;0,DB_STProjectMonth[[#This Row],[Actual]]/DB_STProjectMonth[[#This Row],[Plan]],1.000011000011)</f>
        <v>0.78062587376602199</v>
      </c>
      <c r="AG67">
        <f>SUM(DB_STProjectMonth[[#This Row],[SumOfPlan01]:[SumOfPlan12]])/valUnits2</f>
        <v>535.90133199999991</v>
      </c>
      <c r="AH67">
        <f>SUMPRODUCT(DB_STProjectMonth[[#This Row],[SumOfAct01]:[SumOfAct12]],$Q$13:$AB$13)/valUnits2</f>
        <v>189.13078999999999</v>
      </c>
      <c r="AI67">
        <f>IF(DB_STProjectMonth[[#This Row],[FY Plan]]&lt;&gt;0,DB_STProjectMonth[[#This Row],[FY Actuals]]/DB_STProjectMonth[[#This Row],[FY Plan]],0)</f>
        <v>0.35292091791255337</v>
      </c>
    </row>
    <row r="68" spans="2:35" x14ac:dyDescent="0.2">
      <c r="B68" t="s">
        <v>351</v>
      </c>
      <c r="C68" t="s">
        <v>499</v>
      </c>
      <c r="D68" t="s">
        <v>959</v>
      </c>
      <c r="E68">
        <v>244160.55199999994</v>
      </c>
      <c r="F68">
        <v>114456.284</v>
      </c>
      <c r="G68">
        <v>121330.45000000001</v>
      </c>
      <c r="H68">
        <v>-72717.621999999974</v>
      </c>
      <c r="I68">
        <v>-67906.537999999986</v>
      </c>
      <c r="J68">
        <v>66059.232999999978</v>
      </c>
      <c r="K68">
        <v>62735.447999999968</v>
      </c>
      <c r="L68">
        <v>63115.642999999975</v>
      </c>
      <c r="M68">
        <v>62631.940999999977</v>
      </c>
      <c r="N68">
        <v>54722.650999999976</v>
      </c>
      <c r="O68">
        <v>54722.650999999983</v>
      </c>
      <c r="P68">
        <v>46080.978999999985</v>
      </c>
      <c r="Q68">
        <v>227435.17</v>
      </c>
      <c r="R68">
        <v>98009.5</v>
      </c>
      <c r="S68">
        <v>104400.50999999992</v>
      </c>
      <c r="T68">
        <v>-89979.270000000048</v>
      </c>
      <c r="U68">
        <v>-94957.159999999974</v>
      </c>
      <c r="V68">
        <v>39750.469999999994</v>
      </c>
      <c r="W68">
        <v>858.06</v>
      </c>
      <c r="X68">
        <v>0</v>
      </c>
      <c r="Y68">
        <v>0</v>
      </c>
      <c r="Z68">
        <v>0</v>
      </c>
      <c r="AA68">
        <v>0</v>
      </c>
      <c r="AB68">
        <v>0</v>
      </c>
      <c r="AC68">
        <f>SUMPRODUCT(DB_STProjectMonth[[#This Row],[SumOfPlan01]:[SumOfPlan12]],$E$14:$P$14)/valUnits2</f>
        <v>405.38235899999995</v>
      </c>
      <c r="AD68">
        <f>SUMPRODUCT(DB_STProjectMonth[[#This Row],[SumOfAct01]:[SumOfAct12]],$Q$14:$AB$14)/valUnits2</f>
        <v>284.65921999999989</v>
      </c>
      <c r="AE68">
        <f>DB_STProjectMonth[[#This Row],[Actual]]-DB_STProjectMonth[[#This Row],[Plan]]</f>
        <v>-120.72313900000006</v>
      </c>
      <c r="AF68">
        <f>IF(DB_STProjectMonth[[#This Row],[Plan]]&lt;&gt;0,DB_STProjectMonth[[#This Row],[Actual]]/DB_STProjectMonth[[#This Row],[Plan]],1.000011000011)</f>
        <v>0.70219932782028116</v>
      </c>
      <c r="AG68">
        <f>SUM(DB_STProjectMonth[[#This Row],[SumOfPlan01]:[SumOfPlan12]])/valUnits2</f>
        <v>749.39167199999963</v>
      </c>
      <c r="AH68">
        <f>SUMPRODUCT(DB_STProjectMonth[[#This Row],[SumOfAct01]:[SumOfAct12]],$Q$13:$AB$13)/valUnits2</f>
        <v>284.65921999999989</v>
      </c>
      <c r="AI68">
        <f>IF(DB_STProjectMonth[[#This Row],[FY Plan]]&lt;&gt;0,DB_STProjectMonth[[#This Row],[FY Actuals]]/DB_STProjectMonth[[#This Row],[FY Plan]],0)</f>
        <v>0.37985372754449298</v>
      </c>
    </row>
    <row r="69" spans="2:35" x14ac:dyDescent="0.2">
      <c r="B69" t="s">
        <v>351</v>
      </c>
      <c r="C69" t="s">
        <v>500</v>
      </c>
      <c r="D69" t="s">
        <v>984</v>
      </c>
      <c r="E69">
        <v>782.85199999999998</v>
      </c>
      <c r="F69">
        <v>15475.51</v>
      </c>
      <c r="G69">
        <v>7216.0069999999996</v>
      </c>
      <c r="H69">
        <v>20930.584000000006</v>
      </c>
      <c r="I69">
        <v>20071.625</v>
      </c>
      <c r="J69">
        <v>408.54399999999998</v>
      </c>
      <c r="K69">
        <v>408.54399999999998</v>
      </c>
      <c r="L69">
        <v>408.54399999999998</v>
      </c>
      <c r="M69">
        <v>408.54399999999998</v>
      </c>
      <c r="N69">
        <v>408.54399999999998</v>
      </c>
      <c r="O69">
        <v>408.54399999999998</v>
      </c>
      <c r="P69">
        <v>408.54399999999998</v>
      </c>
      <c r="Q69">
        <v>777.27</v>
      </c>
      <c r="R69">
        <v>15510.34</v>
      </c>
      <c r="S69">
        <v>7217.9799999999987</v>
      </c>
      <c r="T69">
        <v>20868.700000000008</v>
      </c>
      <c r="U69">
        <v>20130.510000000002</v>
      </c>
      <c r="V69">
        <v>20821.050000000007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f>SUMPRODUCT(DB_STProjectMonth[[#This Row],[SumOfPlan01]:[SumOfPlan12]],$E$14:$P$14)/valUnits2</f>
        <v>64.88512200000001</v>
      </c>
      <c r="AD69">
        <f>SUMPRODUCT(DB_STProjectMonth[[#This Row],[SumOfAct01]:[SumOfAct12]],$Q$14:$AB$14)/valUnits2</f>
        <v>85.325850000000017</v>
      </c>
      <c r="AE69">
        <f>DB_STProjectMonth[[#This Row],[Actual]]-DB_STProjectMonth[[#This Row],[Plan]]</f>
        <v>20.440728000000007</v>
      </c>
      <c r="AF69">
        <f>IF(DB_STProjectMonth[[#This Row],[Plan]]&lt;&gt;0,DB_STProjectMonth[[#This Row],[Actual]]/DB_STProjectMonth[[#This Row],[Plan]],1.000011000011)</f>
        <v>1.3150295070725151</v>
      </c>
      <c r="AG69">
        <f>SUM(DB_STProjectMonth[[#This Row],[SumOfPlan01]:[SumOfPlan12]])/valUnits2</f>
        <v>67.33638599999999</v>
      </c>
      <c r="AH69">
        <f>SUMPRODUCT(DB_STProjectMonth[[#This Row],[SumOfAct01]:[SumOfAct12]],$Q$13:$AB$13)/valUnits2</f>
        <v>85.325850000000017</v>
      </c>
      <c r="AI69">
        <f>IF(DB_STProjectMonth[[#This Row],[FY Plan]]&lt;&gt;0,DB_STProjectMonth[[#This Row],[FY Actuals]]/DB_STProjectMonth[[#This Row],[FY Plan]],0)</f>
        <v>1.267158145374776</v>
      </c>
    </row>
    <row r="70" spans="2:35" x14ac:dyDescent="0.2">
      <c r="B70" t="s">
        <v>351</v>
      </c>
      <c r="C70" t="s">
        <v>501</v>
      </c>
      <c r="D70" t="s">
        <v>950</v>
      </c>
      <c r="E70">
        <v>10744.099999999999</v>
      </c>
      <c r="F70">
        <v>13504.11</v>
      </c>
      <c r="G70">
        <v>16400.11</v>
      </c>
      <c r="H70">
        <v>10188.580000000002</v>
      </c>
      <c r="I70">
        <v>12552.95</v>
      </c>
      <c r="J70">
        <v>15299.603000000001</v>
      </c>
      <c r="K70">
        <v>15299.603000000001</v>
      </c>
      <c r="L70">
        <v>17769.600999999999</v>
      </c>
      <c r="M70">
        <v>15299.603000000001</v>
      </c>
      <c r="N70">
        <v>15299.603000000001</v>
      </c>
      <c r="O70">
        <v>15299.603000000001</v>
      </c>
      <c r="P70">
        <v>15299.603000000003</v>
      </c>
      <c r="Q70">
        <v>10744.1</v>
      </c>
      <c r="R70">
        <v>13504.11</v>
      </c>
      <c r="S70">
        <v>16400.11</v>
      </c>
      <c r="T70">
        <v>10367.76</v>
      </c>
      <c r="U70">
        <v>12552.950000000003</v>
      </c>
      <c r="V70">
        <v>14755.189999999999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f>SUMPRODUCT(DB_STProjectMonth[[#This Row],[SumOfPlan01]:[SumOfPlan12]],$E$14:$P$14)/valUnits2</f>
        <v>78.689453000000015</v>
      </c>
      <c r="AD70">
        <f>SUMPRODUCT(DB_STProjectMonth[[#This Row],[SumOfAct01]:[SumOfAct12]],$Q$14:$AB$14)/valUnits2</f>
        <v>78.324219999999997</v>
      </c>
      <c r="AE70">
        <f>DB_STProjectMonth[[#This Row],[Actual]]-DB_STProjectMonth[[#This Row],[Plan]]</f>
        <v>-0.36523300000001768</v>
      </c>
      <c r="AF70">
        <f>IF(DB_STProjectMonth[[#This Row],[Plan]]&lt;&gt;0,DB_STProjectMonth[[#This Row],[Actual]]/DB_STProjectMonth[[#This Row],[Plan]],1.000011000011)</f>
        <v>0.99535855205398338</v>
      </c>
      <c r="AG70">
        <f>SUM(DB_STProjectMonth[[#This Row],[SumOfPlan01]:[SumOfPlan12]])/valUnits2</f>
        <v>172.95706900000002</v>
      </c>
      <c r="AH70">
        <f>SUMPRODUCT(DB_STProjectMonth[[#This Row],[SumOfAct01]:[SumOfAct12]],$Q$13:$AB$13)/valUnits2</f>
        <v>78.324219999999997</v>
      </c>
      <c r="AI70">
        <f>IF(DB_STProjectMonth[[#This Row],[FY Plan]]&lt;&gt;0,DB_STProjectMonth[[#This Row],[FY Actuals]]/DB_STProjectMonth[[#This Row],[FY Plan]],0)</f>
        <v>0.45285353442246407</v>
      </c>
    </row>
    <row r="71" spans="2:35" x14ac:dyDescent="0.2">
      <c r="B71" t="s">
        <v>351</v>
      </c>
      <c r="C71" t="s">
        <v>502</v>
      </c>
      <c r="D71" t="s">
        <v>946</v>
      </c>
      <c r="E71">
        <v>3790.6190000000006</v>
      </c>
      <c r="F71">
        <v>7429.3749999999991</v>
      </c>
      <c r="G71">
        <v>7369.6729999999998</v>
      </c>
      <c r="H71">
        <v>19749.260999999999</v>
      </c>
      <c r="I71">
        <v>11334.579000000002</v>
      </c>
      <c r="J71">
        <v>10941.051999999998</v>
      </c>
      <c r="K71">
        <v>9792.2279999999973</v>
      </c>
      <c r="L71">
        <v>9705.8819999999978</v>
      </c>
      <c r="M71">
        <v>9653.8569999999982</v>
      </c>
      <c r="N71">
        <v>8377.4120000000003</v>
      </c>
      <c r="O71">
        <v>8377.4120000000003</v>
      </c>
      <c r="P71">
        <v>8084.5460000000012</v>
      </c>
      <c r="Q71">
        <v>2531.6400000000003</v>
      </c>
      <c r="R71">
        <v>6037.9699999999993</v>
      </c>
      <c r="S71">
        <v>5793.92</v>
      </c>
      <c r="T71">
        <v>18207.699999999997</v>
      </c>
      <c r="U71">
        <v>9214.9900000000016</v>
      </c>
      <c r="V71">
        <v>8734.8999999999978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f>SUMPRODUCT(DB_STProjectMonth[[#This Row],[SumOfPlan01]:[SumOfPlan12]],$E$14:$P$14)/valUnits2</f>
        <v>60.614558999999993</v>
      </c>
      <c r="AD71">
        <f>SUMPRODUCT(DB_STProjectMonth[[#This Row],[SumOfAct01]:[SumOfAct12]],$Q$14:$AB$14)/valUnits2</f>
        <v>50.521119999999996</v>
      </c>
      <c r="AE71">
        <f>DB_STProjectMonth[[#This Row],[Actual]]-DB_STProjectMonth[[#This Row],[Plan]]</f>
        <v>-10.093438999999996</v>
      </c>
      <c r="AF71">
        <f>IF(DB_STProjectMonth[[#This Row],[Plan]]&lt;&gt;0,DB_STProjectMonth[[#This Row],[Actual]]/DB_STProjectMonth[[#This Row],[Plan]],1.000011000011)</f>
        <v>0.8334816062919802</v>
      </c>
      <c r="AG71">
        <f>SUM(DB_STProjectMonth[[#This Row],[SumOfPlan01]:[SumOfPlan12]])/valUnits2</f>
        <v>114.60589599999999</v>
      </c>
      <c r="AH71">
        <f>SUMPRODUCT(DB_STProjectMonth[[#This Row],[SumOfAct01]:[SumOfAct12]],$Q$13:$AB$13)/valUnits2</f>
        <v>50.521119999999996</v>
      </c>
      <c r="AI71">
        <f>IF(DB_STProjectMonth[[#This Row],[FY Plan]]&lt;&gt;0,DB_STProjectMonth[[#This Row],[FY Actuals]]/DB_STProjectMonth[[#This Row],[FY Plan]],0)</f>
        <v>0.44082478967748745</v>
      </c>
    </row>
    <row r="72" spans="2:35" x14ac:dyDescent="0.2">
      <c r="B72" t="s">
        <v>351</v>
      </c>
      <c r="C72" t="s">
        <v>503</v>
      </c>
      <c r="D72" t="s">
        <v>976</v>
      </c>
      <c r="E72">
        <v>-820.4219999999998</v>
      </c>
      <c r="F72">
        <v>4724.91</v>
      </c>
      <c r="G72">
        <v>5398.1909999999989</v>
      </c>
      <c r="H72">
        <v>8843.530999999999</v>
      </c>
      <c r="I72">
        <v>5936.5229999999992</v>
      </c>
      <c r="J72">
        <v>6584.7249999999995</v>
      </c>
      <c r="K72">
        <v>6584.7249999999995</v>
      </c>
      <c r="L72">
        <v>6584.7249999999985</v>
      </c>
      <c r="M72">
        <v>6584.7249999999995</v>
      </c>
      <c r="N72">
        <v>5308.28</v>
      </c>
      <c r="O72">
        <v>4626.4539999999997</v>
      </c>
      <c r="P72">
        <v>3102.8919999999998</v>
      </c>
      <c r="Q72">
        <v>-1986.04</v>
      </c>
      <c r="R72">
        <v>3407.7</v>
      </c>
      <c r="S72">
        <v>3803.08</v>
      </c>
      <c r="T72">
        <v>7221.25</v>
      </c>
      <c r="U72">
        <v>2832.8</v>
      </c>
      <c r="V72">
        <v>3119.0100000000007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f>SUMPRODUCT(DB_STProjectMonth[[#This Row],[SumOfPlan01]:[SumOfPlan12]],$E$14:$P$14)/valUnits2</f>
        <v>30.667458</v>
      </c>
      <c r="AD72">
        <f>SUMPRODUCT(DB_STProjectMonth[[#This Row],[SumOfAct01]:[SumOfAct12]],$Q$14:$AB$14)/valUnits2</f>
        <v>18.397800000000004</v>
      </c>
      <c r="AE72">
        <f>DB_STProjectMonth[[#This Row],[Actual]]-DB_STProjectMonth[[#This Row],[Plan]]</f>
        <v>-12.269657999999996</v>
      </c>
      <c r="AF72">
        <f>IF(DB_STProjectMonth[[#This Row],[Plan]]&lt;&gt;0,DB_STProjectMonth[[#This Row],[Actual]]/DB_STProjectMonth[[#This Row],[Plan]],1.000011000011)</f>
        <v>0.59991278051151176</v>
      </c>
      <c r="AG72">
        <f>SUM(DB_STProjectMonth[[#This Row],[SumOfPlan01]:[SumOfPlan12]])/valUnits2</f>
        <v>63.459258999999989</v>
      </c>
      <c r="AH72">
        <f>SUMPRODUCT(DB_STProjectMonth[[#This Row],[SumOfAct01]:[SumOfAct12]],$Q$13:$AB$13)/valUnits2</f>
        <v>18.397800000000004</v>
      </c>
      <c r="AI72">
        <f>IF(DB_STProjectMonth[[#This Row],[FY Plan]]&lt;&gt;0,DB_STProjectMonth[[#This Row],[FY Actuals]]/DB_STProjectMonth[[#This Row],[FY Plan]],0)</f>
        <v>0.28991514067316809</v>
      </c>
    </row>
    <row r="73" spans="2:35" x14ac:dyDescent="0.2">
      <c r="B73" t="s">
        <v>351</v>
      </c>
      <c r="C73" t="s">
        <v>504</v>
      </c>
      <c r="D73" t="s">
        <v>947</v>
      </c>
      <c r="E73">
        <v>6923.6809999999987</v>
      </c>
      <c r="F73">
        <v>13818.389000000001</v>
      </c>
      <c r="G73">
        <v>8292.8059999999987</v>
      </c>
      <c r="H73">
        <v>11409.044999999996</v>
      </c>
      <c r="I73">
        <v>16331.744999999999</v>
      </c>
      <c r="J73">
        <v>4083.8270000000002</v>
      </c>
      <c r="K73">
        <v>4256.5210000000006</v>
      </c>
      <c r="L73">
        <v>4083.8270000000002</v>
      </c>
      <c r="M73">
        <v>4083.8270000000002</v>
      </c>
      <c r="N73">
        <v>1531.0490000000002</v>
      </c>
      <c r="O73">
        <v>1531.049</v>
      </c>
      <c r="P73">
        <v>1703.7429999999999</v>
      </c>
      <c r="Q73">
        <v>6831.78</v>
      </c>
      <c r="R73">
        <v>13761.250000000002</v>
      </c>
      <c r="S73">
        <v>8321.8099999999977</v>
      </c>
      <c r="T73">
        <v>11374.05</v>
      </c>
      <c r="U73">
        <v>16436.730000000003</v>
      </c>
      <c r="V73">
        <v>15531.169999999996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f>SUMPRODUCT(DB_STProjectMonth[[#This Row],[SumOfPlan01]:[SumOfPlan12]],$E$14:$P$14)/valUnits2</f>
        <v>60.859492999999993</v>
      </c>
      <c r="AD73">
        <f>SUMPRODUCT(DB_STProjectMonth[[#This Row],[SumOfAct01]:[SumOfAct12]],$Q$14:$AB$14)/valUnits2</f>
        <v>72.256789999999995</v>
      </c>
      <c r="AE73">
        <f>DB_STProjectMonth[[#This Row],[Actual]]-DB_STProjectMonth[[#This Row],[Plan]]</f>
        <v>11.397297000000002</v>
      </c>
      <c r="AF73">
        <f>IF(DB_STProjectMonth[[#This Row],[Plan]]&lt;&gt;0,DB_STProjectMonth[[#This Row],[Actual]]/DB_STProjectMonth[[#This Row],[Plan]],1.000011000011)</f>
        <v>1.1872722962052937</v>
      </c>
      <c r="AG73">
        <f>SUM(DB_STProjectMonth[[#This Row],[SumOfPlan01]:[SumOfPlan12]])/valUnits2</f>
        <v>78.049509</v>
      </c>
      <c r="AH73">
        <f>SUMPRODUCT(DB_STProjectMonth[[#This Row],[SumOfAct01]:[SumOfAct12]],$Q$13:$AB$13)/valUnits2</f>
        <v>72.256789999999995</v>
      </c>
      <c r="AI73">
        <f>IF(DB_STProjectMonth[[#This Row],[FY Plan]]&lt;&gt;0,DB_STProjectMonth[[#This Row],[FY Actuals]]/DB_STProjectMonth[[#This Row],[FY Plan]],0)</f>
        <v>0.92578148057279896</v>
      </c>
    </row>
    <row r="74" spans="2:35" x14ac:dyDescent="0.2">
      <c r="B74" t="s">
        <v>351</v>
      </c>
      <c r="C74" t="s">
        <v>505</v>
      </c>
      <c r="D74" t="s">
        <v>964</v>
      </c>
      <c r="E74">
        <v>26.3</v>
      </c>
      <c r="H74">
        <v>1305.654</v>
      </c>
      <c r="I74">
        <v>5367.0060000000003</v>
      </c>
      <c r="J74">
        <v>0</v>
      </c>
      <c r="Q74">
        <v>26.3</v>
      </c>
      <c r="T74">
        <v>1298.21</v>
      </c>
      <c r="U74">
        <v>5395.34</v>
      </c>
      <c r="V74">
        <v>2024.4900000000002</v>
      </c>
      <c r="AC74">
        <f>SUMPRODUCT(DB_STProjectMonth[[#This Row],[SumOfPlan01]:[SumOfPlan12]],$E$14:$P$14)/valUnits2</f>
        <v>6.6989600000000005</v>
      </c>
      <c r="AD74">
        <f>SUMPRODUCT(DB_STProjectMonth[[#This Row],[SumOfAct01]:[SumOfAct12]],$Q$14:$AB$14)/valUnits2</f>
        <v>8.7443399999999993</v>
      </c>
      <c r="AE74">
        <f>DB_STProjectMonth[[#This Row],[Actual]]-DB_STProjectMonth[[#This Row],[Plan]]</f>
        <v>2.0453799999999989</v>
      </c>
      <c r="AF74">
        <f>IF(DB_STProjectMonth[[#This Row],[Plan]]&lt;&gt;0,DB_STProjectMonth[[#This Row],[Actual]]/DB_STProjectMonth[[#This Row],[Plan]],1.000011000011)</f>
        <v>1.3053279912105757</v>
      </c>
      <c r="AG74">
        <f>SUM(DB_STProjectMonth[[#This Row],[SumOfPlan01]:[SumOfPlan12]])/valUnits2</f>
        <v>6.6989600000000005</v>
      </c>
      <c r="AH74">
        <f>SUMPRODUCT(DB_STProjectMonth[[#This Row],[SumOfAct01]:[SumOfAct12]],$Q$13:$AB$13)/valUnits2</f>
        <v>8.7443399999999993</v>
      </c>
      <c r="AI74">
        <f>IF(DB_STProjectMonth[[#This Row],[FY Plan]]&lt;&gt;0,DB_STProjectMonth[[#This Row],[FY Actuals]]/DB_STProjectMonth[[#This Row],[FY Plan]],0)</f>
        <v>1.3053279912105757</v>
      </c>
    </row>
    <row r="75" spans="2:35" x14ac:dyDescent="0.2">
      <c r="B75" t="s">
        <v>351</v>
      </c>
      <c r="C75" t="s">
        <v>506</v>
      </c>
      <c r="D75" t="s">
        <v>990</v>
      </c>
      <c r="E75">
        <v>4217.107</v>
      </c>
      <c r="F75">
        <v>4199.4420000000009</v>
      </c>
      <c r="G75">
        <v>4208.4850000000006</v>
      </c>
      <c r="H75">
        <v>4375.2370000000001</v>
      </c>
      <c r="I75">
        <v>4525.7540000000008</v>
      </c>
      <c r="J75">
        <v>4166.6670000000004</v>
      </c>
      <c r="K75">
        <v>4166.6670000000004</v>
      </c>
      <c r="L75">
        <v>4166.6670000000004</v>
      </c>
      <c r="M75">
        <v>4166.6670000000004</v>
      </c>
      <c r="N75">
        <v>4166.6670000000004</v>
      </c>
      <c r="O75">
        <v>4166.6670000000004</v>
      </c>
      <c r="P75">
        <v>4166.6670000000004</v>
      </c>
      <c r="Q75">
        <v>50.44</v>
      </c>
      <c r="R75">
        <v>32.770000000000003</v>
      </c>
      <c r="S75">
        <v>41.97</v>
      </c>
      <c r="T75">
        <v>204.53</v>
      </c>
      <c r="U75">
        <v>357.3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f>SUMPRODUCT(DB_STProjectMonth[[#This Row],[SumOfPlan01]:[SumOfPlan12]],$E$14:$P$14)/valUnits2</f>
        <v>25.692692000000001</v>
      </c>
      <c r="AD75">
        <f>SUMPRODUCT(DB_STProjectMonth[[#This Row],[SumOfAct01]:[SumOfAct12]],$Q$14:$AB$14)/valUnits2</f>
        <v>0.68701000000000001</v>
      </c>
      <c r="AE75">
        <f>DB_STProjectMonth[[#This Row],[Actual]]-DB_STProjectMonth[[#This Row],[Plan]]</f>
        <v>-25.005682</v>
      </c>
      <c r="AF75">
        <f>IF(DB_STProjectMonth[[#This Row],[Plan]]&lt;&gt;0,DB_STProjectMonth[[#This Row],[Actual]]/DB_STProjectMonth[[#This Row],[Plan]],1.000011000011)</f>
        <v>2.6739510207805395E-2</v>
      </c>
      <c r="AG75">
        <f>SUM(DB_STProjectMonth[[#This Row],[SumOfPlan01]:[SumOfPlan12]])/valUnits2</f>
        <v>50.69269400000001</v>
      </c>
      <c r="AH75">
        <f>SUMPRODUCT(DB_STProjectMonth[[#This Row],[SumOfAct01]:[SumOfAct12]],$Q$13:$AB$13)/valUnits2</f>
        <v>0.68701000000000001</v>
      </c>
      <c r="AI75">
        <f>IF(DB_STProjectMonth[[#This Row],[FY Plan]]&lt;&gt;0,DB_STProjectMonth[[#This Row],[FY Actuals]]/DB_STProjectMonth[[#This Row],[FY Plan]],0)</f>
        <v>1.3552446038871003E-2</v>
      </c>
    </row>
    <row r="76" spans="2:35" x14ac:dyDescent="0.2">
      <c r="B76" t="s">
        <v>343</v>
      </c>
      <c r="C76" t="s">
        <v>507</v>
      </c>
      <c r="D76" t="s">
        <v>977</v>
      </c>
      <c r="G76">
        <v>-34974.351000000002</v>
      </c>
      <c r="S76">
        <v>-34749.879999999997</v>
      </c>
      <c r="AC76">
        <f>SUMPRODUCT(DB_STProjectMonth[[#This Row],[SumOfPlan01]:[SumOfPlan12]],$E$14:$P$14)/valUnits2</f>
        <v>-34.974351000000006</v>
      </c>
      <c r="AD76">
        <f>SUMPRODUCT(DB_STProjectMonth[[#This Row],[SumOfAct01]:[SumOfAct12]],$Q$14:$AB$14)/valUnits2</f>
        <v>-34.749879999999997</v>
      </c>
      <c r="AE76">
        <f>DB_STProjectMonth[[#This Row],[Actual]]-DB_STProjectMonth[[#This Row],[Plan]]</f>
        <v>0.2244710000000083</v>
      </c>
      <c r="AF76">
        <f>IF(DB_STProjectMonth[[#This Row],[Plan]]&lt;&gt;0,DB_STProjectMonth[[#This Row],[Actual]]/DB_STProjectMonth[[#This Row],[Plan]],1.000011000011)</f>
        <v>0.99358183944571243</v>
      </c>
      <c r="AG76">
        <f>SUM(DB_STProjectMonth[[#This Row],[SumOfPlan01]:[SumOfPlan12]])/valUnits2</f>
        <v>-34.974351000000006</v>
      </c>
      <c r="AH76">
        <f>SUMPRODUCT(DB_STProjectMonth[[#This Row],[SumOfAct01]:[SumOfAct12]],$Q$13:$AB$13)/valUnits2</f>
        <v>-34.749879999999997</v>
      </c>
      <c r="AI76">
        <f>IF(DB_STProjectMonth[[#This Row],[FY Plan]]&lt;&gt;0,DB_STProjectMonth[[#This Row],[FY Actuals]]/DB_STProjectMonth[[#This Row],[FY Plan]],0)</f>
        <v>0.99358183944571243</v>
      </c>
    </row>
    <row r="77" spans="2:35" x14ac:dyDescent="0.2">
      <c r="B77" t="s">
        <v>343</v>
      </c>
      <c r="C77" t="s">
        <v>508</v>
      </c>
      <c r="D77" t="s">
        <v>938</v>
      </c>
      <c r="E77">
        <v>215921.79800000001</v>
      </c>
      <c r="F77">
        <v>382353.63800000009</v>
      </c>
      <c r="G77">
        <v>464928.49799999996</v>
      </c>
      <c r="H77">
        <v>572860.24300000013</v>
      </c>
      <c r="I77">
        <v>869353.78100000031</v>
      </c>
      <c r="J77">
        <v>735029.40600000008</v>
      </c>
      <c r="K77">
        <v>703729.44700000016</v>
      </c>
      <c r="L77">
        <v>720395.75400000031</v>
      </c>
      <c r="M77">
        <v>707596.03800000018</v>
      </c>
      <c r="N77">
        <v>600367.26700000011</v>
      </c>
      <c r="O77">
        <v>388777.21499999991</v>
      </c>
      <c r="P77">
        <v>4089.3270000000002</v>
      </c>
      <c r="Q77">
        <v>120798.50000000001</v>
      </c>
      <c r="R77">
        <v>210135.70999999985</v>
      </c>
      <c r="S77">
        <v>282874.15999999986</v>
      </c>
      <c r="T77">
        <v>284494.87000000005</v>
      </c>
      <c r="U77">
        <v>170887.63999999993</v>
      </c>
      <c r="V77">
        <v>236705.28000000014</v>
      </c>
      <c r="W77">
        <v>13036.52</v>
      </c>
      <c r="X77">
        <v>0</v>
      </c>
      <c r="Y77">
        <v>0</v>
      </c>
      <c r="Z77">
        <v>0</v>
      </c>
      <c r="AA77">
        <v>0</v>
      </c>
      <c r="AB77">
        <v>0</v>
      </c>
      <c r="AC77">
        <f>SUMPRODUCT(DB_STProjectMonth[[#This Row],[SumOfPlan01]:[SumOfPlan12]],$E$14:$P$14)/valUnits2</f>
        <v>3240.4473640000006</v>
      </c>
      <c r="AD77">
        <f>SUMPRODUCT(DB_STProjectMonth[[#This Row],[SumOfAct01]:[SumOfAct12]],$Q$14:$AB$14)/valUnits2</f>
        <v>1305.8961599999998</v>
      </c>
      <c r="AE77">
        <f>DB_STProjectMonth[[#This Row],[Actual]]-DB_STProjectMonth[[#This Row],[Plan]]</f>
        <v>-1934.5512040000008</v>
      </c>
      <c r="AF77">
        <f>IF(DB_STProjectMonth[[#This Row],[Plan]]&lt;&gt;0,DB_STProjectMonth[[#This Row],[Actual]]/DB_STProjectMonth[[#This Row],[Plan]],1.000011000011)</f>
        <v>0.40299872619686827</v>
      </c>
      <c r="AG77">
        <f>SUM(DB_STProjectMonth[[#This Row],[SumOfPlan01]:[SumOfPlan12]])/valUnits2</f>
        <v>6365.4024120000013</v>
      </c>
      <c r="AH77">
        <f>SUMPRODUCT(DB_STProjectMonth[[#This Row],[SumOfAct01]:[SumOfAct12]],$Q$13:$AB$13)/valUnits2</f>
        <v>1305.8961599999998</v>
      </c>
      <c r="AI77">
        <f>IF(DB_STProjectMonth[[#This Row],[FY Plan]]&lt;&gt;0,DB_STProjectMonth[[#This Row],[FY Actuals]]/DB_STProjectMonth[[#This Row],[FY Plan]],0)</f>
        <v>0.20515531862339695</v>
      </c>
    </row>
    <row r="78" spans="2:35" x14ac:dyDescent="0.2">
      <c r="B78" t="s">
        <v>343</v>
      </c>
      <c r="C78" t="s">
        <v>508</v>
      </c>
      <c r="D78" t="s">
        <v>939</v>
      </c>
      <c r="E78">
        <v>2808.1200000000003</v>
      </c>
      <c r="F78">
        <v>2500</v>
      </c>
      <c r="G78">
        <v>2500</v>
      </c>
      <c r="H78">
        <v>42132.15</v>
      </c>
      <c r="I78">
        <v>10878.82</v>
      </c>
      <c r="J78">
        <v>39289.993999999999</v>
      </c>
      <c r="K78">
        <v>2500</v>
      </c>
      <c r="L78">
        <v>2500</v>
      </c>
      <c r="M78">
        <v>2500</v>
      </c>
      <c r="N78">
        <v>2500</v>
      </c>
      <c r="O78">
        <v>2500</v>
      </c>
      <c r="P78">
        <v>2500</v>
      </c>
      <c r="Q78">
        <v>308.12</v>
      </c>
      <c r="R78">
        <v>0</v>
      </c>
      <c r="S78">
        <v>0</v>
      </c>
      <c r="T78">
        <v>39632.149999999994</v>
      </c>
      <c r="U78">
        <v>8378.8200000000015</v>
      </c>
      <c r="V78">
        <v>9232.15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f>SUMPRODUCT(DB_STProjectMonth[[#This Row],[SumOfPlan01]:[SumOfPlan12]],$E$14:$P$14)/valUnits2</f>
        <v>100.109084</v>
      </c>
      <c r="AD78">
        <f>SUMPRODUCT(DB_STProjectMonth[[#This Row],[SumOfAct01]:[SumOfAct12]],$Q$14:$AB$14)/valUnits2</f>
        <v>57.55124</v>
      </c>
      <c r="AE78">
        <f>DB_STProjectMonth[[#This Row],[Actual]]-DB_STProjectMonth[[#This Row],[Plan]]</f>
        <v>-42.557843999999996</v>
      </c>
      <c r="AF78">
        <f>IF(DB_STProjectMonth[[#This Row],[Plan]]&lt;&gt;0,DB_STProjectMonth[[#This Row],[Actual]]/DB_STProjectMonth[[#This Row],[Plan]],1.000011000011)</f>
        <v>0.57488529212793515</v>
      </c>
      <c r="AG78">
        <f>SUM(DB_STProjectMonth[[#This Row],[SumOfPlan01]:[SumOfPlan12]])/valUnits2</f>
        <v>115.109084</v>
      </c>
      <c r="AH78">
        <f>SUMPRODUCT(DB_STProjectMonth[[#This Row],[SumOfAct01]:[SumOfAct12]],$Q$13:$AB$13)/valUnits2</f>
        <v>57.55124</v>
      </c>
      <c r="AI78">
        <f>IF(DB_STProjectMonth[[#This Row],[FY Plan]]&lt;&gt;0,DB_STProjectMonth[[#This Row],[FY Actuals]]/DB_STProjectMonth[[#This Row],[FY Plan]],0)</f>
        <v>0.49997131416665608</v>
      </c>
    </row>
    <row r="79" spans="2:35" x14ac:dyDescent="0.2">
      <c r="B79" t="s">
        <v>343</v>
      </c>
      <c r="C79" t="s">
        <v>508</v>
      </c>
      <c r="D79" t="s">
        <v>954</v>
      </c>
      <c r="E79">
        <v>6195.621000000001</v>
      </c>
      <c r="F79">
        <v>5389.0209999999997</v>
      </c>
      <c r="G79">
        <v>33493.805</v>
      </c>
      <c r="H79">
        <v>5774.4969999999994</v>
      </c>
      <c r="I79">
        <v>6729.3769999999995</v>
      </c>
      <c r="J79">
        <v>162283.679</v>
      </c>
      <c r="K79">
        <v>22853.374</v>
      </c>
      <c r="L79">
        <v>157713.17599999998</v>
      </c>
      <c r="M79">
        <v>23981.730000000003</v>
      </c>
      <c r="N79">
        <v>161194.774</v>
      </c>
      <c r="O79">
        <v>25470.115000000002</v>
      </c>
      <c r="P79">
        <v>151010.23300000001</v>
      </c>
      <c r="Q79">
        <v>3976.67</v>
      </c>
      <c r="R79">
        <v>3221.4100000000003</v>
      </c>
      <c r="S79">
        <v>31074.829999999998</v>
      </c>
      <c r="T79">
        <v>3492.9200000000005</v>
      </c>
      <c r="U79">
        <v>4464.74</v>
      </c>
      <c r="V79">
        <v>1745.98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f>SUMPRODUCT(DB_STProjectMonth[[#This Row],[SumOfPlan01]:[SumOfPlan12]],$E$14:$P$14)/valUnits2</f>
        <v>219.86600000000001</v>
      </c>
      <c r="AD79">
        <f>SUMPRODUCT(DB_STProjectMonth[[#This Row],[SumOfAct01]:[SumOfAct12]],$Q$14:$AB$14)/valUnits2</f>
        <v>47.976549999999996</v>
      </c>
      <c r="AE79">
        <f>DB_STProjectMonth[[#This Row],[Actual]]-DB_STProjectMonth[[#This Row],[Plan]]</f>
        <v>-171.88945000000001</v>
      </c>
      <c r="AF79">
        <f>IF(DB_STProjectMonth[[#This Row],[Plan]]&lt;&gt;0,DB_STProjectMonth[[#This Row],[Actual]]/DB_STProjectMonth[[#This Row],[Plan]],1.000011000011)</f>
        <v>0.21820813586457202</v>
      </c>
      <c r="AG79">
        <f>SUM(DB_STProjectMonth[[#This Row],[SumOfPlan01]:[SumOfPlan12]])/valUnits2</f>
        <v>762.08940199999995</v>
      </c>
      <c r="AH79">
        <f>SUMPRODUCT(DB_STProjectMonth[[#This Row],[SumOfAct01]:[SumOfAct12]],$Q$13:$AB$13)/valUnits2</f>
        <v>47.976549999999996</v>
      </c>
      <c r="AI79">
        <f>IF(DB_STProjectMonth[[#This Row],[FY Plan]]&lt;&gt;0,DB_STProjectMonth[[#This Row],[FY Actuals]]/DB_STProjectMonth[[#This Row],[FY Plan]],0)</f>
        <v>6.2953965603106496E-2</v>
      </c>
    </row>
    <row r="80" spans="2:35" x14ac:dyDescent="0.2">
      <c r="B80" t="s">
        <v>343</v>
      </c>
      <c r="C80" t="s">
        <v>508</v>
      </c>
      <c r="D80" t="s">
        <v>960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C80">
        <f>SUMPRODUCT(DB_STProjectMonth[[#This Row],[SumOfPlan01]:[SumOfPlan12]],$E$14:$P$14)/valUnits2</f>
        <v>0</v>
      </c>
      <c r="AD80">
        <f>SUMPRODUCT(DB_STProjectMonth[[#This Row],[SumOfAct01]:[SumOfAct12]],$Q$14:$AB$14)/valUnits2</f>
        <v>0</v>
      </c>
      <c r="AE80">
        <f>DB_STProjectMonth[[#This Row],[Actual]]-DB_STProjectMonth[[#This Row],[Plan]]</f>
        <v>0</v>
      </c>
      <c r="AF80">
        <f>IF(DB_STProjectMonth[[#This Row],[Plan]]&lt;&gt;0,DB_STProjectMonth[[#This Row],[Actual]]/DB_STProjectMonth[[#This Row],[Plan]],1.000011000011)</f>
        <v>1.0000110000110001</v>
      </c>
      <c r="AG80">
        <f>SUM(DB_STProjectMonth[[#This Row],[SumOfPlan01]:[SumOfPlan12]])/valUnits2</f>
        <v>0</v>
      </c>
      <c r="AH80">
        <f>SUMPRODUCT(DB_STProjectMonth[[#This Row],[SumOfAct01]:[SumOfAct12]],$Q$13:$AB$13)/valUnits2</f>
        <v>0</v>
      </c>
      <c r="AI80">
        <f>IF(DB_STProjectMonth[[#This Row],[FY Plan]]&lt;&gt;0,DB_STProjectMonth[[#This Row],[FY Actuals]]/DB_STProjectMonth[[#This Row],[FY Plan]],0)</f>
        <v>0</v>
      </c>
    </row>
    <row r="81" spans="2:35" x14ac:dyDescent="0.2">
      <c r="B81" t="s">
        <v>343</v>
      </c>
      <c r="C81" t="s">
        <v>508</v>
      </c>
      <c r="D81" t="s">
        <v>989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C81">
        <f>SUMPRODUCT(DB_STProjectMonth[[#This Row],[SumOfPlan01]:[SumOfPlan12]],$E$14:$P$14)/valUnits2</f>
        <v>0</v>
      </c>
      <c r="AD81">
        <f>SUMPRODUCT(DB_STProjectMonth[[#This Row],[SumOfAct01]:[SumOfAct12]],$Q$14:$AB$14)/valUnits2</f>
        <v>0</v>
      </c>
      <c r="AE81">
        <f>DB_STProjectMonth[[#This Row],[Actual]]-DB_STProjectMonth[[#This Row],[Plan]]</f>
        <v>0</v>
      </c>
      <c r="AF81">
        <f>IF(DB_STProjectMonth[[#This Row],[Plan]]&lt;&gt;0,DB_STProjectMonth[[#This Row],[Actual]]/DB_STProjectMonth[[#This Row],[Plan]],1.000011000011)</f>
        <v>1.0000110000110001</v>
      </c>
      <c r="AG81">
        <f>SUM(DB_STProjectMonth[[#This Row],[SumOfPlan01]:[SumOfPlan12]])/valUnits2</f>
        <v>0</v>
      </c>
      <c r="AH81">
        <f>SUMPRODUCT(DB_STProjectMonth[[#This Row],[SumOfAct01]:[SumOfAct12]],$Q$13:$AB$13)/valUnits2</f>
        <v>0</v>
      </c>
      <c r="AI81">
        <f>IF(DB_STProjectMonth[[#This Row],[FY Plan]]&lt;&gt;0,DB_STProjectMonth[[#This Row],[FY Actuals]]/DB_STProjectMonth[[#This Row],[FY Plan]],0)</f>
        <v>0</v>
      </c>
    </row>
    <row r="82" spans="2:35" x14ac:dyDescent="0.2">
      <c r="B82" t="s">
        <v>343</v>
      </c>
      <c r="C82" t="s">
        <v>509</v>
      </c>
      <c r="D82" t="s">
        <v>971</v>
      </c>
      <c r="E82">
        <v>28867.22</v>
      </c>
      <c r="F82">
        <v>35171.499999999993</v>
      </c>
      <c r="G82">
        <v>54658.450000000004</v>
      </c>
      <c r="H82">
        <v>41769.94000000001</v>
      </c>
      <c r="I82">
        <v>36141.020000000004</v>
      </c>
      <c r="J82">
        <v>97259.601999999999</v>
      </c>
      <c r="K82">
        <v>120926.268</v>
      </c>
      <c r="L82">
        <v>78207.511000000013</v>
      </c>
      <c r="M82">
        <v>75379.602000000014</v>
      </c>
      <c r="N82">
        <v>106165.06</v>
      </c>
      <c r="O82">
        <v>66759.602000000014</v>
      </c>
      <c r="P82">
        <v>92875.166000000012</v>
      </c>
      <c r="Q82">
        <v>28867.22</v>
      </c>
      <c r="R82">
        <v>35237.410000000003</v>
      </c>
      <c r="S82">
        <v>54658.44999999999</v>
      </c>
      <c r="T82">
        <v>41823.65</v>
      </c>
      <c r="U82">
        <v>36201.340000000011</v>
      </c>
      <c r="V82">
        <v>106294.89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f>SUMPRODUCT(DB_STProjectMonth[[#This Row],[SumOfPlan01]:[SumOfPlan12]],$E$14:$P$14)/valUnits2</f>
        <v>293.86773200000005</v>
      </c>
      <c r="AD82">
        <f>SUMPRODUCT(DB_STProjectMonth[[#This Row],[SumOfAct01]:[SumOfAct12]],$Q$14:$AB$14)/valUnits2</f>
        <v>303.08296000000001</v>
      </c>
      <c r="AE82">
        <f>DB_STProjectMonth[[#This Row],[Actual]]-DB_STProjectMonth[[#This Row],[Plan]]</f>
        <v>9.2152279999999678</v>
      </c>
      <c r="AF82">
        <f>IF(DB_STProjectMonth[[#This Row],[Plan]]&lt;&gt;0,DB_STProjectMonth[[#This Row],[Actual]]/DB_STProjectMonth[[#This Row],[Plan]],1.000011000011)</f>
        <v>1.0313584208013691</v>
      </c>
      <c r="AG82">
        <f>SUM(DB_STProjectMonth[[#This Row],[SumOfPlan01]:[SumOfPlan12]])/valUnits2</f>
        <v>834.18094099999985</v>
      </c>
      <c r="AH82">
        <f>SUMPRODUCT(DB_STProjectMonth[[#This Row],[SumOfAct01]:[SumOfAct12]],$Q$13:$AB$13)/valUnits2</f>
        <v>303.08296000000001</v>
      </c>
      <c r="AI82">
        <f>IF(DB_STProjectMonth[[#This Row],[FY Plan]]&lt;&gt;0,DB_STProjectMonth[[#This Row],[FY Actuals]]/DB_STProjectMonth[[#This Row],[FY Plan]],0)</f>
        <v>0.36332999844934133</v>
      </c>
    </row>
    <row r="83" spans="2:35" x14ac:dyDescent="0.2">
      <c r="B83" t="s">
        <v>344</v>
      </c>
      <c r="C83" t="s">
        <v>510</v>
      </c>
      <c r="D83" t="s">
        <v>956</v>
      </c>
      <c r="E83">
        <v>302169.71799999999</v>
      </c>
      <c r="F83">
        <v>127099.35499999997</v>
      </c>
      <c r="G83">
        <v>207000.44600000008</v>
      </c>
      <c r="H83">
        <v>1969811.9500000002</v>
      </c>
      <c r="I83">
        <v>438806.39500000002</v>
      </c>
      <c r="J83">
        <v>1806667.1410000001</v>
      </c>
      <c r="K83">
        <v>241779.03299999991</v>
      </c>
      <c r="L83">
        <v>238570.21399999992</v>
      </c>
      <c r="M83">
        <v>1770084.7790000001</v>
      </c>
      <c r="N83">
        <v>263508.00999999995</v>
      </c>
      <c r="O83">
        <v>282286.45400000009</v>
      </c>
      <c r="P83">
        <v>1693768.0220000001</v>
      </c>
      <c r="Q83">
        <v>302037.87000000029</v>
      </c>
      <c r="R83">
        <v>127293.38000000005</v>
      </c>
      <c r="S83">
        <v>207981.46000000002</v>
      </c>
      <c r="T83">
        <v>1969694.8300000003</v>
      </c>
      <c r="U83">
        <v>442139.48000000033</v>
      </c>
      <c r="V83">
        <v>738271.8400000002</v>
      </c>
      <c r="W83">
        <v>449.41</v>
      </c>
      <c r="X83">
        <v>0</v>
      </c>
      <c r="Y83">
        <v>0</v>
      </c>
      <c r="Z83">
        <v>0</v>
      </c>
      <c r="AA83">
        <v>0</v>
      </c>
      <c r="AB83">
        <v>0</v>
      </c>
      <c r="AC83">
        <f>SUMPRODUCT(DB_STProjectMonth[[#This Row],[SumOfPlan01]:[SumOfPlan12]],$E$14:$P$14)/valUnits2</f>
        <v>4851.5550050000011</v>
      </c>
      <c r="AD83">
        <f>SUMPRODUCT(DB_STProjectMonth[[#This Row],[SumOfAct01]:[SumOfAct12]],$Q$14:$AB$14)/valUnits2</f>
        <v>3787.4188600000016</v>
      </c>
      <c r="AE83">
        <f>DB_STProjectMonth[[#This Row],[Actual]]-DB_STProjectMonth[[#This Row],[Plan]]</f>
        <v>-1064.1361449999995</v>
      </c>
      <c r="AF83">
        <f>IF(DB_STProjectMonth[[#This Row],[Plan]]&lt;&gt;0,DB_STProjectMonth[[#This Row],[Actual]]/DB_STProjectMonth[[#This Row],[Plan]],1.000011000011)</f>
        <v>0.78066081000765664</v>
      </c>
      <c r="AG83">
        <f>SUM(DB_STProjectMonth[[#This Row],[SumOfPlan01]:[SumOfPlan12]])/valUnits2</f>
        <v>9341.5515170000017</v>
      </c>
      <c r="AH83">
        <f>SUMPRODUCT(DB_STProjectMonth[[#This Row],[SumOfAct01]:[SumOfAct12]],$Q$13:$AB$13)/valUnits2</f>
        <v>3787.4188600000016</v>
      </c>
      <c r="AI83">
        <f>IF(DB_STProjectMonth[[#This Row],[FY Plan]]&lt;&gt;0,DB_STProjectMonth[[#This Row],[FY Actuals]]/DB_STProjectMonth[[#This Row],[FY Plan]],0)</f>
        <v>0.40543788182375884</v>
      </c>
    </row>
    <row r="84" spans="2:35" x14ac:dyDescent="0.2">
      <c r="B84" t="s">
        <v>344</v>
      </c>
      <c r="C84" t="s">
        <v>511</v>
      </c>
      <c r="D84" t="s">
        <v>979</v>
      </c>
      <c r="E84">
        <v>0</v>
      </c>
      <c r="F84">
        <v>0</v>
      </c>
      <c r="G84">
        <v>0</v>
      </c>
      <c r="H84">
        <v>684.36</v>
      </c>
      <c r="I84">
        <v>5196.57</v>
      </c>
      <c r="J84">
        <v>31678.894000000004</v>
      </c>
      <c r="K84">
        <v>31678.894000000004</v>
      </c>
      <c r="L84">
        <v>31678.894000000004</v>
      </c>
      <c r="M84">
        <v>31782.894000000004</v>
      </c>
      <c r="Q84">
        <v>0</v>
      </c>
      <c r="R84">
        <v>0</v>
      </c>
      <c r="S84">
        <v>0</v>
      </c>
      <c r="T84">
        <v>684.36</v>
      </c>
      <c r="U84">
        <v>5196.57</v>
      </c>
      <c r="V84">
        <v>4760.05</v>
      </c>
      <c r="W84">
        <v>0</v>
      </c>
      <c r="X84">
        <v>0</v>
      </c>
      <c r="Y84">
        <v>0</v>
      </c>
      <c r="AC84">
        <f>SUMPRODUCT(DB_STProjectMonth[[#This Row],[SumOfPlan01]:[SumOfPlan12]],$E$14:$P$14)/valUnits2</f>
        <v>37.559823999999999</v>
      </c>
      <c r="AD84">
        <f>SUMPRODUCT(DB_STProjectMonth[[#This Row],[SumOfAct01]:[SumOfAct12]],$Q$14:$AB$14)/valUnits2</f>
        <v>10.640979999999999</v>
      </c>
      <c r="AE84">
        <f>DB_STProjectMonth[[#This Row],[Actual]]-DB_STProjectMonth[[#This Row],[Plan]]</f>
        <v>-26.918844</v>
      </c>
      <c r="AF84">
        <f>IF(DB_STProjectMonth[[#This Row],[Plan]]&lt;&gt;0,DB_STProjectMonth[[#This Row],[Actual]]/DB_STProjectMonth[[#This Row],[Plan]],1.000011000011)</f>
        <v>0.28330750431631413</v>
      </c>
      <c r="AG84">
        <f>SUM(DB_STProjectMonth[[#This Row],[SumOfPlan01]:[SumOfPlan12]])/valUnits2</f>
        <v>132.70050600000002</v>
      </c>
      <c r="AH84">
        <f>SUMPRODUCT(DB_STProjectMonth[[#This Row],[SumOfAct01]:[SumOfAct12]],$Q$13:$AB$13)/valUnits2</f>
        <v>10.640979999999999</v>
      </c>
      <c r="AI84">
        <f>IF(DB_STProjectMonth[[#This Row],[FY Plan]]&lt;&gt;0,DB_STProjectMonth[[#This Row],[FY Actuals]]/DB_STProjectMonth[[#This Row],[FY Plan]],0)</f>
        <v>8.0187938394145966E-2</v>
      </c>
    </row>
    <row r="85" spans="2:35" x14ac:dyDescent="0.2">
      <c r="B85" t="s">
        <v>344</v>
      </c>
      <c r="C85" t="s">
        <v>511</v>
      </c>
      <c r="D85" t="s">
        <v>1000</v>
      </c>
      <c r="E85">
        <v>10791.550000000001</v>
      </c>
      <c r="F85">
        <v>17596.89</v>
      </c>
      <c r="G85">
        <v>429401.63000000012</v>
      </c>
      <c r="H85">
        <v>276425.63</v>
      </c>
      <c r="I85">
        <v>47985.639999999992</v>
      </c>
      <c r="J85">
        <v>124506.91699999999</v>
      </c>
      <c r="K85">
        <v>124506.917</v>
      </c>
      <c r="L85">
        <v>124506.917</v>
      </c>
      <c r="M85">
        <v>124506.91699999997</v>
      </c>
      <c r="N85">
        <v>0</v>
      </c>
      <c r="O85">
        <v>0</v>
      </c>
      <c r="P85">
        <v>0</v>
      </c>
      <c r="Q85">
        <v>10791.55</v>
      </c>
      <c r="R85">
        <v>17618.440000000002</v>
      </c>
      <c r="S85">
        <v>429401.63000000018</v>
      </c>
      <c r="T85">
        <v>276425.63</v>
      </c>
      <c r="U85">
        <v>47985.639999999992</v>
      </c>
      <c r="V85">
        <v>40203.200000000026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f>SUMPRODUCT(DB_STProjectMonth[[#This Row],[SumOfPlan01]:[SumOfPlan12]],$E$14:$P$14)/valUnits2</f>
        <v>906.70825700000023</v>
      </c>
      <c r="AD85">
        <f>SUMPRODUCT(DB_STProjectMonth[[#This Row],[SumOfAct01]:[SumOfAct12]],$Q$14:$AB$14)/valUnits2</f>
        <v>822.42609000000027</v>
      </c>
      <c r="AE85">
        <f>DB_STProjectMonth[[#This Row],[Actual]]-DB_STProjectMonth[[#This Row],[Plan]]</f>
        <v>-84.282166999999959</v>
      </c>
      <c r="AF85">
        <f>IF(DB_STProjectMonth[[#This Row],[Plan]]&lt;&gt;0,DB_STProjectMonth[[#This Row],[Actual]]/DB_STProjectMonth[[#This Row],[Plan]],1.000011000011)</f>
        <v>0.90704599153109955</v>
      </c>
      <c r="AG85">
        <f>SUM(DB_STProjectMonth[[#This Row],[SumOfPlan01]:[SumOfPlan12]])/valUnits2</f>
        <v>1280.2290080000002</v>
      </c>
      <c r="AH85">
        <f>SUMPRODUCT(DB_STProjectMonth[[#This Row],[SumOfAct01]:[SumOfAct12]],$Q$13:$AB$13)/valUnits2</f>
        <v>822.42609000000027</v>
      </c>
      <c r="AI85">
        <f>IF(DB_STProjectMonth[[#This Row],[FY Plan]]&lt;&gt;0,DB_STProjectMonth[[#This Row],[FY Actuals]]/DB_STProjectMonth[[#This Row],[FY Plan]],0)</f>
        <v>0.64240544844770464</v>
      </c>
    </row>
    <row r="86" spans="2:35" x14ac:dyDescent="0.2">
      <c r="B86" t="s">
        <v>345</v>
      </c>
      <c r="C86" t="s">
        <v>512</v>
      </c>
      <c r="D86" t="s">
        <v>944</v>
      </c>
      <c r="E86">
        <v>65719.659999999989</v>
      </c>
      <c r="F86">
        <v>5210.2360000000035</v>
      </c>
      <c r="G86">
        <v>77030.712000000014</v>
      </c>
      <c r="H86">
        <v>118105.82899999997</v>
      </c>
      <c r="I86">
        <v>117964.57100000001</v>
      </c>
      <c r="J86">
        <v>104828.03100000003</v>
      </c>
      <c r="K86">
        <v>91784.982000000047</v>
      </c>
      <c r="L86">
        <v>94447.068000000043</v>
      </c>
      <c r="M86">
        <v>91784.982000000033</v>
      </c>
      <c r="N86">
        <v>91784.982000000047</v>
      </c>
      <c r="O86">
        <v>96576.998000000051</v>
      </c>
      <c r="P86">
        <v>91784.982000000062</v>
      </c>
      <c r="Q86">
        <v>64850.26999999999</v>
      </c>
      <c r="R86">
        <v>5254.0800000000108</v>
      </c>
      <c r="S86">
        <v>77666.81</v>
      </c>
      <c r="T86">
        <v>119743.00000000003</v>
      </c>
      <c r="U86">
        <v>118016.49999999999</v>
      </c>
      <c r="V86">
        <v>74267.640000000014</v>
      </c>
      <c r="W86">
        <v>2515</v>
      </c>
      <c r="X86">
        <v>0</v>
      </c>
      <c r="Y86">
        <v>0</v>
      </c>
      <c r="Z86">
        <v>0</v>
      </c>
      <c r="AA86">
        <v>0</v>
      </c>
      <c r="AB86">
        <v>0</v>
      </c>
      <c r="AC86">
        <f>SUMPRODUCT(DB_STProjectMonth[[#This Row],[SumOfPlan01]:[SumOfPlan12]],$E$14:$P$14)/valUnits2</f>
        <v>488.859039</v>
      </c>
      <c r="AD86">
        <f>SUMPRODUCT(DB_STProjectMonth[[#This Row],[SumOfAct01]:[SumOfAct12]],$Q$14:$AB$14)/valUnits2</f>
        <v>459.79830000000004</v>
      </c>
      <c r="AE86">
        <f>DB_STProjectMonth[[#This Row],[Actual]]-DB_STProjectMonth[[#This Row],[Plan]]</f>
        <v>-29.060738999999955</v>
      </c>
      <c r="AF86">
        <f>IF(DB_STProjectMonth[[#This Row],[Plan]]&lt;&gt;0,DB_STProjectMonth[[#This Row],[Actual]]/DB_STProjectMonth[[#This Row],[Plan]],1.000011000011)</f>
        <v>0.94055394974501028</v>
      </c>
      <c r="AG86">
        <f>SUM(DB_STProjectMonth[[#This Row],[SumOfPlan01]:[SumOfPlan12]])/valUnits2</f>
        <v>1047.0230330000004</v>
      </c>
      <c r="AH86">
        <f>SUMPRODUCT(DB_STProjectMonth[[#This Row],[SumOfAct01]:[SumOfAct12]],$Q$13:$AB$13)/valUnits2</f>
        <v>459.79830000000004</v>
      </c>
      <c r="AI86">
        <f>IF(DB_STProjectMonth[[#This Row],[FY Plan]]&lt;&gt;0,DB_STProjectMonth[[#This Row],[FY Actuals]]/DB_STProjectMonth[[#This Row],[FY Plan]],0)</f>
        <v>0.43914821881478117</v>
      </c>
    </row>
    <row r="87" spans="2:35" x14ac:dyDescent="0.2">
      <c r="B87" t="s">
        <v>345</v>
      </c>
      <c r="C87" t="s">
        <v>513</v>
      </c>
      <c r="D87" t="s">
        <v>996</v>
      </c>
      <c r="E87">
        <v>467.00099999999998</v>
      </c>
      <c r="F87">
        <v>1640.1860000000001</v>
      </c>
      <c r="G87">
        <v>5402.9279999999999</v>
      </c>
      <c r="H87">
        <v>17264.332999999999</v>
      </c>
      <c r="I87">
        <v>2409.3450000000003</v>
      </c>
      <c r="Q87">
        <v>383.46</v>
      </c>
      <c r="R87">
        <v>1555.41</v>
      </c>
      <c r="S87">
        <v>5298.420000000001</v>
      </c>
      <c r="T87">
        <v>13512.25</v>
      </c>
      <c r="U87">
        <v>2536.7600000000002</v>
      </c>
      <c r="AC87">
        <f>SUMPRODUCT(DB_STProjectMonth[[#This Row],[SumOfPlan01]:[SumOfPlan12]],$E$14:$P$14)/valUnits2</f>
        <v>27.183792999999998</v>
      </c>
      <c r="AD87">
        <f>SUMPRODUCT(DB_STProjectMonth[[#This Row],[SumOfAct01]:[SumOfAct12]],$Q$14:$AB$14)/valUnits2</f>
        <v>23.286300000000004</v>
      </c>
      <c r="AE87">
        <f>DB_STProjectMonth[[#This Row],[Actual]]-DB_STProjectMonth[[#This Row],[Plan]]</f>
        <v>-3.8974929999999937</v>
      </c>
      <c r="AF87">
        <f>IF(DB_STProjectMonth[[#This Row],[Plan]]&lt;&gt;0,DB_STProjectMonth[[#This Row],[Actual]]/DB_STProjectMonth[[#This Row],[Plan]],1.000011000011)</f>
        <v>0.85662438644967631</v>
      </c>
      <c r="AG87">
        <f>SUM(DB_STProjectMonth[[#This Row],[SumOfPlan01]:[SumOfPlan12]])/valUnits2</f>
        <v>27.183792999999998</v>
      </c>
      <c r="AH87">
        <f>SUMPRODUCT(DB_STProjectMonth[[#This Row],[SumOfAct01]:[SumOfAct12]],$Q$13:$AB$13)/valUnits2</f>
        <v>23.286300000000004</v>
      </c>
      <c r="AI87">
        <f>IF(DB_STProjectMonth[[#This Row],[FY Plan]]&lt;&gt;0,DB_STProjectMonth[[#This Row],[FY Actuals]]/DB_STProjectMonth[[#This Row],[FY Plan]],0)</f>
        <v>0.85662438644967631</v>
      </c>
    </row>
    <row r="88" spans="2:35" x14ac:dyDescent="0.2">
      <c r="B88" t="s">
        <v>345</v>
      </c>
      <c r="C88" t="s">
        <v>514</v>
      </c>
      <c r="D88" t="s">
        <v>951</v>
      </c>
      <c r="G88">
        <v>942.30700000000002</v>
      </c>
      <c r="H88">
        <v>11574.745000000001</v>
      </c>
      <c r="S88">
        <v>936.19</v>
      </c>
      <c r="T88">
        <v>11651.449999999999</v>
      </c>
      <c r="AC88">
        <f>SUMPRODUCT(DB_STProjectMonth[[#This Row],[SumOfPlan01]:[SumOfPlan12]],$E$14:$P$14)/valUnits2</f>
        <v>12.517052000000001</v>
      </c>
      <c r="AD88">
        <f>SUMPRODUCT(DB_STProjectMonth[[#This Row],[SumOfAct01]:[SumOfAct12]],$Q$14:$AB$14)/valUnits2</f>
        <v>12.587639999999999</v>
      </c>
      <c r="AE88">
        <f>DB_STProjectMonth[[#This Row],[Actual]]-DB_STProjectMonth[[#This Row],[Plan]]</f>
        <v>7.0587999999997209E-2</v>
      </c>
      <c r="AF88">
        <f>IF(DB_STProjectMonth[[#This Row],[Plan]]&lt;&gt;0,DB_STProjectMonth[[#This Row],[Actual]]/DB_STProjectMonth[[#This Row],[Plan]],1.000011000011)</f>
        <v>1.0056393470283576</v>
      </c>
      <c r="AG88">
        <f>SUM(DB_STProjectMonth[[#This Row],[SumOfPlan01]:[SumOfPlan12]])/valUnits2</f>
        <v>12.517052000000001</v>
      </c>
      <c r="AH88">
        <f>SUMPRODUCT(DB_STProjectMonth[[#This Row],[SumOfAct01]:[SumOfAct12]],$Q$13:$AB$13)/valUnits2</f>
        <v>12.587639999999999</v>
      </c>
      <c r="AI88">
        <f>IF(DB_STProjectMonth[[#This Row],[FY Plan]]&lt;&gt;0,DB_STProjectMonth[[#This Row],[FY Actuals]]/DB_STProjectMonth[[#This Row],[FY Plan]],0)</f>
        <v>1.0056393470283576</v>
      </c>
    </row>
    <row r="89" spans="2:35" x14ac:dyDescent="0.2">
      <c r="B89" t="s">
        <v>346</v>
      </c>
      <c r="C89" t="s">
        <v>515</v>
      </c>
      <c r="D89" t="s">
        <v>955</v>
      </c>
      <c r="E89">
        <v>15386.895999999999</v>
      </c>
      <c r="F89">
        <v>6869.0990000000002</v>
      </c>
      <c r="G89">
        <v>6371.375</v>
      </c>
      <c r="H89">
        <v>61110.175000000003</v>
      </c>
      <c r="I89">
        <v>19435.687000000002</v>
      </c>
      <c r="J89">
        <v>38817.636000000006</v>
      </c>
      <c r="K89">
        <v>31603.296999999999</v>
      </c>
      <c r="L89">
        <v>33861.678</v>
      </c>
      <c r="M89">
        <v>37505.089</v>
      </c>
      <c r="N89">
        <v>37362.669000000002</v>
      </c>
      <c r="O89">
        <v>37564.241999999998</v>
      </c>
      <c r="Q89">
        <v>15072.140000000003</v>
      </c>
      <c r="R89">
        <v>6993.7000000000007</v>
      </c>
      <c r="S89">
        <v>6446.7899999999991</v>
      </c>
      <c r="T89">
        <v>60725.05999999999</v>
      </c>
      <c r="U89">
        <v>19586.399999999998</v>
      </c>
      <c r="V89">
        <v>118099.39999999997</v>
      </c>
      <c r="W89">
        <v>0</v>
      </c>
      <c r="X89">
        <v>0</v>
      </c>
      <c r="Y89">
        <v>0</v>
      </c>
      <c r="Z89">
        <v>0</v>
      </c>
      <c r="AA89">
        <v>0</v>
      </c>
      <c r="AC89">
        <f>SUMPRODUCT(DB_STProjectMonth[[#This Row],[SumOfPlan01]:[SumOfPlan12]],$E$14:$P$14)/valUnits2</f>
        <v>147.99086800000001</v>
      </c>
      <c r="AD89">
        <f>SUMPRODUCT(DB_STProjectMonth[[#This Row],[SumOfAct01]:[SumOfAct12]],$Q$14:$AB$14)/valUnits2</f>
        <v>226.92348999999996</v>
      </c>
      <c r="AE89">
        <f>DB_STProjectMonth[[#This Row],[Actual]]-DB_STProjectMonth[[#This Row],[Plan]]</f>
        <v>78.932621999999952</v>
      </c>
      <c r="AF89">
        <f>IF(DB_STProjectMonth[[#This Row],[Plan]]&lt;&gt;0,DB_STProjectMonth[[#This Row],[Actual]]/DB_STProjectMonth[[#This Row],[Plan]],1.000011000011)</f>
        <v>1.533361436869199</v>
      </c>
      <c r="AG89">
        <f>SUM(DB_STProjectMonth[[#This Row],[SumOfPlan01]:[SumOfPlan12]])/valUnits2</f>
        <v>325.88784299999998</v>
      </c>
      <c r="AH89">
        <f>SUMPRODUCT(DB_STProjectMonth[[#This Row],[SumOfAct01]:[SumOfAct12]],$Q$13:$AB$13)/valUnits2</f>
        <v>226.92348999999996</v>
      </c>
      <c r="AI89">
        <f>IF(DB_STProjectMonth[[#This Row],[FY Plan]]&lt;&gt;0,DB_STProjectMonth[[#This Row],[FY Actuals]]/DB_STProjectMonth[[#This Row],[FY Plan]],0)</f>
        <v>0.69632388833847958</v>
      </c>
    </row>
    <row r="90" spans="2:35" x14ac:dyDescent="0.2">
      <c r="B90" t="s">
        <v>346</v>
      </c>
      <c r="C90" t="s">
        <v>516</v>
      </c>
      <c r="D90" t="s">
        <v>966</v>
      </c>
      <c r="E90">
        <v>1081.4570000000001</v>
      </c>
      <c r="F90">
        <v>3682.498</v>
      </c>
      <c r="G90">
        <v>16248.057000000001</v>
      </c>
      <c r="H90">
        <v>23347.986000000001</v>
      </c>
      <c r="I90">
        <v>2844.0320000000002</v>
      </c>
      <c r="J90">
        <v>20151.371999999999</v>
      </c>
      <c r="K90">
        <v>0</v>
      </c>
      <c r="Q90">
        <v>1091.95</v>
      </c>
      <c r="R90">
        <v>3753.04</v>
      </c>
      <c r="S90">
        <v>16082.359999999999</v>
      </c>
      <c r="T90">
        <v>23524.330000000005</v>
      </c>
      <c r="U90">
        <v>2902.7799999999997</v>
      </c>
      <c r="V90">
        <v>3287.5699999999988</v>
      </c>
      <c r="W90">
        <v>1323.46</v>
      </c>
      <c r="AC90">
        <f>SUMPRODUCT(DB_STProjectMonth[[#This Row],[SumOfPlan01]:[SumOfPlan12]],$E$14:$P$14)/valUnits2</f>
        <v>67.355401999999998</v>
      </c>
      <c r="AD90">
        <f>SUMPRODUCT(DB_STProjectMonth[[#This Row],[SumOfAct01]:[SumOfAct12]],$Q$14:$AB$14)/valUnits2</f>
        <v>50.642030000000005</v>
      </c>
      <c r="AE90">
        <f>DB_STProjectMonth[[#This Row],[Actual]]-DB_STProjectMonth[[#This Row],[Plan]]</f>
        <v>-16.713371999999993</v>
      </c>
      <c r="AF90">
        <f>IF(DB_STProjectMonth[[#This Row],[Plan]]&lt;&gt;0,DB_STProjectMonth[[#This Row],[Actual]]/DB_STProjectMonth[[#This Row],[Plan]],1.000011000011)</f>
        <v>0.75186293149879813</v>
      </c>
      <c r="AG90">
        <f>SUM(DB_STProjectMonth[[#This Row],[SumOfPlan01]:[SumOfPlan12]])/valUnits2</f>
        <v>67.355401999999998</v>
      </c>
      <c r="AH90">
        <f>SUMPRODUCT(DB_STProjectMonth[[#This Row],[SumOfAct01]:[SumOfAct12]],$Q$13:$AB$13)/valUnits2</f>
        <v>50.642030000000005</v>
      </c>
      <c r="AI90">
        <f>IF(DB_STProjectMonth[[#This Row],[FY Plan]]&lt;&gt;0,DB_STProjectMonth[[#This Row],[FY Actuals]]/DB_STProjectMonth[[#This Row],[FY Plan]],0)</f>
        <v>0.75186293149879813</v>
      </c>
    </row>
    <row r="91" spans="2:35" x14ac:dyDescent="0.2">
      <c r="B91" t="s">
        <v>346</v>
      </c>
      <c r="C91" t="s">
        <v>516</v>
      </c>
      <c r="D91" t="s">
        <v>987</v>
      </c>
      <c r="E91">
        <v>29175.425000000003</v>
      </c>
      <c r="F91">
        <v>5391.5890000000009</v>
      </c>
      <c r="G91">
        <v>3659.2970000000018</v>
      </c>
      <c r="H91">
        <v>15298.188</v>
      </c>
      <c r="I91">
        <v>5988.0910000000003</v>
      </c>
      <c r="J91">
        <v>14621.733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29736.309999999998</v>
      </c>
      <c r="R91">
        <v>5419.8799999999992</v>
      </c>
      <c r="S91">
        <v>3689.6000000000076</v>
      </c>
      <c r="T91">
        <v>14909.329999999998</v>
      </c>
      <c r="U91">
        <v>6076.8100000000013</v>
      </c>
      <c r="V91">
        <v>19202.489999999994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f>SUMPRODUCT(DB_STProjectMonth[[#This Row],[SumOfPlan01]:[SumOfPlan12]],$E$14:$P$14)/valUnits2</f>
        <v>74.134323000000009</v>
      </c>
      <c r="AD91">
        <f>SUMPRODUCT(DB_STProjectMonth[[#This Row],[SumOfAct01]:[SumOfAct12]],$Q$14:$AB$14)/valUnits2</f>
        <v>79.034419999999983</v>
      </c>
      <c r="AE91">
        <f>DB_STProjectMonth[[#This Row],[Actual]]-DB_STProjectMonth[[#This Row],[Plan]]</f>
        <v>4.9000969999999739</v>
      </c>
      <c r="AF91">
        <f>IF(DB_STProjectMonth[[#This Row],[Plan]]&lt;&gt;0,DB_STProjectMonth[[#This Row],[Actual]]/DB_STProjectMonth[[#This Row],[Plan]],1.000011000011)</f>
        <v>1.0660975483650128</v>
      </c>
      <c r="AG91">
        <f>SUM(DB_STProjectMonth[[#This Row],[SumOfPlan01]:[SumOfPlan12]])/valUnits2</f>
        <v>74.134323000000009</v>
      </c>
      <c r="AH91">
        <f>SUMPRODUCT(DB_STProjectMonth[[#This Row],[SumOfAct01]:[SumOfAct12]],$Q$13:$AB$13)/valUnits2</f>
        <v>79.034419999999983</v>
      </c>
      <c r="AI91">
        <f>IF(DB_STProjectMonth[[#This Row],[FY Plan]]&lt;&gt;0,DB_STProjectMonth[[#This Row],[FY Actuals]]/DB_STProjectMonth[[#This Row],[FY Plan]],0)</f>
        <v>1.0660975483650128</v>
      </c>
    </row>
    <row r="92" spans="2:35" x14ac:dyDescent="0.2">
      <c r="B92" t="s">
        <v>346</v>
      </c>
      <c r="C92" t="s">
        <v>517</v>
      </c>
      <c r="D92" t="s">
        <v>967</v>
      </c>
      <c r="E92">
        <v>4215.1239999999998</v>
      </c>
      <c r="F92">
        <v>4144.5029999999997</v>
      </c>
      <c r="G92">
        <v>3940.9319999999998</v>
      </c>
      <c r="H92">
        <v>4317.5479999999998</v>
      </c>
      <c r="J92">
        <v>0</v>
      </c>
      <c r="Q92">
        <v>4152.79</v>
      </c>
      <c r="R92">
        <v>4231.41</v>
      </c>
      <c r="S92">
        <v>3977.1299999999997</v>
      </c>
      <c r="T92">
        <v>4292.93</v>
      </c>
      <c r="V92">
        <v>-12501.47</v>
      </c>
      <c r="AC92">
        <f>SUMPRODUCT(DB_STProjectMonth[[#This Row],[SumOfPlan01]:[SumOfPlan12]],$E$14:$P$14)/valUnits2</f>
        <v>16.618106999999998</v>
      </c>
      <c r="AD92">
        <f>SUMPRODUCT(DB_STProjectMonth[[#This Row],[SumOfAct01]:[SumOfAct12]],$Q$14:$AB$14)/valUnits2</f>
        <v>4.1527900000000031</v>
      </c>
      <c r="AE92">
        <f>DB_STProjectMonth[[#This Row],[Actual]]-DB_STProjectMonth[[#This Row],[Plan]]</f>
        <v>-12.465316999999995</v>
      </c>
      <c r="AF92">
        <f>IF(DB_STProjectMonth[[#This Row],[Plan]]&lt;&gt;0,DB_STProjectMonth[[#This Row],[Actual]]/DB_STProjectMonth[[#This Row],[Plan]],1.000011000011)</f>
        <v>0.24989549050322057</v>
      </c>
      <c r="AG92">
        <f>SUM(DB_STProjectMonth[[#This Row],[SumOfPlan01]:[SumOfPlan12]])/valUnits2</f>
        <v>16.618106999999998</v>
      </c>
      <c r="AH92">
        <f>SUMPRODUCT(DB_STProjectMonth[[#This Row],[SumOfAct01]:[SumOfAct12]],$Q$13:$AB$13)/valUnits2</f>
        <v>4.1527900000000031</v>
      </c>
      <c r="AI92">
        <f>IF(DB_STProjectMonth[[#This Row],[FY Plan]]&lt;&gt;0,DB_STProjectMonth[[#This Row],[FY Actuals]]/DB_STProjectMonth[[#This Row],[FY Plan]],0)</f>
        <v>0.24989549050322057</v>
      </c>
    </row>
    <row r="93" spans="2:35" x14ac:dyDescent="0.2">
      <c r="B93" t="s">
        <v>346</v>
      </c>
      <c r="C93" t="s">
        <v>518</v>
      </c>
      <c r="D93" t="s">
        <v>953</v>
      </c>
      <c r="G93">
        <v>336.26799999999997</v>
      </c>
      <c r="H93">
        <v>320.65600000000006</v>
      </c>
      <c r="I93">
        <v>175.089</v>
      </c>
      <c r="J93">
        <v>554.19899999999996</v>
      </c>
      <c r="K93">
        <v>1924.893</v>
      </c>
      <c r="L93">
        <v>1924.893</v>
      </c>
      <c r="M93">
        <v>554.19900000000007</v>
      </c>
      <c r="N93">
        <v>1924.893</v>
      </c>
      <c r="O93">
        <v>1924.893</v>
      </c>
      <c r="P93">
        <v>554.19900000000007</v>
      </c>
      <c r="S93">
        <v>335.14</v>
      </c>
      <c r="T93">
        <v>314.67</v>
      </c>
      <c r="U93">
        <v>175.92000000000002</v>
      </c>
      <c r="V93">
        <v>597.64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f>SUMPRODUCT(DB_STProjectMonth[[#This Row],[SumOfPlan01]:[SumOfPlan12]],$E$14:$P$14)/valUnits2</f>
        <v>1.386212</v>
      </c>
      <c r="AD93">
        <f>SUMPRODUCT(DB_STProjectMonth[[#This Row],[SumOfAct01]:[SumOfAct12]],$Q$14:$AB$14)/valUnits2</f>
        <v>1.4233699999999998</v>
      </c>
      <c r="AE93">
        <f>DB_STProjectMonth[[#This Row],[Actual]]-DB_STProjectMonth[[#This Row],[Plan]]</f>
        <v>3.7157999999999802E-2</v>
      </c>
      <c r="AF93">
        <f>IF(DB_STProjectMonth[[#This Row],[Plan]]&lt;&gt;0,DB_STProjectMonth[[#This Row],[Actual]]/DB_STProjectMonth[[#This Row],[Plan]],1.000011000011)</f>
        <v>1.026805423701425</v>
      </c>
      <c r="AG93">
        <f>SUM(DB_STProjectMonth[[#This Row],[SumOfPlan01]:[SumOfPlan12]])/valUnits2</f>
        <v>10.194182000000001</v>
      </c>
      <c r="AH93">
        <f>SUMPRODUCT(DB_STProjectMonth[[#This Row],[SumOfAct01]:[SumOfAct12]],$Q$13:$AB$13)/valUnits2</f>
        <v>1.4233699999999998</v>
      </c>
      <c r="AI93">
        <f>IF(DB_STProjectMonth[[#This Row],[FY Plan]]&lt;&gt;0,DB_STProjectMonth[[#This Row],[FY Actuals]]/DB_STProjectMonth[[#This Row],[FY Plan]],0)</f>
        <v>0.13962571984686947</v>
      </c>
    </row>
    <row r="94" spans="2:35" x14ac:dyDescent="0.2">
      <c r="B94" t="s">
        <v>346</v>
      </c>
      <c r="C94" t="s">
        <v>518</v>
      </c>
      <c r="D94" t="s">
        <v>957</v>
      </c>
      <c r="E94">
        <v>106024.56199999993</v>
      </c>
      <c r="F94">
        <v>8349.2410000000036</v>
      </c>
      <c r="G94">
        <v>11276.270999999988</v>
      </c>
      <c r="H94">
        <v>255844.53900000005</v>
      </c>
      <c r="I94">
        <v>207345.12499999985</v>
      </c>
      <c r="J94">
        <v>211287.69200000004</v>
      </c>
      <c r="K94">
        <v>153760.77800000005</v>
      </c>
      <c r="L94">
        <v>153057.74000000002</v>
      </c>
      <c r="M94">
        <v>148476.16500000004</v>
      </c>
      <c r="N94">
        <v>152530.88200000013</v>
      </c>
      <c r="O94">
        <v>168890.37200000009</v>
      </c>
      <c r="P94">
        <v>157184.54700000008</v>
      </c>
      <c r="Q94">
        <v>103900.49000000002</v>
      </c>
      <c r="R94">
        <v>9760.9900000000143</v>
      </c>
      <c r="S94">
        <v>11368.19</v>
      </c>
      <c r="T94">
        <v>254476.79999999993</v>
      </c>
      <c r="U94">
        <v>207378.06999999995</v>
      </c>
      <c r="V94">
        <v>57976.11</v>
      </c>
      <c r="W94">
        <v>11032.87</v>
      </c>
      <c r="X94">
        <v>0</v>
      </c>
      <c r="Y94">
        <v>0</v>
      </c>
      <c r="Z94">
        <v>0</v>
      </c>
      <c r="AA94">
        <v>0</v>
      </c>
      <c r="AB94">
        <v>0</v>
      </c>
      <c r="AC94">
        <f>SUMPRODUCT(DB_STProjectMonth[[#This Row],[SumOfPlan01]:[SumOfPlan12]],$E$14:$P$14)/valUnits2</f>
        <v>800.12742999999989</v>
      </c>
      <c r="AD94">
        <f>SUMPRODUCT(DB_STProjectMonth[[#This Row],[SumOfAct01]:[SumOfAct12]],$Q$14:$AB$14)/valUnits2</f>
        <v>644.86064999999985</v>
      </c>
      <c r="AE94">
        <f>DB_STProjectMonth[[#This Row],[Actual]]-DB_STProjectMonth[[#This Row],[Plan]]</f>
        <v>-155.26678000000004</v>
      </c>
      <c r="AF94">
        <f>IF(DB_STProjectMonth[[#This Row],[Plan]]&lt;&gt;0,DB_STProjectMonth[[#This Row],[Actual]]/DB_STProjectMonth[[#This Row],[Plan]],1.000011000011)</f>
        <v>0.80594743514792377</v>
      </c>
      <c r="AG94">
        <f>SUM(DB_STProjectMonth[[#This Row],[SumOfPlan01]:[SumOfPlan12]])/valUnits2</f>
        <v>1734.0279140000005</v>
      </c>
      <c r="AH94">
        <f>SUMPRODUCT(DB_STProjectMonth[[#This Row],[SumOfAct01]:[SumOfAct12]],$Q$13:$AB$13)/valUnits2</f>
        <v>644.86064999999985</v>
      </c>
      <c r="AI94">
        <f>IF(DB_STProjectMonth[[#This Row],[FY Plan]]&lt;&gt;0,DB_STProjectMonth[[#This Row],[FY Actuals]]/DB_STProjectMonth[[#This Row],[FY Plan]],0)</f>
        <v>0.37188596838239807</v>
      </c>
    </row>
    <row r="95" spans="2:35" x14ac:dyDescent="0.2">
      <c r="B95" t="s">
        <v>347</v>
      </c>
      <c r="C95" t="s">
        <v>519</v>
      </c>
      <c r="D95" t="s">
        <v>945</v>
      </c>
      <c r="E95">
        <v>140577.72099999999</v>
      </c>
      <c r="F95">
        <v>94060.826000000015</v>
      </c>
      <c r="G95">
        <v>190511.98500000002</v>
      </c>
      <c r="H95">
        <v>158423.66400000002</v>
      </c>
      <c r="I95">
        <v>228074.43299999999</v>
      </c>
      <c r="J95">
        <v>61980.573000000004</v>
      </c>
      <c r="K95">
        <v>89863.987000000008</v>
      </c>
      <c r="L95">
        <v>89863.987000000008</v>
      </c>
      <c r="M95">
        <v>89863.987000000008</v>
      </c>
      <c r="N95">
        <v>89863.987000000008</v>
      </c>
      <c r="O95">
        <v>89863.987000000008</v>
      </c>
      <c r="P95">
        <v>89863.987000000008</v>
      </c>
      <c r="Q95">
        <v>102200.32000000001</v>
      </c>
      <c r="R95">
        <v>57106.25</v>
      </c>
      <c r="S95">
        <v>151338.07000000004</v>
      </c>
      <c r="T95">
        <v>94046.640000000014</v>
      </c>
      <c r="U95">
        <v>161603.93999999997</v>
      </c>
      <c r="V95">
        <v>114442.77000000002</v>
      </c>
      <c r="W95">
        <v>5924.21</v>
      </c>
      <c r="X95">
        <v>0</v>
      </c>
      <c r="Y95">
        <v>0</v>
      </c>
      <c r="Z95">
        <v>0</v>
      </c>
      <c r="AA95">
        <v>0</v>
      </c>
      <c r="AB95">
        <v>0</v>
      </c>
      <c r="AC95">
        <f>SUMPRODUCT(DB_STProjectMonth[[#This Row],[SumOfPlan01]:[SumOfPlan12]],$E$14:$P$14)/valUnits2</f>
        <v>873.62920199999996</v>
      </c>
      <c r="AD95">
        <f>SUMPRODUCT(DB_STProjectMonth[[#This Row],[SumOfAct01]:[SumOfAct12]],$Q$14:$AB$14)/valUnits2</f>
        <v>680.73798999999997</v>
      </c>
      <c r="AE95">
        <f>DB_STProjectMonth[[#This Row],[Actual]]-DB_STProjectMonth[[#This Row],[Plan]]</f>
        <v>-192.891212</v>
      </c>
      <c r="AF95">
        <f>IF(DB_STProjectMonth[[#This Row],[Plan]]&lt;&gt;0,DB_STProjectMonth[[#This Row],[Actual]]/DB_STProjectMonth[[#This Row],[Plan]],1.000011000011)</f>
        <v>0.77920700045463909</v>
      </c>
      <c r="AG95">
        <f>SUM(DB_STProjectMonth[[#This Row],[SumOfPlan01]:[SumOfPlan12]])/valUnits2</f>
        <v>1412.8131239999998</v>
      </c>
      <c r="AH95">
        <f>SUMPRODUCT(DB_STProjectMonth[[#This Row],[SumOfAct01]:[SumOfAct12]],$Q$13:$AB$13)/valUnits2</f>
        <v>680.73798999999997</v>
      </c>
      <c r="AI95">
        <f>IF(DB_STProjectMonth[[#This Row],[FY Plan]]&lt;&gt;0,DB_STProjectMonth[[#This Row],[FY Actuals]]/DB_STProjectMonth[[#This Row],[FY Plan]],0)</f>
        <v>0.48183158723262259</v>
      </c>
    </row>
    <row r="96" spans="2:35" x14ac:dyDescent="0.2">
      <c r="B96" t="s">
        <v>347</v>
      </c>
      <c r="C96" t="s">
        <v>519</v>
      </c>
      <c r="D96" t="s">
        <v>948</v>
      </c>
      <c r="E96">
        <v>0</v>
      </c>
      <c r="F96">
        <v>0</v>
      </c>
      <c r="G96">
        <v>0</v>
      </c>
      <c r="H96">
        <v>875.94500000000005</v>
      </c>
      <c r="I96">
        <v>863.30100000000004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850.24</v>
      </c>
      <c r="U96">
        <v>840.46</v>
      </c>
      <c r="V96">
        <v>65.81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f>SUMPRODUCT(DB_STProjectMonth[[#This Row],[SumOfPlan01]:[SumOfPlan12]],$E$14:$P$14)/valUnits2</f>
        <v>1.7392460000000001</v>
      </c>
      <c r="AD96">
        <f>SUMPRODUCT(DB_STProjectMonth[[#This Row],[SumOfAct01]:[SumOfAct12]],$Q$14:$AB$14)/valUnits2</f>
        <v>1.75651</v>
      </c>
      <c r="AE96">
        <f>DB_STProjectMonth[[#This Row],[Actual]]-DB_STProjectMonth[[#This Row],[Plan]]</f>
        <v>1.7263999999999946E-2</v>
      </c>
      <c r="AF96">
        <f>IF(DB_STProjectMonth[[#This Row],[Plan]]&lt;&gt;0,DB_STProjectMonth[[#This Row],[Actual]]/DB_STProjectMonth[[#This Row],[Plan]],1.000011000011)</f>
        <v>1.0099261404079698</v>
      </c>
      <c r="AG96">
        <f>SUM(DB_STProjectMonth[[#This Row],[SumOfPlan01]:[SumOfPlan12]])/valUnits2</f>
        <v>1.7392460000000001</v>
      </c>
      <c r="AH96">
        <f>SUMPRODUCT(DB_STProjectMonth[[#This Row],[SumOfAct01]:[SumOfAct12]],$Q$13:$AB$13)/valUnits2</f>
        <v>1.75651</v>
      </c>
      <c r="AI96">
        <f>IF(DB_STProjectMonth[[#This Row],[FY Plan]]&lt;&gt;0,DB_STProjectMonth[[#This Row],[FY Actuals]]/DB_STProjectMonth[[#This Row],[FY Plan]],0)</f>
        <v>1.0099261404079698</v>
      </c>
    </row>
    <row r="97" spans="2:35" x14ac:dyDescent="0.2">
      <c r="B97" t="s">
        <v>347</v>
      </c>
      <c r="C97" t="s">
        <v>519</v>
      </c>
      <c r="D97" t="s">
        <v>952</v>
      </c>
      <c r="E97">
        <v>33202.271000000001</v>
      </c>
      <c r="F97">
        <v>33202.270999999964</v>
      </c>
      <c r="G97">
        <v>33202.271999999997</v>
      </c>
      <c r="H97">
        <v>706688.05400000012</v>
      </c>
      <c r="I97">
        <v>33202.271000000008</v>
      </c>
      <c r="J97">
        <v>33202.271000000001</v>
      </c>
      <c r="K97">
        <v>611132.19900000002</v>
      </c>
      <c r="L97">
        <v>33202.271000000001</v>
      </c>
      <c r="M97">
        <v>33202.271000000001</v>
      </c>
      <c r="N97">
        <v>558405.255</v>
      </c>
      <c r="O97">
        <v>33202.271000000001</v>
      </c>
      <c r="P97">
        <v>573061.68199999991</v>
      </c>
      <c r="Q97">
        <v>0</v>
      </c>
      <c r="R97">
        <v>4.9999999994525979E-2</v>
      </c>
      <c r="S97">
        <v>-1.0000000000218279E-2</v>
      </c>
      <c r="T97">
        <v>0</v>
      </c>
      <c r="U97">
        <v>0</v>
      </c>
      <c r="V97">
        <v>907929.05999999994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f>SUMPRODUCT(DB_STProjectMonth[[#This Row],[SumOfPlan01]:[SumOfPlan12]],$E$14:$P$14)/valUnits2</f>
        <v>872.69940999999994</v>
      </c>
      <c r="AD97">
        <f>SUMPRODUCT(DB_STProjectMonth[[#This Row],[SumOfAct01]:[SumOfAct12]],$Q$14:$AB$14)/valUnits2</f>
        <v>907.92909999999995</v>
      </c>
      <c r="AE97">
        <f>DB_STProjectMonth[[#This Row],[Actual]]-DB_STProjectMonth[[#This Row],[Plan]]</f>
        <v>35.229690000000005</v>
      </c>
      <c r="AF97">
        <f>IF(DB_STProjectMonth[[#This Row],[Plan]]&lt;&gt;0,DB_STProjectMonth[[#This Row],[Actual]]/DB_STProjectMonth[[#This Row],[Plan]],1.000011000011)</f>
        <v>1.0403686419359446</v>
      </c>
      <c r="AG97">
        <f>SUM(DB_STProjectMonth[[#This Row],[SumOfPlan01]:[SumOfPlan12]])/valUnits2</f>
        <v>2714.9053590000003</v>
      </c>
      <c r="AH97">
        <f>SUMPRODUCT(DB_STProjectMonth[[#This Row],[SumOfAct01]:[SumOfAct12]],$Q$13:$AB$13)/valUnits2</f>
        <v>907.92909999999995</v>
      </c>
      <c r="AI97">
        <f>IF(DB_STProjectMonth[[#This Row],[FY Plan]]&lt;&gt;0,DB_STProjectMonth[[#This Row],[FY Actuals]]/DB_STProjectMonth[[#This Row],[FY Plan]],0)</f>
        <v>0.33442384906353556</v>
      </c>
    </row>
    <row r="98" spans="2:35" x14ac:dyDescent="0.2">
      <c r="B98" t="s">
        <v>347</v>
      </c>
      <c r="C98" t="s">
        <v>519</v>
      </c>
      <c r="D98" t="s">
        <v>963</v>
      </c>
      <c r="I98">
        <v>0</v>
      </c>
      <c r="J98">
        <v>0</v>
      </c>
      <c r="U98">
        <v>0</v>
      </c>
      <c r="V98">
        <v>81741.789999999994</v>
      </c>
      <c r="AC98">
        <f>SUMPRODUCT(DB_STProjectMonth[[#This Row],[SumOfPlan01]:[SumOfPlan12]],$E$14:$P$14)/valUnits2</f>
        <v>0</v>
      </c>
      <c r="AD98">
        <f>SUMPRODUCT(DB_STProjectMonth[[#This Row],[SumOfAct01]:[SumOfAct12]],$Q$14:$AB$14)/valUnits2</f>
        <v>81.741789999999995</v>
      </c>
      <c r="AE98">
        <f>DB_STProjectMonth[[#This Row],[Actual]]-DB_STProjectMonth[[#This Row],[Plan]]</f>
        <v>81.741789999999995</v>
      </c>
      <c r="AF98">
        <f>IF(DB_STProjectMonth[[#This Row],[Plan]]&lt;&gt;0,DB_STProjectMonth[[#This Row],[Actual]]/DB_STProjectMonth[[#This Row],[Plan]],1.000011000011)</f>
        <v>1.0000110000110001</v>
      </c>
      <c r="AG98">
        <f>SUM(DB_STProjectMonth[[#This Row],[SumOfPlan01]:[SumOfPlan12]])/valUnits2</f>
        <v>0</v>
      </c>
      <c r="AH98">
        <f>SUMPRODUCT(DB_STProjectMonth[[#This Row],[SumOfAct01]:[SumOfAct12]],$Q$13:$AB$13)/valUnits2</f>
        <v>81.741789999999995</v>
      </c>
      <c r="AI98">
        <f>IF(DB_STProjectMonth[[#This Row],[FY Plan]]&lt;&gt;0,DB_STProjectMonth[[#This Row],[FY Actuals]]/DB_STProjectMonth[[#This Row],[FY Plan]],0)</f>
        <v>0</v>
      </c>
    </row>
    <row r="99" spans="2:35" x14ac:dyDescent="0.2">
      <c r="B99" t="s">
        <v>347</v>
      </c>
      <c r="C99" t="s">
        <v>519</v>
      </c>
      <c r="D99" t="s">
        <v>973</v>
      </c>
      <c r="E99">
        <v>0</v>
      </c>
      <c r="F99">
        <v>1657.84</v>
      </c>
      <c r="G99">
        <v>0</v>
      </c>
      <c r="H99">
        <v>54235.468999999997</v>
      </c>
      <c r="I99">
        <v>0</v>
      </c>
      <c r="J99">
        <v>409.24</v>
      </c>
      <c r="K99">
        <v>21182.812999999998</v>
      </c>
      <c r="L99">
        <v>0</v>
      </c>
      <c r="M99">
        <v>409.24</v>
      </c>
      <c r="N99">
        <v>25956.75</v>
      </c>
      <c r="O99">
        <v>0</v>
      </c>
      <c r="P99">
        <v>129172.39600000001</v>
      </c>
      <c r="Q99">
        <v>0</v>
      </c>
      <c r="R99">
        <v>1657.84</v>
      </c>
      <c r="S99">
        <v>0</v>
      </c>
      <c r="T99">
        <v>0</v>
      </c>
      <c r="U99">
        <v>0</v>
      </c>
      <c r="V99">
        <v>-5532.14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f>SUMPRODUCT(DB_STProjectMonth[[#This Row],[SumOfPlan01]:[SumOfPlan12]],$E$14:$P$14)/valUnits2</f>
        <v>56.302548999999992</v>
      </c>
      <c r="AD99">
        <f>SUMPRODUCT(DB_STProjectMonth[[#This Row],[SumOfAct01]:[SumOfAct12]],$Q$14:$AB$14)/valUnits2</f>
        <v>-3.8743000000000003</v>
      </c>
      <c r="AE99">
        <f>DB_STProjectMonth[[#This Row],[Actual]]-DB_STProjectMonth[[#This Row],[Plan]]</f>
        <v>-60.17684899999999</v>
      </c>
      <c r="AF99">
        <f>IF(DB_STProjectMonth[[#This Row],[Plan]]&lt;&gt;0,DB_STProjectMonth[[#This Row],[Actual]]/DB_STProjectMonth[[#This Row],[Plan]],1.000011000011)</f>
        <v>-6.8812159818909813E-2</v>
      </c>
      <c r="AG99">
        <f>SUM(DB_STProjectMonth[[#This Row],[SumOfPlan01]:[SumOfPlan12]])/valUnits2</f>
        <v>233.02374800000001</v>
      </c>
      <c r="AH99">
        <f>SUMPRODUCT(DB_STProjectMonth[[#This Row],[SumOfAct01]:[SumOfAct12]],$Q$13:$AB$13)/valUnits2</f>
        <v>-3.8743000000000003</v>
      </c>
      <c r="AI99">
        <f>IF(DB_STProjectMonth[[#This Row],[FY Plan]]&lt;&gt;0,DB_STProjectMonth[[#This Row],[FY Actuals]]/DB_STProjectMonth[[#This Row],[FY Plan]],0)</f>
        <v>-1.6626202407490246E-2</v>
      </c>
    </row>
    <row r="100" spans="2:35" x14ac:dyDescent="0.2">
      <c r="B100" t="s">
        <v>347</v>
      </c>
      <c r="C100" t="s">
        <v>519</v>
      </c>
      <c r="D100" t="s">
        <v>991</v>
      </c>
      <c r="E100">
        <v>1118.7</v>
      </c>
      <c r="J100">
        <v>0</v>
      </c>
      <c r="Q100">
        <v>1118.7</v>
      </c>
      <c r="V100">
        <v>172.62</v>
      </c>
      <c r="AC100">
        <f>SUMPRODUCT(DB_STProjectMonth[[#This Row],[SumOfPlan01]:[SumOfPlan12]],$E$14:$P$14)/valUnits2</f>
        <v>1.1187</v>
      </c>
      <c r="AD100">
        <f>SUMPRODUCT(DB_STProjectMonth[[#This Row],[SumOfAct01]:[SumOfAct12]],$Q$14:$AB$14)/valUnits2</f>
        <v>1.2913200000000002</v>
      </c>
      <c r="AE100">
        <f>DB_STProjectMonth[[#This Row],[Actual]]-DB_STProjectMonth[[#This Row],[Plan]]</f>
        <v>0.17262000000000022</v>
      </c>
      <c r="AF100">
        <f>IF(DB_STProjectMonth[[#This Row],[Plan]]&lt;&gt;0,DB_STProjectMonth[[#This Row],[Actual]]/DB_STProjectMonth[[#This Row],[Plan]],1.000011000011)</f>
        <v>1.1543041029766696</v>
      </c>
      <c r="AG100">
        <f>SUM(DB_STProjectMonth[[#This Row],[SumOfPlan01]:[SumOfPlan12]])/valUnits2</f>
        <v>1.1187</v>
      </c>
      <c r="AH100">
        <f>SUMPRODUCT(DB_STProjectMonth[[#This Row],[SumOfAct01]:[SumOfAct12]],$Q$13:$AB$13)/valUnits2</f>
        <v>1.2913200000000002</v>
      </c>
      <c r="AI100">
        <f>IF(DB_STProjectMonth[[#This Row],[FY Plan]]&lt;&gt;0,DB_STProjectMonth[[#This Row],[FY Actuals]]/DB_STProjectMonth[[#This Row],[FY Plan]],0)</f>
        <v>1.1543041029766696</v>
      </c>
    </row>
    <row r="101" spans="2:35" x14ac:dyDescent="0.2">
      <c r="B101" t="s">
        <v>347</v>
      </c>
      <c r="C101" t="s">
        <v>519</v>
      </c>
      <c r="D101" t="s">
        <v>1001</v>
      </c>
      <c r="E101">
        <v>13028.225999999999</v>
      </c>
      <c r="F101">
        <v>13028.225999999997</v>
      </c>
      <c r="G101">
        <v>13028.226000000001</v>
      </c>
      <c r="H101">
        <v>758258.16599999997</v>
      </c>
      <c r="I101">
        <v>13028.226000000001</v>
      </c>
      <c r="J101">
        <v>13028.225999999999</v>
      </c>
      <c r="K101">
        <v>634588.65100000007</v>
      </c>
      <c r="L101">
        <v>13028.225999999997</v>
      </c>
      <c r="M101">
        <v>13028.225999999999</v>
      </c>
      <c r="N101">
        <v>598115.50900000008</v>
      </c>
      <c r="O101">
        <v>13028.225999999999</v>
      </c>
      <c r="P101">
        <v>596603.478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1087668.3600000001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f>SUMPRODUCT(DB_STProjectMonth[[#This Row],[SumOfPlan01]:[SumOfPlan12]],$E$14:$P$14)/valUnits2</f>
        <v>823.39929599999994</v>
      </c>
      <c r="AD101">
        <f>SUMPRODUCT(DB_STProjectMonth[[#This Row],[SumOfAct01]:[SumOfAct12]],$Q$14:$AB$14)/valUnits2</f>
        <v>1087.6683600000001</v>
      </c>
      <c r="AE101">
        <f>DB_STProjectMonth[[#This Row],[Actual]]-DB_STProjectMonth[[#This Row],[Plan]]</f>
        <v>264.26906400000018</v>
      </c>
      <c r="AF101">
        <f>IF(DB_STProjectMonth[[#This Row],[Plan]]&lt;&gt;0,DB_STProjectMonth[[#This Row],[Actual]]/DB_STProjectMonth[[#This Row],[Plan]],1.000011000011)</f>
        <v>1.320948858328876</v>
      </c>
      <c r="AG101">
        <f>SUM(DB_STProjectMonth[[#This Row],[SumOfPlan01]:[SumOfPlan12]])/valUnits2</f>
        <v>2691.791612</v>
      </c>
      <c r="AH101">
        <f>SUMPRODUCT(DB_STProjectMonth[[#This Row],[SumOfAct01]:[SumOfAct12]],$Q$13:$AB$13)/valUnits2</f>
        <v>1087.6683600000001</v>
      </c>
      <c r="AI101">
        <f>IF(DB_STProjectMonth[[#This Row],[FY Plan]]&lt;&gt;0,DB_STProjectMonth[[#This Row],[FY Actuals]]/DB_STProjectMonth[[#This Row],[FY Plan]],0)</f>
        <v>0.40406855982133882</v>
      </c>
    </row>
    <row r="102" spans="2:35" x14ac:dyDescent="0.2">
      <c r="B102" t="s">
        <v>347</v>
      </c>
      <c r="C102" t="s">
        <v>519</v>
      </c>
      <c r="D102" t="s">
        <v>1002</v>
      </c>
      <c r="E102">
        <v>0</v>
      </c>
      <c r="F102">
        <v>0</v>
      </c>
      <c r="G102">
        <v>0</v>
      </c>
      <c r="H102">
        <v>79195.593999999997</v>
      </c>
      <c r="I102">
        <v>0</v>
      </c>
      <c r="J102">
        <v>0</v>
      </c>
      <c r="K102">
        <v>122621.942</v>
      </c>
      <c r="L102">
        <v>0</v>
      </c>
      <c r="M102">
        <v>0</v>
      </c>
      <c r="N102">
        <v>101561.269</v>
      </c>
      <c r="O102">
        <v>0</v>
      </c>
      <c r="P102">
        <v>101310.019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211188.41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f>SUMPRODUCT(DB_STProjectMonth[[#This Row],[SumOfPlan01]:[SumOfPlan12]],$E$14:$P$14)/valUnits2</f>
        <v>79.195594</v>
      </c>
      <c r="AD102">
        <f>SUMPRODUCT(DB_STProjectMonth[[#This Row],[SumOfAct01]:[SumOfAct12]],$Q$14:$AB$14)/valUnits2</f>
        <v>211.18841</v>
      </c>
      <c r="AE102">
        <f>DB_STProjectMonth[[#This Row],[Actual]]-DB_STProjectMonth[[#This Row],[Plan]]</f>
        <v>131.992816</v>
      </c>
      <c r="AF102">
        <f>IF(DB_STProjectMonth[[#This Row],[Plan]]&lt;&gt;0,DB_STProjectMonth[[#This Row],[Actual]]/DB_STProjectMonth[[#This Row],[Plan]],1.000011000011)</f>
        <v>2.6666686785631031</v>
      </c>
      <c r="AG102">
        <f>SUM(DB_STProjectMonth[[#This Row],[SumOfPlan01]:[SumOfPlan12]])/valUnits2</f>
        <v>404.68882400000001</v>
      </c>
      <c r="AH102">
        <f>SUMPRODUCT(DB_STProjectMonth[[#This Row],[SumOfAct01]:[SumOfAct12]],$Q$13:$AB$13)/valUnits2</f>
        <v>211.18841</v>
      </c>
      <c r="AI102">
        <f>IF(DB_STProjectMonth[[#This Row],[FY Plan]]&lt;&gt;0,DB_STProjectMonth[[#This Row],[FY Actuals]]/DB_STProjectMonth[[#This Row],[FY Plan]],0)</f>
        <v>0.52185382317353046</v>
      </c>
    </row>
    <row r="103" spans="2:35" x14ac:dyDescent="0.2">
      <c r="B103" t="s">
        <v>347</v>
      </c>
      <c r="C103" t="s">
        <v>520</v>
      </c>
      <c r="D103" t="s">
        <v>949</v>
      </c>
      <c r="E103">
        <v>-405.262</v>
      </c>
      <c r="Q103">
        <v>-387.54</v>
      </c>
      <c r="AC103">
        <f>SUMPRODUCT(DB_STProjectMonth[[#This Row],[SumOfPlan01]:[SumOfPlan12]],$E$14:$P$14)/valUnits2</f>
        <v>-0.40526200000000001</v>
      </c>
      <c r="AD103">
        <f>SUMPRODUCT(DB_STProjectMonth[[#This Row],[SumOfAct01]:[SumOfAct12]],$Q$14:$AB$14)/valUnits2</f>
        <v>-0.38754</v>
      </c>
      <c r="AE103">
        <f>DB_STProjectMonth[[#This Row],[Actual]]-DB_STProjectMonth[[#This Row],[Plan]]</f>
        <v>1.7722000000000016E-2</v>
      </c>
      <c r="AF103">
        <f>IF(DB_STProjectMonth[[#This Row],[Plan]]&lt;&gt;0,DB_STProjectMonth[[#This Row],[Actual]]/DB_STProjectMonth[[#This Row],[Plan]],1.000011000011)</f>
        <v>0.95627026466828857</v>
      </c>
      <c r="AG103">
        <f>SUM(DB_STProjectMonth[[#This Row],[SumOfPlan01]:[SumOfPlan12]])/valUnits2</f>
        <v>-0.40526200000000001</v>
      </c>
      <c r="AH103">
        <f>SUMPRODUCT(DB_STProjectMonth[[#This Row],[SumOfAct01]:[SumOfAct12]],$Q$13:$AB$13)/valUnits2</f>
        <v>-0.38754</v>
      </c>
      <c r="AI103">
        <f>IF(DB_STProjectMonth[[#This Row],[FY Plan]]&lt;&gt;0,DB_STProjectMonth[[#This Row],[FY Actuals]]/DB_STProjectMonth[[#This Row],[FY Plan]],0)</f>
        <v>0.95627026466828857</v>
      </c>
    </row>
    <row r="104" spans="2:35" x14ac:dyDescent="0.2">
      <c r="B104" t="s">
        <v>347</v>
      </c>
      <c r="C104" t="s">
        <v>520</v>
      </c>
      <c r="D104" t="s">
        <v>961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f>SUMPRODUCT(DB_STProjectMonth[[#This Row],[SumOfPlan01]:[SumOfPlan12]],$E$14:$P$14)/valUnits2</f>
        <v>0</v>
      </c>
      <c r="AD104">
        <f>SUMPRODUCT(DB_STProjectMonth[[#This Row],[SumOfAct01]:[SumOfAct12]],$Q$14:$AB$14)/valUnits2</f>
        <v>0</v>
      </c>
      <c r="AE104">
        <f>DB_STProjectMonth[[#This Row],[Actual]]-DB_STProjectMonth[[#This Row],[Plan]]</f>
        <v>0</v>
      </c>
      <c r="AF104">
        <f>IF(DB_STProjectMonth[[#This Row],[Plan]]&lt;&gt;0,DB_STProjectMonth[[#This Row],[Actual]]/DB_STProjectMonth[[#This Row],[Plan]],1.000011000011)</f>
        <v>1.0000110000110001</v>
      </c>
      <c r="AG104">
        <f>SUM(DB_STProjectMonth[[#This Row],[SumOfPlan01]:[SumOfPlan12]])/valUnits2</f>
        <v>0</v>
      </c>
      <c r="AH104">
        <f>SUMPRODUCT(DB_STProjectMonth[[#This Row],[SumOfAct01]:[SumOfAct12]],$Q$13:$AB$13)/valUnits2</f>
        <v>0</v>
      </c>
      <c r="AI104">
        <f>IF(DB_STProjectMonth[[#This Row],[FY Plan]]&lt;&gt;0,DB_STProjectMonth[[#This Row],[FY Actuals]]/DB_STProjectMonth[[#This Row],[FY Plan]],0)</f>
        <v>0</v>
      </c>
    </row>
    <row r="105" spans="2:35" x14ac:dyDescent="0.2">
      <c r="B105" t="s">
        <v>347</v>
      </c>
      <c r="C105" t="s">
        <v>521</v>
      </c>
      <c r="D105" t="s">
        <v>962</v>
      </c>
      <c r="H105">
        <v>62592.341999999997</v>
      </c>
      <c r="J105">
        <v>0</v>
      </c>
      <c r="K105">
        <v>50087.85</v>
      </c>
      <c r="T105">
        <v>0</v>
      </c>
      <c r="V105">
        <v>91478.83</v>
      </c>
      <c r="W105">
        <v>0</v>
      </c>
      <c r="AC105">
        <f>SUMPRODUCT(DB_STProjectMonth[[#This Row],[SumOfPlan01]:[SumOfPlan12]],$E$14:$P$14)/valUnits2</f>
        <v>62.592341999999995</v>
      </c>
      <c r="AD105">
        <f>SUMPRODUCT(DB_STProjectMonth[[#This Row],[SumOfAct01]:[SumOfAct12]],$Q$14:$AB$14)/valUnits2</f>
        <v>91.478830000000002</v>
      </c>
      <c r="AE105">
        <f>DB_STProjectMonth[[#This Row],[Actual]]-DB_STProjectMonth[[#This Row],[Plan]]</f>
        <v>28.886488000000007</v>
      </c>
      <c r="AF105">
        <f>IF(DB_STProjectMonth[[#This Row],[Plan]]&lt;&gt;0,DB_STProjectMonth[[#This Row],[Actual]]/DB_STProjectMonth[[#This Row],[Plan]],1.000011000011)</f>
        <v>1.4615019517882877</v>
      </c>
      <c r="AG105">
        <f>SUM(DB_STProjectMonth[[#This Row],[SumOfPlan01]:[SumOfPlan12]])/valUnits2</f>
        <v>112.68019199999999</v>
      </c>
      <c r="AH105">
        <f>SUMPRODUCT(DB_STProjectMonth[[#This Row],[SumOfAct01]:[SumOfAct12]],$Q$13:$AB$13)/valUnits2</f>
        <v>91.478830000000002</v>
      </c>
      <c r="AI105">
        <f>IF(DB_STProjectMonth[[#This Row],[FY Plan]]&lt;&gt;0,DB_STProjectMonth[[#This Row],[FY Actuals]]/DB_STProjectMonth[[#This Row],[FY Plan]],0)</f>
        <v>0.81184481829778932</v>
      </c>
    </row>
    <row r="106" spans="2:35" x14ac:dyDescent="0.2">
      <c r="B106" t="s">
        <v>348</v>
      </c>
      <c r="C106" t="s">
        <v>522</v>
      </c>
      <c r="D106" t="s">
        <v>970</v>
      </c>
      <c r="E106">
        <v>17732.246000000006</v>
      </c>
      <c r="F106">
        <v>164616.27500000005</v>
      </c>
      <c r="G106">
        <v>289597.07899999997</v>
      </c>
      <c r="H106">
        <v>77662.606</v>
      </c>
      <c r="I106">
        <v>172655.95500000007</v>
      </c>
      <c r="J106">
        <v>111865.099</v>
      </c>
      <c r="K106">
        <v>105366.042</v>
      </c>
      <c r="L106">
        <v>105366.042</v>
      </c>
      <c r="M106">
        <v>105366.04200000002</v>
      </c>
      <c r="N106">
        <v>105366.042</v>
      </c>
      <c r="O106">
        <v>105366.042</v>
      </c>
      <c r="P106">
        <v>105366.042</v>
      </c>
      <c r="Q106">
        <v>17732</v>
      </c>
      <c r="R106">
        <v>163762.45000000004</v>
      </c>
      <c r="S106">
        <v>289561.78999999998</v>
      </c>
      <c r="T106">
        <v>77526.620000000024</v>
      </c>
      <c r="U106">
        <v>172676.24000000008</v>
      </c>
      <c r="V106">
        <v>109867.47000000002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f>SUMPRODUCT(DB_STProjectMonth[[#This Row],[SumOfPlan01]:[SumOfPlan12]],$E$14:$P$14)/valUnits2</f>
        <v>834.12926000000016</v>
      </c>
      <c r="AD106">
        <f>SUMPRODUCT(DB_STProjectMonth[[#This Row],[SumOfAct01]:[SumOfAct12]],$Q$14:$AB$14)/valUnits2</f>
        <v>831.12657000000002</v>
      </c>
      <c r="AE106">
        <f>DB_STProjectMonth[[#This Row],[Actual]]-DB_STProjectMonth[[#This Row],[Plan]]</f>
        <v>-3.0026900000001433</v>
      </c>
      <c r="AF106">
        <f>IF(DB_STProjectMonth[[#This Row],[Plan]]&lt;&gt;0,DB_STProjectMonth[[#This Row],[Actual]]/DB_STProjectMonth[[#This Row],[Plan]],1.000011000011)</f>
        <v>0.99640021020243297</v>
      </c>
      <c r="AG106">
        <f>SUM(DB_STProjectMonth[[#This Row],[SumOfPlan01]:[SumOfPlan12]])/valUnits2</f>
        <v>1466.3255119999999</v>
      </c>
      <c r="AH106">
        <f>SUMPRODUCT(DB_STProjectMonth[[#This Row],[SumOfAct01]:[SumOfAct12]],$Q$13:$AB$13)/valUnits2</f>
        <v>831.12657000000002</v>
      </c>
      <c r="AI106">
        <f>IF(DB_STProjectMonth[[#This Row],[FY Plan]]&lt;&gt;0,DB_STProjectMonth[[#This Row],[FY Actuals]]/DB_STProjectMonth[[#This Row],[FY Plan]],0)</f>
        <v>0.56680904969482659</v>
      </c>
    </row>
    <row r="107" spans="2:35" x14ac:dyDescent="0.2">
      <c r="B107" t="s">
        <v>348</v>
      </c>
      <c r="C107" t="s">
        <v>522</v>
      </c>
      <c r="D107" t="s">
        <v>981</v>
      </c>
      <c r="E107">
        <v>245891.72099999996</v>
      </c>
      <c r="F107">
        <v>483914.74299999978</v>
      </c>
      <c r="G107">
        <v>275003.33800000005</v>
      </c>
      <c r="H107">
        <v>399694.16499999992</v>
      </c>
      <c r="I107">
        <v>271451.53799999994</v>
      </c>
      <c r="J107">
        <v>325587.42199999996</v>
      </c>
      <c r="K107">
        <v>345019.97200000013</v>
      </c>
      <c r="L107">
        <v>249166.12</v>
      </c>
      <c r="M107">
        <v>249257.5</v>
      </c>
      <c r="N107">
        <v>249166.12</v>
      </c>
      <c r="O107">
        <v>249166.11999999997</v>
      </c>
      <c r="P107">
        <v>345935.16700000002</v>
      </c>
      <c r="Q107">
        <v>234386.22999999995</v>
      </c>
      <c r="R107">
        <v>485826.95999999996</v>
      </c>
      <c r="S107">
        <v>259481.33999999997</v>
      </c>
      <c r="T107">
        <v>379653.36000000016</v>
      </c>
      <c r="U107">
        <v>256172.07000000021</v>
      </c>
      <c r="V107">
        <v>461531.76999999984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f>SUMPRODUCT(DB_STProjectMonth[[#This Row],[SumOfPlan01]:[SumOfPlan12]],$E$14:$P$14)/valUnits2</f>
        <v>2001.5429269999997</v>
      </c>
      <c r="AD107">
        <f>SUMPRODUCT(DB_STProjectMonth[[#This Row],[SumOfAct01]:[SumOfAct12]],$Q$14:$AB$14)/valUnits2</f>
        <v>2077.0517300000001</v>
      </c>
      <c r="AE107">
        <f>DB_STProjectMonth[[#This Row],[Actual]]-DB_STProjectMonth[[#This Row],[Plan]]</f>
        <v>75.508803000000398</v>
      </c>
      <c r="AF107">
        <f>IF(DB_STProjectMonth[[#This Row],[Plan]]&lt;&gt;0,DB_STProjectMonth[[#This Row],[Actual]]/DB_STProjectMonth[[#This Row],[Plan]],1.000011000011)</f>
        <v>1.0377252978097133</v>
      </c>
      <c r="AG107">
        <f>SUM(DB_STProjectMonth[[#This Row],[SumOfPlan01]:[SumOfPlan12]])/valUnits2</f>
        <v>3689.2539259999999</v>
      </c>
      <c r="AH107">
        <f>SUMPRODUCT(DB_STProjectMonth[[#This Row],[SumOfAct01]:[SumOfAct12]],$Q$13:$AB$13)/valUnits2</f>
        <v>2077.0517300000001</v>
      </c>
      <c r="AI107">
        <f>IF(DB_STProjectMonth[[#This Row],[FY Plan]]&lt;&gt;0,DB_STProjectMonth[[#This Row],[FY Actuals]]/DB_STProjectMonth[[#This Row],[FY Plan]],0)</f>
        <v>0.56300047968018352</v>
      </c>
    </row>
    <row r="108" spans="2:35" x14ac:dyDescent="0.2">
      <c r="B108" t="s">
        <v>348</v>
      </c>
      <c r="C108" t="s">
        <v>522</v>
      </c>
      <c r="D108" t="s">
        <v>993</v>
      </c>
      <c r="E108">
        <v>1237.7170000000001</v>
      </c>
      <c r="F108">
        <v>35113.851999999999</v>
      </c>
      <c r="G108">
        <v>1396.4090000000001</v>
      </c>
      <c r="H108">
        <v>39902.920999999995</v>
      </c>
      <c r="I108">
        <v>1930.5280000000007</v>
      </c>
      <c r="J108">
        <v>18191.547999999999</v>
      </c>
      <c r="K108">
        <v>15011.754000000003</v>
      </c>
      <c r="L108">
        <v>12982.258000000003</v>
      </c>
      <c r="M108">
        <v>15554.333000000002</v>
      </c>
      <c r="N108">
        <v>11717.338000000003</v>
      </c>
      <c r="O108">
        <v>14066.043000000001</v>
      </c>
      <c r="P108">
        <v>11475.656000000003</v>
      </c>
      <c r="Q108">
        <v>1218.6500000000001</v>
      </c>
      <c r="R108">
        <v>36087.75</v>
      </c>
      <c r="S108">
        <v>1409.0500000000009</v>
      </c>
      <c r="T108">
        <v>39763.08</v>
      </c>
      <c r="U108">
        <v>1917.34</v>
      </c>
      <c r="V108">
        <v>1392.989999999998</v>
      </c>
      <c r="W108">
        <v>37226.519999999997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f>SUMPRODUCT(DB_STProjectMonth[[#This Row],[SumOfPlan01]:[SumOfPlan12]],$E$14:$P$14)/valUnits2</f>
        <v>97.772974999999988</v>
      </c>
      <c r="AD108">
        <f>SUMPRODUCT(DB_STProjectMonth[[#This Row],[SumOfAct01]:[SumOfAct12]],$Q$14:$AB$14)/valUnits2</f>
        <v>81.788859999999985</v>
      </c>
      <c r="AE108">
        <f>DB_STProjectMonth[[#This Row],[Actual]]-DB_STProjectMonth[[#This Row],[Plan]]</f>
        <v>-15.984115000000003</v>
      </c>
      <c r="AF108">
        <f>IF(DB_STProjectMonth[[#This Row],[Plan]]&lt;&gt;0,DB_STProjectMonth[[#This Row],[Actual]]/DB_STProjectMonth[[#This Row],[Plan]],1.000011000011)</f>
        <v>0.83651806646979898</v>
      </c>
      <c r="AG108">
        <f>SUM(DB_STProjectMonth[[#This Row],[SumOfPlan01]:[SumOfPlan12]])/valUnits2</f>
        <v>178.58035700000002</v>
      </c>
      <c r="AH108">
        <f>SUMPRODUCT(DB_STProjectMonth[[#This Row],[SumOfAct01]:[SumOfAct12]],$Q$13:$AB$13)/valUnits2</f>
        <v>81.788859999999985</v>
      </c>
      <c r="AI108">
        <f>IF(DB_STProjectMonth[[#This Row],[FY Plan]]&lt;&gt;0,DB_STProjectMonth[[#This Row],[FY Actuals]]/DB_STProjectMonth[[#This Row],[FY Plan]],0)</f>
        <v>0.45799471663056412</v>
      </c>
    </row>
    <row r="109" spans="2:35" x14ac:dyDescent="0.2">
      <c r="B109" t="s">
        <v>348</v>
      </c>
      <c r="C109" t="s">
        <v>523</v>
      </c>
      <c r="D109" t="s">
        <v>942</v>
      </c>
      <c r="E109">
        <v>8390.4229999999989</v>
      </c>
      <c r="F109">
        <v>18741.251999999993</v>
      </c>
      <c r="G109">
        <v>49257.298999999992</v>
      </c>
      <c r="H109">
        <v>24177.780999999999</v>
      </c>
      <c r="I109">
        <v>-9218.2069999999949</v>
      </c>
      <c r="J109">
        <v>30212.933000000005</v>
      </c>
      <c r="K109">
        <v>28416.590000000007</v>
      </c>
      <c r="L109">
        <v>28499.923000000003</v>
      </c>
      <c r="M109">
        <v>31760.597000000005</v>
      </c>
      <c r="N109">
        <v>38667.686999999998</v>
      </c>
      <c r="O109">
        <v>29813.327000000005</v>
      </c>
      <c r="P109">
        <v>26469.320000000007</v>
      </c>
      <c r="Q109">
        <v>3365.28</v>
      </c>
      <c r="R109">
        <v>13709.209999999995</v>
      </c>
      <c r="S109">
        <v>44005.420000000006</v>
      </c>
      <c r="T109">
        <v>19039.509999999987</v>
      </c>
      <c r="U109">
        <v>-14080.35</v>
      </c>
      <c r="V109">
        <v>5929.9400000000014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f>SUMPRODUCT(DB_STProjectMonth[[#This Row],[SumOfPlan01]:[SumOfPlan12]],$E$14:$P$14)/valUnits2</f>
        <v>121.561481</v>
      </c>
      <c r="AD109">
        <f>SUMPRODUCT(DB_STProjectMonth[[#This Row],[SumOfAct01]:[SumOfAct12]],$Q$14:$AB$14)/valUnits2</f>
        <v>71.969009999999983</v>
      </c>
      <c r="AE109">
        <f>DB_STProjectMonth[[#This Row],[Actual]]-DB_STProjectMonth[[#This Row],[Plan]]</f>
        <v>-49.592471000000018</v>
      </c>
      <c r="AF109">
        <f>IF(DB_STProjectMonth[[#This Row],[Plan]]&lt;&gt;0,DB_STProjectMonth[[#This Row],[Actual]]/DB_STProjectMonth[[#This Row],[Plan]],1.000011000011)</f>
        <v>0.59203794991605918</v>
      </c>
      <c r="AG109">
        <f>SUM(DB_STProjectMonth[[#This Row],[SumOfPlan01]:[SumOfPlan12]])/valUnits2</f>
        <v>305.18892500000004</v>
      </c>
      <c r="AH109">
        <f>SUMPRODUCT(DB_STProjectMonth[[#This Row],[SumOfAct01]:[SumOfAct12]],$Q$13:$AB$13)/valUnits2</f>
        <v>71.969009999999983</v>
      </c>
      <c r="AI109">
        <f>IF(DB_STProjectMonth[[#This Row],[FY Plan]]&lt;&gt;0,DB_STProjectMonth[[#This Row],[FY Actuals]]/DB_STProjectMonth[[#This Row],[FY Plan]],0)</f>
        <v>0.23581789542330206</v>
      </c>
    </row>
    <row r="110" spans="2:35" x14ac:dyDescent="0.2">
      <c r="B110" t="s">
        <v>349</v>
      </c>
      <c r="C110" t="s">
        <v>524</v>
      </c>
      <c r="D110" t="s">
        <v>940</v>
      </c>
      <c r="E110">
        <v>10.851000000000001</v>
      </c>
      <c r="F110">
        <v>387.96699999999998</v>
      </c>
      <c r="G110">
        <v>755.56499999999994</v>
      </c>
      <c r="H110">
        <v>9715.5190000000002</v>
      </c>
      <c r="I110">
        <v>1785.4860000000001</v>
      </c>
      <c r="J110">
        <v>1880.8790000000001</v>
      </c>
      <c r="K110">
        <v>1880.8790000000001</v>
      </c>
      <c r="L110">
        <v>1880.8790000000001</v>
      </c>
      <c r="M110">
        <v>1880.8790000000001</v>
      </c>
      <c r="N110">
        <v>1880.8790000000001</v>
      </c>
      <c r="O110">
        <v>1880.8790000000001</v>
      </c>
      <c r="P110">
        <v>1880.8790000000001</v>
      </c>
      <c r="Q110">
        <v>10.9</v>
      </c>
      <c r="R110">
        <v>395.52</v>
      </c>
      <c r="S110">
        <v>850.12000000000012</v>
      </c>
      <c r="T110">
        <v>9751.92</v>
      </c>
      <c r="U110">
        <v>1809.73</v>
      </c>
      <c r="V110">
        <v>-250.13000000000011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f>SUMPRODUCT(DB_STProjectMonth[[#This Row],[SumOfPlan01]:[SumOfPlan12]],$E$14:$P$14)/valUnits2</f>
        <v>14.536267000000002</v>
      </c>
      <c r="AD110">
        <f>SUMPRODUCT(DB_STProjectMonth[[#This Row],[SumOfAct01]:[SumOfAct12]],$Q$14:$AB$14)/valUnits2</f>
        <v>12.568059999999997</v>
      </c>
      <c r="AE110">
        <f>DB_STProjectMonth[[#This Row],[Actual]]-DB_STProjectMonth[[#This Row],[Plan]]</f>
        <v>-1.9682070000000049</v>
      </c>
      <c r="AF110">
        <f>IF(DB_STProjectMonth[[#This Row],[Plan]]&lt;&gt;0,DB_STProjectMonth[[#This Row],[Actual]]/DB_STProjectMonth[[#This Row],[Plan]],1.000011000011)</f>
        <v>0.86460024434058591</v>
      </c>
      <c r="AG110">
        <f>SUM(DB_STProjectMonth[[#This Row],[SumOfPlan01]:[SumOfPlan12]])/valUnits2</f>
        <v>25.821541000000003</v>
      </c>
      <c r="AH110">
        <f>SUMPRODUCT(DB_STProjectMonth[[#This Row],[SumOfAct01]:[SumOfAct12]],$Q$13:$AB$13)/valUnits2</f>
        <v>12.568059999999997</v>
      </c>
      <c r="AI110">
        <f>IF(DB_STProjectMonth[[#This Row],[FY Plan]]&lt;&gt;0,DB_STProjectMonth[[#This Row],[FY Actuals]]/DB_STProjectMonth[[#This Row],[FY Plan]],0)</f>
        <v>0.48672772860457847</v>
      </c>
    </row>
    <row r="111" spans="2:35" x14ac:dyDescent="0.2">
      <c r="B111" t="s">
        <v>349</v>
      </c>
      <c r="C111" t="s">
        <v>524</v>
      </c>
      <c r="D111" t="s">
        <v>978</v>
      </c>
      <c r="E111">
        <v>0</v>
      </c>
      <c r="H111">
        <v>65.539999999999992</v>
      </c>
      <c r="I111">
        <v>2562.48</v>
      </c>
      <c r="J111">
        <v>0</v>
      </c>
      <c r="K111">
        <v>0</v>
      </c>
      <c r="N111">
        <v>0</v>
      </c>
      <c r="Q111">
        <v>0</v>
      </c>
      <c r="T111">
        <v>65.539999999999992</v>
      </c>
      <c r="U111">
        <v>2562.48</v>
      </c>
      <c r="V111">
        <v>-2398.81</v>
      </c>
      <c r="W111">
        <v>0</v>
      </c>
      <c r="Z111">
        <v>0</v>
      </c>
      <c r="AC111">
        <f>SUMPRODUCT(DB_STProjectMonth[[#This Row],[SumOfPlan01]:[SumOfPlan12]],$E$14:$P$14)/valUnits2</f>
        <v>2.6280199999999998</v>
      </c>
      <c r="AD111">
        <f>SUMPRODUCT(DB_STProjectMonth[[#This Row],[SumOfAct01]:[SumOfAct12]],$Q$14:$AB$14)/valUnits2</f>
        <v>0.22921000000000002</v>
      </c>
      <c r="AE111">
        <f>DB_STProjectMonth[[#This Row],[Actual]]-DB_STProjectMonth[[#This Row],[Plan]]</f>
        <v>-2.3988099999999997</v>
      </c>
      <c r="AF111">
        <f>IF(DB_STProjectMonth[[#This Row],[Plan]]&lt;&gt;0,DB_STProjectMonth[[#This Row],[Actual]]/DB_STProjectMonth[[#This Row],[Plan]],1.000011000011)</f>
        <v>8.7217753289548797E-2</v>
      </c>
      <c r="AG111">
        <f>SUM(DB_STProjectMonth[[#This Row],[SumOfPlan01]:[SumOfPlan12]])/valUnits2</f>
        <v>2.6280199999999998</v>
      </c>
      <c r="AH111">
        <f>SUMPRODUCT(DB_STProjectMonth[[#This Row],[SumOfAct01]:[SumOfAct12]],$Q$13:$AB$13)/valUnits2</f>
        <v>0.22921000000000002</v>
      </c>
      <c r="AI111">
        <f>IF(DB_STProjectMonth[[#This Row],[FY Plan]]&lt;&gt;0,DB_STProjectMonth[[#This Row],[FY Actuals]]/DB_STProjectMonth[[#This Row],[FY Plan]],0)</f>
        <v>8.7217753289548797E-2</v>
      </c>
    </row>
    <row r="112" spans="2:35" x14ac:dyDescent="0.2">
      <c r="B112" t="s">
        <v>349</v>
      </c>
      <c r="C112" t="s">
        <v>524</v>
      </c>
      <c r="D112" t="s">
        <v>983</v>
      </c>
      <c r="E112">
        <v>35446.603999999999</v>
      </c>
      <c r="F112">
        <v>310283.34399999998</v>
      </c>
      <c r="G112">
        <v>73136.933000000019</v>
      </c>
      <c r="H112">
        <v>259758.69200000001</v>
      </c>
      <c r="I112">
        <v>219541.465</v>
      </c>
      <c r="J112">
        <v>163961.83999999994</v>
      </c>
      <c r="K112">
        <v>150294.72199999989</v>
      </c>
      <c r="L112">
        <v>143052.47399999999</v>
      </c>
      <c r="M112">
        <v>143221.63999999993</v>
      </c>
      <c r="N112">
        <v>163027.08099999992</v>
      </c>
      <c r="O112">
        <v>141024.22399999993</v>
      </c>
      <c r="P112">
        <v>141028.22399999999</v>
      </c>
      <c r="Q112">
        <v>33017.739999999969</v>
      </c>
      <c r="R112">
        <v>308017.81999999989</v>
      </c>
      <c r="S112">
        <v>71149.509999999951</v>
      </c>
      <c r="T112">
        <v>257375.53999999998</v>
      </c>
      <c r="U112">
        <v>217278.86999999997</v>
      </c>
      <c r="V112">
        <v>833244.80999999982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f>SUMPRODUCT(DB_STProjectMonth[[#This Row],[SumOfPlan01]:[SumOfPlan12]],$E$14:$P$14)/valUnits2</f>
        <v>1062.1288779999998</v>
      </c>
      <c r="AD112">
        <f>SUMPRODUCT(DB_STProjectMonth[[#This Row],[SumOfAct01]:[SumOfAct12]],$Q$14:$AB$14)/valUnits2</f>
        <v>1720.0842899999996</v>
      </c>
      <c r="AE112">
        <f>DB_STProjectMonth[[#This Row],[Actual]]-DB_STProjectMonth[[#This Row],[Plan]]</f>
        <v>657.9554119999998</v>
      </c>
      <c r="AF112">
        <f>IF(DB_STProjectMonth[[#This Row],[Plan]]&lt;&gt;0,DB_STProjectMonth[[#This Row],[Actual]]/DB_STProjectMonth[[#This Row],[Plan]],1.000011000011)</f>
        <v>1.6194685274342009</v>
      </c>
      <c r="AG112">
        <f>SUM(DB_STProjectMonth[[#This Row],[SumOfPlan01]:[SumOfPlan12]])/valUnits2</f>
        <v>1943.7772429999993</v>
      </c>
      <c r="AH112">
        <f>SUMPRODUCT(DB_STProjectMonth[[#This Row],[SumOfAct01]:[SumOfAct12]],$Q$13:$AB$13)/valUnits2</f>
        <v>1720.0842899999996</v>
      </c>
      <c r="AI112">
        <f>IF(DB_STProjectMonth[[#This Row],[FY Plan]]&lt;&gt;0,DB_STProjectMonth[[#This Row],[FY Actuals]]/DB_STProjectMonth[[#This Row],[FY Plan]],0)</f>
        <v>0.8849184216938587</v>
      </c>
    </row>
    <row r="113" spans="2:35" x14ac:dyDescent="0.2">
      <c r="B113" t="s">
        <v>349</v>
      </c>
      <c r="C113" t="s">
        <v>524</v>
      </c>
      <c r="D113" t="s">
        <v>985</v>
      </c>
      <c r="E113">
        <v>33235.575999999994</v>
      </c>
      <c r="F113">
        <v>19493.719000000005</v>
      </c>
      <c r="G113">
        <v>8120.2590000000037</v>
      </c>
      <c r="H113">
        <v>20425.713000000003</v>
      </c>
      <c r="I113">
        <v>7765.0030000000006</v>
      </c>
      <c r="J113">
        <v>34499.630000000005</v>
      </c>
      <c r="Q113">
        <v>33551.56</v>
      </c>
      <c r="R113">
        <v>19839.069999999996</v>
      </c>
      <c r="S113">
        <v>8104.3999999999978</v>
      </c>
      <c r="T113">
        <v>20556.620000000003</v>
      </c>
      <c r="U113">
        <v>8030.6999999999953</v>
      </c>
      <c r="V113">
        <v>15887.61</v>
      </c>
      <c r="AC113">
        <f>SUMPRODUCT(DB_STProjectMonth[[#This Row],[SumOfPlan01]:[SumOfPlan12]],$E$14:$P$14)/valUnits2</f>
        <v>123.5399</v>
      </c>
      <c r="AD113">
        <f>SUMPRODUCT(DB_STProjectMonth[[#This Row],[SumOfAct01]:[SumOfAct12]],$Q$14:$AB$14)/valUnits2</f>
        <v>105.96995999999999</v>
      </c>
      <c r="AE113">
        <f>DB_STProjectMonth[[#This Row],[Actual]]-DB_STProjectMonth[[#This Row],[Plan]]</f>
        <v>-17.569940000000017</v>
      </c>
      <c r="AF113">
        <f>IF(DB_STProjectMonth[[#This Row],[Plan]]&lt;&gt;0,DB_STProjectMonth[[#This Row],[Actual]]/DB_STProjectMonth[[#This Row],[Plan]],1.000011000011)</f>
        <v>0.85777922760177061</v>
      </c>
      <c r="AG113">
        <f>SUM(DB_STProjectMonth[[#This Row],[SumOfPlan01]:[SumOfPlan12]])/valUnits2</f>
        <v>123.5399</v>
      </c>
      <c r="AH113">
        <f>SUMPRODUCT(DB_STProjectMonth[[#This Row],[SumOfAct01]:[SumOfAct12]],$Q$13:$AB$13)/valUnits2</f>
        <v>105.96995999999999</v>
      </c>
      <c r="AI113">
        <f>IF(DB_STProjectMonth[[#This Row],[FY Plan]]&lt;&gt;0,DB_STProjectMonth[[#This Row],[FY Actuals]]/DB_STProjectMonth[[#This Row],[FY Plan]],0)</f>
        <v>0.85777922760177061</v>
      </c>
    </row>
    <row r="114" spans="2:35" x14ac:dyDescent="0.2">
      <c r="B114" t="s">
        <v>349</v>
      </c>
      <c r="C114" t="s">
        <v>524</v>
      </c>
      <c r="D114" t="s">
        <v>994</v>
      </c>
      <c r="E114">
        <v>49.540000000000006</v>
      </c>
      <c r="Q114">
        <v>49.54</v>
      </c>
      <c r="AC114">
        <f>SUMPRODUCT(DB_STProjectMonth[[#This Row],[SumOfPlan01]:[SumOfPlan12]],$E$14:$P$14)/valUnits2</f>
        <v>4.9540000000000008E-2</v>
      </c>
      <c r="AD114">
        <f>SUMPRODUCT(DB_STProjectMonth[[#This Row],[SumOfAct01]:[SumOfAct12]],$Q$14:$AB$14)/valUnits2</f>
        <v>4.9540000000000001E-2</v>
      </c>
      <c r="AE114">
        <f>DB_STProjectMonth[[#This Row],[Actual]]-DB_STProjectMonth[[#This Row],[Plan]]</f>
        <v>0</v>
      </c>
      <c r="AF114">
        <f>IF(DB_STProjectMonth[[#This Row],[Plan]]&lt;&gt;0,DB_STProjectMonth[[#This Row],[Actual]]/DB_STProjectMonth[[#This Row],[Plan]],1.000011000011)</f>
        <v>0.99999999999999989</v>
      </c>
      <c r="AG114">
        <f>SUM(DB_STProjectMonth[[#This Row],[SumOfPlan01]:[SumOfPlan12]])/valUnits2</f>
        <v>4.9540000000000008E-2</v>
      </c>
      <c r="AH114">
        <f>SUMPRODUCT(DB_STProjectMonth[[#This Row],[SumOfAct01]:[SumOfAct12]],$Q$13:$AB$13)/valUnits2</f>
        <v>4.9540000000000001E-2</v>
      </c>
      <c r="AI114">
        <f>IF(DB_STProjectMonth[[#This Row],[FY Plan]]&lt;&gt;0,DB_STProjectMonth[[#This Row],[FY Actuals]]/DB_STProjectMonth[[#This Row],[FY Plan]],0)</f>
        <v>0.99999999999999989</v>
      </c>
    </row>
    <row r="115" spans="2:35" x14ac:dyDescent="0.2">
      <c r="B115" t="s">
        <v>349</v>
      </c>
      <c r="C115" t="s">
        <v>525</v>
      </c>
      <c r="D115" t="s">
        <v>943</v>
      </c>
      <c r="E115">
        <v>166415.59899999999</v>
      </c>
      <c r="F115">
        <v>6163.9379999999992</v>
      </c>
      <c r="G115">
        <v>246945.94300000009</v>
      </c>
      <c r="H115">
        <v>186113.20499999999</v>
      </c>
      <c r="I115">
        <v>41581.979000000036</v>
      </c>
      <c r="J115">
        <v>90653.274999999994</v>
      </c>
      <c r="Q115">
        <v>161805.75</v>
      </c>
      <c r="R115">
        <v>6313.0200000000295</v>
      </c>
      <c r="S115">
        <v>251728.22000000003</v>
      </c>
      <c r="T115">
        <v>186058.44</v>
      </c>
      <c r="U115">
        <v>41285.010000000097</v>
      </c>
      <c r="V115">
        <v>106040.29999999999</v>
      </c>
      <c r="AC115">
        <f>SUMPRODUCT(DB_STProjectMonth[[#This Row],[SumOfPlan01]:[SumOfPlan12]],$E$14:$P$14)/valUnits2</f>
        <v>737.87393900000018</v>
      </c>
      <c r="AD115">
        <f>SUMPRODUCT(DB_STProjectMonth[[#This Row],[SumOfAct01]:[SumOfAct12]],$Q$14:$AB$14)/valUnits2</f>
        <v>753.2307400000002</v>
      </c>
      <c r="AE115">
        <f>DB_STProjectMonth[[#This Row],[Actual]]-DB_STProjectMonth[[#This Row],[Plan]]</f>
        <v>15.356801000000019</v>
      </c>
      <c r="AF115">
        <f>IF(DB_STProjectMonth[[#This Row],[Plan]]&lt;&gt;0,DB_STProjectMonth[[#This Row],[Actual]]/DB_STProjectMonth[[#This Row],[Plan]],1.000011000011)</f>
        <v>1.020812228469286</v>
      </c>
      <c r="AG115">
        <f>SUM(DB_STProjectMonth[[#This Row],[SumOfPlan01]:[SumOfPlan12]])/valUnits2</f>
        <v>737.87393900000018</v>
      </c>
      <c r="AH115">
        <f>SUMPRODUCT(DB_STProjectMonth[[#This Row],[SumOfAct01]:[SumOfAct12]],$Q$13:$AB$13)/valUnits2</f>
        <v>753.2307400000002</v>
      </c>
      <c r="AI115">
        <f>IF(DB_STProjectMonth[[#This Row],[FY Plan]]&lt;&gt;0,DB_STProjectMonth[[#This Row],[FY Actuals]]/DB_STProjectMonth[[#This Row],[FY Plan]],0)</f>
        <v>1.020812228469286</v>
      </c>
    </row>
    <row r="116" spans="2:35" x14ac:dyDescent="0.2">
      <c r="B116" t="s">
        <v>350</v>
      </c>
      <c r="C116" t="s">
        <v>526</v>
      </c>
      <c r="D116" t="s">
        <v>974</v>
      </c>
      <c r="E116">
        <v>7645.4629999999997</v>
      </c>
      <c r="F116">
        <v>46426.638999999996</v>
      </c>
      <c r="G116">
        <v>33893.427000000003</v>
      </c>
      <c r="H116">
        <v>36835.581999999995</v>
      </c>
      <c r="I116">
        <v>15864.328000000001</v>
      </c>
      <c r="J116">
        <v>17714.494999999999</v>
      </c>
      <c r="K116">
        <v>17714.494999999995</v>
      </c>
      <c r="L116">
        <v>17714.494999999999</v>
      </c>
      <c r="M116">
        <v>17610.444</v>
      </c>
      <c r="N116">
        <v>11912.808000000003</v>
      </c>
      <c r="O116">
        <v>11137.677000000003</v>
      </c>
      <c r="P116">
        <v>11137.677000000001</v>
      </c>
      <c r="Q116">
        <v>6226.93</v>
      </c>
      <c r="R116">
        <v>45092.259999999995</v>
      </c>
      <c r="S116">
        <v>32033.759999999991</v>
      </c>
      <c r="T116">
        <v>34549.920000000006</v>
      </c>
      <c r="U116">
        <v>13949.939999999999</v>
      </c>
      <c r="V116">
        <v>11746.87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f>SUMPRODUCT(DB_STProjectMonth[[#This Row],[SumOfPlan01]:[SumOfPlan12]],$E$14:$P$14)/valUnits2</f>
        <v>158.37993400000002</v>
      </c>
      <c r="AD116">
        <f>SUMPRODUCT(DB_STProjectMonth[[#This Row],[SumOfAct01]:[SumOfAct12]],$Q$14:$AB$14)/valUnits2</f>
        <v>143.59968000000001</v>
      </c>
      <c r="AE116">
        <f>DB_STProjectMonth[[#This Row],[Actual]]-DB_STProjectMonth[[#This Row],[Plan]]</f>
        <v>-14.780254000000014</v>
      </c>
      <c r="AF116">
        <f>IF(DB_STProjectMonth[[#This Row],[Plan]]&lt;&gt;0,DB_STProjectMonth[[#This Row],[Actual]]/DB_STProjectMonth[[#This Row],[Plan]],1.000011000011)</f>
        <v>0.90667849375413923</v>
      </c>
      <c r="AG116">
        <f>SUM(DB_STProjectMonth[[#This Row],[SumOfPlan01]:[SumOfPlan12]])/valUnits2</f>
        <v>245.60752999999997</v>
      </c>
      <c r="AH116">
        <f>SUMPRODUCT(DB_STProjectMonth[[#This Row],[SumOfAct01]:[SumOfAct12]],$Q$13:$AB$13)/valUnits2</f>
        <v>143.59968000000001</v>
      </c>
      <c r="AI116">
        <f>IF(DB_STProjectMonth[[#This Row],[FY Plan]]&lt;&gt;0,DB_STProjectMonth[[#This Row],[FY Actuals]]/DB_STProjectMonth[[#This Row],[FY Plan]],0)</f>
        <v>0.58467132502004326</v>
      </c>
    </row>
    <row r="117" spans="2:35" x14ac:dyDescent="0.2">
      <c r="B117" t="s">
        <v>350</v>
      </c>
      <c r="C117" t="s">
        <v>526</v>
      </c>
      <c r="D117" t="s">
        <v>995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1263.498</v>
      </c>
      <c r="K117">
        <v>1263.498</v>
      </c>
      <c r="L117">
        <v>1263.498</v>
      </c>
      <c r="M117">
        <v>1263.4979999999998</v>
      </c>
      <c r="N117">
        <v>1263.498</v>
      </c>
      <c r="O117">
        <v>1263.4979999999998</v>
      </c>
      <c r="P117">
        <v>1263.4979999999998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f>SUMPRODUCT(DB_STProjectMonth[[#This Row],[SumOfPlan01]:[SumOfPlan12]],$E$14:$P$14)/valUnits2</f>
        <v>1.263498</v>
      </c>
      <c r="AD117">
        <f>SUMPRODUCT(DB_STProjectMonth[[#This Row],[SumOfAct01]:[SumOfAct12]],$Q$14:$AB$14)/valUnits2</f>
        <v>0</v>
      </c>
      <c r="AE117">
        <f>DB_STProjectMonth[[#This Row],[Actual]]-DB_STProjectMonth[[#This Row],[Plan]]</f>
        <v>-1.263498</v>
      </c>
      <c r="AF117">
        <f>IF(DB_STProjectMonth[[#This Row],[Plan]]&lt;&gt;0,DB_STProjectMonth[[#This Row],[Actual]]/DB_STProjectMonth[[#This Row],[Plan]],1.000011000011)</f>
        <v>0</v>
      </c>
      <c r="AG117">
        <f>SUM(DB_STProjectMonth[[#This Row],[SumOfPlan01]:[SumOfPlan12]])/valUnits2</f>
        <v>8.8444859999999998</v>
      </c>
      <c r="AH117">
        <f>SUMPRODUCT(DB_STProjectMonth[[#This Row],[SumOfAct01]:[SumOfAct12]],$Q$13:$AB$13)/valUnits2</f>
        <v>0</v>
      </c>
      <c r="AI117">
        <f>IF(DB_STProjectMonth[[#This Row],[FY Plan]]&lt;&gt;0,DB_STProjectMonth[[#This Row],[FY Actuals]]/DB_STProjectMonth[[#This Row],[FY Plan]],0)</f>
        <v>0</v>
      </c>
    </row>
    <row r="118" spans="2:35" x14ac:dyDescent="0.2">
      <c r="B118" t="s">
        <v>350</v>
      </c>
      <c r="C118" t="s">
        <v>527</v>
      </c>
      <c r="D118" t="s">
        <v>968</v>
      </c>
      <c r="E118">
        <v>1194.347</v>
      </c>
      <c r="F118">
        <v>104245.12699999999</v>
      </c>
      <c r="G118">
        <v>80304.293000000005</v>
      </c>
      <c r="H118">
        <v>-156547.37300000002</v>
      </c>
      <c r="I118">
        <v>13286.019000000008</v>
      </c>
      <c r="J118">
        <v>6776.2659999999996</v>
      </c>
      <c r="K118">
        <v>6776.2659999999996</v>
      </c>
      <c r="L118">
        <v>6776.2659999999996</v>
      </c>
      <c r="M118">
        <v>6776.2660000000005</v>
      </c>
      <c r="N118">
        <v>6776.2660000000005</v>
      </c>
      <c r="O118">
        <v>6776.2659999999996</v>
      </c>
      <c r="P118">
        <v>6776.2659999999996</v>
      </c>
      <c r="Q118">
        <v>27.68</v>
      </c>
      <c r="R118">
        <v>103078.46</v>
      </c>
      <c r="S118">
        <v>79382.249999999985</v>
      </c>
      <c r="T118">
        <v>-157904.17000000004</v>
      </c>
      <c r="U118">
        <v>12283.020000000006</v>
      </c>
      <c r="V118">
        <v>-1413.2700000000009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f>SUMPRODUCT(DB_STProjectMonth[[#This Row],[SumOfPlan01]:[SumOfPlan12]],$E$14:$P$14)/valUnits2</f>
        <v>49.258678999999972</v>
      </c>
      <c r="AD118">
        <f>SUMPRODUCT(DB_STProjectMonth[[#This Row],[SumOfAct01]:[SumOfAct12]],$Q$14:$AB$14)/valUnits2</f>
        <v>35.453969999999941</v>
      </c>
      <c r="AE118">
        <f>DB_STProjectMonth[[#This Row],[Actual]]-DB_STProjectMonth[[#This Row],[Plan]]</f>
        <v>-13.804709000000031</v>
      </c>
      <c r="AF118">
        <f>IF(DB_STProjectMonth[[#This Row],[Plan]]&lt;&gt;0,DB_STProjectMonth[[#This Row],[Actual]]/DB_STProjectMonth[[#This Row],[Plan]],1.000011000011)</f>
        <v>0.71975072656739258</v>
      </c>
      <c r="AG118">
        <f>SUM(DB_STProjectMonth[[#This Row],[SumOfPlan01]:[SumOfPlan12]])/valUnits2</f>
        <v>89.916274999999999</v>
      </c>
      <c r="AH118">
        <f>SUMPRODUCT(DB_STProjectMonth[[#This Row],[SumOfAct01]:[SumOfAct12]],$Q$13:$AB$13)/valUnits2</f>
        <v>35.453969999999941</v>
      </c>
      <c r="AI118">
        <f>IF(DB_STProjectMonth[[#This Row],[FY Plan]]&lt;&gt;0,DB_STProjectMonth[[#This Row],[FY Actuals]]/DB_STProjectMonth[[#This Row],[FY Plan]],0)</f>
        <v>0.39429980834948891</v>
      </c>
    </row>
    <row r="119" spans="2:35" x14ac:dyDescent="0.2">
      <c r="B119" t="s">
        <v>350</v>
      </c>
      <c r="C119" t="s">
        <v>528</v>
      </c>
      <c r="D119" t="s">
        <v>941</v>
      </c>
      <c r="E119">
        <v>362.40800000000002</v>
      </c>
      <c r="F119">
        <v>371.08699999999999</v>
      </c>
      <c r="G119">
        <v>1466.7360000000001</v>
      </c>
      <c r="H119">
        <v>347.59</v>
      </c>
      <c r="I119">
        <v>298.589</v>
      </c>
      <c r="J119">
        <v>295.84000000000003</v>
      </c>
      <c r="K119">
        <v>295.83999999999997</v>
      </c>
      <c r="L119">
        <v>295.84000000000003</v>
      </c>
      <c r="M119">
        <v>295.83999999999997</v>
      </c>
      <c r="N119">
        <v>295.83999999999997</v>
      </c>
      <c r="O119">
        <v>295.83999999999997</v>
      </c>
      <c r="P119">
        <v>295.83999999999997</v>
      </c>
      <c r="Q119">
        <v>362.42</v>
      </c>
      <c r="R119">
        <v>369.39</v>
      </c>
      <c r="S119">
        <v>1459.06</v>
      </c>
      <c r="T119">
        <v>347.59</v>
      </c>
      <c r="U119">
        <v>297.65000000000003</v>
      </c>
      <c r="V119">
        <v>612.29999999999995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f>SUMPRODUCT(DB_STProjectMonth[[#This Row],[SumOfPlan01]:[SumOfPlan12]],$E$14:$P$14)/valUnits2</f>
        <v>3.1422500000000007</v>
      </c>
      <c r="AD119">
        <f>SUMPRODUCT(DB_STProjectMonth[[#This Row],[SumOfAct01]:[SumOfAct12]],$Q$14:$AB$14)/valUnits2</f>
        <v>3.44841</v>
      </c>
      <c r="AE119">
        <f>DB_STProjectMonth[[#This Row],[Actual]]-DB_STProjectMonth[[#This Row],[Plan]]</f>
        <v>0.30615999999999932</v>
      </c>
      <c r="AF119">
        <f>IF(DB_STProjectMonth[[#This Row],[Plan]]&lt;&gt;0,DB_STProjectMonth[[#This Row],[Actual]]/DB_STProjectMonth[[#This Row],[Plan]],1.000011000011)</f>
        <v>1.0974333678096904</v>
      </c>
      <c r="AG119">
        <f>SUM(DB_STProjectMonth[[#This Row],[SumOfPlan01]:[SumOfPlan12]])/valUnits2</f>
        <v>4.9172900000000013</v>
      </c>
      <c r="AH119">
        <f>SUMPRODUCT(DB_STProjectMonth[[#This Row],[SumOfAct01]:[SumOfAct12]],$Q$13:$AB$13)/valUnits2</f>
        <v>3.44841</v>
      </c>
      <c r="AI119">
        <f>IF(DB_STProjectMonth[[#This Row],[FY Plan]]&lt;&gt;0,DB_STProjectMonth[[#This Row],[FY Actuals]]/DB_STProjectMonth[[#This Row],[FY Plan]],0)</f>
        <v>0.70128261705126183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P847"/>
  <sheetViews>
    <sheetView workbookViewId="0">
      <selection activeCell="A133" sqref="A133"/>
    </sheetView>
  </sheetViews>
  <sheetFormatPr defaultRowHeight="12.75" x14ac:dyDescent="0.2"/>
  <cols>
    <col min="1" max="1" width="34.140625" customWidth="1"/>
    <col min="2" max="2" width="11.85546875" customWidth="1"/>
    <col min="3" max="3" width="14.85546875" customWidth="1"/>
    <col min="4" max="4" width="18.42578125" customWidth="1"/>
    <col min="5" max="5" width="16.28515625" customWidth="1"/>
    <col min="6" max="6" width="11.5703125" bestFit="1" customWidth="1"/>
    <col min="7" max="7" width="13.140625" bestFit="1" customWidth="1"/>
    <col min="8" max="8" width="11" bestFit="1" customWidth="1"/>
    <col min="9" max="9" width="12" bestFit="1" customWidth="1"/>
    <col min="10" max="10" width="13.140625" bestFit="1" customWidth="1"/>
    <col min="11" max="11" width="12" bestFit="1" customWidth="1"/>
    <col min="12" max="12" width="12" customWidth="1"/>
    <col min="13" max="13" width="11" bestFit="1" customWidth="1"/>
    <col min="14" max="14" width="12" bestFit="1" customWidth="1"/>
    <col min="15" max="15" width="12" customWidth="1"/>
    <col min="16" max="16" width="11" bestFit="1" customWidth="1"/>
    <col min="17" max="17" width="12" bestFit="1" customWidth="1"/>
    <col min="18" max="18" width="10.5703125" bestFit="1" customWidth="1"/>
    <col min="19" max="19" width="13.140625" customWidth="1"/>
    <col min="20" max="20" width="10" bestFit="1" customWidth="1"/>
    <col min="21" max="21" width="11" bestFit="1" customWidth="1"/>
    <col min="22" max="23" width="13.140625" bestFit="1" customWidth="1"/>
    <col min="24" max="24" width="9" customWidth="1"/>
    <col min="25" max="29" width="8.140625" customWidth="1"/>
    <col min="30" max="30" width="12" bestFit="1" customWidth="1"/>
    <col min="31" max="33" width="13.140625" customWidth="1"/>
    <col min="36" max="36" width="2.7109375" customWidth="1"/>
    <col min="37" max="37" width="9.85546875" customWidth="1"/>
    <col min="38" max="38" width="4.42578125" customWidth="1"/>
    <col min="39" max="39" width="7.7109375" customWidth="1"/>
    <col min="40" max="40" width="1" customWidth="1"/>
    <col min="41" max="42" width="6.5703125" customWidth="1"/>
  </cols>
  <sheetData>
    <row r="1" spans="1:42" x14ac:dyDescent="0.2">
      <c r="AH1" s="2" t="s">
        <v>170</v>
      </c>
      <c r="AI1" s="298" t="e">
        <f>MAX(ABS(MIN(D3:D10)),MAX(D3:D10))</f>
        <v>#N/A</v>
      </c>
    </row>
    <row r="2" spans="1:42" ht="9.75" customHeight="1" thickBot="1" x14ac:dyDescent="0.25">
      <c r="C2" t="s">
        <v>34</v>
      </c>
      <c r="D2" t="s">
        <v>31</v>
      </c>
      <c r="E2" t="s">
        <v>30</v>
      </c>
      <c r="AJ2" s="359"/>
      <c r="AK2" s="359"/>
      <c r="AL2" s="359"/>
      <c r="AM2" s="361" t="s">
        <v>111</v>
      </c>
      <c r="AN2" s="362"/>
      <c r="AO2" s="598" t="s">
        <v>31</v>
      </c>
      <c r="AP2" s="598"/>
    </row>
    <row r="3" spans="1:42" ht="14.25" thickTop="1" thickBot="1" x14ac:dyDescent="0.25">
      <c r="A3" t="str">
        <f t="shared" ref="A3:A10" si="0">valSTProject</f>
        <v>0500019 - BGD Integrated service delivery (MNH-FP-nutrition)</v>
      </c>
      <c r="B3" s="41" t="s">
        <v>140</v>
      </c>
      <c r="C3" t="e">
        <f>VLOOKUP(valSTProject&amp;$B3, DB_STProjectAcct[],31,FALSE)</f>
        <v>#N/A</v>
      </c>
      <c r="D3" t="e">
        <f>VLOOKUP(valSTProject&amp;$B3, DB_STProjectAcct[],32,FALSE)</f>
        <v>#N/A</v>
      </c>
      <c r="E3" t="e">
        <f>VLOOKUP(valSTProject&amp;$B3, DB_STProjectAcct[],33,FALSE)</f>
        <v>#N/A</v>
      </c>
      <c r="AJ3" s="266" t="str">
        <f>IF(ISERROR(E3),"ß",IF((E3-1)&lt;&gt;0,ABS(E3-1),0))</f>
        <v>ß</v>
      </c>
      <c r="AK3" s="41" t="s">
        <v>140</v>
      </c>
      <c r="AL3" s="348"/>
      <c r="AM3" s="360" t="str">
        <f>IF(ISERROR(E3),"",C3)</f>
        <v/>
      </c>
      <c r="AN3" s="360"/>
      <c r="AO3" s="306" t="str">
        <f>IF(ISERROR(E3),"",IF(D3&lt;0,D3,0))</f>
        <v/>
      </c>
      <c r="AP3" s="360" t="str">
        <f>IF(ISERROR(E3),"",IF(D3&gt;0,D3,0))</f>
        <v/>
      </c>
    </row>
    <row r="4" spans="1:42" ht="14.25" thickTop="1" thickBot="1" x14ac:dyDescent="0.25">
      <c r="A4" t="str">
        <f t="shared" si="0"/>
        <v>0500019 - BGD Integrated service delivery (MNH-FP-nutrition)</v>
      </c>
      <c r="B4" s="42" t="s">
        <v>141</v>
      </c>
      <c r="C4" t="e">
        <f>VLOOKUP(valSTProject&amp;$B4, DB_STProjectAcct[],31,FALSE)</f>
        <v>#N/A</v>
      </c>
      <c r="D4" t="e">
        <f>VLOOKUP(valSTProject&amp;$B4, DB_STProjectAcct[],32,FALSE)</f>
        <v>#N/A</v>
      </c>
      <c r="E4" t="e">
        <f>VLOOKUP(valSTProject&amp;$B4, DB_STProjectAcct[],33,FALSE)</f>
        <v>#N/A</v>
      </c>
      <c r="AJ4" s="266" t="str">
        <f t="shared" ref="AJ4:AJ10" si="1">IF(ISERROR(E4),"ß",IF((E4-1)&lt;&gt;0,ABS(E4-1),0))</f>
        <v>ß</v>
      </c>
      <c r="AK4" s="42" t="s">
        <v>141</v>
      </c>
      <c r="AL4" s="348"/>
      <c r="AM4" s="360" t="str">
        <f t="shared" ref="AM4:AM10" si="2">IF(ISERROR(E4),"",C4)</f>
        <v/>
      </c>
      <c r="AN4" s="360"/>
      <c r="AO4" s="306" t="str">
        <f t="shared" ref="AO4:AO10" si="3">IF(ISERROR(E4),"",IF(D4&lt;0,D4,0))</f>
        <v/>
      </c>
      <c r="AP4" s="360" t="str">
        <f t="shared" ref="AP4:AP10" si="4">IF(ISERROR(E4),"",IF(D4&gt;0,D4,0))</f>
        <v/>
      </c>
    </row>
    <row r="5" spans="1:42" ht="14.25" thickTop="1" thickBot="1" x14ac:dyDescent="0.25">
      <c r="A5" t="str">
        <f t="shared" si="0"/>
        <v>0500019 - BGD Integrated service delivery (MNH-FP-nutrition)</v>
      </c>
      <c r="B5" s="41" t="s">
        <v>237</v>
      </c>
      <c r="C5" t="e">
        <f>VLOOKUP(valSTProject&amp;$B5, DB_STProjectAcct[],31,FALSE)</f>
        <v>#N/A</v>
      </c>
      <c r="D5" t="e">
        <f>VLOOKUP(valSTProject&amp;$B5, DB_STProjectAcct[],32,FALSE)</f>
        <v>#N/A</v>
      </c>
      <c r="E5" t="e">
        <f>VLOOKUP(valSTProject&amp;$B5, DB_STProjectAcct[],33,FALSE)</f>
        <v>#N/A</v>
      </c>
      <c r="AJ5" s="266" t="str">
        <f t="shared" si="1"/>
        <v>ß</v>
      </c>
      <c r="AK5" s="41" t="s">
        <v>237</v>
      </c>
      <c r="AL5" s="348"/>
      <c r="AM5" s="360" t="str">
        <f t="shared" si="2"/>
        <v/>
      </c>
      <c r="AN5" s="360"/>
      <c r="AO5" s="306" t="str">
        <f t="shared" si="3"/>
        <v/>
      </c>
      <c r="AP5" s="360" t="str">
        <f t="shared" si="4"/>
        <v/>
      </c>
    </row>
    <row r="6" spans="1:42" ht="14.25" thickTop="1" thickBot="1" x14ac:dyDescent="0.25">
      <c r="A6" t="str">
        <f t="shared" si="0"/>
        <v>0500019 - BGD Integrated service delivery (MNH-FP-nutrition)</v>
      </c>
      <c r="B6" s="42" t="s">
        <v>236</v>
      </c>
      <c r="C6" t="e">
        <f>VLOOKUP(valSTProject&amp;$B6, DB_STProjectAcct[],31,FALSE)</f>
        <v>#N/A</v>
      </c>
      <c r="D6" t="e">
        <f>VLOOKUP(valSTProject&amp;$B6, DB_STProjectAcct[],32,FALSE)</f>
        <v>#N/A</v>
      </c>
      <c r="E6" t="e">
        <f>VLOOKUP(valSTProject&amp;$B6, DB_STProjectAcct[],33,FALSE)</f>
        <v>#N/A</v>
      </c>
      <c r="AJ6" s="266" t="str">
        <f t="shared" si="1"/>
        <v>ß</v>
      </c>
      <c r="AK6" s="42" t="s">
        <v>236</v>
      </c>
      <c r="AL6" s="348"/>
      <c r="AM6" s="360" t="str">
        <f t="shared" si="2"/>
        <v/>
      </c>
      <c r="AN6" s="360"/>
      <c r="AO6" s="306" t="str">
        <f t="shared" si="3"/>
        <v/>
      </c>
      <c r="AP6" s="360" t="str">
        <f t="shared" si="4"/>
        <v/>
      </c>
    </row>
    <row r="7" spans="1:42" ht="14.25" thickTop="1" thickBot="1" x14ac:dyDescent="0.25">
      <c r="A7" t="str">
        <f t="shared" si="0"/>
        <v>0500019 - BGD Integrated service delivery (MNH-FP-nutrition)</v>
      </c>
      <c r="B7" s="41" t="s">
        <v>142</v>
      </c>
      <c r="C7" t="e">
        <f>VLOOKUP(valSTProject&amp;$B7, DB_STProjectAcct[],31,FALSE)</f>
        <v>#N/A</v>
      </c>
      <c r="D7" t="e">
        <f>VLOOKUP(valSTProject&amp;$B7, DB_STProjectAcct[],32,FALSE)</f>
        <v>#N/A</v>
      </c>
      <c r="E7" t="e">
        <f>VLOOKUP(valSTProject&amp;$B7, DB_STProjectAcct[],33,FALSE)</f>
        <v>#N/A</v>
      </c>
      <c r="AJ7" s="266" t="str">
        <f t="shared" si="1"/>
        <v>ß</v>
      </c>
      <c r="AK7" s="41" t="s">
        <v>142</v>
      </c>
      <c r="AL7" s="348"/>
      <c r="AM7" s="360" t="str">
        <f t="shared" si="2"/>
        <v/>
      </c>
      <c r="AN7" s="360"/>
      <c r="AO7" s="306" t="str">
        <f t="shared" si="3"/>
        <v/>
      </c>
      <c r="AP7" s="360" t="str">
        <f t="shared" si="4"/>
        <v/>
      </c>
    </row>
    <row r="8" spans="1:42" ht="14.25" thickTop="1" thickBot="1" x14ac:dyDescent="0.25">
      <c r="A8" t="str">
        <f t="shared" si="0"/>
        <v>0500019 - BGD Integrated service delivery (MNH-FP-nutrition)</v>
      </c>
      <c r="B8" s="42" t="s">
        <v>239</v>
      </c>
      <c r="C8" t="e">
        <f>VLOOKUP(valSTProject&amp;$B8, DB_STProjectAcct[],31,FALSE)</f>
        <v>#N/A</v>
      </c>
      <c r="D8" t="e">
        <f>VLOOKUP(valSTProject&amp;$B8, DB_STProjectAcct[],32,FALSE)</f>
        <v>#N/A</v>
      </c>
      <c r="E8" t="e">
        <f>VLOOKUP(valSTProject&amp;$B8, DB_STProjectAcct[],33,FALSE)</f>
        <v>#N/A</v>
      </c>
      <c r="AJ8" s="266" t="str">
        <f t="shared" si="1"/>
        <v>ß</v>
      </c>
      <c r="AK8" s="42" t="s">
        <v>239</v>
      </c>
      <c r="AL8" s="348"/>
      <c r="AM8" s="360" t="str">
        <f t="shared" si="2"/>
        <v/>
      </c>
      <c r="AN8" s="360"/>
      <c r="AO8" s="306" t="str">
        <f t="shared" si="3"/>
        <v/>
      </c>
      <c r="AP8" s="360" t="str">
        <f t="shared" si="4"/>
        <v/>
      </c>
    </row>
    <row r="9" spans="1:42" ht="14.25" thickTop="1" thickBot="1" x14ac:dyDescent="0.25">
      <c r="A9" t="str">
        <f t="shared" si="0"/>
        <v>0500019 - BGD Integrated service delivery (MNH-FP-nutrition)</v>
      </c>
      <c r="B9" s="41" t="s">
        <v>143</v>
      </c>
      <c r="C9" t="e">
        <f>VLOOKUP(valSTProject&amp;$B9, DB_STProjectAcct[],31,FALSE)</f>
        <v>#N/A</v>
      </c>
      <c r="D9" t="e">
        <f>VLOOKUP(valSTProject&amp;$B9, DB_STProjectAcct[],32,FALSE)</f>
        <v>#N/A</v>
      </c>
      <c r="E9" t="e">
        <f>VLOOKUP(valSTProject&amp;$B9, DB_STProjectAcct[],33,FALSE)</f>
        <v>#N/A</v>
      </c>
      <c r="AJ9" s="266" t="str">
        <f t="shared" si="1"/>
        <v>ß</v>
      </c>
      <c r="AK9" s="41" t="s">
        <v>143</v>
      </c>
      <c r="AL9" s="348"/>
      <c r="AM9" s="360" t="str">
        <f t="shared" si="2"/>
        <v/>
      </c>
      <c r="AN9" s="360"/>
      <c r="AO9" s="306" t="str">
        <f t="shared" si="3"/>
        <v/>
      </c>
      <c r="AP9" s="360" t="str">
        <f t="shared" si="4"/>
        <v/>
      </c>
    </row>
    <row r="10" spans="1:42" ht="14.25" thickTop="1" thickBot="1" x14ac:dyDescent="0.25">
      <c r="A10" t="str">
        <f t="shared" si="0"/>
        <v>0500019 - BGD Integrated service delivery (MNH-FP-nutrition)</v>
      </c>
      <c r="B10" s="42" t="s">
        <v>144</v>
      </c>
      <c r="C10" t="e">
        <f>VLOOKUP(valSTProject&amp;$B10, DB_STProjectAcct[],31,FALSE)</f>
        <v>#N/A</v>
      </c>
      <c r="D10" t="e">
        <f>VLOOKUP(valSTProject&amp;$B10, DB_STProjectAcct[],32,FALSE)</f>
        <v>#N/A</v>
      </c>
      <c r="E10" t="e">
        <f>VLOOKUP(valSTProject&amp;$B10, DB_STProjectAcct[],33,FALSE)</f>
        <v>#N/A</v>
      </c>
      <c r="AJ10" s="266" t="str">
        <f t="shared" si="1"/>
        <v>ß</v>
      </c>
      <c r="AK10" s="42" t="s">
        <v>144</v>
      </c>
      <c r="AL10" s="348"/>
      <c r="AM10" s="360" t="str">
        <f t="shared" si="2"/>
        <v/>
      </c>
      <c r="AN10" s="360"/>
      <c r="AO10" s="306" t="str">
        <f t="shared" si="3"/>
        <v/>
      </c>
      <c r="AP10" s="360" t="str">
        <f t="shared" si="4"/>
        <v/>
      </c>
    </row>
    <row r="11" spans="1:42" ht="13.5" thickTop="1" x14ac:dyDescent="0.2"/>
    <row r="14" spans="1:42" x14ac:dyDescent="0.2">
      <c r="F14">
        <f>Selections!$F$9</f>
        <v>1</v>
      </c>
      <c r="G14">
        <f>Selections!$F$10</f>
        <v>1</v>
      </c>
      <c r="H14">
        <f>Selections!$F$11</f>
        <v>1</v>
      </c>
      <c r="I14">
        <f>Selections!$F$12</f>
        <v>1</v>
      </c>
      <c r="J14">
        <f>Selections!$F$13</f>
        <v>1</v>
      </c>
      <c r="K14">
        <f>Selections!$F$14</f>
        <v>1</v>
      </c>
      <c r="L14">
        <f>Selections!$F$15</f>
        <v>0</v>
      </c>
      <c r="M14">
        <f>Selections!$F$16</f>
        <v>0</v>
      </c>
      <c r="N14">
        <f>Selections!$F$17</f>
        <v>0</v>
      </c>
      <c r="O14">
        <f>Selections!$F$18</f>
        <v>0</v>
      </c>
      <c r="P14">
        <f>Selections!$F$19</f>
        <v>0</v>
      </c>
      <c r="Q14">
        <f>Selections!$F$20</f>
        <v>0</v>
      </c>
      <c r="R14">
        <f>Selections!$F$9</f>
        <v>1</v>
      </c>
      <c r="S14">
        <f>Selections!$F$10</f>
        <v>1</v>
      </c>
      <c r="T14">
        <f>Selections!$F$11</f>
        <v>1</v>
      </c>
      <c r="U14">
        <f>Selections!$F$12</f>
        <v>1</v>
      </c>
      <c r="V14">
        <f>Selections!$F$13</f>
        <v>1</v>
      </c>
      <c r="W14">
        <f>Selections!$F$14</f>
        <v>1</v>
      </c>
      <c r="X14">
        <f>Selections!$F$15</f>
        <v>0</v>
      </c>
      <c r="Y14">
        <f>Selections!$F$16</f>
        <v>0</v>
      </c>
      <c r="Z14">
        <f>Selections!$F$17</f>
        <v>0</v>
      </c>
      <c r="AA14">
        <f>Selections!$F$18</f>
        <v>0</v>
      </c>
      <c r="AB14">
        <f>Selections!$F$19</f>
        <v>0</v>
      </c>
      <c r="AC14">
        <f>Selections!$F$20</f>
        <v>0</v>
      </c>
    </row>
    <row r="15" spans="1:42" x14ac:dyDescent="0.2">
      <c r="A15" t="s">
        <v>264</v>
      </c>
      <c r="B15" t="s">
        <v>43</v>
      </c>
      <c r="C15" t="s">
        <v>242</v>
      </c>
      <c r="D15" t="s">
        <v>243</v>
      </c>
      <c r="E15" t="s">
        <v>115</v>
      </c>
      <c r="F15" t="s">
        <v>45</v>
      </c>
      <c r="G15" t="s">
        <v>46</v>
      </c>
      <c r="H15" t="s">
        <v>47</v>
      </c>
      <c r="I15" t="s">
        <v>48</v>
      </c>
      <c r="J15" t="s">
        <v>49</v>
      </c>
      <c r="K15" t="s">
        <v>50</v>
      </c>
      <c r="L15" t="s">
        <v>51</v>
      </c>
      <c r="M15" t="s">
        <v>52</v>
      </c>
      <c r="N15" t="s">
        <v>53</v>
      </c>
      <c r="O15" t="s">
        <v>54</v>
      </c>
      <c r="P15" t="s">
        <v>55</v>
      </c>
      <c r="Q15" t="s">
        <v>56</v>
      </c>
      <c r="R15" t="s">
        <v>57</v>
      </c>
      <c r="S15" t="s">
        <v>58</v>
      </c>
      <c r="T15" t="s">
        <v>59</v>
      </c>
      <c r="U15" t="s">
        <v>60</v>
      </c>
      <c r="V15" t="s">
        <v>61</v>
      </c>
      <c r="W15" t="s">
        <v>62</v>
      </c>
      <c r="X15" t="s">
        <v>63</v>
      </c>
      <c r="Y15" t="s">
        <v>64</v>
      </c>
      <c r="Z15" t="s">
        <v>65</v>
      </c>
      <c r="AA15" t="s">
        <v>66</v>
      </c>
      <c r="AB15" t="s">
        <v>67</v>
      </c>
      <c r="AC15" s="296" t="s">
        <v>68</v>
      </c>
      <c r="AD15" t="s">
        <v>35</v>
      </c>
      <c r="AE15" t="s">
        <v>34</v>
      </c>
      <c r="AF15" t="s">
        <v>31</v>
      </c>
      <c r="AG15" t="s">
        <v>30</v>
      </c>
    </row>
    <row r="16" spans="1:42" hidden="1" x14ac:dyDescent="0.2">
      <c r="A16" t="s">
        <v>1003</v>
      </c>
      <c r="B16" t="s">
        <v>342</v>
      </c>
      <c r="C16" t="s">
        <v>490</v>
      </c>
      <c r="D16" t="s">
        <v>965</v>
      </c>
      <c r="E16" t="s">
        <v>143</v>
      </c>
      <c r="AC16" s="297"/>
      <c r="AD16">
        <f>SUMPRODUCT(DB_STProjectAcct[[#This Row],[Plan01]:[Plan12]],$F$14:$Q$14)/valUnits2</f>
        <v>0</v>
      </c>
      <c r="AE16">
        <f>SUMPRODUCT(DB_STProjectAcct[[#This Row],[Act01]:[Act12]],$R$14:$AC$14)/valUnits2</f>
        <v>0</v>
      </c>
      <c r="AF16">
        <f>DB_STProjectAcct[[#This Row],[Actual]]-DB_STProjectAcct[[#This Row],[Plan]]</f>
        <v>0</v>
      </c>
      <c r="AG16">
        <f>IF(DB_STProjectAcct[[#This Row],[Plan]]&lt;&gt;0,DB_STProjectAcct[[#This Row],[Actual]]/DB_STProjectAcct[[#This Row],[Plan]],1.000011000011)</f>
        <v>1.0000110000110001</v>
      </c>
    </row>
    <row r="17" spans="1:33" hidden="1" x14ac:dyDescent="0.2">
      <c r="A17" t="s">
        <v>1004</v>
      </c>
      <c r="B17" t="s">
        <v>342</v>
      </c>
      <c r="C17" t="s">
        <v>490</v>
      </c>
      <c r="D17" t="s">
        <v>965</v>
      </c>
      <c r="E17" t="s">
        <v>235</v>
      </c>
      <c r="AC17" s="295"/>
      <c r="AD17">
        <f>SUMPRODUCT(DB_STProjectAcct[[#This Row],[Plan01]:[Plan12]],$F$14:$Q$14)/valUnits2</f>
        <v>0</v>
      </c>
      <c r="AE17">
        <f>SUMPRODUCT(DB_STProjectAcct[[#This Row],[Act01]:[Act12]],$R$14:$AC$14)/valUnits2</f>
        <v>0</v>
      </c>
      <c r="AF17">
        <f>DB_STProjectAcct[[#This Row],[Actual]]-DB_STProjectAcct[[#This Row],[Plan]]</f>
        <v>0</v>
      </c>
      <c r="AG17">
        <f>IF(DB_STProjectAcct[[#This Row],[Plan]]&lt;&gt;0,DB_STProjectAcct[[#This Row],[Actual]]/DB_STProjectAcct[[#This Row],[Plan]],1.000011000011)</f>
        <v>1.0000110000110001</v>
      </c>
    </row>
    <row r="18" spans="1:33" hidden="1" x14ac:dyDescent="0.2">
      <c r="A18" t="s">
        <v>1005</v>
      </c>
      <c r="B18" t="s">
        <v>342</v>
      </c>
      <c r="C18" t="s">
        <v>490</v>
      </c>
      <c r="D18" t="s">
        <v>965</v>
      </c>
      <c r="E18" t="s">
        <v>144</v>
      </c>
      <c r="AC18" s="297"/>
      <c r="AD18">
        <f>SUMPRODUCT(DB_STProjectAcct[[#This Row],[Plan01]:[Plan12]],$F$14:$Q$14)/valUnits2</f>
        <v>0</v>
      </c>
      <c r="AE18">
        <f>SUMPRODUCT(DB_STProjectAcct[[#This Row],[Act01]:[Act12]],$R$14:$AC$14)/valUnits2</f>
        <v>0</v>
      </c>
      <c r="AF18">
        <f>DB_STProjectAcct[[#This Row],[Actual]]-DB_STProjectAcct[[#This Row],[Plan]]</f>
        <v>0</v>
      </c>
      <c r="AG18">
        <f>IF(DB_STProjectAcct[[#This Row],[Plan]]&lt;&gt;0,DB_STProjectAcct[[#This Row],[Actual]]/DB_STProjectAcct[[#This Row],[Plan]],1.000011000011)</f>
        <v>1.0000110000110001</v>
      </c>
    </row>
    <row r="19" spans="1:33" hidden="1" x14ac:dyDescent="0.2">
      <c r="A19" t="s">
        <v>1006</v>
      </c>
      <c r="B19" t="s">
        <v>342</v>
      </c>
      <c r="C19" t="s">
        <v>490</v>
      </c>
      <c r="D19" t="s">
        <v>965</v>
      </c>
      <c r="E19" t="s">
        <v>142</v>
      </c>
      <c r="H19">
        <v>-672.90200000000004</v>
      </c>
      <c r="T19">
        <v>-663.63</v>
      </c>
      <c r="AC19" s="295"/>
      <c r="AD19">
        <f>SUMPRODUCT(DB_STProjectAcct[[#This Row],[Plan01]:[Plan12]],$F$14:$Q$14)/valUnits2</f>
        <v>-0.672902</v>
      </c>
      <c r="AE19">
        <f>SUMPRODUCT(DB_STProjectAcct[[#This Row],[Act01]:[Act12]],$R$14:$AC$14)/valUnits2</f>
        <v>-0.66362999999999994</v>
      </c>
      <c r="AF19">
        <f>DB_STProjectAcct[[#This Row],[Actual]]-DB_STProjectAcct[[#This Row],[Plan]]</f>
        <v>9.272000000000058E-3</v>
      </c>
      <c r="AG19">
        <f>IF(DB_STProjectAcct[[#This Row],[Plan]]&lt;&gt;0,DB_STProjectAcct[[#This Row],[Actual]]/DB_STProjectAcct[[#This Row],[Plan]],1.000011000011)</f>
        <v>0.98622087614541187</v>
      </c>
    </row>
    <row r="20" spans="1:33" hidden="1" x14ac:dyDescent="0.2">
      <c r="A20" t="s">
        <v>1007</v>
      </c>
      <c r="B20" t="s">
        <v>342</v>
      </c>
      <c r="C20" t="s">
        <v>490</v>
      </c>
      <c r="D20" t="s">
        <v>965</v>
      </c>
      <c r="E20" t="s">
        <v>140</v>
      </c>
      <c r="AC20" s="297"/>
      <c r="AD20">
        <f>SUMPRODUCT(DB_STProjectAcct[[#This Row],[Plan01]:[Plan12]],$F$14:$Q$14)/valUnits2</f>
        <v>0</v>
      </c>
      <c r="AE20">
        <f>SUMPRODUCT(DB_STProjectAcct[[#This Row],[Act01]:[Act12]],$R$14:$AC$14)/valUnits2</f>
        <v>0</v>
      </c>
      <c r="AF20">
        <f>DB_STProjectAcct[[#This Row],[Actual]]-DB_STProjectAcct[[#This Row],[Plan]]</f>
        <v>0</v>
      </c>
      <c r="AG20">
        <f>IF(DB_STProjectAcct[[#This Row],[Plan]]&lt;&gt;0,DB_STProjectAcct[[#This Row],[Actual]]/DB_STProjectAcct[[#This Row],[Plan]],1.000011000011)</f>
        <v>1.0000110000110001</v>
      </c>
    </row>
    <row r="21" spans="1:33" hidden="1" x14ac:dyDescent="0.2">
      <c r="A21" t="s">
        <v>1008</v>
      </c>
      <c r="B21" t="s">
        <v>342</v>
      </c>
      <c r="C21" t="s">
        <v>490</v>
      </c>
      <c r="D21" t="s">
        <v>965</v>
      </c>
      <c r="E21" t="s">
        <v>236</v>
      </c>
      <c r="AC21" s="295"/>
      <c r="AD21">
        <f>SUMPRODUCT(DB_STProjectAcct[[#This Row],[Plan01]:[Plan12]],$F$14:$Q$14)/valUnits2</f>
        <v>0</v>
      </c>
      <c r="AE21">
        <f>SUMPRODUCT(DB_STProjectAcct[[#This Row],[Act01]:[Act12]],$R$14:$AC$14)/valUnits2</f>
        <v>0</v>
      </c>
      <c r="AF21">
        <f>DB_STProjectAcct[[#This Row],[Actual]]-DB_STProjectAcct[[#This Row],[Plan]]</f>
        <v>0</v>
      </c>
      <c r="AG21">
        <f>IF(DB_STProjectAcct[[#This Row],[Plan]]&lt;&gt;0,DB_STProjectAcct[[#This Row],[Actual]]/DB_STProjectAcct[[#This Row],[Plan]],1.000011000011)</f>
        <v>1.0000110000110001</v>
      </c>
    </row>
    <row r="22" spans="1:33" hidden="1" x14ac:dyDescent="0.2">
      <c r="A22" t="s">
        <v>1009</v>
      </c>
      <c r="B22" t="s">
        <v>342</v>
      </c>
      <c r="C22" t="s">
        <v>490</v>
      </c>
      <c r="D22" t="s">
        <v>965</v>
      </c>
      <c r="E22" t="s">
        <v>237</v>
      </c>
      <c r="AC22" s="297"/>
      <c r="AD22">
        <f>SUMPRODUCT(DB_STProjectAcct[[#This Row],[Plan01]:[Plan12]],$F$14:$Q$14)/valUnits2</f>
        <v>0</v>
      </c>
      <c r="AE22">
        <f>SUMPRODUCT(DB_STProjectAcct[[#This Row],[Act01]:[Act12]],$R$14:$AC$14)/valUnits2</f>
        <v>0</v>
      </c>
      <c r="AF22">
        <f>DB_STProjectAcct[[#This Row],[Actual]]-DB_STProjectAcct[[#This Row],[Plan]]</f>
        <v>0</v>
      </c>
      <c r="AG22">
        <f>IF(DB_STProjectAcct[[#This Row],[Plan]]&lt;&gt;0,DB_STProjectAcct[[#This Row],[Actual]]/DB_STProjectAcct[[#This Row],[Plan]],1.000011000011)</f>
        <v>1.0000110000110001</v>
      </c>
    </row>
    <row r="23" spans="1:33" hidden="1" x14ac:dyDescent="0.2">
      <c r="A23" t="s">
        <v>1010</v>
      </c>
      <c r="B23" t="s">
        <v>342</v>
      </c>
      <c r="C23" t="s">
        <v>490</v>
      </c>
      <c r="D23" t="s">
        <v>965</v>
      </c>
      <c r="E23" t="s">
        <v>141</v>
      </c>
      <c r="AC23" s="295"/>
      <c r="AD23">
        <f>SUMPRODUCT(DB_STProjectAcct[[#This Row],[Plan01]:[Plan12]],$F$14:$Q$14)/valUnits2</f>
        <v>0</v>
      </c>
      <c r="AE23">
        <f>SUMPRODUCT(DB_STProjectAcct[[#This Row],[Act01]:[Act12]],$R$14:$AC$14)/valUnits2</f>
        <v>0</v>
      </c>
      <c r="AF23">
        <f>DB_STProjectAcct[[#This Row],[Actual]]-DB_STProjectAcct[[#This Row],[Plan]]</f>
        <v>0</v>
      </c>
      <c r="AG23">
        <f>IF(DB_STProjectAcct[[#This Row],[Plan]]&lt;&gt;0,DB_STProjectAcct[[#This Row],[Actual]]/DB_STProjectAcct[[#This Row],[Plan]],1.000011000011)</f>
        <v>1.0000110000110001</v>
      </c>
    </row>
    <row r="24" spans="1:33" hidden="1" x14ac:dyDescent="0.2">
      <c r="A24" t="s">
        <v>1011</v>
      </c>
      <c r="B24" t="s">
        <v>342</v>
      </c>
      <c r="C24" t="s">
        <v>490</v>
      </c>
      <c r="D24" t="s">
        <v>969</v>
      </c>
      <c r="E24" t="s">
        <v>143</v>
      </c>
      <c r="F24">
        <v>947.22</v>
      </c>
      <c r="G24">
        <v>1117.5899999999999</v>
      </c>
      <c r="H24">
        <v>265.94</v>
      </c>
      <c r="I24">
        <v>5502.08</v>
      </c>
      <c r="J24">
        <v>2129.1500000000005</v>
      </c>
      <c r="K24">
        <v>281.25</v>
      </c>
      <c r="L24">
        <v>21341.418000000001</v>
      </c>
      <c r="M24">
        <v>562.5</v>
      </c>
      <c r="N24">
        <v>281.25</v>
      </c>
      <c r="O24">
        <v>281.25</v>
      </c>
      <c r="P24">
        <v>281.25</v>
      </c>
      <c r="Q24">
        <v>281.25</v>
      </c>
      <c r="R24">
        <v>947.22</v>
      </c>
      <c r="S24">
        <v>1103.6099999999999</v>
      </c>
      <c r="T24">
        <v>265.64999999999998</v>
      </c>
      <c r="U24">
        <v>4922.54</v>
      </c>
      <c r="V24">
        <v>2145.34</v>
      </c>
      <c r="W24">
        <v>1549.85</v>
      </c>
      <c r="X24">
        <v>0</v>
      </c>
      <c r="Y24">
        <v>0</v>
      </c>
      <c r="Z24">
        <v>0</v>
      </c>
      <c r="AA24">
        <v>0</v>
      </c>
      <c r="AB24">
        <v>0</v>
      </c>
      <c r="AC24" s="297">
        <v>0</v>
      </c>
      <c r="AD24">
        <f>SUMPRODUCT(DB_STProjectAcct[[#This Row],[Plan01]:[Plan12]],$F$14:$Q$14)/valUnits2</f>
        <v>10.243229999999999</v>
      </c>
      <c r="AE24">
        <f>SUMPRODUCT(DB_STProjectAcct[[#This Row],[Act01]:[Act12]],$R$14:$AC$14)/valUnits2</f>
        <v>10.93421</v>
      </c>
      <c r="AF24">
        <f>DB_STProjectAcct[[#This Row],[Actual]]-DB_STProjectAcct[[#This Row],[Plan]]</f>
        <v>0.69098000000000148</v>
      </c>
      <c r="AG24">
        <f>IF(DB_STProjectAcct[[#This Row],[Plan]]&lt;&gt;0,DB_STProjectAcct[[#This Row],[Actual]]/DB_STProjectAcct[[#This Row],[Plan]],1.000011000011)</f>
        <v>1.0674572376096214</v>
      </c>
    </row>
    <row r="25" spans="1:33" hidden="1" x14ac:dyDescent="0.2">
      <c r="A25" t="s">
        <v>1012</v>
      </c>
      <c r="B25" t="s">
        <v>342</v>
      </c>
      <c r="C25" t="s">
        <v>490</v>
      </c>
      <c r="D25" t="s">
        <v>969</v>
      </c>
      <c r="E25" t="s">
        <v>235</v>
      </c>
      <c r="F25">
        <v>2179.4260000000004</v>
      </c>
      <c r="G25">
        <v>2139.3060000000005</v>
      </c>
      <c r="H25">
        <v>2159.9839999999999</v>
      </c>
      <c r="I25">
        <v>9144.851999999999</v>
      </c>
      <c r="J25">
        <v>2728.3389999999999</v>
      </c>
      <c r="K25">
        <v>1111.009</v>
      </c>
      <c r="L25">
        <v>1972.0170000000001</v>
      </c>
      <c r="M25">
        <v>1361.009</v>
      </c>
      <c r="N25">
        <v>1111.009</v>
      </c>
      <c r="O25">
        <v>1111.009</v>
      </c>
      <c r="P25">
        <v>1111.009</v>
      </c>
      <c r="Q25">
        <v>1972.0170000000001</v>
      </c>
      <c r="R25">
        <v>2166.6000000000004</v>
      </c>
      <c r="S25">
        <v>2171.56</v>
      </c>
      <c r="T25">
        <v>2164.11</v>
      </c>
      <c r="U25">
        <v>9860.8900000000012</v>
      </c>
      <c r="V25">
        <v>2835.2700000000004</v>
      </c>
      <c r="W25">
        <v>2313.8399999999997</v>
      </c>
      <c r="X25">
        <v>0</v>
      </c>
      <c r="Y25">
        <v>0</v>
      </c>
      <c r="Z25">
        <v>0</v>
      </c>
      <c r="AA25">
        <v>0</v>
      </c>
      <c r="AB25">
        <v>0</v>
      </c>
      <c r="AC25" s="295">
        <v>0</v>
      </c>
      <c r="AD25">
        <f>SUMPRODUCT(DB_STProjectAcct[[#This Row],[Plan01]:[Plan12]],$F$14:$Q$14)/valUnits2</f>
        <v>19.462915999999996</v>
      </c>
      <c r="AE25">
        <f>SUMPRODUCT(DB_STProjectAcct[[#This Row],[Act01]:[Act12]],$R$14:$AC$14)/valUnits2</f>
        <v>21.512270000000001</v>
      </c>
      <c r="AF25">
        <f>DB_STProjectAcct[[#This Row],[Actual]]-DB_STProjectAcct[[#This Row],[Plan]]</f>
        <v>2.0493540000000046</v>
      </c>
      <c r="AG25">
        <f>IF(DB_STProjectAcct[[#This Row],[Plan]]&lt;&gt;0,DB_STProjectAcct[[#This Row],[Actual]]/DB_STProjectAcct[[#This Row],[Plan]],1.000011000011)</f>
        <v>1.1052953216260095</v>
      </c>
    </row>
    <row r="26" spans="1:33" hidden="1" x14ac:dyDescent="0.2">
      <c r="A26" t="s">
        <v>1013</v>
      </c>
      <c r="B26" t="s">
        <v>342</v>
      </c>
      <c r="C26" t="s">
        <v>490</v>
      </c>
      <c r="D26" t="s">
        <v>969</v>
      </c>
      <c r="E26" t="s">
        <v>144</v>
      </c>
      <c r="K26">
        <v>0</v>
      </c>
      <c r="W26">
        <v>2877.3</v>
      </c>
      <c r="AC26" s="297"/>
      <c r="AD26">
        <f>SUMPRODUCT(DB_STProjectAcct[[#This Row],[Plan01]:[Plan12]],$F$14:$Q$14)/valUnits2</f>
        <v>0</v>
      </c>
      <c r="AE26">
        <f>SUMPRODUCT(DB_STProjectAcct[[#This Row],[Act01]:[Act12]],$R$14:$AC$14)/valUnits2</f>
        <v>2.8773</v>
      </c>
      <c r="AF26">
        <f>DB_STProjectAcct[[#This Row],[Actual]]-DB_STProjectAcct[[#This Row],[Plan]]</f>
        <v>2.8773</v>
      </c>
      <c r="AG26">
        <f>IF(DB_STProjectAcct[[#This Row],[Plan]]&lt;&gt;0,DB_STProjectAcct[[#This Row],[Actual]]/DB_STProjectAcct[[#This Row],[Plan]],1.000011000011)</f>
        <v>1.0000110000110001</v>
      </c>
    </row>
    <row r="27" spans="1:33" hidden="1" x14ac:dyDescent="0.2">
      <c r="A27" t="s">
        <v>1014</v>
      </c>
      <c r="B27" t="s">
        <v>342</v>
      </c>
      <c r="C27" t="s">
        <v>490</v>
      </c>
      <c r="D27" t="s">
        <v>969</v>
      </c>
      <c r="E27" t="s">
        <v>142</v>
      </c>
      <c r="F27">
        <v>924.24700000000325</v>
      </c>
      <c r="G27">
        <v>452134.79200000002</v>
      </c>
      <c r="H27">
        <v>-3783.9480000000162</v>
      </c>
      <c r="I27">
        <v>102632.73500000003</v>
      </c>
      <c r="J27">
        <v>764669.58999999973</v>
      </c>
      <c r="K27">
        <v>291706.91700000002</v>
      </c>
      <c r="L27">
        <v>689901.37699999986</v>
      </c>
      <c r="M27">
        <v>346779.38099999999</v>
      </c>
      <c r="N27">
        <v>623024.29700000014</v>
      </c>
      <c r="O27">
        <v>572579.06199999992</v>
      </c>
      <c r="P27">
        <v>493248.37999999995</v>
      </c>
      <c r="Q27">
        <v>705515.603</v>
      </c>
      <c r="R27">
        <v>923.92000000000849</v>
      </c>
      <c r="S27">
        <v>465771.93999999989</v>
      </c>
      <c r="T27">
        <v>-3783.949999999983</v>
      </c>
      <c r="U27">
        <v>102345.5</v>
      </c>
      <c r="V27">
        <v>762952.64999999991</v>
      </c>
      <c r="W27">
        <v>256326.2999999999</v>
      </c>
      <c r="X27">
        <v>0</v>
      </c>
      <c r="Y27">
        <v>0</v>
      </c>
      <c r="Z27">
        <v>0</v>
      </c>
      <c r="AA27">
        <v>0</v>
      </c>
      <c r="AB27">
        <v>0</v>
      </c>
      <c r="AC27" s="295">
        <v>0</v>
      </c>
      <c r="AD27">
        <f>SUMPRODUCT(DB_STProjectAcct[[#This Row],[Plan01]:[Plan12]],$F$14:$Q$14)/valUnits2</f>
        <v>1608.2843329999996</v>
      </c>
      <c r="AE27">
        <f>SUMPRODUCT(DB_STProjectAcct[[#This Row],[Act01]:[Act12]],$R$14:$AC$14)/valUnits2</f>
        <v>1584.5363599999996</v>
      </c>
      <c r="AF27">
        <f>DB_STProjectAcct[[#This Row],[Actual]]-DB_STProjectAcct[[#This Row],[Plan]]</f>
        <v>-23.747973000000002</v>
      </c>
      <c r="AG27">
        <f>IF(DB_STProjectAcct[[#This Row],[Plan]]&lt;&gt;0,DB_STProjectAcct[[#This Row],[Actual]]/DB_STProjectAcct[[#This Row],[Plan]],1.000011000011)</f>
        <v>0.98523397106300103</v>
      </c>
    </row>
    <row r="28" spans="1:33" hidden="1" x14ac:dyDescent="0.2">
      <c r="A28" t="s">
        <v>1015</v>
      </c>
      <c r="B28" t="s">
        <v>342</v>
      </c>
      <c r="C28" t="s">
        <v>490</v>
      </c>
      <c r="D28" t="s">
        <v>969</v>
      </c>
      <c r="E28" t="s">
        <v>140</v>
      </c>
      <c r="F28">
        <v>29671.013000000003</v>
      </c>
      <c r="G28">
        <v>40163.834999999999</v>
      </c>
      <c r="H28">
        <v>41791.138000000006</v>
      </c>
      <c r="I28">
        <v>58272.764999999985</v>
      </c>
      <c r="J28">
        <v>49019.433000000005</v>
      </c>
      <c r="K28">
        <v>67808.303999999989</v>
      </c>
      <c r="L28">
        <v>73383.88</v>
      </c>
      <c r="M28">
        <v>67808.303999999989</v>
      </c>
      <c r="N28">
        <v>67808.304000000004</v>
      </c>
      <c r="O28">
        <v>98937.063999999998</v>
      </c>
      <c r="P28">
        <v>72656.397999999986</v>
      </c>
      <c r="Q28">
        <v>78116.5</v>
      </c>
      <c r="R28">
        <v>29473.809999999998</v>
      </c>
      <c r="S28">
        <v>40499.119999999995</v>
      </c>
      <c r="T28">
        <v>41963.49</v>
      </c>
      <c r="U28">
        <v>58171.720000000016</v>
      </c>
      <c r="V28">
        <v>48804.619999999988</v>
      </c>
      <c r="W28">
        <v>53306.279999999992</v>
      </c>
      <c r="X28">
        <v>0</v>
      </c>
      <c r="Y28">
        <v>0</v>
      </c>
      <c r="Z28">
        <v>0</v>
      </c>
      <c r="AA28">
        <v>0</v>
      </c>
      <c r="AB28">
        <v>0</v>
      </c>
      <c r="AC28" s="297">
        <v>0</v>
      </c>
      <c r="AD28">
        <f>SUMPRODUCT(DB_STProjectAcct[[#This Row],[Plan01]:[Plan12]],$F$14:$Q$14)/valUnits2</f>
        <v>286.72648800000002</v>
      </c>
      <c r="AE28">
        <f>SUMPRODUCT(DB_STProjectAcct[[#This Row],[Act01]:[Act12]],$R$14:$AC$14)/valUnits2</f>
        <v>272.21904000000001</v>
      </c>
      <c r="AF28">
        <f>DB_STProjectAcct[[#This Row],[Actual]]-DB_STProjectAcct[[#This Row],[Plan]]</f>
        <v>-14.507448000000011</v>
      </c>
      <c r="AG28">
        <f>IF(DB_STProjectAcct[[#This Row],[Plan]]&lt;&gt;0,DB_STProjectAcct[[#This Row],[Actual]]/DB_STProjectAcct[[#This Row],[Plan]],1.000011000011)</f>
        <v>0.94940318175277894</v>
      </c>
    </row>
    <row r="29" spans="1:33" hidden="1" x14ac:dyDescent="0.2">
      <c r="A29" t="s">
        <v>1016</v>
      </c>
      <c r="B29" t="s">
        <v>342</v>
      </c>
      <c r="C29" t="s">
        <v>490</v>
      </c>
      <c r="D29" t="s">
        <v>969</v>
      </c>
      <c r="E29" t="s">
        <v>236</v>
      </c>
      <c r="F29">
        <v>28739.305999999997</v>
      </c>
      <c r="G29">
        <v>10918.267</v>
      </c>
      <c r="H29">
        <v>27486.868000000002</v>
      </c>
      <c r="I29">
        <v>40037.187000000005</v>
      </c>
      <c r="J29">
        <v>18897.223000000002</v>
      </c>
      <c r="K29">
        <v>40628.102000000006</v>
      </c>
      <c r="L29">
        <v>47945.770000000004</v>
      </c>
      <c r="M29">
        <v>26783.013999999999</v>
      </c>
      <c r="N29">
        <v>26713.988999999998</v>
      </c>
      <c r="O29">
        <v>16550.677</v>
      </c>
      <c r="P29">
        <v>16550.677</v>
      </c>
      <c r="Q29">
        <v>37770.379999999997</v>
      </c>
      <c r="R29">
        <v>18382.98</v>
      </c>
      <c r="S29">
        <v>918.73</v>
      </c>
      <c r="T29">
        <v>17488.149999999998</v>
      </c>
      <c r="U29">
        <v>29991.73</v>
      </c>
      <c r="V29">
        <v>8901.6700000000019</v>
      </c>
      <c r="W29">
        <v>4465.57</v>
      </c>
      <c r="X29">
        <v>0</v>
      </c>
      <c r="Y29">
        <v>0</v>
      </c>
      <c r="Z29">
        <v>0</v>
      </c>
      <c r="AA29">
        <v>0</v>
      </c>
      <c r="AB29">
        <v>0</v>
      </c>
      <c r="AC29" s="295">
        <v>0</v>
      </c>
      <c r="AD29">
        <f>SUMPRODUCT(DB_STProjectAcct[[#This Row],[Plan01]:[Plan12]],$F$14:$Q$14)/valUnits2</f>
        <v>166.706953</v>
      </c>
      <c r="AE29">
        <f>SUMPRODUCT(DB_STProjectAcct[[#This Row],[Act01]:[Act12]],$R$14:$AC$14)/valUnits2</f>
        <v>80.14882999999999</v>
      </c>
      <c r="AF29">
        <f>DB_STProjectAcct[[#This Row],[Actual]]-DB_STProjectAcct[[#This Row],[Plan]]</f>
        <v>-86.558123000000009</v>
      </c>
      <c r="AG29">
        <f>IF(DB_STProjectAcct[[#This Row],[Plan]]&lt;&gt;0,DB_STProjectAcct[[#This Row],[Actual]]/DB_STProjectAcct[[#This Row],[Plan]],1.000011000011)</f>
        <v>0.4807767676012889</v>
      </c>
    </row>
    <row r="30" spans="1:33" hidden="1" x14ac:dyDescent="0.2">
      <c r="A30" t="s">
        <v>1017</v>
      </c>
      <c r="B30" t="s">
        <v>342</v>
      </c>
      <c r="C30" t="s">
        <v>490</v>
      </c>
      <c r="D30" t="s">
        <v>969</v>
      </c>
      <c r="E30" t="s">
        <v>237</v>
      </c>
      <c r="F30">
        <v>-1037.548</v>
      </c>
      <c r="G30">
        <v>1310.6099999999999</v>
      </c>
      <c r="H30">
        <v>3099.241</v>
      </c>
      <c r="I30">
        <v>13607.01</v>
      </c>
      <c r="J30">
        <v>9459.3680000000004</v>
      </c>
      <c r="K30">
        <v>0</v>
      </c>
      <c r="L30">
        <v>0</v>
      </c>
      <c r="O30">
        <v>0</v>
      </c>
      <c r="Q30">
        <v>11026.878000000001</v>
      </c>
      <c r="R30">
        <v>-1061.6500000000001</v>
      </c>
      <c r="S30">
        <v>1310.6099999999999</v>
      </c>
      <c r="T30">
        <v>3103.55</v>
      </c>
      <c r="U30">
        <v>13607.01</v>
      </c>
      <c r="V30">
        <v>9459.7200000000012</v>
      </c>
      <c r="W30">
        <v>7030.19</v>
      </c>
      <c r="X30">
        <v>0</v>
      </c>
      <c r="AA30">
        <v>0</v>
      </c>
      <c r="AC30" s="297">
        <v>0</v>
      </c>
      <c r="AD30">
        <f>SUMPRODUCT(DB_STProjectAcct[[#This Row],[Plan01]:[Plan12]],$F$14:$Q$14)/valUnits2</f>
        <v>26.438681000000003</v>
      </c>
      <c r="AE30">
        <f>SUMPRODUCT(DB_STProjectAcct[[#This Row],[Act01]:[Act12]],$R$14:$AC$14)/valUnits2</f>
        <v>33.44943</v>
      </c>
      <c r="AF30">
        <f>DB_STProjectAcct[[#This Row],[Actual]]-DB_STProjectAcct[[#This Row],[Plan]]</f>
        <v>7.010748999999997</v>
      </c>
      <c r="AG30">
        <f>IF(DB_STProjectAcct[[#This Row],[Plan]]&lt;&gt;0,DB_STProjectAcct[[#This Row],[Actual]]/DB_STProjectAcct[[#This Row],[Plan]],1.000011000011)</f>
        <v>1.2651701497514189</v>
      </c>
    </row>
    <row r="31" spans="1:33" hidden="1" x14ac:dyDescent="0.2">
      <c r="A31" t="s">
        <v>1018</v>
      </c>
      <c r="B31" t="s">
        <v>342</v>
      </c>
      <c r="C31" t="s">
        <v>490</v>
      </c>
      <c r="D31" t="s">
        <v>969</v>
      </c>
      <c r="E31" t="s">
        <v>141</v>
      </c>
      <c r="F31">
        <v>4343.0960000000014</v>
      </c>
      <c r="G31">
        <v>6867.7820000000011</v>
      </c>
      <c r="H31">
        <v>2355.451</v>
      </c>
      <c r="I31">
        <v>16487.074999999997</v>
      </c>
      <c r="J31">
        <v>15167.660999999998</v>
      </c>
      <c r="K31">
        <v>10234.092000000001</v>
      </c>
      <c r="L31">
        <v>11045.852999999999</v>
      </c>
      <c r="M31">
        <v>11942.424999999999</v>
      </c>
      <c r="N31">
        <v>10234.092000000001</v>
      </c>
      <c r="O31">
        <v>10234.092000000001</v>
      </c>
      <c r="P31">
        <v>10234.092000000001</v>
      </c>
      <c r="Q31">
        <v>33800.942999999999</v>
      </c>
      <c r="R31">
        <v>4297.4500000000007</v>
      </c>
      <c r="S31">
        <v>6950.33</v>
      </c>
      <c r="T31">
        <v>2369.6100000000006</v>
      </c>
      <c r="U31">
        <v>16447.12</v>
      </c>
      <c r="V31">
        <v>15193.49</v>
      </c>
      <c r="W31">
        <v>8282.2400000000016</v>
      </c>
      <c r="X31">
        <v>0</v>
      </c>
      <c r="Y31">
        <v>0</v>
      </c>
      <c r="Z31">
        <v>0</v>
      </c>
      <c r="AA31">
        <v>0</v>
      </c>
      <c r="AB31">
        <v>0</v>
      </c>
      <c r="AC31" s="295">
        <v>0</v>
      </c>
      <c r="AD31">
        <f>SUMPRODUCT(DB_STProjectAcct[[#This Row],[Plan01]:[Plan12]],$F$14:$Q$14)/valUnits2</f>
        <v>55.455156999999993</v>
      </c>
      <c r="AE31">
        <f>SUMPRODUCT(DB_STProjectAcct[[#This Row],[Act01]:[Act12]],$R$14:$AC$14)/valUnits2</f>
        <v>53.540240000000004</v>
      </c>
      <c r="AF31">
        <f>DB_STProjectAcct[[#This Row],[Actual]]-DB_STProjectAcct[[#This Row],[Plan]]</f>
        <v>-1.9149169999999884</v>
      </c>
      <c r="AG31">
        <f>IF(DB_STProjectAcct[[#This Row],[Plan]]&lt;&gt;0,DB_STProjectAcct[[#This Row],[Actual]]/DB_STProjectAcct[[#This Row],[Plan]],1.000011000011)</f>
        <v>0.96546909063840558</v>
      </c>
    </row>
    <row r="32" spans="1:33" hidden="1" x14ac:dyDescent="0.2">
      <c r="A32" t="s">
        <v>1019</v>
      </c>
      <c r="B32" t="s">
        <v>342</v>
      </c>
      <c r="C32" t="s">
        <v>490</v>
      </c>
      <c r="D32" t="s">
        <v>992</v>
      </c>
      <c r="E32" t="s">
        <v>143</v>
      </c>
      <c r="F32">
        <v>0</v>
      </c>
      <c r="G32">
        <v>0</v>
      </c>
      <c r="H32">
        <v>19.11</v>
      </c>
      <c r="I32">
        <v>0</v>
      </c>
      <c r="J32">
        <v>0</v>
      </c>
      <c r="K32">
        <v>216.667</v>
      </c>
      <c r="L32">
        <v>216.667</v>
      </c>
      <c r="M32">
        <v>0</v>
      </c>
      <c r="N32">
        <v>216.667</v>
      </c>
      <c r="O32">
        <v>216.667</v>
      </c>
      <c r="P32">
        <v>216.667</v>
      </c>
      <c r="Q32">
        <v>216.667</v>
      </c>
      <c r="R32">
        <v>0</v>
      </c>
      <c r="S32">
        <v>0</v>
      </c>
      <c r="T32">
        <v>193.61</v>
      </c>
      <c r="U32">
        <v>122.09</v>
      </c>
      <c r="V32">
        <v>1127.4000000000001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s="297">
        <v>0</v>
      </c>
      <c r="AD32">
        <f>SUMPRODUCT(DB_STProjectAcct[[#This Row],[Plan01]:[Plan12]],$F$14:$Q$14)/valUnits2</f>
        <v>0.23577699999999999</v>
      </c>
      <c r="AE32">
        <f>SUMPRODUCT(DB_STProjectAcct[[#This Row],[Act01]:[Act12]],$R$14:$AC$14)/valUnits2</f>
        <v>1.4431</v>
      </c>
      <c r="AF32">
        <f>DB_STProjectAcct[[#This Row],[Actual]]-DB_STProjectAcct[[#This Row],[Plan]]</f>
        <v>1.2073230000000001</v>
      </c>
      <c r="AG32">
        <f>IF(DB_STProjectAcct[[#This Row],[Plan]]&lt;&gt;0,DB_STProjectAcct[[#This Row],[Actual]]/DB_STProjectAcct[[#This Row],[Plan]],1.000011000011)</f>
        <v>6.1206139699801092</v>
      </c>
    </row>
    <row r="33" spans="1:33" hidden="1" x14ac:dyDescent="0.2">
      <c r="A33" t="s">
        <v>1020</v>
      </c>
      <c r="B33" t="s">
        <v>342</v>
      </c>
      <c r="C33" t="s">
        <v>490</v>
      </c>
      <c r="D33" t="s">
        <v>992</v>
      </c>
      <c r="E33" t="s">
        <v>235</v>
      </c>
      <c r="G33">
        <v>17.8</v>
      </c>
      <c r="H33">
        <v>46.23</v>
      </c>
      <c r="I33">
        <v>21.05</v>
      </c>
      <c r="J33">
        <v>114.49000000000001</v>
      </c>
      <c r="K33">
        <v>125</v>
      </c>
      <c r="L33">
        <v>125</v>
      </c>
      <c r="M33">
        <v>250</v>
      </c>
      <c r="N33">
        <v>125</v>
      </c>
      <c r="O33">
        <v>125</v>
      </c>
      <c r="P33">
        <v>125</v>
      </c>
      <c r="Q33">
        <v>125</v>
      </c>
      <c r="S33">
        <v>17.8</v>
      </c>
      <c r="T33">
        <v>65.34</v>
      </c>
      <c r="U33">
        <v>21.05</v>
      </c>
      <c r="V33">
        <v>114.49000000000001</v>
      </c>
      <c r="W33">
        <v>13.18</v>
      </c>
      <c r="X33">
        <v>0</v>
      </c>
      <c r="Y33">
        <v>0</v>
      </c>
      <c r="Z33">
        <v>0</v>
      </c>
      <c r="AA33">
        <v>0</v>
      </c>
      <c r="AB33">
        <v>0</v>
      </c>
      <c r="AC33" s="295">
        <v>0</v>
      </c>
      <c r="AD33">
        <f>SUMPRODUCT(DB_STProjectAcct[[#This Row],[Plan01]:[Plan12]],$F$14:$Q$14)/valUnits2</f>
        <v>0.32456999999999997</v>
      </c>
      <c r="AE33">
        <f>SUMPRODUCT(DB_STProjectAcct[[#This Row],[Act01]:[Act12]],$R$14:$AC$14)/valUnits2</f>
        <v>0.23186000000000001</v>
      </c>
      <c r="AF33">
        <f>DB_STProjectAcct[[#This Row],[Actual]]-DB_STProjectAcct[[#This Row],[Plan]]</f>
        <v>-9.2709999999999959E-2</v>
      </c>
      <c r="AG33">
        <f>IF(DB_STProjectAcct[[#This Row],[Plan]]&lt;&gt;0,DB_STProjectAcct[[#This Row],[Actual]]/DB_STProjectAcct[[#This Row],[Plan]],1.000011000011)</f>
        <v>0.71436053855870851</v>
      </c>
    </row>
    <row r="34" spans="1:33" hidden="1" x14ac:dyDescent="0.2">
      <c r="A34" t="s">
        <v>1021</v>
      </c>
      <c r="B34" t="s">
        <v>342</v>
      </c>
      <c r="C34" t="s">
        <v>490</v>
      </c>
      <c r="D34" t="s">
        <v>992</v>
      </c>
      <c r="E34" t="s">
        <v>144</v>
      </c>
      <c r="AC34" s="297"/>
      <c r="AD34">
        <f>SUMPRODUCT(DB_STProjectAcct[[#This Row],[Plan01]:[Plan12]],$F$14:$Q$14)/valUnits2</f>
        <v>0</v>
      </c>
      <c r="AE34">
        <f>SUMPRODUCT(DB_STProjectAcct[[#This Row],[Act01]:[Act12]],$R$14:$AC$14)/valUnits2</f>
        <v>0</v>
      </c>
      <c r="AF34">
        <f>DB_STProjectAcct[[#This Row],[Actual]]-DB_STProjectAcct[[#This Row],[Plan]]</f>
        <v>0</v>
      </c>
      <c r="AG34">
        <f>IF(DB_STProjectAcct[[#This Row],[Plan]]&lt;&gt;0,DB_STProjectAcct[[#This Row],[Actual]]/DB_STProjectAcct[[#This Row],[Plan]],1.000011000011)</f>
        <v>1.0000110000110001</v>
      </c>
    </row>
    <row r="35" spans="1:33" hidden="1" x14ac:dyDescent="0.2">
      <c r="A35" t="s">
        <v>1022</v>
      </c>
      <c r="B35" t="s">
        <v>342</v>
      </c>
      <c r="C35" t="s">
        <v>490</v>
      </c>
      <c r="D35" t="s">
        <v>992</v>
      </c>
      <c r="E35" t="s">
        <v>142</v>
      </c>
      <c r="AC35" s="295"/>
      <c r="AD35">
        <f>SUMPRODUCT(DB_STProjectAcct[[#This Row],[Plan01]:[Plan12]],$F$14:$Q$14)/valUnits2</f>
        <v>0</v>
      </c>
      <c r="AE35">
        <f>SUMPRODUCT(DB_STProjectAcct[[#This Row],[Act01]:[Act12]],$R$14:$AC$14)/valUnits2</f>
        <v>0</v>
      </c>
      <c r="AF35">
        <f>DB_STProjectAcct[[#This Row],[Actual]]-DB_STProjectAcct[[#This Row],[Plan]]</f>
        <v>0</v>
      </c>
      <c r="AG35">
        <f>IF(DB_STProjectAcct[[#This Row],[Plan]]&lt;&gt;0,DB_STProjectAcct[[#This Row],[Actual]]/DB_STProjectAcct[[#This Row],[Plan]],1.000011000011)</f>
        <v>1.0000110000110001</v>
      </c>
    </row>
    <row r="36" spans="1:33" hidden="1" x14ac:dyDescent="0.2">
      <c r="A36" t="s">
        <v>1023</v>
      </c>
      <c r="B36" t="s">
        <v>342</v>
      </c>
      <c r="C36" t="s">
        <v>490</v>
      </c>
      <c r="D36" t="s">
        <v>992</v>
      </c>
      <c r="E36" t="s">
        <v>140</v>
      </c>
      <c r="F36">
        <v>1872.56</v>
      </c>
      <c r="G36">
        <v>1815.18</v>
      </c>
      <c r="H36">
        <v>1985.65</v>
      </c>
      <c r="I36">
        <v>2005.47</v>
      </c>
      <c r="J36">
        <v>2824.25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1872.56</v>
      </c>
      <c r="S36">
        <v>1815.18</v>
      </c>
      <c r="T36">
        <v>1985.6499999999999</v>
      </c>
      <c r="U36">
        <v>2005.47</v>
      </c>
      <c r="V36">
        <v>2824.2499999999995</v>
      </c>
      <c r="W36">
        <v>2543.27</v>
      </c>
      <c r="X36">
        <v>0</v>
      </c>
      <c r="Y36">
        <v>0</v>
      </c>
      <c r="Z36">
        <v>0</v>
      </c>
      <c r="AA36">
        <v>0</v>
      </c>
      <c r="AB36">
        <v>0</v>
      </c>
      <c r="AC36" s="297">
        <v>0</v>
      </c>
      <c r="AD36">
        <f>SUMPRODUCT(DB_STProjectAcct[[#This Row],[Plan01]:[Plan12]],$F$14:$Q$14)/valUnits2</f>
        <v>10.503110000000001</v>
      </c>
      <c r="AE36">
        <f>SUMPRODUCT(DB_STProjectAcct[[#This Row],[Act01]:[Act12]],$R$14:$AC$14)/valUnits2</f>
        <v>13.046379999999999</v>
      </c>
      <c r="AF36">
        <f>DB_STProjectAcct[[#This Row],[Actual]]-DB_STProjectAcct[[#This Row],[Plan]]</f>
        <v>2.5432699999999979</v>
      </c>
      <c r="AG36">
        <f>IF(DB_STProjectAcct[[#This Row],[Plan]]&lt;&gt;0,DB_STProjectAcct[[#This Row],[Actual]]/DB_STProjectAcct[[#This Row],[Plan]],1.000011000011)</f>
        <v>1.2421444695904353</v>
      </c>
    </row>
    <row r="37" spans="1:33" hidden="1" x14ac:dyDescent="0.2">
      <c r="A37" t="s">
        <v>1024</v>
      </c>
      <c r="B37" t="s">
        <v>342</v>
      </c>
      <c r="C37" t="s">
        <v>490</v>
      </c>
      <c r="D37" t="s">
        <v>992</v>
      </c>
      <c r="E37" t="s">
        <v>236</v>
      </c>
      <c r="F37">
        <v>0</v>
      </c>
      <c r="G37">
        <v>0</v>
      </c>
      <c r="H37">
        <v>0</v>
      </c>
      <c r="I37">
        <v>2340.5</v>
      </c>
      <c r="J37">
        <v>356.13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2340.5</v>
      </c>
      <c r="V37">
        <v>356.13</v>
      </c>
      <c r="W37">
        <v>9603.5299999999988</v>
      </c>
      <c r="X37">
        <v>0</v>
      </c>
      <c r="Y37">
        <v>0</v>
      </c>
      <c r="Z37">
        <v>0</v>
      </c>
      <c r="AA37">
        <v>0</v>
      </c>
      <c r="AB37">
        <v>0</v>
      </c>
      <c r="AC37" s="295">
        <v>0</v>
      </c>
      <c r="AD37">
        <f>SUMPRODUCT(DB_STProjectAcct[[#This Row],[Plan01]:[Plan12]],$F$14:$Q$14)/valUnits2</f>
        <v>2.6966300000000003</v>
      </c>
      <c r="AE37">
        <f>SUMPRODUCT(DB_STProjectAcct[[#This Row],[Act01]:[Act12]],$R$14:$AC$14)/valUnits2</f>
        <v>12.30016</v>
      </c>
      <c r="AF37">
        <f>DB_STProjectAcct[[#This Row],[Actual]]-DB_STProjectAcct[[#This Row],[Plan]]</f>
        <v>9.6035299999999992</v>
      </c>
      <c r="AG37">
        <f>IF(DB_STProjectAcct[[#This Row],[Plan]]&lt;&gt;0,DB_STProjectAcct[[#This Row],[Actual]]/DB_STProjectAcct[[#This Row],[Plan]],1.000011000011)</f>
        <v>4.561308002951832</v>
      </c>
    </row>
    <row r="38" spans="1:33" hidden="1" x14ac:dyDescent="0.2">
      <c r="A38" t="s">
        <v>1025</v>
      </c>
      <c r="B38" t="s">
        <v>342</v>
      </c>
      <c r="C38" t="s">
        <v>490</v>
      </c>
      <c r="D38" t="s">
        <v>992</v>
      </c>
      <c r="E38" t="s">
        <v>237</v>
      </c>
      <c r="G38">
        <v>35.090000000000003</v>
      </c>
      <c r="H38">
        <v>525.37</v>
      </c>
      <c r="I38">
        <v>458.91</v>
      </c>
      <c r="J38">
        <v>303.66000000000003</v>
      </c>
      <c r="K38">
        <v>0</v>
      </c>
      <c r="S38">
        <v>35.090000000000003</v>
      </c>
      <c r="T38">
        <v>525.37</v>
      </c>
      <c r="U38">
        <v>458.91</v>
      </c>
      <c r="V38">
        <v>303.66000000000003</v>
      </c>
      <c r="W38">
        <v>143.30000000000001</v>
      </c>
      <c r="AC38" s="297"/>
      <c r="AD38">
        <f>SUMPRODUCT(DB_STProjectAcct[[#This Row],[Plan01]:[Plan12]],$F$14:$Q$14)/valUnits2</f>
        <v>1.3230300000000002</v>
      </c>
      <c r="AE38">
        <f>SUMPRODUCT(DB_STProjectAcct[[#This Row],[Act01]:[Act12]],$R$14:$AC$14)/valUnits2</f>
        <v>1.4663300000000001</v>
      </c>
      <c r="AF38">
        <f>DB_STProjectAcct[[#This Row],[Actual]]-DB_STProjectAcct[[#This Row],[Plan]]</f>
        <v>0.14329999999999998</v>
      </c>
      <c r="AG38">
        <f>IF(DB_STProjectAcct[[#This Row],[Plan]]&lt;&gt;0,DB_STProjectAcct[[#This Row],[Actual]]/DB_STProjectAcct[[#This Row],[Plan]],1.000011000011)</f>
        <v>1.1083119808318782</v>
      </c>
    </row>
    <row r="39" spans="1:33" hidden="1" x14ac:dyDescent="0.2">
      <c r="A39" t="s">
        <v>1026</v>
      </c>
      <c r="B39" t="s">
        <v>342</v>
      </c>
      <c r="C39" t="s">
        <v>490</v>
      </c>
      <c r="D39" t="s">
        <v>992</v>
      </c>
      <c r="E39" t="s">
        <v>141</v>
      </c>
      <c r="F39">
        <v>172.4</v>
      </c>
      <c r="G39">
        <v>340.34000000000003</v>
      </c>
      <c r="H39">
        <v>30.71</v>
      </c>
      <c r="I39">
        <v>4025.91</v>
      </c>
      <c r="J39">
        <v>755.29</v>
      </c>
      <c r="K39">
        <v>2333.3339999999998</v>
      </c>
      <c r="L39">
        <v>2333.3339999999998</v>
      </c>
      <c r="M39">
        <v>3000.0009999999997</v>
      </c>
      <c r="N39">
        <v>2333.3339999999998</v>
      </c>
      <c r="O39">
        <v>2333.3339999999998</v>
      </c>
      <c r="P39">
        <v>2333.3339999999998</v>
      </c>
      <c r="Q39">
        <v>2333.3339999999998</v>
      </c>
      <c r="R39">
        <v>172.4</v>
      </c>
      <c r="S39">
        <v>340.34</v>
      </c>
      <c r="T39">
        <v>30.71</v>
      </c>
      <c r="U39">
        <v>4025.91</v>
      </c>
      <c r="V39">
        <v>755.29</v>
      </c>
      <c r="W39">
        <v>222.08</v>
      </c>
      <c r="X39">
        <v>0</v>
      </c>
      <c r="Y39">
        <v>0</v>
      </c>
      <c r="Z39">
        <v>0</v>
      </c>
      <c r="AA39">
        <v>0</v>
      </c>
      <c r="AB39">
        <v>0</v>
      </c>
      <c r="AC39" s="295">
        <v>0</v>
      </c>
      <c r="AD39">
        <f>SUMPRODUCT(DB_STProjectAcct[[#This Row],[Plan01]:[Plan12]],$F$14:$Q$14)/valUnits2</f>
        <v>7.6579839999999999</v>
      </c>
      <c r="AE39">
        <f>SUMPRODUCT(DB_STProjectAcct[[#This Row],[Act01]:[Act12]],$R$14:$AC$14)/valUnits2</f>
        <v>5.5467299999999993</v>
      </c>
      <c r="AF39">
        <f>DB_STProjectAcct[[#This Row],[Actual]]-DB_STProjectAcct[[#This Row],[Plan]]</f>
        <v>-2.1112540000000006</v>
      </c>
      <c r="AG39">
        <f>IF(DB_STProjectAcct[[#This Row],[Plan]]&lt;&gt;0,DB_STProjectAcct[[#This Row],[Actual]]/DB_STProjectAcct[[#This Row],[Plan]],1.000011000011)</f>
        <v>0.72430681495286475</v>
      </c>
    </row>
    <row r="40" spans="1:33" hidden="1" x14ac:dyDescent="0.2">
      <c r="A40" t="s">
        <v>1027</v>
      </c>
      <c r="B40" t="s">
        <v>342</v>
      </c>
      <c r="C40" t="s">
        <v>490</v>
      </c>
      <c r="D40" t="s">
        <v>997</v>
      </c>
      <c r="E40" t="s">
        <v>143</v>
      </c>
      <c r="F40">
        <v>45.075000000000003</v>
      </c>
      <c r="G40">
        <v>15.377000000000001</v>
      </c>
      <c r="H40">
        <v>7.4820000000000002</v>
      </c>
      <c r="I40">
        <v>7.8630000000000004</v>
      </c>
      <c r="J40">
        <v>10.273999999999999</v>
      </c>
      <c r="K40">
        <v>0</v>
      </c>
      <c r="R40">
        <v>43.849999999999994</v>
      </c>
      <c r="S40">
        <v>13.32</v>
      </c>
      <c r="T40">
        <v>7.63</v>
      </c>
      <c r="U40">
        <v>7.71</v>
      </c>
      <c r="V40">
        <v>7.74</v>
      </c>
      <c r="W40">
        <v>7.74</v>
      </c>
      <c r="AC40" s="297"/>
      <c r="AD40">
        <f>SUMPRODUCT(DB_STProjectAcct[[#This Row],[Plan01]:[Plan12]],$F$14:$Q$14)/valUnits2</f>
        <v>8.6071000000000009E-2</v>
      </c>
      <c r="AE40">
        <f>SUMPRODUCT(DB_STProjectAcct[[#This Row],[Act01]:[Act12]],$R$14:$AC$14)/valUnits2</f>
        <v>8.7989999999999985E-2</v>
      </c>
      <c r="AF40">
        <f>DB_STProjectAcct[[#This Row],[Actual]]-DB_STProjectAcct[[#This Row],[Plan]]</f>
        <v>1.9189999999999763E-3</v>
      </c>
      <c r="AG40">
        <f>IF(DB_STProjectAcct[[#This Row],[Plan]]&lt;&gt;0,DB_STProjectAcct[[#This Row],[Actual]]/DB_STProjectAcct[[#This Row],[Plan]],1.000011000011)</f>
        <v>1.0222955466998174</v>
      </c>
    </row>
    <row r="41" spans="1:33" hidden="1" x14ac:dyDescent="0.2">
      <c r="A41" t="s">
        <v>1028</v>
      </c>
      <c r="B41" t="s">
        <v>342</v>
      </c>
      <c r="C41" t="s">
        <v>490</v>
      </c>
      <c r="D41" t="s">
        <v>997</v>
      </c>
      <c r="E41" t="s">
        <v>235</v>
      </c>
      <c r="F41">
        <v>558.66800000000001</v>
      </c>
      <c r="G41">
        <v>322.55199999999996</v>
      </c>
      <c r="H41">
        <v>165.76599999999999</v>
      </c>
      <c r="I41">
        <v>196.53400000000002</v>
      </c>
      <c r="J41">
        <v>76.825000000000003</v>
      </c>
      <c r="K41">
        <v>0</v>
      </c>
      <c r="R41">
        <v>551.20000000000005</v>
      </c>
      <c r="S41">
        <v>332.13</v>
      </c>
      <c r="T41">
        <v>168.07999999999998</v>
      </c>
      <c r="U41">
        <v>193.03999999999996</v>
      </c>
      <c r="V41">
        <v>79.510000000000005</v>
      </c>
      <c r="W41">
        <v>317.97000000000003</v>
      </c>
      <c r="AC41" s="295"/>
      <c r="AD41">
        <f>SUMPRODUCT(DB_STProjectAcct[[#This Row],[Plan01]:[Plan12]],$F$14:$Q$14)/valUnits2</f>
        <v>1.3203450000000003</v>
      </c>
      <c r="AE41">
        <f>SUMPRODUCT(DB_STProjectAcct[[#This Row],[Act01]:[Act12]],$R$14:$AC$14)/valUnits2</f>
        <v>1.6419300000000001</v>
      </c>
      <c r="AF41">
        <f>DB_STProjectAcct[[#This Row],[Actual]]-DB_STProjectAcct[[#This Row],[Plan]]</f>
        <v>0.32158499999999979</v>
      </c>
      <c r="AG41">
        <f>IF(DB_STProjectAcct[[#This Row],[Plan]]&lt;&gt;0,DB_STProjectAcct[[#This Row],[Actual]]/DB_STProjectAcct[[#This Row],[Plan]],1.000011000011)</f>
        <v>1.2435613419219975</v>
      </c>
    </row>
    <row r="42" spans="1:33" hidden="1" x14ac:dyDescent="0.2">
      <c r="A42" t="s">
        <v>1029</v>
      </c>
      <c r="B42" t="s">
        <v>342</v>
      </c>
      <c r="C42" t="s">
        <v>490</v>
      </c>
      <c r="D42" t="s">
        <v>997</v>
      </c>
      <c r="E42" t="s">
        <v>144</v>
      </c>
      <c r="AC42" s="297"/>
      <c r="AD42">
        <f>SUMPRODUCT(DB_STProjectAcct[[#This Row],[Plan01]:[Plan12]],$F$14:$Q$14)/valUnits2</f>
        <v>0</v>
      </c>
      <c r="AE42">
        <f>SUMPRODUCT(DB_STProjectAcct[[#This Row],[Act01]:[Act12]],$R$14:$AC$14)/valUnits2</f>
        <v>0</v>
      </c>
      <c r="AF42">
        <f>DB_STProjectAcct[[#This Row],[Actual]]-DB_STProjectAcct[[#This Row],[Plan]]</f>
        <v>0</v>
      </c>
      <c r="AG42">
        <f>IF(DB_STProjectAcct[[#This Row],[Plan]]&lt;&gt;0,DB_STProjectAcct[[#This Row],[Actual]]/DB_STProjectAcct[[#This Row],[Plan]],1.000011000011)</f>
        <v>1.0000110000110001</v>
      </c>
    </row>
    <row r="43" spans="1:33" hidden="1" x14ac:dyDescent="0.2">
      <c r="A43" t="s">
        <v>1030</v>
      </c>
      <c r="B43" t="s">
        <v>342</v>
      </c>
      <c r="C43" t="s">
        <v>490</v>
      </c>
      <c r="D43" t="s">
        <v>997</v>
      </c>
      <c r="E43" t="s">
        <v>142</v>
      </c>
      <c r="F43">
        <v>767.18199999998751</v>
      </c>
      <c r="G43">
        <v>56425.063999999991</v>
      </c>
      <c r="H43">
        <v>16012.276000000002</v>
      </c>
      <c r="I43">
        <v>13478.584000000001</v>
      </c>
      <c r="J43">
        <v>-42295.955999999991</v>
      </c>
      <c r="K43">
        <v>0</v>
      </c>
      <c r="R43">
        <v>767.18000000000893</v>
      </c>
      <c r="S43">
        <v>57868.590000000004</v>
      </c>
      <c r="T43">
        <v>16277.199999999997</v>
      </c>
      <c r="U43">
        <v>13480.72</v>
      </c>
      <c r="V43">
        <v>-42777.069999999992</v>
      </c>
      <c r="W43">
        <v>-3.637978807091713E-12</v>
      </c>
      <c r="AC43" s="295"/>
      <c r="AD43">
        <f>SUMPRODUCT(DB_STProjectAcct[[#This Row],[Plan01]:[Plan12]],$F$14:$Q$14)/valUnits2</f>
        <v>44.387149999999991</v>
      </c>
      <c r="AE43">
        <f>SUMPRODUCT(DB_STProjectAcct[[#This Row],[Act01]:[Act12]],$R$14:$AC$14)/valUnits2</f>
        <v>45.616620000000012</v>
      </c>
      <c r="AF43">
        <f>DB_STProjectAcct[[#This Row],[Actual]]-DB_STProjectAcct[[#This Row],[Plan]]</f>
        <v>1.2294700000000205</v>
      </c>
      <c r="AG43">
        <f>IF(DB_STProjectAcct[[#This Row],[Plan]]&lt;&gt;0,DB_STProjectAcct[[#This Row],[Actual]]/DB_STProjectAcct[[#This Row],[Plan]],1.000011000011)</f>
        <v>1.0276987821925945</v>
      </c>
    </row>
    <row r="44" spans="1:33" hidden="1" x14ac:dyDescent="0.2">
      <c r="A44" t="s">
        <v>1031</v>
      </c>
      <c r="B44" t="s">
        <v>342</v>
      </c>
      <c r="C44" t="s">
        <v>490</v>
      </c>
      <c r="D44" t="s">
        <v>997</v>
      </c>
      <c r="E44" t="s">
        <v>140</v>
      </c>
      <c r="F44">
        <v>612.10299999999995</v>
      </c>
      <c r="G44">
        <v>3678.011</v>
      </c>
      <c r="H44">
        <v>6369.4210000000003</v>
      </c>
      <c r="I44">
        <v>3510.88</v>
      </c>
      <c r="J44">
        <v>4367.91</v>
      </c>
      <c r="K44">
        <v>0</v>
      </c>
      <c r="L44">
        <v>0</v>
      </c>
      <c r="O44">
        <v>0</v>
      </c>
      <c r="R44">
        <v>609</v>
      </c>
      <c r="S44">
        <v>3747.1400000000003</v>
      </c>
      <c r="T44">
        <v>6424.5099999999993</v>
      </c>
      <c r="U44">
        <v>3506.5299999999997</v>
      </c>
      <c r="V44">
        <v>4368.0199999999995</v>
      </c>
      <c r="W44">
        <v>2923.7599999999998</v>
      </c>
      <c r="X44">
        <v>0</v>
      </c>
      <c r="AA44">
        <v>0</v>
      </c>
      <c r="AC44" s="297"/>
      <c r="AD44">
        <f>SUMPRODUCT(DB_STProjectAcct[[#This Row],[Plan01]:[Plan12]],$F$14:$Q$14)/valUnits2</f>
        <v>18.538325</v>
      </c>
      <c r="AE44">
        <f>SUMPRODUCT(DB_STProjectAcct[[#This Row],[Act01]:[Act12]],$R$14:$AC$14)/valUnits2</f>
        <v>21.578959999999999</v>
      </c>
      <c r="AF44">
        <f>DB_STProjectAcct[[#This Row],[Actual]]-DB_STProjectAcct[[#This Row],[Plan]]</f>
        <v>3.0406349999999982</v>
      </c>
      <c r="AG44">
        <f>IF(DB_STProjectAcct[[#This Row],[Plan]]&lt;&gt;0,DB_STProjectAcct[[#This Row],[Actual]]/DB_STProjectAcct[[#This Row],[Plan]],1.000011000011)</f>
        <v>1.1640188636244104</v>
      </c>
    </row>
    <row r="45" spans="1:33" hidden="1" x14ac:dyDescent="0.2">
      <c r="A45" t="s">
        <v>1032</v>
      </c>
      <c r="B45" t="s">
        <v>342</v>
      </c>
      <c r="C45" t="s">
        <v>490</v>
      </c>
      <c r="D45" t="s">
        <v>997</v>
      </c>
      <c r="E45" t="s">
        <v>236</v>
      </c>
      <c r="F45">
        <v>2308.8969999999999</v>
      </c>
      <c r="G45">
        <v>1416.6669999999999</v>
      </c>
      <c r="H45">
        <v>1416.6669999999999</v>
      </c>
      <c r="I45">
        <v>1589.2459999999999</v>
      </c>
      <c r="J45">
        <v>1416.6669999999999</v>
      </c>
      <c r="K45">
        <v>1416.6669999999999</v>
      </c>
      <c r="L45">
        <v>1416.6669999999999</v>
      </c>
      <c r="M45">
        <v>1416.6669999999999</v>
      </c>
      <c r="N45">
        <v>1416.6669999999999</v>
      </c>
      <c r="O45">
        <v>1416.6669999999999</v>
      </c>
      <c r="P45">
        <v>1416.6669999999999</v>
      </c>
      <c r="Q45">
        <v>1416.6669999999999</v>
      </c>
      <c r="R45">
        <v>892.23</v>
      </c>
      <c r="S45">
        <v>0</v>
      </c>
      <c r="T45">
        <v>0</v>
      </c>
      <c r="U45">
        <v>172.35</v>
      </c>
      <c r="V45">
        <v>0</v>
      </c>
      <c r="W45">
        <v>514.84</v>
      </c>
      <c r="X45">
        <v>0</v>
      </c>
      <c r="Y45">
        <v>0</v>
      </c>
      <c r="Z45">
        <v>0</v>
      </c>
      <c r="AA45">
        <v>0</v>
      </c>
      <c r="AB45">
        <v>0</v>
      </c>
      <c r="AC45" s="295">
        <v>0</v>
      </c>
      <c r="AD45">
        <f>SUMPRODUCT(DB_STProjectAcct[[#This Row],[Plan01]:[Plan12]],$F$14:$Q$14)/valUnits2</f>
        <v>9.5648109999999988</v>
      </c>
      <c r="AE45">
        <f>SUMPRODUCT(DB_STProjectAcct[[#This Row],[Act01]:[Act12]],$R$14:$AC$14)/valUnits2</f>
        <v>1.57942</v>
      </c>
      <c r="AF45">
        <f>DB_STProjectAcct[[#This Row],[Actual]]-DB_STProjectAcct[[#This Row],[Plan]]</f>
        <v>-7.985390999999999</v>
      </c>
      <c r="AG45">
        <f>IF(DB_STProjectAcct[[#This Row],[Plan]]&lt;&gt;0,DB_STProjectAcct[[#This Row],[Actual]]/DB_STProjectAcct[[#This Row],[Plan]],1.000011000011)</f>
        <v>0.16512819751482807</v>
      </c>
    </row>
    <row r="46" spans="1:33" hidden="1" x14ac:dyDescent="0.2">
      <c r="A46" t="s">
        <v>1033</v>
      </c>
      <c r="B46" t="s">
        <v>342</v>
      </c>
      <c r="C46" t="s">
        <v>490</v>
      </c>
      <c r="D46" t="s">
        <v>997</v>
      </c>
      <c r="E46" t="s">
        <v>237</v>
      </c>
      <c r="F46">
        <v>3.3639999999999999</v>
      </c>
      <c r="G46">
        <v>1787</v>
      </c>
      <c r="H46">
        <v>625.33000000000004</v>
      </c>
      <c r="I46">
        <v>7.82</v>
      </c>
      <c r="J46">
        <v>441.63599999999997</v>
      </c>
      <c r="L46">
        <v>0</v>
      </c>
      <c r="O46">
        <v>0</v>
      </c>
      <c r="R46">
        <v>3.26</v>
      </c>
      <c r="S46">
        <v>1787</v>
      </c>
      <c r="T46">
        <v>637.66999999999996</v>
      </c>
      <c r="U46">
        <v>7.67</v>
      </c>
      <c r="V46">
        <v>442.15</v>
      </c>
      <c r="X46">
        <v>0</v>
      </c>
      <c r="AA46">
        <v>0</v>
      </c>
      <c r="AC46" s="297"/>
      <c r="AD46">
        <f>SUMPRODUCT(DB_STProjectAcct[[#This Row],[Plan01]:[Plan12]],$F$14:$Q$14)/valUnits2</f>
        <v>2.8651500000000003</v>
      </c>
      <c r="AE46">
        <f>SUMPRODUCT(DB_STProjectAcct[[#This Row],[Act01]:[Act12]],$R$14:$AC$14)/valUnits2</f>
        <v>2.8777499999999998</v>
      </c>
      <c r="AF46">
        <f>DB_STProjectAcct[[#This Row],[Actual]]-DB_STProjectAcct[[#This Row],[Plan]]</f>
        <v>1.25999999999995E-2</v>
      </c>
      <c r="AG46">
        <f>IF(DB_STProjectAcct[[#This Row],[Plan]]&lt;&gt;0,DB_STProjectAcct[[#This Row],[Actual]]/DB_STProjectAcct[[#This Row],[Plan]],1.000011000011)</f>
        <v>1.0043976755143709</v>
      </c>
    </row>
    <row r="47" spans="1:33" hidden="1" x14ac:dyDescent="0.2">
      <c r="A47" t="s">
        <v>1034</v>
      </c>
      <c r="B47" t="s">
        <v>342</v>
      </c>
      <c r="C47" t="s">
        <v>490</v>
      </c>
      <c r="D47" t="s">
        <v>997</v>
      </c>
      <c r="E47" t="s">
        <v>141</v>
      </c>
      <c r="F47">
        <v>10418.431999999999</v>
      </c>
      <c r="G47">
        <v>1230.3480000000002</v>
      </c>
      <c r="H47">
        <v>5860.19</v>
      </c>
      <c r="I47">
        <v>847.67499999999995</v>
      </c>
      <c r="J47">
        <v>2389.5230000000001</v>
      </c>
      <c r="K47">
        <v>746.44900000000007</v>
      </c>
      <c r="L47">
        <v>153.256</v>
      </c>
      <c r="R47">
        <v>10411.549999999999</v>
      </c>
      <c r="S47">
        <v>1253.98</v>
      </c>
      <c r="T47">
        <v>5874.23</v>
      </c>
      <c r="U47">
        <v>839.56</v>
      </c>
      <c r="V47">
        <v>2390.0100000000002</v>
      </c>
      <c r="W47">
        <v>439.04</v>
      </c>
      <c r="X47">
        <v>0</v>
      </c>
      <c r="AC47" s="295"/>
      <c r="AD47">
        <f>SUMPRODUCT(DB_STProjectAcct[[#This Row],[Plan01]:[Plan12]],$F$14:$Q$14)/valUnits2</f>
        <v>21.492616999999999</v>
      </c>
      <c r="AE47">
        <f>SUMPRODUCT(DB_STProjectAcct[[#This Row],[Act01]:[Act12]],$R$14:$AC$14)/valUnits2</f>
        <v>21.208370000000002</v>
      </c>
      <c r="AF47">
        <f>DB_STProjectAcct[[#This Row],[Actual]]-DB_STProjectAcct[[#This Row],[Plan]]</f>
        <v>-0.28424699999999703</v>
      </c>
      <c r="AG47">
        <f>IF(DB_STProjectAcct[[#This Row],[Plan]]&lt;&gt;0,DB_STProjectAcct[[#This Row],[Actual]]/DB_STProjectAcct[[#This Row],[Plan]],1.000011000011)</f>
        <v>0.9867746677847562</v>
      </c>
    </row>
    <row r="48" spans="1:33" hidden="1" x14ac:dyDescent="0.2">
      <c r="A48" t="s">
        <v>1035</v>
      </c>
      <c r="B48" t="s">
        <v>342</v>
      </c>
      <c r="C48" t="s">
        <v>491</v>
      </c>
      <c r="D48" t="s">
        <v>958</v>
      </c>
      <c r="E48" t="s">
        <v>143</v>
      </c>
      <c r="F48">
        <v>0</v>
      </c>
      <c r="K48">
        <v>0</v>
      </c>
      <c r="R48">
        <v>-82.43</v>
      </c>
      <c r="W48">
        <v>0</v>
      </c>
      <c r="AC48" s="297"/>
      <c r="AD48">
        <f>SUMPRODUCT(DB_STProjectAcct[[#This Row],[Plan01]:[Plan12]],$F$14:$Q$14)/valUnits2</f>
        <v>0</v>
      </c>
      <c r="AE48">
        <f>SUMPRODUCT(DB_STProjectAcct[[#This Row],[Act01]:[Act12]],$R$14:$AC$14)/valUnits2</f>
        <v>-8.2430000000000003E-2</v>
      </c>
      <c r="AF48">
        <f>DB_STProjectAcct[[#This Row],[Actual]]-DB_STProjectAcct[[#This Row],[Plan]]</f>
        <v>-8.2430000000000003E-2</v>
      </c>
      <c r="AG48">
        <f>IF(DB_STProjectAcct[[#This Row],[Plan]]&lt;&gt;0,DB_STProjectAcct[[#This Row],[Actual]]/DB_STProjectAcct[[#This Row],[Plan]],1.000011000011)</f>
        <v>1.0000110000110001</v>
      </c>
    </row>
    <row r="49" spans="1:33" hidden="1" x14ac:dyDescent="0.2">
      <c r="A49" t="s">
        <v>1036</v>
      </c>
      <c r="B49" t="s">
        <v>342</v>
      </c>
      <c r="C49" t="s">
        <v>491</v>
      </c>
      <c r="D49" t="s">
        <v>958</v>
      </c>
      <c r="E49" t="s">
        <v>235</v>
      </c>
      <c r="F49">
        <v>-3016.127</v>
      </c>
      <c r="G49">
        <v>57.567999999999998</v>
      </c>
      <c r="H49">
        <v>141.67400000000001</v>
      </c>
      <c r="I49">
        <v>161.203</v>
      </c>
      <c r="K49">
        <v>0</v>
      </c>
      <c r="R49">
        <v>-2807.4199999999996</v>
      </c>
      <c r="S49">
        <v>59.21</v>
      </c>
      <c r="T49">
        <v>144.47</v>
      </c>
      <c r="U49">
        <v>160.66</v>
      </c>
      <c r="W49">
        <v>118.92</v>
      </c>
      <c r="AC49" s="295"/>
      <c r="AD49">
        <f>SUMPRODUCT(DB_STProjectAcct[[#This Row],[Plan01]:[Plan12]],$F$14:$Q$14)/valUnits2</f>
        <v>-2.6556819999999997</v>
      </c>
      <c r="AE49">
        <f>SUMPRODUCT(DB_STProjectAcct[[#This Row],[Act01]:[Act12]],$R$14:$AC$14)/valUnits2</f>
        <v>-2.32416</v>
      </c>
      <c r="AF49">
        <f>DB_STProjectAcct[[#This Row],[Actual]]-DB_STProjectAcct[[#This Row],[Plan]]</f>
        <v>0.33152199999999965</v>
      </c>
      <c r="AG49">
        <f>IF(DB_STProjectAcct[[#This Row],[Plan]]&lt;&gt;0,DB_STProjectAcct[[#This Row],[Actual]]/DB_STProjectAcct[[#This Row],[Plan]],1.000011000011)</f>
        <v>0.87516502352314784</v>
      </c>
    </row>
    <row r="50" spans="1:33" hidden="1" x14ac:dyDescent="0.2">
      <c r="A50" t="s">
        <v>1037</v>
      </c>
      <c r="B50" t="s">
        <v>342</v>
      </c>
      <c r="C50" t="s">
        <v>491</v>
      </c>
      <c r="D50" t="s">
        <v>958</v>
      </c>
      <c r="E50" t="s">
        <v>144</v>
      </c>
      <c r="F50">
        <v>0</v>
      </c>
      <c r="R50">
        <v>-16797.669999999998</v>
      </c>
      <c r="AC50" s="297"/>
      <c r="AD50">
        <f>SUMPRODUCT(DB_STProjectAcct[[#This Row],[Plan01]:[Plan12]],$F$14:$Q$14)/valUnits2</f>
        <v>0</v>
      </c>
      <c r="AE50">
        <f>SUMPRODUCT(DB_STProjectAcct[[#This Row],[Act01]:[Act12]],$R$14:$AC$14)/valUnits2</f>
        <v>-16.797669999999997</v>
      </c>
      <c r="AF50">
        <f>DB_STProjectAcct[[#This Row],[Actual]]-DB_STProjectAcct[[#This Row],[Plan]]</f>
        <v>-16.797669999999997</v>
      </c>
      <c r="AG50">
        <f>IF(DB_STProjectAcct[[#This Row],[Plan]]&lt;&gt;0,DB_STProjectAcct[[#This Row],[Actual]]/DB_STProjectAcct[[#This Row],[Plan]],1.000011000011)</f>
        <v>1.0000110000110001</v>
      </c>
    </row>
    <row r="51" spans="1:33" hidden="1" x14ac:dyDescent="0.2">
      <c r="A51" t="s">
        <v>1038</v>
      </c>
      <c r="B51" t="s">
        <v>342</v>
      </c>
      <c r="C51" t="s">
        <v>491</v>
      </c>
      <c r="D51" t="s">
        <v>958</v>
      </c>
      <c r="E51" t="s">
        <v>142</v>
      </c>
      <c r="F51">
        <v>200272.68899999998</v>
      </c>
      <c r="G51">
        <v>108265.986</v>
      </c>
      <c r="H51">
        <v>-76093.366999999984</v>
      </c>
      <c r="I51">
        <v>80368.119000000006</v>
      </c>
      <c r="J51">
        <v>5510.2960000000012</v>
      </c>
      <c r="K51">
        <v>86545.19</v>
      </c>
      <c r="L51">
        <v>62232.278999999988</v>
      </c>
      <c r="M51">
        <v>61282.248999999996</v>
      </c>
      <c r="N51">
        <v>54476.692999999999</v>
      </c>
      <c r="O51">
        <v>50688.669000000002</v>
      </c>
      <c r="P51">
        <v>54018.597999999991</v>
      </c>
      <c r="Q51">
        <v>50688.669000000002</v>
      </c>
      <c r="R51">
        <v>194121.63</v>
      </c>
      <c r="S51">
        <v>111926.59</v>
      </c>
      <c r="T51">
        <v>-77605.320000000007</v>
      </c>
      <c r="U51">
        <v>80380.850000000006</v>
      </c>
      <c r="V51">
        <v>5465.2900000000009</v>
      </c>
      <c r="W51">
        <v>1.0000000009313226E-2</v>
      </c>
      <c r="X51">
        <v>0</v>
      </c>
      <c r="Y51">
        <v>0</v>
      </c>
      <c r="Z51">
        <v>0</v>
      </c>
      <c r="AA51">
        <v>0</v>
      </c>
      <c r="AB51">
        <v>0</v>
      </c>
      <c r="AC51" s="295">
        <v>0</v>
      </c>
      <c r="AD51">
        <f>SUMPRODUCT(DB_STProjectAcct[[#This Row],[Plan01]:[Plan12]],$F$14:$Q$14)/valUnits2</f>
        <v>404.86891300000002</v>
      </c>
      <c r="AE51">
        <f>SUMPRODUCT(DB_STProjectAcct[[#This Row],[Act01]:[Act12]],$R$14:$AC$14)/valUnits2</f>
        <v>314.28904999999997</v>
      </c>
      <c r="AF51">
        <f>DB_STProjectAcct[[#This Row],[Actual]]-DB_STProjectAcct[[#This Row],[Plan]]</f>
        <v>-90.579863000000046</v>
      </c>
      <c r="AG51">
        <f>IF(DB_STProjectAcct[[#This Row],[Plan]]&lt;&gt;0,DB_STProjectAcct[[#This Row],[Actual]]/DB_STProjectAcct[[#This Row],[Plan]],1.000011000011)</f>
        <v>0.77627360340209661</v>
      </c>
    </row>
    <row r="52" spans="1:33" hidden="1" x14ac:dyDescent="0.2">
      <c r="A52" t="s">
        <v>1039</v>
      </c>
      <c r="B52" t="s">
        <v>342</v>
      </c>
      <c r="C52" t="s">
        <v>491</v>
      </c>
      <c r="D52" t="s">
        <v>958</v>
      </c>
      <c r="E52" t="s">
        <v>140</v>
      </c>
      <c r="F52">
        <v>6575.9719999999998</v>
      </c>
      <c r="G52">
        <v>9687.9789999999994</v>
      </c>
      <c r="H52">
        <v>11504.198999999999</v>
      </c>
      <c r="I52">
        <v>8040.201</v>
      </c>
      <c r="J52">
        <v>7831.6550000000007</v>
      </c>
      <c r="K52">
        <v>14364.494999999999</v>
      </c>
      <c r="L52">
        <v>14364.494999999997</v>
      </c>
      <c r="M52">
        <v>14364.494999999999</v>
      </c>
      <c r="N52">
        <v>14364.494999999999</v>
      </c>
      <c r="O52">
        <v>14364.494999999999</v>
      </c>
      <c r="P52">
        <v>14364.494999999999</v>
      </c>
      <c r="Q52">
        <v>14364.494999999999</v>
      </c>
      <c r="R52">
        <v>6478.1500000000015</v>
      </c>
      <c r="S52">
        <v>9890.1500000000015</v>
      </c>
      <c r="T52">
        <v>11610.250000000004</v>
      </c>
      <c r="U52">
        <v>8002.94</v>
      </c>
      <c r="V52">
        <v>7738.2400000000016</v>
      </c>
      <c r="W52">
        <v>9398.1299999999992</v>
      </c>
      <c r="X52">
        <v>0</v>
      </c>
      <c r="Y52">
        <v>0</v>
      </c>
      <c r="Z52">
        <v>0</v>
      </c>
      <c r="AA52">
        <v>0</v>
      </c>
      <c r="AB52">
        <v>0</v>
      </c>
      <c r="AC52" s="297">
        <v>0</v>
      </c>
      <c r="AD52">
        <f>SUMPRODUCT(DB_STProjectAcct[[#This Row],[Plan01]:[Plan12]],$F$14:$Q$14)/valUnits2</f>
        <v>58.004500999999991</v>
      </c>
      <c r="AE52">
        <f>SUMPRODUCT(DB_STProjectAcct[[#This Row],[Act01]:[Act12]],$R$14:$AC$14)/valUnits2</f>
        <v>53.117860000000007</v>
      </c>
      <c r="AF52">
        <f>DB_STProjectAcct[[#This Row],[Actual]]-DB_STProjectAcct[[#This Row],[Plan]]</f>
        <v>-4.8866409999999831</v>
      </c>
      <c r="AG52">
        <f>IF(DB_STProjectAcct[[#This Row],[Plan]]&lt;&gt;0,DB_STProjectAcct[[#This Row],[Actual]]/DB_STProjectAcct[[#This Row],[Plan]],1.000011000011)</f>
        <v>0.91575410673733781</v>
      </c>
    </row>
    <row r="53" spans="1:33" hidden="1" x14ac:dyDescent="0.2">
      <c r="A53" t="s">
        <v>1040</v>
      </c>
      <c r="B53" t="s">
        <v>342</v>
      </c>
      <c r="C53" t="s">
        <v>491</v>
      </c>
      <c r="D53" t="s">
        <v>958</v>
      </c>
      <c r="E53" t="s">
        <v>236</v>
      </c>
      <c r="F53">
        <v>52236.021999999997</v>
      </c>
      <c r="G53">
        <v>16627.968000000001</v>
      </c>
      <c r="H53">
        <v>55278.760999999999</v>
      </c>
      <c r="K53">
        <v>0</v>
      </c>
      <c r="R53">
        <v>68203.89</v>
      </c>
      <c r="S53">
        <v>17051.810000000001</v>
      </c>
      <c r="T53">
        <v>55779.179999999993</v>
      </c>
      <c r="W53">
        <v>5235.3400000000047</v>
      </c>
      <c r="AC53" s="295"/>
      <c r="AD53">
        <f>SUMPRODUCT(DB_STProjectAcct[[#This Row],[Plan01]:[Plan12]],$F$14:$Q$14)/valUnits2</f>
        <v>124.14275099999999</v>
      </c>
      <c r="AE53">
        <f>SUMPRODUCT(DB_STProjectAcct[[#This Row],[Act01]:[Act12]],$R$14:$AC$14)/valUnits2</f>
        <v>146.27021999999999</v>
      </c>
      <c r="AF53">
        <f>DB_STProjectAcct[[#This Row],[Actual]]-DB_STProjectAcct[[#This Row],[Plan]]</f>
        <v>22.127469000000005</v>
      </c>
      <c r="AG53">
        <f>IF(DB_STProjectAcct[[#This Row],[Plan]]&lt;&gt;0,DB_STProjectAcct[[#This Row],[Actual]]/DB_STProjectAcct[[#This Row],[Plan]],1.000011000011)</f>
        <v>1.1782421351368313</v>
      </c>
    </row>
    <row r="54" spans="1:33" hidden="1" x14ac:dyDescent="0.2">
      <c r="A54" t="s">
        <v>1041</v>
      </c>
      <c r="B54" t="s">
        <v>342</v>
      </c>
      <c r="C54" t="s">
        <v>491</v>
      </c>
      <c r="D54" t="s">
        <v>958</v>
      </c>
      <c r="E54" t="s">
        <v>237</v>
      </c>
      <c r="F54">
        <v>-172148.28</v>
      </c>
      <c r="H54">
        <v>292.452</v>
      </c>
      <c r="K54">
        <v>0</v>
      </c>
      <c r="R54">
        <v>-166886.32</v>
      </c>
      <c r="T54">
        <v>297.29000000000002</v>
      </c>
      <c r="W54">
        <v>228.18999999999818</v>
      </c>
      <c r="AC54" s="297"/>
      <c r="AD54">
        <f>SUMPRODUCT(DB_STProjectAcct[[#This Row],[Plan01]:[Plan12]],$F$14:$Q$14)/valUnits2</f>
        <v>-171.855828</v>
      </c>
      <c r="AE54">
        <f>SUMPRODUCT(DB_STProjectAcct[[#This Row],[Act01]:[Act12]],$R$14:$AC$14)/valUnits2</f>
        <v>-166.36084</v>
      </c>
      <c r="AF54">
        <f>DB_STProjectAcct[[#This Row],[Actual]]-DB_STProjectAcct[[#This Row],[Plan]]</f>
        <v>5.4949880000000064</v>
      </c>
      <c r="AG54">
        <f>IF(DB_STProjectAcct[[#This Row],[Plan]]&lt;&gt;0,DB_STProjectAcct[[#This Row],[Actual]]/DB_STProjectAcct[[#This Row],[Plan]],1.000011000011)</f>
        <v>0.96802559410437916</v>
      </c>
    </row>
    <row r="55" spans="1:33" hidden="1" x14ac:dyDescent="0.2">
      <c r="A55" t="s">
        <v>1042</v>
      </c>
      <c r="B55" t="s">
        <v>342</v>
      </c>
      <c r="C55" t="s">
        <v>491</v>
      </c>
      <c r="D55" t="s">
        <v>958</v>
      </c>
      <c r="E55" t="s">
        <v>141</v>
      </c>
      <c r="F55">
        <v>94.411999999999978</v>
      </c>
      <c r="G55">
        <v>160.12700000000001</v>
      </c>
      <c r="H55">
        <v>253.78800000000001</v>
      </c>
      <c r="I55">
        <v>1.3160000000000001</v>
      </c>
      <c r="J55">
        <v>2026.575</v>
      </c>
      <c r="K55">
        <v>3512.0720000000006</v>
      </c>
      <c r="L55">
        <v>3512.0720000000001</v>
      </c>
      <c r="M55">
        <v>3512.0720000000001</v>
      </c>
      <c r="N55">
        <v>3512.0720000000001</v>
      </c>
      <c r="O55">
        <v>3512.0719999999997</v>
      </c>
      <c r="P55">
        <v>3512.0719999999997</v>
      </c>
      <c r="Q55">
        <v>3512.0720000000001</v>
      </c>
      <c r="R55">
        <v>92.269999999999982</v>
      </c>
      <c r="S55">
        <v>164.27</v>
      </c>
      <c r="T55">
        <v>258.78999999999996</v>
      </c>
      <c r="U55">
        <v>1.29</v>
      </c>
      <c r="V55">
        <v>2010</v>
      </c>
      <c r="W55">
        <v>559.63</v>
      </c>
      <c r="X55">
        <v>0</v>
      </c>
      <c r="Y55">
        <v>0</v>
      </c>
      <c r="Z55">
        <v>0</v>
      </c>
      <c r="AA55">
        <v>0</v>
      </c>
      <c r="AB55">
        <v>0</v>
      </c>
      <c r="AC55" s="295">
        <v>0</v>
      </c>
      <c r="AD55">
        <f>SUMPRODUCT(DB_STProjectAcct[[#This Row],[Plan01]:[Plan12]],$F$14:$Q$14)/valUnits2</f>
        <v>6.0482900000000006</v>
      </c>
      <c r="AE55">
        <f>SUMPRODUCT(DB_STProjectAcct[[#This Row],[Act01]:[Act12]],$R$14:$AC$14)/valUnits2</f>
        <v>3.0862500000000002</v>
      </c>
      <c r="AF55">
        <f>DB_STProjectAcct[[#This Row],[Actual]]-DB_STProjectAcct[[#This Row],[Plan]]</f>
        <v>-2.9620400000000005</v>
      </c>
      <c r="AG55">
        <f>IF(DB_STProjectAcct[[#This Row],[Plan]]&lt;&gt;0,DB_STProjectAcct[[#This Row],[Actual]]/DB_STProjectAcct[[#This Row],[Plan]],1.000011000011)</f>
        <v>0.51026819150536762</v>
      </c>
    </row>
    <row r="56" spans="1:33" hidden="1" x14ac:dyDescent="0.2">
      <c r="A56" t="s">
        <v>1043</v>
      </c>
      <c r="B56" t="s">
        <v>342</v>
      </c>
      <c r="C56" t="s">
        <v>491</v>
      </c>
      <c r="D56" t="s">
        <v>988</v>
      </c>
      <c r="E56" t="s">
        <v>143</v>
      </c>
      <c r="F56">
        <v>0</v>
      </c>
      <c r="G56">
        <v>0</v>
      </c>
      <c r="H56">
        <v>0</v>
      </c>
      <c r="I56">
        <v>65.245000000000005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65.540000000000006</v>
      </c>
      <c r="V56">
        <v>23.23</v>
      </c>
      <c r="W56">
        <v>-53.65</v>
      </c>
      <c r="X56">
        <v>0</v>
      </c>
      <c r="Y56">
        <v>0</v>
      </c>
      <c r="Z56">
        <v>0</v>
      </c>
      <c r="AA56">
        <v>0</v>
      </c>
      <c r="AB56">
        <v>0</v>
      </c>
      <c r="AC56" s="297">
        <v>0</v>
      </c>
      <c r="AD56">
        <f>SUMPRODUCT(DB_STProjectAcct[[#This Row],[Plan01]:[Plan12]],$F$14:$Q$14)/valUnits2</f>
        <v>6.5245000000000011E-2</v>
      </c>
      <c r="AE56">
        <f>SUMPRODUCT(DB_STProjectAcct[[#This Row],[Act01]:[Act12]],$R$14:$AC$14)/valUnits2</f>
        <v>3.5120000000000012E-2</v>
      </c>
      <c r="AF56">
        <f>DB_STProjectAcct[[#This Row],[Actual]]-DB_STProjectAcct[[#This Row],[Plan]]</f>
        <v>-3.0124999999999999E-2</v>
      </c>
      <c r="AG56">
        <f>IF(DB_STProjectAcct[[#This Row],[Plan]]&lt;&gt;0,DB_STProjectAcct[[#This Row],[Actual]]/DB_STProjectAcct[[#This Row],[Plan]],1.000011000011)</f>
        <v>0.53827879530998557</v>
      </c>
    </row>
    <row r="57" spans="1:33" hidden="1" x14ac:dyDescent="0.2">
      <c r="A57" t="s">
        <v>1044</v>
      </c>
      <c r="B57" t="s">
        <v>342</v>
      </c>
      <c r="C57" t="s">
        <v>491</v>
      </c>
      <c r="D57" t="s">
        <v>988</v>
      </c>
      <c r="E57" t="s">
        <v>235</v>
      </c>
      <c r="F57">
        <v>-12.531000000000001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-12.53</v>
      </c>
      <c r="S57">
        <v>0</v>
      </c>
      <c r="T57">
        <v>0</v>
      </c>
      <c r="U57">
        <v>0</v>
      </c>
      <c r="V57">
        <v>0</v>
      </c>
      <c r="W57">
        <v>957.03000000000009</v>
      </c>
      <c r="X57">
        <v>0</v>
      </c>
      <c r="Y57">
        <v>0</v>
      </c>
      <c r="Z57">
        <v>0</v>
      </c>
      <c r="AA57">
        <v>0</v>
      </c>
      <c r="AB57">
        <v>0</v>
      </c>
      <c r="AC57" s="295">
        <v>0</v>
      </c>
      <c r="AD57">
        <f>SUMPRODUCT(DB_STProjectAcct[[#This Row],[Plan01]:[Plan12]],$F$14:$Q$14)/valUnits2</f>
        <v>-1.2531E-2</v>
      </c>
      <c r="AE57">
        <f>SUMPRODUCT(DB_STProjectAcct[[#This Row],[Act01]:[Act12]],$R$14:$AC$14)/valUnits2</f>
        <v>0.94450000000000012</v>
      </c>
      <c r="AF57">
        <f>DB_STProjectAcct[[#This Row],[Actual]]-DB_STProjectAcct[[#This Row],[Plan]]</f>
        <v>0.95703100000000008</v>
      </c>
      <c r="AG57">
        <f>IF(DB_STProjectAcct[[#This Row],[Plan]]&lt;&gt;0,DB_STProjectAcct[[#This Row],[Actual]]/DB_STProjectAcct[[#This Row],[Plan]],1.000011000011)</f>
        <v>-75.3730747745591</v>
      </c>
    </row>
    <row r="58" spans="1:33" hidden="1" x14ac:dyDescent="0.2">
      <c r="A58" t="s">
        <v>1045</v>
      </c>
      <c r="B58" t="s">
        <v>342</v>
      </c>
      <c r="C58" t="s">
        <v>491</v>
      </c>
      <c r="D58" t="s">
        <v>988</v>
      </c>
      <c r="E58" t="s">
        <v>144</v>
      </c>
      <c r="AC58" s="297"/>
      <c r="AD58">
        <f>SUMPRODUCT(DB_STProjectAcct[[#This Row],[Plan01]:[Plan12]],$F$14:$Q$14)/valUnits2</f>
        <v>0</v>
      </c>
      <c r="AE58">
        <f>SUMPRODUCT(DB_STProjectAcct[[#This Row],[Act01]:[Act12]],$R$14:$AC$14)/valUnits2</f>
        <v>0</v>
      </c>
      <c r="AF58">
        <f>DB_STProjectAcct[[#This Row],[Actual]]-DB_STProjectAcct[[#This Row],[Plan]]</f>
        <v>0</v>
      </c>
      <c r="AG58">
        <f>IF(DB_STProjectAcct[[#This Row],[Plan]]&lt;&gt;0,DB_STProjectAcct[[#This Row],[Actual]]/DB_STProjectAcct[[#This Row],[Plan]],1.000011000011)</f>
        <v>1.0000110000110001</v>
      </c>
    </row>
    <row r="59" spans="1:33" hidden="1" x14ac:dyDescent="0.2">
      <c r="A59" t="s">
        <v>1046</v>
      </c>
      <c r="B59" t="s">
        <v>342</v>
      </c>
      <c r="C59" t="s">
        <v>491</v>
      </c>
      <c r="D59" t="s">
        <v>988</v>
      </c>
      <c r="E59" t="s">
        <v>142</v>
      </c>
      <c r="F59">
        <v>41098.535000000025</v>
      </c>
      <c r="G59">
        <v>139623.39799999999</v>
      </c>
      <c r="H59">
        <v>266675.55599999987</v>
      </c>
      <c r="I59">
        <v>434265.71899999981</v>
      </c>
      <c r="J59">
        <v>209839.59599999999</v>
      </c>
      <c r="K59">
        <v>165420.38500000007</v>
      </c>
      <c r="L59">
        <v>205164.81599999993</v>
      </c>
      <c r="M59">
        <v>175734.05199999994</v>
      </c>
      <c r="N59">
        <v>177542.42299999998</v>
      </c>
      <c r="O59">
        <v>175909.23299999992</v>
      </c>
      <c r="P59">
        <v>189389.48299999995</v>
      </c>
      <c r="Q59">
        <v>159633.02700000009</v>
      </c>
      <c r="R59">
        <v>38125.419999999991</v>
      </c>
      <c r="S59">
        <v>142764.62000000002</v>
      </c>
      <c r="T59">
        <v>259791.5799999999</v>
      </c>
      <c r="U59">
        <v>426824.97000000003</v>
      </c>
      <c r="V59">
        <v>199178.97999999992</v>
      </c>
      <c r="W59">
        <v>38857.49000000002</v>
      </c>
      <c r="X59">
        <v>53578.559999999998</v>
      </c>
      <c r="Y59">
        <v>0</v>
      </c>
      <c r="Z59">
        <v>0</v>
      </c>
      <c r="AA59">
        <v>0</v>
      </c>
      <c r="AB59">
        <v>0</v>
      </c>
      <c r="AC59" s="295">
        <v>0</v>
      </c>
      <c r="AD59">
        <f>SUMPRODUCT(DB_STProjectAcct[[#This Row],[Plan01]:[Plan12]],$F$14:$Q$14)/valUnits2</f>
        <v>1256.9231889999996</v>
      </c>
      <c r="AE59">
        <f>SUMPRODUCT(DB_STProjectAcct[[#This Row],[Act01]:[Act12]],$R$14:$AC$14)/valUnits2</f>
        <v>1105.5430599999997</v>
      </c>
      <c r="AF59">
        <f>DB_STProjectAcct[[#This Row],[Actual]]-DB_STProjectAcct[[#This Row],[Plan]]</f>
        <v>-151.3801289999999</v>
      </c>
      <c r="AG59">
        <f>IF(DB_STProjectAcct[[#This Row],[Plan]]&lt;&gt;0,DB_STProjectAcct[[#This Row],[Actual]]/DB_STProjectAcct[[#This Row],[Plan]],1.000011000011)</f>
        <v>0.87956294360323084</v>
      </c>
    </row>
    <row r="60" spans="1:33" hidden="1" x14ac:dyDescent="0.2">
      <c r="A60" t="s">
        <v>1047</v>
      </c>
      <c r="B60" t="s">
        <v>342</v>
      </c>
      <c r="C60" t="s">
        <v>491</v>
      </c>
      <c r="D60" t="s">
        <v>988</v>
      </c>
      <c r="E60" t="s">
        <v>140</v>
      </c>
      <c r="F60">
        <v>7590.7910000000011</v>
      </c>
      <c r="G60">
        <v>15158.937999999998</v>
      </c>
      <c r="H60">
        <v>11766.142999999995</v>
      </c>
      <c r="I60">
        <v>15824.126999999999</v>
      </c>
      <c r="J60">
        <v>17892.609</v>
      </c>
      <c r="K60">
        <v>20785.675000000007</v>
      </c>
      <c r="L60">
        <v>20749.402000000006</v>
      </c>
      <c r="M60">
        <v>20628.612000000008</v>
      </c>
      <c r="N60">
        <v>20628.612000000008</v>
      </c>
      <c r="O60">
        <v>14183.636999999997</v>
      </c>
      <c r="P60">
        <v>14183.636999999999</v>
      </c>
      <c r="Q60">
        <v>14183.636999999997</v>
      </c>
      <c r="R60">
        <v>7242.9599999999982</v>
      </c>
      <c r="S60">
        <v>15073.109999999997</v>
      </c>
      <c r="T60">
        <v>11545.419999999998</v>
      </c>
      <c r="U60">
        <v>15468.359999999999</v>
      </c>
      <c r="V60">
        <v>16862.550000000007</v>
      </c>
      <c r="W60">
        <v>15783.48</v>
      </c>
      <c r="X60">
        <v>757</v>
      </c>
      <c r="Y60">
        <v>0</v>
      </c>
      <c r="Z60">
        <v>0</v>
      </c>
      <c r="AA60">
        <v>0</v>
      </c>
      <c r="AB60">
        <v>0</v>
      </c>
      <c r="AC60" s="297">
        <v>0</v>
      </c>
      <c r="AD60">
        <f>SUMPRODUCT(DB_STProjectAcct[[#This Row],[Plan01]:[Plan12]],$F$14:$Q$14)/valUnits2</f>
        <v>89.018282999999997</v>
      </c>
      <c r="AE60">
        <f>SUMPRODUCT(DB_STProjectAcct[[#This Row],[Act01]:[Act12]],$R$14:$AC$14)/valUnits2</f>
        <v>81.975879999999989</v>
      </c>
      <c r="AF60">
        <f>DB_STProjectAcct[[#This Row],[Actual]]-DB_STProjectAcct[[#This Row],[Plan]]</f>
        <v>-7.0424030000000073</v>
      </c>
      <c r="AG60">
        <f>IF(DB_STProjectAcct[[#This Row],[Plan]]&lt;&gt;0,DB_STProjectAcct[[#This Row],[Actual]]/DB_STProjectAcct[[#This Row],[Plan]],1.000011000011)</f>
        <v>0.92088812811633303</v>
      </c>
    </row>
    <row r="61" spans="1:33" hidden="1" x14ac:dyDescent="0.2">
      <c r="A61" t="s">
        <v>1048</v>
      </c>
      <c r="B61" t="s">
        <v>342</v>
      </c>
      <c r="C61" t="s">
        <v>491</v>
      </c>
      <c r="D61" t="s">
        <v>988</v>
      </c>
      <c r="E61" t="s">
        <v>236</v>
      </c>
      <c r="F61">
        <v>11134.260999999999</v>
      </c>
      <c r="G61">
        <v>0</v>
      </c>
      <c r="H61">
        <v>7048.3389999999999</v>
      </c>
      <c r="I61">
        <v>453.08600000000001</v>
      </c>
      <c r="J61">
        <v>4354.07</v>
      </c>
      <c r="K61">
        <v>214.041</v>
      </c>
      <c r="L61">
        <v>2498.5309999999999</v>
      </c>
      <c r="M61">
        <v>214.041</v>
      </c>
      <c r="N61">
        <v>214.041</v>
      </c>
      <c r="O61">
        <v>214.041</v>
      </c>
      <c r="P61">
        <v>2498.5309999999999</v>
      </c>
      <c r="Q61">
        <v>214.041</v>
      </c>
      <c r="R61">
        <v>11355.37</v>
      </c>
      <c r="S61">
        <v>0</v>
      </c>
      <c r="T61">
        <v>7118.51</v>
      </c>
      <c r="U61">
        <v>451.56</v>
      </c>
      <c r="V61">
        <v>4365.2</v>
      </c>
      <c r="W61">
        <v>6309.2</v>
      </c>
      <c r="X61">
        <v>0</v>
      </c>
      <c r="Y61">
        <v>0</v>
      </c>
      <c r="Z61">
        <v>0</v>
      </c>
      <c r="AA61">
        <v>0</v>
      </c>
      <c r="AB61">
        <v>0</v>
      </c>
      <c r="AC61" s="295">
        <v>0</v>
      </c>
      <c r="AD61">
        <f>SUMPRODUCT(DB_STProjectAcct[[#This Row],[Plan01]:[Plan12]],$F$14:$Q$14)/valUnits2</f>
        <v>23.203796999999998</v>
      </c>
      <c r="AE61">
        <f>SUMPRODUCT(DB_STProjectAcct[[#This Row],[Act01]:[Act12]],$R$14:$AC$14)/valUnits2</f>
        <v>29.599840000000004</v>
      </c>
      <c r="AF61">
        <f>DB_STProjectAcct[[#This Row],[Actual]]-DB_STProjectAcct[[#This Row],[Plan]]</f>
        <v>6.3960430000000059</v>
      </c>
      <c r="AG61">
        <f>IF(DB_STProjectAcct[[#This Row],[Plan]]&lt;&gt;0,DB_STProjectAcct[[#This Row],[Actual]]/DB_STProjectAcct[[#This Row],[Plan]],1.000011000011)</f>
        <v>1.2756463952860821</v>
      </c>
    </row>
    <row r="62" spans="1:33" hidden="1" x14ac:dyDescent="0.2">
      <c r="A62" t="s">
        <v>1049</v>
      </c>
      <c r="B62" t="s">
        <v>342</v>
      </c>
      <c r="C62" t="s">
        <v>491</v>
      </c>
      <c r="D62" t="s">
        <v>988</v>
      </c>
      <c r="E62" t="s">
        <v>237</v>
      </c>
      <c r="F62">
        <v>6339.646999999999</v>
      </c>
      <c r="G62">
        <v>6852.6080000000011</v>
      </c>
      <c r="H62">
        <v>7118.8809999999994</v>
      </c>
      <c r="I62">
        <v>15260.083999999999</v>
      </c>
      <c r="J62">
        <v>11778.388999999997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6248.41</v>
      </c>
      <c r="S62">
        <v>7021.1600000000008</v>
      </c>
      <c r="T62">
        <v>7085.380000000001</v>
      </c>
      <c r="U62">
        <v>15104.459999999997</v>
      </c>
      <c r="V62">
        <v>11827.339999999998</v>
      </c>
      <c r="W62">
        <v>5356.8200000000006</v>
      </c>
      <c r="X62">
        <v>0</v>
      </c>
      <c r="Y62">
        <v>0</v>
      </c>
      <c r="Z62">
        <v>0</v>
      </c>
      <c r="AA62">
        <v>0</v>
      </c>
      <c r="AB62">
        <v>0</v>
      </c>
      <c r="AC62" s="297">
        <v>0</v>
      </c>
      <c r="AD62">
        <f>SUMPRODUCT(DB_STProjectAcct[[#This Row],[Plan01]:[Plan12]],$F$14:$Q$14)/valUnits2</f>
        <v>47.349608999999994</v>
      </c>
      <c r="AE62">
        <f>SUMPRODUCT(DB_STProjectAcct[[#This Row],[Act01]:[Act12]],$R$14:$AC$14)/valUnits2</f>
        <v>52.64356999999999</v>
      </c>
      <c r="AF62">
        <f>DB_STProjectAcct[[#This Row],[Actual]]-DB_STProjectAcct[[#This Row],[Plan]]</f>
        <v>5.2939609999999959</v>
      </c>
      <c r="AG62">
        <f>IF(DB_STProjectAcct[[#This Row],[Plan]]&lt;&gt;0,DB_STProjectAcct[[#This Row],[Actual]]/DB_STProjectAcct[[#This Row],[Plan]],1.000011000011)</f>
        <v>1.1118058018177086</v>
      </c>
    </row>
    <row r="63" spans="1:33" hidden="1" x14ac:dyDescent="0.2">
      <c r="A63" t="s">
        <v>1050</v>
      </c>
      <c r="B63" t="s">
        <v>342</v>
      </c>
      <c r="C63" t="s">
        <v>491</v>
      </c>
      <c r="D63" t="s">
        <v>988</v>
      </c>
      <c r="E63" t="s">
        <v>141</v>
      </c>
      <c r="F63">
        <v>3930.3440000000001</v>
      </c>
      <c r="G63">
        <v>3745.8010000000004</v>
      </c>
      <c r="H63">
        <v>4603.2550000000001</v>
      </c>
      <c r="I63">
        <v>2398.7070000000003</v>
      </c>
      <c r="J63">
        <v>6760.416000000002</v>
      </c>
      <c r="K63">
        <v>17170.562000000002</v>
      </c>
      <c r="L63">
        <v>16621.647000000001</v>
      </c>
      <c r="M63">
        <v>16621.647000000001</v>
      </c>
      <c r="N63">
        <v>17282.732000000004</v>
      </c>
      <c r="O63">
        <v>15839.848</v>
      </c>
      <c r="P63">
        <v>33141.688000000002</v>
      </c>
      <c r="Q63">
        <v>15839.847999999998</v>
      </c>
      <c r="R63">
        <v>2530.17</v>
      </c>
      <c r="S63">
        <v>2449.13</v>
      </c>
      <c r="T63">
        <v>3255.27</v>
      </c>
      <c r="U63">
        <v>1099.3699999999997</v>
      </c>
      <c r="V63">
        <v>5485.829999999999</v>
      </c>
      <c r="W63">
        <v>5954.7199999999966</v>
      </c>
      <c r="X63">
        <v>0</v>
      </c>
      <c r="Y63">
        <v>0</v>
      </c>
      <c r="Z63">
        <v>0</v>
      </c>
      <c r="AA63">
        <v>0</v>
      </c>
      <c r="AB63">
        <v>0</v>
      </c>
      <c r="AC63" s="295">
        <v>0</v>
      </c>
      <c r="AD63">
        <f>SUMPRODUCT(DB_STProjectAcct[[#This Row],[Plan01]:[Plan12]],$F$14:$Q$14)/valUnits2</f>
        <v>38.609085000000007</v>
      </c>
      <c r="AE63">
        <f>SUMPRODUCT(DB_STProjectAcct[[#This Row],[Act01]:[Act12]],$R$14:$AC$14)/valUnits2</f>
        <v>20.774489999999993</v>
      </c>
      <c r="AF63">
        <f>DB_STProjectAcct[[#This Row],[Actual]]-DB_STProjectAcct[[#This Row],[Plan]]</f>
        <v>-17.834595000000014</v>
      </c>
      <c r="AG63">
        <f>IF(DB_STProjectAcct[[#This Row],[Plan]]&lt;&gt;0,DB_STProjectAcct[[#This Row],[Actual]]/DB_STProjectAcct[[#This Row],[Plan]],1.000011000011)</f>
        <v>0.53807258058563134</v>
      </c>
    </row>
    <row r="64" spans="1:33" hidden="1" x14ac:dyDescent="0.2">
      <c r="A64" t="s">
        <v>1051</v>
      </c>
      <c r="B64" t="s">
        <v>342</v>
      </c>
      <c r="C64" t="s">
        <v>492</v>
      </c>
      <c r="D64" t="s">
        <v>982</v>
      </c>
      <c r="E64" t="s">
        <v>143</v>
      </c>
      <c r="F64">
        <v>840.68</v>
      </c>
      <c r="G64">
        <v>671.45400000000006</v>
      </c>
      <c r="H64">
        <v>338.98299999999995</v>
      </c>
      <c r="I64">
        <v>653.59999999999991</v>
      </c>
      <c r="J64">
        <v>526.29</v>
      </c>
      <c r="K64">
        <v>281.25</v>
      </c>
      <c r="L64">
        <v>281.25</v>
      </c>
      <c r="M64">
        <v>562.5</v>
      </c>
      <c r="N64">
        <v>281.25</v>
      </c>
      <c r="O64">
        <v>281.25</v>
      </c>
      <c r="P64">
        <v>281.25</v>
      </c>
      <c r="Q64">
        <v>281.25</v>
      </c>
      <c r="R64">
        <v>666.75</v>
      </c>
      <c r="S64">
        <v>589.82999999999993</v>
      </c>
      <c r="T64">
        <v>341.15</v>
      </c>
      <c r="U64">
        <v>681.34</v>
      </c>
      <c r="V64">
        <v>480.53000000000009</v>
      </c>
      <c r="W64">
        <v>585.63000000000011</v>
      </c>
      <c r="X64">
        <v>0</v>
      </c>
      <c r="Y64">
        <v>0</v>
      </c>
      <c r="Z64">
        <v>0</v>
      </c>
      <c r="AA64">
        <v>0</v>
      </c>
      <c r="AB64">
        <v>0</v>
      </c>
      <c r="AC64" s="297">
        <v>0</v>
      </c>
      <c r="AD64">
        <f>SUMPRODUCT(DB_STProjectAcct[[#This Row],[Plan01]:[Plan12]],$F$14:$Q$14)/valUnits2</f>
        <v>3.3122569999999998</v>
      </c>
      <c r="AE64">
        <f>SUMPRODUCT(DB_STProjectAcct[[#This Row],[Act01]:[Act12]],$R$14:$AC$14)/valUnits2</f>
        <v>3.3452300000000004</v>
      </c>
      <c r="AF64">
        <f>DB_STProjectAcct[[#This Row],[Actual]]-DB_STProjectAcct[[#This Row],[Plan]]</f>
        <v>3.2973000000000585E-2</v>
      </c>
      <c r="AG64">
        <f>IF(DB_STProjectAcct[[#This Row],[Plan]]&lt;&gt;0,DB_STProjectAcct[[#This Row],[Actual]]/DB_STProjectAcct[[#This Row],[Plan]],1.000011000011)</f>
        <v>1.0099548434798389</v>
      </c>
    </row>
    <row r="65" spans="1:33" hidden="1" x14ac:dyDescent="0.2">
      <c r="A65" t="s">
        <v>1052</v>
      </c>
      <c r="B65" t="s">
        <v>342</v>
      </c>
      <c r="C65" t="s">
        <v>492</v>
      </c>
      <c r="D65" t="s">
        <v>982</v>
      </c>
      <c r="E65" t="s">
        <v>235</v>
      </c>
      <c r="F65">
        <v>1112.4270000000001</v>
      </c>
      <c r="G65">
        <v>1163.4960000000001</v>
      </c>
      <c r="H65">
        <v>1782.9599999999998</v>
      </c>
      <c r="I65">
        <v>2347.2249999999995</v>
      </c>
      <c r="J65">
        <v>1527.7699999999998</v>
      </c>
      <c r="K65">
        <v>250</v>
      </c>
      <c r="L65">
        <v>250</v>
      </c>
      <c r="M65">
        <v>500</v>
      </c>
      <c r="N65">
        <v>250</v>
      </c>
      <c r="O65">
        <v>250</v>
      </c>
      <c r="P65">
        <v>250</v>
      </c>
      <c r="Q65">
        <v>250</v>
      </c>
      <c r="R65">
        <v>1296.72</v>
      </c>
      <c r="S65">
        <v>1245.3499999999999</v>
      </c>
      <c r="T65">
        <v>1782.9600000000003</v>
      </c>
      <c r="U65">
        <v>2371.69</v>
      </c>
      <c r="V65">
        <v>1633.8500000000001</v>
      </c>
      <c r="W65">
        <v>2971.5000000000005</v>
      </c>
      <c r="X65">
        <v>0</v>
      </c>
      <c r="Y65">
        <v>0</v>
      </c>
      <c r="Z65">
        <v>0</v>
      </c>
      <c r="AA65">
        <v>0</v>
      </c>
      <c r="AB65">
        <v>0</v>
      </c>
      <c r="AC65" s="295">
        <v>0</v>
      </c>
      <c r="AD65">
        <f>SUMPRODUCT(DB_STProjectAcct[[#This Row],[Plan01]:[Plan12]],$F$14:$Q$14)/valUnits2</f>
        <v>8.1838779999999982</v>
      </c>
      <c r="AE65">
        <f>SUMPRODUCT(DB_STProjectAcct[[#This Row],[Act01]:[Act12]],$R$14:$AC$14)/valUnits2</f>
        <v>11.302070000000001</v>
      </c>
      <c r="AF65">
        <f>DB_STProjectAcct[[#This Row],[Actual]]-DB_STProjectAcct[[#This Row],[Plan]]</f>
        <v>3.1181920000000023</v>
      </c>
      <c r="AG65">
        <f>IF(DB_STProjectAcct[[#This Row],[Plan]]&lt;&gt;0,DB_STProjectAcct[[#This Row],[Actual]]/DB_STProjectAcct[[#This Row],[Plan]],1.000011000011)</f>
        <v>1.381016432551903</v>
      </c>
    </row>
    <row r="66" spans="1:33" hidden="1" x14ac:dyDescent="0.2">
      <c r="A66" t="s">
        <v>1053</v>
      </c>
      <c r="B66" t="s">
        <v>342</v>
      </c>
      <c r="C66" t="s">
        <v>492</v>
      </c>
      <c r="D66" t="s">
        <v>982</v>
      </c>
      <c r="E66" t="s">
        <v>144</v>
      </c>
      <c r="AC66" s="297"/>
      <c r="AD66">
        <f>SUMPRODUCT(DB_STProjectAcct[[#This Row],[Plan01]:[Plan12]],$F$14:$Q$14)/valUnits2</f>
        <v>0</v>
      </c>
      <c r="AE66">
        <f>SUMPRODUCT(DB_STProjectAcct[[#This Row],[Act01]:[Act12]],$R$14:$AC$14)/valUnits2</f>
        <v>0</v>
      </c>
      <c r="AF66">
        <f>DB_STProjectAcct[[#This Row],[Actual]]-DB_STProjectAcct[[#This Row],[Plan]]</f>
        <v>0</v>
      </c>
      <c r="AG66">
        <f>IF(DB_STProjectAcct[[#This Row],[Plan]]&lt;&gt;0,DB_STProjectAcct[[#This Row],[Actual]]/DB_STProjectAcct[[#This Row],[Plan]],1.000011000011)</f>
        <v>1.0000110000110001</v>
      </c>
    </row>
    <row r="67" spans="1:33" hidden="1" x14ac:dyDescent="0.2">
      <c r="A67" t="s">
        <v>1054</v>
      </c>
      <c r="B67" t="s">
        <v>342</v>
      </c>
      <c r="C67" t="s">
        <v>492</v>
      </c>
      <c r="D67" t="s">
        <v>982</v>
      </c>
      <c r="E67" t="s">
        <v>142</v>
      </c>
      <c r="F67">
        <v>366808.47899999999</v>
      </c>
      <c r="G67">
        <v>34427.856999999996</v>
      </c>
      <c r="H67">
        <v>49900.326000000001</v>
      </c>
      <c r="I67">
        <v>65693.056999999986</v>
      </c>
      <c r="J67">
        <v>258549.12999999995</v>
      </c>
      <c r="K67">
        <v>283869.00199999998</v>
      </c>
      <c r="L67">
        <v>193991.283</v>
      </c>
      <c r="M67">
        <v>178257.24800000002</v>
      </c>
      <c r="N67">
        <v>210781.23499999993</v>
      </c>
      <c r="O67">
        <v>193455.01799999995</v>
      </c>
      <c r="P67">
        <v>177100.45900000003</v>
      </c>
      <c r="Q67">
        <v>176165.32399999999</v>
      </c>
      <c r="R67">
        <v>366808.62000000011</v>
      </c>
      <c r="S67">
        <v>34473.889999999985</v>
      </c>
      <c r="T67">
        <v>40911.959999999977</v>
      </c>
      <c r="U67">
        <v>57003.169999999984</v>
      </c>
      <c r="V67">
        <v>249859.23999999993</v>
      </c>
      <c r="W67">
        <v>148009.06</v>
      </c>
      <c r="X67">
        <v>0</v>
      </c>
      <c r="Y67">
        <v>0</v>
      </c>
      <c r="Z67">
        <v>0</v>
      </c>
      <c r="AA67">
        <v>0</v>
      </c>
      <c r="AB67">
        <v>0</v>
      </c>
      <c r="AC67" s="295">
        <v>0</v>
      </c>
      <c r="AD67">
        <f>SUMPRODUCT(DB_STProjectAcct[[#This Row],[Plan01]:[Plan12]],$F$14:$Q$14)/valUnits2</f>
        <v>1059.2478509999999</v>
      </c>
      <c r="AE67">
        <f>SUMPRODUCT(DB_STProjectAcct[[#This Row],[Act01]:[Act12]],$R$14:$AC$14)/valUnits2</f>
        <v>897.06593999999996</v>
      </c>
      <c r="AF67">
        <f>DB_STProjectAcct[[#This Row],[Actual]]-DB_STProjectAcct[[#This Row],[Plan]]</f>
        <v>-162.1819109999999</v>
      </c>
      <c r="AG67">
        <f>IF(DB_STProjectAcct[[#This Row],[Plan]]&lt;&gt;0,DB_STProjectAcct[[#This Row],[Actual]]/DB_STProjectAcct[[#This Row],[Plan]],1.000011000011)</f>
        <v>0.84688955389723997</v>
      </c>
    </row>
    <row r="68" spans="1:33" hidden="1" x14ac:dyDescent="0.2">
      <c r="A68" t="s">
        <v>1055</v>
      </c>
      <c r="B68" t="s">
        <v>342</v>
      </c>
      <c r="C68" t="s">
        <v>492</v>
      </c>
      <c r="D68" t="s">
        <v>982</v>
      </c>
      <c r="E68" t="s">
        <v>140</v>
      </c>
      <c r="F68">
        <v>47319.116999999998</v>
      </c>
      <c r="G68">
        <v>39136.157999999996</v>
      </c>
      <c r="H68">
        <v>34863.421999999999</v>
      </c>
      <c r="I68">
        <v>29790.774000000005</v>
      </c>
      <c r="J68">
        <v>58539.729999999996</v>
      </c>
      <c r="K68">
        <v>18625.325000000001</v>
      </c>
      <c r="L68">
        <v>18625.325000000001</v>
      </c>
      <c r="M68">
        <v>18625.325000000001</v>
      </c>
      <c r="N68">
        <v>18625.325000000001</v>
      </c>
      <c r="O68">
        <v>18625.325000000001</v>
      </c>
      <c r="P68">
        <v>18625.325000000001</v>
      </c>
      <c r="Q68">
        <v>18625.325000000001</v>
      </c>
      <c r="R68">
        <v>47324.670000000006</v>
      </c>
      <c r="S68">
        <v>39154.779999999992</v>
      </c>
      <c r="T68">
        <v>32160.17</v>
      </c>
      <c r="U68">
        <v>27086.6</v>
      </c>
      <c r="V68">
        <v>56063.46</v>
      </c>
      <c r="W68">
        <v>33554.449999999997</v>
      </c>
      <c r="X68">
        <v>0</v>
      </c>
      <c r="Y68">
        <v>0</v>
      </c>
      <c r="Z68">
        <v>0</v>
      </c>
      <c r="AA68">
        <v>0</v>
      </c>
      <c r="AB68">
        <v>0</v>
      </c>
      <c r="AC68" s="297">
        <v>0</v>
      </c>
      <c r="AD68">
        <f>SUMPRODUCT(DB_STProjectAcct[[#This Row],[Plan01]:[Plan12]],$F$14:$Q$14)/valUnits2</f>
        <v>228.27452600000001</v>
      </c>
      <c r="AE68">
        <f>SUMPRODUCT(DB_STProjectAcct[[#This Row],[Act01]:[Act12]],$R$14:$AC$14)/valUnits2</f>
        <v>235.34413000000001</v>
      </c>
      <c r="AF68">
        <f>DB_STProjectAcct[[#This Row],[Actual]]-DB_STProjectAcct[[#This Row],[Plan]]</f>
        <v>7.0696039999999982</v>
      </c>
      <c r="AG68">
        <f>IF(DB_STProjectAcct[[#This Row],[Plan]]&lt;&gt;0,DB_STProjectAcct[[#This Row],[Actual]]/DB_STProjectAcct[[#This Row],[Plan]],1.000011000011)</f>
        <v>1.030969745612351</v>
      </c>
    </row>
    <row r="69" spans="1:33" hidden="1" x14ac:dyDescent="0.2">
      <c r="A69" t="s">
        <v>1056</v>
      </c>
      <c r="B69" t="s">
        <v>342</v>
      </c>
      <c r="C69" t="s">
        <v>492</v>
      </c>
      <c r="D69" t="s">
        <v>982</v>
      </c>
      <c r="E69" t="s">
        <v>236</v>
      </c>
      <c r="F69">
        <v>4661.6630000000005</v>
      </c>
      <c r="G69">
        <v>4796.473</v>
      </c>
      <c r="H69">
        <v>6498.7930000000006</v>
      </c>
      <c r="I69">
        <v>6583.7429999999995</v>
      </c>
      <c r="J69">
        <v>16361.523000000001</v>
      </c>
      <c r="K69">
        <v>18047.5</v>
      </c>
      <c r="L69">
        <v>33047.5</v>
      </c>
      <c r="M69">
        <v>18501</v>
      </c>
      <c r="N69">
        <v>11100</v>
      </c>
      <c r="O69">
        <v>11100</v>
      </c>
      <c r="P69">
        <v>9100</v>
      </c>
      <c r="Q69">
        <v>9100</v>
      </c>
      <c r="R69">
        <v>1078.08</v>
      </c>
      <c r="S69">
        <v>1213.1399999999999</v>
      </c>
      <c r="T69">
        <v>2915.46</v>
      </c>
      <c r="U69">
        <v>3000.41</v>
      </c>
      <c r="V69">
        <v>12778.19</v>
      </c>
      <c r="W69">
        <v>8653.0299999999988</v>
      </c>
      <c r="X69">
        <v>0</v>
      </c>
      <c r="Y69">
        <v>0</v>
      </c>
      <c r="Z69">
        <v>0</v>
      </c>
      <c r="AA69">
        <v>0</v>
      </c>
      <c r="AB69">
        <v>0</v>
      </c>
      <c r="AC69" s="295">
        <v>0</v>
      </c>
      <c r="AD69">
        <f>SUMPRODUCT(DB_STProjectAcct[[#This Row],[Plan01]:[Plan12]],$F$14:$Q$14)/valUnits2</f>
        <v>56.949694999999998</v>
      </c>
      <c r="AE69">
        <f>SUMPRODUCT(DB_STProjectAcct[[#This Row],[Act01]:[Act12]],$R$14:$AC$14)/valUnits2</f>
        <v>29.638309999999997</v>
      </c>
      <c r="AF69">
        <f>DB_STProjectAcct[[#This Row],[Actual]]-DB_STProjectAcct[[#This Row],[Plan]]</f>
        <v>-27.311385000000001</v>
      </c>
      <c r="AG69">
        <f>IF(DB_STProjectAcct[[#This Row],[Plan]]&lt;&gt;0,DB_STProjectAcct[[#This Row],[Actual]]/DB_STProjectAcct[[#This Row],[Plan]],1.000011000011)</f>
        <v>0.52042965287171417</v>
      </c>
    </row>
    <row r="70" spans="1:33" hidden="1" x14ac:dyDescent="0.2">
      <c r="A70" t="s">
        <v>1057</v>
      </c>
      <c r="B70" t="s">
        <v>342</v>
      </c>
      <c r="C70" t="s">
        <v>492</v>
      </c>
      <c r="D70" t="s">
        <v>982</v>
      </c>
      <c r="E70" t="s">
        <v>237</v>
      </c>
      <c r="F70">
        <v>9860.9789999999994</v>
      </c>
      <c r="G70">
        <v>8248.7540000000008</v>
      </c>
      <c r="H70">
        <v>9215.5499999999993</v>
      </c>
      <c r="I70">
        <v>5602.98</v>
      </c>
      <c r="J70">
        <v>10174.549999999999</v>
      </c>
      <c r="K70">
        <v>0</v>
      </c>
      <c r="R70">
        <v>9926.2999999999993</v>
      </c>
      <c r="S70">
        <v>8243.43</v>
      </c>
      <c r="T70">
        <v>9215.5500000000011</v>
      </c>
      <c r="U70">
        <v>5602.98</v>
      </c>
      <c r="V70">
        <v>10174.550000000001</v>
      </c>
      <c r="W70">
        <v>16408.149999999998</v>
      </c>
      <c r="AC70" s="297"/>
      <c r="AD70">
        <f>SUMPRODUCT(DB_STProjectAcct[[#This Row],[Plan01]:[Plan12]],$F$14:$Q$14)/valUnits2</f>
        <v>43.102812999999998</v>
      </c>
      <c r="AE70">
        <f>SUMPRODUCT(DB_STProjectAcct[[#This Row],[Act01]:[Act12]],$R$14:$AC$14)/valUnits2</f>
        <v>59.570959999999992</v>
      </c>
      <c r="AF70">
        <f>DB_STProjectAcct[[#This Row],[Actual]]-DB_STProjectAcct[[#This Row],[Plan]]</f>
        <v>16.468146999999995</v>
      </c>
      <c r="AG70">
        <f>IF(DB_STProjectAcct[[#This Row],[Plan]]&lt;&gt;0,DB_STProjectAcct[[#This Row],[Actual]]/DB_STProjectAcct[[#This Row],[Plan]],1.000011000011)</f>
        <v>1.3820666414509883</v>
      </c>
    </row>
    <row r="71" spans="1:33" hidden="1" x14ac:dyDescent="0.2">
      <c r="A71" t="s">
        <v>1058</v>
      </c>
      <c r="B71" t="s">
        <v>342</v>
      </c>
      <c r="C71" t="s">
        <v>492</v>
      </c>
      <c r="D71" t="s">
        <v>982</v>
      </c>
      <c r="E71" t="s">
        <v>141</v>
      </c>
      <c r="F71">
        <v>10153.967999999999</v>
      </c>
      <c r="G71">
        <v>15354.535999999998</v>
      </c>
      <c r="H71">
        <v>6180.5360000000019</v>
      </c>
      <c r="I71">
        <v>8755.5490000000009</v>
      </c>
      <c r="J71">
        <v>5414.4350000000013</v>
      </c>
      <c r="K71">
        <v>4313.1489999999994</v>
      </c>
      <c r="L71">
        <v>3838.3739999999998</v>
      </c>
      <c r="M71">
        <v>5813.1490000000003</v>
      </c>
      <c r="N71">
        <v>3838.3739999999998</v>
      </c>
      <c r="O71">
        <v>4313.1490000000003</v>
      </c>
      <c r="P71">
        <v>3838.3740000000003</v>
      </c>
      <c r="Q71">
        <v>4312.3399999999992</v>
      </c>
      <c r="R71">
        <v>10159.740000000003</v>
      </c>
      <c r="S71">
        <v>15354.240000000003</v>
      </c>
      <c r="T71">
        <v>5820.6299999999983</v>
      </c>
      <c r="U71">
        <v>8399.5700000000033</v>
      </c>
      <c r="V71">
        <v>5060.2599999999993</v>
      </c>
      <c r="W71">
        <v>7883.4700000000021</v>
      </c>
      <c r="X71">
        <v>0</v>
      </c>
      <c r="Y71">
        <v>0</v>
      </c>
      <c r="Z71">
        <v>0</v>
      </c>
      <c r="AA71">
        <v>0</v>
      </c>
      <c r="AB71">
        <v>0</v>
      </c>
      <c r="AC71" s="295">
        <v>0</v>
      </c>
      <c r="AD71">
        <f>SUMPRODUCT(DB_STProjectAcct[[#This Row],[Plan01]:[Plan12]],$F$14:$Q$14)/valUnits2</f>
        <v>50.172173000000001</v>
      </c>
      <c r="AE71">
        <f>SUMPRODUCT(DB_STProjectAcct[[#This Row],[Act01]:[Act12]],$R$14:$AC$14)/valUnits2</f>
        <v>52.677910000000011</v>
      </c>
      <c r="AF71">
        <f>DB_STProjectAcct[[#This Row],[Actual]]-DB_STProjectAcct[[#This Row],[Plan]]</f>
        <v>2.5057370000000105</v>
      </c>
      <c r="AG71">
        <f>IF(DB_STProjectAcct[[#This Row],[Plan]]&lt;&gt;0,DB_STProjectAcct[[#This Row],[Actual]]/DB_STProjectAcct[[#This Row],[Plan]],1.000011000011)</f>
        <v>1.0499427640895684</v>
      </c>
    </row>
    <row r="72" spans="1:33" hidden="1" x14ac:dyDescent="0.2">
      <c r="A72" t="s">
        <v>1059</v>
      </c>
      <c r="B72" t="s">
        <v>342</v>
      </c>
      <c r="C72" t="s">
        <v>493</v>
      </c>
      <c r="D72" t="s">
        <v>972</v>
      </c>
      <c r="E72" t="s">
        <v>143</v>
      </c>
      <c r="AC72" s="297"/>
      <c r="AD72">
        <f>SUMPRODUCT(DB_STProjectAcct[[#This Row],[Plan01]:[Plan12]],$F$14:$Q$14)/valUnits2</f>
        <v>0</v>
      </c>
      <c r="AE72">
        <f>SUMPRODUCT(DB_STProjectAcct[[#This Row],[Act01]:[Act12]],$R$14:$AC$14)/valUnits2</f>
        <v>0</v>
      </c>
      <c r="AF72">
        <f>DB_STProjectAcct[[#This Row],[Actual]]-DB_STProjectAcct[[#This Row],[Plan]]</f>
        <v>0</v>
      </c>
      <c r="AG72">
        <f>IF(DB_STProjectAcct[[#This Row],[Plan]]&lt;&gt;0,DB_STProjectAcct[[#This Row],[Actual]]/DB_STProjectAcct[[#This Row],[Plan]],1.000011000011)</f>
        <v>1.0000110000110001</v>
      </c>
    </row>
    <row r="73" spans="1:33" hidden="1" x14ac:dyDescent="0.2">
      <c r="A73" t="s">
        <v>1060</v>
      </c>
      <c r="B73" t="s">
        <v>342</v>
      </c>
      <c r="C73" t="s">
        <v>493</v>
      </c>
      <c r="D73" t="s">
        <v>972</v>
      </c>
      <c r="E73" t="s">
        <v>235</v>
      </c>
      <c r="AC73" s="295"/>
      <c r="AD73">
        <f>SUMPRODUCT(DB_STProjectAcct[[#This Row],[Plan01]:[Plan12]],$F$14:$Q$14)/valUnits2</f>
        <v>0</v>
      </c>
      <c r="AE73">
        <f>SUMPRODUCT(DB_STProjectAcct[[#This Row],[Act01]:[Act12]],$R$14:$AC$14)/valUnits2</f>
        <v>0</v>
      </c>
      <c r="AF73">
        <f>DB_STProjectAcct[[#This Row],[Actual]]-DB_STProjectAcct[[#This Row],[Plan]]</f>
        <v>0</v>
      </c>
      <c r="AG73">
        <f>IF(DB_STProjectAcct[[#This Row],[Plan]]&lt;&gt;0,DB_STProjectAcct[[#This Row],[Actual]]/DB_STProjectAcct[[#This Row],[Plan]],1.000011000011)</f>
        <v>1.0000110000110001</v>
      </c>
    </row>
    <row r="74" spans="1:33" hidden="1" x14ac:dyDescent="0.2">
      <c r="A74" t="s">
        <v>1061</v>
      </c>
      <c r="B74" t="s">
        <v>342</v>
      </c>
      <c r="C74" t="s">
        <v>493</v>
      </c>
      <c r="D74" t="s">
        <v>972</v>
      </c>
      <c r="E74" t="s">
        <v>144</v>
      </c>
      <c r="AC74" s="297"/>
      <c r="AD74">
        <f>SUMPRODUCT(DB_STProjectAcct[[#This Row],[Plan01]:[Plan12]],$F$14:$Q$14)/valUnits2</f>
        <v>0</v>
      </c>
      <c r="AE74">
        <f>SUMPRODUCT(DB_STProjectAcct[[#This Row],[Act01]:[Act12]],$R$14:$AC$14)/valUnits2</f>
        <v>0</v>
      </c>
      <c r="AF74">
        <f>DB_STProjectAcct[[#This Row],[Actual]]-DB_STProjectAcct[[#This Row],[Plan]]</f>
        <v>0</v>
      </c>
      <c r="AG74">
        <f>IF(DB_STProjectAcct[[#This Row],[Plan]]&lt;&gt;0,DB_STProjectAcct[[#This Row],[Actual]]/DB_STProjectAcct[[#This Row],[Plan]],1.000011000011)</f>
        <v>1.0000110000110001</v>
      </c>
    </row>
    <row r="75" spans="1:33" hidden="1" x14ac:dyDescent="0.2">
      <c r="A75" t="s">
        <v>1062</v>
      </c>
      <c r="B75" t="s">
        <v>342</v>
      </c>
      <c r="C75" t="s">
        <v>493</v>
      </c>
      <c r="D75" t="s">
        <v>972</v>
      </c>
      <c r="E75" t="s">
        <v>142</v>
      </c>
      <c r="AC75" s="295"/>
      <c r="AD75">
        <f>SUMPRODUCT(DB_STProjectAcct[[#This Row],[Plan01]:[Plan12]],$F$14:$Q$14)/valUnits2</f>
        <v>0</v>
      </c>
      <c r="AE75">
        <f>SUMPRODUCT(DB_STProjectAcct[[#This Row],[Act01]:[Act12]],$R$14:$AC$14)/valUnits2</f>
        <v>0</v>
      </c>
      <c r="AF75">
        <f>DB_STProjectAcct[[#This Row],[Actual]]-DB_STProjectAcct[[#This Row],[Plan]]</f>
        <v>0</v>
      </c>
      <c r="AG75">
        <f>IF(DB_STProjectAcct[[#This Row],[Plan]]&lt;&gt;0,DB_STProjectAcct[[#This Row],[Actual]]/DB_STProjectAcct[[#This Row],[Plan]],1.000011000011)</f>
        <v>1.0000110000110001</v>
      </c>
    </row>
    <row r="76" spans="1:33" hidden="1" x14ac:dyDescent="0.2">
      <c r="A76" t="s">
        <v>1063</v>
      </c>
      <c r="B76" t="s">
        <v>342</v>
      </c>
      <c r="C76" t="s">
        <v>493</v>
      </c>
      <c r="D76" t="s">
        <v>972</v>
      </c>
      <c r="E76" t="s">
        <v>140</v>
      </c>
      <c r="F76">
        <v>0</v>
      </c>
      <c r="G76">
        <v>0</v>
      </c>
      <c r="H76">
        <v>0</v>
      </c>
      <c r="I76">
        <v>0</v>
      </c>
      <c r="J76">
        <v>0</v>
      </c>
      <c r="K76">
        <v>350</v>
      </c>
      <c r="L76">
        <v>350</v>
      </c>
      <c r="M76">
        <v>350</v>
      </c>
      <c r="N76">
        <v>350</v>
      </c>
      <c r="O76">
        <v>350</v>
      </c>
      <c r="P76">
        <v>350</v>
      </c>
      <c r="Q76">
        <v>350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s="297">
        <v>0</v>
      </c>
      <c r="AD76">
        <f>SUMPRODUCT(DB_STProjectAcct[[#This Row],[Plan01]:[Plan12]],$F$14:$Q$14)/valUnits2</f>
        <v>0.35</v>
      </c>
      <c r="AE76">
        <f>SUMPRODUCT(DB_STProjectAcct[[#This Row],[Act01]:[Act12]],$R$14:$AC$14)/valUnits2</f>
        <v>0</v>
      </c>
      <c r="AF76">
        <f>DB_STProjectAcct[[#This Row],[Actual]]-DB_STProjectAcct[[#This Row],[Plan]]</f>
        <v>-0.35</v>
      </c>
      <c r="AG76">
        <f>IF(DB_STProjectAcct[[#This Row],[Plan]]&lt;&gt;0,DB_STProjectAcct[[#This Row],[Actual]]/DB_STProjectAcct[[#This Row],[Plan]],1.000011000011)</f>
        <v>0</v>
      </c>
    </row>
    <row r="77" spans="1:33" hidden="1" x14ac:dyDescent="0.2">
      <c r="A77" t="s">
        <v>1064</v>
      </c>
      <c r="B77" t="s">
        <v>342</v>
      </c>
      <c r="C77" t="s">
        <v>493</v>
      </c>
      <c r="D77" t="s">
        <v>972</v>
      </c>
      <c r="E77" t="s">
        <v>236</v>
      </c>
      <c r="AC77" s="295"/>
      <c r="AD77">
        <f>SUMPRODUCT(DB_STProjectAcct[[#This Row],[Plan01]:[Plan12]],$F$14:$Q$14)/valUnits2</f>
        <v>0</v>
      </c>
      <c r="AE77">
        <f>SUMPRODUCT(DB_STProjectAcct[[#This Row],[Act01]:[Act12]],$R$14:$AC$14)/valUnits2</f>
        <v>0</v>
      </c>
      <c r="AF77">
        <f>DB_STProjectAcct[[#This Row],[Actual]]-DB_STProjectAcct[[#This Row],[Plan]]</f>
        <v>0</v>
      </c>
      <c r="AG77">
        <f>IF(DB_STProjectAcct[[#This Row],[Plan]]&lt;&gt;0,DB_STProjectAcct[[#This Row],[Actual]]/DB_STProjectAcct[[#This Row],[Plan]],1.000011000011)</f>
        <v>1.0000110000110001</v>
      </c>
    </row>
    <row r="78" spans="1:33" hidden="1" x14ac:dyDescent="0.2">
      <c r="A78" t="s">
        <v>1065</v>
      </c>
      <c r="B78" t="s">
        <v>342</v>
      </c>
      <c r="C78" t="s">
        <v>493</v>
      </c>
      <c r="D78" t="s">
        <v>972</v>
      </c>
      <c r="E78" t="s">
        <v>237</v>
      </c>
      <c r="AC78" s="297"/>
      <c r="AD78">
        <f>SUMPRODUCT(DB_STProjectAcct[[#This Row],[Plan01]:[Plan12]],$F$14:$Q$14)/valUnits2</f>
        <v>0</v>
      </c>
      <c r="AE78">
        <f>SUMPRODUCT(DB_STProjectAcct[[#This Row],[Act01]:[Act12]],$R$14:$AC$14)/valUnits2</f>
        <v>0</v>
      </c>
      <c r="AF78">
        <f>DB_STProjectAcct[[#This Row],[Actual]]-DB_STProjectAcct[[#This Row],[Plan]]</f>
        <v>0</v>
      </c>
      <c r="AG78">
        <f>IF(DB_STProjectAcct[[#This Row],[Plan]]&lt;&gt;0,DB_STProjectAcct[[#This Row],[Actual]]/DB_STProjectAcct[[#This Row],[Plan]],1.000011000011)</f>
        <v>1.0000110000110001</v>
      </c>
    </row>
    <row r="79" spans="1:33" hidden="1" x14ac:dyDescent="0.2">
      <c r="A79" t="s">
        <v>1066</v>
      </c>
      <c r="B79" t="s">
        <v>342</v>
      </c>
      <c r="C79" t="s">
        <v>493</v>
      </c>
      <c r="D79" t="s">
        <v>972</v>
      </c>
      <c r="E79" t="s">
        <v>141</v>
      </c>
      <c r="J79">
        <v>114.91</v>
      </c>
      <c r="V79">
        <v>114.91</v>
      </c>
      <c r="AC79" s="295"/>
      <c r="AD79">
        <f>SUMPRODUCT(DB_STProjectAcct[[#This Row],[Plan01]:[Plan12]],$F$14:$Q$14)/valUnits2</f>
        <v>0.11491</v>
      </c>
      <c r="AE79">
        <f>SUMPRODUCT(DB_STProjectAcct[[#This Row],[Act01]:[Act12]],$R$14:$AC$14)/valUnits2</f>
        <v>0.11491</v>
      </c>
      <c r="AF79">
        <f>DB_STProjectAcct[[#This Row],[Actual]]-DB_STProjectAcct[[#This Row],[Plan]]</f>
        <v>0</v>
      </c>
      <c r="AG79">
        <f>IF(DB_STProjectAcct[[#This Row],[Plan]]&lt;&gt;0,DB_STProjectAcct[[#This Row],[Actual]]/DB_STProjectAcct[[#This Row],[Plan]],1.000011000011)</f>
        <v>1</v>
      </c>
    </row>
    <row r="80" spans="1:33" hidden="1" x14ac:dyDescent="0.2">
      <c r="A80" t="s">
        <v>1067</v>
      </c>
      <c r="B80" t="s">
        <v>342</v>
      </c>
      <c r="C80" t="s">
        <v>494</v>
      </c>
      <c r="D80" t="s">
        <v>986</v>
      </c>
      <c r="E80" t="s">
        <v>143</v>
      </c>
      <c r="F80">
        <v>857.02</v>
      </c>
      <c r="G80">
        <v>594.26</v>
      </c>
      <c r="H80">
        <v>230.94</v>
      </c>
      <c r="I80">
        <v>694.36</v>
      </c>
      <c r="J80">
        <v>527.59000000000015</v>
      </c>
      <c r="K80">
        <v>281.25</v>
      </c>
      <c r="L80">
        <v>281.25</v>
      </c>
      <c r="M80">
        <v>562.5</v>
      </c>
      <c r="N80">
        <v>281.25</v>
      </c>
      <c r="O80">
        <v>281.25</v>
      </c>
      <c r="P80">
        <v>281.25</v>
      </c>
      <c r="Q80">
        <v>281.25</v>
      </c>
      <c r="R80">
        <v>857.02</v>
      </c>
      <c r="S80">
        <v>584.75</v>
      </c>
      <c r="T80">
        <v>230.94</v>
      </c>
      <c r="U80">
        <v>722.09999999999991</v>
      </c>
      <c r="V80">
        <v>481.83000000000004</v>
      </c>
      <c r="W80">
        <v>543.34</v>
      </c>
      <c r="X80">
        <v>0</v>
      </c>
      <c r="Y80">
        <v>0</v>
      </c>
      <c r="Z80">
        <v>0</v>
      </c>
      <c r="AA80">
        <v>0</v>
      </c>
      <c r="AB80">
        <v>0</v>
      </c>
      <c r="AC80" s="297">
        <v>0</v>
      </c>
      <c r="AD80">
        <f>SUMPRODUCT(DB_STProjectAcct[[#This Row],[Plan01]:[Plan12]],$F$14:$Q$14)/valUnits2</f>
        <v>3.1854200000000001</v>
      </c>
      <c r="AE80">
        <f>SUMPRODUCT(DB_STProjectAcct[[#This Row],[Act01]:[Act12]],$R$14:$AC$14)/valUnits2</f>
        <v>3.4199799999999998</v>
      </c>
      <c r="AF80">
        <f>DB_STProjectAcct[[#This Row],[Actual]]-DB_STProjectAcct[[#This Row],[Plan]]</f>
        <v>0.23455999999999966</v>
      </c>
      <c r="AG80">
        <f>IF(DB_STProjectAcct[[#This Row],[Plan]]&lt;&gt;0,DB_STProjectAcct[[#This Row],[Actual]]/DB_STProjectAcct[[#This Row],[Plan]],1.000011000011)</f>
        <v>1.0736355017548704</v>
      </c>
    </row>
    <row r="81" spans="1:33" hidden="1" x14ac:dyDescent="0.2">
      <c r="A81" t="s">
        <v>1068</v>
      </c>
      <c r="B81" t="s">
        <v>342</v>
      </c>
      <c r="C81" t="s">
        <v>494</v>
      </c>
      <c r="D81" t="s">
        <v>986</v>
      </c>
      <c r="E81" t="s">
        <v>235</v>
      </c>
      <c r="F81">
        <v>626.76</v>
      </c>
      <c r="G81">
        <v>525.19999999999993</v>
      </c>
      <c r="H81">
        <v>1286.8800000000001</v>
      </c>
      <c r="I81">
        <v>1713.1499999999999</v>
      </c>
      <c r="J81">
        <v>1144.9100000000001</v>
      </c>
      <c r="K81">
        <v>250</v>
      </c>
      <c r="L81">
        <v>250</v>
      </c>
      <c r="M81">
        <v>350</v>
      </c>
      <c r="N81">
        <v>250</v>
      </c>
      <c r="O81">
        <v>250</v>
      </c>
      <c r="P81">
        <v>250</v>
      </c>
      <c r="Q81">
        <v>452</v>
      </c>
      <c r="R81">
        <v>626.76</v>
      </c>
      <c r="S81">
        <v>534.71</v>
      </c>
      <c r="T81">
        <v>1286.8800000000001</v>
      </c>
      <c r="U81">
        <v>1739.1200000000001</v>
      </c>
      <c r="V81">
        <v>1250.99</v>
      </c>
      <c r="W81">
        <v>2264.1400000000003</v>
      </c>
      <c r="X81">
        <v>0</v>
      </c>
      <c r="Y81">
        <v>0</v>
      </c>
      <c r="Z81">
        <v>0</v>
      </c>
      <c r="AA81">
        <v>0</v>
      </c>
      <c r="AB81">
        <v>0</v>
      </c>
      <c r="AC81" s="295">
        <v>0</v>
      </c>
      <c r="AD81">
        <f>SUMPRODUCT(DB_STProjectAcct[[#This Row],[Plan01]:[Plan12]],$F$14:$Q$14)/valUnits2</f>
        <v>5.5468999999999999</v>
      </c>
      <c r="AE81">
        <f>SUMPRODUCT(DB_STProjectAcct[[#This Row],[Act01]:[Act12]],$R$14:$AC$14)/valUnits2</f>
        <v>7.7026000000000003</v>
      </c>
      <c r="AF81">
        <f>DB_STProjectAcct[[#This Row],[Actual]]-DB_STProjectAcct[[#This Row],[Plan]]</f>
        <v>2.1557000000000004</v>
      </c>
      <c r="AG81">
        <f>IF(DB_STProjectAcct[[#This Row],[Plan]]&lt;&gt;0,DB_STProjectAcct[[#This Row],[Actual]]/DB_STProjectAcct[[#This Row],[Plan]],1.000011000011)</f>
        <v>1.388631487858083</v>
      </c>
    </row>
    <row r="82" spans="1:33" hidden="1" x14ac:dyDescent="0.2">
      <c r="A82" t="s">
        <v>1069</v>
      </c>
      <c r="B82" t="s">
        <v>342</v>
      </c>
      <c r="C82" t="s">
        <v>494</v>
      </c>
      <c r="D82" t="s">
        <v>986</v>
      </c>
      <c r="E82" t="s">
        <v>144</v>
      </c>
      <c r="AC82" s="297"/>
      <c r="AD82">
        <f>SUMPRODUCT(DB_STProjectAcct[[#This Row],[Plan01]:[Plan12]],$F$14:$Q$14)/valUnits2</f>
        <v>0</v>
      </c>
      <c r="AE82">
        <f>SUMPRODUCT(DB_STProjectAcct[[#This Row],[Act01]:[Act12]],$R$14:$AC$14)/valUnits2</f>
        <v>0</v>
      </c>
      <c r="AF82">
        <f>DB_STProjectAcct[[#This Row],[Actual]]-DB_STProjectAcct[[#This Row],[Plan]]</f>
        <v>0</v>
      </c>
      <c r="AG82">
        <f>IF(DB_STProjectAcct[[#This Row],[Plan]]&lt;&gt;0,DB_STProjectAcct[[#This Row],[Actual]]/DB_STProjectAcct[[#This Row],[Plan]],1.000011000011)</f>
        <v>1.0000110000110001</v>
      </c>
    </row>
    <row r="83" spans="1:33" hidden="1" x14ac:dyDescent="0.2">
      <c r="A83" t="s">
        <v>1070</v>
      </c>
      <c r="B83" t="s">
        <v>342</v>
      </c>
      <c r="C83" t="s">
        <v>494</v>
      </c>
      <c r="D83" t="s">
        <v>986</v>
      </c>
      <c r="E83" t="s">
        <v>142</v>
      </c>
      <c r="F83">
        <v>0</v>
      </c>
      <c r="G83">
        <v>0</v>
      </c>
      <c r="H83">
        <v>535.62</v>
      </c>
      <c r="I83">
        <v>0</v>
      </c>
      <c r="J83">
        <v>0</v>
      </c>
      <c r="K83">
        <v>21666.667000000001</v>
      </c>
      <c r="L83">
        <v>43333.332999999999</v>
      </c>
      <c r="M83">
        <v>21666.667000000001</v>
      </c>
      <c r="N83">
        <v>21666.667000000001</v>
      </c>
      <c r="O83">
        <v>43333.332999999999</v>
      </c>
      <c r="P83">
        <v>21666.667000000001</v>
      </c>
      <c r="Q83">
        <v>64999.997000000003</v>
      </c>
      <c r="R83">
        <v>0</v>
      </c>
      <c r="S83">
        <v>0</v>
      </c>
      <c r="T83">
        <v>535.62</v>
      </c>
      <c r="U83">
        <v>0</v>
      </c>
      <c r="V83">
        <v>0</v>
      </c>
      <c r="W83">
        <v>46019.45</v>
      </c>
      <c r="X83">
        <v>0</v>
      </c>
      <c r="Y83">
        <v>0</v>
      </c>
      <c r="Z83">
        <v>0</v>
      </c>
      <c r="AA83">
        <v>0</v>
      </c>
      <c r="AB83">
        <v>0</v>
      </c>
      <c r="AC83" s="295">
        <v>0</v>
      </c>
      <c r="AD83">
        <f>SUMPRODUCT(DB_STProjectAcct[[#This Row],[Plan01]:[Plan12]],$F$14:$Q$14)/valUnits2</f>
        <v>22.202287000000002</v>
      </c>
      <c r="AE83">
        <f>SUMPRODUCT(DB_STProjectAcct[[#This Row],[Act01]:[Act12]],$R$14:$AC$14)/valUnits2</f>
        <v>46.555070000000001</v>
      </c>
      <c r="AF83">
        <f>DB_STProjectAcct[[#This Row],[Actual]]-DB_STProjectAcct[[#This Row],[Plan]]</f>
        <v>24.352782999999999</v>
      </c>
      <c r="AG83">
        <f>IF(DB_STProjectAcct[[#This Row],[Plan]]&lt;&gt;0,DB_STProjectAcct[[#This Row],[Actual]]/DB_STProjectAcct[[#This Row],[Plan]],1.000011000011)</f>
        <v>2.0968592109452509</v>
      </c>
    </row>
    <row r="84" spans="1:33" hidden="1" x14ac:dyDescent="0.2">
      <c r="A84" t="s">
        <v>1071</v>
      </c>
      <c r="B84" t="s">
        <v>342</v>
      </c>
      <c r="C84" t="s">
        <v>494</v>
      </c>
      <c r="D84" t="s">
        <v>986</v>
      </c>
      <c r="E84" t="s">
        <v>140</v>
      </c>
      <c r="F84">
        <v>9814.8900000000012</v>
      </c>
      <c r="G84">
        <v>10927.460000000001</v>
      </c>
      <c r="H84">
        <v>11853.4</v>
      </c>
      <c r="I84">
        <v>10364.19</v>
      </c>
      <c r="J84">
        <v>13163.76</v>
      </c>
      <c r="K84">
        <v>10734.024000000001</v>
      </c>
      <c r="L84">
        <v>10734.024000000001</v>
      </c>
      <c r="M84">
        <v>10734.024000000001</v>
      </c>
      <c r="N84">
        <v>10734.024000000001</v>
      </c>
      <c r="O84">
        <v>29046.404999999999</v>
      </c>
      <c r="P84">
        <v>10734.024000000001</v>
      </c>
      <c r="Q84">
        <v>10734.024000000001</v>
      </c>
      <c r="R84">
        <v>9814.89</v>
      </c>
      <c r="S84">
        <v>10927.460000000001</v>
      </c>
      <c r="T84">
        <v>11853.4</v>
      </c>
      <c r="U84">
        <v>10364.19</v>
      </c>
      <c r="V84">
        <v>13163.759999999998</v>
      </c>
      <c r="W84">
        <v>14081.81</v>
      </c>
      <c r="X84">
        <v>0</v>
      </c>
      <c r="Y84">
        <v>0</v>
      </c>
      <c r="Z84">
        <v>0</v>
      </c>
      <c r="AA84">
        <v>0</v>
      </c>
      <c r="AB84">
        <v>0</v>
      </c>
      <c r="AC84" s="297">
        <v>0</v>
      </c>
      <c r="AD84">
        <f>SUMPRODUCT(DB_STProjectAcct[[#This Row],[Plan01]:[Plan12]],$F$14:$Q$14)/valUnits2</f>
        <v>66.857724000000005</v>
      </c>
      <c r="AE84">
        <f>SUMPRODUCT(DB_STProjectAcct[[#This Row],[Act01]:[Act12]],$R$14:$AC$14)/valUnits2</f>
        <v>70.20550999999999</v>
      </c>
      <c r="AF84">
        <f>DB_STProjectAcct[[#This Row],[Actual]]-DB_STProjectAcct[[#This Row],[Plan]]</f>
        <v>3.3477859999999851</v>
      </c>
      <c r="AG84">
        <f>IF(DB_STProjectAcct[[#This Row],[Plan]]&lt;&gt;0,DB_STProjectAcct[[#This Row],[Actual]]/DB_STProjectAcct[[#This Row],[Plan]],1.000011000011)</f>
        <v>1.0500732869698044</v>
      </c>
    </row>
    <row r="85" spans="1:33" hidden="1" x14ac:dyDescent="0.2">
      <c r="A85" t="s">
        <v>1072</v>
      </c>
      <c r="B85" t="s">
        <v>342</v>
      </c>
      <c r="C85" t="s">
        <v>494</v>
      </c>
      <c r="D85" t="s">
        <v>986</v>
      </c>
      <c r="E85" t="s">
        <v>236</v>
      </c>
      <c r="F85">
        <v>34.94</v>
      </c>
      <c r="G85">
        <v>1681.55</v>
      </c>
      <c r="H85">
        <v>5468.1900000000005</v>
      </c>
      <c r="I85">
        <v>8927.7199999999993</v>
      </c>
      <c r="J85">
        <v>798.68999999999983</v>
      </c>
      <c r="K85">
        <v>9791.6669999999995</v>
      </c>
      <c r="L85">
        <v>13391.667000000001</v>
      </c>
      <c r="M85">
        <v>11391.667000000001</v>
      </c>
      <c r="N85">
        <v>11391.667000000001</v>
      </c>
      <c r="O85">
        <v>7791.6669999999995</v>
      </c>
      <c r="P85">
        <v>7791.6669999999995</v>
      </c>
      <c r="Q85">
        <v>7791.6669999999995</v>
      </c>
      <c r="R85">
        <v>34.94</v>
      </c>
      <c r="S85">
        <v>1681.55</v>
      </c>
      <c r="T85">
        <v>5468.19</v>
      </c>
      <c r="U85">
        <v>8927.7199999999993</v>
      </c>
      <c r="V85">
        <v>798.69</v>
      </c>
      <c r="W85">
        <v>7.99</v>
      </c>
      <c r="X85">
        <v>0</v>
      </c>
      <c r="Y85">
        <v>0</v>
      </c>
      <c r="Z85">
        <v>0</v>
      </c>
      <c r="AA85">
        <v>0</v>
      </c>
      <c r="AB85">
        <v>0</v>
      </c>
      <c r="AC85" s="295">
        <v>0</v>
      </c>
      <c r="AD85">
        <f>SUMPRODUCT(DB_STProjectAcct[[#This Row],[Plan01]:[Plan12]],$F$14:$Q$14)/valUnits2</f>
        <v>26.702756999999998</v>
      </c>
      <c r="AE85">
        <f>SUMPRODUCT(DB_STProjectAcct[[#This Row],[Act01]:[Act12]],$R$14:$AC$14)/valUnits2</f>
        <v>16.919079999999997</v>
      </c>
      <c r="AF85">
        <f>DB_STProjectAcct[[#This Row],[Actual]]-DB_STProjectAcct[[#This Row],[Plan]]</f>
        <v>-9.7836770000000008</v>
      </c>
      <c r="AG85">
        <f>IF(DB_STProjectAcct[[#This Row],[Plan]]&lt;&gt;0,DB_STProjectAcct[[#This Row],[Actual]]/DB_STProjectAcct[[#This Row],[Plan]],1.000011000011)</f>
        <v>0.63360798287607523</v>
      </c>
    </row>
    <row r="86" spans="1:33" hidden="1" x14ac:dyDescent="0.2">
      <c r="A86" t="s">
        <v>1073</v>
      </c>
      <c r="B86" t="s">
        <v>342</v>
      </c>
      <c r="C86" t="s">
        <v>494</v>
      </c>
      <c r="D86" t="s">
        <v>986</v>
      </c>
      <c r="E86" t="s">
        <v>237</v>
      </c>
      <c r="F86">
        <v>38.01</v>
      </c>
      <c r="G86">
        <v>1403.36</v>
      </c>
      <c r="H86">
        <v>1020.7</v>
      </c>
      <c r="I86">
        <v>2865.6099999999997</v>
      </c>
      <c r="J86">
        <v>701.9</v>
      </c>
      <c r="K86">
        <v>0</v>
      </c>
      <c r="R86">
        <v>38.01</v>
      </c>
      <c r="S86">
        <v>1403.3600000000001</v>
      </c>
      <c r="T86">
        <v>1020.7</v>
      </c>
      <c r="U86">
        <v>2865.61</v>
      </c>
      <c r="V86">
        <v>701.90000000000009</v>
      </c>
      <c r="W86">
        <v>2054.85</v>
      </c>
      <c r="AC86" s="297"/>
      <c r="AD86">
        <f>SUMPRODUCT(DB_STProjectAcct[[#This Row],[Plan01]:[Plan12]],$F$14:$Q$14)/valUnits2</f>
        <v>6.0295799999999993</v>
      </c>
      <c r="AE86">
        <f>SUMPRODUCT(DB_STProjectAcct[[#This Row],[Act01]:[Act12]],$R$14:$AC$14)/valUnits2</f>
        <v>8.0844300000000011</v>
      </c>
      <c r="AF86">
        <f>DB_STProjectAcct[[#This Row],[Actual]]-DB_STProjectAcct[[#This Row],[Plan]]</f>
        <v>2.0548500000000018</v>
      </c>
      <c r="AG86">
        <f>IF(DB_STProjectAcct[[#This Row],[Plan]]&lt;&gt;0,DB_STProjectAcct[[#This Row],[Actual]]/DB_STProjectAcct[[#This Row],[Plan]],1.000011000011)</f>
        <v>1.3407948812355093</v>
      </c>
    </row>
    <row r="87" spans="1:33" hidden="1" x14ac:dyDescent="0.2">
      <c r="A87" t="s">
        <v>1074</v>
      </c>
      <c r="B87" t="s">
        <v>342</v>
      </c>
      <c r="C87" t="s">
        <v>494</v>
      </c>
      <c r="D87" t="s">
        <v>986</v>
      </c>
      <c r="E87" t="s">
        <v>141</v>
      </c>
      <c r="F87">
        <v>561.88</v>
      </c>
      <c r="G87">
        <v>418.42</v>
      </c>
      <c r="H87">
        <v>1346.5800000000002</v>
      </c>
      <c r="I87">
        <v>941.74</v>
      </c>
      <c r="J87">
        <v>679.55</v>
      </c>
      <c r="K87">
        <v>2833.3330000000001</v>
      </c>
      <c r="L87">
        <v>2833.3330000000001</v>
      </c>
      <c r="M87">
        <v>4333.3330000000005</v>
      </c>
      <c r="N87">
        <v>2833.3330000000001</v>
      </c>
      <c r="O87">
        <v>2833.3330000000001</v>
      </c>
      <c r="P87">
        <v>2833.3330000000001</v>
      </c>
      <c r="Q87">
        <v>2833.3330000000001</v>
      </c>
      <c r="R87">
        <v>561.88000000000011</v>
      </c>
      <c r="S87">
        <v>418.4199999999999</v>
      </c>
      <c r="T87">
        <v>1346.58</v>
      </c>
      <c r="U87">
        <v>941.74</v>
      </c>
      <c r="V87">
        <v>679.54999999999984</v>
      </c>
      <c r="W87">
        <v>635.24</v>
      </c>
      <c r="X87">
        <v>0</v>
      </c>
      <c r="Y87">
        <v>0</v>
      </c>
      <c r="Z87">
        <v>0</v>
      </c>
      <c r="AA87">
        <v>0</v>
      </c>
      <c r="AB87">
        <v>0</v>
      </c>
      <c r="AC87" s="295">
        <v>0</v>
      </c>
      <c r="AD87">
        <f>SUMPRODUCT(DB_STProjectAcct[[#This Row],[Plan01]:[Plan12]],$F$14:$Q$14)/valUnits2</f>
        <v>6.7815030000000007</v>
      </c>
      <c r="AE87">
        <f>SUMPRODUCT(DB_STProjectAcct[[#This Row],[Act01]:[Act12]],$R$14:$AC$14)/valUnits2</f>
        <v>4.5834099999999998</v>
      </c>
      <c r="AF87">
        <f>DB_STProjectAcct[[#This Row],[Actual]]-DB_STProjectAcct[[#This Row],[Plan]]</f>
        <v>-2.198093000000001</v>
      </c>
      <c r="AG87">
        <f>IF(DB_STProjectAcct[[#This Row],[Plan]]&lt;&gt;0,DB_STProjectAcct[[#This Row],[Actual]]/DB_STProjectAcct[[#This Row],[Plan]],1.000011000011)</f>
        <v>0.67586934636761187</v>
      </c>
    </row>
    <row r="88" spans="1:33" hidden="1" x14ac:dyDescent="0.2">
      <c r="A88" t="s">
        <v>1075</v>
      </c>
      <c r="B88" t="s">
        <v>351</v>
      </c>
      <c r="C88" t="s">
        <v>495</v>
      </c>
      <c r="D88" t="s">
        <v>998</v>
      </c>
      <c r="E88" t="s">
        <v>143</v>
      </c>
      <c r="AC88" s="297"/>
      <c r="AD88">
        <f>SUMPRODUCT(DB_STProjectAcct[[#This Row],[Plan01]:[Plan12]],$F$14:$Q$14)/valUnits2</f>
        <v>0</v>
      </c>
      <c r="AE88">
        <f>SUMPRODUCT(DB_STProjectAcct[[#This Row],[Act01]:[Act12]],$R$14:$AC$14)/valUnits2</f>
        <v>0</v>
      </c>
      <c r="AF88">
        <f>DB_STProjectAcct[[#This Row],[Actual]]-DB_STProjectAcct[[#This Row],[Plan]]</f>
        <v>0</v>
      </c>
      <c r="AG88">
        <f>IF(DB_STProjectAcct[[#This Row],[Plan]]&lt;&gt;0,DB_STProjectAcct[[#This Row],[Actual]]/DB_STProjectAcct[[#This Row],[Plan]],1.000011000011)</f>
        <v>1.0000110000110001</v>
      </c>
    </row>
    <row r="89" spans="1:33" hidden="1" x14ac:dyDescent="0.2">
      <c r="A89" t="s">
        <v>1076</v>
      </c>
      <c r="B89" t="s">
        <v>351</v>
      </c>
      <c r="C89" t="s">
        <v>495</v>
      </c>
      <c r="D89" t="s">
        <v>998</v>
      </c>
      <c r="E89" t="s">
        <v>235</v>
      </c>
      <c r="F89">
        <v>43.84</v>
      </c>
      <c r="H89">
        <v>-43.84</v>
      </c>
      <c r="R89">
        <v>43.84</v>
      </c>
      <c r="T89">
        <v>-43.84</v>
      </c>
      <c r="AC89" s="295"/>
      <c r="AD89">
        <f>SUMPRODUCT(DB_STProjectAcct[[#This Row],[Plan01]:[Plan12]],$F$14:$Q$14)/valUnits2</f>
        <v>0</v>
      </c>
      <c r="AE89">
        <f>SUMPRODUCT(DB_STProjectAcct[[#This Row],[Act01]:[Act12]],$R$14:$AC$14)/valUnits2</f>
        <v>0</v>
      </c>
      <c r="AF89">
        <f>DB_STProjectAcct[[#This Row],[Actual]]-DB_STProjectAcct[[#This Row],[Plan]]</f>
        <v>0</v>
      </c>
      <c r="AG89">
        <f>IF(DB_STProjectAcct[[#This Row],[Plan]]&lt;&gt;0,DB_STProjectAcct[[#This Row],[Actual]]/DB_STProjectAcct[[#This Row],[Plan]],1.000011000011)</f>
        <v>1.0000110000110001</v>
      </c>
    </row>
    <row r="90" spans="1:33" hidden="1" x14ac:dyDescent="0.2">
      <c r="A90" t="s">
        <v>1077</v>
      </c>
      <c r="B90" t="s">
        <v>351</v>
      </c>
      <c r="C90" t="s">
        <v>495</v>
      </c>
      <c r="D90" t="s">
        <v>998</v>
      </c>
      <c r="E90" t="s">
        <v>144</v>
      </c>
      <c r="AC90" s="297"/>
      <c r="AD90">
        <f>SUMPRODUCT(DB_STProjectAcct[[#This Row],[Plan01]:[Plan12]],$F$14:$Q$14)/valUnits2</f>
        <v>0</v>
      </c>
      <c r="AE90">
        <f>SUMPRODUCT(DB_STProjectAcct[[#This Row],[Act01]:[Act12]],$R$14:$AC$14)/valUnits2</f>
        <v>0</v>
      </c>
      <c r="AF90">
        <f>DB_STProjectAcct[[#This Row],[Actual]]-DB_STProjectAcct[[#This Row],[Plan]]</f>
        <v>0</v>
      </c>
      <c r="AG90">
        <f>IF(DB_STProjectAcct[[#This Row],[Plan]]&lt;&gt;0,DB_STProjectAcct[[#This Row],[Actual]]/DB_STProjectAcct[[#This Row],[Plan]],1.000011000011)</f>
        <v>1.0000110000110001</v>
      </c>
    </row>
    <row r="91" spans="1:33" hidden="1" x14ac:dyDescent="0.2">
      <c r="A91" t="s">
        <v>1078</v>
      </c>
      <c r="B91" t="s">
        <v>351</v>
      </c>
      <c r="C91" t="s">
        <v>495</v>
      </c>
      <c r="D91" t="s">
        <v>998</v>
      </c>
      <c r="E91" t="s">
        <v>142</v>
      </c>
      <c r="AC91" s="295"/>
      <c r="AD91">
        <f>SUMPRODUCT(DB_STProjectAcct[[#This Row],[Plan01]:[Plan12]],$F$14:$Q$14)/valUnits2</f>
        <v>0</v>
      </c>
      <c r="AE91">
        <f>SUMPRODUCT(DB_STProjectAcct[[#This Row],[Act01]:[Act12]],$R$14:$AC$14)/valUnits2</f>
        <v>0</v>
      </c>
      <c r="AF91">
        <f>DB_STProjectAcct[[#This Row],[Actual]]-DB_STProjectAcct[[#This Row],[Plan]]</f>
        <v>0</v>
      </c>
      <c r="AG91">
        <f>IF(DB_STProjectAcct[[#This Row],[Plan]]&lt;&gt;0,DB_STProjectAcct[[#This Row],[Actual]]/DB_STProjectAcct[[#This Row],[Plan]],1.000011000011)</f>
        <v>1.0000110000110001</v>
      </c>
    </row>
    <row r="92" spans="1:33" hidden="1" x14ac:dyDescent="0.2">
      <c r="A92" t="s">
        <v>1079</v>
      </c>
      <c r="B92" t="s">
        <v>351</v>
      </c>
      <c r="C92" t="s">
        <v>495</v>
      </c>
      <c r="D92" t="s">
        <v>998</v>
      </c>
      <c r="E92" t="s">
        <v>140</v>
      </c>
      <c r="F92">
        <v>3438.77</v>
      </c>
      <c r="G92">
        <v>24693.313999999995</v>
      </c>
      <c r="H92">
        <v>20017.545000000002</v>
      </c>
      <c r="I92">
        <v>18618.217999999997</v>
      </c>
      <c r="J92">
        <v>16234.128999999997</v>
      </c>
      <c r="K92">
        <v>14103.676000000001</v>
      </c>
      <c r="L92">
        <v>14103.676000000001</v>
      </c>
      <c r="M92">
        <v>14103.676000000003</v>
      </c>
      <c r="N92">
        <v>14103.676000000001</v>
      </c>
      <c r="O92">
        <v>14103.676000000003</v>
      </c>
      <c r="P92">
        <v>14103.676000000003</v>
      </c>
      <c r="Q92">
        <v>14103.676000000003</v>
      </c>
      <c r="R92">
        <v>323.77</v>
      </c>
      <c r="S92">
        <v>21648.939999999995</v>
      </c>
      <c r="T92">
        <v>16901.109999999997</v>
      </c>
      <c r="U92">
        <v>15470.279999999999</v>
      </c>
      <c r="V92">
        <v>13118.960000000003</v>
      </c>
      <c r="W92">
        <v>12044.280000000002</v>
      </c>
      <c r="X92">
        <v>61950</v>
      </c>
      <c r="Y92">
        <v>0</v>
      </c>
      <c r="Z92">
        <v>0</v>
      </c>
      <c r="AA92">
        <v>0</v>
      </c>
      <c r="AB92">
        <v>0</v>
      </c>
      <c r="AC92" s="297">
        <v>0</v>
      </c>
      <c r="AD92">
        <f>SUMPRODUCT(DB_STProjectAcct[[#This Row],[Plan01]:[Plan12]],$F$14:$Q$14)/valUnits2</f>
        <v>97.105652000000006</v>
      </c>
      <c r="AE92">
        <f>SUMPRODUCT(DB_STProjectAcct[[#This Row],[Act01]:[Act12]],$R$14:$AC$14)/valUnits2</f>
        <v>79.507339999999999</v>
      </c>
      <c r="AF92">
        <f>DB_STProjectAcct[[#This Row],[Actual]]-DB_STProjectAcct[[#This Row],[Plan]]</f>
        <v>-17.598312000000007</v>
      </c>
      <c r="AG92">
        <f>IF(DB_STProjectAcct[[#This Row],[Plan]]&lt;&gt;0,DB_STProjectAcct[[#This Row],[Actual]]/DB_STProjectAcct[[#This Row],[Plan]],1.000011000011)</f>
        <v>0.81877149643153613</v>
      </c>
    </row>
    <row r="93" spans="1:33" hidden="1" x14ac:dyDescent="0.2">
      <c r="A93" t="s">
        <v>1080</v>
      </c>
      <c r="B93" t="s">
        <v>351</v>
      </c>
      <c r="C93" t="s">
        <v>495</v>
      </c>
      <c r="D93" t="s">
        <v>998</v>
      </c>
      <c r="E93" t="s">
        <v>236</v>
      </c>
      <c r="F93">
        <v>23707.89</v>
      </c>
      <c r="H93">
        <v>-23707.89</v>
      </c>
      <c r="R93">
        <v>23707.89</v>
      </c>
      <c r="T93">
        <v>-23707.89</v>
      </c>
      <c r="AC93" s="295"/>
      <c r="AD93">
        <f>SUMPRODUCT(DB_STProjectAcct[[#This Row],[Plan01]:[Plan12]],$F$14:$Q$14)/valUnits2</f>
        <v>0</v>
      </c>
      <c r="AE93">
        <f>SUMPRODUCT(DB_STProjectAcct[[#This Row],[Act01]:[Act12]],$R$14:$AC$14)/valUnits2</f>
        <v>0</v>
      </c>
      <c r="AF93">
        <f>DB_STProjectAcct[[#This Row],[Actual]]-DB_STProjectAcct[[#This Row],[Plan]]</f>
        <v>0</v>
      </c>
      <c r="AG93">
        <f>IF(DB_STProjectAcct[[#This Row],[Plan]]&lt;&gt;0,DB_STProjectAcct[[#This Row],[Actual]]/DB_STProjectAcct[[#This Row],[Plan]],1.000011000011)</f>
        <v>1.0000110000110001</v>
      </c>
    </row>
    <row r="94" spans="1:33" hidden="1" x14ac:dyDescent="0.2">
      <c r="A94" t="s">
        <v>1081</v>
      </c>
      <c r="B94" t="s">
        <v>351</v>
      </c>
      <c r="C94" t="s">
        <v>495</v>
      </c>
      <c r="D94" t="s">
        <v>998</v>
      </c>
      <c r="E94" t="s">
        <v>237</v>
      </c>
      <c r="K94">
        <v>0</v>
      </c>
      <c r="W94">
        <v>80.39</v>
      </c>
      <c r="AC94" s="297"/>
      <c r="AD94">
        <f>SUMPRODUCT(DB_STProjectAcct[[#This Row],[Plan01]:[Plan12]],$F$14:$Q$14)/valUnits2</f>
        <v>0</v>
      </c>
      <c r="AE94">
        <f>SUMPRODUCT(DB_STProjectAcct[[#This Row],[Act01]:[Act12]],$R$14:$AC$14)/valUnits2</f>
        <v>8.0390000000000003E-2</v>
      </c>
      <c r="AF94">
        <f>DB_STProjectAcct[[#This Row],[Actual]]-DB_STProjectAcct[[#This Row],[Plan]]</f>
        <v>8.0390000000000003E-2</v>
      </c>
      <c r="AG94">
        <f>IF(DB_STProjectAcct[[#This Row],[Plan]]&lt;&gt;0,DB_STProjectAcct[[#This Row],[Actual]]/DB_STProjectAcct[[#This Row],[Plan]],1.000011000011)</f>
        <v>1.0000110000110001</v>
      </c>
    </row>
    <row r="95" spans="1:33" hidden="1" x14ac:dyDescent="0.2">
      <c r="A95" t="s">
        <v>1082</v>
      </c>
      <c r="B95" t="s">
        <v>351</v>
      </c>
      <c r="C95" t="s">
        <v>495</v>
      </c>
      <c r="D95" t="s">
        <v>998</v>
      </c>
      <c r="E95" t="s">
        <v>141</v>
      </c>
      <c r="G95">
        <v>3059.8310000000001</v>
      </c>
      <c r="I95">
        <v>1665.5610000000004</v>
      </c>
      <c r="J95">
        <v>575.61</v>
      </c>
      <c r="K95">
        <v>0</v>
      </c>
      <c r="S95">
        <v>3059.74</v>
      </c>
      <c r="U95">
        <v>1658.21</v>
      </c>
      <c r="V95">
        <v>575.61</v>
      </c>
      <c r="W95">
        <v>869.24</v>
      </c>
      <c r="AC95" s="295"/>
      <c r="AD95">
        <f>SUMPRODUCT(DB_STProjectAcct[[#This Row],[Plan01]:[Plan12]],$F$14:$Q$14)/valUnits2</f>
        <v>5.3010020000000004</v>
      </c>
      <c r="AE95">
        <f>SUMPRODUCT(DB_STProjectAcct[[#This Row],[Act01]:[Act12]],$R$14:$AC$14)/valUnits2</f>
        <v>6.1627999999999989</v>
      </c>
      <c r="AF95">
        <f>DB_STProjectAcct[[#This Row],[Actual]]-DB_STProjectAcct[[#This Row],[Plan]]</f>
        <v>0.86179799999999851</v>
      </c>
      <c r="AG95">
        <f>IF(DB_STProjectAcct[[#This Row],[Plan]]&lt;&gt;0,DB_STProjectAcct[[#This Row],[Actual]]/DB_STProjectAcct[[#This Row],[Plan]],1.000011000011)</f>
        <v>1.1625726607912992</v>
      </c>
    </row>
    <row r="96" spans="1:33" hidden="1" x14ac:dyDescent="0.2">
      <c r="A96" t="s">
        <v>1083</v>
      </c>
      <c r="B96" t="s">
        <v>351</v>
      </c>
      <c r="C96" t="s">
        <v>496</v>
      </c>
      <c r="D96" t="s">
        <v>975</v>
      </c>
      <c r="E96" t="s">
        <v>143</v>
      </c>
      <c r="F96">
        <v>21068.677999999996</v>
      </c>
      <c r="G96">
        <v>17270.318000000003</v>
      </c>
      <c r="H96">
        <v>13027.796</v>
      </c>
      <c r="I96">
        <v>201529.42499999996</v>
      </c>
      <c r="J96">
        <v>72602.358000000007</v>
      </c>
      <c r="K96">
        <v>61067.732000000011</v>
      </c>
      <c r="L96">
        <v>59052.58</v>
      </c>
      <c r="M96">
        <v>59397.845000000001</v>
      </c>
      <c r="N96">
        <v>58785.733</v>
      </c>
      <c r="O96">
        <v>58757.226000000002</v>
      </c>
      <c r="P96">
        <v>58704.434000000008</v>
      </c>
      <c r="Q96">
        <v>51758.181000000011</v>
      </c>
      <c r="R96">
        <v>9935.8999999999978</v>
      </c>
      <c r="S96">
        <v>6444.8000000000011</v>
      </c>
      <c r="T96">
        <v>3589.1700000000005</v>
      </c>
      <c r="U96">
        <v>186547.85999999987</v>
      </c>
      <c r="V96">
        <v>54405.609999999964</v>
      </c>
      <c r="W96">
        <v>58130.97</v>
      </c>
      <c r="X96">
        <v>0</v>
      </c>
      <c r="Y96">
        <v>0</v>
      </c>
      <c r="Z96">
        <v>0</v>
      </c>
      <c r="AA96">
        <v>0</v>
      </c>
      <c r="AB96">
        <v>0</v>
      </c>
      <c r="AC96" s="297">
        <v>0</v>
      </c>
      <c r="AD96">
        <f>SUMPRODUCT(DB_STProjectAcct[[#This Row],[Plan01]:[Plan12]],$F$14:$Q$14)/valUnits2</f>
        <v>386.56630699999999</v>
      </c>
      <c r="AE96">
        <f>SUMPRODUCT(DB_STProjectAcct[[#This Row],[Act01]:[Act12]],$R$14:$AC$14)/valUnits2</f>
        <v>319.05430999999982</v>
      </c>
      <c r="AF96">
        <f>DB_STProjectAcct[[#This Row],[Actual]]-DB_STProjectAcct[[#This Row],[Plan]]</f>
        <v>-67.511997000000179</v>
      </c>
      <c r="AG96">
        <f>IF(DB_STProjectAcct[[#This Row],[Plan]]&lt;&gt;0,DB_STProjectAcct[[#This Row],[Actual]]/DB_STProjectAcct[[#This Row],[Plan]],1.000011000011)</f>
        <v>0.82535467841484644</v>
      </c>
    </row>
    <row r="97" spans="1:33" hidden="1" x14ac:dyDescent="0.2">
      <c r="A97" t="s">
        <v>1084</v>
      </c>
      <c r="B97" t="s">
        <v>351</v>
      </c>
      <c r="C97" t="s">
        <v>496</v>
      </c>
      <c r="D97" t="s">
        <v>975</v>
      </c>
      <c r="E97" t="s">
        <v>235</v>
      </c>
      <c r="F97">
        <v>7548.3700000000026</v>
      </c>
      <c r="G97">
        <v>10300.578000000001</v>
      </c>
      <c r="H97">
        <v>13011.692999999996</v>
      </c>
      <c r="I97">
        <v>11895.645999999993</v>
      </c>
      <c r="J97">
        <v>14808.362000000001</v>
      </c>
      <c r="K97">
        <v>20965.029999999995</v>
      </c>
      <c r="L97">
        <v>23652.601999999992</v>
      </c>
      <c r="M97">
        <v>22188.565999999992</v>
      </c>
      <c r="N97">
        <v>21421.623999999993</v>
      </c>
      <c r="O97">
        <v>23650.27299999999</v>
      </c>
      <c r="P97">
        <v>21320.700999999994</v>
      </c>
      <c r="Q97">
        <v>16380.419999999998</v>
      </c>
      <c r="R97">
        <v>4115.21</v>
      </c>
      <c r="S97">
        <v>4124.8199999999988</v>
      </c>
      <c r="T97">
        <v>10155.079999999998</v>
      </c>
      <c r="U97">
        <v>14629.270000000002</v>
      </c>
      <c r="V97">
        <v>8213.1400000000049</v>
      </c>
      <c r="W97">
        <v>13093.110000000004</v>
      </c>
      <c r="X97">
        <v>515.36</v>
      </c>
      <c r="Y97">
        <v>0</v>
      </c>
      <c r="Z97">
        <v>0</v>
      </c>
      <c r="AA97">
        <v>0</v>
      </c>
      <c r="AB97">
        <v>0</v>
      </c>
      <c r="AC97" s="295">
        <v>0</v>
      </c>
      <c r="AD97">
        <f>SUMPRODUCT(DB_STProjectAcct[[#This Row],[Plan01]:[Plan12]],$F$14:$Q$14)/valUnits2</f>
        <v>78.529678999999987</v>
      </c>
      <c r="AE97">
        <f>SUMPRODUCT(DB_STProjectAcct[[#This Row],[Act01]:[Act12]],$R$14:$AC$14)/valUnits2</f>
        <v>54.330630000000006</v>
      </c>
      <c r="AF97">
        <f>DB_STProjectAcct[[#This Row],[Actual]]-DB_STProjectAcct[[#This Row],[Plan]]</f>
        <v>-24.199048999999981</v>
      </c>
      <c r="AG97">
        <f>IF(DB_STProjectAcct[[#This Row],[Plan]]&lt;&gt;0,DB_STProjectAcct[[#This Row],[Actual]]/DB_STProjectAcct[[#This Row],[Plan]],1.000011000011)</f>
        <v>0.69184836474372979</v>
      </c>
    </row>
    <row r="98" spans="1:33" hidden="1" x14ac:dyDescent="0.2">
      <c r="A98" t="s">
        <v>1085</v>
      </c>
      <c r="B98" t="s">
        <v>351</v>
      </c>
      <c r="C98" t="s">
        <v>496</v>
      </c>
      <c r="D98" t="s">
        <v>975</v>
      </c>
      <c r="E98" t="s">
        <v>144</v>
      </c>
      <c r="AC98" s="297"/>
      <c r="AD98">
        <f>SUMPRODUCT(DB_STProjectAcct[[#This Row],[Plan01]:[Plan12]],$F$14:$Q$14)/valUnits2</f>
        <v>0</v>
      </c>
      <c r="AE98">
        <f>SUMPRODUCT(DB_STProjectAcct[[#This Row],[Act01]:[Act12]],$R$14:$AC$14)/valUnits2</f>
        <v>0</v>
      </c>
      <c r="AF98">
        <f>DB_STProjectAcct[[#This Row],[Actual]]-DB_STProjectAcct[[#This Row],[Plan]]</f>
        <v>0</v>
      </c>
      <c r="AG98">
        <f>IF(DB_STProjectAcct[[#This Row],[Plan]]&lt;&gt;0,DB_STProjectAcct[[#This Row],[Actual]]/DB_STProjectAcct[[#This Row],[Plan]],1.000011000011)</f>
        <v>1.0000110000110001</v>
      </c>
    </row>
    <row r="99" spans="1:33" hidden="1" x14ac:dyDescent="0.2">
      <c r="A99" t="s">
        <v>1086</v>
      </c>
      <c r="B99" t="s">
        <v>351</v>
      </c>
      <c r="C99" t="s">
        <v>496</v>
      </c>
      <c r="D99" t="s">
        <v>975</v>
      </c>
      <c r="E99" t="s">
        <v>142</v>
      </c>
      <c r="F99">
        <v>0</v>
      </c>
      <c r="G99">
        <v>0</v>
      </c>
      <c r="H99">
        <v>0</v>
      </c>
      <c r="I99">
        <v>0</v>
      </c>
      <c r="J99">
        <v>0</v>
      </c>
      <c r="K99">
        <v>464.98500000000001</v>
      </c>
      <c r="L99">
        <v>464.98500000000001</v>
      </c>
      <c r="M99">
        <v>464.98500000000001</v>
      </c>
      <c r="N99">
        <v>464.98500000000001</v>
      </c>
      <c r="O99">
        <v>464.98500000000001</v>
      </c>
      <c r="P99">
        <v>464.98500000000001</v>
      </c>
      <c r="Q99">
        <v>464.98500000000001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s="295">
        <v>0</v>
      </c>
      <c r="AD99">
        <f>SUMPRODUCT(DB_STProjectAcct[[#This Row],[Plan01]:[Plan12]],$F$14:$Q$14)/valUnits2</f>
        <v>0.46498500000000004</v>
      </c>
      <c r="AE99">
        <f>SUMPRODUCT(DB_STProjectAcct[[#This Row],[Act01]:[Act12]],$R$14:$AC$14)/valUnits2</f>
        <v>0</v>
      </c>
      <c r="AF99">
        <f>DB_STProjectAcct[[#This Row],[Actual]]-DB_STProjectAcct[[#This Row],[Plan]]</f>
        <v>-0.46498500000000004</v>
      </c>
      <c r="AG99">
        <f>IF(DB_STProjectAcct[[#This Row],[Plan]]&lt;&gt;0,DB_STProjectAcct[[#This Row],[Actual]]/DB_STProjectAcct[[#This Row],[Plan]],1.000011000011)</f>
        <v>0</v>
      </c>
    </row>
    <row r="100" spans="1:33" hidden="1" x14ac:dyDescent="0.2">
      <c r="A100" t="s">
        <v>1087</v>
      </c>
      <c r="B100" t="s">
        <v>351</v>
      </c>
      <c r="C100" t="s">
        <v>496</v>
      </c>
      <c r="D100" t="s">
        <v>975</v>
      </c>
      <c r="E100" t="s">
        <v>140</v>
      </c>
      <c r="F100">
        <v>39032.70900000001</v>
      </c>
      <c r="G100">
        <v>68025.59599999999</v>
      </c>
      <c r="H100">
        <v>70388.941999999966</v>
      </c>
      <c r="I100">
        <v>94814.699000000037</v>
      </c>
      <c r="J100">
        <v>77263.911999999997</v>
      </c>
      <c r="K100">
        <v>74574.428000000014</v>
      </c>
      <c r="L100">
        <v>66637.114999999991</v>
      </c>
      <c r="M100">
        <v>66409.774999999994</v>
      </c>
      <c r="N100">
        <v>66409.77499999998</v>
      </c>
      <c r="O100">
        <v>42912.495999999999</v>
      </c>
      <c r="P100">
        <v>40839.742999999995</v>
      </c>
      <c r="Q100">
        <v>40308.600999999995</v>
      </c>
      <c r="R100">
        <v>30968.400000000001</v>
      </c>
      <c r="S100">
        <v>59921.880000000012</v>
      </c>
      <c r="T100">
        <v>61134.870000000032</v>
      </c>
      <c r="U100">
        <v>85302.23000000004</v>
      </c>
      <c r="V100">
        <v>67998.089999999982</v>
      </c>
      <c r="W100">
        <v>57632.790000000037</v>
      </c>
      <c r="X100">
        <v>0</v>
      </c>
      <c r="Y100">
        <v>0</v>
      </c>
      <c r="Z100">
        <v>0</v>
      </c>
      <c r="AA100">
        <v>0</v>
      </c>
      <c r="AB100">
        <v>0</v>
      </c>
      <c r="AC100" s="297">
        <v>0</v>
      </c>
      <c r="AD100">
        <f>SUMPRODUCT(DB_STProjectAcct[[#This Row],[Plan01]:[Plan12]],$F$14:$Q$14)/valUnits2</f>
        <v>424.10028600000004</v>
      </c>
      <c r="AE100">
        <f>SUMPRODUCT(DB_STProjectAcct[[#This Row],[Act01]:[Act12]],$R$14:$AC$14)/valUnits2</f>
        <v>362.95826000000011</v>
      </c>
      <c r="AF100">
        <f>DB_STProjectAcct[[#This Row],[Actual]]-DB_STProjectAcct[[#This Row],[Plan]]</f>
        <v>-61.14202599999993</v>
      </c>
      <c r="AG100">
        <f>IF(DB_STProjectAcct[[#This Row],[Plan]]&lt;&gt;0,DB_STProjectAcct[[#This Row],[Actual]]/DB_STProjectAcct[[#This Row],[Plan]],1.000011000011)</f>
        <v>0.85583120781012645</v>
      </c>
    </row>
    <row r="101" spans="1:33" hidden="1" x14ac:dyDescent="0.2">
      <c r="A101" t="s">
        <v>1088</v>
      </c>
      <c r="B101" t="s">
        <v>351</v>
      </c>
      <c r="C101" t="s">
        <v>496</v>
      </c>
      <c r="D101" t="s">
        <v>975</v>
      </c>
      <c r="E101" t="s">
        <v>236</v>
      </c>
      <c r="F101">
        <v>1803.5260000000001</v>
      </c>
      <c r="G101">
        <v>1818.2839999999999</v>
      </c>
      <c r="H101">
        <v>4179.6479999999992</v>
      </c>
      <c r="I101">
        <v>1563.029</v>
      </c>
      <c r="J101">
        <v>15840.925000000008</v>
      </c>
      <c r="K101">
        <v>366.95800000000003</v>
      </c>
      <c r="L101">
        <v>366.95800000000003</v>
      </c>
      <c r="M101">
        <v>366.95800000000003</v>
      </c>
      <c r="N101">
        <v>366.95800000000003</v>
      </c>
      <c r="O101">
        <v>366.95800000000003</v>
      </c>
      <c r="P101">
        <v>366.95800000000003</v>
      </c>
      <c r="Q101">
        <v>366.95800000000003</v>
      </c>
      <c r="R101">
        <v>1678.19</v>
      </c>
      <c r="S101">
        <v>1691.9600000000003</v>
      </c>
      <c r="T101">
        <v>4055.9400000000005</v>
      </c>
      <c r="U101">
        <v>1438.4800000000002</v>
      </c>
      <c r="V101">
        <v>15623.280000000008</v>
      </c>
      <c r="W101">
        <v>2392.079999999999</v>
      </c>
      <c r="X101">
        <v>0</v>
      </c>
      <c r="Y101">
        <v>0</v>
      </c>
      <c r="Z101">
        <v>0</v>
      </c>
      <c r="AA101">
        <v>0</v>
      </c>
      <c r="AB101">
        <v>0</v>
      </c>
      <c r="AC101" s="295">
        <v>0</v>
      </c>
      <c r="AD101">
        <f>SUMPRODUCT(DB_STProjectAcct[[#This Row],[Plan01]:[Plan12]],$F$14:$Q$14)/valUnits2</f>
        <v>25.572370000000006</v>
      </c>
      <c r="AE101">
        <f>SUMPRODUCT(DB_STProjectAcct[[#This Row],[Act01]:[Act12]],$R$14:$AC$14)/valUnits2</f>
        <v>26.879930000000009</v>
      </c>
      <c r="AF101">
        <f>DB_STProjectAcct[[#This Row],[Actual]]-DB_STProjectAcct[[#This Row],[Plan]]</f>
        <v>1.3075600000000023</v>
      </c>
      <c r="AG101">
        <f>IF(DB_STProjectAcct[[#This Row],[Plan]]&lt;&gt;0,DB_STProjectAcct[[#This Row],[Actual]]/DB_STProjectAcct[[#This Row],[Plan]],1.000011000011)</f>
        <v>1.0511317488367329</v>
      </c>
    </row>
    <row r="102" spans="1:33" hidden="1" x14ac:dyDescent="0.2">
      <c r="A102" t="s">
        <v>1089</v>
      </c>
      <c r="B102" t="s">
        <v>351</v>
      </c>
      <c r="C102" t="s">
        <v>496</v>
      </c>
      <c r="D102" t="s">
        <v>975</v>
      </c>
      <c r="E102" t="s">
        <v>237</v>
      </c>
      <c r="F102">
        <v>1647.9550000000002</v>
      </c>
      <c r="G102">
        <v>159.84</v>
      </c>
      <c r="H102">
        <v>113.46900000000008</v>
      </c>
      <c r="I102">
        <v>5618.4319999999971</v>
      </c>
      <c r="J102">
        <v>1200.6579999999999</v>
      </c>
      <c r="K102">
        <v>114.75</v>
      </c>
      <c r="L102">
        <v>114.75</v>
      </c>
      <c r="M102">
        <v>114.75</v>
      </c>
      <c r="N102">
        <v>114.75</v>
      </c>
      <c r="O102">
        <v>114.75</v>
      </c>
      <c r="P102">
        <v>114.75</v>
      </c>
      <c r="Q102">
        <v>114.75</v>
      </c>
      <c r="R102">
        <v>1657.01</v>
      </c>
      <c r="S102">
        <v>159.84</v>
      </c>
      <c r="T102">
        <v>113.1</v>
      </c>
      <c r="U102">
        <v>5565.6799999999985</v>
      </c>
      <c r="V102">
        <v>1201.0299999999993</v>
      </c>
      <c r="W102">
        <v>115.16</v>
      </c>
      <c r="X102">
        <v>0</v>
      </c>
      <c r="Y102">
        <v>0</v>
      </c>
      <c r="Z102">
        <v>0</v>
      </c>
      <c r="AA102">
        <v>0</v>
      </c>
      <c r="AB102">
        <v>0</v>
      </c>
      <c r="AC102" s="297">
        <v>0</v>
      </c>
      <c r="AD102">
        <f>SUMPRODUCT(DB_STProjectAcct[[#This Row],[Plan01]:[Plan12]],$F$14:$Q$14)/valUnits2</f>
        <v>8.8551039999999972</v>
      </c>
      <c r="AE102">
        <f>SUMPRODUCT(DB_STProjectAcct[[#This Row],[Act01]:[Act12]],$R$14:$AC$14)/valUnits2</f>
        <v>8.8118199999999973</v>
      </c>
      <c r="AF102">
        <f>DB_STProjectAcct[[#This Row],[Actual]]-DB_STProjectAcct[[#This Row],[Plan]]</f>
        <v>-4.3283999999999878E-2</v>
      </c>
      <c r="AG102">
        <f>IF(DB_STProjectAcct[[#This Row],[Plan]]&lt;&gt;0,DB_STProjectAcct[[#This Row],[Actual]]/DB_STProjectAcct[[#This Row],[Plan]],1.000011000011)</f>
        <v>0.99511197158158726</v>
      </c>
    </row>
    <row r="103" spans="1:33" hidden="1" x14ac:dyDescent="0.2">
      <c r="A103" t="s">
        <v>1090</v>
      </c>
      <c r="B103" t="s">
        <v>351</v>
      </c>
      <c r="C103" t="s">
        <v>496</v>
      </c>
      <c r="D103" t="s">
        <v>975</v>
      </c>
      <c r="E103" t="s">
        <v>141</v>
      </c>
      <c r="F103">
        <v>1507.8219999999999</v>
      </c>
      <c r="G103">
        <v>3543.152</v>
      </c>
      <c r="H103">
        <v>1595.627</v>
      </c>
      <c r="I103">
        <v>606.88299999999924</v>
      </c>
      <c r="J103">
        <v>4139.6519999999982</v>
      </c>
      <c r="K103">
        <v>2965.2730000000001</v>
      </c>
      <c r="L103">
        <v>2639.1970000000001</v>
      </c>
      <c r="M103">
        <v>2672.5309999999999</v>
      </c>
      <c r="N103">
        <v>2965.2730000000001</v>
      </c>
      <c r="O103">
        <v>2639.1969999999997</v>
      </c>
      <c r="P103">
        <v>2965.2730000000001</v>
      </c>
      <c r="Q103">
        <v>876.85600000000011</v>
      </c>
      <c r="R103">
        <v>1508.6100000000001</v>
      </c>
      <c r="S103">
        <v>3544.4400000000005</v>
      </c>
      <c r="T103">
        <v>1595.9800000000005</v>
      </c>
      <c r="U103">
        <v>605.94999999999982</v>
      </c>
      <c r="V103">
        <v>4128.58</v>
      </c>
      <c r="W103">
        <v>2029.28</v>
      </c>
      <c r="X103">
        <v>274.23</v>
      </c>
      <c r="Y103">
        <v>0</v>
      </c>
      <c r="Z103">
        <v>0</v>
      </c>
      <c r="AA103">
        <v>0</v>
      </c>
      <c r="AB103">
        <v>0</v>
      </c>
      <c r="AC103" s="295">
        <v>0</v>
      </c>
      <c r="AD103">
        <f>SUMPRODUCT(DB_STProjectAcct[[#This Row],[Plan01]:[Plan12]],$F$14:$Q$14)/valUnits2</f>
        <v>14.358409</v>
      </c>
      <c r="AE103">
        <f>SUMPRODUCT(DB_STProjectAcct[[#This Row],[Act01]:[Act12]],$R$14:$AC$14)/valUnits2</f>
        <v>13.412840000000003</v>
      </c>
      <c r="AF103">
        <f>DB_STProjectAcct[[#This Row],[Actual]]-DB_STProjectAcct[[#This Row],[Plan]]</f>
        <v>-0.94556899999999722</v>
      </c>
      <c r="AG103">
        <f>IF(DB_STProjectAcct[[#This Row],[Plan]]&lt;&gt;0,DB_STProjectAcct[[#This Row],[Actual]]/DB_STProjectAcct[[#This Row],[Plan]],1.000011000011)</f>
        <v>0.93414528030229549</v>
      </c>
    </row>
    <row r="104" spans="1:33" hidden="1" x14ac:dyDescent="0.2">
      <c r="A104" t="s">
        <v>1091</v>
      </c>
      <c r="B104" t="s">
        <v>351</v>
      </c>
      <c r="C104" t="s">
        <v>497</v>
      </c>
      <c r="D104" t="s">
        <v>980</v>
      </c>
      <c r="E104" t="s">
        <v>143</v>
      </c>
      <c r="K104">
        <v>0</v>
      </c>
      <c r="W104">
        <v>93.36</v>
      </c>
      <c r="AC104" s="297"/>
      <c r="AD104">
        <f>SUMPRODUCT(DB_STProjectAcct[[#This Row],[Plan01]:[Plan12]],$F$14:$Q$14)/valUnits2</f>
        <v>0</v>
      </c>
      <c r="AE104">
        <f>SUMPRODUCT(DB_STProjectAcct[[#This Row],[Act01]:[Act12]],$R$14:$AC$14)/valUnits2</f>
        <v>9.3359999999999999E-2</v>
      </c>
      <c r="AF104">
        <f>DB_STProjectAcct[[#This Row],[Actual]]-DB_STProjectAcct[[#This Row],[Plan]]</f>
        <v>9.3359999999999999E-2</v>
      </c>
      <c r="AG104">
        <f>IF(DB_STProjectAcct[[#This Row],[Plan]]&lt;&gt;0,DB_STProjectAcct[[#This Row],[Actual]]/DB_STProjectAcct[[#This Row],[Plan]],1.000011000011)</f>
        <v>1.0000110000110001</v>
      </c>
    </row>
    <row r="105" spans="1:33" hidden="1" x14ac:dyDescent="0.2">
      <c r="A105" t="s">
        <v>1092</v>
      </c>
      <c r="B105" t="s">
        <v>351</v>
      </c>
      <c r="C105" t="s">
        <v>497</v>
      </c>
      <c r="D105" t="s">
        <v>980</v>
      </c>
      <c r="E105" t="s">
        <v>235</v>
      </c>
      <c r="K105">
        <v>0</v>
      </c>
      <c r="W105">
        <v>25.66</v>
      </c>
      <c r="AC105" s="295"/>
      <c r="AD105">
        <f>SUMPRODUCT(DB_STProjectAcct[[#This Row],[Plan01]:[Plan12]],$F$14:$Q$14)/valUnits2</f>
        <v>0</v>
      </c>
      <c r="AE105">
        <f>SUMPRODUCT(DB_STProjectAcct[[#This Row],[Act01]:[Act12]],$R$14:$AC$14)/valUnits2</f>
        <v>2.5659999999999999E-2</v>
      </c>
      <c r="AF105">
        <f>DB_STProjectAcct[[#This Row],[Actual]]-DB_STProjectAcct[[#This Row],[Plan]]</f>
        <v>2.5659999999999999E-2</v>
      </c>
      <c r="AG105">
        <f>IF(DB_STProjectAcct[[#This Row],[Plan]]&lt;&gt;0,DB_STProjectAcct[[#This Row],[Actual]]/DB_STProjectAcct[[#This Row],[Plan]],1.000011000011)</f>
        <v>1.0000110000110001</v>
      </c>
    </row>
    <row r="106" spans="1:33" hidden="1" x14ac:dyDescent="0.2">
      <c r="A106" t="s">
        <v>1093</v>
      </c>
      <c r="B106" t="s">
        <v>351</v>
      </c>
      <c r="C106" t="s">
        <v>497</v>
      </c>
      <c r="D106" t="s">
        <v>980</v>
      </c>
      <c r="E106" t="s">
        <v>144</v>
      </c>
      <c r="AC106" s="297"/>
      <c r="AD106">
        <f>SUMPRODUCT(DB_STProjectAcct[[#This Row],[Plan01]:[Plan12]],$F$14:$Q$14)/valUnits2</f>
        <v>0</v>
      </c>
      <c r="AE106">
        <f>SUMPRODUCT(DB_STProjectAcct[[#This Row],[Act01]:[Act12]],$R$14:$AC$14)/valUnits2</f>
        <v>0</v>
      </c>
      <c r="AF106">
        <f>DB_STProjectAcct[[#This Row],[Actual]]-DB_STProjectAcct[[#This Row],[Plan]]</f>
        <v>0</v>
      </c>
      <c r="AG106">
        <f>IF(DB_STProjectAcct[[#This Row],[Plan]]&lt;&gt;0,DB_STProjectAcct[[#This Row],[Actual]]/DB_STProjectAcct[[#This Row],[Plan]],1.000011000011)</f>
        <v>1.0000110000110001</v>
      </c>
    </row>
    <row r="107" spans="1:33" hidden="1" x14ac:dyDescent="0.2">
      <c r="A107" t="s">
        <v>1094</v>
      </c>
      <c r="B107" t="s">
        <v>351</v>
      </c>
      <c r="C107" t="s">
        <v>497</v>
      </c>
      <c r="D107" t="s">
        <v>980</v>
      </c>
      <c r="E107" t="s">
        <v>142</v>
      </c>
      <c r="AC107" s="295"/>
      <c r="AD107">
        <f>SUMPRODUCT(DB_STProjectAcct[[#This Row],[Plan01]:[Plan12]],$F$14:$Q$14)/valUnits2</f>
        <v>0</v>
      </c>
      <c r="AE107">
        <f>SUMPRODUCT(DB_STProjectAcct[[#This Row],[Act01]:[Act12]],$R$14:$AC$14)/valUnits2</f>
        <v>0</v>
      </c>
      <c r="AF107">
        <f>DB_STProjectAcct[[#This Row],[Actual]]-DB_STProjectAcct[[#This Row],[Plan]]</f>
        <v>0</v>
      </c>
      <c r="AG107">
        <f>IF(DB_STProjectAcct[[#This Row],[Plan]]&lt;&gt;0,DB_STProjectAcct[[#This Row],[Actual]]/DB_STProjectAcct[[#This Row],[Plan]],1.000011000011)</f>
        <v>1.0000110000110001</v>
      </c>
    </row>
    <row r="108" spans="1:33" hidden="1" x14ac:dyDescent="0.2">
      <c r="A108" t="s">
        <v>1095</v>
      </c>
      <c r="B108" t="s">
        <v>351</v>
      </c>
      <c r="C108" t="s">
        <v>497</v>
      </c>
      <c r="D108" t="s">
        <v>980</v>
      </c>
      <c r="E108" t="s">
        <v>140</v>
      </c>
      <c r="F108">
        <v>1536.8799999999999</v>
      </c>
      <c r="G108">
        <v>28434.434000000008</v>
      </c>
      <c r="H108">
        <v>21938.622999999996</v>
      </c>
      <c r="I108">
        <v>29518.248999999989</v>
      </c>
      <c r="J108">
        <v>18258.372000000003</v>
      </c>
      <c r="K108">
        <v>20827.249000000003</v>
      </c>
      <c r="L108">
        <v>19660.197</v>
      </c>
      <c r="M108">
        <v>19592.078999999998</v>
      </c>
      <c r="N108">
        <v>19540.054000000007</v>
      </c>
      <c r="O108">
        <v>15180.043</v>
      </c>
      <c r="P108">
        <v>15180.043</v>
      </c>
      <c r="Q108">
        <v>12400.260999999999</v>
      </c>
      <c r="R108">
        <v>159.6</v>
      </c>
      <c r="S108">
        <v>27028.52</v>
      </c>
      <c r="T108">
        <v>20294.030000000006</v>
      </c>
      <c r="U108">
        <v>27675.609999999997</v>
      </c>
      <c r="V108">
        <v>13973.519999999999</v>
      </c>
      <c r="W108">
        <v>14898.98</v>
      </c>
      <c r="X108">
        <v>0</v>
      </c>
      <c r="Y108">
        <v>0</v>
      </c>
      <c r="Z108">
        <v>0</v>
      </c>
      <c r="AA108">
        <v>0</v>
      </c>
      <c r="AB108">
        <v>0</v>
      </c>
      <c r="AC108" s="297">
        <v>0</v>
      </c>
      <c r="AD108">
        <f>SUMPRODUCT(DB_STProjectAcct[[#This Row],[Plan01]:[Plan12]],$F$14:$Q$14)/valUnits2</f>
        <v>120.513807</v>
      </c>
      <c r="AE108">
        <f>SUMPRODUCT(DB_STProjectAcct[[#This Row],[Act01]:[Act12]],$R$14:$AC$14)/valUnits2</f>
        <v>104.03026000000001</v>
      </c>
      <c r="AF108">
        <f>DB_STProjectAcct[[#This Row],[Actual]]-DB_STProjectAcct[[#This Row],[Plan]]</f>
        <v>-16.483546999999987</v>
      </c>
      <c r="AG108">
        <f>IF(DB_STProjectAcct[[#This Row],[Plan]]&lt;&gt;0,DB_STProjectAcct[[#This Row],[Actual]]/DB_STProjectAcct[[#This Row],[Plan]],1.000011000011)</f>
        <v>0.86322275090023515</v>
      </c>
    </row>
    <row r="109" spans="1:33" hidden="1" x14ac:dyDescent="0.2">
      <c r="A109" t="s">
        <v>1096</v>
      </c>
      <c r="B109" t="s">
        <v>351</v>
      </c>
      <c r="C109" t="s">
        <v>497</v>
      </c>
      <c r="D109" t="s">
        <v>980</v>
      </c>
      <c r="E109" t="s">
        <v>236</v>
      </c>
      <c r="F109">
        <v>330.83</v>
      </c>
      <c r="G109">
        <v>56.67</v>
      </c>
      <c r="H109">
        <v>230.15900000000002</v>
      </c>
      <c r="I109">
        <v>-614.61</v>
      </c>
      <c r="K109">
        <v>0</v>
      </c>
      <c r="R109">
        <v>330.83</v>
      </c>
      <c r="S109">
        <v>56.67</v>
      </c>
      <c r="T109">
        <v>230.16000000000003</v>
      </c>
      <c r="U109">
        <v>-614.61</v>
      </c>
      <c r="W109">
        <v>1231.79</v>
      </c>
      <c r="AC109" s="295"/>
      <c r="AD109">
        <f>SUMPRODUCT(DB_STProjectAcct[[#This Row],[Plan01]:[Plan12]],$F$14:$Q$14)/valUnits2</f>
        <v>3.0489999999999784E-3</v>
      </c>
      <c r="AE109">
        <f>SUMPRODUCT(DB_STProjectAcct[[#This Row],[Act01]:[Act12]],$R$14:$AC$14)/valUnits2</f>
        <v>1.2348400000000002</v>
      </c>
      <c r="AF109">
        <f>DB_STProjectAcct[[#This Row],[Actual]]-DB_STProjectAcct[[#This Row],[Plan]]</f>
        <v>1.2317910000000001</v>
      </c>
      <c r="AG109">
        <f>IF(DB_STProjectAcct[[#This Row],[Plan]]&lt;&gt;0,DB_STProjectAcct[[#This Row],[Actual]]/DB_STProjectAcct[[#This Row],[Plan]],1.000011000011)</f>
        <v>404.9983601180744</v>
      </c>
    </row>
    <row r="110" spans="1:33" hidden="1" x14ac:dyDescent="0.2">
      <c r="A110" t="s">
        <v>1097</v>
      </c>
      <c r="B110" t="s">
        <v>351</v>
      </c>
      <c r="C110" t="s">
        <v>497</v>
      </c>
      <c r="D110" t="s">
        <v>980</v>
      </c>
      <c r="E110" t="s">
        <v>237</v>
      </c>
      <c r="F110">
        <v>0</v>
      </c>
      <c r="G110">
        <v>0</v>
      </c>
      <c r="H110">
        <v>1111.08</v>
      </c>
      <c r="I110">
        <v>-1092.24</v>
      </c>
      <c r="J110">
        <v>24.28</v>
      </c>
      <c r="K110">
        <v>157.006</v>
      </c>
      <c r="L110">
        <v>170.46700000000001</v>
      </c>
      <c r="M110">
        <v>170.46700000000001</v>
      </c>
      <c r="N110">
        <v>170.46700000000001</v>
      </c>
      <c r="O110">
        <v>170.46700000000001</v>
      </c>
      <c r="P110">
        <v>170.46700000000001</v>
      </c>
      <c r="Q110">
        <v>170.46700000000001</v>
      </c>
      <c r="R110">
        <v>0</v>
      </c>
      <c r="S110">
        <v>0</v>
      </c>
      <c r="T110">
        <v>1111.08</v>
      </c>
      <c r="U110">
        <v>-1092.24</v>
      </c>
      <c r="V110">
        <v>24.28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 s="297">
        <v>0</v>
      </c>
      <c r="AD110">
        <f>SUMPRODUCT(DB_STProjectAcct[[#This Row],[Plan01]:[Plan12]],$F$14:$Q$14)/valUnits2</f>
        <v>0.20012599999999992</v>
      </c>
      <c r="AE110">
        <f>SUMPRODUCT(DB_STProjectAcct[[#This Row],[Act01]:[Act12]],$R$14:$AC$14)/valUnits2</f>
        <v>4.3119999999999922E-2</v>
      </c>
      <c r="AF110">
        <f>DB_STProjectAcct[[#This Row],[Actual]]-DB_STProjectAcct[[#This Row],[Plan]]</f>
        <v>-0.15700599999999998</v>
      </c>
      <c r="AG110">
        <f>IF(DB_STProjectAcct[[#This Row],[Plan]]&lt;&gt;0,DB_STProjectAcct[[#This Row],[Actual]]/DB_STProjectAcct[[#This Row],[Plan]],1.000011000011)</f>
        <v>0.21546425751776352</v>
      </c>
    </row>
    <row r="111" spans="1:33" hidden="1" x14ac:dyDescent="0.2">
      <c r="A111" t="s">
        <v>1098</v>
      </c>
      <c r="B111" t="s">
        <v>351</v>
      </c>
      <c r="C111" t="s">
        <v>497</v>
      </c>
      <c r="D111" t="s">
        <v>980</v>
      </c>
      <c r="E111" t="s">
        <v>141</v>
      </c>
      <c r="F111">
        <v>145.21</v>
      </c>
      <c r="G111">
        <v>85.912999999999997</v>
      </c>
      <c r="H111">
        <v>0</v>
      </c>
      <c r="K111">
        <v>0</v>
      </c>
      <c r="R111">
        <v>145.21</v>
      </c>
      <c r="S111">
        <v>85.830000000000013</v>
      </c>
      <c r="T111">
        <v>0</v>
      </c>
      <c r="W111">
        <v>8729.93</v>
      </c>
      <c r="AC111" s="295"/>
      <c r="AD111">
        <f>SUMPRODUCT(DB_STProjectAcct[[#This Row],[Plan01]:[Plan12]],$F$14:$Q$14)/valUnits2</f>
        <v>0.231123</v>
      </c>
      <c r="AE111">
        <f>SUMPRODUCT(DB_STProjectAcct[[#This Row],[Act01]:[Act12]],$R$14:$AC$14)/valUnits2</f>
        <v>8.9609700000000014</v>
      </c>
      <c r="AF111">
        <f>DB_STProjectAcct[[#This Row],[Actual]]-DB_STProjectAcct[[#This Row],[Plan]]</f>
        <v>8.7298470000000012</v>
      </c>
      <c r="AG111">
        <f>IF(DB_STProjectAcct[[#This Row],[Plan]]&lt;&gt;0,DB_STProjectAcct[[#This Row],[Actual]]/DB_STProjectAcct[[#This Row],[Plan]],1.000011000011)</f>
        <v>38.77143339260914</v>
      </c>
    </row>
    <row r="112" spans="1:33" hidden="1" x14ac:dyDescent="0.2">
      <c r="A112" t="s">
        <v>1099</v>
      </c>
      <c r="B112" t="s">
        <v>351</v>
      </c>
      <c r="C112" t="s">
        <v>498</v>
      </c>
      <c r="D112" t="s">
        <v>999</v>
      </c>
      <c r="E112" t="s">
        <v>143</v>
      </c>
      <c r="G112">
        <v>108.074</v>
      </c>
      <c r="H112">
        <v>0</v>
      </c>
      <c r="I112">
        <v>0</v>
      </c>
      <c r="J112">
        <v>0</v>
      </c>
      <c r="K112">
        <v>250</v>
      </c>
      <c r="L112">
        <v>250</v>
      </c>
      <c r="M112">
        <v>500</v>
      </c>
      <c r="N112">
        <v>250</v>
      </c>
      <c r="O112">
        <v>250</v>
      </c>
      <c r="P112">
        <v>250</v>
      </c>
      <c r="Q112">
        <v>250</v>
      </c>
      <c r="S112">
        <v>106.52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 s="297">
        <v>0</v>
      </c>
      <c r="AD112">
        <f>SUMPRODUCT(DB_STProjectAcct[[#This Row],[Plan01]:[Plan12]],$F$14:$Q$14)/valUnits2</f>
        <v>0.358074</v>
      </c>
      <c r="AE112">
        <f>SUMPRODUCT(DB_STProjectAcct[[#This Row],[Act01]:[Act12]],$R$14:$AC$14)/valUnits2</f>
        <v>0.10651999999999999</v>
      </c>
      <c r="AF112">
        <f>DB_STProjectAcct[[#This Row],[Actual]]-DB_STProjectAcct[[#This Row],[Plan]]</f>
        <v>-0.251554</v>
      </c>
      <c r="AG112">
        <f>IF(DB_STProjectAcct[[#This Row],[Plan]]&lt;&gt;0,DB_STProjectAcct[[#This Row],[Actual]]/DB_STProjectAcct[[#This Row],[Plan]],1.000011000011)</f>
        <v>0.29748040907745321</v>
      </c>
    </row>
    <row r="113" spans="1:33" hidden="1" x14ac:dyDescent="0.2">
      <c r="A113" t="s">
        <v>1100</v>
      </c>
      <c r="B113" t="s">
        <v>351</v>
      </c>
      <c r="C113" t="s">
        <v>498</v>
      </c>
      <c r="D113" t="s">
        <v>999</v>
      </c>
      <c r="E113" t="s">
        <v>235</v>
      </c>
      <c r="K113">
        <v>0</v>
      </c>
      <c r="W113">
        <v>9.0299999999999994</v>
      </c>
      <c r="AC113" s="295"/>
      <c r="AD113">
        <f>SUMPRODUCT(DB_STProjectAcct[[#This Row],[Plan01]:[Plan12]],$F$14:$Q$14)/valUnits2</f>
        <v>0</v>
      </c>
      <c r="AE113">
        <f>SUMPRODUCT(DB_STProjectAcct[[#This Row],[Act01]:[Act12]],$R$14:$AC$14)/valUnits2</f>
        <v>9.0299999999999998E-3</v>
      </c>
      <c r="AF113">
        <f>DB_STProjectAcct[[#This Row],[Actual]]-DB_STProjectAcct[[#This Row],[Plan]]</f>
        <v>9.0299999999999998E-3</v>
      </c>
      <c r="AG113">
        <f>IF(DB_STProjectAcct[[#This Row],[Plan]]&lt;&gt;0,DB_STProjectAcct[[#This Row],[Actual]]/DB_STProjectAcct[[#This Row],[Plan]],1.000011000011)</f>
        <v>1.0000110000110001</v>
      </c>
    </row>
    <row r="114" spans="1:33" hidden="1" x14ac:dyDescent="0.2">
      <c r="A114" t="s">
        <v>1101</v>
      </c>
      <c r="B114" t="s">
        <v>351</v>
      </c>
      <c r="C114" t="s">
        <v>498</v>
      </c>
      <c r="D114" t="s">
        <v>999</v>
      </c>
      <c r="E114" t="s">
        <v>144</v>
      </c>
      <c r="AC114" s="297"/>
      <c r="AD114">
        <f>SUMPRODUCT(DB_STProjectAcct[[#This Row],[Plan01]:[Plan12]],$F$14:$Q$14)/valUnits2</f>
        <v>0</v>
      </c>
      <c r="AE114">
        <f>SUMPRODUCT(DB_STProjectAcct[[#This Row],[Act01]:[Act12]],$R$14:$AC$14)/valUnits2</f>
        <v>0</v>
      </c>
      <c r="AF114">
        <f>DB_STProjectAcct[[#This Row],[Actual]]-DB_STProjectAcct[[#This Row],[Plan]]</f>
        <v>0</v>
      </c>
      <c r="AG114">
        <f>IF(DB_STProjectAcct[[#This Row],[Plan]]&lt;&gt;0,DB_STProjectAcct[[#This Row],[Actual]]/DB_STProjectAcct[[#This Row],[Plan]],1.000011000011)</f>
        <v>1.0000110000110001</v>
      </c>
    </row>
    <row r="115" spans="1:33" hidden="1" x14ac:dyDescent="0.2">
      <c r="A115" t="s">
        <v>1102</v>
      </c>
      <c r="B115" t="s">
        <v>351</v>
      </c>
      <c r="C115" t="s">
        <v>498</v>
      </c>
      <c r="D115" t="s">
        <v>999</v>
      </c>
      <c r="E115" t="s">
        <v>142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929.96900000000005</v>
      </c>
      <c r="L115">
        <v>929.96900000000005</v>
      </c>
      <c r="M115">
        <v>929.96900000000005</v>
      </c>
      <c r="N115">
        <v>929.96900000000005</v>
      </c>
      <c r="O115">
        <v>929.96900000000005</v>
      </c>
      <c r="P115">
        <v>929.96900000000005</v>
      </c>
      <c r="Q115">
        <v>929.96900000000005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 s="295">
        <v>0</v>
      </c>
      <c r="AD115">
        <f>SUMPRODUCT(DB_STProjectAcct[[#This Row],[Plan01]:[Plan12]],$F$14:$Q$14)/valUnits2</f>
        <v>0.92996900000000005</v>
      </c>
      <c r="AE115">
        <f>SUMPRODUCT(DB_STProjectAcct[[#This Row],[Act01]:[Act12]],$R$14:$AC$14)/valUnits2</f>
        <v>0</v>
      </c>
      <c r="AF115">
        <f>DB_STProjectAcct[[#This Row],[Actual]]-DB_STProjectAcct[[#This Row],[Plan]]</f>
        <v>-0.92996900000000005</v>
      </c>
      <c r="AG115">
        <f>IF(DB_STProjectAcct[[#This Row],[Plan]]&lt;&gt;0,DB_STProjectAcct[[#This Row],[Actual]]/DB_STProjectAcct[[#This Row],[Plan]],1.000011000011)</f>
        <v>0</v>
      </c>
    </row>
    <row r="116" spans="1:33" hidden="1" x14ac:dyDescent="0.2">
      <c r="A116" t="s">
        <v>1103</v>
      </c>
      <c r="B116" t="s">
        <v>351</v>
      </c>
      <c r="C116" t="s">
        <v>498</v>
      </c>
      <c r="D116" t="s">
        <v>999</v>
      </c>
      <c r="E116" t="s">
        <v>140</v>
      </c>
      <c r="F116">
        <v>11199.36</v>
      </c>
      <c r="G116">
        <v>15037.487000000001</v>
      </c>
      <c r="H116">
        <v>17113.021000000001</v>
      </c>
      <c r="I116">
        <v>61235.789999999979</v>
      </c>
      <c r="J116">
        <v>68555.429000000018</v>
      </c>
      <c r="K116">
        <v>52724.59</v>
      </c>
      <c r="L116">
        <v>52113.79800000001</v>
      </c>
      <c r="M116">
        <v>51410.82</v>
      </c>
      <c r="N116">
        <v>51352.648000000008</v>
      </c>
      <c r="O116">
        <v>44599.789000000019</v>
      </c>
      <c r="P116">
        <v>43017.951000000023</v>
      </c>
      <c r="Q116">
        <v>32795.563000000009</v>
      </c>
      <c r="R116">
        <v>8591.9600000000028</v>
      </c>
      <c r="S116">
        <v>12199.090000000002</v>
      </c>
      <c r="T116">
        <v>13427.279999999999</v>
      </c>
      <c r="U116">
        <v>57304.650000000023</v>
      </c>
      <c r="V116">
        <v>54463.39999999998</v>
      </c>
      <c r="W116">
        <v>36403.42</v>
      </c>
      <c r="X116">
        <v>0</v>
      </c>
      <c r="Y116">
        <v>0</v>
      </c>
      <c r="Z116">
        <v>0</v>
      </c>
      <c r="AA116">
        <v>0</v>
      </c>
      <c r="AB116">
        <v>0</v>
      </c>
      <c r="AC116" s="297">
        <v>0</v>
      </c>
      <c r="AD116">
        <f>SUMPRODUCT(DB_STProjectAcct[[#This Row],[Plan01]:[Plan12]],$F$14:$Q$14)/valUnits2</f>
        <v>225.86567700000001</v>
      </c>
      <c r="AE116">
        <f>SUMPRODUCT(DB_STProjectAcct[[#This Row],[Act01]:[Act12]],$R$14:$AC$14)/valUnits2</f>
        <v>182.38979999999998</v>
      </c>
      <c r="AF116">
        <f>DB_STProjectAcct[[#This Row],[Actual]]-DB_STProjectAcct[[#This Row],[Plan]]</f>
        <v>-43.475877000000025</v>
      </c>
      <c r="AG116">
        <f>IF(DB_STProjectAcct[[#This Row],[Plan]]&lt;&gt;0,DB_STProjectAcct[[#This Row],[Actual]]/DB_STProjectAcct[[#This Row],[Plan]],1.000011000011)</f>
        <v>0.80751445913581621</v>
      </c>
    </row>
    <row r="117" spans="1:33" hidden="1" x14ac:dyDescent="0.2">
      <c r="A117" t="s">
        <v>1104</v>
      </c>
      <c r="B117" t="s">
        <v>351</v>
      </c>
      <c r="C117" t="s">
        <v>498</v>
      </c>
      <c r="D117" t="s">
        <v>999</v>
      </c>
      <c r="E117" t="s">
        <v>236</v>
      </c>
      <c r="F117">
        <v>1828.9859999999999</v>
      </c>
      <c r="G117">
        <v>1666.6659999999999</v>
      </c>
      <c r="H117">
        <v>1666.6659999999999</v>
      </c>
      <c r="I117">
        <v>1656.636</v>
      </c>
      <c r="J117">
        <v>3581.5059999999999</v>
      </c>
      <c r="K117">
        <v>1666.6659999999999</v>
      </c>
      <c r="L117">
        <v>1666.6659999999999</v>
      </c>
      <c r="M117">
        <v>1666.6659999999999</v>
      </c>
      <c r="N117">
        <v>1666.6659999999999</v>
      </c>
      <c r="O117">
        <v>1666.6659999999999</v>
      </c>
      <c r="P117">
        <v>1666.6659999999999</v>
      </c>
      <c r="Q117">
        <v>1666.6659999999999</v>
      </c>
      <c r="R117">
        <v>162.32</v>
      </c>
      <c r="S117">
        <v>0</v>
      </c>
      <c r="T117">
        <v>0</v>
      </c>
      <c r="U117">
        <v>-10.029999999999999</v>
      </c>
      <c r="V117">
        <v>1914.84</v>
      </c>
      <c r="W117">
        <v>154.44999999999999</v>
      </c>
      <c r="X117">
        <v>0</v>
      </c>
      <c r="Y117">
        <v>0</v>
      </c>
      <c r="Z117">
        <v>0</v>
      </c>
      <c r="AA117">
        <v>0</v>
      </c>
      <c r="AB117">
        <v>0</v>
      </c>
      <c r="AC117" s="295">
        <v>0</v>
      </c>
      <c r="AD117">
        <f>SUMPRODUCT(DB_STProjectAcct[[#This Row],[Plan01]:[Plan12]],$F$14:$Q$14)/valUnits2</f>
        <v>12.067125999999998</v>
      </c>
      <c r="AE117">
        <f>SUMPRODUCT(DB_STProjectAcct[[#This Row],[Act01]:[Act12]],$R$14:$AC$14)/valUnits2</f>
        <v>2.2215799999999999</v>
      </c>
      <c r="AF117">
        <f>DB_STProjectAcct[[#This Row],[Actual]]-DB_STProjectAcct[[#This Row],[Plan]]</f>
        <v>-9.8455459999999988</v>
      </c>
      <c r="AG117">
        <f>IF(DB_STProjectAcct[[#This Row],[Plan]]&lt;&gt;0,DB_STProjectAcct[[#This Row],[Actual]]/DB_STProjectAcct[[#This Row],[Plan]],1.000011000011)</f>
        <v>0.18410183170375449</v>
      </c>
    </row>
    <row r="118" spans="1:33" hidden="1" x14ac:dyDescent="0.2">
      <c r="A118" t="s">
        <v>1105</v>
      </c>
      <c r="B118" t="s">
        <v>351</v>
      </c>
      <c r="C118" t="s">
        <v>498</v>
      </c>
      <c r="D118" t="s">
        <v>999</v>
      </c>
      <c r="E118" t="s">
        <v>237</v>
      </c>
      <c r="G118">
        <v>78.819999999999993</v>
      </c>
      <c r="H118">
        <v>1818.04</v>
      </c>
      <c r="I118">
        <v>-127.38200000000001</v>
      </c>
      <c r="J118">
        <v>360.27</v>
      </c>
      <c r="K118">
        <v>0</v>
      </c>
      <c r="S118">
        <v>78.819999999999993</v>
      </c>
      <c r="T118">
        <v>1818.04</v>
      </c>
      <c r="U118">
        <v>-127.37</v>
      </c>
      <c r="V118">
        <v>360.27</v>
      </c>
      <c r="W118">
        <v>0</v>
      </c>
      <c r="AC118" s="297"/>
      <c r="AD118">
        <f>SUMPRODUCT(DB_STProjectAcct[[#This Row],[Plan01]:[Plan12]],$F$14:$Q$14)/valUnits2</f>
        <v>2.1297479999999998</v>
      </c>
      <c r="AE118">
        <f>SUMPRODUCT(DB_STProjectAcct[[#This Row],[Act01]:[Act12]],$R$14:$AC$14)/valUnits2</f>
        <v>2.1297599999999997</v>
      </c>
      <c r="AF118">
        <f>DB_STProjectAcct[[#This Row],[Actual]]-DB_STProjectAcct[[#This Row],[Plan]]</f>
        <v>1.1999999999900979E-5</v>
      </c>
      <c r="AG118">
        <f>IF(DB_STProjectAcct[[#This Row],[Plan]]&lt;&gt;0,DB_STProjectAcct[[#This Row],[Actual]]/DB_STProjectAcct[[#This Row],[Plan]],1.000011000011)</f>
        <v>1.0000056344694301</v>
      </c>
    </row>
    <row r="119" spans="1:33" hidden="1" x14ac:dyDescent="0.2">
      <c r="A119" t="s">
        <v>1106</v>
      </c>
      <c r="B119" t="s">
        <v>351</v>
      </c>
      <c r="C119" t="s">
        <v>498</v>
      </c>
      <c r="D119" t="s">
        <v>999</v>
      </c>
      <c r="E119" t="s">
        <v>141</v>
      </c>
      <c r="F119">
        <v>121.38</v>
      </c>
      <c r="G119">
        <v>31.119999999999997</v>
      </c>
      <c r="H119">
        <v>84.070999999999998</v>
      </c>
      <c r="I119">
        <v>120.553</v>
      </c>
      <c r="J119">
        <v>423.24899999999997</v>
      </c>
      <c r="K119">
        <v>149.99799999999999</v>
      </c>
      <c r="L119">
        <v>149.99799999999999</v>
      </c>
      <c r="M119">
        <v>249.99799999999999</v>
      </c>
      <c r="N119">
        <v>149.99799999999999</v>
      </c>
      <c r="O119">
        <v>149.99799999999999</v>
      </c>
      <c r="P119">
        <v>149.99799999999999</v>
      </c>
      <c r="Q119">
        <v>149.99799999999999</v>
      </c>
      <c r="R119">
        <v>121.38000000000001</v>
      </c>
      <c r="S119">
        <v>31.119999999999997</v>
      </c>
      <c r="T119">
        <v>84.070000000000007</v>
      </c>
      <c r="U119">
        <v>120.64</v>
      </c>
      <c r="V119">
        <v>423.27</v>
      </c>
      <c r="W119">
        <v>1493.6200000000001</v>
      </c>
      <c r="X119">
        <v>0</v>
      </c>
      <c r="Y119">
        <v>0</v>
      </c>
      <c r="Z119">
        <v>0</v>
      </c>
      <c r="AA119">
        <v>0</v>
      </c>
      <c r="AB119">
        <v>0</v>
      </c>
      <c r="AC119" s="295">
        <v>0</v>
      </c>
      <c r="AD119">
        <f>SUMPRODUCT(DB_STProjectAcct[[#This Row],[Plan01]:[Plan12]],$F$14:$Q$14)/valUnits2</f>
        <v>0.93037100000000006</v>
      </c>
      <c r="AE119">
        <f>SUMPRODUCT(DB_STProjectAcct[[#This Row],[Act01]:[Act12]],$R$14:$AC$14)/valUnits2</f>
        <v>2.2741000000000002</v>
      </c>
      <c r="AF119">
        <f>DB_STProjectAcct[[#This Row],[Actual]]-DB_STProjectAcct[[#This Row],[Plan]]</f>
        <v>1.3437290000000002</v>
      </c>
      <c r="AG119">
        <f>IF(DB_STProjectAcct[[#This Row],[Plan]]&lt;&gt;0,DB_STProjectAcct[[#This Row],[Actual]]/DB_STProjectAcct[[#This Row],[Plan]],1.000011000011)</f>
        <v>2.4442937279859325</v>
      </c>
    </row>
    <row r="120" spans="1:33" hidden="1" x14ac:dyDescent="0.2">
      <c r="A120" t="s">
        <v>1107</v>
      </c>
      <c r="B120" t="s">
        <v>351</v>
      </c>
      <c r="C120" t="s">
        <v>499</v>
      </c>
      <c r="D120" t="s">
        <v>959</v>
      </c>
      <c r="E120" t="s">
        <v>143</v>
      </c>
      <c r="F120">
        <v>671.36</v>
      </c>
      <c r="G120">
        <v>0</v>
      </c>
      <c r="H120">
        <v>0</v>
      </c>
      <c r="I120">
        <v>0</v>
      </c>
      <c r="J120">
        <v>-518.41</v>
      </c>
      <c r="K120">
        <v>500</v>
      </c>
      <c r="L120">
        <v>500</v>
      </c>
      <c r="M120">
        <v>1000</v>
      </c>
      <c r="N120">
        <v>500</v>
      </c>
      <c r="O120">
        <v>500</v>
      </c>
      <c r="P120">
        <v>500</v>
      </c>
      <c r="Q120">
        <v>500</v>
      </c>
      <c r="R120">
        <v>671.36</v>
      </c>
      <c r="S120">
        <v>0</v>
      </c>
      <c r="T120">
        <v>0</v>
      </c>
      <c r="U120">
        <v>0</v>
      </c>
      <c r="V120">
        <v>-523.72</v>
      </c>
      <c r="W120">
        <v>97.570000000000007</v>
      </c>
      <c r="X120">
        <v>0</v>
      </c>
      <c r="Y120">
        <v>0</v>
      </c>
      <c r="Z120">
        <v>0</v>
      </c>
      <c r="AA120">
        <v>0</v>
      </c>
      <c r="AB120">
        <v>0</v>
      </c>
      <c r="AC120" s="297">
        <v>0</v>
      </c>
      <c r="AD120">
        <f>SUMPRODUCT(DB_STProjectAcct[[#This Row],[Plan01]:[Plan12]],$F$14:$Q$14)/valUnits2</f>
        <v>0.65295000000000003</v>
      </c>
      <c r="AE120">
        <f>SUMPRODUCT(DB_STProjectAcct[[#This Row],[Act01]:[Act12]],$R$14:$AC$14)/valUnits2</f>
        <v>0.24520999999999998</v>
      </c>
      <c r="AF120">
        <f>DB_STProjectAcct[[#This Row],[Actual]]-DB_STProjectAcct[[#This Row],[Plan]]</f>
        <v>-0.40774000000000005</v>
      </c>
      <c r="AG120">
        <f>IF(DB_STProjectAcct[[#This Row],[Plan]]&lt;&gt;0,DB_STProjectAcct[[#This Row],[Actual]]/DB_STProjectAcct[[#This Row],[Plan]],1.000011000011)</f>
        <v>0.37554177195803656</v>
      </c>
    </row>
    <row r="121" spans="1:33" hidden="1" x14ac:dyDescent="0.2">
      <c r="A121" t="s">
        <v>1108</v>
      </c>
      <c r="B121" t="s">
        <v>351</v>
      </c>
      <c r="C121" t="s">
        <v>499</v>
      </c>
      <c r="D121" t="s">
        <v>959</v>
      </c>
      <c r="E121" t="s">
        <v>235</v>
      </c>
      <c r="F121">
        <v>610.18200000000002</v>
      </c>
      <c r="G121">
        <v>76.158000000000001</v>
      </c>
      <c r="H121">
        <v>-185.24</v>
      </c>
      <c r="J121">
        <v>65.56</v>
      </c>
      <c r="K121">
        <v>0</v>
      </c>
      <c r="R121">
        <v>604.09</v>
      </c>
      <c r="S121">
        <v>78.33</v>
      </c>
      <c r="T121">
        <v>-185.24</v>
      </c>
      <c r="V121">
        <v>70.87</v>
      </c>
      <c r="W121">
        <v>75.53</v>
      </c>
      <c r="AC121" s="295"/>
      <c r="AD121">
        <f>SUMPRODUCT(DB_STProjectAcct[[#This Row],[Plan01]:[Plan12]],$F$14:$Q$14)/valUnits2</f>
        <v>0.56666000000000005</v>
      </c>
      <c r="AE121">
        <f>SUMPRODUCT(DB_STProjectAcct[[#This Row],[Act01]:[Act12]],$R$14:$AC$14)/valUnits2</f>
        <v>0.64358000000000004</v>
      </c>
      <c r="AF121">
        <f>DB_STProjectAcct[[#This Row],[Actual]]-DB_STProjectAcct[[#This Row],[Plan]]</f>
        <v>7.6919999999999988E-2</v>
      </c>
      <c r="AG121">
        <f>IF(DB_STProjectAcct[[#This Row],[Plan]]&lt;&gt;0,DB_STProjectAcct[[#This Row],[Actual]]/DB_STProjectAcct[[#This Row],[Plan]],1.000011000011)</f>
        <v>1.1357427734443934</v>
      </c>
    </row>
    <row r="122" spans="1:33" hidden="1" x14ac:dyDescent="0.2">
      <c r="A122" t="s">
        <v>1109</v>
      </c>
      <c r="B122" t="s">
        <v>351</v>
      </c>
      <c r="C122" t="s">
        <v>499</v>
      </c>
      <c r="D122" t="s">
        <v>959</v>
      </c>
      <c r="E122" t="s">
        <v>144</v>
      </c>
      <c r="AC122" s="297"/>
      <c r="AD122">
        <f>SUMPRODUCT(DB_STProjectAcct[[#This Row],[Plan01]:[Plan12]],$F$14:$Q$14)/valUnits2</f>
        <v>0</v>
      </c>
      <c r="AE122">
        <f>SUMPRODUCT(DB_STProjectAcct[[#This Row],[Act01]:[Act12]],$R$14:$AC$14)/valUnits2</f>
        <v>0</v>
      </c>
      <c r="AF122">
        <f>DB_STProjectAcct[[#This Row],[Actual]]-DB_STProjectAcct[[#This Row],[Plan]]</f>
        <v>0</v>
      </c>
      <c r="AG122">
        <f>IF(DB_STProjectAcct[[#This Row],[Plan]]&lt;&gt;0,DB_STProjectAcct[[#This Row],[Actual]]/DB_STProjectAcct[[#This Row],[Plan]],1.000011000011)</f>
        <v>1.0000110000110001</v>
      </c>
    </row>
    <row r="123" spans="1:33" hidden="1" x14ac:dyDescent="0.2">
      <c r="A123" t="s">
        <v>1110</v>
      </c>
      <c r="B123" t="s">
        <v>351</v>
      </c>
      <c r="C123" t="s">
        <v>499</v>
      </c>
      <c r="D123" t="s">
        <v>959</v>
      </c>
      <c r="E123" t="s">
        <v>142</v>
      </c>
      <c r="AC123" s="295"/>
      <c r="AD123">
        <f>SUMPRODUCT(DB_STProjectAcct[[#This Row],[Plan01]:[Plan12]],$F$14:$Q$14)/valUnits2</f>
        <v>0</v>
      </c>
      <c r="AE123">
        <f>SUMPRODUCT(DB_STProjectAcct[[#This Row],[Act01]:[Act12]],$R$14:$AC$14)/valUnits2</f>
        <v>0</v>
      </c>
      <c r="AF123">
        <f>DB_STProjectAcct[[#This Row],[Actual]]-DB_STProjectAcct[[#This Row],[Plan]]</f>
        <v>0</v>
      </c>
      <c r="AG123">
        <f>IF(DB_STProjectAcct[[#This Row],[Plan]]&lt;&gt;0,DB_STProjectAcct[[#This Row],[Actual]]/DB_STProjectAcct[[#This Row],[Plan]],1.000011000011)</f>
        <v>1.0000110000110001</v>
      </c>
    </row>
    <row r="124" spans="1:33" hidden="1" x14ac:dyDescent="0.2">
      <c r="A124" t="s">
        <v>1111</v>
      </c>
      <c r="B124" t="s">
        <v>351</v>
      </c>
      <c r="C124" t="s">
        <v>499</v>
      </c>
      <c r="D124" t="s">
        <v>959</v>
      </c>
      <c r="E124" t="s">
        <v>140</v>
      </c>
      <c r="F124">
        <v>189571.89499999999</v>
      </c>
      <c r="G124">
        <v>105751.019</v>
      </c>
      <c r="H124">
        <v>162192.62100000001</v>
      </c>
      <c r="I124">
        <v>-73949.952000000005</v>
      </c>
      <c r="J124">
        <v>-75394.664000000019</v>
      </c>
      <c r="K124">
        <v>59805.896999999997</v>
      </c>
      <c r="L124">
        <v>56826.760999999984</v>
      </c>
      <c r="M124">
        <v>56506.955999999991</v>
      </c>
      <c r="N124">
        <v>56397.177999999993</v>
      </c>
      <c r="O124">
        <v>48813.964</v>
      </c>
      <c r="P124">
        <v>48813.963999999993</v>
      </c>
      <c r="Q124">
        <v>38541.910999999993</v>
      </c>
      <c r="R124">
        <v>177858.50000000003</v>
      </c>
      <c r="S124">
        <v>94301.41999999994</v>
      </c>
      <c r="T124">
        <v>150263.43000000008</v>
      </c>
      <c r="U124">
        <v>-86198.479999999981</v>
      </c>
      <c r="V124">
        <v>-97448.71</v>
      </c>
      <c r="W124">
        <v>25721.730000000003</v>
      </c>
      <c r="X124">
        <v>0</v>
      </c>
      <c r="Y124">
        <v>0</v>
      </c>
      <c r="Z124">
        <v>0</v>
      </c>
      <c r="AA124">
        <v>0</v>
      </c>
      <c r="AB124">
        <v>0</v>
      </c>
      <c r="AC124" s="297">
        <v>0</v>
      </c>
      <c r="AD124">
        <f>SUMPRODUCT(DB_STProjectAcct[[#This Row],[Plan01]:[Plan12]],$F$14:$Q$14)/valUnits2</f>
        <v>367.97681599999999</v>
      </c>
      <c r="AE124">
        <f>SUMPRODUCT(DB_STProjectAcct[[#This Row],[Act01]:[Act12]],$R$14:$AC$14)/valUnits2</f>
        <v>264.4978900000001</v>
      </c>
      <c r="AF124">
        <f>DB_STProjectAcct[[#This Row],[Actual]]-DB_STProjectAcct[[#This Row],[Plan]]</f>
        <v>-103.47892599999989</v>
      </c>
      <c r="AG124">
        <f>IF(DB_STProjectAcct[[#This Row],[Plan]]&lt;&gt;0,DB_STProjectAcct[[#This Row],[Actual]]/DB_STProjectAcct[[#This Row],[Plan]],1.000011000011)</f>
        <v>0.71878955004600098</v>
      </c>
    </row>
    <row r="125" spans="1:33" hidden="1" x14ac:dyDescent="0.2">
      <c r="A125" t="s">
        <v>1112</v>
      </c>
      <c r="B125" t="s">
        <v>351</v>
      </c>
      <c r="C125" t="s">
        <v>499</v>
      </c>
      <c r="D125" t="s">
        <v>959</v>
      </c>
      <c r="E125" t="s">
        <v>236</v>
      </c>
      <c r="F125">
        <v>52415.79</v>
      </c>
      <c r="G125">
        <v>5000</v>
      </c>
      <c r="H125">
        <v>-41105.49</v>
      </c>
      <c r="I125">
        <v>5000</v>
      </c>
      <c r="J125">
        <v>5429.576</v>
      </c>
      <c r="K125">
        <v>5000</v>
      </c>
      <c r="L125">
        <v>5000</v>
      </c>
      <c r="M125">
        <v>5000</v>
      </c>
      <c r="N125">
        <v>5000</v>
      </c>
      <c r="O125">
        <v>5000</v>
      </c>
      <c r="P125">
        <v>5000</v>
      </c>
      <c r="Q125">
        <v>5000</v>
      </c>
      <c r="R125">
        <v>47415.79</v>
      </c>
      <c r="S125">
        <v>0</v>
      </c>
      <c r="T125">
        <v>-46105.49</v>
      </c>
      <c r="U125">
        <v>0</v>
      </c>
      <c r="V125">
        <v>433</v>
      </c>
      <c r="W125">
        <v>13007.189999999997</v>
      </c>
      <c r="X125">
        <v>0</v>
      </c>
      <c r="Y125">
        <v>0</v>
      </c>
      <c r="Z125">
        <v>0</v>
      </c>
      <c r="AA125">
        <v>0</v>
      </c>
      <c r="AB125">
        <v>0</v>
      </c>
      <c r="AC125" s="295">
        <v>0</v>
      </c>
      <c r="AD125">
        <f>SUMPRODUCT(DB_STProjectAcct[[#This Row],[Plan01]:[Plan12]],$F$14:$Q$14)/valUnits2</f>
        <v>31.739876000000002</v>
      </c>
      <c r="AE125">
        <f>SUMPRODUCT(DB_STProjectAcct[[#This Row],[Act01]:[Act12]],$R$14:$AC$14)/valUnits2</f>
        <v>14.750489999999999</v>
      </c>
      <c r="AF125">
        <f>DB_STProjectAcct[[#This Row],[Actual]]-DB_STProjectAcct[[#This Row],[Plan]]</f>
        <v>-16.989386000000003</v>
      </c>
      <c r="AG125">
        <f>IF(DB_STProjectAcct[[#This Row],[Plan]]&lt;&gt;0,DB_STProjectAcct[[#This Row],[Actual]]/DB_STProjectAcct[[#This Row],[Plan]],1.000011000011)</f>
        <v>0.46473054904184247</v>
      </c>
    </row>
    <row r="126" spans="1:33" hidden="1" x14ac:dyDescent="0.2">
      <c r="A126" t="s">
        <v>1113</v>
      </c>
      <c r="B126" t="s">
        <v>351</v>
      </c>
      <c r="C126" t="s">
        <v>499</v>
      </c>
      <c r="D126" t="s">
        <v>959</v>
      </c>
      <c r="E126" t="s">
        <v>237</v>
      </c>
      <c r="F126">
        <v>408.05</v>
      </c>
      <c r="G126">
        <v>22.52</v>
      </c>
      <c r="I126">
        <v>86.034000000000006</v>
      </c>
      <c r="J126">
        <v>2325.7800000000002</v>
      </c>
      <c r="K126">
        <v>0</v>
      </c>
      <c r="R126">
        <v>408.05</v>
      </c>
      <c r="S126">
        <v>22.52</v>
      </c>
      <c r="U126">
        <v>78.319999999999993</v>
      </c>
      <c r="V126">
        <v>2325.7799999999997</v>
      </c>
      <c r="W126">
        <v>283.32</v>
      </c>
      <c r="AC126" s="297"/>
      <c r="AD126">
        <f>SUMPRODUCT(DB_STProjectAcct[[#This Row],[Plan01]:[Plan12]],$F$14:$Q$14)/valUnits2</f>
        <v>2.842384</v>
      </c>
      <c r="AE126">
        <f>SUMPRODUCT(DB_STProjectAcct[[#This Row],[Act01]:[Act12]],$R$14:$AC$14)/valUnits2</f>
        <v>3.1179899999999998</v>
      </c>
      <c r="AF126">
        <f>DB_STProjectAcct[[#This Row],[Actual]]-DB_STProjectAcct[[#This Row],[Plan]]</f>
        <v>0.2756059999999998</v>
      </c>
      <c r="AG126">
        <f>IF(DB_STProjectAcct[[#This Row],[Plan]]&lt;&gt;0,DB_STProjectAcct[[#This Row],[Actual]]/DB_STProjectAcct[[#This Row],[Plan]],1.000011000011)</f>
        <v>1.09696297192779</v>
      </c>
    </row>
    <row r="127" spans="1:33" hidden="1" x14ac:dyDescent="0.2">
      <c r="A127" t="s">
        <v>1114</v>
      </c>
      <c r="B127" t="s">
        <v>351</v>
      </c>
      <c r="C127" t="s">
        <v>499</v>
      </c>
      <c r="D127" t="s">
        <v>959</v>
      </c>
      <c r="E127" t="s">
        <v>141</v>
      </c>
      <c r="F127">
        <v>483.27499999999998</v>
      </c>
      <c r="G127">
        <v>3606.587</v>
      </c>
      <c r="H127">
        <v>428.55900000000003</v>
      </c>
      <c r="I127">
        <v>-3853.7039999999997</v>
      </c>
      <c r="J127">
        <v>185.62</v>
      </c>
      <c r="K127">
        <v>753.3359999999999</v>
      </c>
      <c r="L127">
        <v>408.68700000000001</v>
      </c>
      <c r="M127">
        <v>608.68700000000013</v>
      </c>
      <c r="N127">
        <v>734.76300000000003</v>
      </c>
      <c r="O127">
        <v>408.68699999999995</v>
      </c>
      <c r="P127">
        <v>408.68699999999995</v>
      </c>
      <c r="Q127">
        <v>2039.0680000000002</v>
      </c>
      <c r="R127">
        <v>477.38000000000005</v>
      </c>
      <c r="S127">
        <v>3607.23</v>
      </c>
      <c r="T127">
        <v>427.81</v>
      </c>
      <c r="U127">
        <v>-3859.1099999999997</v>
      </c>
      <c r="V127">
        <v>185.62000000000012</v>
      </c>
      <c r="W127">
        <v>565.12999999999988</v>
      </c>
      <c r="X127">
        <v>858.06</v>
      </c>
      <c r="Y127">
        <v>0</v>
      </c>
      <c r="Z127">
        <v>0</v>
      </c>
      <c r="AA127">
        <v>0</v>
      </c>
      <c r="AB127">
        <v>0</v>
      </c>
      <c r="AC127" s="295">
        <v>0</v>
      </c>
      <c r="AD127">
        <f>SUMPRODUCT(DB_STProjectAcct[[#This Row],[Plan01]:[Plan12]],$F$14:$Q$14)/valUnits2</f>
        <v>1.6036730000000003</v>
      </c>
      <c r="AE127">
        <f>SUMPRODUCT(DB_STProjectAcct[[#This Row],[Act01]:[Act12]],$R$14:$AC$14)/valUnits2</f>
        <v>1.4040600000000003</v>
      </c>
      <c r="AF127">
        <f>DB_STProjectAcct[[#This Row],[Actual]]-DB_STProjectAcct[[#This Row],[Plan]]</f>
        <v>-0.19961300000000004</v>
      </c>
      <c r="AG127">
        <f>IF(DB_STProjectAcct[[#This Row],[Plan]]&lt;&gt;0,DB_STProjectAcct[[#This Row],[Actual]]/DB_STProjectAcct[[#This Row],[Plan]],1.000011000011)</f>
        <v>0.87552761691442083</v>
      </c>
    </row>
    <row r="128" spans="1:33" hidden="1" x14ac:dyDescent="0.2">
      <c r="A128" t="s">
        <v>1115</v>
      </c>
      <c r="B128" t="s">
        <v>351</v>
      </c>
      <c r="C128" t="s">
        <v>500</v>
      </c>
      <c r="D128" t="s">
        <v>984</v>
      </c>
      <c r="E128" t="s">
        <v>143</v>
      </c>
      <c r="AC128" s="297"/>
      <c r="AD128">
        <f>SUMPRODUCT(DB_STProjectAcct[[#This Row],[Plan01]:[Plan12]],$F$14:$Q$14)/valUnits2</f>
        <v>0</v>
      </c>
      <c r="AE128">
        <f>SUMPRODUCT(DB_STProjectAcct[[#This Row],[Act01]:[Act12]],$R$14:$AC$14)/valUnits2</f>
        <v>0</v>
      </c>
      <c r="AF128">
        <f>DB_STProjectAcct[[#This Row],[Actual]]-DB_STProjectAcct[[#This Row],[Plan]]</f>
        <v>0</v>
      </c>
      <c r="AG128">
        <f>IF(DB_STProjectAcct[[#This Row],[Plan]]&lt;&gt;0,DB_STProjectAcct[[#This Row],[Actual]]/DB_STProjectAcct[[#This Row],[Plan]],1.000011000011)</f>
        <v>1.0000110000110001</v>
      </c>
    </row>
    <row r="129" spans="1:33" hidden="1" x14ac:dyDescent="0.2">
      <c r="A129" t="s">
        <v>1116</v>
      </c>
      <c r="B129" t="s">
        <v>351</v>
      </c>
      <c r="C129" t="s">
        <v>500</v>
      </c>
      <c r="D129" t="s">
        <v>984</v>
      </c>
      <c r="E129" t="s">
        <v>235</v>
      </c>
      <c r="F129">
        <v>107.22</v>
      </c>
      <c r="I129">
        <v>-107.22</v>
      </c>
      <c r="K129">
        <v>0</v>
      </c>
      <c r="R129">
        <v>107.22</v>
      </c>
      <c r="U129">
        <v>-107.22</v>
      </c>
      <c r="W129">
        <v>49.52</v>
      </c>
      <c r="AC129" s="295"/>
      <c r="AD129">
        <f>SUMPRODUCT(DB_STProjectAcct[[#This Row],[Plan01]:[Plan12]],$F$14:$Q$14)/valUnits2</f>
        <v>0</v>
      </c>
      <c r="AE129">
        <f>SUMPRODUCT(DB_STProjectAcct[[#This Row],[Act01]:[Act12]],$R$14:$AC$14)/valUnits2</f>
        <v>4.9520000000000002E-2</v>
      </c>
      <c r="AF129">
        <f>DB_STProjectAcct[[#This Row],[Actual]]-DB_STProjectAcct[[#This Row],[Plan]]</f>
        <v>4.9520000000000002E-2</v>
      </c>
      <c r="AG129">
        <f>IF(DB_STProjectAcct[[#This Row],[Plan]]&lt;&gt;0,DB_STProjectAcct[[#This Row],[Actual]]/DB_STProjectAcct[[#This Row],[Plan]],1.000011000011)</f>
        <v>1.0000110000110001</v>
      </c>
    </row>
    <row r="130" spans="1:33" hidden="1" x14ac:dyDescent="0.2">
      <c r="A130" t="s">
        <v>1117</v>
      </c>
      <c r="B130" t="s">
        <v>351</v>
      </c>
      <c r="C130" t="s">
        <v>500</v>
      </c>
      <c r="D130" t="s">
        <v>984</v>
      </c>
      <c r="E130" t="s">
        <v>144</v>
      </c>
      <c r="AC130" s="297"/>
      <c r="AD130">
        <f>SUMPRODUCT(DB_STProjectAcct[[#This Row],[Plan01]:[Plan12]],$F$14:$Q$14)/valUnits2</f>
        <v>0</v>
      </c>
      <c r="AE130">
        <f>SUMPRODUCT(DB_STProjectAcct[[#This Row],[Act01]:[Act12]],$R$14:$AC$14)/valUnits2</f>
        <v>0</v>
      </c>
      <c r="AF130">
        <f>DB_STProjectAcct[[#This Row],[Actual]]-DB_STProjectAcct[[#This Row],[Plan]]</f>
        <v>0</v>
      </c>
      <c r="AG130">
        <f>IF(DB_STProjectAcct[[#This Row],[Plan]]&lt;&gt;0,DB_STProjectAcct[[#This Row],[Actual]]/DB_STProjectAcct[[#This Row],[Plan]],1.000011000011)</f>
        <v>1.0000110000110001</v>
      </c>
    </row>
    <row r="131" spans="1:33" hidden="1" x14ac:dyDescent="0.2">
      <c r="A131" t="s">
        <v>1118</v>
      </c>
      <c r="B131" t="s">
        <v>351</v>
      </c>
      <c r="C131" t="s">
        <v>500</v>
      </c>
      <c r="D131" t="s">
        <v>984</v>
      </c>
      <c r="E131" t="s">
        <v>142</v>
      </c>
      <c r="AC131" s="295"/>
      <c r="AD131">
        <f>SUMPRODUCT(DB_STProjectAcct[[#This Row],[Plan01]:[Plan12]],$F$14:$Q$14)/valUnits2</f>
        <v>0</v>
      </c>
      <c r="AE131">
        <f>SUMPRODUCT(DB_STProjectAcct[[#This Row],[Act01]:[Act12]],$R$14:$AC$14)/valUnits2</f>
        <v>0</v>
      </c>
      <c r="AF131">
        <f>DB_STProjectAcct[[#This Row],[Actual]]-DB_STProjectAcct[[#This Row],[Plan]]</f>
        <v>0</v>
      </c>
      <c r="AG131">
        <f>IF(DB_STProjectAcct[[#This Row],[Plan]]&lt;&gt;0,DB_STProjectAcct[[#This Row],[Actual]]/DB_STProjectAcct[[#This Row],[Plan]],1.000011000011)</f>
        <v>1.0000110000110001</v>
      </c>
    </row>
    <row r="132" spans="1:33" hidden="1" x14ac:dyDescent="0.2">
      <c r="A132" t="s">
        <v>1119</v>
      </c>
      <c r="B132" t="s">
        <v>351</v>
      </c>
      <c r="C132" t="s">
        <v>500</v>
      </c>
      <c r="D132" t="s">
        <v>984</v>
      </c>
      <c r="E132" t="s">
        <v>140</v>
      </c>
      <c r="F132">
        <v>661.72199999999998</v>
      </c>
      <c r="G132">
        <v>15422.279999999999</v>
      </c>
      <c r="H132">
        <v>7216.0069999999996</v>
      </c>
      <c r="I132">
        <v>21104.944</v>
      </c>
      <c r="J132">
        <v>20071.625000000004</v>
      </c>
      <c r="K132">
        <v>408.54399999999998</v>
      </c>
      <c r="L132">
        <v>408.54399999999998</v>
      </c>
      <c r="M132">
        <v>408.54399999999998</v>
      </c>
      <c r="N132">
        <v>408.54399999999998</v>
      </c>
      <c r="O132">
        <v>408.54399999999998</v>
      </c>
      <c r="P132">
        <v>408.54399999999998</v>
      </c>
      <c r="Q132">
        <v>408.54399999999998</v>
      </c>
      <c r="R132">
        <v>656.14</v>
      </c>
      <c r="S132">
        <v>15457.109999999999</v>
      </c>
      <c r="T132">
        <v>7217.98</v>
      </c>
      <c r="U132">
        <v>21043.06</v>
      </c>
      <c r="V132">
        <v>20130.510000000002</v>
      </c>
      <c r="W132">
        <v>20573.960000000003</v>
      </c>
      <c r="X132">
        <v>0</v>
      </c>
      <c r="Y132">
        <v>0</v>
      </c>
      <c r="Z132">
        <v>0</v>
      </c>
      <c r="AA132">
        <v>0</v>
      </c>
      <c r="AB132">
        <v>0</v>
      </c>
      <c r="AC132" s="297">
        <v>0</v>
      </c>
      <c r="AD132">
        <f>SUMPRODUCT(DB_STProjectAcct[[#This Row],[Plan01]:[Plan12]],$F$14:$Q$14)/valUnits2</f>
        <v>64.885121999999996</v>
      </c>
      <c r="AE132">
        <f>SUMPRODUCT(DB_STProjectAcct[[#This Row],[Act01]:[Act12]],$R$14:$AC$14)/valUnits2</f>
        <v>85.078759999999988</v>
      </c>
      <c r="AF132">
        <f>DB_STProjectAcct[[#This Row],[Actual]]-DB_STProjectAcct[[#This Row],[Plan]]</f>
        <v>20.193637999999993</v>
      </c>
      <c r="AG132">
        <f>IF(DB_STProjectAcct[[#This Row],[Plan]]&lt;&gt;0,DB_STProjectAcct[[#This Row],[Actual]]/DB_STProjectAcct[[#This Row],[Plan]],1.000011000011)</f>
        <v>1.3112213921706117</v>
      </c>
    </row>
    <row r="133" spans="1:33" hidden="1" x14ac:dyDescent="0.2">
      <c r="A133" t="s">
        <v>1120</v>
      </c>
      <c r="B133" t="s">
        <v>351</v>
      </c>
      <c r="C133" t="s">
        <v>500</v>
      </c>
      <c r="D133" t="s">
        <v>984</v>
      </c>
      <c r="E133" t="s">
        <v>236</v>
      </c>
      <c r="K133">
        <v>0</v>
      </c>
      <c r="W133">
        <v>50.59</v>
      </c>
      <c r="AC133" s="295"/>
      <c r="AD133">
        <f>SUMPRODUCT(DB_STProjectAcct[[#This Row],[Plan01]:[Plan12]],$F$14:$Q$14)/valUnits2</f>
        <v>0</v>
      </c>
      <c r="AE133">
        <f>SUMPRODUCT(DB_STProjectAcct[[#This Row],[Act01]:[Act12]],$R$14:$AC$14)/valUnits2</f>
        <v>5.0590000000000003E-2</v>
      </c>
      <c r="AF133">
        <f>DB_STProjectAcct[[#This Row],[Actual]]-DB_STProjectAcct[[#This Row],[Plan]]</f>
        <v>5.0590000000000003E-2</v>
      </c>
      <c r="AG133">
        <f>IF(DB_STProjectAcct[[#This Row],[Plan]]&lt;&gt;0,DB_STProjectAcct[[#This Row],[Actual]]/DB_STProjectAcct[[#This Row],[Plan]],1.000011000011)</f>
        <v>1.0000110000110001</v>
      </c>
    </row>
    <row r="134" spans="1:33" hidden="1" x14ac:dyDescent="0.2">
      <c r="A134" t="s">
        <v>1121</v>
      </c>
      <c r="B134" t="s">
        <v>351</v>
      </c>
      <c r="C134" t="s">
        <v>500</v>
      </c>
      <c r="D134" t="s">
        <v>984</v>
      </c>
      <c r="E134" t="s">
        <v>237</v>
      </c>
      <c r="G134">
        <v>53.23</v>
      </c>
      <c r="I134">
        <v>-53.23</v>
      </c>
      <c r="S134">
        <v>53.23</v>
      </c>
      <c r="U134">
        <v>-53.23</v>
      </c>
      <c r="AC134" s="297"/>
      <c r="AD134">
        <f>SUMPRODUCT(DB_STProjectAcct[[#This Row],[Plan01]:[Plan12]],$F$14:$Q$14)/valUnits2</f>
        <v>0</v>
      </c>
      <c r="AE134">
        <f>SUMPRODUCT(DB_STProjectAcct[[#This Row],[Act01]:[Act12]],$R$14:$AC$14)/valUnits2</f>
        <v>0</v>
      </c>
      <c r="AF134">
        <f>DB_STProjectAcct[[#This Row],[Actual]]-DB_STProjectAcct[[#This Row],[Plan]]</f>
        <v>0</v>
      </c>
      <c r="AG134">
        <f>IF(DB_STProjectAcct[[#This Row],[Plan]]&lt;&gt;0,DB_STProjectAcct[[#This Row],[Actual]]/DB_STProjectAcct[[#This Row],[Plan]],1.000011000011)</f>
        <v>1.0000110000110001</v>
      </c>
    </row>
    <row r="135" spans="1:33" hidden="1" x14ac:dyDescent="0.2">
      <c r="A135" t="s">
        <v>1122</v>
      </c>
      <c r="B135" t="s">
        <v>351</v>
      </c>
      <c r="C135" t="s">
        <v>500</v>
      </c>
      <c r="D135" t="s">
        <v>984</v>
      </c>
      <c r="E135" t="s">
        <v>141</v>
      </c>
      <c r="F135">
        <v>13.91</v>
      </c>
      <c r="I135">
        <v>-13.91</v>
      </c>
      <c r="K135">
        <v>0</v>
      </c>
      <c r="R135">
        <v>13.91</v>
      </c>
      <c r="U135">
        <v>-13.91</v>
      </c>
      <c r="W135">
        <v>146.98000000000002</v>
      </c>
      <c r="AC135" s="295"/>
      <c r="AD135">
        <f>SUMPRODUCT(DB_STProjectAcct[[#This Row],[Plan01]:[Plan12]],$F$14:$Q$14)/valUnits2</f>
        <v>0</v>
      </c>
      <c r="AE135">
        <f>SUMPRODUCT(DB_STProjectAcct[[#This Row],[Act01]:[Act12]],$R$14:$AC$14)/valUnits2</f>
        <v>0.14698000000000003</v>
      </c>
      <c r="AF135">
        <f>DB_STProjectAcct[[#This Row],[Actual]]-DB_STProjectAcct[[#This Row],[Plan]]</f>
        <v>0.14698000000000003</v>
      </c>
      <c r="AG135">
        <f>IF(DB_STProjectAcct[[#This Row],[Plan]]&lt;&gt;0,DB_STProjectAcct[[#This Row],[Actual]]/DB_STProjectAcct[[#This Row],[Plan]],1.000011000011)</f>
        <v>1.0000110000110001</v>
      </c>
    </row>
    <row r="136" spans="1:33" hidden="1" x14ac:dyDescent="0.2">
      <c r="A136" t="s">
        <v>1123</v>
      </c>
      <c r="B136" t="s">
        <v>351</v>
      </c>
      <c r="C136" t="s">
        <v>501</v>
      </c>
      <c r="D136" t="s">
        <v>950</v>
      </c>
      <c r="E136" t="s">
        <v>143</v>
      </c>
      <c r="F136">
        <v>34.46</v>
      </c>
      <c r="G136">
        <v>0</v>
      </c>
      <c r="H136">
        <v>0</v>
      </c>
      <c r="I136">
        <v>0</v>
      </c>
      <c r="J136">
        <v>6.4499999999999957</v>
      </c>
      <c r="K136">
        <v>1819.9990000000003</v>
      </c>
      <c r="L136">
        <v>1819.9990000000003</v>
      </c>
      <c r="M136">
        <v>3639.9980000000005</v>
      </c>
      <c r="N136">
        <v>1819.9990000000003</v>
      </c>
      <c r="O136">
        <v>1819.9990000000003</v>
      </c>
      <c r="P136">
        <v>1819.9990000000003</v>
      </c>
      <c r="Q136">
        <v>1819.9990000000003</v>
      </c>
      <c r="R136">
        <v>0</v>
      </c>
      <c r="S136">
        <v>0</v>
      </c>
      <c r="T136">
        <v>0</v>
      </c>
      <c r="U136">
        <v>179.18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 s="297">
        <v>0</v>
      </c>
      <c r="AD136">
        <f>SUMPRODUCT(DB_STProjectAcct[[#This Row],[Plan01]:[Plan12]],$F$14:$Q$14)/valUnits2</f>
        <v>1.8609090000000004</v>
      </c>
      <c r="AE136">
        <f>SUMPRODUCT(DB_STProjectAcct[[#This Row],[Act01]:[Act12]],$R$14:$AC$14)/valUnits2</f>
        <v>0.17918000000000001</v>
      </c>
      <c r="AF136">
        <f>DB_STProjectAcct[[#This Row],[Actual]]-DB_STProjectAcct[[#This Row],[Plan]]</f>
        <v>-1.6817290000000003</v>
      </c>
      <c r="AG136">
        <f>IF(DB_STProjectAcct[[#This Row],[Plan]]&lt;&gt;0,DB_STProjectAcct[[#This Row],[Actual]]/DB_STProjectAcct[[#This Row],[Plan]],1.000011000011)</f>
        <v>9.6286277297815193E-2</v>
      </c>
    </row>
    <row r="137" spans="1:33" hidden="1" x14ac:dyDescent="0.2">
      <c r="A137" t="s">
        <v>1124</v>
      </c>
      <c r="B137" t="s">
        <v>351</v>
      </c>
      <c r="C137" t="s">
        <v>501</v>
      </c>
      <c r="D137" t="s">
        <v>950</v>
      </c>
      <c r="E137" t="s">
        <v>235</v>
      </c>
      <c r="F137">
        <v>0</v>
      </c>
      <c r="G137">
        <v>224.76</v>
      </c>
      <c r="H137">
        <v>226.84</v>
      </c>
      <c r="I137">
        <v>432.88</v>
      </c>
      <c r="J137">
        <v>270.73</v>
      </c>
      <c r="K137">
        <v>366.66599999999994</v>
      </c>
      <c r="L137">
        <v>366.666</v>
      </c>
      <c r="M137">
        <v>733.33200000000011</v>
      </c>
      <c r="N137">
        <v>366.66600000000005</v>
      </c>
      <c r="O137">
        <v>366.66600000000005</v>
      </c>
      <c r="P137">
        <v>366.66600000000005</v>
      </c>
      <c r="Q137">
        <v>366.66600000000005</v>
      </c>
      <c r="R137">
        <v>34.46</v>
      </c>
      <c r="S137">
        <v>224.76</v>
      </c>
      <c r="T137">
        <v>226.83999999999997</v>
      </c>
      <c r="U137">
        <v>432.88</v>
      </c>
      <c r="V137">
        <v>277.18</v>
      </c>
      <c r="W137">
        <v>191.9</v>
      </c>
      <c r="X137">
        <v>0</v>
      </c>
      <c r="Y137">
        <v>0</v>
      </c>
      <c r="Z137">
        <v>0</v>
      </c>
      <c r="AA137">
        <v>0</v>
      </c>
      <c r="AB137">
        <v>0</v>
      </c>
      <c r="AC137" s="295">
        <v>0</v>
      </c>
      <c r="AD137">
        <f>SUMPRODUCT(DB_STProjectAcct[[#This Row],[Plan01]:[Plan12]],$F$14:$Q$14)/valUnits2</f>
        <v>1.521876</v>
      </c>
      <c r="AE137">
        <f>SUMPRODUCT(DB_STProjectAcct[[#This Row],[Act01]:[Act12]],$R$14:$AC$14)/valUnits2</f>
        <v>1.38802</v>
      </c>
      <c r="AF137">
        <f>DB_STProjectAcct[[#This Row],[Actual]]-DB_STProjectAcct[[#This Row],[Plan]]</f>
        <v>-0.13385599999999998</v>
      </c>
      <c r="AG137">
        <f>IF(DB_STProjectAcct[[#This Row],[Plan]]&lt;&gt;0,DB_STProjectAcct[[#This Row],[Actual]]/DB_STProjectAcct[[#This Row],[Plan]],1.000011000011)</f>
        <v>0.91204539660261419</v>
      </c>
    </row>
    <row r="138" spans="1:33" hidden="1" x14ac:dyDescent="0.2">
      <c r="A138" t="s">
        <v>1125</v>
      </c>
      <c r="B138" t="s">
        <v>351</v>
      </c>
      <c r="C138" t="s">
        <v>501</v>
      </c>
      <c r="D138" t="s">
        <v>950</v>
      </c>
      <c r="E138" t="s">
        <v>144</v>
      </c>
      <c r="AC138" s="297"/>
      <c r="AD138">
        <f>SUMPRODUCT(DB_STProjectAcct[[#This Row],[Plan01]:[Plan12]],$F$14:$Q$14)/valUnits2</f>
        <v>0</v>
      </c>
      <c r="AE138">
        <f>SUMPRODUCT(DB_STProjectAcct[[#This Row],[Act01]:[Act12]],$R$14:$AC$14)/valUnits2</f>
        <v>0</v>
      </c>
      <c r="AF138">
        <f>DB_STProjectAcct[[#This Row],[Actual]]-DB_STProjectAcct[[#This Row],[Plan]]</f>
        <v>0</v>
      </c>
      <c r="AG138">
        <f>IF(DB_STProjectAcct[[#This Row],[Plan]]&lt;&gt;0,DB_STProjectAcct[[#This Row],[Actual]]/DB_STProjectAcct[[#This Row],[Plan]],1.000011000011)</f>
        <v>1.0000110000110001</v>
      </c>
    </row>
    <row r="139" spans="1:33" hidden="1" x14ac:dyDescent="0.2">
      <c r="A139" t="s">
        <v>1126</v>
      </c>
      <c r="B139" t="s">
        <v>351</v>
      </c>
      <c r="C139" t="s">
        <v>501</v>
      </c>
      <c r="D139" t="s">
        <v>950</v>
      </c>
      <c r="E139" t="s">
        <v>142</v>
      </c>
      <c r="AC139" s="295"/>
      <c r="AD139">
        <f>SUMPRODUCT(DB_STProjectAcct[[#This Row],[Plan01]:[Plan12]],$F$14:$Q$14)/valUnits2</f>
        <v>0</v>
      </c>
      <c r="AE139">
        <f>SUMPRODUCT(DB_STProjectAcct[[#This Row],[Act01]:[Act12]],$R$14:$AC$14)/valUnits2</f>
        <v>0</v>
      </c>
      <c r="AF139">
        <f>DB_STProjectAcct[[#This Row],[Actual]]-DB_STProjectAcct[[#This Row],[Plan]]</f>
        <v>0</v>
      </c>
      <c r="AG139">
        <f>IF(DB_STProjectAcct[[#This Row],[Plan]]&lt;&gt;0,DB_STProjectAcct[[#This Row],[Actual]]/DB_STProjectAcct[[#This Row],[Plan]],1.000011000011)</f>
        <v>1.0000110000110001</v>
      </c>
    </row>
    <row r="140" spans="1:33" hidden="1" x14ac:dyDescent="0.2">
      <c r="A140" t="s">
        <v>1127</v>
      </c>
      <c r="B140" t="s">
        <v>351</v>
      </c>
      <c r="C140" t="s">
        <v>501</v>
      </c>
      <c r="D140" t="s">
        <v>950</v>
      </c>
      <c r="E140" t="s">
        <v>140</v>
      </c>
      <c r="F140">
        <v>10375.01</v>
      </c>
      <c r="G140">
        <v>13229.180000000002</v>
      </c>
      <c r="H140">
        <v>15877.3</v>
      </c>
      <c r="I140">
        <v>7434.79</v>
      </c>
      <c r="J140">
        <v>10504.43</v>
      </c>
      <c r="K140">
        <v>12246.272000000001</v>
      </c>
      <c r="L140">
        <v>12246.272000000001</v>
      </c>
      <c r="M140">
        <v>12246.272000000001</v>
      </c>
      <c r="N140">
        <v>12246.272000000001</v>
      </c>
      <c r="O140">
        <v>12246.272000000001</v>
      </c>
      <c r="P140">
        <v>12246.272000000001</v>
      </c>
      <c r="Q140">
        <v>12246.272000000001</v>
      </c>
      <c r="R140">
        <v>10375.01</v>
      </c>
      <c r="S140">
        <v>13229.180000000002</v>
      </c>
      <c r="T140">
        <v>15877.3</v>
      </c>
      <c r="U140">
        <v>7434.7899999999991</v>
      </c>
      <c r="V140">
        <v>10504.43</v>
      </c>
      <c r="W140">
        <v>13108.25</v>
      </c>
      <c r="X140">
        <v>0</v>
      </c>
      <c r="Y140">
        <v>0</v>
      </c>
      <c r="Z140">
        <v>0</v>
      </c>
      <c r="AA140">
        <v>0</v>
      </c>
      <c r="AB140">
        <v>0</v>
      </c>
      <c r="AC140" s="297">
        <v>0</v>
      </c>
      <c r="AD140">
        <f>SUMPRODUCT(DB_STProjectAcct[[#This Row],[Plan01]:[Plan12]],$F$14:$Q$14)/valUnits2</f>
        <v>69.666982000000004</v>
      </c>
      <c r="AE140">
        <f>SUMPRODUCT(DB_STProjectAcct[[#This Row],[Act01]:[Act12]],$R$14:$AC$14)/valUnits2</f>
        <v>70.528960000000012</v>
      </c>
      <c r="AF140">
        <f>DB_STProjectAcct[[#This Row],[Actual]]-DB_STProjectAcct[[#This Row],[Plan]]</f>
        <v>0.86197800000000768</v>
      </c>
      <c r="AG140">
        <f>IF(DB_STProjectAcct[[#This Row],[Plan]]&lt;&gt;0,DB_STProjectAcct[[#This Row],[Actual]]/DB_STProjectAcct[[#This Row],[Plan]],1.000011000011)</f>
        <v>1.0123728339487996</v>
      </c>
    </row>
    <row r="141" spans="1:33" hidden="1" x14ac:dyDescent="0.2">
      <c r="A141" t="s">
        <v>1128</v>
      </c>
      <c r="B141" t="s">
        <v>351</v>
      </c>
      <c r="C141" t="s">
        <v>501</v>
      </c>
      <c r="D141" t="s">
        <v>950</v>
      </c>
      <c r="E141" t="s">
        <v>236</v>
      </c>
      <c r="F141">
        <v>248.12</v>
      </c>
      <c r="G141">
        <v>0</v>
      </c>
      <c r="H141">
        <v>0</v>
      </c>
      <c r="I141">
        <v>1785.02</v>
      </c>
      <c r="J141">
        <v>1219.54</v>
      </c>
      <c r="K141">
        <v>250</v>
      </c>
      <c r="L141">
        <v>250</v>
      </c>
      <c r="M141">
        <v>250</v>
      </c>
      <c r="N141">
        <v>250</v>
      </c>
      <c r="O141">
        <v>250</v>
      </c>
      <c r="P141">
        <v>250</v>
      </c>
      <c r="Q141">
        <v>250</v>
      </c>
      <c r="R141">
        <v>248.12</v>
      </c>
      <c r="S141">
        <v>0</v>
      </c>
      <c r="T141">
        <v>0</v>
      </c>
      <c r="U141">
        <v>1785.02</v>
      </c>
      <c r="V141">
        <v>1219.54</v>
      </c>
      <c r="W141">
        <v>1296.74</v>
      </c>
      <c r="X141">
        <v>0</v>
      </c>
      <c r="Y141">
        <v>0</v>
      </c>
      <c r="Z141">
        <v>0</v>
      </c>
      <c r="AA141">
        <v>0</v>
      </c>
      <c r="AB141">
        <v>0</v>
      </c>
      <c r="AC141" s="295">
        <v>0</v>
      </c>
      <c r="AD141">
        <f>SUMPRODUCT(DB_STProjectAcct[[#This Row],[Plan01]:[Plan12]],$F$14:$Q$14)/valUnits2</f>
        <v>3.5026799999999998</v>
      </c>
      <c r="AE141">
        <f>SUMPRODUCT(DB_STProjectAcct[[#This Row],[Act01]:[Act12]],$R$14:$AC$14)/valUnits2</f>
        <v>4.5494200000000005</v>
      </c>
      <c r="AF141">
        <f>DB_STProjectAcct[[#This Row],[Actual]]-DB_STProjectAcct[[#This Row],[Plan]]</f>
        <v>1.0467400000000007</v>
      </c>
      <c r="AG141">
        <f>IF(DB_STProjectAcct[[#This Row],[Plan]]&lt;&gt;0,DB_STProjectAcct[[#This Row],[Actual]]/DB_STProjectAcct[[#This Row],[Plan]],1.000011000011)</f>
        <v>1.2988397455662524</v>
      </c>
    </row>
    <row r="142" spans="1:33" hidden="1" x14ac:dyDescent="0.2">
      <c r="A142" t="s">
        <v>1129</v>
      </c>
      <c r="B142" t="s">
        <v>351</v>
      </c>
      <c r="C142" t="s">
        <v>501</v>
      </c>
      <c r="D142" t="s">
        <v>950</v>
      </c>
      <c r="E142" t="s">
        <v>237</v>
      </c>
      <c r="F142">
        <v>4.51</v>
      </c>
      <c r="H142">
        <v>76.37</v>
      </c>
      <c r="I142">
        <v>159.34</v>
      </c>
      <c r="J142">
        <v>143.66</v>
      </c>
      <c r="R142">
        <v>4.51</v>
      </c>
      <c r="T142">
        <v>76.37</v>
      </c>
      <c r="U142">
        <v>159.34</v>
      </c>
      <c r="V142">
        <v>143.66</v>
      </c>
      <c r="AC142" s="297"/>
      <c r="AD142">
        <f>SUMPRODUCT(DB_STProjectAcct[[#This Row],[Plan01]:[Plan12]],$F$14:$Q$14)/valUnits2</f>
        <v>0.38388</v>
      </c>
      <c r="AE142">
        <f>SUMPRODUCT(DB_STProjectAcct[[#This Row],[Act01]:[Act12]],$R$14:$AC$14)/valUnits2</f>
        <v>0.38388</v>
      </c>
      <c r="AF142">
        <f>DB_STProjectAcct[[#This Row],[Actual]]-DB_STProjectAcct[[#This Row],[Plan]]</f>
        <v>0</v>
      </c>
      <c r="AG142">
        <f>IF(DB_STProjectAcct[[#This Row],[Plan]]&lt;&gt;0,DB_STProjectAcct[[#This Row],[Actual]]/DB_STProjectAcct[[#This Row],[Plan]],1.000011000011)</f>
        <v>1</v>
      </c>
    </row>
    <row r="143" spans="1:33" hidden="1" x14ac:dyDescent="0.2">
      <c r="A143" t="s">
        <v>1130</v>
      </c>
      <c r="B143" t="s">
        <v>351</v>
      </c>
      <c r="C143" t="s">
        <v>501</v>
      </c>
      <c r="D143" t="s">
        <v>950</v>
      </c>
      <c r="E143" t="s">
        <v>141</v>
      </c>
      <c r="F143">
        <v>82</v>
      </c>
      <c r="G143">
        <v>50.17</v>
      </c>
      <c r="H143">
        <v>219.6</v>
      </c>
      <c r="I143">
        <v>376.55</v>
      </c>
      <c r="J143">
        <v>408.14</v>
      </c>
      <c r="K143">
        <v>616.66599999999994</v>
      </c>
      <c r="L143">
        <v>616.66599999999994</v>
      </c>
      <c r="M143">
        <v>899.99900000000002</v>
      </c>
      <c r="N143">
        <v>616.66599999999994</v>
      </c>
      <c r="O143">
        <v>616.66599999999994</v>
      </c>
      <c r="P143">
        <v>616.66599999999994</v>
      </c>
      <c r="Q143">
        <v>616.66599999999994</v>
      </c>
      <c r="R143">
        <v>82</v>
      </c>
      <c r="S143">
        <v>50.17</v>
      </c>
      <c r="T143">
        <v>219.6</v>
      </c>
      <c r="U143">
        <v>376.55</v>
      </c>
      <c r="V143">
        <v>408.14000000000004</v>
      </c>
      <c r="W143">
        <v>158.30000000000001</v>
      </c>
      <c r="X143">
        <v>0</v>
      </c>
      <c r="Y143">
        <v>0</v>
      </c>
      <c r="Z143">
        <v>0</v>
      </c>
      <c r="AA143">
        <v>0</v>
      </c>
      <c r="AB143">
        <v>0</v>
      </c>
      <c r="AC143" s="295">
        <v>0</v>
      </c>
      <c r="AD143">
        <f>SUMPRODUCT(DB_STProjectAcct[[#This Row],[Plan01]:[Plan12]],$F$14:$Q$14)/valUnits2</f>
        <v>1.753126</v>
      </c>
      <c r="AE143">
        <f>SUMPRODUCT(DB_STProjectAcct[[#This Row],[Act01]:[Act12]],$R$14:$AC$14)/valUnits2</f>
        <v>1.2947599999999999</v>
      </c>
      <c r="AF143">
        <f>DB_STProjectAcct[[#This Row],[Actual]]-DB_STProjectAcct[[#This Row],[Plan]]</f>
        <v>-0.45836600000000005</v>
      </c>
      <c r="AG143">
        <f>IF(DB_STProjectAcct[[#This Row],[Plan]]&lt;&gt;0,DB_STProjectAcct[[#This Row],[Actual]]/DB_STProjectAcct[[#This Row],[Plan]],1.000011000011)</f>
        <v>0.73854360724785317</v>
      </c>
    </row>
    <row r="144" spans="1:33" hidden="1" x14ac:dyDescent="0.2">
      <c r="A144" t="s">
        <v>1131</v>
      </c>
      <c r="B144" t="s">
        <v>351</v>
      </c>
      <c r="C144" t="s">
        <v>502</v>
      </c>
      <c r="D144" t="s">
        <v>946</v>
      </c>
      <c r="E144" t="s">
        <v>143</v>
      </c>
      <c r="F144">
        <v>0</v>
      </c>
      <c r="I144">
        <v>0</v>
      </c>
      <c r="J144">
        <v>0</v>
      </c>
      <c r="K144">
        <v>317.27199999999999</v>
      </c>
      <c r="L144">
        <v>317.27199999999999</v>
      </c>
      <c r="M144">
        <v>317.27199999999999</v>
      </c>
      <c r="N144">
        <v>317.27199999999999</v>
      </c>
      <c r="O144">
        <v>317.27199999999999</v>
      </c>
      <c r="P144">
        <v>317.27199999999999</v>
      </c>
      <c r="Q144">
        <v>317.27199999999999</v>
      </c>
      <c r="R144">
        <v>118.41999999999999</v>
      </c>
      <c r="U144">
        <v>344.43</v>
      </c>
      <c r="V144">
        <v>-344.43</v>
      </c>
      <c r="W144">
        <v>170.57999999999998</v>
      </c>
      <c r="X144">
        <v>0</v>
      </c>
      <c r="Y144">
        <v>0</v>
      </c>
      <c r="Z144">
        <v>0</v>
      </c>
      <c r="AA144">
        <v>0</v>
      </c>
      <c r="AB144">
        <v>0</v>
      </c>
      <c r="AC144" s="297">
        <v>0</v>
      </c>
      <c r="AD144">
        <f>SUMPRODUCT(DB_STProjectAcct[[#This Row],[Plan01]:[Plan12]],$F$14:$Q$14)/valUnits2</f>
        <v>0.317272</v>
      </c>
      <c r="AE144">
        <f>SUMPRODUCT(DB_STProjectAcct[[#This Row],[Act01]:[Act12]],$R$14:$AC$14)/valUnits2</f>
        <v>0.28899999999999998</v>
      </c>
      <c r="AF144">
        <f>DB_STProjectAcct[[#This Row],[Actual]]-DB_STProjectAcct[[#This Row],[Plan]]</f>
        <v>-2.8272000000000019E-2</v>
      </c>
      <c r="AG144">
        <f>IF(DB_STProjectAcct[[#This Row],[Plan]]&lt;&gt;0,DB_STProjectAcct[[#This Row],[Actual]]/DB_STProjectAcct[[#This Row],[Plan]],1.000011000011)</f>
        <v>0.91089034014977677</v>
      </c>
    </row>
    <row r="145" spans="1:33" hidden="1" x14ac:dyDescent="0.2">
      <c r="A145" t="s">
        <v>1132</v>
      </c>
      <c r="B145" t="s">
        <v>351</v>
      </c>
      <c r="C145" t="s">
        <v>502</v>
      </c>
      <c r="D145" t="s">
        <v>946</v>
      </c>
      <c r="E145" t="s">
        <v>235</v>
      </c>
      <c r="G145">
        <v>22.571000000000002</v>
      </c>
      <c r="I145">
        <v>85.646000000000001</v>
      </c>
      <c r="S145">
        <v>21.65</v>
      </c>
      <c r="U145">
        <v>83.13</v>
      </c>
      <c r="AC145" s="295"/>
      <c r="AD145">
        <f>SUMPRODUCT(DB_STProjectAcct[[#This Row],[Plan01]:[Plan12]],$F$14:$Q$14)/valUnits2</f>
        <v>0.10821699999999999</v>
      </c>
      <c r="AE145">
        <f>SUMPRODUCT(DB_STProjectAcct[[#This Row],[Act01]:[Act12]],$R$14:$AC$14)/valUnits2</f>
        <v>0.10478</v>
      </c>
      <c r="AF145">
        <f>DB_STProjectAcct[[#This Row],[Actual]]-DB_STProjectAcct[[#This Row],[Plan]]</f>
        <v>-3.4369999999999956E-3</v>
      </c>
      <c r="AG145">
        <f>IF(DB_STProjectAcct[[#This Row],[Plan]]&lt;&gt;0,DB_STProjectAcct[[#This Row],[Actual]]/DB_STProjectAcct[[#This Row],[Plan]],1.000011000011)</f>
        <v>0.96823974052135986</v>
      </c>
    </row>
    <row r="146" spans="1:33" hidden="1" x14ac:dyDescent="0.2">
      <c r="A146" t="s">
        <v>1133</v>
      </c>
      <c r="B146" t="s">
        <v>351</v>
      </c>
      <c r="C146" t="s">
        <v>502</v>
      </c>
      <c r="D146" t="s">
        <v>946</v>
      </c>
      <c r="E146" t="s">
        <v>144</v>
      </c>
      <c r="AC146" s="297"/>
      <c r="AD146">
        <f>SUMPRODUCT(DB_STProjectAcct[[#This Row],[Plan01]:[Plan12]],$F$14:$Q$14)/valUnits2</f>
        <v>0</v>
      </c>
      <c r="AE146">
        <f>SUMPRODUCT(DB_STProjectAcct[[#This Row],[Act01]:[Act12]],$R$14:$AC$14)/valUnits2</f>
        <v>0</v>
      </c>
      <c r="AF146">
        <f>DB_STProjectAcct[[#This Row],[Actual]]-DB_STProjectAcct[[#This Row],[Plan]]</f>
        <v>0</v>
      </c>
      <c r="AG146">
        <f>IF(DB_STProjectAcct[[#This Row],[Plan]]&lt;&gt;0,DB_STProjectAcct[[#This Row],[Actual]]/DB_STProjectAcct[[#This Row],[Plan]],1.000011000011)</f>
        <v>1.0000110000110001</v>
      </c>
    </row>
    <row r="147" spans="1:33" hidden="1" x14ac:dyDescent="0.2">
      <c r="A147" t="s">
        <v>1134</v>
      </c>
      <c r="B147" t="s">
        <v>351</v>
      </c>
      <c r="C147" t="s">
        <v>502</v>
      </c>
      <c r="D147" t="s">
        <v>946</v>
      </c>
      <c r="E147" t="s">
        <v>142</v>
      </c>
      <c r="AC147" s="295"/>
      <c r="AD147">
        <f>SUMPRODUCT(DB_STProjectAcct[[#This Row],[Plan01]:[Plan12]],$F$14:$Q$14)/valUnits2</f>
        <v>0</v>
      </c>
      <c r="AE147">
        <f>SUMPRODUCT(DB_STProjectAcct[[#This Row],[Act01]:[Act12]],$R$14:$AC$14)/valUnits2</f>
        <v>0</v>
      </c>
      <c r="AF147">
        <f>DB_STProjectAcct[[#This Row],[Actual]]-DB_STProjectAcct[[#This Row],[Plan]]</f>
        <v>0</v>
      </c>
      <c r="AG147">
        <f>IF(DB_STProjectAcct[[#This Row],[Plan]]&lt;&gt;0,DB_STProjectAcct[[#This Row],[Actual]]/DB_STProjectAcct[[#This Row],[Plan]],1.000011000011)</f>
        <v>1.0000110000110001</v>
      </c>
    </row>
    <row r="148" spans="1:33" hidden="1" x14ac:dyDescent="0.2">
      <c r="A148" t="s">
        <v>1135</v>
      </c>
      <c r="B148" t="s">
        <v>351</v>
      </c>
      <c r="C148" t="s">
        <v>502</v>
      </c>
      <c r="D148" t="s">
        <v>946</v>
      </c>
      <c r="E148" t="s">
        <v>140</v>
      </c>
      <c r="F148">
        <v>1382.115</v>
      </c>
      <c r="G148">
        <v>7388.2339999999995</v>
      </c>
      <c r="H148">
        <v>6989.8099999999995</v>
      </c>
      <c r="I148">
        <v>19992.270000000004</v>
      </c>
      <c r="J148">
        <v>10309.564999999999</v>
      </c>
      <c r="K148">
        <v>10623.779999999997</v>
      </c>
      <c r="L148">
        <v>9474.9560000000019</v>
      </c>
      <c r="M148">
        <v>9388.61</v>
      </c>
      <c r="N148">
        <v>9336.5850000000009</v>
      </c>
      <c r="O148">
        <v>8060.1399999999994</v>
      </c>
      <c r="P148">
        <v>8060.1399999999994</v>
      </c>
      <c r="Q148">
        <v>7767.2740000000013</v>
      </c>
      <c r="R148">
        <v>4.84</v>
      </c>
      <c r="S148">
        <v>5997.75</v>
      </c>
      <c r="T148">
        <v>5428.03</v>
      </c>
      <c r="U148">
        <v>18134.989999999998</v>
      </c>
      <c r="V148">
        <v>8556.8300000000017</v>
      </c>
      <c r="W148">
        <v>8525.49</v>
      </c>
      <c r="X148">
        <v>0</v>
      </c>
      <c r="Y148">
        <v>0</v>
      </c>
      <c r="Z148">
        <v>0</v>
      </c>
      <c r="AA148">
        <v>0</v>
      </c>
      <c r="AB148">
        <v>0</v>
      </c>
      <c r="AC148" s="297">
        <v>0</v>
      </c>
      <c r="AD148">
        <f>SUMPRODUCT(DB_STProjectAcct[[#This Row],[Plan01]:[Plan12]],$F$14:$Q$14)/valUnits2</f>
        <v>56.685774000000002</v>
      </c>
      <c r="AE148">
        <f>SUMPRODUCT(DB_STProjectAcct[[#This Row],[Act01]:[Act12]],$R$14:$AC$14)/valUnits2</f>
        <v>46.647930000000002</v>
      </c>
      <c r="AF148">
        <f>DB_STProjectAcct[[#This Row],[Actual]]-DB_STProjectAcct[[#This Row],[Plan]]</f>
        <v>-10.037844</v>
      </c>
      <c r="AG148">
        <f>IF(DB_STProjectAcct[[#This Row],[Plan]]&lt;&gt;0,DB_STProjectAcct[[#This Row],[Actual]]/DB_STProjectAcct[[#This Row],[Plan]],1.000011000011)</f>
        <v>0.82292128532989606</v>
      </c>
    </row>
    <row r="149" spans="1:33" hidden="1" x14ac:dyDescent="0.2">
      <c r="A149" t="s">
        <v>1136</v>
      </c>
      <c r="B149" t="s">
        <v>351</v>
      </c>
      <c r="C149" t="s">
        <v>502</v>
      </c>
      <c r="D149" t="s">
        <v>946</v>
      </c>
      <c r="E149" t="s">
        <v>236</v>
      </c>
      <c r="F149">
        <v>1654.14</v>
      </c>
      <c r="I149">
        <v>-1654.14</v>
      </c>
      <c r="R149">
        <v>1654.14</v>
      </c>
      <c r="U149">
        <v>-1654.14</v>
      </c>
      <c r="AC149" s="295"/>
      <c r="AD149">
        <f>SUMPRODUCT(DB_STProjectAcct[[#This Row],[Plan01]:[Plan12]],$F$14:$Q$14)/valUnits2</f>
        <v>0</v>
      </c>
      <c r="AE149">
        <f>SUMPRODUCT(DB_STProjectAcct[[#This Row],[Act01]:[Act12]],$R$14:$AC$14)/valUnits2</f>
        <v>0</v>
      </c>
      <c r="AF149">
        <f>DB_STProjectAcct[[#This Row],[Actual]]-DB_STProjectAcct[[#This Row],[Plan]]</f>
        <v>0</v>
      </c>
      <c r="AG149">
        <f>IF(DB_STProjectAcct[[#This Row],[Plan]]&lt;&gt;0,DB_STProjectAcct[[#This Row],[Actual]]/DB_STProjectAcct[[#This Row],[Plan]],1.000011000011)</f>
        <v>1.0000110000110001</v>
      </c>
    </row>
    <row r="150" spans="1:33" hidden="1" x14ac:dyDescent="0.2">
      <c r="A150" t="s">
        <v>1137</v>
      </c>
      <c r="B150" t="s">
        <v>351</v>
      </c>
      <c r="C150" t="s">
        <v>502</v>
      </c>
      <c r="D150" t="s">
        <v>946</v>
      </c>
      <c r="E150" t="s">
        <v>237</v>
      </c>
      <c r="F150">
        <v>701.75</v>
      </c>
      <c r="H150">
        <v>147.51499999999999</v>
      </c>
      <c r="I150">
        <v>490.07299999999998</v>
      </c>
      <c r="R150">
        <v>701.75</v>
      </c>
      <c r="T150">
        <v>141.77000000000001</v>
      </c>
      <c r="U150">
        <v>474.43</v>
      </c>
      <c r="AC150" s="297"/>
      <c r="AD150">
        <f>SUMPRODUCT(DB_STProjectAcct[[#This Row],[Plan01]:[Plan12]],$F$14:$Q$14)/valUnits2</f>
        <v>1.3393379999999999</v>
      </c>
      <c r="AE150">
        <f>SUMPRODUCT(DB_STProjectAcct[[#This Row],[Act01]:[Act12]],$R$14:$AC$14)/valUnits2</f>
        <v>1.31795</v>
      </c>
      <c r="AF150">
        <f>DB_STProjectAcct[[#This Row],[Actual]]-DB_STProjectAcct[[#This Row],[Plan]]</f>
        <v>-2.1387999999999963E-2</v>
      </c>
      <c r="AG150">
        <f>IF(DB_STProjectAcct[[#This Row],[Plan]]&lt;&gt;0,DB_STProjectAcct[[#This Row],[Actual]]/DB_STProjectAcct[[#This Row],[Plan]],1.000011000011)</f>
        <v>0.9840309167663428</v>
      </c>
    </row>
    <row r="151" spans="1:33" hidden="1" x14ac:dyDescent="0.2">
      <c r="A151" t="s">
        <v>1138</v>
      </c>
      <c r="B151" t="s">
        <v>351</v>
      </c>
      <c r="C151" t="s">
        <v>502</v>
      </c>
      <c r="D151" t="s">
        <v>946</v>
      </c>
      <c r="E151" t="s">
        <v>141</v>
      </c>
      <c r="F151">
        <v>52.613999999999997</v>
      </c>
      <c r="G151">
        <v>18.57</v>
      </c>
      <c r="H151">
        <v>232.34800000000001</v>
      </c>
      <c r="I151">
        <v>835.41200000000003</v>
      </c>
      <c r="J151">
        <v>1025.0140000000001</v>
      </c>
      <c r="K151">
        <v>0</v>
      </c>
      <c r="R151">
        <v>52.489999999999995</v>
      </c>
      <c r="S151">
        <v>18.57</v>
      </c>
      <c r="T151">
        <v>224.12</v>
      </c>
      <c r="U151">
        <v>824.86000000000013</v>
      </c>
      <c r="V151">
        <v>1002.59</v>
      </c>
      <c r="W151">
        <v>38.83</v>
      </c>
      <c r="AC151" s="295"/>
      <c r="AD151">
        <f>SUMPRODUCT(DB_STProjectAcct[[#This Row],[Plan01]:[Plan12]],$F$14:$Q$14)/valUnits2</f>
        <v>2.163958</v>
      </c>
      <c r="AE151">
        <f>SUMPRODUCT(DB_STProjectAcct[[#This Row],[Act01]:[Act12]],$R$14:$AC$14)/valUnits2</f>
        <v>2.1614599999999999</v>
      </c>
      <c r="AF151">
        <f>DB_STProjectAcct[[#This Row],[Actual]]-DB_STProjectAcct[[#This Row],[Plan]]</f>
        <v>-2.4980000000001112E-3</v>
      </c>
      <c r="AG151">
        <f>IF(DB_STProjectAcct[[#This Row],[Plan]]&lt;&gt;0,DB_STProjectAcct[[#This Row],[Actual]]/DB_STProjectAcct[[#This Row],[Plan]],1.000011000011)</f>
        <v>0.99884563378771674</v>
      </c>
    </row>
    <row r="152" spans="1:33" hidden="1" x14ac:dyDescent="0.2">
      <c r="A152" t="s">
        <v>1139</v>
      </c>
      <c r="B152" t="s">
        <v>351</v>
      </c>
      <c r="C152" t="s">
        <v>503</v>
      </c>
      <c r="D152" t="s">
        <v>976</v>
      </c>
      <c r="E152" t="s">
        <v>143</v>
      </c>
      <c r="AC152" s="297"/>
      <c r="AD152">
        <f>SUMPRODUCT(DB_STProjectAcct[[#This Row],[Plan01]:[Plan12]],$F$14:$Q$14)/valUnits2</f>
        <v>0</v>
      </c>
      <c r="AE152">
        <f>SUMPRODUCT(DB_STProjectAcct[[#This Row],[Act01]:[Act12]],$R$14:$AC$14)/valUnits2</f>
        <v>0</v>
      </c>
      <c r="AF152">
        <f>DB_STProjectAcct[[#This Row],[Actual]]-DB_STProjectAcct[[#This Row],[Plan]]</f>
        <v>0</v>
      </c>
      <c r="AG152">
        <f>IF(DB_STProjectAcct[[#This Row],[Plan]]&lt;&gt;0,DB_STProjectAcct[[#This Row],[Actual]]/DB_STProjectAcct[[#This Row],[Plan]],1.000011000011)</f>
        <v>1.0000110000110001</v>
      </c>
    </row>
    <row r="153" spans="1:33" hidden="1" x14ac:dyDescent="0.2">
      <c r="A153" t="s">
        <v>1140</v>
      </c>
      <c r="B153" t="s">
        <v>351</v>
      </c>
      <c r="C153" t="s">
        <v>503</v>
      </c>
      <c r="D153" t="s">
        <v>976</v>
      </c>
      <c r="E153" t="s">
        <v>235</v>
      </c>
      <c r="AC153" s="295"/>
      <c r="AD153">
        <f>SUMPRODUCT(DB_STProjectAcct[[#This Row],[Plan01]:[Plan12]],$F$14:$Q$14)/valUnits2</f>
        <v>0</v>
      </c>
      <c r="AE153">
        <f>SUMPRODUCT(DB_STProjectAcct[[#This Row],[Act01]:[Act12]],$R$14:$AC$14)/valUnits2</f>
        <v>0</v>
      </c>
      <c r="AF153">
        <f>DB_STProjectAcct[[#This Row],[Actual]]-DB_STProjectAcct[[#This Row],[Plan]]</f>
        <v>0</v>
      </c>
      <c r="AG153">
        <f>IF(DB_STProjectAcct[[#This Row],[Plan]]&lt;&gt;0,DB_STProjectAcct[[#This Row],[Actual]]/DB_STProjectAcct[[#This Row],[Plan]],1.000011000011)</f>
        <v>1.0000110000110001</v>
      </c>
    </row>
    <row r="154" spans="1:33" hidden="1" x14ac:dyDescent="0.2">
      <c r="A154" t="s">
        <v>1141</v>
      </c>
      <c r="B154" t="s">
        <v>351</v>
      </c>
      <c r="C154" t="s">
        <v>503</v>
      </c>
      <c r="D154" t="s">
        <v>976</v>
      </c>
      <c r="E154" t="s">
        <v>144</v>
      </c>
      <c r="AC154" s="297"/>
      <c r="AD154">
        <f>SUMPRODUCT(DB_STProjectAcct[[#This Row],[Plan01]:[Plan12]],$F$14:$Q$14)/valUnits2</f>
        <v>0</v>
      </c>
      <c r="AE154">
        <f>SUMPRODUCT(DB_STProjectAcct[[#This Row],[Act01]:[Act12]],$R$14:$AC$14)/valUnits2</f>
        <v>0</v>
      </c>
      <c r="AF154">
        <f>DB_STProjectAcct[[#This Row],[Actual]]-DB_STProjectAcct[[#This Row],[Plan]]</f>
        <v>0</v>
      </c>
      <c r="AG154">
        <f>IF(DB_STProjectAcct[[#This Row],[Plan]]&lt;&gt;0,DB_STProjectAcct[[#This Row],[Actual]]/DB_STProjectAcct[[#This Row],[Plan]],1.000011000011)</f>
        <v>1.0000110000110001</v>
      </c>
    </row>
    <row r="155" spans="1:33" hidden="1" x14ac:dyDescent="0.2">
      <c r="A155" t="s">
        <v>1142</v>
      </c>
      <c r="B155" t="s">
        <v>351</v>
      </c>
      <c r="C155" t="s">
        <v>503</v>
      </c>
      <c r="D155" t="s">
        <v>976</v>
      </c>
      <c r="E155" t="s">
        <v>142</v>
      </c>
      <c r="AC155" s="295"/>
      <c r="AD155">
        <f>SUMPRODUCT(DB_STProjectAcct[[#This Row],[Plan01]:[Plan12]],$F$14:$Q$14)/valUnits2</f>
        <v>0</v>
      </c>
      <c r="AE155">
        <f>SUMPRODUCT(DB_STProjectAcct[[#This Row],[Act01]:[Act12]],$R$14:$AC$14)/valUnits2</f>
        <v>0</v>
      </c>
      <c r="AF155">
        <f>DB_STProjectAcct[[#This Row],[Actual]]-DB_STProjectAcct[[#This Row],[Plan]]</f>
        <v>0</v>
      </c>
      <c r="AG155">
        <f>IF(DB_STProjectAcct[[#This Row],[Plan]]&lt;&gt;0,DB_STProjectAcct[[#This Row],[Actual]]/DB_STProjectAcct[[#This Row],[Plan]],1.000011000011)</f>
        <v>1.0000110000110001</v>
      </c>
    </row>
    <row r="156" spans="1:33" hidden="1" x14ac:dyDescent="0.2">
      <c r="A156" t="s">
        <v>1143</v>
      </c>
      <c r="B156" t="s">
        <v>351</v>
      </c>
      <c r="C156" t="s">
        <v>503</v>
      </c>
      <c r="D156" t="s">
        <v>976</v>
      </c>
      <c r="E156" t="s">
        <v>140</v>
      </c>
      <c r="F156">
        <v>1175.8979999999999</v>
      </c>
      <c r="G156">
        <v>4724.9100000000008</v>
      </c>
      <c r="H156">
        <v>5398.1910000000007</v>
      </c>
      <c r="I156">
        <v>8552.887999999999</v>
      </c>
      <c r="J156">
        <v>5936.5229999999983</v>
      </c>
      <c r="K156">
        <v>6584.7249999999985</v>
      </c>
      <c r="L156">
        <v>6584.7249999999995</v>
      </c>
      <c r="M156">
        <v>6584.7249999999995</v>
      </c>
      <c r="N156">
        <v>6584.7249999999995</v>
      </c>
      <c r="O156">
        <v>5308.2800000000007</v>
      </c>
      <c r="P156">
        <v>4626.4539999999997</v>
      </c>
      <c r="Q156">
        <v>3102.8919999999998</v>
      </c>
      <c r="R156">
        <v>10.28</v>
      </c>
      <c r="S156">
        <v>3407.7</v>
      </c>
      <c r="T156">
        <v>3803.08</v>
      </c>
      <c r="U156">
        <v>6928.9100000000008</v>
      </c>
      <c r="V156">
        <v>2832.8</v>
      </c>
      <c r="W156">
        <v>2939.91</v>
      </c>
      <c r="X156">
        <v>0</v>
      </c>
      <c r="Y156">
        <v>0</v>
      </c>
      <c r="Z156">
        <v>0</v>
      </c>
      <c r="AA156">
        <v>0</v>
      </c>
      <c r="AB156">
        <v>0</v>
      </c>
      <c r="AC156" s="297">
        <v>0</v>
      </c>
      <c r="AD156">
        <f>SUMPRODUCT(DB_STProjectAcct[[#This Row],[Plan01]:[Plan12]],$F$14:$Q$14)/valUnits2</f>
        <v>32.373134999999998</v>
      </c>
      <c r="AE156">
        <f>SUMPRODUCT(DB_STProjectAcct[[#This Row],[Act01]:[Act12]],$R$14:$AC$14)/valUnits2</f>
        <v>19.92268</v>
      </c>
      <c r="AF156">
        <f>DB_STProjectAcct[[#This Row],[Actual]]-DB_STProjectAcct[[#This Row],[Plan]]</f>
        <v>-12.450454999999998</v>
      </c>
      <c r="AG156">
        <f>IF(DB_STProjectAcct[[#This Row],[Plan]]&lt;&gt;0,DB_STProjectAcct[[#This Row],[Actual]]/DB_STProjectAcct[[#This Row],[Plan]],1.000011000011)</f>
        <v>0.61540780650375693</v>
      </c>
    </row>
    <row r="157" spans="1:33" hidden="1" x14ac:dyDescent="0.2">
      <c r="A157" t="s">
        <v>1144</v>
      </c>
      <c r="B157" t="s">
        <v>351</v>
      </c>
      <c r="C157" t="s">
        <v>503</v>
      </c>
      <c r="D157" t="s">
        <v>976</v>
      </c>
      <c r="E157" t="s">
        <v>236</v>
      </c>
      <c r="AC157" s="295"/>
      <c r="AD157">
        <f>SUMPRODUCT(DB_STProjectAcct[[#This Row],[Plan01]:[Plan12]],$F$14:$Q$14)/valUnits2</f>
        <v>0</v>
      </c>
      <c r="AE157">
        <f>SUMPRODUCT(DB_STProjectAcct[[#This Row],[Act01]:[Act12]],$R$14:$AC$14)/valUnits2</f>
        <v>0</v>
      </c>
      <c r="AF157">
        <f>DB_STProjectAcct[[#This Row],[Actual]]-DB_STProjectAcct[[#This Row],[Plan]]</f>
        <v>0</v>
      </c>
      <c r="AG157">
        <f>IF(DB_STProjectAcct[[#This Row],[Plan]]&lt;&gt;0,DB_STProjectAcct[[#This Row],[Actual]]/DB_STProjectAcct[[#This Row],[Plan]],1.000011000011)</f>
        <v>1.0000110000110001</v>
      </c>
    </row>
    <row r="158" spans="1:33" hidden="1" x14ac:dyDescent="0.2">
      <c r="A158" t="s">
        <v>1145</v>
      </c>
      <c r="B158" t="s">
        <v>351</v>
      </c>
      <c r="C158" t="s">
        <v>503</v>
      </c>
      <c r="D158" t="s">
        <v>976</v>
      </c>
      <c r="E158" t="s">
        <v>237</v>
      </c>
      <c r="AC158" s="297"/>
      <c r="AD158">
        <f>SUMPRODUCT(DB_STProjectAcct[[#This Row],[Plan01]:[Plan12]],$F$14:$Q$14)/valUnits2</f>
        <v>0</v>
      </c>
      <c r="AE158">
        <f>SUMPRODUCT(DB_STProjectAcct[[#This Row],[Act01]:[Act12]],$R$14:$AC$14)/valUnits2</f>
        <v>0</v>
      </c>
      <c r="AF158">
        <f>DB_STProjectAcct[[#This Row],[Actual]]-DB_STProjectAcct[[#This Row],[Plan]]</f>
        <v>0</v>
      </c>
      <c r="AG158">
        <f>IF(DB_STProjectAcct[[#This Row],[Plan]]&lt;&gt;0,DB_STProjectAcct[[#This Row],[Actual]]/DB_STProjectAcct[[#This Row],[Plan]],1.000011000011)</f>
        <v>1.0000110000110001</v>
      </c>
    </row>
    <row r="159" spans="1:33" hidden="1" x14ac:dyDescent="0.2">
      <c r="A159" t="s">
        <v>1146</v>
      </c>
      <c r="B159" t="s">
        <v>351</v>
      </c>
      <c r="C159" t="s">
        <v>503</v>
      </c>
      <c r="D159" t="s">
        <v>976</v>
      </c>
      <c r="E159" t="s">
        <v>141</v>
      </c>
      <c r="F159">
        <v>-1996.32</v>
      </c>
      <c r="I159">
        <v>290.64300000000003</v>
      </c>
      <c r="K159">
        <v>0</v>
      </c>
      <c r="R159">
        <v>-1996.32</v>
      </c>
      <c r="U159">
        <v>292.33999999999997</v>
      </c>
      <c r="W159">
        <v>179.10000000000002</v>
      </c>
      <c r="AC159" s="295"/>
      <c r="AD159">
        <f>SUMPRODUCT(DB_STProjectAcct[[#This Row],[Plan01]:[Plan12]],$F$14:$Q$14)/valUnits2</f>
        <v>-1.7056769999999999</v>
      </c>
      <c r="AE159">
        <f>SUMPRODUCT(DB_STProjectAcct[[#This Row],[Act01]:[Act12]],$R$14:$AC$14)/valUnits2</f>
        <v>-1.52488</v>
      </c>
      <c r="AF159">
        <f>DB_STProjectAcct[[#This Row],[Actual]]-DB_STProjectAcct[[#This Row],[Plan]]</f>
        <v>0.18079699999999987</v>
      </c>
      <c r="AG159">
        <f>IF(DB_STProjectAcct[[#This Row],[Plan]]&lt;&gt;0,DB_STProjectAcct[[#This Row],[Actual]]/DB_STProjectAcct[[#This Row],[Plan]],1.000011000011)</f>
        <v>0.89400279185332288</v>
      </c>
    </row>
    <row r="160" spans="1:33" hidden="1" x14ac:dyDescent="0.2">
      <c r="A160" t="s">
        <v>1147</v>
      </c>
      <c r="B160" t="s">
        <v>351</v>
      </c>
      <c r="C160" t="s">
        <v>504</v>
      </c>
      <c r="D160" t="s">
        <v>947</v>
      </c>
      <c r="E160" t="s">
        <v>143</v>
      </c>
      <c r="F160">
        <v>0</v>
      </c>
      <c r="H160">
        <v>0</v>
      </c>
      <c r="I160">
        <v>0</v>
      </c>
      <c r="J160">
        <v>0</v>
      </c>
      <c r="K160">
        <v>0</v>
      </c>
      <c r="R160">
        <v>0</v>
      </c>
      <c r="T160">
        <v>97.9</v>
      </c>
      <c r="U160">
        <v>0</v>
      </c>
      <c r="V160">
        <v>0</v>
      </c>
      <c r="W160">
        <v>966.5</v>
      </c>
      <c r="AC160" s="297"/>
      <c r="AD160">
        <f>SUMPRODUCT(DB_STProjectAcct[[#This Row],[Plan01]:[Plan12]],$F$14:$Q$14)/valUnits2</f>
        <v>0</v>
      </c>
      <c r="AE160">
        <f>SUMPRODUCT(DB_STProjectAcct[[#This Row],[Act01]:[Act12]],$R$14:$AC$14)/valUnits2</f>
        <v>1.0644</v>
      </c>
      <c r="AF160">
        <f>DB_STProjectAcct[[#This Row],[Actual]]-DB_STProjectAcct[[#This Row],[Plan]]</f>
        <v>1.0644</v>
      </c>
      <c r="AG160">
        <f>IF(DB_STProjectAcct[[#This Row],[Plan]]&lt;&gt;0,DB_STProjectAcct[[#This Row],[Actual]]/DB_STProjectAcct[[#This Row],[Plan]],1.000011000011)</f>
        <v>1.0000110000110001</v>
      </c>
    </row>
    <row r="161" spans="1:33" hidden="1" x14ac:dyDescent="0.2">
      <c r="A161" t="s">
        <v>1148</v>
      </c>
      <c r="B161" t="s">
        <v>351</v>
      </c>
      <c r="C161" t="s">
        <v>504</v>
      </c>
      <c r="D161" t="s">
        <v>947</v>
      </c>
      <c r="E161" t="s">
        <v>235</v>
      </c>
      <c r="F161">
        <v>4574.2939999999999</v>
      </c>
      <c r="G161">
        <v>5004.5889999999999</v>
      </c>
      <c r="H161">
        <v>3320.1600000000003</v>
      </c>
      <c r="I161">
        <v>1634.4200000000003</v>
      </c>
      <c r="J161">
        <v>1496.5279999999998</v>
      </c>
      <c r="K161">
        <v>0</v>
      </c>
      <c r="R161">
        <v>4572.9099999999989</v>
      </c>
      <c r="S161">
        <v>5004.9699999999993</v>
      </c>
      <c r="T161">
        <v>3320.1600000000003</v>
      </c>
      <c r="U161">
        <v>1634.4200000000003</v>
      </c>
      <c r="V161">
        <v>1496.92</v>
      </c>
      <c r="W161">
        <v>3223.7299999999996</v>
      </c>
      <c r="AC161" s="295"/>
      <c r="AD161">
        <f>SUMPRODUCT(DB_STProjectAcct[[#This Row],[Plan01]:[Plan12]],$F$14:$Q$14)/valUnits2</f>
        <v>16.029990999999999</v>
      </c>
      <c r="AE161">
        <f>SUMPRODUCT(DB_STProjectAcct[[#This Row],[Act01]:[Act12]],$R$14:$AC$14)/valUnits2</f>
        <v>19.253109999999996</v>
      </c>
      <c r="AF161">
        <f>DB_STProjectAcct[[#This Row],[Actual]]-DB_STProjectAcct[[#This Row],[Plan]]</f>
        <v>3.223118999999997</v>
      </c>
      <c r="AG161">
        <f>IF(DB_STProjectAcct[[#This Row],[Plan]]&lt;&gt;0,DB_STProjectAcct[[#This Row],[Actual]]/DB_STProjectAcct[[#This Row],[Plan]],1.000011000011)</f>
        <v>1.2010680480107567</v>
      </c>
    </row>
    <row r="162" spans="1:33" hidden="1" x14ac:dyDescent="0.2">
      <c r="A162" t="s">
        <v>1149</v>
      </c>
      <c r="B162" t="s">
        <v>351</v>
      </c>
      <c r="C162" t="s">
        <v>504</v>
      </c>
      <c r="D162" t="s">
        <v>947</v>
      </c>
      <c r="E162" t="s">
        <v>144</v>
      </c>
      <c r="AC162" s="297"/>
      <c r="AD162">
        <f>SUMPRODUCT(DB_STProjectAcct[[#This Row],[Plan01]:[Plan12]],$F$14:$Q$14)/valUnits2</f>
        <v>0</v>
      </c>
      <c r="AE162">
        <f>SUMPRODUCT(DB_STProjectAcct[[#This Row],[Act01]:[Act12]],$R$14:$AC$14)/valUnits2</f>
        <v>0</v>
      </c>
      <c r="AF162">
        <f>DB_STProjectAcct[[#This Row],[Actual]]-DB_STProjectAcct[[#This Row],[Plan]]</f>
        <v>0</v>
      </c>
      <c r="AG162">
        <f>IF(DB_STProjectAcct[[#This Row],[Plan]]&lt;&gt;0,DB_STProjectAcct[[#This Row],[Actual]]/DB_STProjectAcct[[#This Row],[Plan]],1.000011000011)</f>
        <v>1.0000110000110001</v>
      </c>
    </row>
    <row r="163" spans="1:33" hidden="1" x14ac:dyDescent="0.2">
      <c r="A163" t="s">
        <v>1150</v>
      </c>
      <c r="B163" t="s">
        <v>351</v>
      </c>
      <c r="C163" t="s">
        <v>504</v>
      </c>
      <c r="D163" t="s">
        <v>947</v>
      </c>
      <c r="E163" t="s">
        <v>142</v>
      </c>
      <c r="AC163" s="295"/>
      <c r="AD163">
        <f>SUMPRODUCT(DB_STProjectAcct[[#This Row],[Plan01]:[Plan12]],$F$14:$Q$14)/valUnits2</f>
        <v>0</v>
      </c>
      <c r="AE163">
        <f>SUMPRODUCT(DB_STProjectAcct[[#This Row],[Act01]:[Act12]],$R$14:$AC$14)/valUnits2</f>
        <v>0</v>
      </c>
      <c r="AF163">
        <f>DB_STProjectAcct[[#This Row],[Actual]]-DB_STProjectAcct[[#This Row],[Plan]]</f>
        <v>0</v>
      </c>
      <c r="AG163">
        <f>IF(DB_STProjectAcct[[#This Row],[Plan]]&lt;&gt;0,DB_STProjectAcct[[#This Row],[Actual]]/DB_STProjectAcct[[#This Row],[Plan]],1.000011000011)</f>
        <v>1.0000110000110001</v>
      </c>
    </row>
    <row r="164" spans="1:33" hidden="1" x14ac:dyDescent="0.2">
      <c r="A164" t="s">
        <v>1151</v>
      </c>
      <c r="B164" t="s">
        <v>351</v>
      </c>
      <c r="C164" t="s">
        <v>504</v>
      </c>
      <c r="D164" t="s">
        <v>947</v>
      </c>
      <c r="E164" t="s">
        <v>140</v>
      </c>
      <c r="F164">
        <v>1911.0439999999999</v>
      </c>
      <c r="G164">
        <v>7406.4040000000005</v>
      </c>
      <c r="H164">
        <v>2903.346</v>
      </c>
      <c r="I164">
        <v>10342.798999999999</v>
      </c>
      <c r="J164">
        <v>14158.627999999997</v>
      </c>
      <c r="K164">
        <v>4083.8269999999998</v>
      </c>
      <c r="L164">
        <v>4256.5210000000006</v>
      </c>
      <c r="M164">
        <v>4083.8269999999998</v>
      </c>
      <c r="N164">
        <v>4083.8269999999998</v>
      </c>
      <c r="O164">
        <v>1531.049</v>
      </c>
      <c r="P164">
        <v>1531.0490000000002</v>
      </c>
      <c r="Q164">
        <v>1703.7430000000004</v>
      </c>
      <c r="R164">
        <v>1820.5300000000002</v>
      </c>
      <c r="S164">
        <v>7348.92</v>
      </c>
      <c r="T164">
        <v>2834.6400000000003</v>
      </c>
      <c r="U164">
        <v>10307.779999999997</v>
      </c>
      <c r="V164">
        <v>14263.2</v>
      </c>
      <c r="W164">
        <v>10498.459999999997</v>
      </c>
      <c r="X164">
        <v>0</v>
      </c>
      <c r="Y164">
        <v>0</v>
      </c>
      <c r="Z164">
        <v>0</v>
      </c>
      <c r="AA164">
        <v>0</v>
      </c>
      <c r="AB164">
        <v>0</v>
      </c>
      <c r="AC164" s="297">
        <v>0</v>
      </c>
      <c r="AD164">
        <f>SUMPRODUCT(DB_STProjectAcct[[#This Row],[Plan01]:[Plan12]],$F$14:$Q$14)/valUnits2</f>
        <v>40.806047999999997</v>
      </c>
      <c r="AE164">
        <f>SUMPRODUCT(DB_STProjectAcct[[#This Row],[Act01]:[Act12]],$R$14:$AC$14)/valUnits2</f>
        <v>47.073529999999991</v>
      </c>
      <c r="AF164">
        <f>DB_STProjectAcct[[#This Row],[Actual]]-DB_STProjectAcct[[#This Row],[Plan]]</f>
        <v>6.267481999999994</v>
      </c>
      <c r="AG164">
        <f>IF(DB_STProjectAcct[[#This Row],[Plan]]&lt;&gt;0,DB_STProjectAcct[[#This Row],[Actual]]/DB_STProjectAcct[[#This Row],[Plan]],1.000011000011)</f>
        <v>1.1535919871485716</v>
      </c>
    </row>
    <row r="165" spans="1:33" hidden="1" x14ac:dyDescent="0.2">
      <c r="A165" t="s">
        <v>1152</v>
      </c>
      <c r="B165" t="s">
        <v>351</v>
      </c>
      <c r="C165" t="s">
        <v>504</v>
      </c>
      <c r="D165" t="s">
        <v>947</v>
      </c>
      <c r="E165" t="s">
        <v>236</v>
      </c>
      <c r="F165">
        <v>175.06</v>
      </c>
      <c r="G165">
        <v>0</v>
      </c>
      <c r="H165">
        <v>1639.18</v>
      </c>
      <c r="I165">
        <v>-175.06</v>
      </c>
      <c r="J165">
        <v>0</v>
      </c>
      <c r="K165">
        <v>0</v>
      </c>
      <c r="R165">
        <v>175.06</v>
      </c>
      <c r="S165">
        <v>0</v>
      </c>
      <c r="T165">
        <v>1639.18</v>
      </c>
      <c r="U165">
        <v>-175.06</v>
      </c>
      <c r="V165">
        <v>0</v>
      </c>
      <c r="W165">
        <v>6.1900000000000546</v>
      </c>
      <c r="AC165" s="295"/>
      <c r="AD165">
        <f>SUMPRODUCT(DB_STProjectAcct[[#This Row],[Plan01]:[Plan12]],$F$14:$Q$14)/valUnits2</f>
        <v>1.6391800000000001</v>
      </c>
      <c r="AE165">
        <f>SUMPRODUCT(DB_STProjectAcct[[#This Row],[Act01]:[Act12]],$R$14:$AC$14)/valUnits2</f>
        <v>1.6453700000000002</v>
      </c>
      <c r="AF165">
        <f>DB_STProjectAcct[[#This Row],[Actual]]-DB_STProjectAcct[[#This Row],[Plan]]</f>
        <v>6.1900000000001398E-3</v>
      </c>
      <c r="AG165">
        <f>IF(DB_STProjectAcct[[#This Row],[Plan]]&lt;&gt;0,DB_STProjectAcct[[#This Row],[Actual]]/DB_STProjectAcct[[#This Row],[Plan]],1.000011000011)</f>
        <v>1.0037762783830941</v>
      </c>
    </row>
    <row r="166" spans="1:33" hidden="1" x14ac:dyDescent="0.2">
      <c r="A166" t="s">
        <v>1153</v>
      </c>
      <c r="B166" t="s">
        <v>351</v>
      </c>
      <c r="C166" t="s">
        <v>504</v>
      </c>
      <c r="D166" t="s">
        <v>947</v>
      </c>
      <c r="E166" t="s">
        <v>237</v>
      </c>
      <c r="G166">
        <v>11.282</v>
      </c>
      <c r="S166">
        <v>11.27</v>
      </c>
      <c r="AC166" s="297"/>
      <c r="AD166">
        <f>SUMPRODUCT(DB_STProjectAcct[[#This Row],[Plan01]:[Plan12]],$F$14:$Q$14)/valUnits2</f>
        <v>1.1282E-2</v>
      </c>
      <c r="AE166">
        <f>SUMPRODUCT(DB_STProjectAcct[[#This Row],[Act01]:[Act12]],$R$14:$AC$14)/valUnits2</f>
        <v>1.1269999999999999E-2</v>
      </c>
      <c r="AF166">
        <f>DB_STProjectAcct[[#This Row],[Actual]]-DB_STProjectAcct[[#This Row],[Plan]]</f>
        <v>-1.2000000000001593E-5</v>
      </c>
      <c r="AG166">
        <f>IF(DB_STProjectAcct[[#This Row],[Plan]]&lt;&gt;0,DB_STProjectAcct[[#This Row],[Actual]]/DB_STProjectAcct[[#This Row],[Plan]],1.000011000011)</f>
        <v>0.99893635880163079</v>
      </c>
    </row>
    <row r="167" spans="1:33" hidden="1" x14ac:dyDescent="0.2">
      <c r="A167" t="s">
        <v>1154</v>
      </c>
      <c r="B167" t="s">
        <v>351</v>
      </c>
      <c r="C167" t="s">
        <v>504</v>
      </c>
      <c r="D167" t="s">
        <v>947</v>
      </c>
      <c r="E167" t="s">
        <v>141</v>
      </c>
      <c r="F167">
        <v>263.28300000000002</v>
      </c>
      <c r="G167">
        <v>1396.1139999999998</v>
      </c>
      <c r="H167">
        <v>430.12000000000006</v>
      </c>
      <c r="I167">
        <v>-393.11400000000003</v>
      </c>
      <c r="J167">
        <v>676.58899999999994</v>
      </c>
      <c r="K167">
        <v>0</v>
      </c>
      <c r="R167">
        <v>263.27999999999997</v>
      </c>
      <c r="S167">
        <v>1396.09</v>
      </c>
      <c r="T167">
        <v>429.93</v>
      </c>
      <c r="U167">
        <v>-393.09</v>
      </c>
      <c r="V167">
        <v>676.6099999999999</v>
      </c>
      <c r="W167">
        <v>836.29</v>
      </c>
      <c r="AC167" s="295"/>
      <c r="AD167">
        <f>SUMPRODUCT(DB_STProjectAcct[[#This Row],[Plan01]:[Plan12]],$F$14:$Q$14)/valUnits2</f>
        <v>2.3729919999999995</v>
      </c>
      <c r="AE167">
        <f>SUMPRODUCT(DB_STProjectAcct[[#This Row],[Act01]:[Act12]],$R$14:$AC$14)/valUnits2</f>
        <v>3.2091099999999995</v>
      </c>
      <c r="AF167">
        <f>DB_STProjectAcct[[#This Row],[Actual]]-DB_STProjectAcct[[#This Row],[Plan]]</f>
        <v>0.83611799999999992</v>
      </c>
      <c r="AG167">
        <f>IF(DB_STProjectAcct[[#This Row],[Plan]]&lt;&gt;0,DB_STProjectAcct[[#This Row],[Actual]]/DB_STProjectAcct[[#This Row],[Plan]],1.000011000011)</f>
        <v>1.3523475848211879</v>
      </c>
    </row>
    <row r="168" spans="1:33" hidden="1" x14ac:dyDescent="0.2">
      <c r="A168" t="s">
        <v>1155</v>
      </c>
      <c r="B168" t="s">
        <v>351</v>
      </c>
      <c r="C168" t="s">
        <v>505</v>
      </c>
      <c r="D168" t="s">
        <v>964</v>
      </c>
      <c r="E168" t="s">
        <v>143</v>
      </c>
      <c r="AC168" s="297"/>
      <c r="AD168">
        <f>SUMPRODUCT(DB_STProjectAcct[[#This Row],[Plan01]:[Plan12]],$F$14:$Q$14)/valUnits2</f>
        <v>0</v>
      </c>
      <c r="AE168">
        <f>SUMPRODUCT(DB_STProjectAcct[[#This Row],[Act01]:[Act12]],$R$14:$AC$14)/valUnits2</f>
        <v>0</v>
      </c>
      <c r="AF168">
        <f>DB_STProjectAcct[[#This Row],[Actual]]-DB_STProjectAcct[[#This Row],[Plan]]</f>
        <v>0</v>
      </c>
      <c r="AG168">
        <f>IF(DB_STProjectAcct[[#This Row],[Plan]]&lt;&gt;0,DB_STProjectAcct[[#This Row],[Actual]]/DB_STProjectAcct[[#This Row],[Plan]],1.000011000011)</f>
        <v>1.0000110000110001</v>
      </c>
    </row>
    <row r="169" spans="1:33" hidden="1" x14ac:dyDescent="0.2">
      <c r="A169" t="s">
        <v>1156</v>
      </c>
      <c r="B169" t="s">
        <v>351</v>
      </c>
      <c r="C169" t="s">
        <v>505</v>
      </c>
      <c r="D169" t="s">
        <v>964</v>
      </c>
      <c r="E169" t="s">
        <v>235</v>
      </c>
      <c r="AC169" s="295"/>
      <c r="AD169">
        <f>SUMPRODUCT(DB_STProjectAcct[[#This Row],[Plan01]:[Plan12]],$F$14:$Q$14)/valUnits2</f>
        <v>0</v>
      </c>
      <c r="AE169">
        <f>SUMPRODUCT(DB_STProjectAcct[[#This Row],[Act01]:[Act12]],$R$14:$AC$14)/valUnits2</f>
        <v>0</v>
      </c>
      <c r="AF169">
        <f>DB_STProjectAcct[[#This Row],[Actual]]-DB_STProjectAcct[[#This Row],[Plan]]</f>
        <v>0</v>
      </c>
      <c r="AG169">
        <f>IF(DB_STProjectAcct[[#This Row],[Plan]]&lt;&gt;0,DB_STProjectAcct[[#This Row],[Actual]]/DB_STProjectAcct[[#This Row],[Plan]],1.000011000011)</f>
        <v>1.0000110000110001</v>
      </c>
    </row>
    <row r="170" spans="1:33" hidden="1" x14ac:dyDescent="0.2">
      <c r="A170" t="s">
        <v>1157</v>
      </c>
      <c r="B170" t="s">
        <v>351</v>
      </c>
      <c r="C170" t="s">
        <v>505</v>
      </c>
      <c r="D170" t="s">
        <v>964</v>
      </c>
      <c r="E170" t="s">
        <v>144</v>
      </c>
      <c r="AC170" s="297"/>
      <c r="AD170">
        <f>SUMPRODUCT(DB_STProjectAcct[[#This Row],[Plan01]:[Plan12]],$F$14:$Q$14)/valUnits2</f>
        <v>0</v>
      </c>
      <c r="AE170">
        <f>SUMPRODUCT(DB_STProjectAcct[[#This Row],[Act01]:[Act12]],$R$14:$AC$14)/valUnits2</f>
        <v>0</v>
      </c>
      <c r="AF170">
        <f>DB_STProjectAcct[[#This Row],[Actual]]-DB_STProjectAcct[[#This Row],[Plan]]</f>
        <v>0</v>
      </c>
      <c r="AG170">
        <f>IF(DB_STProjectAcct[[#This Row],[Plan]]&lt;&gt;0,DB_STProjectAcct[[#This Row],[Actual]]/DB_STProjectAcct[[#This Row],[Plan]],1.000011000011)</f>
        <v>1.0000110000110001</v>
      </c>
    </row>
    <row r="171" spans="1:33" hidden="1" x14ac:dyDescent="0.2">
      <c r="A171" t="s">
        <v>1158</v>
      </c>
      <c r="B171" t="s">
        <v>351</v>
      </c>
      <c r="C171" t="s">
        <v>505</v>
      </c>
      <c r="D171" t="s">
        <v>964</v>
      </c>
      <c r="E171" t="s">
        <v>142</v>
      </c>
      <c r="AC171" s="295"/>
      <c r="AD171">
        <f>SUMPRODUCT(DB_STProjectAcct[[#This Row],[Plan01]:[Plan12]],$F$14:$Q$14)/valUnits2</f>
        <v>0</v>
      </c>
      <c r="AE171">
        <f>SUMPRODUCT(DB_STProjectAcct[[#This Row],[Act01]:[Act12]],$R$14:$AC$14)/valUnits2</f>
        <v>0</v>
      </c>
      <c r="AF171">
        <f>DB_STProjectAcct[[#This Row],[Actual]]-DB_STProjectAcct[[#This Row],[Plan]]</f>
        <v>0</v>
      </c>
      <c r="AG171">
        <f>IF(DB_STProjectAcct[[#This Row],[Plan]]&lt;&gt;0,DB_STProjectAcct[[#This Row],[Actual]]/DB_STProjectAcct[[#This Row],[Plan]],1.000011000011)</f>
        <v>1.0000110000110001</v>
      </c>
    </row>
    <row r="172" spans="1:33" hidden="1" x14ac:dyDescent="0.2">
      <c r="A172" t="s">
        <v>1159</v>
      </c>
      <c r="B172" t="s">
        <v>351</v>
      </c>
      <c r="C172" t="s">
        <v>505</v>
      </c>
      <c r="D172" t="s">
        <v>964</v>
      </c>
      <c r="E172" t="s">
        <v>140</v>
      </c>
      <c r="I172">
        <v>1305.654</v>
      </c>
      <c r="J172">
        <v>5367.0060000000003</v>
      </c>
      <c r="K172">
        <v>0</v>
      </c>
      <c r="U172">
        <v>1298.21</v>
      </c>
      <c r="V172">
        <v>5395.34</v>
      </c>
      <c r="W172">
        <v>1436.29</v>
      </c>
      <c r="AC172" s="297"/>
      <c r="AD172">
        <f>SUMPRODUCT(DB_STProjectAcct[[#This Row],[Plan01]:[Plan12]],$F$14:$Q$14)/valUnits2</f>
        <v>6.6726599999999996</v>
      </c>
      <c r="AE172">
        <f>SUMPRODUCT(DB_STProjectAcct[[#This Row],[Act01]:[Act12]],$R$14:$AC$14)/valUnits2</f>
        <v>8.1298399999999997</v>
      </c>
      <c r="AF172">
        <f>DB_STProjectAcct[[#This Row],[Actual]]-DB_STProjectAcct[[#This Row],[Plan]]</f>
        <v>1.4571800000000001</v>
      </c>
      <c r="AG172">
        <f>IF(DB_STProjectAcct[[#This Row],[Plan]]&lt;&gt;0,DB_STProjectAcct[[#This Row],[Actual]]/DB_STProjectAcct[[#This Row],[Plan]],1.000011000011)</f>
        <v>1.2183806757724807</v>
      </c>
    </row>
    <row r="173" spans="1:33" hidden="1" x14ac:dyDescent="0.2">
      <c r="A173" t="s">
        <v>1160</v>
      </c>
      <c r="B173" t="s">
        <v>351</v>
      </c>
      <c r="C173" t="s">
        <v>505</v>
      </c>
      <c r="D173" t="s">
        <v>964</v>
      </c>
      <c r="E173" t="s">
        <v>236</v>
      </c>
      <c r="AC173" s="295"/>
      <c r="AD173">
        <f>SUMPRODUCT(DB_STProjectAcct[[#This Row],[Plan01]:[Plan12]],$F$14:$Q$14)/valUnits2</f>
        <v>0</v>
      </c>
      <c r="AE173">
        <f>SUMPRODUCT(DB_STProjectAcct[[#This Row],[Act01]:[Act12]],$R$14:$AC$14)/valUnits2</f>
        <v>0</v>
      </c>
      <c r="AF173">
        <f>DB_STProjectAcct[[#This Row],[Actual]]-DB_STProjectAcct[[#This Row],[Plan]]</f>
        <v>0</v>
      </c>
      <c r="AG173">
        <f>IF(DB_STProjectAcct[[#This Row],[Plan]]&lt;&gt;0,DB_STProjectAcct[[#This Row],[Actual]]/DB_STProjectAcct[[#This Row],[Plan]],1.000011000011)</f>
        <v>1.0000110000110001</v>
      </c>
    </row>
    <row r="174" spans="1:33" hidden="1" x14ac:dyDescent="0.2">
      <c r="A174" t="s">
        <v>1161</v>
      </c>
      <c r="B174" t="s">
        <v>351</v>
      </c>
      <c r="C174" t="s">
        <v>505</v>
      </c>
      <c r="D174" t="s">
        <v>964</v>
      </c>
      <c r="E174" t="s">
        <v>237</v>
      </c>
      <c r="K174">
        <v>0</v>
      </c>
      <c r="W174">
        <v>72.150000000000006</v>
      </c>
      <c r="AC174" s="297"/>
      <c r="AD174">
        <f>SUMPRODUCT(DB_STProjectAcct[[#This Row],[Plan01]:[Plan12]],$F$14:$Q$14)/valUnits2</f>
        <v>0</v>
      </c>
      <c r="AE174">
        <f>SUMPRODUCT(DB_STProjectAcct[[#This Row],[Act01]:[Act12]],$R$14:$AC$14)/valUnits2</f>
        <v>7.2150000000000006E-2</v>
      </c>
      <c r="AF174">
        <f>DB_STProjectAcct[[#This Row],[Actual]]-DB_STProjectAcct[[#This Row],[Plan]]</f>
        <v>7.2150000000000006E-2</v>
      </c>
      <c r="AG174">
        <f>IF(DB_STProjectAcct[[#This Row],[Plan]]&lt;&gt;0,DB_STProjectAcct[[#This Row],[Actual]]/DB_STProjectAcct[[#This Row],[Plan]],1.000011000011)</f>
        <v>1.0000110000110001</v>
      </c>
    </row>
    <row r="175" spans="1:33" hidden="1" x14ac:dyDescent="0.2">
      <c r="A175" t="s">
        <v>1162</v>
      </c>
      <c r="B175" t="s">
        <v>351</v>
      </c>
      <c r="C175" t="s">
        <v>505</v>
      </c>
      <c r="D175" t="s">
        <v>964</v>
      </c>
      <c r="E175" t="s">
        <v>141</v>
      </c>
      <c r="F175">
        <v>26.3</v>
      </c>
      <c r="K175">
        <v>0</v>
      </c>
      <c r="R175">
        <v>26.3</v>
      </c>
      <c r="W175">
        <v>516.04999999999995</v>
      </c>
      <c r="AC175" s="295"/>
      <c r="AD175">
        <f>SUMPRODUCT(DB_STProjectAcct[[#This Row],[Plan01]:[Plan12]],$F$14:$Q$14)/valUnits2</f>
        <v>2.63E-2</v>
      </c>
      <c r="AE175">
        <f>SUMPRODUCT(DB_STProjectAcct[[#This Row],[Act01]:[Act12]],$R$14:$AC$14)/valUnits2</f>
        <v>0.54234999999999989</v>
      </c>
      <c r="AF175">
        <f>DB_STProjectAcct[[#This Row],[Actual]]-DB_STProjectAcct[[#This Row],[Plan]]</f>
        <v>0.5160499999999999</v>
      </c>
      <c r="AG175">
        <f>IF(DB_STProjectAcct[[#This Row],[Plan]]&lt;&gt;0,DB_STProjectAcct[[#This Row],[Actual]]/DB_STProjectAcct[[#This Row],[Plan]],1.000011000011)</f>
        <v>20.621673003802275</v>
      </c>
    </row>
    <row r="176" spans="1:33" hidden="1" x14ac:dyDescent="0.2">
      <c r="A176" t="s">
        <v>1163</v>
      </c>
      <c r="B176" t="s">
        <v>351</v>
      </c>
      <c r="C176" t="s">
        <v>506</v>
      </c>
      <c r="D176" t="s">
        <v>990</v>
      </c>
      <c r="E176" t="s">
        <v>143</v>
      </c>
      <c r="AC176" s="297"/>
      <c r="AD176">
        <f>SUMPRODUCT(DB_STProjectAcct[[#This Row],[Plan01]:[Plan12]],$F$14:$Q$14)/valUnits2</f>
        <v>0</v>
      </c>
      <c r="AE176">
        <f>SUMPRODUCT(DB_STProjectAcct[[#This Row],[Act01]:[Act12]],$R$14:$AC$14)/valUnits2</f>
        <v>0</v>
      </c>
      <c r="AF176">
        <f>DB_STProjectAcct[[#This Row],[Actual]]-DB_STProjectAcct[[#This Row],[Plan]]</f>
        <v>0</v>
      </c>
      <c r="AG176">
        <f>IF(DB_STProjectAcct[[#This Row],[Plan]]&lt;&gt;0,DB_STProjectAcct[[#This Row],[Actual]]/DB_STProjectAcct[[#This Row],[Plan]],1.000011000011)</f>
        <v>1.0000110000110001</v>
      </c>
    </row>
    <row r="177" spans="1:33" hidden="1" x14ac:dyDescent="0.2">
      <c r="A177" t="s">
        <v>1164</v>
      </c>
      <c r="B177" t="s">
        <v>351</v>
      </c>
      <c r="C177" t="s">
        <v>506</v>
      </c>
      <c r="D177" t="s">
        <v>990</v>
      </c>
      <c r="E177" t="s">
        <v>235</v>
      </c>
      <c r="AC177" s="295"/>
      <c r="AD177">
        <f>SUMPRODUCT(DB_STProjectAcct[[#This Row],[Plan01]:[Plan12]],$F$14:$Q$14)/valUnits2</f>
        <v>0</v>
      </c>
      <c r="AE177">
        <f>SUMPRODUCT(DB_STProjectAcct[[#This Row],[Act01]:[Act12]],$R$14:$AC$14)/valUnits2</f>
        <v>0</v>
      </c>
      <c r="AF177">
        <f>DB_STProjectAcct[[#This Row],[Actual]]-DB_STProjectAcct[[#This Row],[Plan]]</f>
        <v>0</v>
      </c>
      <c r="AG177">
        <f>IF(DB_STProjectAcct[[#This Row],[Plan]]&lt;&gt;0,DB_STProjectAcct[[#This Row],[Actual]]/DB_STProjectAcct[[#This Row],[Plan]],1.000011000011)</f>
        <v>1.0000110000110001</v>
      </c>
    </row>
    <row r="178" spans="1:33" hidden="1" x14ac:dyDescent="0.2">
      <c r="A178" t="s">
        <v>1165</v>
      </c>
      <c r="B178" t="s">
        <v>351</v>
      </c>
      <c r="C178" t="s">
        <v>506</v>
      </c>
      <c r="D178" t="s">
        <v>990</v>
      </c>
      <c r="E178" t="s">
        <v>144</v>
      </c>
      <c r="AC178" s="297"/>
      <c r="AD178">
        <f>SUMPRODUCT(DB_STProjectAcct[[#This Row],[Plan01]:[Plan12]],$F$14:$Q$14)/valUnits2</f>
        <v>0</v>
      </c>
      <c r="AE178">
        <f>SUMPRODUCT(DB_STProjectAcct[[#This Row],[Act01]:[Act12]],$R$14:$AC$14)/valUnits2</f>
        <v>0</v>
      </c>
      <c r="AF178">
        <f>DB_STProjectAcct[[#This Row],[Actual]]-DB_STProjectAcct[[#This Row],[Plan]]</f>
        <v>0</v>
      </c>
      <c r="AG178">
        <f>IF(DB_STProjectAcct[[#This Row],[Plan]]&lt;&gt;0,DB_STProjectAcct[[#This Row],[Actual]]/DB_STProjectAcct[[#This Row],[Plan]],1.000011000011)</f>
        <v>1.0000110000110001</v>
      </c>
    </row>
    <row r="179" spans="1:33" hidden="1" x14ac:dyDescent="0.2">
      <c r="A179" t="s">
        <v>1166</v>
      </c>
      <c r="B179" t="s">
        <v>351</v>
      </c>
      <c r="C179" t="s">
        <v>506</v>
      </c>
      <c r="D179" t="s">
        <v>990</v>
      </c>
      <c r="E179" t="s">
        <v>142</v>
      </c>
      <c r="AC179" s="295"/>
      <c r="AD179">
        <f>SUMPRODUCT(DB_STProjectAcct[[#This Row],[Plan01]:[Plan12]],$F$14:$Q$14)/valUnits2</f>
        <v>0</v>
      </c>
      <c r="AE179">
        <f>SUMPRODUCT(DB_STProjectAcct[[#This Row],[Act01]:[Act12]],$R$14:$AC$14)/valUnits2</f>
        <v>0</v>
      </c>
      <c r="AF179">
        <f>DB_STProjectAcct[[#This Row],[Actual]]-DB_STProjectAcct[[#This Row],[Plan]]</f>
        <v>0</v>
      </c>
      <c r="AG179">
        <f>IF(DB_STProjectAcct[[#This Row],[Plan]]&lt;&gt;0,DB_STProjectAcct[[#This Row],[Actual]]/DB_STProjectAcct[[#This Row],[Plan]],1.000011000011)</f>
        <v>1.0000110000110001</v>
      </c>
    </row>
    <row r="180" spans="1:33" hidden="1" x14ac:dyDescent="0.2">
      <c r="A180" t="s">
        <v>1167</v>
      </c>
      <c r="B180" t="s">
        <v>351</v>
      </c>
      <c r="C180" t="s">
        <v>506</v>
      </c>
      <c r="D180" t="s">
        <v>990</v>
      </c>
      <c r="E180" t="s">
        <v>140</v>
      </c>
      <c r="AC180" s="297"/>
      <c r="AD180">
        <f>SUMPRODUCT(DB_STProjectAcct[[#This Row],[Plan01]:[Plan12]],$F$14:$Q$14)/valUnits2</f>
        <v>0</v>
      </c>
      <c r="AE180">
        <f>SUMPRODUCT(DB_STProjectAcct[[#This Row],[Act01]:[Act12]],$R$14:$AC$14)/valUnits2</f>
        <v>0</v>
      </c>
      <c r="AF180">
        <f>DB_STProjectAcct[[#This Row],[Actual]]-DB_STProjectAcct[[#This Row],[Plan]]</f>
        <v>0</v>
      </c>
      <c r="AG180">
        <f>IF(DB_STProjectAcct[[#This Row],[Plan]]&lt;&gt;0,DB_STProjectAcct[[#This Row],[Actual]]/DB_STProjectAcct[[#This Row],[Plan]],1.000011000011)</f>
        <v>1.0000110000110001</v>
      </c>
    </row>
    <row r="181" spans="1:33" hidden="1" x14ac:dyDescent="0.2">
      <c r="A181" t="s">
        <v>1168</v>
      </c>
      <c r="B181" t="s">
        <v>351</v>
      </c>
      <c r="C181" t="s">
        <v>506</v>
      </c>
      <c r="D181" t="s">
        <v>990</v>
      </c>
      <c r="E181" t="s">
        <v>236</v>
      </c>
      <c r="F181">
        <v>4166.6670000000004</v>
      </c>
      <c r="G181">
        <v>4166.6670000000004</v>
      </c>
      <c r="H181">
        <v>4166.6670000000004</v>
      </c>
      <c r="I181">
        <v>4166.6670000000004</v>
      </c>
      <c r="J181">
        <v>4166.6670000000004</v>
      </c>
      <c r="K181">
        <v>4166.6670000000004</v>
      </c>
      <c r="L181">
        <v>4166.6670000000004</v>
      </c>
      <c r="M181">
        <v>4166.6670000000004</v>
      </c>
      <c r="N181">
        <v>4166.6670000000004</v>
      </c>
      <c r="O181">
        <v>4166.6670000000004</v>
      </c>
      <c r="P181">
        <v>4166.6670000000004</v>
      </c>
      <c r="Q181">
        <v>4166.6670000000004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 s="295">
        <v>0</v>
      </c>
      <c r="AD181">
        <f>SUMPRODUCT(DB_STProjectAcct[[#This Row],[Plan01]:[Plan12]],$F$14:$Q$14)/valUnits2</f>
        <v>25.000002000000006</v>
      </c>
      <c r="AE181">
        <f>SUMPRODUCT(DB_STProjectAcct[[#This Row],[Act01]:[Act12]],$R$14:$AC$14)/valUnits2</f>
        <v>0</v>
      </c>
      <c r="AF181">
        <f>DB_STProjectAcct[[#This Row],[Actual]]-DB_STProjectAcct[[#This Row],[Plan]]</f>
        <v>-25.000002000000006</v>
      </c>
      <c r="AG181">
        <f>IF(DB_STProjectAcct[[#This Row],[Plan]]&lt;&gt;0,DB_STProjectAcct[[#This Row],[Actual]]/DB_STProjectAcct[[#This Row],[Plan]],1.000011000011)</f>
        <v>0</v>
      </c>
    </row>
    <row r="182" spans="1:33" hidden="1" x14ac:dyDescent="0.2">
      <c r="A182" t="s">
        <v>1169</v>
      </c>
      <c r="B182" t="s">
        <v>351</v>
      </c>
      <c r="C182" t="s">
        <v>506</v>
      </c>
      <c r="D182" t="s">
        <v>990</v>
      </c>
      <c r="E182" t="s">
        <v>237</v>
      </c>
      <c r="AC182" s="297"/>
      <c r="AD182">
        <f>SUMPRODUCT(DB_STProjectAcct[[#This Row],[Plan01]:[Plan12]],$F$14:$Q$14)/valUnits2</f>
        <v>0</v>
      </c>
      <c r="AE182">
        <f>SUMPRODUCT(DB_STProjectAcct[[#This Row],[Act01]:[Act12]],$R$14:$AC$14)/valUnits2</f>
        <v>0</v>
      </c>
      <c r="AF182">
        <f>DB_STProjectAcct[[#This Row],[Actual]]-DB_STProjectAcct[[#This Row],[Plan]]</f>
        <v>0</v>
      </c>
      <c r="AG182">
        <f>IF(DB_STProjectAcct[[#This Row],[Plan]]&lt;&gt;0,DB_STProjectAcct[[#This Row],[Actual]]/DB_STProjectAcct[[#This Row],[Plan]],1.000011000011)</f>
        <v>1.0000110000110001</v>
      </c>
    </row>
    <row r="183" spans="1:33" hidden="1" x14ac:dyDescent="0.2">
      <c r="A183" t="s">
        <v>1170</v>
      </c>
      <c r="B183" t="s">
        <v>351</v>
      </c>
      <c r="C183" t="s">
        <v>506</v>
      </c>
      <c r="D183" t="s">
        <v>990</v>
      </c>
      <c r="E183" t="s">
        <v>141</v>
      </c>
      <c r="F183">
        <v>50.44</v>
      </c>
      <c r="G183">
        <v>32.774999999999999</v>
      </c>
      <c r="H183">
        <v>41.817999999999998</v>
      </c>
      <c r="I183">
        <v>208.57</v>
      </c>
      <c r="J183">
        <v>359.08700000000005</v>
      </c>
      <c r="R183">
        <v>50.44</v>
      </c>
      <c r="S183">
        <v>32.770000000000003</v>
      </c>
      <c r="T183">
        <v>41.97</v>
      </c>
      <c r="U183">
        <v>204.52999999999997</v>
      </c>
      <c r="V183">
        <v>357.3</v>
      </c>
      <c r="AC183" s="295"/>
      <c r="AD183">
        <f>SUMPRODUCT(DB_STProjectAcct[[#This Row],[Plan01]:[Plan12]],$F$14:$Q$14)/valUnits2</f>
        <v>0.69269000000000003</v>
      </c>
      <c r="AE183">
        <f>SUMPRODUCT(DB_STProjectAcct[[#This Row],[Act01]:[Act12]],$R$14:$AC$14)/valUnits2</f>
        <v>0.68701000000000001</v>
      </c>
      <c r="AF183">
        <f>DB_STProjectAcct[[#This Row],[Actual]]-DB_STProjectAcct[[#This Row],[Plan]]</f>
        <v>-5.6800000000000184E-3</v>
      </c>
      <c r="AG183">
        <f>IF(DB_STProjectAcct[[#This Row],[Plan]]&lt;&gt;0,DB_STProjectAcct[[#This Row],[Actual]]/DB_STProjectAcct[[#This Row],[Plan]],1.000011000011)</f>
        <v>0.99180008373153938</v>
      </c>
    </row>
    <row r="184" spans="1:33" hidden="1" x14ac:dyDescent="0.2">
      <c r="A184" t="s">
        <v>1171</v>
      </c>
      <c r="B184" t="s">
        <v>343</v>
      </c>
      <c r="C184" t="s">
        <v>507</v>
      </c>
      <c r="D184" t="s">
        <v>977</v>
      </c>
      <c r="E184" t="s">
        <v>143</v>
      </c>
      <c r="AC184" s="297"/>
      <c r="AD184">
        <f>SUMPRODUCT(DB_STProjectAcct[[#This Row],[Plan01]:[Plan12]],$F$14:$Q$14)/valUnits2</f>
        <v>0</v>
      </c>
      <c r="AE184">
        <f>SUMPRODUCT(DB_STProjectAcct[[#This Row],[Act01]:[Act12]],$R$14:$AC$14)/valUnits2</f>
        <v>0</v>
      </c>
      <c r="AF184">
        <f>DB_STProjectAcct[[#This Row],[Actual]]-DB_STProjectAcct[[#This Row],[Plan]]</f>
        <v>0</v>
      </c>
      <c r="AG184">
        <f>IF(DB_STProjectAcct[[#This Row],[Plan]]&lt;&gt;0,DB_STProjectAcct[[#This Row],[Actual]]/DB_STProjectAcct[[#This Row],[Plan]],1.000011000011)</f>
        <v>1.0000110000110001</v>
      </c>
    </row>
    <row r="185" spans="1:33" hidden="1" x14ac:dyDescent="0.2">
      <c r="A185" t="s">
        <v>1172</v>
      </c>
      <c r="B185" t="s">
        <v>343</v>
      </c>
      <c r="C185" t="s">
        <v>507</v>
      </c>
      <c r="D185" t="s">
        <v>977</v>
      </c>
      <c r="E185" t="s">
        <v>235</v>
      </c>
      <c r="AC185" s="295"/>
      <c r="AD185">
        <f>SUMPRODUCT(DB_STProjectAcct[[#This Row],[Plan01]:[Plan12]],$F$14:$Q$14)/valUnits2</f>
        <v>0</v>
      </c>
      <c r="AE185">
        <f>SUMPRODUCT(DB_STProjectAcct[[#This Row],[Act01]:[Act12]],$R$14:$AC$14)/valUnits2</f>
        <v>0</v>
      </c>
      <c r="AF185">
        <f>DB_STProjectAcct[[#This Row],[Actual]]-DB_STProjectAcct[[#This Row],[Plan]]</f>
        <v>0</v>
      </c>
      <c r="AG185">
        <f>IF(DB_STProjectAcct[[#This Row],[Plan]]&lt;&gt;0,DB_STProjectAcct[[#This Row],[Actual]]/DB_STProjectAcct[[#This Row],[Plan]],1.000011000011)</f>
        <v>1.0000110000110001</v>
      </c>
    </row>
    <row r="186" spans="1:33" hidden="1" x14ac:dyDescent="0.2">
      <c r="A186" t="s">
        <v>1173</v>
      </c>
      <c r="B186" t="s">
        <v>343</v>
      </c>
      <c r="C186" t="s">
        <v>507</v>
      </c>
      <c r="D186" t="s">
        <v>977</v>
      </c>
      <c r="E186" t="s">
        <v>144</v>
      </c>
      <c r="AC186" s="297"/>
      <c r="AD186">
        <f>SUMPRODUCT(DB_STProjectAcct[[#This Row],[Plan01]:[Plan12]],$F$14:$Q$14)/valUnits2</f>
        <v>0</v>
      </c>
      <c r="AE186">
        <f>SUMPRODUCT(DB_STProjectAcct[[#This Row],[Act01]:[Act12]],$R$14:$AC$14)/valUnits2</f>
        <v>0</v>
      </c>
      <c r="AF186">
        <f>DB_STProjectAcct[[#This Row],[Actual]]-DB_STProjectAcct[[#This Row],[Plan]]</f>
        <v>0</v>
      </c>
      <c r="AG186">
        <f>IF(DB_STProjectAcct[[#This Row],[Plan]]&lt;&gt;0,DB_STProjectAcct[[#This Row],[Actual]]/DB_STProjectAcct[[#This Row],[Plan]],1.000011000011)</f>
        <v>1.0000110000110001</v>
      </c>
    </row>
    <row r="187" spans="1:33" hidden="1" x14ac:dyDescent="0.2">
      <c r="A187" t="s">
        <v>1174</v>
      </c>
      <c r="B187" t="s">
        <v>343</v>
      </c>
      <c r="C187" t="s">
        <v>507</v>
      </c>
      <c r="D187" t="s">
        <v>977</v>
      </c>
      <c r="E187" t="s">
        <v>142</v>
      </c>
      <c r="H187">
        <v>-34974.351000000002</v>
      </c>
      <c r="T187">
        <v>-34749.879999999997</v>
      </c>
      <c r="AC187" s="295"/>
      <c r="AD187">
        <f>SUMPRODUCT(DB_STProjectAcct[[#This Row],[Plan01]:[Plan12]],$F$14:$Q$14)/valUnits2</f>
        <v>-34.974351000000006</v>
      </c>
      <c r="AE187">
        <f>SUMPRODUCT(DB_STProjectAcct[[#This Row],[Act01]:[Act12]],$R$14:$AC$14)/valUnits2</f>
        <v>-34.749879999999997</v>
      </c>
      <c r="AF187">
        <f>DB_STProjectAcct[[#This Row],[Actual]]-DB_STProjectAcct[[#This Row],[Plan]]</f>
        <v>0.2244710000000083</v>
      </c>
      <c r="AG187">
        <f>IF(DB_STProjectAcct[[#This Row],[Plan]]&lt;&gt;0,DB_STProjectAcct[[#This Row],[Actual]]/DB_STProjectAcct[[#This Row],[Plan]],1.000011000011)</f>
        <v>0.99358183944571243</v>
      </c>
    </row>
    <row r="188" spans="1:33" hidden="1" x14ac:dyDescent="0.2">
      <c r="A188" t="s">
        <v>1175</v>
      </c>
      <c r="B188" t="s">
        <v>343</v>
      </c>
      <c r="C188" t="s">
        <v>507</v>
      </c>
      <c r="D188" t="s">
        <v>977</v>
      </c>
      <c r="E188" t="s">
        <v>140</v>
      </c>
      <c r="AC188" s="297"/>
      <c r="AD188">
        <f>SUMPRODUCT(DB_STProjectAcct[[#This Row],[Plan01]:[Plan12]],$F$14:$Q$14)/valUnits2</f>
        <v>0</v>
      </c>
      <c r="AE188">
        <f>SUMPRODUCT(DB_STProjectAcct[[#This Row],[Act01]:[Act12]],$R$14:$AC$14)/valUnits2</f>
        <v>0</v>
      </c>
      <c r="AF188">
        <f>DB_STProjectAcct[[#This Row],[Actual]]-DB_STProjectAcct[[#This Row],[Plan]]</f>
        <v>0</v>
      </c>
      <c r="AG188">
        <f>IF(DB_STProjectAcct[[#This Row],[Plan]]&lt;&gt;0,DB_STProjectAcct[[#This Row],[Actual]]/DB_STProjectAcct[[#This Row],[Plan]],1.000011000011)</f>
        <v>1.0000110000110001</v>
      </c>
    </row>
    <row r="189" spans="1:33" hidden="1" x14ac:dyDescent="0.2">
      <c r="A189" t="s">
        <v>1176</v>
      </c>
      <c r="B189" t="s">
        <v>343</v>
      </c>
      <c r="C189" t="s">
        <v>507</v>
      </c>
      <c r="D189" t="s">
        <v>977</v>
      </c>
      <c r="E189" t="s">
        <v>236</v>
      </c>
      <c r="AC189" s="295"/>
      <c r="AD189">
        <f>SUMPRODUCT(DB_STProjectAcct[[#This Row],[Plan01]:[Plan12]],$F$14:$Q$14)/valUnits2</f>
        <v>0</v>
      </c>
      <c r="AE189">
        <f>SUMPRODUCT(DB_STProjectAcct[[#This Row],[Act01]:[Act12]],$R$14:$AC$14)/valUnits2</f>
        <v>0</v>
      </c>
      <c r="AF189">
        <f>DB_STProjectAcct[[#This Row],[Actual]]-DB_STProjectAcct[[#This Row],[Plan]]</f>
        <v>0</v>
      </c>
      <c r="AG189">
        <f>IF(DB_STProjectAcct[[#This Row],[Plan]]&lt;&gt;0,DB_STProjectAcct[[#This Row],[Actual]]/DB_STProjectAcct[[#This Row],[Plan]],1.000011000011)</f>
        <v>1.0000110000110001</v>
      </c>
    </row>
    <row r="190" spans="1:33" hidden="1" x14ac:dyDescent="0.2">
      <c r="A190" t="s">
        <v>1177</v>
      </c>
      <c r="B190" t="s">
        <v>343</v>
      </c>
      <c r="C190" t="s">
        <v>507</v>
      </c>
      <c r="D190" t="s">
        <v>977</v>
      </c>
      <c r="E190" t="s">
        <v>237</v>
      </c>
      <c r="AC190" s="297"/>
      <c r="AD190">
        <f>SUMPRODUCT(DB_STProjectAcct[[#This Row],[Plan01]:[Plan12]],$F$14:$Q$14)/valUnits2</f>
        <v>0</v>
      </c>
      <c r="AE190">
        <f>SUMPRODUCT(DB_STProjectAcct[[#This Row],[Act01]:[Act12]],$R$14:$AC$14)/valUnits2</f>
        <v>0</v>
      </c>
      <c r="AF190">
        <f>DB_STProjectAcct[[#This Row],[Actual]]-DB_STProjectAcct[[#This Row],[Plan]]</f>
        <v>0</v>
      </c>
      <c r="AG190">
        <f>IF(DB_STProjectAcct[[#This Row],[Plan]]&lt;&gt;0,DB_STProjectAcct[[#This Row],[Actual]]/DB_STProjectAcct[[#This Row],[Plan]],1.000011000011)</f>
        <v>1.0000110000110001</v>
      </c>
    </row>
    <row r="191" spans="1:33" hidden="1" x14ac:dyDescent="0.2">
      <c r="A191" t="s">
        <v>1178</v>
      </c>
      <c r="B191" t="s">
        <v>343</v>
      </c>
      <c r="C191" t="s">
        <v>507</v>
      </c>
      <c r="D191" t="s">
        <v>977</v>
      </c>
      <c r="E191" t="s">
        <v>141</v>
      </c>
      <c r="AC191" s="295"/>
      <c r="AD191">
        <f>SUMPRODUCT(DB_STProjectAcct[[#This Row],[Plan01]:[Plan12]],$F$14:$Q$14)/valUnits2</f>
        <v>0</v>
      </c>
      <c r="AE191">
        <f>SUMPRODUCT(DB_STProjectAcct[[#This Row],[Act01]:[Act12]],$R$14:$AC$14)/valUnits2</f>
        <v>0</v>
      </c>
      <c r="AF191">
        <f>DB_STProjectAcct[[#This Row],[Actual]]-DB_STProjectAcct[[#This Row],[Plan]]</f>
        <v>0</v>
      </c>
      <c r="AG191">
        <f>IF(DB_STProjectAcct[[#This Row],[Plan]]&lt;&gt;0,DB_STProjectAcct[[#This Row],[Actual]]/DB_STProjectAcct[[#This Row],[Plan]],1.000011000011)</f>
        <v>1.0000110000110001</v>
      </c>
    </row>
    <row r="192" spans="1:33" hidden="1" x14ac:dyDescent="0.2">
      <c r="A192" t="s">
        <v>1179</v>
      </c>
      <c r="B192" t="s">
        <v>343</v>
      </c>
      <c r="C192" t="s">
        <v>508</v>
      </c>
      <c r="D192" t="s">
        <v>938</v>
      </c>
      <c r="E192" t="s">
        <v>143</v>
      </c>
      <c r="F192">
        <v>1113.7969999999998</v>
      </c>
      <c r="G192">
        <v>2426.33</v>
      </c>
      <c r="H192">
        <v>6638.4850000000006</v>
      </c>
      <c r="I192">
        <v>7258.4049999999997</v>
      </c>
      <c r="J192">
        <v>6874.0949999999993</v>
      </c>
      <c r="K192">
        <v>4914.6689999999999</v>
      </c>
      <c r="L192">
        <v>4890.8719999999994</v>
      </c>
      <c r="M192">
        <v>4914.6689999999999</v>
      </c>
      <c r="N192">
        <v>4867.0749999999998</v>
      </c>
      <c r="O192">
        <v>4867.0749999999998</v>
      </c>
      <c r="R192">
        <v>1049.6100000000001</v>
      </c>
      <c r="S192">
        <v>2411.87</v>
      </c>
      <c r="T192">
        <v>1775.8</v>
      </c>
      <c r="U192">
        <v>2391.33</v>
      </c>
      <c r="V192">
        <v>2234.79</v>
      </c>
      <c r="W192">
        <v>3021.69</v>
      </c>
      <c r="X192">
        <v>0</v>
      </c>
      <c r="Y192">
        <v>0</v>
      </c>
      <c r="Z192">
        <v>0</v>
      </c>
      <c r="AA192">
        <v>0</v>
      </c>
      <c r="AC192" s="297"/>
      <c r="AD192">
        <f>SUMPRODUCT(DB_STProjectAcct[[#This Row],[Plan01]:[Plan12]],$F$14:$Q$14)/valUnits2</f>
        <v>29.225781000000001</v>
      </c>
      <c r="AE192">
        <f>SUMPRODUCT(DB_STProjectAcct[[#This Row],[Act01]:[Act12]],$R$14:$AC$14)/valUnits2</f>
        <v>12.88509</v>
      </c>
      <c r="AF192">
        <f>DB_STProjectAcct[[#This Row],[Actual]]-DB_STProjectAcct[[#This Row],[Plan]]</f>
        <v>-16.340691</v>
      </c>
      <c r="AG192">
        <f>IF(DB_STProjectAcct[[#This Row],[Plan]]&lt;&gt;0,DB_STProjectAcct[[#This Row],[Actual]]/DB_STProjectAcct[[#This Row],[Plan]],1.000011000011)</f>
        <v>0.44088094685989743</v>
      </c>
    </row>
    <row r="193" spans="1:33" hidden="1" x14ac:dyDescent="0.2">
      <c r="A193" t="s">
        <v>1180</v>
      </c>
      <c r="B193" t="s">
        <v>343</v>
      </c>
      <c r="C193" t="s">
        <v>508</v>
      </c>
      <c r="D193" t="s">
        <v>938</v>
      </c>
      <c r="E193" t="s">
        <v>235</v>
      </c>
      <c r="F193">
        <v>1143.807</v>
      </c>
      <c r="G193">
        <v>2001.5500000000002</v>
      </c>
      <c r="H193">
        <v>1626.68</v>
      </c>
      <c r="I193">
        <v>1835.9099999999999</v>
      </c>
      <c r="J193">
        <v>1562.65</v>
      </c>
      <c r="K193">
        <v>0</v>
      </c>
      <c r="R193">
        <v>1155.2000000000003</v>
      </c>
      <c r="S193">
        <v>2016.0100000000004</v>
      </c>
      <c r="T193">
        <v>1641.38</v>
      </c>
      <c r="U193">
        <v>1835.91</v>
      </c>
      <c r="V193">
        <v>1562.65</v>
      </c>
      <c r="W193">
        <v>1986.63</v>
      </c>
      <c r="AC193" s="295"/>
      <c r="AD193">
        <f>SUMPRODUCT(DB_STProjectAcct[[#This Row],[Plan01]:[Plan12]],$F$14:$Q$14)/valUnits2</f>
        <v>8.170596999999999</v>
      </c>
      <c r="AE193">
        <f>SUMPRODUCT(DB_STProjectAcct[[#This Row],[Act01]:[Act12]],$R$14:$AC$14)/valUnits2</f>
        <v>10.197780000000002</v>
      </c>
      <c r="AF193">
        <f>DB_STProjectAcct[[#This Row],[Actual]]-DB_STProjectAcct[[#This Row],[Plan]]</f>
        <v>2.0271830000000026</v>
      </c>
      <c r="AG193">
        <f>IF(DB_STProjectAcct[[#This Row],[Plan]]&lt;&gt;0,DB_STProjectAcct[[#This Row],[Actual]]/DB_STProjectAcct[[#This Row],[Plan]],1.000011000011)</f>
        <v>1.248107084463963</v>
      </c>
    </row>
    <row r="194" spans="1:33" hidden="1" x14ac:dyDescent="0.2">
      <c r="A194" t="s">
        <v>1181</v>
      </c>
      <c r="B194" t="s">
        <v>343</v>
      </c>
      <c r="C194" t="s">
        <v>508</v>
      </c>
      <c r="D194" t="s">
        <v>938</v>
      </c>
      <c r="E194" t="s">
        <v>144</v>
      </c>
      <c r="AC194" s="297"/>
      <c r="AD194">
        <f>SUMPRODUCT(DB_STProjectAcct[[#This Row],[Plan01]:[Plan12]],$F$14:$Q$14)/valUnits2</f>
        <v>0</v>
      </c>
      <c r="AE194">
        <f>SUMPRODUCT(DB_STProjectAcct[[#This Row],[Act01]:[Act12]],$R$14:$AC$14)/valUnits2</f>
        <v>0</v>
      </c>
      <c r="AF194">
        <f>DB_STProjectAcct[[#This Row],[Actual]]-DB_STProjectAcct[[#This Row],[Plan]]</f>
        <v>0</v>
      </c>
      <c r="AG194">
        <f>IF(DB_STProjectAcct[[#This Row],[Plan]]&lt;&gt;0,DB_STProjectAcct[[#This Row],[Actual]]/DB_STProjectAcct[[#This Row],[Plan]],1.000011000011)</f>
        <v>1.0000110000110001</v>
      </c>
    </row>
    <row r="195" spans="1:33" hidden="1" x14ac:dyDescent="0.2">
      <c r="A195" t="s">
        <v>1182</v>
      </c>
      <c r="B195" t="s">
        <v>343</v>
      </c>
      <c r="C195" t="s">
        <v>508</v>
      </c>
      <c r="D195" t="s">
        <v>938</v>
      </c>
      <c r="E195" t="s">
        <v>142</v>
      </c>
      <c r="F195">
        <v>152746.84000000003</v>
      </c>
      <c r="G195">
        <v>318218.25900000008</v>
      </c>
      <c r="H195">
        <v>320232.89099999995</v>
      </c>
      <c r="I195">
        <v>440411.51300000004</v>
      </c>
      <c r="J195">
        <v>656275.31099999999</v>
      </c>
      <c r="K195">
        <v>638538.27099999995</v>
      </c>
      <c r="L195">
        <v>611945.92099999997</v>
      </c>
      <c r="M195">
        <v>626902.02099999995</v>
      </c>
      <c r="N195">
        <v>615458.72100000002</v>
      </c>
      <c r="O195">
        <v>513990.58100000001</v>
      </c>
      <c r="P195">
        <v>337465.228</v>
      </c>
      <c r="Q195">
        <v>2400.5</v>
      </c>
      <c r="R195">
        <v>77022.31</v>
      </c>
      <c r="S195">
        <v>173516.23</v>
      </c>
      <c r="T195">
        <v>173832.65</v>
      </c>
      <c r="U195">
        <v>189338.46999999997</v>
      </c>
      <c r="V195">
        <v>46729.889999999992</v>
      </c>
      <c r="W195">
        <v>119839.90999999999</v>
      </c>
      <c r="X195">
        <v>0</v>
      </c>
      <c r="Y195">
        <v>0</v>
      </c>
      <c r="Z195">
        <v>0</v>
      </c>
      <c r="AA195">
        <v>0</v>
      </c>
      <c r="AB195">
        <v>0</v>
      </c>
      <c r="AC195" s="295">
        <v>0</v>
      </c>
      <c r="AD195">
        <f>SUMPRODUCT(DB_STProjectAcct[[#This Row],[Plan01]:[Plan12]],$F$14:$Q$14)/valUnits2</f>
        <v>2526.4230849999999</v>
      </c>
      <c r="AE195">
        <f>SUMPRODUCT(DB_STProjectAcct[[#This Row],[Act01]:[Act12]],$R$14:$AC$14)/valUnits2</f>
        <v>780.27945999999997</v>
      </c>
      <c r="AF195">
        <f>DB_STProjectAcct[[#This Row],[Actual]]-DB_STProjectAcct[[#This Row],[Plan]]</f>
        <v>-1746.1436249999999</v>
      </c>
      <c r="AG195">
        <f>IF(DB_STProjectAcct[[#This Row],[Plan]]&lt;&gt;0,DB_STProjectAcct[[#This Row],[Actual]]/DB_STProjectAcct[[#This Row],[Plan]],1.000011000011)</f>
        <v>0.30884750247601539</v>
      </c>
    </row>
    <row r="196" spans="1:33" hidden="1" x14ac:dyDescent="0.2">
      <c r="A196" t="s">
        <v>1183</v>
      </c>
      <c r="B196" t="s">
        <v>343</v>
      </c>
      <c r="C196" t="s">
        <v>508</v>
      </c>
      <c r="D196" t="s">
        <v>938</v>
      </c>
      <c r="E196" t="s">
        <v>140</v>
      </c>
      <c r="F196">
        <v>35394.923999999999</v>
      </c>
      <c r="G196">
        <v>53578.779999999992</v>
      </c>
      <c r="H196">
        <v>66767.023000000001</v>
      </c>
      <c r="I196">
        <v>72655.016000000003</v>
      </c>
      <c r="J196">
        <v>126012.539</v>
      </c>
      <c r="K196">
        <v>71696.320000000007</v>
      </c>
      <c r="L196">
        <v>70648.319999999992</v>
      </c>
      <c r="M196">
        <v>70648.319999999992</v>
      </c>
      <c r="N196">
        <v>70648.320000000007</v>
      </c>
      <c r="O196">
        <v>70648.319999999992</v>
      </c>
      <c r="P196">
        <v>41274.913999999997</v>
      </c>
      <c r="Q196">
        <v>1287.511</v>
      </c>
      <c r="R196">
        <v>18428.87</v>
      </c>
      <c r="S196">
        <v>28077.35</v>
      </c>
      <c r="T196">
        <v>39012.759999999995</v>
      </c>
      <c r="U196">
        <v>43281.61</v>
      </c>
      <c r="V196">
        <v>56651.729999999996</v>
      </c>
      <c r="W196">
        <v>51312.960000000014</v>
      </c>
      <c r="X196">
        <v>0</v>
      </c>
      <c r="Y196">
        <v>0</v>
      </c>
      <c r="Z196">
        <v>0</v>
      </c>
      <c r="AA196">
        <v>0</v>
      </c>
      <c r="AB196">
        <v>0</v>
      </c>
      <c r="AC196" s="297">
        <v>0</v>
      </c>
      <c r="AD196">
        <f>SUMPRODUCT(DB_STProjectAcct[[#This Row],[Plan01]:[Plan12]],$F$14:$Q$14)/valUnits2</f>
        <v>426.104602</v>
      </c>
      <c r="AE196">
        <f>SUMPRODUCT(DB_STProjectAcct[[#This Row],[Act01]:[Act12]],$R$14:$AC$14)/valUnits2</f>
        <v>236.76528000000002</v>
      </c>
      <c r="AF196">
        <f>DB_STProjectAcct[[#This Row],[Actual]]-DB_STProjectAcct[[#This Row],[Plan]]</f>
        <v>-189.33932199999998</v>
      </c>
      <c r="AG196">
        <f>IF(DB_STProjectAcct[[#This Row],[Plan]]&lt;&gt;0,DB_STProjectAcct[[#This Row],[Actual]]/DB_STProjectAcct[[#This Row],[Plan]],1.000011000011)</f>
        <v>0.55565060524739418</v>
      </c>
    </row>
    <row r="197" spans="1:33" hidden="1" x14ac:dyDescent="0.2">
      <c r="A197" t="s">
        <v>1184</v>
      </c>
      <c r="B197" t="s">
        <v>343</v>
      </c>
      <c r="C197" t="s">
        <v>508</v>
      </c>
      <c r="D197" t="s">
        <v>938</v>
      </c>
      <c r="E197" t="s">
        <v>236</v>
      </c>
      <c r="F197">
        <v>9271</v>
      </c>
      <c r="G197">
        <v>1016.5899999999999</v>
      </c>
      <c r="H197">
        <v>36209.68</v>
      </c>
      <c r="I197">
        <v>21066.240000000002</v>
      </c>
      <c r="J197">
        <v>8414.9570000000003</v>
      </c>
      <c r="K197">
        <v>6322.0019999999995</v>
      </c>
      <c r="L197">
        <v>5124.57</v>
      </c>
      <c r="M197">
        <v>5124.57</v>
      </c>
      <c r="N197">
        <v>5124.57</v>
      </c>
      <c r="O197">
        <v>5124.57</v>
      </c>
      <c r="P197">
        <v>5124.57</v>
      </c>
      <c r="Q197">
        <v>297.983</v>
      </c>
      <c r="R197">
        <v>9271.0000000000018</v>
      </c>
      <c r="S197">
        <v>1016.5899999999999</v>
      </c>
      <c r="T197">
        <v>36209.68</v>
      </c>
      <c r="U197">
        <v>21066.239999999998</v>
      </c>
      <c r="V197">
        <v>3588.3700000000003</v>
      </c>
      <c r="W197">
        <v>25349.27</v>
      </c>
      <c r="X197">
        <v>1993.2</v>
      </c>
      <c r="Y197">
        <v>0</v>
      </c>
      <c r="Z197">
        <v>0</v>
      </c>
      <c r="AA197">
        <v>0</v>
      </c>
      <c r="AB197">
        <v>0</v>
      </c>
      <c r="AC197" s="295">
        <v>0</v>
      </c>
      <c r="AD197">
        <f>SUMPRODUCT(DB_STProjectAcct[[#This Row],[Plan01]:[Plan12]],$F$14:$Q$14)/valUnits2</f>
        <v>82.300468999999993</v>
      </c>
      <c r="AE197">
        <f>SUMPRODUCT(DB_STProjectAcct[[#This Row],[Act01]:[Act12]],$R$14:$AC$14)/valUnits2</f>
        <v>96.50115000000001</v>
      </c>
      <c r="AF197">
        <f>DB_STProjectAcct[[#This Row],[Actual]]-DB_STProjectAcct[[#This Row],[Plan]]</f>
        <v>14.200681000000017</v>
      </c>
      <c r="AG197">
        <f>IF(DB_STProjectAcct[[#This Row],[Plan]]&lt;&gt;0,DB_STProjectAcct[[#This Row],[Actual]]/DB_STProjectAcct[[#This Row],[Plan]],1.000011000011)</f>
        <v>1.1725467809910053</v>
      </c>
    </row>
    <row r="198" spans="1:33" hidden="1" x14ac:dyDescent="0.2">
      <c r="A198" t="s">
        <v>1185</v>
      </c>
      <c r="B198" t="s">
        <v>343</v>
      </c>
      <c r="C198" t="s">
        <v>508</v>
      </c>
      <c r="D198" t="s">
        <v>938</v>
      </c>
      <c r="E198" t="s">
        <v>237</v>
      </c>
      <c r="F198">
        <v>11521.85</v>
      </c>
      <c r="G198">
        <v>57.089999999999996</v>
      </c>
      <c r="H198">
        <v>16027.57</v>
      </c>
      <c r="I198">
        <v>8500.24</v>
      </c>
      <c r="J198">
        <v>19005.57</v>
      </c>
      <c r="K198">
        <v>0</v>
      </c>
      <c r="L198">
        <v>0</v>
      </c>
      <c r="M198">
        <v>0</v>
      </c>
      <c r="N198">
        <v>0</v>
      </c>
      <c r="O198">
        <v>0</v>
      </c>
      <c r="R198">
        <v>11521.85</v>
      </c>
      <c r="S198">
        <v>57.089999999999996</v>
      </c>
      <c r="T198">
        <v>16027.57</v>
      </c>
      <c r="U198">
        <v>8500.24</v>
      </c>
      <c r="V198">
        <v>19005.57</v>
      </c>
      <c r="W198">
        <v>18530.71</v>
      </c>
      <c r="X198">
        <v>0</v>
      </c>
      <c r="Y198">
        <v>0</v>
      </c>
      <c r="Z198">
        <v>0</v>
      </c>
      <c r="AA198">
        <v>0</v>
      </c>
      <c r="AC198" s="297"/>
      <c r="AD198">
        <f>SUMPRODUCT(DB_STProjectAcct[[#This Row],[Plan01]:[Plan12]],$F$14:$Q$14)/valUnits2</f>
        <v>55.112319999999997</v>
      </c>
      <c r="AE198">
        <f>SUMPRODUCT(DB_STProjectAcct[[#This Row],[Act01]:[Act12]],$R$14:$AC$14)/valUnits2</f>
        <v>73.643029999999996</v>
      </c>
      <c r="AF198">
        <f>DB_STProjectAcct[[#This Row],[Actual]]-DB_STProjectAcct[[#This Row],[Plan]]</f>
        <v>18.530709999999999</v>
      </c>
      <c r="AG198">
        <f>IF(DB_STProjectAcct[[#This Row],[Plan]]&lt;&gt;0,DB_STProjectAcct[[#This Row],[Actual]]/DB_STProjectAcct[[#This Row],[Plan]],1.000011000011)</f>
        <v>1.3362353462891783</v>
      </c>
    </row>
    <row r="199" spans="1:33" hidden="1" x14ac:dyDescent="0.2">
      <c r="A199" t="s">
        <v>1186</v>
      </c>
      <c r="B199" t="s">
        <v>343</v>
      </c>
      <c r="C199" t="s">
        <v>508</v>
      </c>
      <c r="D199" t="s">
        <v>938</v>
      </c>
      <c r="E199" t="s">
        <v>141</v>
      </c>
      <c r="F199">
        <v>4729.58</v>
      </c>
      <c r="G199">
        <v>5055.0389999999998</v>
      </c>
      <c r="H199">
        <v>17426.169000000002</v>
      </c>
      <c r="I199">
        <v>21132.918999999991</v>
      </c>
      <c r="J199">
        <v>51208.658999999992</v>
      </c>
      <c r="K199">
        <v>13558.144</v>
      </c>
      <c r="L199">
        <v>11119.763999999999</v>
      </c>
      <c r="M199">
        <v>12806.174000000001</v>
      </c>
      <c r="N199">
        <v>11497.352000000001</v>
      </c>
      <c r="O199">
        <v>5736.7209999999986</v>
      </c>
      <c r="P199">
        <v>4912.5029999999997</v>
      </c>
      <c r="Q199">
        <v>103.333</v>
      </c>
      <c r="R199">
        <v>2349.6599999999994</v>
      </c>
      <c r="S199">
        <v>3040.5700000000006</v>
      </c>
      <c r="T199">
        <v>14374.319999999998</v>
      </c>
      <c r="U199">
        <v>18081.07</v>
      </c>
      <c r="V199">
        <v>41114.640000000014</v>
      </c>
      <c r="W199">
        <v>16664.109999999997</v>
      </c>
      <c r="X199">
        <v>11043.32</v>
      </c>
      <c r="Y199">
        <v>0</v>
      </c>
      <c r="Z199">
        <v>0</v>
      </c>
      <c r="AA199">
        <v>0</v>
      </c>
      <c r="AB199">
        <v>0</v>
      </c>
      <c r="AC199" s="295">
        <v>0</v>
      </c>
      <c r="AD199">
        <f>SUMPRODUCT(DB_STProjectAcct[[#This Row],[Plan01]:[Plan12]],$F$14:$Q$14)/valUnits2</f>
        <v>113.11050999999998</v>
      </c>
      <c r="AE199">
        <f>SUMPRODUCT(DB_STProjectAcct[[#This Row],[Act01]:[Act12]],$R$14:$AC$14)/valUnits2</f>
        <v>95.624370000000013</v>
      </c>
      <c r="AF199">
        <f>DB_STProjectAcct[[#This Row],[Actual]]-DB_STProjectAcct[[#This Row],[Plan]]</f>
        <v>-17.486139999999963</v>
      </c>
      <c r="AG199">
        <f>IF(DB_STProjectAcct[[#This Row],[Plan]]&lt;&gt;0,DB_STProjectAcct[[#This Row],[Actual]]/DB_STProjectAcct[[#This Row],[Plan]],1.000011000011)</f>
        <v>0.84540658511751055</v>
      </c>
    </row>
    <row r="200" spans="1:33" hidden="1" x14ac:dyDescent="0.2">
      <c r="A200" t="s">
        <v>1187</v>
      </c>
      <c r="B200" t="s">
        <v>343</v>
      </c>
      <c r="C200" t="s">
        <v>508</v>
      </c>
      <c r="D200" t="s">
        <v>939</v>
      </c>
      <c r="E200" t="s">
        <v>143</v>
      </c>
      <c r="AC200" s="297"/>
      <c r="AD200">
        <f>SUMPRODUCT(DB_STProjectAcct[[#This Row],[Plan01]:[Plan12]],$F$14:$Q$14)/valUnits2</f>
        <v>0</v>
      </c>
      <c r="AE200">
        <f>SUMPRODUCT(DB_STProjectAcct[[#This Row],[Act01]:[Act12]],$R$14:$AC$14)/valUnits2</f>
        <v>0</v>
      </c>
      <c r="AF200">
        <f>DB_STProjectAcct[[#This Row],[Actual]]-DB_STProjectAcct[[#This Row],[Plan]]</f>
        <v>0</v>
      </c>
      <c r="AG200">
        <f>IF(DB_STProjectAcct[[#This Row],[Plan]]&lt;&gt;0,DB_STProjectAcct[[#This Row],[Actual]]/DB_STProjectAcct[[#This Row],[Plan]],1.000011000011)</f>
        <v>1.0000110000110001</v>
      </c>
    </row>
    <row r="201" spans="1:33" hidden="1" x14ac:dyDescent="0.2">
      <c r="A201" t="s">
        <v>1188</v>
      </c>
      <c r="B201" t="s">
        <v>343</v>
      </c>
      <c r="C201" t="s">
        <v>508</v>
      </c>
      <c r="D201" t="s">
        <v>939</v>
      </c>
      <c r="E201" t="s">
        <v>235</v>
      </c>
      <c r="F201">
        <v>-58.91</v>
      </c>
      <c r="K201">
        <v>0</v>
      </c>
      <c r="R201">
        <v>-58.91</v>
      </c>
      <c r="W201">
        <v>70.97</v>
      </c>
      <c r="AC201" s="295"/>
      <c r="AD201">
        <f>SUMPRODUCT(DB_STProjectAcct[[#This Row],[Plan01]:[Plan12]],$F$14:$Q$14)/valUnits2</f>
        <v>-5.8909999999999997E-2</v>
      </c>
      <c r="AE201">
        <f>SUMPRODUCT(DB_STProjectAcct[[#This Row],[Act01]:[Act12]],$R$14:$AC$14)/valUnits2</f>
        <v>1.2060000000000003E-2</v>
      </c>
      <c r="AF201">
        <f>DB_STProjectAcct[[#This Row],[Actual]]-DB_STProjectAcct[[#This Row],[Plan]]</f>
        <v>7.0970000000000005E-2</v>
      </c>
      <c r="AG201">
        <f>IF(DB_STProjectAcct[[#This Row],[Plan]]&lt;&gt;0,DB_STProjectAcct[[#This Row],[Actual]]/DB_STProjectAcct[[#This Row],[Plan]],1.000011000011)</f>
        <v>-0.20471906297742326</v>
      </c>
    </row>
    <row r="202" spans="1:33" hidden="1" x14ac:dyDescent="0.2">
      <c r="A202" t="s">
        <v>1189</v>
      </c>
      <c r="B202" t="s">
        <v>343</v>
      </c>
      <c r="C202" t="s">
        <v>508</v>
      </c>
      <c r="D202" t="s">
        <v>939</v>
      </c>
      <c r="E202" t="s">
        <v>144</v>
      </c>
      <c r="AC202" s="297"/>
      <c r="AD202">
        <f>SUMPRODUCT(DB_STProjectAcct[[#This Row],[Plan01]:[Plan12]],$F$14:$Q$14)/valUnits2</f>
        <v>0</v>
      </c>
      <c r="AE202">
        <f>SUMPRODUCT(DB_STProjectAcct[[#This Row],[Act01]:[Act12]],$R$14:$AC$14)/valUnits2</f>
        <v>0</v>
      </c>
      <c r="AF202">
        <f>DB_STProjectAcct[[#This Row],[Actual]]-DB_STProjectAcct[[#This Row],[Plan]]</f>
        <v>0</v>
      </c>
      <c r="AG202">
        <f>IF(DB_STProjectAcct[[#This Row],[Plan]]&lt;&gt;0,DB_STProjectAcct[[#This Row],[Actual]]/DB_STProjectAcct[[#This Row],[Plan]],1.000011000011)</f>
        <v>1.0000110000110001</v>
      </c>
    </row>
    <row r="203" spans="1:33" hidden="1" x14ac:dyDescent="0.2">
      <c r="A203" t="s">
        <v>1190</v>
      </c>
      <c r="B203" t="s">
        <v>343</v>
      </c>
      <c r="C203" t="s">
        <v>508</v>
      </c>
      <c r="D203" t="s">
        <v>939</v>
      </c>
      <c r="E203" t="s">
        <v>142</v>
      </c>
      <c r="AC203" s="295"/>
      <c r="AD203">
        <f>SUMPRODUCT(DB_STProjectAcct[[#This Row],[Plan01]:[Plan12]],$F$14:$Q$14)/valUnits2</f>
        <v>0</v>
      </c>
      <c r="AE203">
        <f>SUMPRODUCT(DB_STProjectAcct[[#This Row],[Act01]:[Act12]],$R$14:$AC$14)/valUnits2</f>
        <v>0</v>
      </c>
      <c r="AF203">
        <f>DB_STProjectAcct[[#This Row],[Actual]]-DB_STProjectAcct[[#This Row],[Plan]]</f>
        <v>0</v>
      </c>
      <c r="AG203">
        <f>IF(DB_STProjectAcct[[#This Row],[Plan]]&lt;&gt;0,DB_STProjectAcct[[#This Row],[Actual]]/DB_STProjectAcct[[#This Row],[Plan]],1.000011000011)</f>
        <v>1.0000110000110001</v>
      </c>
    </row>
    <row r="204" spans="1:33" hidden="1" x14ac:dyDescent="0.2">
      <c r="A204" t="s">
        <v>1191</v>
      </c>
      <c r="B204" t="s">
        <v>343</v>
      </c>
      <c r="C204" t="s">
        <v>508</v>
      </c>
      <c r="D204" t="s">
        <v>939</v>
      </c>
      <c r="E204" t="s">
        <v>140</v>
      </c>
      <c r="I204">
        <v>21932.32</v>
      </c>
      <c r="J204">
        <v>7268.28</v>
      </c>
      <c r="K204">
        <v>20606.666999999998</v>
      </c>
      <c r="U204">
        <v>21932.32</v>
      </c>
      <c r="V204">
        <v>7268.28</v>
      </c>
      <c r="W204">
        <v>8661.35</v>
      </c>
      <c r="AC204" s="297"/>
      <c r="AD204">
        <f>SUMPRODUCT(DB_STProjectAcct[[#This Row],[Plan01]:[Plan12]],$F$14:$Q$14)/valUnits2</f>
        <v>49.807266999999996</v>
      </c>
      <c r="AE204">
        <f>SUMPRODUCT(DB_STProjectAcct[[#This Row],[Act01]:[Act12]],$R$14:$AC$14)/valUnits2</f>
        <v>37.86195</v>
      </c>
      <c r="AF204">
        <f>DB_STProjectAcct[[#This Row],[Actual]]-DB_STProjectAcct[[#This Row],[Plan]]</f>
        <v>-11.945316999999996</v>
      </c>
      <c r="AG204">
        <f>IF(DB_STProjectAcct[[#This Row],[Plan]]&lt;&gt;0,DB_STProjectAcct[[#This Row],[Actual]]/DB_STProjectAcct[[#This Row],[Plan]],1.000011000011)</f>
        <v>0.76016919378451353</v>
      </c>
    </row>
    <row r="205" spans="1:33" hidden="1" x14ac:dyDescent="0.2">
      <c r="A205" t="s">
        <v>1192</v>
      </c>
      <c r="B205" t="s">
        <v>343</v>
      </c>
      <c r="C205" t="s">
        <v>508</v>
      </c>
      <c r="D205" t="s">
        <v>939</v>
      </c>
      <c r="E205" t="s">
        <v>236</v>
      </c>
      <c r="F205">
        <v>2500</v>
      </c>
      <c r="G205">
        <v>2500</v>
      </c>
      <c r="H205">
        <v>2500</v>
      </c>
      <c r="I205">
        <v>2500</v>
      </c>
      <c r="J205">
        <v>2500</v>
      </c>
      <c r="K205">
        <v>2500</v>
      </c>
      <c r="L205">
        <v>2500</v>
      </c>
      <c r="M205">
        <v>2500</v>
      </c>
      <c r="N205">
        <v>2500</v>
      </c>
      <c r="O205">
        <v>2500</v>
      </c>
      <c r="P205">
        <v>2500</v>
      </c>
      <c r="Q205">
        <v>2500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297.89999999999998</v>
      </c>
      <c r="X205">
        <v>0</v>
      </c>
      <c r="Y205">
        <v>0</v>
      </c>
      <c r="Z205">
        <v>0</v>
      </c>
      <c r="AA205">
        <v>0</v>
      </c>
      <c r="AB205">
        <v>0</v>
      </c>
      <c r="AC205" s="295">
        <v>0</v>
      </c>
      <c r="AD205">
        <f>SUMPRODUCT(DB_STProjectAcct[[#This Row],[Plan01]:[Plan12]],$F$14:$Q$14)/valUnits2</f>
        <v>15</v>
      </c>
      <c r="AE205">
        <f>SUMPRODUCT(DB_STProjectAcct[[#This Row],[Act01]:[Act12]],$R$14:$AC$14)/valUnits2</f>
        <v>0.2979</v>
      </c>
      <c r="AF205">
        <f>DB_STProjectAcct[[#This Row],[Actual]]-DB_STProjectAcct[[#This Row],[Plan]]</f>
        <v>-14.7021</v>
      </c>
      <c r="AG205">
        <f>IF(DB_STProjectAcct[[#This Row],[Plan]]&lt;&gt;0,DB_STProjectAcct[[#This Row],[Actual]]/DB_STProjectAcct[[#This Row],[Plan]],1.000011000011)</f>
        <v>1.9859999999999999E-2</v>
      </c>
    </row>
    <row r="206" spans="1:33" hidden="1" x14ac:dyDescent="0.2">
      <c r="A206" t="s">
        <v>1193</v>
      </c>
      <c r="B206" t="s">
        <v>343</v>
      </c>
      <c r="C206" t="s">
        <v>508</v>
      </c>
      <c r="D206" t="s">
        <v>939</v>
      </c>
      <c r="E206" t="s">
        <v>237</v>
      </c>
      <c r="I206">
        <v>5091</v>
      </c>
      <c r="J206">
        <v>1069.3900000000001</v>
      </c>
      <c r="K206">
        <v>666.66700000000003</v>
      </c>
      <c r="U206">
        <v>5091</v>
      </c>
      <c r="V206">
        <v>1069.3900000000001</v>
      </c>
      <c r="W206">
        <v>0</v>
      </c>
      <c r="AC206" s="297"/>
      <c r="AD206">
        <f>SUMPRODUCT(DB_STProjectAcct[[#This Row],[Plan01]:[Plan12]],$F$14:$Q$14)/valUnits2</f>
        <v>6.8270570000000008</v>
      </c>
      <c r="AE206">
        <f>SUMPRODUCT(DB_STProjectAcct[[#This Row],[Act01]:[Act12]],$R$14:$AC$14)/valUnits2</f>
        <v>6.1603900000000005</v>
      </c>
      <c r="AF206">
        <f>DB_STProjectAcct[[#This Row],[Actual]]-DB_STProjectAcct[[#This Row],[Plan]]</f>
        <v>-0.66666700000000034</v>
      </c>
      <c r="AG206">
        <f>IF(DB_STProjectAcct[[#This Row],[Plan]]&lt;&gt;0,DB_STProjectAcct[[#This Row],[Actual]]/DB_STProjectAcct[[#This Row],[Plan]],1.000011000011)</f>
        <v>0.90234928461854058</v>
      </c>
    </row>
    <row r="207" spans="1:33" hidden="1" x14ac:dyDescent="0.2">
      <c r="A207" t="s">
        <v>1194</v>
      </c>
      <c r="B207" t="s">
        <v>343</v>
      </c>
      <c r="C207" t="s">
        <v>508</v>
      </c>
      <c r="D207" t="s">
        <v>939</v>
      </c>
      <c r="E207" t="s">
        <v>141</v>
      </c>
      <c r="F207">
        <v>367.03</v>
      </c>
      <c r="I207">
        <v>12608.829999999998</v>
      </c>
      <c r="J207">
        <v>41.15</v>
      </c>
      <c r="K207">
        <v>15516.66</v>
      </c>
      <c r="R207">
        <v>367.03</v>
      </c>
      <c r="U207">
        <v>12608.83</v>
      </c>
      <c r="V207">
        <v>41.15</v>
      </c>
      <c r="W207">
        <v>201.93</v>
      </c>
      <c r="AC207" s="295"/>
      <c r="AD207">
        <f>SUMPRODUCT(DB_STProjectAcct[[#This Row],[Plan01]:[Plan12]],$F$14:$Q$14)/valUnits2</f>
        <v>28.533669999999997</v>
      </c>
      <c r="AE207">
        <f>SUMPRODUCT(DB_STProjectAcct[[#This Row],[Act01]:[Act12]],$R$14:$AC$14)/valUnits2</f>
        <v>13.21894</v>
      </c>
      <c r="AF207">
        <f>DB_STProjectAcct[[#This Row],[Actual]]-DB_STProjectAcct[[#This Row],[Plan]]</f>
        <v>-15.314729999999997</v>
      </c>
      <c r="AG207">
        <f>IF(DB_STProjectAcct[[#This Row],[Plan]]&lt;&gt;0,DB_STProjectAcct[[#This Row],[Actual]]/DB_STProjectAcct[[#This Row],[Plan]],1.000011000011)</f>
        <v>0.46327514126293606</v>
      </c>
    </row>
    <row r="208" spans="1:33" hidden="1" x14ac:dyDescent="0.2">
      <c r="A208" t="s">
        <v>1195</v>
      </c>
      <c r="B208" t="s">
        <v>343</v>
      </c>
      <c r="C208" t="s">
        <v>508</v>
      </c>
      <c r="D208" t="s">
        <v>954</v>
      </c>
      <c r="E208" t="s">
        <v>143</v>
      </c>
      <c r="F208">
        <v>0</v>
      </c>
      <c r="R208">
        <v>0</v>
      </c>
      <c r="AC208" s="297"/>
      <c r="AD208">
        <f>SUMPRODUCT(DB_STProjectAcct[[#This Row],[Plan01]:[Plan12]],$F$14:$Q$14)/valUnits2</f>
        <v>0</v>
      </c>
      <c r="AE208">
        <f>SUMPRODUCT(DB_STProjectAcct[[#This Row],[Act01]:[Act12]],$R$14:$AC$14)/valUnits2</f>
        <v>0</v>
      </c>
      <c r="AF208">
        <f>DB_STProjectAcct[[#This Row],[Actual]]-DB_STProjectAcct[[#This Row],[Plan]]</f>
        <v>0</v>
      </c>
      <c r="AG208">
        <f>IF(DB_STProjectAcct[[#This Row],[Plan]]&lt;&gt;0,DB_STProjectAcct[[#This Row],[Actual]]/DB_STProjectAcct[[#This Row],[Plan]],1.000011000011)</f>
        <v>1.0000110000110001</v>
      </c>
    </row>
    <row r="209" spans="1:33" hidden="1" x14ac:dyDescent="0.2">
      <c r="A209" t="s">
        <v>1196</v>
      </c>
      <c r="B209" t="s">
        <v>343</v>
      </c>
      <c r="C209" t="s">
        <v>508</v>
      </c>
      <c r="D209" t="s">
        <v>954</v>
      </c>
      <c r="E209" t="s">
        <v>235</v>
      </c>
      <c r="F209">
        <v>211.02599999999998</v>
      </c>
      <c r="G209">
        <v>167.62200000000001</v>
      </c>
      <c r="I209">
        <v>53.381</v>
      </c>
      <c r="J209">
        <v>69.239999999999995</v>
      </c>
      <c r="K209">
        <v>0</v>
      </c>
      <c r="R209">
        <v>216.56</v>
      </c>
      <c r="S209">
        <v>172.72</v>
      </c>
      <c r="U209">
        <v>52.76</v>
      </c>
      <c r="V209">
        <v>70.37</v>
      </c>
      <c r="W209">
        <v>185.3</v>
      </c>
      <c r="AC209" s="295"/>
      <c r="AD209">
        <f>SUMPRODUCT(DB_STProjectAcct[[#This Row],[Plan01]:[Plan12]],$F$14:$Q$14)/valUnits2</f>
        <v>0.50126899999999996</v>
      </c>
      <c r="AE209">
        <f>SUMPRODUCT(DB_STProjectAcct[[#This Row],[Act01]:[Act12]],$R$14:$AC$14)/valUnits2</f>
        <v>0.69771000000000005</v>
      </c>
      <c r="AF209">
        <f>DB_STProjectAcct[[#This Row],[Actual]]-DB_STProjectAcct[[#This Row],[Plan]]</f>
        <v>0.19644100000000009</v>
      </c>
      <c r="AG209">
        <f>IF(DB_STProjectAcct[[#This Row],[Plan]]&lt;&gt;0,DB_STProjectAcct[[#This Row],[Actual]]/DB_STProjectAcct[[#This Row],[Plan]],1.000011000011)</f>
        <v>1.391887389804676</v>
      </c>
    </row>
    <row r="210" spans="1:33" hidden="1" x14ac:dyDescent="0.2">
      <c r="A210" t="s">
        <v>1197</v>
      </c>
      <c r="B210" t="s">
        <v>343</v>
      </c>
      <c r="C210" t="s">
        <v>508</v>
      </c>
      <c r="D210" t="s">
        <v>954</v>
      </c>
      <c r="E210" t="s">
        <v>144</v>
      </c>
      <c r="AC210" s="297"/>
      <c r="AD210">
        <f>SUMPRODUCT(DB_STProjectAcct[[#This Row],[Plan01]:[Plan12]],$F$14:$Q$14)/valUnits2</f>
        <v>0</v>
      </c>
      <c r="AE210">
        <f>SUMPRODUCT(DB_STProjectAcct[[#This Row],[Act01]:[Act12]],$R$14:$AC$14)/valUnits2</f>
        <v>0</v>
      </c>
      <c r="AF210">
        <f>DB_STProjectAcct[[#This Row],[Actual]]-DB_STProjectAcct[[#This Row],[Plan]]</f>
        <v>0</v>
      </c>
      <c r="AG210">
        <f>IF(DB_STProjectAcct[[#This Row],[Plan]]&lt;&gt;0,DB_STProjectAcct[[#This Row],[Actual]]/DB_STProjectAcct[[#This Row],[Plan]],1.000011000011)</f>
        <v>1.0000110000110001</v>
      </c>
    </row>
    <row r="211" spans="1:33" hidden="1" x14ac:dyDescent="0.2">
      <c r="A211" t="s">
        <v>1198</v>
      </c>
      <c r="B211" t="s">
        <v>343</v>
      </c>
      <c r="C211" t="s">
        <v>508</v>
      </c>
      <c r="D211" t="s">
        <v>954</v>
      </c>
      <c r="E211" t="s">
        <v>142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153427.30699999997</v>
      </c>
      <c r="L211">
        <v>13997.002</v>
      </c>
      <c r="M211">
        <v>148856.80399999997</v>
      </c>
      <c r="N211">
        <v>15170.311</v>
      </c>
      <c r="O211">
        <v>152383.35500000001</v>
      </c>
      <c r="P211">
        <v>16658.696</v>
      </c>
      <c r="Q211">
        <v>142198.81400000001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 s="295">
        <v>0</v>
      </c>
      <c r="AD211">
        <f>SUMPRODUCT(DB_STProjectAcct[[#This Row],[Plan01]:[Plan12]],$F$14:$Q$14)/valUnits2</f>
        <v>153.42730699999998</v>
      </c>
      <c r="AE211">
        <f>SUMPRODUCT(DB_STProjectAcct[[#This Row],[Act01]:[Act12]],$R$14:$AC$14)/valUnits2</f>
        <v>0</v>
      </c>
      <c r="AF211">
        <f>DB_STProjectAcct[[#This Row],[Actual]]-DB_STProjectAcct[[#This Row],[Plan]]</f>
        <v>-153.42730699999998</v>
      </c>
      <c r="AG211">
        <f>IF(DB_STProjectAcct[[#This Row],[Plan]]&lt;&gt;0,DB_STProjectAcct[[#This Row],[Actual]]/DB_STProjectAcct[[#This Row],[Plan]],1.000011000011)</f>
        <v>0</v>
      </c>
    </row>
    <row r="212" spans="1:33" hidden="1" x14ac:dyDescent="0.2">
      <c r="A212" t="s">
        <v>1199</v>
      </c>
      <c r="B212" t="s">
        <v>343</v>
      </c>
      <c r="C212" t="s">
        <v>508</v>
      </c>
      <c r="D212" t="s">
        <v>954</v>
      </c>
      <c r="E212" t="s">
        <v>140</v>
      </c>
      <c r="F212">
        <v>1844.0539999999999</v>
      </c>
      <c r="G212">
        <v>2302.1409999999996</v>
      </c>
      <c r="H212">
        <v>342.73399999999998</v>
      </c>
      <c r="I212">
        <v>3144.5429999999997</v>
      </c>
      <c r="J212">
        <v>4219.6319999999996</v>
      </c>
      <c r="K212">
        <v>6101.4930000000004</v>
      </c>
      <c r="L212">
        <v>6101.4929999999995</v>
      </c>
      <c r="M212">
        <v>6101.4929999999995</v>
      </c>
      <c r="N212">
        <v>6059.9749999999995</v>
      </c>
      <c r="O212">
        <v>6059.9750000000004</v>
      </c>
      <c r="P212">
        <v>6059.9750000000004</v>
      </c>
      <c r="Q212">
        <v>6059.9750000000004</v>
      </c>
      <c r="R212">
        <v>1854.68</v>
      </c>
      <c r="S212">
        <v>2358.59</v>
      </c>
      <c r="T212">
        <v>341.23</v>
      </c>
      <c r="U212">
        <v>3117.6800000000007</v>
      </c>
      <c r="V212">
        <v>4200.92</v>
      </c>
      <c r="W212">
        <v>2283.38</v>
      </c>
      <c r="X212">
        <v>0</v>
      </c>
      <c r="Y212">
        <v>0</v>
      </c>
      <c r="Z212">
        <v>0</v>
      </c>
      <c r="AA212">
        <v>0</v>
      </c>
      <c r="AB212">
        <v>0</v>
      </c>
      <c r="AC212" s="297">
        <v>0</v>
      </c>
      <c r="AD212">
        <f>SUMPRODUCT(DB_STProjectAcct[[#This Row],[Plan01]:[Plan12]],$F$14:$Q$14)/valUnits2</f>
        <v>17.954597000000003</v>
      </c>
      <c r="AE212">
        <f>SUMPRODUCT(DB_STProjectAcct[[#This Row],[Act01]:[Act12]],$R$14:$AC$14)/valUnits2</f>
        <v>14.15648</v>
      </c>
      <c r="AF212">
        <f>DB_STProjectAcct[[#This Row],[Actual]]-DB_STProjectAcct[[#This Row],[Plan]]</f>
        <v>-3.7981170000000031</v>
      </c>
      <c r="AG212">
        <f>IF(DB_STProjectAcct[[#This Row],[Plan]]&lt;&gt;0,DB_STProjectAcct[[#This Row],[Actual]]/DB_STProjectAcct[[#This Row],[Plan]],1.000011000011)</f>
        <v>0.78845991363660228</v>
      </c>
    </row>
    <row r="213" spans="1:33" hidden="1" x14ac:dyDescent="0.2">
      <c r="A213" t="s">
        <v>1200</v>
      </c>
      <c r="B213" t="s">
        <v>343</v>
      </c>
      <c r="C213" t="s">
        <v>508</v>
      </c>
      <c r="D213" t="s">
        <v>954</v>
      </c>
      <c r="E213" t="s">
        <v>236</v>
      </c>
      <c r="F213">
        <v>2250</v>
      </c>
      <c r="G213">
        <v>2508.8469999999998</v>
      </c>
      <c r="H213">
        <v>26017.64</v>
      </c>
      <c r="I213">
        <v>2250</v>
      </c>
      <c r="J213">
        <v>2250</v>
      </c>
      <c r="K213">
        <v>2250</v>
      </c>
      <c r="L213">
        <v>2250</v>
      </c>
      <c r="M213">
        <v>2250</v>
      </c>
      <c r="N213">
        <v>2250</v>
      </c>
      <c r="O213">
        <v>2250</v>
      </c>
      <c r="P213">
        <v>2250</v>
      </c>
      <c r="Q213">
        <v>2250</v>
      </c>
      <c r="R213">
        <v>0</v>
      </c>
      <c r="S213">
        <v>266.16000000000003</v>
      </c>
      <c r="T213">
        <v>23634.82</v>
      </c>
      <c r="U213">
        <v>0</v>
      </c>
      <c r="V213">
        <v>0</v>
      </c>
      <c r="W213">
        <v>-1139.3399999999999</v>
      </c>
      <c r="X213">
        <v>0</v>
      </c>
      <c r="Y213">
        <v>0</v>
      </c>
      <c r="Z213">
        <v>0</v>
      </c>
      <c r="AA213">
        <v>0</v>
      </c>
      <c r="AB213">
        <v>0</v>
      </c>
      <c r="AC213" s="295">
        <v>0</v>
      </c>
      <c r="AD213">
        <f>SUMPRODUCT(DB_STProjectAcct[[#This Row],[Plan01]:[Plan12]],$F$14:$Q$14)/valUnits2</f>
        <v>37.526487000000003</v>
      </c>
      <c r="AE213">
        <f>SUMPRODUCT(DB_STProjectAcct[[#This Row],[Act01]:[Act12]],$R$14:$AC$14)/valUnits2</f>
        <v>22.76164</v>
      </c>
      <c r="AF213">
        <f>DB_STProjectAcct[[#This Row],[Actual]]-DB_STProjectAcct[[#This Row],[Plan]]</f>
        <v>-14.764847000000003</v>
      </c>
      <c r="AG213">
        <f>IF(DB_STProjectAcct[[#This Row],[Plan]]&lt;&gt;0,DB_STProjectAcct[[#This Row],[Actual]]/DB_STProjectAcct[[#This Row],[Plan]],1.000011000011)</f>
        <v>0.60654864922474616</v>
      </c>
    </row>
    <row r="214" spans="1:33" hidden="1" x14ac:dyDescent="0.2">
      <c r="A214" t="s">
        <v>1201</v>
      </c>
      <c r="B214" t="s">
        <v>343</v>
      </c>
      <c r="C214" t="s">
        <v>508</v>
      </c>
      <c r="D214" t="s">
        <v>954</v>
      </c>
      <c r="E214" t="s">
        <v>237</v>
      </c>
      <c r="F214">
        <v>1635.646</v>
      </c>
      <c r="G214">
        <v>27.917000000000002</v>
      </c>
      <c r="H214">
        <v>1279.971</v>
      </c>
      <c r="K214">
        <v>0</v>
      </c>
      <c r="R214">
        <v>1644.2</v>
      </c>
      <c r="S214">
        <v>28.86</v>
      </c>
      <c r="T214">
        <v>1278.03</v>
      </c>
      <c r="W214">
        <v>14.97</v>
      </c>
      <c r="AC214" s="297"/>
      <c r="AD214">
        <f>SUMPRODUCT(DB_STProjectAcct[[#This Row],[Plan01]:[Plan12]],$F$14:$Q$14)/valUnits2</f>
        <v>2.9435339999999997</v>
      </c>
      <c r="AE214">
        <f>SUMPRODUCT(DB_STProjectAcct[[#This Row],[Act01]:[Act12]],$R$14:$AC$14)/valUnits2</f>
        <v>2.9660600000000001</v>
      </c>
      <c r="AF214">
        <f>DB_STProjectAcct[[#This Row],[Actual]]-DB_STProjectAcct[[#This Row],[Plan]]</f>
        <v>2.252600000000049E-2</v>
      </c>
      <c r="AG214">
        <f>IF(DB_STProjectAcct[[#This Row],[Plan]]&lt;&gt;0,DB_STProjectAcct[[#This Row],[Actual]]/DB_STProjectAcct[[#This Row],[Plan]],1.000011000011)</f>
        <v>1.0076527058970612</v>
      </c>
    </row>
    <row r="215" spans="1:33" hidden="1" x14ac:dyDescent="0.2">
      <c r="A215" t="s">
        <v>1202</v>
      </c>
      <c r="B215" t="s">
        <v>343</v>
      </c>
      <c r="C215" t="s">
        <v>508</v>
      </c>
      <c r="D215" t="s">
        <v>954</v>
      </c>
      <c r="E215" t="s">
        <v>141</v>
      </c>
      <c r="F215">
        <v>254.89500000000001</v>
      </c>
      <c r="G215">
        <v>382.49400000000003</v>
      </c>
      <c r="H215">
        <v>5853.46</v>
      </c>
      <c r="I215">
        <v>326.57299999999998</v>
      </c>
      <c r="J215">
        <v>190.505</v>
      </c>
      <c r="K215">
        <v>504.87900000000002</v>
      </c>
      <c r="L215">
        <v>504.87900000000002</v>
      </c>
      <c r="M215">
        <v>504.87900000000002</v>
      </c>
      <c r="N215">
        <v>501.44400000000007</v>
      </c>
      <c r="O215">
        <v>501.44399999999996</v>
      </c>
      <c r="P215">
        <v>501.44399999999996</v>
      </c>
      <c r="Q215">
        <v>501.44400000000002</v>
      </c>
      <c r="R215">
        <v>261.23</v>
      </c>
      <c r="S215">
        <v>395.07999999999993</v>
      </c>
      <c r="T215">
        <v>5820.7500000000009</v>
      </c>
      <c r="U215">
        <v>322.48</v>
      </c>
      <c r="V215">
        <v>193.45</v>
      </c>
      <c r="W215">
        <v>401.66999999999996</v>
      </c>
      <c r="X215">
        <v>0</v>
      </c>
      <c r="Y215">
        <v>0</v>
      </c>
      <c r="Z215">
        <v>0</v>
      </c>
      <c r="AA215">
        <v>0</v>
      </c>
      <c r="AB215">
        <v>0</v>
      </c>
      <c r="AC215" s="295">
        <v>0</v>
      </c>
      <c r="AD215">
        <f>SUMPRODUCT(DB_STProjectAcct[[#This Row],[Plan01]:[Plan12]],$F$14:$Q$14)/valUnits2</f>
        <v>7.5128060000000003</v>
      </c>
      <c r="AE215">
        <f>SUMPRODUCT(DB_STProjectAcct[[#This Row],[Act01]:[Act12]],$R$14:$AC$14)/valUnits2</f>
        <v>7.3946600000000009</v>
      </c>
      <c r="AF215">
        <f>DB_STProjectAcct[[#This Row],[Actual]]-DB_STProjectAcct[[#This Row],[Plan]]</f>
        <v>-0.11814599999999942</v>
      </c>
      <c r="AG215">
        <f>IF(DB_STProjectAcct[[#This Row],[Plan]]&lt;&gt;0,DB_STProjectAcct[[#This Row],[Actual]]/DB_STProjectAcct[[#This Row],[Plan]],1.000011000011)</f>
        <v>0.98427405153280956</v>
      </c>
    </row>
    <row r="216" spans="1:33" hidden="1" x14ac:dyDescent="0.2">
      <c r="A216" t="s">
        <v>1203</v>
      </c>
      <c r="B216" t="s">
        <v>343</v>
      </c>
      <c r="C216" t="s">
        <v>508</v>
      </c>
      <c r="D216" t="s">
        <v>960</v>
      </c>
      <c r="E216" t="s">
        <v>143</v>
      </c>
      <c r="AC216" s="297"/>
      <c r="AD216">
        <f>SUMPRODUCT(DB_STProjectAcct[[#This Row],[Plan01]:[Plan12]],$F$14:$Q$14)/valUnits2</f>
        <v>0</v>
      </c>
      <c r="AE216">
        <f>SUMPRODUCT(DB_STProjectAcct[[#This Row],[Act01]:[Act12]],$R$14:$AC$14)/valUnits2</f>
        <v>0</v>
      </c>
      <c r="AF216">
        <f>DB_STProjectAcct[[#This Row],[Actual]]-DB_STProjectAcct[[#This Row],[Plan]]</f>
        <v>0</v>
      </c>
      <c r="AG216">
        <f>IF(DB_STProjectAcct[[#This Row],[Plan]]&lt;&gt;0,DB_STProjectAcct[[#This Row],[Actual]]/DB_STProjectAcct[[#This Row],[Plan]],1.000011000011)</f>
        <v>1.0000110000110001</v>
      </c>
    </row>
    <row r="217" spans="1:33" hidden="1" x14ac:dyDescent="0.2">
      <c r="A217" t="s">
        <v>1204</v>
      </c>
      <c r="B217" t="s">
        <v>343</v>
      </c>
      <c r="C217" t="s">
        <v>508</v>
      </c>
      <c r="D217" t="s">
        <v>960</v>
      </c>
      <c r="E217" t="s">
        <v>235</v>
      </c>
      <c r="AC217" s="295"/>
      <c r="AD217">
        <f>SUMPRODUCT(DB_STProjectAcct[[#This Row],[Plan01]:[Plan12]],$F$14:$Q$14)/valUnits2</f>
        <v>0</v>
      </c>
      <c r="AE217">
        <f>SUMPRODUCT(DB_STProjectAcct[[#This Row],[Act01]:[Act12]],$R$14:$AC$14)/valUnits2</f>
        <v>0</v>
      </c>
      <c r="AF217">
        <f>DB_STProjectAcct[[#This Row],[Actual]]-DB_STProjectAcct[[#This Row],[Plan]]</f>
        <v>0</v>
      </c>
      <c r="AG217">
        <f>IF(DB_STProjectAcct[[#This Row],[Plan]]&lt;&gt;0,DB_STProjectAcct[[#This Row],[Actual]]/DB_STProjectAcct[[#This Row],[Plan]],1.000011000011)</f>
        <v>1.0000110000110001</v>
      </c>
    </row>
    <row r="218" spans="1:33" hidden="1" x14ac:dyDescent="0.2">
      <c r="A218" t="s">
        <v>1205</v>
      </c>
      <c r="B218" t="s">
        <v>343</v>
      </c>
      <c r="C218" t="s">
        <v>508</v>
      </c>
      <c r="D218" t="s">
        <v>960</v>
      </c>
      <c r="E218" t="s">
        <v>144</v>
      </c>
      <c r="AC218" s="297"/>
      <c r="AD218">
        <f>SUMPRODUCT(DB_STProjectAcct[[#This Row],[Plan01]:[Plan12]],$F$14:$Q$14)/valUnits2</f>
        <v>0</v>
      </c>
      <c r="AE218">
        <f>SUMPRODUCT(DB_STProjectAcct[[#This Row],[Act01]:[Act12]],$R$14:$AC$14)/valUnits2</f>
        <v>0</v>
      </c>
      <c r="AF218">
        <f>DB_STProjectAcct[[#This Row],[Actual]]-DB_STProjectAcct[[#This Row],[Plan]]</f>
        <v>0</v>
      </c>
      <c r="AG218">
        <f>IF(DB_STProjectAcct[[#This Row],[Plan]]&lt;&gt;0,DB_STProjectAcct[[#This Row],[Actual]]/DB_STProjectAcct[[#This Row],[Plan]],1.000011000011)</f>
        <v>1.0000110000110001</v>
      </c>
    </row>
    <row r="219" spans="1:33" hidden="1" x14ac:dyDescent="0.2">
      <c r="A219" t="s">
        <v>1206</v>
      </c>
      <c r="B219" t="s">
        <v>343</v>
      </c>
      <c r="C219" t="s">
        <v>508</v>
      </c>
      <c r="D219" t="s">
        <v>960</v>
      </c>
      <c r="E219" t="s">
        <v>142</v>
      </c>
      <c r="AC219" s="295"/>
      <c r="AD219">
        <f>SUMPRODUCT(DB_STProjectAcct[[#This Row],[Plan01]:[Plan12]],$F$14:$Q$14)/valUnits2</f>
        <v>0</v>
      </c>
      <c r="AE219">
        <f>SUMPRODUCT(DB_STProjectAcct[[#This Row],[Act01]:[Act12]],$R$14:$AC$14)/valUnits2</f>
        <v>0</v>
      </c>
      <c r="AF219">
        <f>DB_STProjectAcct[[#This Row],[Actual]]-DB_STProjectAcct[[#This Row],[Plan]]</f>
        <v>0</v>
      </c>
      <c r="AG219">
        <f>IF(DB_STProjectAcct[[#This Row],[Plan]]&lt;&gt;0,DB_STProjectAcct[[#This Row],[Actual]]/DB_STProjectAcct[[#This Row],[Plan]],1.000011000011)</f>
        <v>1.0000110000110001</v>
      </c>
    </row>
    <row r="220" spans="1:33" hidden="1" x14ac:dyDescent="0.2">
      <c r="A220" t="s">
        <v>1207</v>
      </c>
      <c r="B220" t="s">
        <v>343</v>
      </c>
      <c r="C220" t="s">
        <v>508</v>
      </c>
      <c r="D220" t="s">
        <v>960</v>
      </c>
      <c r="E220" t="s">
        <v>140</v>
      </c>
      <c r="AC220" s="297"/>
      <c r="AD220">
        <f>SUMPRODUCT(DB_STProjectAcct[[#This Row],[Plan01]:[Plan12]],$F$14:$Q$14)/valUnits2</f>
        <v>0</v>
      </c>
      <c r="AE220">
        <f>SUMPRODUCT(DB_STProjectAcct[[#This Row],[Act01]:[Act12]],$R$14:$AC$14)/valUnits2</f>
        <v>0</v>
      </c>
      <c r="AF220">
        <f>DB_STProjectAcct[[#This Row],[Actual]]-DB_STProjectAcct[[#This Row],[Plan]]</f>
        <v>0</v>
      </c>
      <c r="AG220">
        <f>IF(DB_STProjectAcct[[#This Row],[Plan]]&lt;&gt;0,DB_STProjectAcct[[#This Row],[Actual]]/DB_STProjectAcct[[#This Row],[Plan]],1.000011000011)</f>
        <v>1.0000110000110001</v>
      </c>
    </row>
    <row r="221" spans="1:33" hidden="1" x14ac:dyDescent="0.2">
      <c r="A221" t="s">
        <v>1208</v>
      </c>
      <c r="B221" t="s">
        <v>343</v>
      </c>
      <c r="C221" t="s">
        <v>508</v>
      </c>
      <c r="D221" t="s">
        <v>960</v>
      </c>
      <c r="E221" t="s">
        <v>236</v>
      </c>
      <c r="AC221" s="295"/>
      <c r="AD221">
        <f>SUMPRODUCT(DB_STProjectAcct[[#This Row],[Plan01]:[Plan12]],$F$14:$Q$14)/valUnits2</f>
        <v>0</v>
      </c>
      <c r="AE221">
        <f>SUMPRODUCT(DB_STProjectAcct[[#This Row],[Act01]:[Act12]],$R$14:$AC$14)/valUnits2</f>
        <v>0</v>
      </c>
      <c r="AF221">
        <f>DB_STProjectAcct[[#This Row],[Actual]]-DB_STProjectAcct[[#This Row],[Plan]]</f>
        <v>0</v>
      </c>
      <c r="AG221">
        <f>IF(DB_STProjectAcct[[#This Row],[Plan]]&lt;&gt;0,DB_STProjectAcct[[#This Row],[Actual]]/DB_STProjectAcct[[#This Row],[Plan]],1.000011000011)</f>
        <v>1.0000110000110001</v>
      </c>
    </row>
    <row r="222" spans="1:33" hidden="1" x14ac:dyDescent="0.2">
      <c r="A222" t="s">
        <v>1209</v>
      </c>
      <c r="B222" t="s">
        <v>343</v>
      </c>
      <c r="C222" t="s">
        <v>508</v>
      </c>
      <c r="D222" t="s">
        <v>960</v>
      </c>
      <c r="E222" t="s">
        <v>237</v>
      </c>
      <c r="AC222" s="297"/>
      <c r="AD222">
        <f>SUMPRODUCT(DB_STProjectAcct[[#This Row],[Plan01]:[Plan12]],$F$14:$Q$14)/valUnits2</f>
        <v>0</v>
      </c>
      <c r="AE222">
        <f>SUMPRODUCT(DB_STProjectAcct[[#This Row],[Act01]:[Act12]],$R$14:$AC$14)/valUnits2</f>
        <v>0</v>
      </c>
      <c r="AF222">
        <f>DB_STProjectAcct[[#This Row],[Actual]]-DB_STProjectAcct[[#This Row],[Plan]]</f>
        <v>0</v>
      </c>
      <c r="AG222">
        <f>IF(DB_STProjectAcct[[#This Row],[Plan]]&lt;&gt;0,DB_STProjectAcct[[#This Row],[Actual]]/DB_STProjectAcct[[#This Row],[Plan]],1.000011000011)</f>
        <v>1.0000110000110001</v>
      </c>
    </row>
    <row r="223" spans="1:33" hidden="1" x14ac:dyDescent="0.2">
      <c r="A223" t="s">
        <v>1210</v>
      </c>
      <c r="B223" t="s">
        <v>343</v>
      </c>
      <c r="C223" t="s">
        <v>508</v>
      </c>
      <c r="D223" t="s">
        <v>960</v>
      </c>
      <c r="E223" t="s">
        <v>141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C223" s="295"/>
      <c r="AD223">
        <f>SUMPRODUCT(DB_STProjectAcct[[#This Row],[Plan01]:[Plan12]],$F$14:$Q$14)/valUnits2</f>
        <v>0</v>
      </c>
      <c r="AE223">
        <f>SUMPRODUCT(DB_STProjectAcct[[#This Row],[Act01]:[Act12]],$R$14:$AC$14)/valUnits2</f>
        <v>0</v>
      </c>
      <c r="AF223">
        <f>DB_STProjectAcct[[#This Row],[Actual]]-DB_STProjectAcct[[#This Row],[Plan]]</f>
        <v>0</v>
      </c>
      <c r="AG223">
        <f>IF(DB_STProjectAcct[[#This Row],[Plan]]&lt;&gt;0,DB_STProjectAcct[[#This Row],[Actual]]/DB_STProjectAcct[[#This Row],[Plan]],1.000011000011)</f>
        <v>1.0000110000110001</v>
      </c>
    </row>
    <row r="224" spans="1:33" hidden="1" x14ac:dyDescent="0.2">
      <c r="A224" t="s">
        <v>1211</v>
      </c>
      <c r="B224" t="s">
        <v>343</v>
      </c>
      <c r="C224" t="s">
        <v>508</v>
      </c>
      <c r="D224" t="s">
        <v>989</v>
      </c>
      <c r="E224" t="s">
        <v>143</v>
      </c>
      <c r="AC224" s="297"/>
      <c r="AD224">
        <f>SUMPRODUCT(DB_STProjectAcct[[#This Row],[Plan01]:[Plan12]],$F$14:$Q$14)/valUnits2</f>
        <v>0</v>
      </c>
      <c r="AE224">
        <f>SUMPRODUCT(DB_STProjectAcct[[#This Row],[Act01]:[Act12]],$R$14:$AC$14)/valUnits2</f>
        <v>0</v>
      </c>
      <c r="AF224">
        <f>DB_STProjectAcct[[#This Row],[Actual]]-DB_STProjectAcct[[#This Row],[Plan]]</f>
        <v>0</v>
      </c>
      <c r="AG224">
        <f>IF(DB_STProjectAcct[[#This Row],[Plan]]&lt;&gt;0,DB_STProjectAcct[[#This Row],[Actual]]/DB_STProjectAcct[[#This Row],[Plan]],1.000011000011)</f>
        <v>1.0000110000110001</v>
      </c>
    </row>
    <row r="225" spans="1:33" hidden="1" x14ac:dyDescent="0.2">
      <c r="A225" t="s">
        <v>1212</v>
      </c>
      <c r="B225" t="s">
        <v>343</v>
      </c>
      <c r="C225" t="s">
        <v>508</v>
      </c>
      <c r="D225" t="s">
        <v>989</v>
      </c>
      <c r="E225" t="s">
        <v>235</v>
      </c>
      <c r="AC225" s="295"/>
      <c r="AD225">
        <f>SUMPRODUCT(DB_STProjectAcct[[#This Row],[Plan01]:[Plan12]],$F$14:$Q$14)/valUnits2</f>
        <v>0</v>
      </c>
      <c r="AE225">
        <f>SUMPRODUCT(DB_STProjectAcct[[#This Row],[Act01]:[Act12]],$R$14:$AC$14)/valUnits2</f>
        <v>0</v>
      </c>
      <c r="AF225">
        <f>DB_STProjectAcct[[#This Row],[Actual]]-DB_STProjectAcct[[#This Row],[Plan]]</f>
        <v>0</v>
      </c>
      <c r="AG225">
        <f>IF(DB_STProjectAcct[[#This Row],[Plan]]&lt;&gt;0,DB_STProjectAcct[[#This Row],[Actual]]/DB_STProjectAcct[[#This Row],[Plan]],1.000011000011)</f>
        <v>1.0000110000110001</v>
      </c>
    </row>
    <row r="226" spans="1:33" hidden="1" x14ac:dyDescent="0.2">
      <c r="A226" t="s">
        <v>1213</v>
      </c>
      <c r="B226" t="s">
        <v>343</v>
      </c>
      <c r="C226" t="s">
        <v>508</v>
      </c>
      <c r="D226" t="s">
        <v>989</v>
      </c>
      <c r="E226" t="s">
        <v>144</v>
      </c>
      <c r="AC226" s="297"/>
      <c r="AD226">
        <f>SUMPRODUCT(DB_STProjectAcct[[#This Row],[Plan01]:[Plan12]],$F$14:$Q$14)/valUnits2</f>
        <v>0</v>
      </c>
      <c r="AE226">
        <f>SUMPRODUCT(DB_STProjectAcct[[#This Row],[Act01]:[Act12]],$R$14:$AC$14)/valUnits2</f>
        <v>0</v>
      </c>
      <c r="AF226">
        <f>DB_STProjectAcct[[#This Row],[Actual]]-DB_STProjectAcct[[#This Row],[Plan]]</f>
        <v>0</v>
      </c>
      <c r="AG226">
        <f>IF(DB_STProjectAcct[[#This Row],[Plan]]&lt;&gt;0,DB_STProjectAcct[[#This Row],[Actual]]/DB_STProjectAcct[[#This Row],[Plan]],1.000011000011)</f>
        <v>1.0000110000110001</v>
      </c>
    </row>
    <row r="227" spans="1:33" hidden="1" x14ac:dyDescent="0.2">
      <c r="A227" t="s">
        <v>1214</v>
      </c>
      <c r="B227" t="s">
        <v>343</v>
      </c>
      <c r="C227" t="s">
        <v>508</v>
      </c>
      <c r="D227" t="s">
        <v>989</v>
      </c>
      <c r="E227" t="s">
        <v>142</v>
      </c>
      <c r="AC227" s="295"/>
      <c r="AD227">
        <f>SUMPRODUCT(DB_STProjectAcct[[#This Row],[Plan01]:[Plan12]],$F$14:$Q$14)/valUnits2</f>
        <v>0</v>
      </c>
      <c r="AE227">
        <f>SUMPRODUCT(DB_STProjectAcct[[#This Row],[Act01]:[Act12]],$R$14:$AC$14)/valUnits2</f>
        <v>0</v>
      </c>
      <c r="AF227">
        <f>DB_STProjectAcct[[#This Row],[Actual]]-DB_STProjectAcct[[#This Row],[Plan]]</f>
        <v>0</v>
      </c>
      <c r="AG227">
        <f>IF(DB_STProjectAcct[[#This Row],[Plan]]&lt;&gt;0,DB_STProjectAcct[[#This Row],[Actual]]/DB_STProjectAcct[[#This Row],[Plan]],1.000011000011)</f>
        <v>1.0000110000110001</v>
      </c>
    </row>
    <row r="228" spans="1:33" hidden="1" x14ac:dyDescent="0.2">
      <c r="A228" t="s">
        <v>1215</v>
      </c>
      <c r="B228" t="s">
        <v>343</v>
      </c>
      <c r="C228" t="s">
        <v>508</v>
      </c>
      <c r="D228" t="s">
        <v>989</v>
      </c>
      <c r="E228" t="s">
        <v>140</v>
      </c>
      <c r="AC228" s="297"/>
      <c r="AD228">
        <f>SUMPRODUCT(DB_STProjectAcct[[#This Row],[Plan01]:[Plan12]],$F$14:$Q$14)/valUnits2</f>
        <v>0</v>
      </c>
      <c r="AE228">
        <f>SUMPRODUCT(DB_STProjectAcct[[#This Row],[Act01]:[Act12]],$R$14:$AC$14)/valUnits2</f>
        <v>0</v>
      </c>
      <c r="AF228">
        <f>DB_STProjectAcct[[#This Row],[Actual]]-DB_STProjectAcct[[#This Row],[Plan]]</f>
        <v>0</v>
      </c>
      <c r="AG228">
        <f>IF(DB_STProjectAcct[[#This Row],[Plan]]&lt;&gt;0,DB_STProjectAcct[[#This Row],[Actual]]/DB_STProjectAcct[[#This Row],[Plan]],1.000011000011)</f>
        <v>1.0000110000110001</v>
      </c>
    </row>
    <row r="229" spans="1:33" hidden="1" x14ac:dyDescent="0.2">
      <c r="A229" t="s">
        <v>1216</v>
      </c>
      <c r="B229" t="s">
        <v>343</v>
      </c>
      <c r="C229" t="s">
        <v>508</v>
      </c>
      <c r="D229" t="s">
        <v>989</v>
      </c>
      <c r="E229" t="s">
        <v>236</v>
      </c>
      <c r="AC229" s="295"/>
      <c r="AD229">
        <f>SUMPRODUCT(DB_STProjectAcct[[#This Row],[Plan01]:[Plan12]],$F$14:$Q$14)/valUnits2</f>
        <v>0</v>
      </c>
      <c r="AE229">
        <f>SUMPRODUCT(DB_STProjectAcct[[#This Row],[Act01]:[Act12]],$R$14:$AC$14)/valUnits2</f>
        <v>0</v>
      </c>
      <c r="AF229">
        <f>DB_STProjectAcct[[#This Row],[Actual]]-DB_STProjectAcct[[#This Row],[Plan]]</f>
        <v>0</v>
      </c>
      <c r="AG229">
        <f>IF(DB_STProjectAcct[[#This Row],[Plan]]&lt;&gt;0,DB_STProjectAcct[[#This Row],[Actual]]/DB_STProjectAcct[[#This Row],[Plan]],1.000011000011)</f>
        <v>1.0000110000110001</v>
      </c>
    </row>
    <row r="230" spans="1:33" hidden="1" x14ac:dyDescent="0.2">
      <c r="A230" t="s">
        <v>1217</v>
      </c>
      <c r="B230" t="s">
        <v>343</v>
      </c>
      <c r="C230" t="s">
        <v>508</v>
      </c>
      <c r="D230" t="s">
        <v>989</v>
      </c>
      <c r="E230" t="s">
        <v>237</v>
      </c>
      <c r="AC230" s="297"/>
      <c r="AD230">
        <f>SUMPRODUCT(DB_STProjectAcct[[#This Row],[Plan01]:[Plan12]],$F$14:$Q$14)/valUnits2</f>
        <v>0</v>
      </c>
      <c r="AE230">
        <f>SUMPRODUCT(DB_STProjectAcct[[#This Row],[Act01]:[Act12]],$R$14:$AC$14)/valUnits2</f>
        <v>0</v>
      </c>
      <c r="AF230">
        <f>DB_STProjectAcct[[#This Row],[Actual]]-DB_STProjectAcct[[#This Row],[Plan]]</f>
        <v>0</v>
      </c>
      <c r="AG230">
        <f>IF(DB_STProjectAcct[[#This Row],[Plan]]&lt;&gt;0,DB_STProjectAcct[[#This Row],[Actual]]/DB_STProjectAcct[[#This Row],[Plan]],1.000011000011)</f>
        <v>1.0000110000110001</v>
      </c>
    </row>
    <row r="231" spans="1:33" hidden="1" x14ac:dyDescent="0.2">
      <c r="A231" t="s">
        <v>1218</v>
      </c>
      <c r="B231" t="s">
        <v>343</v>
      </c>
      <c r="C231" t="s">
        <v>508</v>
      </c>
      <c r="D231" t="s">
        <v>989</v>
      </c>
      <c r="E231" t="s">
        <v>141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C231" s="295"/>
      <c r="AD231">
        <f>SUMPRODUCT(DB_STProjectAcct[[#This Row],[Plan01]:[Plan12]],$F$14:$Q$14)/valUnits2</f>
        <v>0</v>
      </c>
      <c r="AE231">
        <f>SUMPRODUCT(DB_STProjectAcct[[#This Row],[Act01]:[Act12]],$R$14:$AC$14)/valUnits2</f>
        <v>0</v>
      </c>
      <c r="AF231">
        <f>DB_STProjectAcct[[#This Row],[Actual]]-DB_STProjectAcct[[#This Row],[Plan]]</f>
        <v>0</v>
      </c>
      <c r="AG231">
        <f>IF(DB_STProjectAcct[[#This Row],[Plan]]&lt;&gt;0,DB_STProjectAcct[[#This Row],[Actual]]/DB_STProjectAcct[[#This Row],[Plan]],1.000011000011)</f>
        <v>1.0000110000110001</v>
      </c>
    </row>
    <row r="232" spans="1:33" hidden="1" x14ac:dyDescent="0.2">
      <c r="A232" t="s">
        <v>1219</v>
      </c>
      <c r="B232" t="s">
        <v>343</v>
      </c>
      <c r="C232" t="s">
        <v>509</v>
      </c>
      <c r="D232" t="s">
        <v>971</v>
      </c>
      <c r="E232" t="s">
        <v>143</v>
      </c>
      <c r="F232">
        <v>393.53</v>
      </c>
      <c r="G232">
        <v>564.18000000000006</v>
      </c>
      <c r="H232">
        <v>1484.54</v>
      </c>
      <c r="I232">
        <v>1009.05</v>
      </c>
      <c r="J232">
        <v>720.58999999999992</v>
      </c>
      <c r="K232">
        <v>281.25</v>
      </c>
      <c r="L232">
        <v>281.25</v>
      </c>
      <c r="M232">
        <v>562.49599999999998</v>
      </c>
      <c r="N232">
        <v>281.25</v>
      </c>
      <c r="O232">
        <v>281.25</v>
      </c>
      <c r="P232">
        <v>281.25</v>
      </c>
      <c r="Q232">
        <v>281.25</v>
      </c>
      <c r="R232">
        <v>393.53</v>
      </c>
      <c r="S232">
        <v>626.7399999999999</v>
      </c>
      <c r="T232">
        <v>1457.96</v>
      </c>
      <c r="U232">
        <v>1036.77</v>
      </c>
      <c r="V232">
        <v>674.82</v>
      </c>
      <c r="W232">
        <v>566.62</v>
      </c>
      <c r="X232">
        <v>0</v>
      </c>
      <c r="Y232">
        <v>0</v>
      </c>
      <c r="Z232">
        <v>0</v>
      </c>
      <c r="AA232">
        <v>0</v>
      </c>
      <c r="AB232">
        <v>0</v>
      </c>
      <c r="AC232" s="297">
        <v>0</v>
      </c>
      <c r="AD232">
        <f>SUMPRODUCT(DB_STProjectAcct[[#This Row],[Plan01]:[Plan12]],$F$14:$Q$14)/valUnits2</f>
        <v>4.4531400000000003</v>
      </c>
      <c r="AE232">
        <f>SUMPRODUCT(DB_STProjectAcct[[#This Row],[Act01]:[Act12]],$R$14:$AC$14)/valUnits2</f>
        <v>4.7564399999999996</v>
      </c>
      <c r="AF232">
        <f>DB_STProjectAcct[[#This Row],[Actual]]-DB_STProjectAcct[[#This Row],[Plan]]</f>
        <v>0.30329999999999924</v>
      </c>
      <c r="AG232">
        <f>IF(DB_STProjectAcct[[#This Row],[Plan]]&lt;&gt;0,DB_STProjectAcct[[#This Row],[Actual]]/DB_STProjectAcct[[#This Row],[Plan]],1.000011000011)</f>
        <v>1.068109244263598</v>
      </c>
    </row>
    <row r="233" spans="1:33" hidden="1" x14ac:dyDescent="0.2">
      <c r="A233" t="s">
        <v>1220</v>
      </c>
      <c r="B233" t="s">
        <v>343</v>
      </c>
      <c r="C233" t="s">
        <v>509</v>
      </c>
      <c r="D233" t="s">
        <v>971</v>
      </c>
      <c r="E233" t="s">
        <v>235</v>
      </c>
      <c r="F233">
        <v>246.35999999999999</v>
      </c>
      <c r="G233">
        <v>1947.77</v>
      </c>
      <c r="H233">
        <v>3432.670000000001</v>
      </c>
      <c r="I233">
        <v>3057.94</v>
      </c>
      <c r="J233">
        <v>938.5200000000001</v>
      </c>
      <c r="K233">
        <v>166.667</v>
      </c>
      <c r="L233">
        <v>166.667</v>
      </c>
      <c r="M233">
        <v>333.33000000000004</v>
      </c>
      <c r="N233">
        <v>166.667</v>
      </c>
      <c r="O233">
        <v>166.667</v>
      </c>
      <c r="P233">
        <v>166.667</v>
      </c>
      <c r="Q233">
        <v>166.667</v>
      </c>
      <c r="R233">
        <v>246.35999999999999</v>
      </c>
      <c r="S233">
        <v>1951.12</v>
      </c>
      <c r="T233">
        <v>3459.2500000000005</v>
      </c>
      <c r="U233">
        <v>3083.9300000000003</v>
      </c>
      <c r="V233">
        <v>1044.6100000000001</v>
      </c>
      <c r="W233">
        <v>2367.6799999999998</v>
      </c>
      <c r="X233">
        <v>0</v>
      </c>
      <c r="Y233">
        <v>0</v>
      </c>
      <c r="Z233">
        <v>0</v>
      </c>
      <c r="AA233">
        <v>0</v>
      </c>
      <c r="AB233">
        <v>0</v>
      </c>
      <c r="AC233" s="295">
        <v>0</v>
      </c>
      <c r="AD233">
        <f>SUMPRODUCT(DB_STProjectAcct[[#This Row],[Plan01]:[Plan12]],$F$14:$Q$14)/valUnits2</f>
        <v>9.7899270000000023</v>
      </c>
      <c r="AE233">
        <f>SUMPRODUCT(DB_STProjectAcct[[#This Row],[Act01]:[Act12]],$R$14:$AC$14)/valUnits2</f>
        <v>12.152950000000001</v>
      </c>
      <c r="AF233">
        <f>DB_STProjectAcct[[#This Row],[Actual]]-DB_STProjectAcct[[#This Row],[Plan]]</f>
        <v>2.3630229999999983</v>
      </c>
      <c r="AG233">
        <f>IF(DB_STProjectAcct[[#This Row],[Plan]]&lt;&gt;0,DB_STProjectAcct[[#This Row],[Actual]]/DB_STProjectAcct[[#This Row],[Plan]],1.000011000011)</f>
        <v>1.2413728927702932</v>
      </c>
    </row>
    <row r="234" spans="1:33" hidden="1" x14ac:dyDescent="0.2">
      <c r="A234" t="s">
        <v>1221</v>
      </c>
      <c r="B234" t="s">
        <v>343</v>
      </c>
      <c r="C234" t="s">
        <v>509</v>
      </c>
      <c r="D234" t="s">
        <v>971</v>
      </c>
      <c r="E234" t="s">
        <v>144</v>
      </c>
      <c r="AC234" s="297"/>
      <c r="AD234">
        <f>SUMPRODUCT(DB_STProjectAcct[[#This Row],[Plan01]:[Plan12]],$F$14:$Q$14)/valUnits2</f>
        <v>0</v>
      </c>
      <c r="AE234">
        <f>SUMPRODUCT(DB_STProjectAcct[[#This Row],[Act01]:[Act12]],$R$14:$AC$14)/valUnits2</f>
        <v>0</v>
      </c>
      <c r="AF234">
        <f>DB_STProjectAcct[[#This Row],[Actual]]-DB_STProjectAcct[[#This Row],[Plan]]</f>
        <v>0</v>
      </c>
      <c r="AG234">
        <f>IF(DB_STProjectAcct[[#This Row],[Plan]]&lt;&gt;0,DB_STProjectAcct[[#This Row],[Actual]]/DB_STProjectAcct[[#This Row],[Plan]],1.000011000011)</f>
        <v>1.0000110000110001</v>
      </c>
    </row>
    <row r="235" spans="1:33" hidden="1" x14ac:dyDescent="0.2">
      <c r="A235" t="s">
        <v>1222</v>
      </c>
      <c r="B235" t="s">
        <v>343</v>
      </c>
      <c r="C235" t="s">
        <v>509</v>
      </c>
      <c r="D235" t="s">
        <v>971</v>
      </c>
      <c r="E235" t="s">
        <v>142</v>
      </c>
      <c r="H235">
        <v>535.62</v>
      </c>
      <c r="J235">
        <v>0</v>
      </c>
      <c r="K235">
        <v>16666.667000000001</v>
      </c>
      <c r="L235">
        <v>33333.332999999999</v>
      </c>
      <c r="M235">
        <v>16666.667000000001</v>
      </c>
      <c r="N235">
        <v>16666.667000000001</v>
      </c>
      <c r="O235">
        <v>33333.332999999999</v>
      </c>
      <c r="P235">
        <v>16666.667000000001</v>
      </c>
      <c r="Q235">
        <v>49999.997000000003</v>
      </c>
      <c r="T235">
        <v>535.62</v>
      </c>
      <c r="V235">
        <v>0</v>
      </c>
      <c r="W235">
        <v>46019.45</v>
      </c>
      <c r="X235">
        <v>0</v>
      </c>
      <c r="Y235">
        <v>0</v>
      </c>
      <c r="Z235">
        <v>0</v>
      </c>
      <c r="AA235">
        <v>0</v>
      </c>
      <c r="AB235">
        <v>0</v>
      </c>
      <c r="AC235" s="295">
        <v>0</v>
      </c>
      <c r="AD235">
        <f>SUMPRODUCT(DB_STProjectAcct[[#This Row],[Plan01]:[Plan12]],$F$14:$Q$14)/valUnits2</f>
        <v>17.202287000000002</v>
      </c>
      <c r="AE235">
        <f>SUMPRODUCT(DB_STProjectAcct[[#This Row],[Act01]:[Act12]],$R$14:$AC$14)/valUnits2</f>
        <v>46.555070000000001</v>
      </c>
      <c r="AF235">
        <f>DB_STProjectAcct[[#This Row],[Actual]]-DB_STProjectAcct[[#This Row],[Plan]]</f>
        <v>29.352782999999999</v>
      </c>
      <c r="AG235">
        <f>IF(DB_STProjectAcct[[#This Row],[Plan]]&lt;&gt;0,DB_STProjectAcct[[#This Row],[Actual]]/DB_STProjectAcct[[#This Row],[Plan]],1.000011000011)</f>
        <v>2.7063302687601944</v>
      </c>
    </row>
    <row r="236" spans="1:33" hidden="1" x14ac:dyDescent="0.2">
      <c r="A236" t="s">
        <v>1223</v>
      </c>
      <c r="B236" t="s">
        <v>343</v>
      </c>
      <c r="C236" t="s">
        <v>509</v>
      </c>
      <c r="D236" t="s">
        <v>971</v>
      </c>
      <c r="E236" t="s">
        <v>140</v>
      </c>
      <c r="F236">
        <v>25874.190000000002</v>
      </c>
      <c r="G236">
        <v>26242.85</v>
      </c>
      <c r="H236">
        <v>33362.980000000003</v>
      </c>
      <c r="I236">
        <v>29684.050000000003</v>
      </c>
      <c r="J236">
        <v>30156.34</v>
      </c>
      <c r="K236">
        <v>39957.517</v>
      </c>
      <c r="L236">
        <v>39957.517</v>
      </c>
      <c r="M236">
        <v>39957.517000000007</v>
      </c>
      <c r="N236">
        <v>39957.517</v>
      </c>
      <c r="O236">
        <v>60696.308999999994</v>
      </c>
      <c r="P236">
        <v>39957.517</v>
      </c>
      <c r="Q236">
        <v>32739.751</v>
      </c>
      <c r="R236">
        <v>25874.190000000002</v>
      </c>
      <c r="S236">
        <v>26242.850000000002</v>
      </c>
      <c r="T236">
        <v>33362.979999999996</v>
      </c>
      <c r="U236">
        <v>29684.050000000003</v>
      </c>
      <c r="V236">
        <v>30156.340000000004</v>
      </c>
      <c r="W236">
        <v>45664.409999999989</v>
      </c>
      <c r="X236">
        <v>0</v>
      </c>
      <c r="Y236">
        <v>0</v>
      </c>
      <c r="Z236">
        <v>0</v>
      </c>
      <c r="AA236">
        <v>0</v>
      </c>
      <c r="AB236">
        <v>0</v>
      </c>
      <c r="AC236" s="297">
        <v>0</v>
      </c>
      <c r="AD236">
        <f>SUMPRODUCT(DB_STProjectAcct[[#This Row],[Plan01]:[Plan12]],$F$14:$Q$14)/valUnits2</f>
        <v>185.27792700000001</v>
      </c>
      <c r="AE236">
        <f>SUMPRODUCT(DB_STProjectAcct[[#This Row],[Act01]:[Act12]],$R$14:$AC$14)/valUnits2</f>
        <v>190.98482000000001</v>
      </c>
      <c r="AF236">
        <f>DB_STProjectAcct[[#This Row],[Actual]]-DB_STProjectAcct[[#This Row],[Plan]]</f>
        <v>5.706893000000008</v>
      </c>
      <c r="AG236">
        <f>IF(DB_STProjectAcct[[#This Row],[Plan]]&lt;&gt;0,DB_STProjectAcct[[#This Row],[Actual]]/DB_STProjectAcct[[#This Row],[Plan]],1.000011000011)</f>
        <v>1.0308017964816716</v>
      </c>
    </row>
    <row r="237" spans="1:33" hidden="1" x14ac:dyDescent="0.2">
      <c r="A237" t="s">
        <v>1224</v>
      </c>
      <c r="B237" t="s">
        <v>343</v>
      </c>
      <c r="C237" t="s">
        <v>509</v>
      </c>
      <c r="D237" t="s">
        <v>971</v>
      </c>
      <c r="E237" t="s">
        <v>236</v>
      </c>
      <c r="F237">
        <v>1158.5999999999999</v>
      </c>
      <c r="G237">
        <v>3487.65</v>
      </c>
      <c r="H237">
        <v>8046.75</v>
      </c>
      <c r="I237">
        <v>2105.9300000000003</v>
      </c>
      <c r="J237">
        <v>1215.06</v>
      </c>
      <c r="K237">
        <v>33000.001000000004</v>
      </c>
      <c r="L237">
        <v>40000.001000000004</v>
      </c>
      <c r="M237">
        <v>12000.001</v>
      </c>
      <c r="N237">
        <v>11120.001</v>
      </c>
      <c r="O237">
        <v>4500.0010000000002</v>
      </c>
      <c r="P237">
        <v>2500.0009999999997</v>
      </c>
      <c r="Q237">
        <v>2500.0009999999997</v>
      </c>
      <c r="R237">
        <v>1158.5999999999999</v>
      </c>
      <c r="S237">
        <v>3487.65</v>
      </c>
      <c r="T237">
        <v>8046.7500000000009</v>
      </c>
      <c r="U237">
        <v>2105.9299999999998</v>
      </c>
      <c r="V237">
        <v>1215.06</v>
      </c>
      <c r="W237">
        <v>6823.05</v>
      </c>
      <c r="X237">
        <v>0</v>
      </c>
      <c r="Y237">
        <v>0</v>
      </c>
      <c r="Z237">
        <v>0</v>
      </c>
      <c r="AA237">
        <v>0</v>
      </c>
      <c r="AB237">
        <v>0</v>
      </c>
      <c r="AC237" s="295">
        <v>0</v>
      </c>
      <c r="AD237">
        <f>SUMPRODUCT(DB_STProjectAcct[[#This Row],[Plan01]:[Plan12]],$F$14:$Q$14)/valUnits2</f>
        <v>49.013991000000004</v>
      </c>
      <c r="AE237">
        <f>SUMPRODUCT(DB_STProjectAcct[[#This Row],[Act01]:[Act12]],$R$14:$AC$14)/valUnits2</f>
        <v>22.837040000000002</v>
      </c>
      <c r="AF237">
        <f>DB_STProjectAcct[[#This Row],[Actual]]-DB_STProjectAcct[[#This Row],[Plan]]</f>
        <v>-26.176951000000003</v>
      </c>
      <c r="AG237">
        <f>IF(DB_STProjectAcct[[#This Row],[Plan]]&lt;&gt;0,DB_STProjectAcct[[#This Row],[Actual]]/DB_STProjectAcct[[#This Row],[Plan]],1.000011000011)</f>
        <v>0.46592900382260238</v>
      </c>
    </row>
    <row r="238" spans="1:33" hidden="1" x14ac:dyDescent="0.2">
      <c r="A238" t="s">
        <v>1225</v>
      </c>
      <c r="B238" t="s">
        <v>343</v>
      </c>
      <c r="C238" t="s">
        <v>509</v>
      </c>
      <c r="D238" t="s">
        <v>971</v>
      </c>
      <c r="E238" t="s">
        <v>237</v>
      </c>
      <c r="F238">
        <v>341.99</v>
      </c>
      <c r="G238">
        <v>666.93000000000006</v>
      </c>
      <c r="H238">
        <v>6145.27</v>
      </c>
      <c r="I238">
        <v>2961.83</v>
      </c>
      <c r="J238">
        <v>1269.79</v>
      </c>
      <c r="K238">
        <v>0</v>
      </c>
      <c r="R238">
        <v>341.99</v>
      </c>
      <c r="S238">
        <v>666.93</v>
      </c>
      <c r="T238">
        <v>6145.27</v>
      </c>
      <c r="U238">
        <v>2961.83</v>
      </c>
      <c r="V238">
        <v>1269.7900000000002</v>
      </c>
      <c r="W238">
        <v>1313.01</v>
      </c>
      <c r="AC238" s="297"/>
      <c r="AD238">
        <f>SUMPRODUCT(DB_STProjectAcct[[#This Row],[Plan01]:[Plan12]],$F$14:$Q$14)/valUnits2</f>
        <v>11.385810000000001</v>
      </c>
      <c r="AE238">
        <f>SUMPRODUCT(DB_STProjectAcct[[#This Row],[Act01]:[Act12]],$R$14:$AC$14)/valUnits2</f>
        <v>12.698820000000001</v>
      </c>
      <c r="AF238">
        <f>DB_STProjectAcct[[#This Row],[Actual]]-DB_STProjectAcct[[#This Row],[Plan]]</f>
        <v>1.3130100000000002</v>
      </c>
      <c r="AG238">
        <f>IF(DB_STProjectAcct[[#This Row],[Plan]]&lt;&gt;0,DB_STProjectAcct[[#This Row],[Actual]]/DB_STProjectAcct[[#This Row],[Plan]],1.000011000011)</f>
        <v>1.1153198586661819</v>
      </c>
    </row>
    <row r="239" spans="1:33" hidden="1" x14ac:dyDescent="0.2">
      <c r="A239" t="s">
        <v>1226</v>
      </c>
      <c r="B239" t="s">
        <v>343</v>
      </c>
      <c r="C239" t="s">
        <v>509</v>
      </c>
      <c r="D239" t="s">
        <v>971</v>
      </c>
      <c r="E239" t="s">
        <v>141</v>
      </c>
      <c r="F239">
        <v>852.55</v>
      </c>
      <c r="G239">
        <v>2262.12</v>
      </c>
      <c r="H239">
        <v>1650.62</v>
      </c>
      <c r="I239">
        <v>2951.14</v>
      </c>
      <c r="J239">
        <v>1840.72</v>
      </c>
      <c r="K239">
        <v>7187.5</v>
      </c>
      <c r="L239">
        <v>7187.5</v>
      </c>
      <c r="M239">
        <v>8687.5</v>
      </c>
      <c r="N239">
        <v>7187.5</v>
      </c>
      <c r="O239">
        <v>7187.5</v>
      </c>
      <c r="P239">
        <v>7187.5</v>
      </c>
      <c r="Q239">
        <v>7187.5</v>
      </c>
      <c r="R239">
        <v>852.55</v>
      </c>
      <c r="S239">
        <v>2262.1200000000003</v>
      </c>
      <c r="T239">
        <v>1650.62</v>
      </c>
      <c r="U239">
        <v>2951.1400000000003</v>
      </c>
      <c r="V239">
        <v>1840.72</v>
      </c>
      <c r="W239">
        <v>3540.67</v>
      </c>
      <c r="X239">
        <v>0</v>
      </c>
      <c r="Y239">
        <v>0</v>
      </c>
      <c r="Z239">
        <v>0</v>
      </c>
      <c r="AA239">
        <v>0</v>
      </c>
      <c r="AB239">
        <v>0</v>
      </c>
      <c r="AC239" s="295">
        <v>0</v>
      </c>
      <c r="AD239">
        <f>SUMPRODUCT(DB_STProjectAcct[[#This Row],[Plan01]:[Plan12]],$F$14:$Q$14)/valUnits2</f>
        <v>16.74465</v>
      </c>
      <c r="AE239">
        <f>SUMPRODUCT(DB_STProjectAcct[[#This Row],[Act01]:[Act12]],$R$14:$AC$14)/valUnits2</f>
        <v>13.09782</v>
      </c>
      <c r="AF239">
        <f>DB_STProjectAcct[[#This Row],[Actual]]-DB_STProjectAcct[[#This Row],[Plan]]</f>
        <v>-3.6468299999999996</v>
      </c>
      <c r="AG239">
        <f>IF(DB_STProjectAcct[[#This Row],[Plan]]&lt;&gt;0,DB_STProjectAcct[[#This Row],[Actual]]/DB_STProjectAcct[[#This Row],[Plan]],1.000011000011)</f>
        <v>0.7822092429522266</v>
      </c>
    </row>
    <row r="240" spans="1:33" hidden="1" x14ac:dyDescent="0.2">
      <c r="A240" t="s">
        <v>1227</v>
      </c>
      <c r="B240" t="s">
        <v>344</v>
      </c>
      <c r="C240" t="s">
        <v>510</v>
      </c>
      <c r="D240" t="s">
        <v>956</v>
      </c>
      <c r="E240" t="s">
        <v>143</v>
      </c>
      <c r="F240">
        <v>5004.7789999999995</v>
      </c>
      <c r="G240">
        <v>-10786.67</v>
      </c>
      <c r="H240">
        <v>3646.2580000000007</v>
      </c>
      <c r="I240">
        <v>253.99799999999999</v>
      </c>
      <c r="J240">
        <v>22649.822</v>
      </c>
      <c r="K240">
        <v>13147.649000000001</v>
      </c>
      <c r="L240">
        <v>12988.954</v>
      </c>
      <c r="M240">
        <v>12989.175999999999</v>
      </c>
      <c r="N240">
        <v>12499.375</v>
      </c>
      <c r="O240">
        <v>12499.375</v>
      </c>
      <c r="P240">
        <v>12499.375</v>
      </c>
      <c r="Q240">
        <v>12499.375</v>
      </c>
      <c r="R240">
        <v>4773.24</v>
      </c>
      <c r="S240">
        <v>-10773.999999999998</v>
      </c>
      <c r="T240">
        <v>3202.23</v>
      </c>
      <c r="U240">
        <v>223.16</v>
      </c>
      <c r="V240">
        <v>22484.58</v>
      </c>
      <c r="W240">
        <v>13299.480000000001</v>
      </c>
      <c r="X240">
        <v>0</v>
      </c>
      <c r="Y240">
        <v>0</v>
      </c>
      <c r="Z240">
        <v>0</v>
      </c>
      <c r="AA240">
        <v>0</v>
      </c>
      <c r="AB240">
        <v>0</v>
      </c>
      <c r="AC240" s="297">
        <v>0</v>
      </c>
      <c r="AD240">
        <f>SUMPRODUCT(DB_STProjectAcct[[#This Row],[Plan01]:[Plan12]],$F$14:$Q$14)/valUnits2</f>
        <v>33.915836000000006</v>
      </c>
      <c r="AE240">
        <f>SUMPRODUCT(DB_STProjectAcct[[#This Row],[Act01]:[Act12]],$R$14:$AC$14)/valUnits2</f>
        <v>33.208690000000004</v>
      </c>
      <c r="AF240">
        <f>DB_STProjectAcct[[#This Row],[Actual]]-DB_STProjectAcct[[#This Row],[Plan]]</f>
        <v>-0.70714600000000161</v>
      </c>
      <c r="AG240">
        <f>IF(DB_STProjectAcct[[#This Row],[Plan]]&lt;&gt;0,DB_STProjectAcct[[#This Row],[Actual]]/DB_STProjectAcct[[#This Row],[Plan]],1.000011000011)</f>
        <v>0.97914997584019448</v>
      </c>
    </row>
    <row r="241" spans="1:33" hidden="1" x14ac:dyDescent="0.2">
      <c r="A241" t="s">
        <v>1228</v>
      </c>
      <c r="B241" t="s">
        <v>344</v>
      </c>
      <c r="C241" t="s">
        <v>510</v>
      </c>
      <c r="D241" t="s">
        <v>956</v>
      </c>
      <c r="E241" t="s">
        <v>235</v>
      </c>
      <c r="F241">
        <v>10286.922999999999</v>
      </c>
      <c r="G241">
        <v>-1723.9919999999997</v>
      </c>
      <c r="H241">
        <v>14180.631999999998</v>
      </c>
      <c r="I241">
        <v>32286.327000000001</v>
      </c>
      <c r="J241">
        <v>6119.7339999999995</v>
      </c>
      <c r="K241">
        <v>1914.7370000000001</v>
      </c>
      <c r="L241">
        <v>1914.7370000000001</v>
      </c>
      <c r="M241">
        <v>1913.2370000000001</v>
      </c>
      <c r="N241">
        <v>1174.9970000000001</v>
      </c>
      <c r="O241">
        <v>1174.9970000000001</v>
      </c>
      <c r="P241">
        <v>1174.9970000000001</v>
      </c>
      <c r="Q241">
        <v>1174.9970000000001</v>
      </c>
      <c r="R241">
        <v>10537.93</v>
      </c>
      <c r="S241">
        <v>-1723.44</v>
      </c>
      <c r="T241">
        <v>14666.73</v>
      </c>
      <c r="U241">
        <v>32334.06</v>
      </c>
      <c r="V241">
        <v>6324.5600000000013</v>
      </c>
      <c r="W241">
        <v>10603.199999999999</v>
      </c>
      <c r="X241">
        <v>0</v>
      </c>
      <c r="Y241">
        <v>0</v>
      </c>
      <c r="Z241">
        <v>0</v>
      </c>
      <c r="AA241">
        <v>0</v>
      </c>
      <c r="AB241">
        <v>0</v>
      </c>
      <c r="AC241" s="295">
        <v>0</v>
      </c>
      <c r="AD241">
        <f>SUMPRODUCT(DB_STProjectAcct[[#This Row],[Plan01]:[Plan12]],$F$14:$Q$14)/valUnits2</f>
        <v>63.064360999999998</v>
      </c>
      <c r="AE241">
        <f>SUMPRODUCT(DB_STProjectAcct[[#This Row],[Act01]:[Act12]],$R$14:$AC$14)/valUnits2</f>
        <v>72.743039999999993</v>
      </c>
      <c r="AF241">
        <f>DB_STProjectAcct[[#This Row],[Actual]]-DB_STProjectAcct[[#This Row],[Plan]]</f>
        <v>9.6786789999999954</v>
      </c>
      <c r="AG241">
        <f>IF(DB_STProjectAcct[[#This Row],[Plan]]&lt;&gt;0,DB_STProjectAcct[[#This Row],[Actual]]/DB_STProjectAcct[[#This Row],[Plan]],1.000011000011)</f>
        <v>1.153473036855158</v>
      </c>
    </row>
    <row r="242" spans="1:33" hidden="1" x14ac:dyDescent="0.2">
      <c r="A242" t="s">
        <v>1229</v>
      </c>
      <c r="B242" t="s">
        <v>344</v>
      </c>
      <c r="C242" t="s">
        <v>510</v>
      </c>
      <c r="D242" t="s">
        <v>956</v>
      </c>
      <c r="E242" t="s">
        <v>144</v>
      </c>
      <c r="AC242" s="297"/>
      <c r="AD242">
        <f>SUMPRODUCT(DB_STProjectAcct[[#This Row],[Plan01]:[Plan12]],$F$14:$Q$14)/valUnits2</f>
        <v>0</v>
      </c>
      <c r="AE242">
        <f>SUMPRODUCT(DB_STProjectAcct[[#This Row],[Act01]:[Act12]],$R$14:$AC$14)/valUnits2</f>
        <v>0</v>
      </c>
      <c r="AF242">
        <f>DB_STProjectAcct[[#This Row],[Actual]]-DB_STProjectAcct[[#This Row],[Plan]]</f>
        <v>0</v>
      </c>
      <c r="AG242">
        <f>IF(DB_STProjectAcct[[#This Row],[Plan]]&lt;&gt;0,DB_STProjectAcct[[#This Row],[Actual]]/DB_STProjectAcct[[#This Row],[Plan]],1.000011000011)</f>
        <v>1.0000110000110001</v>
      </c>
    </row>
    <row r="243" spans="1:33" hidden="1" x14ac:dyDescent="0.2">
      <c r="A243" t="s">
        <v>1230</v>
      </c>
      <c r="B243" t="s">
        <v>344</v>
      </c>
      <c r="C243" t="s">
        <v>510</v>
      </c>
      <c r="D243" t="s">
        <v>956</v>
      </c>
      <c r="E243" t="s">
        <v>142</v>
      </c>
      <c r="F243">
        <v>211744.78800000003</v>
      </c>
      <c r="G243">
        <v>67185.936000000002</v>
      </c>
      <c r="H243">
        <v>19975.230000000003</v>
      </c>
      <c r="I243">
        <v>271768.23</v>
      </c>
      <c r="J243">
        <v>287589.03399999999</v>
      </c>
      <c r="K243">
        <v>141200.91499999998</v>
      </c>
      <c r="L243">
        <v>117524.626</v>
      </c>
      <c r="M243">
        <v>117489.15499999998</v>
      </c>
      <c r="N243">
        <v>167489.15599999999</v>
      </c>
      <c r="O243">
        <v>162130.09699999998</v>
      </c>
      <c r="P243">
        <v>179865.09700000001</v>
      </c>
      <c r="Q243">
        <v>112130.09699999999</v>
      </c>
      <c r="R243">
        <v>211740.40000000002</v>
      </c>
      <c r="S243">
        <v>67112.960000000006</v>
      </c>
      <c r="T243">
        <v>19975.230000000007</v>
      </c>
      <c r="U243">
        <v>271768.22999999992</v>
      </c>
      <c r="V243">
        <v>290377.21999999991</v>
      </c>
      <c r="W243">
        <v>59523.950000000012</v>
      </c>
      <c r="X243">
        <v>0</v>
      </c>
      <c r="Y243">
        <v>0</v>
      </c>
      <c r="Z243">
        <v>0</v>
      </c>
      <c r="AA243">
        <v>0</v>
      </c>
      <c r="AB243">
        <v>0</v>
      </c>
      <c r="AC243" s="295">
        <v>0</v>
      </c>
      <c r="AD243">
        <f>SUMPRODUCT(DB_STProjectAcct[[#This Row],[Plan01]:[Plan12]],$F$14:$Q$14)/valUnits2</f>
        <v>999.46413299999995</v>
      </c>
      <c r="AE243">
        <f>SUMPRODUCT(DB_STProjectAcct[[#This Row],[Act01]:[Act12]],$R$14:$AC$14)/valUnits2</f>
        <v>920.49798999999973</v>
      </c>
      <c r="AF243">
        <f>DB_STProjectAcct[[#This Row],[Actual]]-DB_STProjectAcct[[#This Row],[Plan]]</f>
        <v>-78.966143000000216</v>
      </c>
      <c r="AG243">
        <f>IF(DB_STProjectAcct[[#This Row],[Plan]]&lt;&gt;0,DB_STProjectAcct[[#This Row],[Actual]]/DB_STProjectAcct[[#This Row],[Plan]],1.000011000011)</f>
        <v>0.92099151896229159</v>
      </c>
    </row>
    <row r="244" spans="1:33" hidden="1" x14ac:dyDescent="0.2">
      <c r="A244" t="s">
        <v>1231</v>
      </c>
      <c r="B244" t="s">
        <v>344</v>
      </c>
      <c r="C244" t="s">
        <v>510</v>
      </c>
      <c r="D244" t="s">
        <v>956</v>
      </c>
      <c r="E244" t="s">
        <v>140</v>
      </c>
      <c r="F244">
        <v>40980.588000000011</v>
      </c>
      <c r="G244">
        <v>55498.977000000006</v>
      </c>
      <c r="H244">
        <v>56065.322000000007</v>
      </c>
      <c r="I244">
        <v>39988.698000000004</v>
      </c>
      <c r="J244">
        <v>69480.648999999976</v>
      </c>
      <c r="K244">
        <v>55787.515000000007</v>
      </c>
      <c r="L244">
        <v>55787.515000000007</v>
      </c>
      <c r="M244">
        <v>55787.515000000014</v>
      </c>
      <c r="N244">
        <v>52786.951000000001</v>
      </c>
      <c r="O244">
        <v>47391.351000000002</v>
      </c>
      <c r="P244">
        <v>47391.351000000002</v>
      </c>
      <c r="Q244">
        <v>47391.351000000002</v>
      </c>
      <c r="R244">
        <v>40906.870000000032</v>
      </c>
      <c r="S244">
        <v>55682.489999999969</v>
      </c>
      <c r="T244">
        <v>56140.50999999998</v>
      </c>
      <c r="U244">
        <v>39894.730000000018</v>
      </c>
      <c r="V244">
        <v>69574.450000000026</v>
      </c>
      <c r="W244">
        <v>69237.719999999972</v>
      </c>
      <c r="X244">
        <v>0</v>
      </c>
      <c r="Y244">
        <v>0</v>
      </c>
      <c r="Z244">
        <v>0</v>
      </c>
      <c r="AA244">
        <v>0</v>
      </c>
      <c r="AB244">
        <v>0</v>
      </c>
      <c r="AC244" s="297">
        <v>0</v>
      </c>
      <c r="AD244">
        <f>SUMPRODUCT(DB_STProjectAcct[[#This Row],[Plan01]:[Plan12]],$F$14:$Q$14)/valUnits2</f>
        <v>317.80174900000003</v>
      </c>
      <c r="AE244">
        <f>SUMPRODUCT(DB_STProjectAcct[[#This Row],[Act01]:[Act12]],$R$14:$AC$14)/valUnits2</f>
        <v>331.43677000000002</v>
      </c>
      <c r="AF244">
        <f>DB_STProjectAcct[[#This Row],[Actual]]-DB_STProjectAcct[[#This Row],[Plan]]</f>
        <v>13.635020999999995</v>
      </c>
      <c r="AG244">
        <f>IF(DB_STProjectAcct[[#This Row],[Plan]]&lt;&gt;0,DB_STProjectAcct[[#This Row],[Actual]]/DB_STProjectAcct[[#This Row],[Plan]],1.000011000011)</f>
        <v>1.0429041723115249</v>
      </c>
    </row>
    <row r="245" spans="1:33" hidden="1" x14ac:dyDescent="0.2">
      <c r="A245" t="s">
        <v>1232</v>
      </c>
      <c r="B245" t="s">
        <v>344</v>
      </c>
      <c r="C245" t="s">
        <v>510</v>
      </c>
      <c r="D245" t="s">
        <v>956</v>
      </c>
      <c r="E245" t="s">
        <v>236</v>
      </c>
      <c r="F245">
        <v>16215.030000000002</v>
      </c>
      <c r="G245">
        <v>6668.8980000000001</v>
      </c>
      <c r="H245">
        <v>58189.385999999999</v>
      </c>
      <c r="I245">
        <v>1615128.9280000001</v>
      </c>
      <c r="J245">
        <v>22760.542999999998</v>
      </c>
      <c r="K245">
        <v>1503406.0830000001</v>
      </c>
      <c r="L245">
        <v>12350.904999999999</v>
      </c>
      <c r="M245">
        <v>9742.2950000000001</v>
      </c>
      <c r="N245">
        <v>1495147.6779999998</v>
      </c>
      <c r="O245">
        <v>2903.1099999999997</v>
      </c>
      <c r="P245">
        <v>3946.5540000000001</v>
      </c>
      <c r="Q245">
        <v>1483163.122</v>
      </c>
      <c r="R245">
        <v>16156.730000000001</v>
      </c>
      <c r="S245">
        <v>6683.1600000000026</v>
      </c>
      <c r="T245">
        <v>58242.52</v>
      </c>
      <c r="U245">
        <v>1615116.47</v>
      </c>
      <c r="V245">
        <v>23155.57</v>
      </c>
      <c r="W245">
        <v>577829.35000000009</v>
      </c>
      <c r="X245">
        <v>0</v>
      </c>
      <c r="Y245">
        <v>0</v>
      </c>
      <c r="Z245">
        <v>0</v>
      </c>
      <c r="AA245">
        <v>0</v>
      </c>
      <c r="AB245">
        <v>0</v>
      </c>
      <c r="AC245" s="295">
        <v>0</v>
      </c>
      <c r="AD245">
        <f>SUMPRODUCT(DB_STProjectAcct[[#This Row],[Plan01]:[Plan12]],$F$14:$Q$14)/valUnits2</f>
        <v>3222.3688680000005</v>
      </c>
      <c r="AE245">
        <f>SUMPRODUCT(DB_STProjectAcct[[#This Row],[Act01]:[Act12]],$R$14:$AC$14)/valUnits2</f>
        <v>2297.1837999999998</v>
      </c>
      <c r="AF245">
        <f>DB_STProjectAcct[[#This Row],[Actual]]-DB_STProjectAcct[[#This Row],[Plan]]</f>
        <v>-925.18506800000068</v>
      </c>
      <c r="AG245">
        <f>IF(DB_STProjectAcct[[#This Row],[Plan]]&lt;&gt;0,DB_STProjectAcct[[#This Row],[Actual]]/DB_STProjectAcct[[#This Row],[Plan]],1.000011000011)</f>
        <v>0.71288666633183206</v>
      </c>
    </row>
    <row r="246" spans="1:33" hidden="1" x14ac:dyDescent="0.2">
      <c r="A246" t="s">
        <v>1233</v>
      </c>
      <c r="B246" t="s">
        <v>344</v>
      </c>
      <c r="C246" t="s">
        <v>510</v>
      </c>
      <c r="D246" t="s">
        <v>956</v>
      </c>
      <c r="E246" t="s">
        <v>237</v>
      </c>
      <c r="F246">
        <v>2.82</v>
      </c>
      <c r="G246">
        <v>2421.2060000000001</v>
      </c>
      <c r="H246">
        <v>28164.692000000003</v>
      </c>
      <c r="I246">
        <v>1052.0619999999999</v>
      </c>
      <c r="J246">
        <v>1855.921</v>
      </c>
      <c r="K246">
        <v>0</v>
      </c>
      <c r="R246">
        <v>2.82</v>
      </c>
      <c r="S246">
        <v>2450.9500000000003</v>
      </c>
      <c r="T246">
        <v>28895.48</v>
      </c>
      <c r="U246">
        <v>1052.03</v>
      </c>
      <c r="V246">
        <v>1857.73</v>
      </c>
      <c r="W246">
        <v>634.12</v>
      </c>
      <c r="AC246" s="297"/>
      <c r="AD246">
        <f>SUMPRODUCT(DB_STProjectAcct[[#This Row],[Plan01]:[Plan12]],$F$14:$Q$14)/valUnits2</f>
        <v>33.496701000000009</v>
      </c>
      <c r="AE246">
        <f>SUMPRODUCT(DB_STProjectAcct[[#This Row],[Act01]:[Act12]],$R$14:$AC$14)/valUnits2</f>
        <v>34.893130000000006</v>
      </c>
      <c r="AF246">
        <f>DB_STProjectAcct[[#This Row],[Actual]]-DB_STProjectAcct[[#This Row],[Plan]]</f>
        <v>1.3964289999999977</v>
      </c>
      <c r="AG246">
        <f>IF(DB_STProjectAcct[[#This Row],[Plan]]&lt;&gt;0,DB_STProjectAcct[[#This Row],[Actual]]/DB_STProjectAcct[[#This Row],[Plan]],1.000011000011)</f>
        <v>1.0416885531503535</v>
      </c>
    </row>
    <row r="247" spans="1:33" hidden="1" x14ac:dyDescent="0.2">
      <c r="A247" t="s">
        <v>1234</v>
      </c>
      <c r="B247" t="s">
        <v>344</v>
      </c>
      <c r="C247" t="s">
        <v>510</v>
      </c>
      <c r="D247" t="s">
        <v>956</v>
      </c>
      <c r="E247" t="s">
        <v>141</v>
      </c>
      <c r="F247">
        <v>17934.789999999994</v>
      </c>
      <c r="G247">
        <v>7835.0000000000027</v>
      </c>
      <c r="H247">
        <v>26778.925999999996</v>
      </c>
      <c r="I247">
        <v>9333.7070000000003</v>
      </c>
      <c r="J247">
        <v>28350.691999999995</v>
      </c>
      <c r="K247">
        <v>91210.241999999998</v>
      </c>
      <c r="L247">
        <v>41212.296000000002</v>
      </c>
      <c r="M247">
        <v>40648.836000000003</v>
      </c>
      <c r="N247">
        <v>40986.622000000003</v>
      </c>
      <c r="O247">
        <v>37409.08</v>
      </c>
      <c r="P247">
        <v>37409.08</v>
      </c>
      <c r="Q247">
        <v>37409.08</v>
      </c>
      <c r="R247">
        <v>17919.880000000005</v>
      </c>
      <c r="S247">
        <v>7861.2600000000039</v>
      </c>
      <c r="T247">
        <v>26858.760000000009</v>
      </c>
      <c r="U247">
        <v>9306.1500000000033</v>
      </c>
      <c r="V247">
        <v>28365.37</v>
      </c>
      <c r="W247">
        <v>7144.0200000000023</v>
      </c>
      <c r="X247">
        <v>449.41</v>
      </c>
      <c r="Y247">
        <v>0</v>
      </c>
      <c r="Z247">
        <v>0</v>
      </c>
      <c r="AA247">
        <v>0</v>
      </c>
      <c r="AB247">
        <v>0</v>
      </c>
      <c r="AC247" s="295">
        <v>0</v>
      </c>
      <c r="AD247">
        <f>SUMPRODUCT(DB_STProjectAcct[[#This Row],[Plan01]:[Plan12]],$F$14:$Q$14)/valUnits2</f>
        <v>181.44335699999999</v>
      </c>
      <c r="AE247">
        <f>SUMPRODUCT(DB_STProjectAcct[[#This Row],[Act01]:[Act12]],$R$14:$AC$14)/valUnits2</f>
        <v>97.45544000000001</v>
      </c>
      <c r="AF247">
        <f>DB_STProjectAcct[[#This Row],[Actual]]-DB_STProjectAcct[[#This Row],[Plan]]</f>
        <v>-83.987916999999982</v>
      </c>
      <c r="AG247">
        <f>IF(DB_STProjectAcct[[#This Row],[Plan]]&lt;&gt;0,DB_STProjectAcct[[#This Row],[Actual]]/DB_STProjectAcct[[#This Row],[Plan]],1.000011000011)</f>
        <v>0.53711219639746866</v>
      </c>
    </row>
    <row r="248" spans="1:33" hidden="1" x14ac:dyDescent="0.2">
      <c r="A248" t="s">
        <v>1235</v>
      </c>
      <c r="B248" t="s">
        <v>344</v>
      </c>
      <c r="C248" t="s">
        <v>511</v>
      </c>
      <c r="D248" t="s">
        <v>979</v>
      </c>
      <c r="E248" t="s">
        <v>143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986.00100000000009</v>
      </c>
      <c r="L248">
        <v>986.00099999999998</v>
      </c>
      <c r="M248">
        <v>986.00099999999998</v>
      </c>
      <c r="N248">
        <v>1086.0010000000002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C248" s="297"/>
      <c r="AD248">
        <f>SUMPRODUCT(DB_STProjectAcct[[#This Row],[Plan01]:[Plan12]],$F$14:$Q$14)/valUnits2</f>
        <v>0.98600100000000013</v>
      </c>
      <c r="AE248">
        <f>SUMPRODUCT(DB_STProjectAcct[[#This Row],[Act01]:[Act12]],$R$14:$AC$14)/valUnits2</f>
        <v>0</v>
      </c>
      <c r="AF248">
        <f>DB_STProjectAcct[[#This Row],[Actual]]-DB_STProjectAcct[[#This Row],[Plan]]</f>
        <v>-0.98600100000000013</v>
      </c>
      <c r="AG248">
        <f>IF(DB_STProjectAcct[[#This Row],[Plan]]&lt;&gt;0,DB_STProjectAcct[[#This Row],[Actual]]/DB_STProjectAcct[[#This Row],[Plan]],1.000011000011)</f>
        <v>0</v>
      </c>
    </row>
    <row r="249" spans="1:33" hidden="1" x14ac:dyDescent="0.2">
      <c r="A249" t="s">
        <v>1236</v>
      </c>
      <c r="B249" t="s">
        <v>344</v>
      </c>
      <c r="C249" t="s">
        <v>511</v>
      </c>
      <c r="D249" t="s">
        <v>979</v>
      </c>
      <c r="E249" t="s">
        <v>235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160</v>
      </c>
      <c r="L249">
        <v>160</v>
      </c>
      <c r="M249">
        <v>160</v>
      </c>
      <c r="N249">
        <v>160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C249" s="295"/>
      <c r="AD249">
        <f>SUMPRODUCT(DB_STProjectAcct[[#This Row],[Plan01]:[Plan12]],$F$14:$Q$14)/valUnits2</f>
        <v>0.16</v>
      </c>
      <c r="AE249">
        <f>SUMPRODUCT(DB_STProjectAcct[[#This Row],[Act01]:[Act12]],$R$14:$AC$14)/valUnits2</f>
        <v>0</v>
      </c>
      <c r="AF249">
        <f>DB_STProjectAcct[[#This Row],[Actual]]-DB_STProjectAcct[[#This Row],[Plan]]</f>
        <v>-0.16</v>
      </c>
      <c r="AG249">
        <f>IF(DB_STProjectAcct[[#This Row],[Plan]]&lt;&gt;0,DB_STProjectAcct[[#This Row],[Actual]]/DB_STProjectAcct[[#This Row],[Plan]],1.000011000011)</f>
        <v>0</v>
      </c>
    </row>
    <row r="250" spans="1:33" hidden="1" x14ac:dyDescent="0.2">
      <c r="A250" t="s">
        <v>1237</v>
      </c>
      <c r="B250" t="s">
        <v>344</v>
      </c>
      <c r="C250" t="s">
        <v>511</v>
      </c>
      <c r="D250" t="s">
        <v>979</v>
      </c>
      <c r="E250" t="s">
        <v>144</v>
      </c>
      <c r="AC250" s="297"/>
      <c r="AD250">
        <f>SUMPRODUCT(DB_STProjectAcct[[#This Row],[Plan01]:[Plan12]],$F$14:$Q$14)/valUnits2</f>
        <v>0</v>
      </c>
      <c r="AE250">
        <f>SUMPRODUCT(DB_STProjectAcct[[#This Row],[Act01]:[Act12]],$R$14:$AC$14)/valUnits2</f>
        <v>0</v>
      </c>
      <c r="AF250">
        <f>DB_STProjectAcct[[#This Row],[Actual]]-DB_STProjectAcct[[#This Row],[Plan]]</f>
        <v>0</v>
      </c>
      <c r="AG250">
        <f>IF(DB_STProjectAcct[[#This Row],[Plan]]&lt;&gt;0,DB_STProjectAcct[[#This Row],[Actual]]/DB_STProjectAcct[[#This Row],[Plan]],1.000011000011)</f>
        <v>1.0000110000110001</v>
      </c>
    </row>
    <row r="251" spans="1:33" hidden="1" x14ac:dyDescent="0.2">
      <c r="A251" t="s">
        <v>1238</v>
      </c>
      <c r="B251" t="s">
        <v>344</v>
      </c>
      <c r="C251" t="s">
        <v>511</v>
      </c>
      <c r="D251" t="s">
        <v>979</v>
      </c>
      <c r="E251" t="s">
        <v>142</v>
      </c>
      <c r="AC251" s="295"/>
      <c r="AD251">
        <f>SUMPRODUCT(DB_STProjectAcct[[#This Row],[Plan01]:[Plan12]],$F$14:$Q$14)/valUnits2</f>
        <v>0</v>
      </c>
      <c r="AE251">
        <f>SUMPRODUCT(DB_STProjectAcct[[#This Row],[Act01]:[Act12]],$R$14:$AC$14)/valUnits2</f>
        <v>0</v>
      </c>
      <c r="AF251">
        <f>DB_STProjectAcct[[#This Row],[Actual]]-DB_STProjectAcct[[#This Row],[Plan]]</f>
        <v>0</v>
      </c>
      <c r="AG251">
        <f>IF(DB_STProjectAcct[[#This Row],[Plan]]&lt;&gt;0,DB_STProjectAcct[[#This Row],[Actual]]/DB_STProjectAcct[[#This Row],[Plan]],1.000011000011)</f>
        <v>1.0000110000110001</v>
      </c>
    </row>
    <row r="252" spans="1:33" hidden="1" x14ac:dyDescent="0.2">
      <c r="A252" t="s">
        <v>1239</v>
      </c>
      <c r="B252" t="s">
        <v>344</v>
      </c>
      <c r="C252" t="s">
        <v>511</v>
      </c>
      <c r="D252" t="s">
        <v>979</v>
      </c>
      <c r="E252" t="s">
        <v>140</v>
      </c>
      <c r="F252">
        <v>0</v>
      </c>
      <c r="G252">
        <v>0</v>
      </c>
      <c r="H252">
        <v>0</v>
      </c>
      <c r="I252">
        <v>684.36</v>
      </c>
      <c r="J252">
        <v>5196.57</v>
      </c>
      <c r="K252">
        <v>25427.143000000004</v>
      </c>
      <c r="L252">
        <v>25427.143000000004</v>
      </c>
      <c r="M252">
        <v>25427.143000000004</v>
      </c>
      <c r="N252">
        <v>25427.143000000004</v>
      </c>
      <c r="R252">
        <v>0</v>
      </c>
      <c r="S252">
        <v>0</v>
      </c>
      <c r="T252">
        <v>0</v>
      </c>
      <c r="U252">
        <v>684.36</v>
      </c>
      <c r="V252">
        <v>5196.57</v>
      </c>
      <c r="W252">
        <v>4760.05</v>
      </c>
      <c r="X252">
        <v>0</v>
      </c>
      <c r="Y252">
        <v>0</v>
      </c>
      <c r="Z252">
        <v>0</v>
      </c>
      <c r="AC252" s="297"/>
      <c r="AD252">
        <f>SUMPRODUCT(DB_STProjectAcct[[#This Row],[Plan01]:[Plan12]],$F$14:$Q$14)/valUnits2</f>
        <v>31.308073000000004</v>
      </c>
      <c r="AE252">
        <f>SUMPRODUCT(DB_STProjectAcct[[#This Row],[Act01]:[Act12]],$R$14:$AC$14)/valUnits2</f>
        <v>10.640979999999999</v>
      </c>
      <c r="AF252">
        <f>DB_STProjectAcct[[#This Row],[Actual]]-DB_STProjectAcct[[#This Row],[Plan]]</f>
        <v>-20.667093000000005</v>
      </c>
      <c r="AG252">
        <f>IF(DB_STProjectAcct[[#This Row],[Plan]]&lt;&gt;0,DB_STProjectAcct[[#This Row],[Actual]]/DB_STProjectAcct[[#This Row],[Plan]],1.000011000011)</f>
        <v>0.33987974922634162</v>
      </c>
    </row>
    <row r="253" spans="1:33" hidden="1" x14ac:dyDescent="0.2">
      <c r="A253" t="s">
        <v>1240</v>
      </c>
      <c r="B253" t="s">
        <v>344</v>
      </c>
      <c r="C253" t="s">
        <v>511</v>
      </c>
      <c r="D253" t="s">
        <v>979</v>
      </c>
      <c r="E253" t="s">
        <v>236</v>
      </c>
      <c r="AC253" s="295"/>
      <c r="AD253">
        <f>SUMPRODUCT(DB_STProjectAcct[[#This Row],[Plan01]:[Plan12]],$F$14:$Q$14)/valUnits2</f>
        <v>0</v>
      </c>
      <c r="AE253">
        <f>SUMPRODUCT(DB_STProjectAcct[[#This Row],[Act01]:[Act12]],$R$14:$AC$14)/valUnits2</f>
        <v>0</v>
      </c>
      <c r="AF253">
        <f>DB_STProjectAcct[[#This Row],[Actual]]-DB_STProjectAcct[[#This Row],[Plan]]</f>
        <v>0</v>
      </c>
      <c r="AG253">
        <f>IF(DB_STProjectAcct[[#This Row],[Plan]]&lt;&gt;0,DB_STProjectAcct[[#This Row],[Actual]]/DB_STProjectAcct[[#This Row],[Plan]],1.000011000011)</f>
        <v>1.0000110000110001</v>
      </c>
    </row>
    <row r="254" spans="1:33" hidden="1" x14ac:dyDescent="0.2">
      <c r="A254" t="s">
        <v>1241</v>
      </c>
      <c r="B254" t="s">
        <v>344</v>
      </c>
      <c r="C254" t="s">
        <v>511</v>
      </c>
      <c r="D254" t="s">
        <v>979</v>
      </c>
      <c r="E254" t="s">
        <v>237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73.332999999999998</v>
      </c>
      <c r="L254">
        <v>73.332999999999998</v>
      </c>
      <c r="M254">
        <v>73.332999999999998</v>
      </c>
      <c r="N254">
        <v>73.332999999999998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C254" s="297"/>
      <c r="AD254">
        <f>SUMPRODUCT(DB_STProjectAcct[[#This Row],[Plan01]:[Plan12]],$F$14:$Q$14)/valUnits2</f>
        <v>7.3332999999999995E-2</v>
      </c>
      <c r="AE254">
        <f>SUMPRODUCT(DB_STProjectAcct[[#This Row],[Act01]:[Act12]],$R$14:$AC$14)/valUnits2</f>
        <v>0</v>
      </c>
      <c r="AF254">
        <f>DB_STProjectAcct[[#This Row],[Actual]]-DB_STProjectAcct[[#This Row],[Plan]]</f>
        <v>-7.3332999999999995E-2</v>
      </c>
      <c r="AG254">
        <f>IF(DB_STProjectAcct[[#This Row],[Plan]]&lt;&gt;0,DB_STProjectAcct[[#This Row],[Actual]]/DB_STProjectAcct[[#This Row],[Plan]],1.000011000011)</f>
        <v>0</v>
      </c>
    </row>
    <row r="255" spans="1:33" hidden="1" x14ac:dyDescent="0.2">
      <c r="A255" t="s">
        <v>1242</v>
      </c>
      <c r="B255" t="s">
        <v>344</v>
      </c>
      <c r="C255" t="s">
        <v>511</v>
      </c>
      <c r="D255" t="s">
        <v>979</v>
      </c>
      <c r="E255" t="s">
        <v>141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5032.4169999999995</v>
      </c>
      <c r="L255">
        <v>5032.4169999999995</v>
      </c>
      <c r="M255">
        <v>5032.4169999999995</v>
      </c>
      <c r="N255">
        <v>5036.4169999999995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C255" s="295"/>
      <c r="AD255">
        <f>SUMPRODUCT(DB_STProjectAcct[[#This Row],[Plan01]:[Plan12]],$F$14:$Q$14)/valUnits2</f>
        <v>5.0324169999999997</v>
      </c>
      <c r="AE255">
        <f>SUMPRODUCT(DB_STProjectAcct[[#This Row],[Act01]:[Act12]],$R$14:$AC$14)/valUnits2</f>
        <v>0</v>
      </c>
      <c r="AF255">
        <f>DB_STProjectAcct[[#This Row],[Actual]]-DB_STProjectAcct[[#This Row],[Plan]]</f>
        <v>-5.0324169999999997</v>
      </c>
      <c r="AG255">
        <f>IF(DB_STProjectAcct[[#This Row],[Plan]]&lt;&gt;0,DB_STProjectAcct[[#This Row],[Actual]]/DB_STProjectAcct[[#This Row],[Plan]],1.000011000011)</f>
        <v>0</v>
      </c>
    </row>
    <row r="256" spans="1:33" hidden="1" x14ac:dyDescent="0.2">
      <c r="A256" t="s">
        <v>1243</v>
      </c>
      <c r="B256" t="s">
        <v>344</v>
      </c>
      <c r="C256" t="s">
        <v>511</v>
      </c>
      <c r="D256" t="s">
        <v>1000</v>
      </c>
      <c r="E256" t="s">
        <v>143</v>
      </c>
      <c r="F256">
        <v>0</v>
      </c>
      <c r="G256">
        <v>2037.02</v>
      </c>
      <c r="H256">
        <v>0</v>
      </c>
      <c r="I256">
        <v>0</v>
      </c>
      <c r="J256">
        <v>0</v>
      </c>
      <c r="K256">
        <v>396.66700000000003</v>
      </c>
      <c r="L256">
        <v>396.66700000000003</v>
      </c>
      <c r="M256">
        <v>396.66700000000003</v>
      </c>
      <c r="N256">
        <v>396.66700000000003</v>
      </c>
      <c r="R256">
        <v>0</v>
      </c>
      <c r="S256">
        <v>2058.5700000000002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C256" s="297"/>
      <c r="AD256">
        <f>SUMPRODUCT(DB_STProjectAcct[[#This Row],[Plan01]:[Plan12]],$F$14:$Q$14)/valUnits2</f>
        <v>2.4336869999999999</v>
      </c>
      <c r="AE256">
        <f>SUMPRODUCT(DB_STProjectAcct[[#This Row],[Act01]:[Act12]],$R$14:$AC$14)/valUnits2</f>
        <v>2.05857</v>
      </c>
      <c r="AF256">
        <f>DB_STProjectAcct[[#This Row],[Actual]]-DB_STProjectAcct[[#This Row],[Plan]]</f>
        <v>-0.37511699999999992</v>
      </c>
      <c r="AG256">
        <f>IF(DB_STProjectAcct[[#This Row],[Plan]]&lt;&gt;0,DB_STProjectAcct[[#This Row],[Actual]]/DB_STProjectAcct[[#This Row],[Plan]],1.000011000011)</f>
        <v>0.84586473116715499</v>
      </c>
    </row>
    <row r="257" spans="1:33" hidden="1" x14ac:dyDescent="0.2">
      <c r="A257" t="s">
        <v>1244</v>
      </c>
      <c r="B257" t="s">
        <v>344</v>
      </c>
      <c r="C257" t="s">
        <v>511</v>
      </c>
      <c r="D257" t="s">
        <v>1000</v>
      </c>
      <c r="E257" t="s">
        <v>235</v>
      </c>
      <c r="F257">
        <v>33.229999999999997</v>
      </c>
      <c r="G257">
        <v>299.16000000000003</v>
      </c>
      <c r="H257">
        <v>375.34000000000003</v>
      </c>
      <c r="I257">
        <v>487.37</v>
      </c>
      <c r="J257">
        <v>3375.57</v>
      </c>
      <c r="K257">
        <v>106.667</v>
      </c>
      <c r="L257">
        <v>106.667</v>
      </c>
      <c r="M257">
        <v>106.667</v>
      </c>
      <c r="N257">
        <v>106.667</v>
      </c>
      <c r="R257">
        <v>33.229999999999997</v>
      </c>
      <c r="S257">
        <v>299.15999999999997</v>
      </c>
      <c r="T257">
        <v>375.34</v>
      </c>
      <c r="U257">
        <v>487.37000000000006</v>
      </c>
      <c r="V257">
        <v>3375.57</v>
      </c>
      <c r="W257">
        <v>1843.1799999999998</v>
      </c>
      <c r="X257">
        <v>0</v>
      </c>
      <c r="Y257">
        <v>0</v>
      </c>
      <c r="Z257">
        <v>0</v>
      </c>
      <c r="AC257" s="295"/>
      <c r="AD257">
        <f>SUMPRODUCT(DB_STProjectAcct[[#This Row],[Plan01]:[Plan12]],$F$14:$Q$14)/valUnits2</f>
        <v>4.6773370000000005</v>
      </c>
      <c r="AE257">
        <f>SUMPRODUCT(DB_STProjectAcct[[#This Row],[Act01]:[Act12]],$R$14:$AC$14)/valUnits2</f>
        <v>6.4138500000000001</v>
      </c>
      <c r="AF257">
        <f>DB_STProjectAcct[[#This Row],[Actual]]-DB_STProjectAcct[[#This Row],[Plan]]</f>
        <v>1.7365129999999995</v>
      </c>
      <c r="AG257">
        <f>IF(DB_STProjectAcct[[#This Row],[Plan]]&lt;&gt;0,DB_STProjectAcct[[#This Row],[Actual]]/DB_STProjectAcct[[#This Row],[Plan]],1.000011000011)</f>
        <v>1.3712610402030043</v>
      </c>
    </row>
    <row r="258" spans="1:33" hidden="1" x14ac:dyDescent="0.2">
      <c r="A258" t="s">
        <v>1245</v>
      </c>
      <c r="B258" t="s">
        <v>344</v>
      </c>
      <c r="C258" t="s">
        <v>511</v>
      </c>
      <c r="D258" t="s">
        <v>1000</v>
      </c>
      <c r="E258" t="s">
        <v>144</v>
      </c>
      <c r="AC258" s="297"/>
      <c r="AD258">
        <f>SUMPRODUCT(DB_STProjectAcct[[#This Row],[Plan01]:[Plan12]],$F$14:$Q$14)/valUnits2</f>
        <v>0</v>
      </c>
      <c r="AE258">
        <f>SUMPRODUCT(DB_STProjectAcct[[#This Row],[Act01]:[Act12]],$R$14:$AC$14)/valUnits2</f>
        <v>0</v>
      </c>
      <c r="AF258">
        <f>DB_STProjectAcct[[#This Row],[Actual]]-DB_STProjectAcct[[#This Row],[Plan]]</f>
        <v>0</v>
      </c>
      <c r="AG258">
        <f>IF(DB_STProjectAcct[[#This Row],[Plan]]&lt;&gt;0,DB_STProjectAcct[[#This Row],[Actual]]/DB_STProjectAcct[[#This Row],[Plan]],1.000011000011)</f>
        <v>1.0000110000110001</v>
      </c>
    </row>
    <row r="259" spans="1:33" hidden="1" x14ac:dyDescent="0.2">
      <c r="A259" t="s">
        <v>1246</v>
      </c>
      <c r="B259" t="s">
        <v>344</v>
      </c>
      <c r="C259" t="s">
        <v>511</v>
      </c>
      <c r="D259" t="s">
        <v>1000</v>
      </c>
      <c r="E259" t="s">
        <v>142</v>
      </c>
      <c r="F259">
        <v>0</v>
      </c>
      <c r="G259">
        <v>0</v>
      </c>
      <c r="H259">
        <v>407611.17999999993</v>
      </c>
      <c r="I259">
        <v>260165.86</v>
      </c>
      <c r="J259">
        <v>23563.27</v>
      </c>
      <c r="K259">
        <v>122222.22200000001</v>
      </c>
      <c r="L259">
        <v>122222.22199999999</v>
      </c>
      <c r="M259">
        <v>122222.22200000002</v>
      </c>
      <c r="N259">
        <v>122222.22200000001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407611.18000000005</v>
      </c>
      <c r="U259">
        <v>260165.86</v>
      </c>
      <c r="V259">
        <v>23563.270000000004</v>
      </c>
      <c r="W259">
        <v>171.01999999998952</v>
      </c>
      <c r="X259">
        <v>0</v>
      </c>
      <c r="Y259">
        <v>0</v>
      </c>
      <c r="Z259">
        <v>0</v>
      </c>
      <c r="AA259">
        <v>0</v>
      </c>
      <c r="AB259">
        <v>0</v>
      </c>
      <c r="AC259" s="295">
        <v>0</v>
      </c>
      <c r="AD259">
        <f>SUMPRODUCT(DB_STProjectAcct[[#This Row],[Plan01]:[Plan12]],$F$14:$Q$14)/valUnits2</f>
        <v>813.56253199999992</v>
      </c>
      <c r="AE259">
        <f>SUMPRODUCT(DB_STProjectAcct[[#This Row],[Act01]:[Act12]],$R$14:$AC$14)/valUnits2</f>
        <v>691.51133000000004</v>
      </c>
      <c r="AF259">
        <f>DB_STProjectAcct[[#This Row],[Actual]]-DB_STProjectAcct[[#This Row],[Plan]]</f>
        <v>-122.05120199999988</v>
      </c>
      <c r="AG259">
        <f>IF(DB_STProjectAcct[[#This Row],[Plan]]&lt;&gt;0,DB_STProjectAcct[[#This Row],[Actual]]/DB_STProjectAcct[[#This Row],[Plan]],1.000011000011)</f>
        <v>0.84997932279408372</v>
      </c>
    </row>
    <row r="260" spans="1:33" hidden="1" x14ac:dyDescent="0.2">
      <c r="A260" t="s">
        <v>1247</v>
      </c>
      <c r="B260" t="s">
        <v>344</v>
      </c>
      <c r="C260" t="s">
        <v>511</v>
      </c>
      <c r="D260" t="s">
        <v>1000</v>
      </c>
      <c r="E260" t="s">
        <v>140</v>
      </c>
      <c r="F260">
        <v>9816.07</v>
      </c>
      <c r="G260">
        <v>12313.05</v>
      </c>
      <c r="H260">
        <v>12964.189999999999</v>
      </c>
      <c r="I260">
        <v>13410.86</v>
      </c>
      <c r="J260">
        <v>12866.140000000001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9816.07</v>
      </c>
      <c r="S260">
        <v>12313.050000000001</v>
      </c>
      <c r="T260">
        <v>12964.19</v>
      </c>
      <c r="U260">
        <v>13410.86</v>
      </c>
      <c r="V260">
        <v>12866.14</v>
      </c>
      <c r="W260">
        <v>18478.079999999998</v>
      </c>
      <c r="X260">
        <v>0</v>
      </c>
      <c r="Y260">
        <v>0</v>
      </c>
      <c r="Z260">
        <v>0</v>
      </c>
      <c r="AA260">
        <v>0</v>
      </c>
      <c r="AB260">
        <v>0</v>
      </c>
      <c r="AC260" s="297">
        <v>0</v>
      </c>
      <c r="AD260">
        <f>SUMPRODUCT(DB_STProjectAcct[[#This Row],[Plan01]:[Plan12]],$F$14:$Q$14)/valUnits2</f>
        <v>61.370309999999996</v>
      </c>
      <c r="AE260">
        <f>SUMPRODUCT(DB_STProjectAcct[[#This Row],[Act01]:[Act12]],$R$14:$AC$14)/valUnits2</f>
        <v>79.848389999999995</v>
      </c>
      <c r="AF260">
        <f>DB_STProjectAcct[[#This Row],[Actual]]-DB_STProjectAcct[[#This Row],[Plan]]</f>
        <v>18.478079999999999</v>
      </c>
      <c r="AG260">
        <f>IF(DB_STProjectAcct[[#This Row],[Plan]]&lt;&gt;0,DB_STProjectAcct[[#This Row],[Actual]]/DB_STProjectAcct[[#This Row],[Plan]],1.000011000011)</f>
        <v>1.3010915212909957</v>
      </c>
    </row>
    <row r="261" spans="1:33" hidden="1" x14ac:dyDescent="0.2">
      <c r="A261" t="s">
        <v>1248</v>
      </c>
      <c r="B261" t="s">
        <v>344</v>
      </c>
      <c r="C261" t="s">
        <v>511</v>
      </c>
      <c r="D261" t="s">
        <v>1000</v>
      </c>
      <c r="E261" t="s">
        <v>236</v>
      </c>
      <c r="F261">
        <v>432.11</v>
      </c>
      <c r="G261">
        <v>168.32999999999998</v>
      </c>
      <c r="H261">
        <v>3312.6799999999989</v>
      </c>
      <c r="I261">
        <v>1198.0999999999999</v>
      </c>
      <c r="J261">
        <v>5548.19</v>
      </c>
      <c r="K261">
        <v>0</v>
      </c>
      <c r="R261">
        <v>432.11</v>
      </c>
      <c r="S261">
        <v>168.32999999999998</v>
      </c>
      <c r="T261">
        <v>3312.6800000000007</v>
      </c>
      <c r="U261">
        <v>1198.0999999999999</v>
      </c>
      <c r="V261">
        <v>5548.19</v>
      </c>
      <c r="W261">
        <v>3104.22</v>
      </c>
      <c r="AC261" s="295"/>
      <c r="AD261">
        <f>SUMPRODUCT(DB_STProjectAcct[[#This Row],[Plan01]:[Plan12]],$F$14:$Q$14)/valUnits2</f>
        <v>10.659409999999999</v>
      </c>
      <c r="AE261">
        <f>SUMPRODUCT(DB_STProjectAcct[[#This Row],[Act01]:[Act12]],$R$14:$AC$14)/valUnits2</f>
        <v>13.763629999999999</v>
      </c>
      <c r="AF261">
        <f>DB_STProjectAcct[[#This Row],[Actual]]-DB_STProjectAcct[[#This Row],[Plan]]</f>
        <v>3.1042199999999998</v>
      </c>
      <c r="AG261">
        <f>IF(DB_STProjectAcct[[#This Row],[Plan]]&lt;&gt;0,DB_STProjectAcct[[#This Row],[Actual]]/DB_STProjectAcct[[#This Row],[Plan]],1.000011000011)</f>
        <v>1.2912187447522894</v>
      </c>
    </row>
    <row r="262" spans="1:33" hidden="1" x14ac:dyDescent="0.2">
      <c r="A262" t="s">
        <v>1249</v>
      </c>
      <c r="B262" t="s">
        <v>344</v>
      </c>
      <c r="C262" t="s">
        <v>511</v>
      </c>
      <c r="D262" t="s">
        <v>1000</v>
      </c>
      <c r="E262" t="s">
        <v>237</v>
      </c>
      <c r="F262">
        <v>19.489999999999998</v>
      </c>
      <c r="G262">
        <v>722.15</v>
      </c>
      <c r="H262">
        <v>4483.4100000000017</v>
      </c>
      <c r="I262">
        <v>55.38</v>
      </c>
      <c r="J262">
        <v>1129.32</v>
      </c>
      <c r="K262">
        <v>48.889000000000003</v>
      </c>
      <c r="L262">
        <v>48.889000000000003</v>
      </c>
      <c r="M262">
        <v>48.889000000000003</v>
      </c>
      <c r="N262">
        <v>48.889000000000003</v>
      </c>
      <c r="R262">
        <v>19.489999999999998</v>
      </c>
      <c r="S262">
        <v>722.15</v>
      </c>
      <c r="T262">
        <v>4483.4100000000017</v>
      </c>
      <c r="U262">
        <v>55.38</v>
      </c>
      <c r="V262">
        <v>1129.3200000000002</v>
      </c>
      <c r="W262">
        <v>4201.87</v>
      </c>
      <c r="X262">
        <v>0</v>
      </c>
      <c r="Y262">
        <v>0</v>
      </c>
      <c r="Z262">
        <v>0</v>
      </c>
      <c r="AC262" s="297"/>
      <c r="AD262">
        <f>SUMPRODUCT(DB_STProjectAcct[[#This Row],[Plan01]:[Plan12]],$F$14:$Q$14)/valUnits2</f>
        <v>6.4586390000000016</v>
      </c>
      <c r="AE262">
        <f>SUMPRODUCT(DB_STProjectAcct[[#This Row],[Act01]:[Act12]],$R$14:$AC$14)/valUnits2</f>
        <v>10.611620000000002</v>
      </c>
      <c r="AF262">
        <f>DB_STProjectAcct[[#This Row],[Actual]]-DB_STProjectAcct[[#This Row],[Plan]]</f>
        <v>4.1529810000000005</v>
      </c>
      <c r="AG262">
        <f>IF(DB_STProjectAcct[[#This Row],[Plan]]&lt;&gt;0,DB_STProjectAcct[[#This Row],[Actual]]/DB_STProjectAcct[[#This Row],[Plan]],1.000011000011)</f>
        <v>1.6430117862292659</v>
      </c>
    </row>
    <row r="263" spans="1:33" hidden="1" x14ac:dyDescent="0.2">
      <c r="A263" t="s">
        <v>1250</v>
      </c>
      <c r="B263" t="s">
        <v>344</v>
      </c>
      <c r="C263" t="s">
        <v>511</v>
      </c>
      <c r="D263" t="s">
        <v>1000</v>
      </c>
      <c r="E263" t="s">
        <v>141</v>
      </c>
      <c r="F263">
        <v>490.65</v>
      </c>
      <c r="G263">
        <v>2057.1800000000003</v>
      </c>
      <c r="H263">
        <v>654.82999999999993</v>
      </c>
      <c r="I263">
        <v>1108.06</v>
      </c>
      <c r="J263">
        <v>1503.1499999999999</v>
      </c>
      <c r="K263">
        <v>1732.472</v>
      </c>
      <c r="L263">
        <v>1732.472</v>
      </c>
      <c r="M263">
        <v>1732.472</v>
      </c>
      <c r="N263">
        <v>1732.472</v>
      </c>
      <c r="O263">
        <v>0</v>
      </c>
      <c r="P263">
        <v>0</v>
      </c>
      <c r="Q263">
        <v>0</v>
      </c>
      <c r="R263">
        <v>490.65</v>
      </c>
      <c r="S263">
        <v>2057.1800000000003</v>
      </c>
      <c r="T263">
        <v>654.83000000000004</v>
      </c>
      <c r="U263">
        <v>1108.0600000000002</v>
      </c>
      <c r="V263">
        <v>1503.15</v>
      </c>
      <c r="W263">
        <v>12404.83</v>
      </c>
      <c r="X263">
        <v>0</v>
      </c>
      <c r="Y263">
        <v>0</v>
      </c>
      <c r="Z263">
        <v>0</v>
      </c>
      <c r="AA263">
        <v>0</v>
      </c>
      <c r="AB263">
        <v>0</v>
      </c>
      <c r="AC263" s="295">
        <v>0</v>
      </c>
      <c r="AD263">
        <f>SUMPRODUCT(DB_STProjectAcct[[#This Row],[Plan01]:[Plan12]],$F$14:$Q$14)/valUnits2</f>
        <v>7.5463419999999992</v>
      </c>
      <c r="AE263">
        <f>SUMPRODUCT(DB_STProjectAcct[[#This Row],[Act01]:[Act12]],$R$14:$AC$14)/valUnits2</f>
        <v>18.218700000000002</v>
      </c>
      <c r="AF263">
        <f>DB_STProjectAcct[[#This Row],[Actual]]-DB_STProjectAcct[[#This Row],[Plan]]</f>
        <v>10.672358000000003</v>
      </c>
      <c r="AG263">
        <f>IF(DB_STProjectAcct[[#This Row],[Plan]]&lt;&gt;0,DB_STProjectAcct[[#This Row],[Actual]]/DB_STProjectAcct[[#This Row],[Plan]],1.000011000011)</f>
        <v>2.4142425561947767</v>
      </c>
    </row>
    <row r="264" spans="1:33" hidden="1" x14ac:dyDescent="0.2">
      <c r="A264" t="s">
        <v>1251</v>
      </c>
      <c r="B264" t="s">
        <v>345</v>
      </c>
      <c r="C264" t="s">
        <v>512</v>
      </c>
      <c r="D264" t="s">
        <v>944</v>
      </c>
      <c r="E264" t="s">
        <v>143</v>
      </c>
      <c r="G264">
        <v>1061.2260000000001</v>
      </c>
      <c r="H264">
        <v>0</v>
      </c>
      <c r="J264">
        <v>0</v>
      </c>
      <c r="S264">
        <v>625.38</v>
      </c>
      <c r="T264">
        <v>45.209999999999994</v>
      </c>
      <c r="V264">
        <v>57.42</v>
      </c>
      <c r="AC264" s="297"/>
      <c r="AD264">
        <f>SUMPRODUCT(DB_STProjectAcct[[#This Row],[Plan01]:[Plan12]],$F$14:$Q$14)/valUnits2</f>
        <v>1.061226</v>
      </c>
      <c r="AE264">
        <f>SUMPRODUCT(DB_STProjectAcct[[#This Row],[Act01]:[Act12]],$R$14:$AC$14)/valUnits2</f>
        <v>0.72801000000000005</v>
      </c>
      <c r="AF264">
        <f>DB_STProjectAcct[[#This Row],[Actual]]-DB_STProjectAcct[[#This Row],[Plan]]</f>
        <v>-0.33321599999999996</v>
      </c>
      <c r="AG264">
        <f>IF(DB_STProjectAcct[[#This Row],[Plan]]&lt;&gt;0,DB_STProjectAcct[[#This Row],[Actual]]/DB_STProjectAcct[[#This Row],[Plan]],1.000011000011)</f>
        <v>0.68600844683413342</v>
      </c>
    </row>
    <row r="265" spans="1:33" hidden="1" x14ac:dyDescent="0.2">
      <c r="A265" t="s">
        <v>1252</v>
      </c>
      <c r="B265" t="s">
        <v>345</v>
      </c>
      <c r="C265" t="s">
        <v>512</v>
      </c>
      <c r="D265" t="s">
        <v>944</v>
      </c>
      <c r="E265" t="s">
        <v>235</v>
      </c>
      <c r="G265">
        <v>54.97</v>
      </c>
      <c r="J265">
        <v>21.742000000000001</v>
      </c>
      <c r="K265">
        <v>0</v>
      </c>
      <c r="S265">
        <v>438.15000000000003</v>
      </c>
      <c r="V265">
        <v>21.85</v>
      </c>
      <c r="W265">
        <v>214.15</v>
      </c>
      <c r="AC265" s="295"/>
      <c r="AD265">
        <f>SUMPRODUCT(DB_STProjectAcct[[#This Row],[Plan01]:[Plan12]],$F$14:$Q$14)/valUnits2</f>
        <v>7.6712000000000002E-2</v>
      </c>
      <c r="AE265">
        <f>SUMPRODUCT(DB_STProjectAcct[[#This Row],[Act01]:[Act12]],$R$14:$AC$14)/valUnits2</f>
        <v>0.67415000000000014</v>
      </c>
      <c r="AF265">
        <f>DB_STProjectAcct[[#This Row],[Actual]]-DB_STProjectAcct[[#This Row],[Plan]]</f>
        <v>0.59743800000000014</v>
      </c>
      <c r="AG265">
        <f>IF(DB_STProjectAcct[[#This Row],[Plan]]&lt;&gt;0,DB_STProjectAcct[[#This Row],[Actual]]/DB_STProjectAcct[[#This Row],[Plan]],1.000011000011)</f>
        <v>8.7880644488476403</v>
      </c>
    </row>
    <row r="266" spans="1:33" hidden="1" x14ac:dyDescent="0.2">
      <c r="A266" t="s">
        <v>1253</v>
      </c>
      <c r="B266" t="s">
        <v>345</v>
      </c>
      <c r="C266" t="s">
        <v>512</v>
      </c>
      <c r="D266" t="s">
        <v>944</v>
      </c>
      <c r="E266" t="s">
        <v>144</v>
      </c>
      <c r="AC266" s="297"/>
      <c r="AD266">
        <f>SUMPRODUCT(DB_STProjectAcct[[#This Row],[Plan01]:[Plan12]],$F$14:$Q$14)/valUnits2</f>
        <v>0</v>
      </c>
      <c r="AE266">
        <f>SUMPRODUCT(DB_STProjectAcct[[#This Row],[Act01]:[Act12]],$R$14:$AC$14)/valUnits2</f>
        <v>0</v>
      </c>
      <c r="AF266">
        <f>DB_STProjectAcct[[#This Row],[Actual]]-DB_STProjectAcct[[#This Row],[Plan]]</f>
        <v>0</v>
      </c>
      <c r="AG266">
        <f>IF(DB_STProjectAcct[[#This Row],[Plan]]&lt;&gt;0,DB_STProjectAcct[[#This Row],[Actual]]/DB_STProjectAcct[[#This Row],[Plan]],1.000011000011)</f>
        <v>1.0000110000110001</v>
      </c>
    </row>
    <row r="267" spans="1:33" hidden="1" x14ac:dyDescent="0.2">
      <c r="A267" t="s">
        <v>1254</v>
      </c>
      <c r="B267" t="s">
        <v>345</v>
      </c>
      <c r="C267" t="s">
        <v>512</v>
      </c>
      <c r="D267" t="s">
        <v>944</v>
      </c>
      <c r="E267" t="s">
        <v>142</v>
      </c>
      <c r="F267">
        <v>61662.505000000026</v>
      </c>
      <c r="G267">
        <v>-6300.4990000000016</v>
      </c>
      <c r="H267">
        <v>71906.21100000001</v>
      </c>
      <c r="I267">
        <v>96179.149999999951</v>
      </c>
      <c r="J267">
        <v>80110.672000000006</v>
      </c>
      <c r="K267">
        <v>70314.463000000018</v>
      </c>
      <c r="L267">
        <v>70314.463000000018</v>
      </c>
      <c r="M267">
        <v>72976.549000000014</v>
      </c>
      <c r="N267">
        <v>70314.463000000018</v>
      </c>
      <c r="O267">
        <v>70314.463000000032</v>
      </c>
      <c r="P267">
        <v>75106.479000000036</v>
      </c>
      <c r="Q267">
        <v>70314.463000000018</v>
      </c>
      <c r="R267">
        <v>60842.460000000006</v>
      </c>
      <c r="S267">
        <v>-6187.6500000000033</v>
      </c>
      <c r="T267">
        <v>72479.639999999985</v>
      </c>
      <c r="U267">
        <v>97762.409999999989</v>
      </c>
      <c r="V267">
        <v>80038.939999999988</v>
      </c>
      <c r="W267">
        <v>43143.430000000008</v>
      </c>
      <c r="X267">
        <v>0</v>
      </c>
      <c r="Y267">
        <v>0</v>
      </c>
      <c r="Z267">
        <v>0</v>
      </c>
      <c r="AA267">
        <v>0</v>
      </c>
      <c r="AB267">
        <v>0</v>
      </c>
      <c r="AC267" s="295">
        <v>0</v>
      </c>
      <c r="AD267">
        <f>SUMPRODUCT(DB_STProjectAcct[[#This Row],[Plan01]:[Plan12]],$F$14:$Q$14)/valUnits2</f>
        <v>373.872502</v>
      </c>
      <c r="AE267">
        <f>SUMPRODUCT(DB_STProjectAcct[[#This Row],[Act01]:[Act12]],$R$14:$AC$14)/valUnits2</f>
        <v>348.07923</v>
      </c>
      <c r="AF267">
        <f>DB_STProjectAcct[[#This Row],[Actual]]-DB_STProjectAcct[[#This Row],[Plan]]</f>
        <v>-25.793272000000002</v>
      </c>
      <c r="AG267">
        <f>IF(DB_STProjectAcct[[#This Row],[Plan]]&lt;&gt;0,DB_STProjectAcct[[#This Row],[Actual]]/DB_STProjectAcct[[#This Row],[Plan]],1.000011000011)</f>
        <v>0.93101051331129991</v>
      </c>
    </row>
    <row r="268" spans="1:33" hidden="1" x14ac:dyDescent="0.2">
      <c r="A268" t="s">
        <v>1255</v>
      </c>
      <c r="B268" t="s">
        <v>345</v>
      </c>
      <c r="C268" t="s">
        <v>512</v>
      </c>
      <c r="D268" t="s">
        <v>944</v>
      </c>
      <c r="E268" t="s">
        <v>140</v>
      </c>
      <c r="F268">
        <v>1144.665</v>
      </c>
      <c r="G268">
        <v>9792.3590000000004</v>
      </c>
      <c r="H268">
        <v>1873.078</v>
      </c>
      <c r="I268">
        <v>19123.129999999997</v>
      </c>
      <c r="J268">
        <v>36687.411</v>
      </c>
      <c r="K268">
        <v>19248.045000000002</v>
      </c>
      <c r="L268">
        <v>19248.044999999998</v>
      </c>
      <c r="M268">
        <v>19248.045000000002</v>
      </c>
      <c r="N268">
        <v>19248.045000000002</v>
      </c>
      <c r="O268">
        <v>19248.044999999998</v>
      </c>
      <c r="P268">
        <v>19248.044999999998</v>
      </c>
      <c r="Q268">
        <v>19248.044999999995</v>
      </c>
      <c r="R268">
        <v>1127.49</v>
      </c>
      <c r="S268">
        <v>9772.7000000000007</v>
      </c>
      <c r="T268">
        <v>1862.54</v>
      </c>
      <c r="U268">
        <v>19122.560000000001</v>
      </c>
      <c r="V268">
        <v>36755.329999999994</v>
      </c>
      <c r="W268">
        <v>29119.289999999997</v>
      </c>
      <c r="X268">
        <v>2515</v>
      </c>
      <c r="Y268">
        <v>0</v>
      </c>
      <c r="Z268">
        <v>0</v>
      </c>
      <c r="AA268">
        <v>0</v>
      </c>
      <c r="AB268">
        <v>0</v>
      </c>
      <c r="AC268" s="297">
        <v>0</v>
      </c>
      <c r="AD268">
        <f>SUMPRODUCT(DB_STProjectAcct[[#This Row],[Plan01]:[Plan12]],$F$14:$Q$14)/valUnits2</f>
        <v>87.868687999999992</v>
      </c>
      <c r="AE268">
        <f>SUMPRODUCT(DB_STProjectAcct[[#This Row],[Act01]:[Act12]],$R$14:$AC$14)/valUnits2</f>
        <v>97.759909999999991</v>
      </c>
      <c r="AF268">
        <f>DB_STProjectAcct[[#This Row],[Actual]]-DB_STProjectAcct[[#This Row],[Plan]]</f>
        <v>9.8912219999999991</v>
      </c>
      <c r="AG268">
        <f>IF(DB_STProjectAcct[[#This Row],[Plan]]&lt;&gt;0,DB_STProjectAcct[[#This Row],[Actual]]/DB_STProjectAcct[[#This Row],[Plan]],1.000011000011)</f>
        <v>1.1125682222545532</v>
      </c>
    </row>
    <row r="269" spans="1:33" hidden="1" x14ac:dyDescent="0.2">
      <c r="A269" t="s">
        <v>1256</v>
      </c>
      <c r="B269" t="s">
        <v>345</v>
      </c>
      <c r="C269" t="s">
        <v>512</v>
      </c>
      <c r="D269" t="s">
        <v>944</v>
      </c>
      <c r="E269" t="s">
        <v>236</v>
      </c>
      <c r="F269">
        <v>2911.2089999999998</v>
      </c>
      <c r="K269">
        <v>0</v>
      </c>
      <c r="R269">
        <v>2879.07</v>
      </c>
      <c r="W269">
        <v>147.1</v>
      </c>
      <c r="AC269" s="295"/>
      <c r="AD269">
        <f>SUMPRODUCT(DB_STProjectAcct[[#This Row],[Plan01]:[Plan12]],$F$14:$Q$14)/valUnits2</f>
        <v>2.9112089999999999</v>
      </c>
      <c r="AE269">
        <f>SUMPRODUCT(DB_STProjectAcct[[#This Row],[Act01]:[Act12]],$R$14:$AC$14)/valUnits2</f>
        <v>3.02617</v>
      </c>
      <c r="AF269">
        <f>DB_STProjectAcct[[#This Row],[Actual]]-DB_STProjectAcct[[#This Row],[Plan]]</f>
        <v>0.11496100000000009</v>
      </c>
      <c r="AG269">
        <f>IF(DB_STProjectAcct[[#This Row],[Plan]]&lt;&gt;0,DB_STProjectAcct[[#This Row],[Actual]]/DB_STProjectAcct[[#This Row],[Plan]],1.000011000011)</f>
        <v>1.0394890919889297</v>
      </c>
    </row>
    <row r="270" spans="1:33" hidden="1" x14ac:dyDescent="0.2">
      <c r="A270" t="s">
        <v>1257</v>
      </c>
      <c r="B270" t="s">
        <v>345</v>
      </c>
      <c r="C270" t="s">
        <v>512</v>
      </c>
      <c r="D270" t="s">
        <v>944</v>
      </c>
      <c r="E270" t="s">
        <v>237</v>
      </c>
      <c r="F270">
        <v>0</v>
      </c>
      <c r="G270">
        <v>331</v>
      </c>
      <c r="H270">
        <v>83.5</v>
      </c>
      <c r="I270">
        <v>204.197</v>
      </c>
      <c r="J270">
        <v>378.24099999999999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331</v>
      </c>
      <c r="T270">
        <v>83.01</v>
      </c>
      <c r="U270">
        <v>204.82</v>
      </c>
      <c r="V270">
        <v>379.05000000000007</v>
      </c>
      <c r="W270">
        <v>120.50999999999999</v>
      </c>
      <c r="X270">
        <v>0</v>
      </c>
      <c r="Y270">
        <v>0</v>
      </c>
      <c r="Z270">
        <v>0</v>
      </c>
      <c r="AA270">
        <v>0</v>
      </c>
      <c r="AB270">
        <v>0</v>
      </c>
      <c r="AC270" s="297">
        <v>0</v>
      </c>
      <c r="AD270">
        <f>SUMPRODUCT(DB_STProjectAcct[[#This Row],[Plan01]:[Plan12]],$F$14:$Q$14)/valUnits2</f>
        <v>0.99693799999999999</v>
      </c>
      <c r="AE270">
        <f>SUMPRODUCT(DB_STProjectAcct[[#This Row],[Act01]:[Act12]],$R$14:$AC$14)/valUnits2</f>
        <v>1.1183899999999998</v>
      </c>
      <c r="AF270">
        <f>DB_STProjectAcct[[#This Row],[Actual]]-DB_STProjectAcct[[#This Row],[Plan]]</f>
        <v>0.12145199999999978</v>
      </c>
      <c r="AG270">
        <f>IF(DB_STProjectAcct[[#This Row],[Plan]]&lt;&gt;0,DB_STProjectAcct[[#This Row],[Actual]]/DB_STProjectAcct[[#This Row],[Plan]],1.000011000011)</f>
        <v>1.1218250282364599</v>
      </c>
    </row>
    <row r="271" spans="1:33" hidden="1" x14ac:dyDescent="0.2">
      <c r="A271" t="s">
        <v>1258</v>
      </c>
      <c r="B271" t="s">
        <v>345</v>
      </c>
      <c r="C271" t="s">
        <v>512</v>
      </c>
      <c r="D271" t="s">
        <v>944</v>
      </c>
      <c r="E271" t="s">
        <v>141</v>
      </c>
      <c r="F271">
        <v>1.2809999999999999</v>
      </c>
      <c r="G271">
        <v>271.18</v>
      </c>
      <c r="H271">
        <v>3167.9230000000002</v>
      </c>
      <c r="I271">
        <v>2599.3519999999999</v>
      </c>
      <c r="J271">
        <v>766.505</v>
      </c>
      <c r="K271">
        <v>15265.523000000001</v>
      </c>
      <c r="L271">
        <v>2222.4739999999997</v>
      </c>
      <c r="M271">
        <v>2222.4739999999997</v>
      </c>
      <c r="N271">
        <v>2222.4740000000002</v>
      </c>
      <c r="O271">
        <v>2222.4739999999997</v>
      </c>
      <c r="P271">
        <v>2222.4740000000002</v>
      </c>
      <c r="Q271">
        <v>2222.4739999999997</v>
      </c>
      <c r="R271">
        <v>1.25</v>
      </c>
      <c r="S271">
        <v>274.5</v>
      </c>
      <c r="T271">
        <v>3196.41</v>
      </c>
      <c r="U271">
        <v>2653.2099999999996</v>
      </c>
      <c r="V271">
        <v>763.91</v>
      </c>
      <c r="W271">
        <v>1523.1600000000003</v>
      </c>
      <c r="X271">
        <v>0</v>
      </c>
      <c r="Y271">
        <v>0</v>
      </c>
      <c r="Z271">
        <v>0</v>
      </c>
      <c r="AA271">
        <v>0</v>
      </c>
      <c r="AB271">
        <v>0</v>
      </c>
      <c r="AC271" s="295">
        <v>0</v>
      </c>
      <c r="AD271">
        <f>SUMPRODUCT(DB_STProjectAcct[[#This Row],[Plan01]:[Plan12]],$F$14:$Q$14)/valUnits2</f>
        <v>22.071764000000002</v>
      </c>
      <c r="AE271">
        <f>SUMPRODUCT(DB_STProjectAcct[[#This Row],[Act01]:[Act12]],$R$14:$AC$14)/valUnits2</f>
        <v>8.4124399999999984</v>
      </c>
      <c r="AF271">
        <f>DB_STProjectAcct[[#This Row],[Actual]]-DB_STProjectAcct[[#This Row],[Plan]]</f>
        <v>-13.659324000000003</v>
      </c>
      <c r="AG271">
        <f>IF(DB_STProjectAcct[[#This Row],[Plan]]&lt;&gt;0,DB_STProjectAcct[[#This Row],[Actual]]/DB_STProjectAcct[[#This Row],[Plan]],1.000011000011)</f>
        <v>0.38114035652066586</v>
      </c>
    </row>
    <row r="272" spans="1:33" hidden="1" x14ac:dyDescent="0.2">
      <c r="A272" t="s">
        <v>1259</v>
      </c>
      <c r="B272" t="s">
        <v>345</v>
      </c>
      <c r="C272" t="s">
        <v>513</v>
      </c>
      <c r="D272" t="s">
        <v>996</v>
      </c>
      <c r="E272" t="s">
        <v>143</v>
      </c>
      <c r="AC272" s="297"/>
      <c r="AD272">
        <f>SUMPRODUCT(DB_STProjectAcct[[#This Row],[Plan01]:[Plan12]],$F$14:$Q$14)/valUnits2</f>
        <v>0</v>
      </c>
      <c r="AE272">
        <f>SUMPRODUCT(DB_STProjectAcct[[#This Row],[Act01]:[Act12]],$R$14:$AC$14)/valUnits2</f>
        <v>0</v>
      </c>
      <c r="AF272">
        <f>DB_STProjectAcct[[#This Row],[Actual]]-DB_STProjectAcct[[#This Row],[Plan]]</f>
        <v>0</v>
      </c>
      <c r="AG272">
        <f>IF(DB_STProjectAcct[[#This Row],[Plan]]&lt;&gt;0,DB_STProjectAcct[[#This Row],[Actual]]/DB_STProjectAcct[[#This Row],[Plan]],1.000011000011)</f>
        <v>1.0000110000110001</v>
      </c>
    </row>
    <row r="273" spans="1:33" hidden="1" x14ac:dyDescent="0.2">
      <c r="A273" t="s">
        <v>1260</v>
      </c>
      <c r="B273" t="s">
        <v>345</v>
      </c>
      <c r="C273" t="s">
        <v>513</v>
      </c>
      <c r="D273" t="s">
        <v>996</v>
      </c>
      <c r="E273" t="s">
        <v>235</v>
      </c>
      <c r="H273">
        <v>44.423000000000002</v>
      </c>
      <c r="I273">
        <v>0</v>
      </c>
      <c r="J273">
        <v>687.40200000000004</v>
      </c>
      <c r="T273">
        <v>44.42</v>
      </c>
      <c r="U273">
        <v>0</v>
      </c>
      <c r="V273">
        <v>681.48</v>
      </c>
      <c r="AC273" s="295"/>
      <c r="AD273">
        <f>SUMPRODUCT(DB_STProjectAcct[[#This Row],[Plan01]:[Plan12]],$F$14:$Q$14)/valUnits2</f>
        <v>0.73182500000000006</v>
      </c>
      <c r="AE273">
        <f>SUMPRODUCT(DB_STProjectAcct[[#This Row],[Act01]:[Act12]],$R$14:$AC$14)/valUnits2</f>
        <v>0.72589999999999999</v>
      </c>
      <c r="AF273">
        <f>DB_STProjectAcct[[#This Row],[Actual]]-DB_STProjectAcct[[#This Row],[Plan]]</f>
        <v>-5.9250000000000691E-3</v>
      </c>
      <c r="AG273">
        <f>IF(DB_STProjectAcct[[#This Row],[Plan]]&lt;&gt;0,DB_STProjectAcct[[#This Row],[Actual]]/DB_STProjectAcct[[#This Row],[Plan]],1.000011000011)</f>
        <v>0.99190380213848928</v>
      </c>
    </row>
    <row r="274" spans="1:33" hidden="1" x14ac:dyDescent="0.2">
      <c r="A274" t="s">
        <v>1261</v>
      </c>
      <c r="B274" t="s">
        <v>345</v>
      </c>
      <c r="C274" t="s">
        <v>513</v>
      </c>
      <c r="D274" t="s">
        <v>996</v>
      </c>
      <c r="E274" t="s">
        <v>144</v>
      </c>
      <c r="AC274" s="297"/>
      <c r="AD274">
        <f>SUMPRODUCT(DB_STProjectAcct[[#This Row],[Plan01]:[Plan12]],$F$14:$Q$14)/valUnits2</f>
        <v>0</v>
      </c>
      <c r="AE274">
        <f>SUMPRODUCT(DB_STProjectAcct[[#This Row],[Act01]:[Act12]],$R$14:$AC$14)/valUnits2</f>
        <v>0</v>
      </c>
      <c r="AF274">
        <f>DB_STProjectAcct[[#This Row],[Actual]]-DB_STProjectAcct[[#This Row],[Plan]]</f>
        <v>0</v>
      </c>
      <c r="AG274">
        <f>IF(DB_STProjectAcct[[#This Row],[Plan]]&lt;&gt;0,DB_STProjectAcct[[#This Row],[Actual]]/DB_STProjectAcct[[#This Row],[Plan]],1.000011000011)</f>
        <v>1.0000110000110001</v>
      </c>
    </row>
    <row r="275" spans="1:33" hidden="1" x14ac:dyDescent="0.2">
      <c r="A275" t="s">
        <v>1262</v>
      </c>
      <c r="B275" t="s">
        <v>345</v>
      </c>
      <c r="C275" t="s">
        <v>513</v>
      </c>
      <c r="D275" t="s">
        <v>996</v>
      </c>
      <c r="E275" t="s">
        <v>142</v>
      </c>
      <c r="AC275" s="295"/>
      <c r="AD275">
        <f>SUMPRODUCT(DB_STProjectAcct[[#This Row],[Plan01]:[Plan12]],$F$14:$Q$14)/valUnits2</f>
        <v>0</v>
      </c>
      <c r="AE275">
        <f>SUMPRODUCT(DB_STProjectAcct[[#This Row],[Act01]:[Act12]],$R$14:$AC$14)/valUnits2</f>
        <v>0</v>
      </c>
      <c r="AF275">
        <f>DB_STProjectAcct[[#This Row],[Actual]]-DB_STProjectAcct[[#This Row],[Plan]]</f>
        <v>0</v>
      </c>
      <c r="AG275">
        <f>IF(DB_STProjectAcct[[#This Row],[Plan]]&lt;&gt;0,DB_STProjectAcct[[#This Row],[Actual]]/DB_STProjectAcct[[#This Row],[Plan]],1.000011000011)</f>
        <v>1.0000110000110001</v>
      </c>
    </row>
    <row r="276" spans="1:33" hidden="1" x14ac:dyDescent="0.2">
      <c r="A276" t="s">
        <v>1263</v>
      </c>
      <c r="B276" t="s">
        <v>345</v>
      </c>
      <c r="C276" t="s">
        <v>513</v>
      </c>
      <c r="D276" t="s">
        <v>996</v>
      </c>
      <c r="E276" t="s">
        <v>140</v>
      </c>
      <c r="F276">
        <v>383.459</v>
      </c>
      <c r="G276">
        <v>1554.152</v>
      </c>
      <c r="H276">
        <v>3261.7560000000003</v>
      </c>
      <c r="I276">
        <v>17247.447000000004</v>
      </c>
      <c r="J276">
        <v>1721.9430000000002</v>
      </c>
      <c r="R276">
        <v>383.46</v>
      </c>
      <c r="S276">
        <v>1554.14</v>
      </c>
      <c r="T276">
        <v>3243.6499999999996</v>
      </c>
      <c r="U276">
        <v>13495.270000000002</v>
      </c>
      <c r="V276">
        <v>1855.2800000000002</v>
      </c>
      <c r="AC276" s="297"/>
      <c r="AD276">
        <f>SUMPRODUCT(DB_STProjectAcct[[#This Row],[Plan01]:[Plan12]],$F$14:$Q$14)/valUnits2</f>
        <v>24.168757000000006</v>
      </c>
      <c r="AE276">
        <f>SUMPRODUCT(DB_STProjectAcct[[#This Row],[Act01]:[Act12]],$R$14:$AC$14)/valUnits2</f>
        <v>20.531800000000004</v>
      </c>
      <c r="AF276">
        <f>DB_STProjectAcct[[#This Row],[Actual]]-DB_STProjectAcct[[#This Row],[Plan]]</f>
        <v>-3.6369570000000024</v>
      </c>
      <c r="AG276">
        <f>IF(DB_STProjectAcct[[#This Row],[Plan]]&lt;&gt;0,DB_STProjectAcct[[#This Row],[Actual]]/DB_STProjectAcct[[#This Row],[Plan]],1.000011000011)</f>
        <v>0.8495182437392208</v>
      </c>
    </row>
    <row r="277" spans="1:33" hidden="1" x14ac:dyDescent="0.2">
      <c r="A277" t="s">
        <v>1264</v>
      </c>
      <c r="B277" t="s">
        <v>345</v>
      </c>
      <c r="C277" t="s">
        <v>513</v>
      </c>
      <c r="D277" t="s">
        <v>996</v>
      </c>
      <c r="E277" t="s">
        <v>236</v>
      </c>
      <c r="H277">
        <v>826.154</v>
      </c>
      <c r="I277">
        <v>0</v>
      </c>
      <c r="T277">
        <v>826.15</v>
      </c>
      <c r="U277">
        <v>0</v>
      </c>
      <c r="AC277" s="295"/>
      <c r="AD277">
        <f>SUMPRODUCT(DB_STProjectAcct[[#This Row],[Plan01]:[Plan12]],$F$14:$Q$14)/valUnits2</f>
        <v>0.82615399999999994</v>
      </c>
      <c r="AE277">
        <f>SUMPRODUCT(DB_STProjectAcct[[#This Row],[Act01]:[Act12]],$R$14:$AC$14)/valUnits2</f>
        <v>0.82614999999999994</v>
      </c>
      <c r="AF277">
        <f>DB_STProjectAcct[[#This Row],[Actual]]-DB_STProjectAcct[[#This Row],[Plan]]</f>
        <v>-4.0000000000040004E-6</v>
      </c>
      <c r="AG277">
        <f>IF(DB_STProjectAcct[[#This Row],[Plan]]&lt;&gt;0,DB_STProjectAcct[[#This Row],[Actual]]/DB_STProjectAcct[[#This Row],[Plan]],1.000011000011)</f>
        <v>0.99999515828768004</v>
      </c>
    </row>
    <row r="278" spans="1:33" hidden="1" x14ac:dyDescent="0.2">
      <c r="A278" t="s">
        <v>1265</v>
      </c>
      <c r="B278" t="s">
        <v>345</v>
      </c>
      <c r="C278" t="s">
        <v>513</v>
      </c>
      <c r="D278" t="s">
        <v>996</v>
      </c>
      <c r="E278" t="s">
        <v>237</v>
      </c>
      <c r="J278">
        <v>0</v>
      </c>
      <c r="V278">
        <v>0</v>
      </c>
      <c r="AC278" s="297"/>
      <c r="AD278">
        <f>SUMPRODUCT(DB_STProjectAcct[[#This Row],[Plan01]:[Plan12]],$F$14:$Q$14)/valUnits2</f>
        <v>0</v>
      </c>
      <c r="AE278">
        <f>SUMPRODUCT(DB_STProjectAcct[[#This Row],[Act01]:[Act12]],$R$14:$AC$14)/valUnits2</f>
        <v>0</v>
      </c>
      <c r="AF278">
        <f>DB_STProjectAcct[[#This Row],[Actual]]-DB_STProjectAcct[[#This Row],[Plan]]</f>
        <v>0</v>
      </c>
      <c r="AG278">
        <f>IF(DB_STProjectAcct[[#This Row],[Plan]]&lt;&gt;0,DB_STProjectAcct[[#This Row],[Actual]]/DB_STProjectAcct[[#This Row],[Plan]],1.000011000011)</f>
        <v>1.0000110000110001</v>
      </c>
    </row>
    <row r="279" spans="1:33" hidden="1" x14ac:dyDescent="0.2">
      <c r="A279" t="s">
        <v>1266</v>
      </c>
      <c r="B279" t="s">
        <v>345</v>
      </c>
      <c r="C279" t="s">
        <v>513</v>
      </c>
      <c r="D279" t="s">
        <v>996</v>
      </c>
      <c r="E279" t="s">
        <v>141</v>
      </c>
      <c r="F279">
        <v>83.542000000000002</v>
      </c>
      <c r="G279">
        <v>86.034000000000006</v>
      </c>
      <c r="H279">
        <v>1270.5949999999998</v>
      </c>
      <c r="I279">
        <v>16.885999999999999</v>
      </c>
      <c r="J279">
        <v>0</v>
      </c>
      <c r="R279">
        <v>0</v>
      </c>
      <c r="S279">
        <v>1.27</v>
      </c>
      <c r="T279">
        <v>1184.2</v>
      </c>
      <c r="U279">
        <v>16.98</v>
      </c>
      <c r="V279">
        <v>0</v>
      </c>
      <c r="AC279" s="295"/>
      <c r="AD279">
        <f>SUMPRODUCT(DB_STProjectAcct[[#This Row],[Plan01]:[Plan12]],$F$14:$Q$14)/valUnits2</f>
        <v>1.4570569999999998</v>
      </c>
      <c r="AE279">
        <f>SUMPRODUCT(DB_STProjectAcct[[#This Row],[Act01]:[Act12]],$R$14:$AC$14)/valUnits2</f>
        <v>1.20245</v>
      </c>
      <c r="AF279">
        <f>DB_STProjectAcct[[#This Row],[Actual]]-DB_STProjectAcct[[#This Row],[Plan]]</f>
        <v>-0.25460699999999981</v>
      </c>
      <c r="AG279">
        <f>IF(DB_STProjectAcct[[#This Row],[Plan]]&lt;&gt;0,DB_STProjectAcct[[#This Row],[Actual]]/DB_STProjectAcct[[#This Row],[Plan]],1.000011000011)</f>
        <v>0.8252594098926811</v>
      </c>
    </row>
    <row r="280" spans="1:33" hidden="1" x14ac:dyDescent="0.2">
      <c r="A280" t="s">
        <v>1267</v>
      </c>
      <c r="B280" t="s">
        <v>345</v>
      </c>
      <c r="C280" t="s">
        <v>514</v>
      </c>
      <c r="D280" t="s">
        <v>951</v>
      </c>
      <c r="E280" t="s">
        <v>143</v>
      </c>
      <c r="AC280" s="297"/>
      <c r="AD280">
        <f>SUMPRODUCT(DB_STProjectAcct[[#This Row],[Plan01]:[Plan12]],$F$14:$Q$14)/valUnits2</f>
        <v>0</v>
      </c>
      <c r="AE280">
        <f>SUMPRODUCT(DB_STProjectAcct[[#This Row],[Act01]:[Act12]],$R$14:$AC$14)/valUnits2</f>
        <v>0</v>
      </c>
      <c r="AF280">
        <f>DB_STProjectAcct[[#This Row],[Actual]]-DB_STProjectAcct[[#This Row],[Plan]]</f>
        <v>0</v>
      </c>
      <c r="AG280">
        <f>IF(DB_STProjectAcct[[#This Row],[Plan]]&lt;&gt;0,DB_STProjectAcct[[#This Row],[Actual]]/DB_STProjectAcct[[#This Row],[Plan]],1.000011000011)</f>
        <v>1.0000110000110001</v>
      </c>
    </row>
    <row r="281" spans="1:33" hidden="1" x14ac:dyDescent="0.2">
      <c r="A281" t="s">
        <v>1268</v>
      </c>
      <c r="B281" t="s">
        <v>345</v>
      </c>
      <c r="C281" t="s">
        <v>514</v>
      </c>
      <c r="D281" t="s">
        <v>951</v>
      </c>
      <c r="E281" t="s">
        <v>235</v>
      </c>
      <c r="AC281" s="295"/>
      <c r="AD281">
        <f>SUMPRODUCT(DB_STProjectAcct[[#This Row],[Plan01]:[Plan12]],$F$14:$Q$14)/valUnits2</f>
        <v>0</v>
      </c>
      <c r="AE281">
        <f>SUMPRODUCT(DB_STProjectAcct[[#This Row],[Act01]:[Act12]],$R$14:$AC$14)/valUnits2</f>
        <v>0</v>
      </c>
      <c r="AF281">
        <f>DB_STProjectAcct[[#This Row],[Actual]]-DB_STProjectAcct[[#This Row],[Plan]]</f>
        <v>0</v>
      </c>
      <c r="AG281">
        <f>IF(DB_STProjectAcct[[#This Row],[Plan]]&lt;&gt;0,DB_STProjectAcct[[#This Row],[Actual]]/DB_STProjectAcct[[#This Row],[Plan]],1.000011000011)</f>
        <v>1.0000110000110001</v>
      </c>
    </row>
    <row r="282" spans="1:33" hidden="1" x14ac:dyDescent="0.2">
      <c r="A282" t="s">
        <v>1269</v>
      </c>
      <c r="B282" t="s">
        <v>345</v>
      </c>
      <c r="C282" t="s">
        <v>514</v>
      </c>
      <c r="D282" t="s">
        <v>951</v>
      </c>
      <c r="E282" t="s">
        <v>144</v>
      </c>
      <c r="AC282" s="297"/>
      <c r="AD282">
        <f>SUMPRODUCT(DB_STProjectAcct[[#This Row],[Plan01]:[Plan12]],$F$14:$Q$14)/valUnits2</f>
        <v>0</v>
      </c>
      <c r="AE282">
        <f>SUMPRODUCT(DB_STProjectAcct[[#This Row],[Act01]:[Act12]],$R$14:$AC$14)/valUnits2</f>
        <v>0</v>
      </c>
      <c r="AF282">
        <f>DB_STProjectAcct[[#This Row],[Actual]]-DB_STProjectAcct[[#This Row],[Plan]]</f>
        <v>0</v>
      </c>
      <c r="AG282">
        <f>IF(DB_STProjectAcct[[#This Row],[Plan]]&lt;&gt;0,DB_STProjectAcct[[#This Row],[Actual]]/DB_STProjectAcct[[#This Row],[Plan]],1.000011000011)</f>
        <v>1.0000110000110001</v>
      </c>
    </row>
    <row r="283" spans="1:33" hidden="1" x14ac:dyDescent="0.2">
      <c r="A283" t="s">
        <v>1270</v>
      </c>
      <c r="B283" t="s">
        <v>345</v>
      </c>
      <c r="C283" t="s">
        <v>514</v>
      </c>
      <c r="D283" t="s">
        <v>951</v>
      </c>
      <c r="E283" t="s">
        <v>142</v>
      </c>
      <c r="AC283" s="295"/>
      <c r="AD283">
        <f>SUMPRODUCT(DB_STProjectAcct[[#This Row],[Plan01]:[Plan12]],$F$14:$Q$14)/valUnits2</f>
        <v>0</v>
      </c>
      <c r="AE283">
        <f>SUMPRODUCT(DB_STProjectAcct[[#This Row],[Act01]:[Act12]],$R$14:$AC$14)/valUnits2</f>
        <v>0</v>
      </c>
      <c r="AF283">
        <f>DB_STProjectAcct[[#This Row],[Actual]]-DB_STProjectAcct[[#This Row],[Plan]]</f>
        <v>0</v>
      </c>
      <c r="AG283">
        <f>IF(DB_STProjectAcct[[#This Row],[Plan]]&lt;&gt;0,DB_STProjectAcct[[#This Row],[Actual]]/DB_STProjectAcct[[#This Row],[Plan]],1.000011000011)</f>
        <v>1.0000110000110001</v>
      </c>
    </row>
    <row r="284" spans="1:33" hidden="1" x14ac:dyDescent="0.2">
      <c r="A284" t="s">
        <v>1271</v>
      </c>
      <c r="B284" t="s">
        <v>345</v>
      </c>
      <c r="C284" t="s">
        <v>514</v>
      </c>
      <c r="D284" t="s">
        <v>951</v>
      </c>
      <c r="E284" t="s">
        <v>140</v>
      </c>
      <c r="H284">
        <v>942.30700000000002</v>
      </c>
      <c r="I284">
        <v>11574.745000000001</v>
      </c>
      <c r="T284">
        <v>936.19</v>
      </c>
      <c r="U284">
        <v>11651.449999999999</v>
      </c>
      <c r="AC284" s="297"/>
      <c r="AD284">
        <f>SUMPRODUCT(DB_STProjectAcct[[#This Row],[Plan01]:[Plan12]],$F$14:$Q$14)/valUnits2</f>
        <v>12.517052000000001</v>
      </c>
      <c r="AE284">
        <f>SUMPRODUCT(DB_STProjectAcct[[#This Row],[Act01]:[Act12]],$R$14:$AC$14)/valUnits2</f>
        <v>12.587639999999999</v>
      </c>
      <c r="AF284">
        <f>DB_STProjectAcct[[#This Row],[Actual]]-DB_STProjectAcct[[#This Row],[Plan]]</f>
        <v>7.0587999999997209E-2</v>
      </c>
      <c r="AG284">
        <f>IF(DB_STProjectAcct[[#This Row],[Plan]]&lt;&gt;0,DB_STProjectAcct[[#This Row],[Actual]]/DB_STProjectAcct[[#This Row],[Plan]],1.000011000011)</f>
        <v>1.0056393470283576</v>
      </c>
    </row>
    <row r="285" spans="1:33" hidden="1" x14ac:dyDescent="0.2">
      <c r="A285" t="s">
        <v>1272</v>
      </c>
      <c r="B285" t="s">
        <v>345</v>
      </c>
      <c r="C285" t="s">
        <v>514</v>
      </c>
      <c r="D285" t="s">
        <v>951</v>
      </c>
      <c r="E285" t="s">
        <v>236</v>
      </c>
      <c r="AC285" s="295"/>
      <c r="AD285">
        <f>SUMPRODUCT(DB_STProjectAcct[[#This Row],[Plan01]:[Plan12]],$F$14:$Q$14)/valUnits2</f>
        <v>0</v>
      </c>
      <c r="AE285">
        <f>SUMPRODUCT(DB_STProjectAcct[[#This Row],[Act01]:[Act12]],$R$14:$AC$14)/valUnits2</f>
        <v>0</v>
      </c>
      <c r="AF285">
        <f>DB_STProjectAcct[[#This Row],[Actual]]-DB_STProjectAcct[[#This Row],[Plan]]</f>
        <v>0</v>
      </c>
      <c r="AG285">
        <f>IF(DB_STProjectAcct[[#This Row],[Plan]]&lt;&gt;0,DB_STProjectAcct[[#This Row],[Actual]]/DB_STProjectAcct[[#This Row],[Plan]],1.000011000011)</f>
        <v>1.0000110000110001</v>
      </c>
    </row>
    <row r="286" spans="1:33" hidden="1" x14ac:dyDescent="0.2">
      <c r="A286" t="s">
        <v>1273</v>
      </c>
      <c r="B286" t="s">
        <v>345</v>
      </c>
      <c r="C286" t="s">
        <v>514</v>
      </c>
      <c r="D286" t="s">
        <v>951</v>
      </c>
      <c r="E286" t="s">
        <v>237</v>
      </c>
      <c r="AC286" s="297"/>
      <c r="AD286">
        <f>SUMPRODUCT(DB_STProjectAcct[[#This Row],[Plan01]:[Plan12]],$F$14:$Q$14)/valUnits2</f>
        <v>0</v>
      </c>
      <c r="AE286">
        <f>SUMPRODUCT(DB_STProjectAcct[[#This Row],[Act01]:[Act12]],$R$14:$AC$14)/valUnits2</f>
        <v>0</v>
      </c>
      <c r="AF286">
        <f>DB_STProjectAcct[[#This Row],[Actual]]-DB_STProjectAcct[[#This Row],[Plan]]</f>
        <v>0</v>
      </c>
      <c r="AG286">
        <f>IF(DB_STProjectAcct[[#This Row],[Plan]]&lt;&gt;0,DB_STProjectAcct[[#This Row],[Actual]]/DB_STProjectAcct[[#This Row],[Plan]],1.000011000011)</f>
        <v>1.0000110000110001</v>
      </c>
    </row>
    <row r="287" spans="1:33" hidden="1" x14ac:dyDescent="0.2">
      <c r="A287" t="s">
        <v>1274</v>
      </c>
      <c r="B287" t="s">
        <v>345</v>
      </c>
      <c r="C287" t="s">
        <v>514</v>
      </c>
      <c r="D287" t="s">
        <v>951</v>
      </c>
      <c r="E287" t="s">
        <v>141</v>
      </c>
      <c r="AC287" s="295"/>
      <c r="AD287">
        <f>SUMPRODUCT(DB_STProjectAcct[[#This Row],[Plan01]:[Plan12]],$F$14:$Q$14)/valUnits2</f>
        <v>0</v>
      </c>
      <c r="AE287">
        <f>SUMPRODUCT(DB_STProjectAcct[[#This Row],[Act01]:[Act12]],$R$14:$AC$14)/valUnits2</f>
        <v>0</v>
      </c>
      <c r="AF287">
        <f>DB_STProjectAcct[[#This Row],[Actual]]-DB_STProjectAcct[[#This Row],[Plan]]</f>
        <v>0</v>
      </c>
      <c r="AG287">
        <f>IF(DB_STProjectAcct[[#This Row],[Plan]]&lt;&gt;0,DB_STProjectAcct[[#This Row],[Actual]]/DB_STProjectAcct[[#This Row],[Plan]],1.000011000011)</f>
        <v>1.0000110000110001</v>
      </c>
    </row>
    <row r="288" spans="1:33" hidden="1" x14ac:dyDescent="0.2">
      <c r="A288" t="s">
        <v>1275</v>
      </c>
      <c r="B288" t="s">
        <v>346</v>
      </c>
      <c r="C288" t="s">
        <v>515</v>
      </c>
      <c r="D288" t="s">
        <v>955</v>
      </c>
      <c r="E288" t="s">
        <v>143</v>
      </c>
      <c r="F288">
        <v>0</v>
      </c>
      <c r="H288">
        <v>118.50700000000001</v>
      </c>
      <c r="I288">
        <v>0</v>
      </c>
      <c r="J288">
        <v>20.068999999999999</v>
      </c>
      <c r="K288">
        <v>1165.2350000000001</v>
      </c>
      <c r="L288">
        <v>64.296999999999997</v>
      </c>
      <c r="M288">
        <v>64.296999999999997</v>
      </c>
      <c r="N288">
        <v>64.296999999999997</v>
      </c>
      <c r="O288">
        <v>64.296999999999997</v>
      </c>
      <c r="P288">
        <v>64.296999999999997</v>
      </c>
      <c r="R288">
        <v>0</v>
      </c>
      <c r="T288">
        <v>119.58</v>
      </c>
      <c r="U288">
        <v>0</v>
      </c>
      <c r="V288">
        <v>20.399999999999999</v>
      </c>
      <c r="W288">
        <v>240.92000000000002</v>
      </c>
      <c r="X288">
        <v>0</v>
      </c>
      <c r="Y288">
        <v>0</v>
      </c>
      <c r="Z288">
        <v>0</v>
      </c>
      <c r="AA288">
        <v>0</v>
      </c>
      <c r="AB288">
        <v>0</v>
      </c>
      <c r="AC288" s="297"/>
      <c r="AD288">
        <f>SUMPRODUCT(DB_STProjectAcct[[#This Row],[Plan01]:[Plan12]],$F$14:$Q$14)/valUnits2</f>
        <v>1.3038110000000001</v>
      </c>
      <c r="AE288">
        <f>SUMPRODUCT(DB_STProjectAcct[[#This Row],[Act01]:[Act12]],$R$14:$AC$14)/valUnits2</f>
        <v>0.38089999999999996</v>
      </c>
      <c r="AF288">
        <f>DB_STProjectAcct[[#This Row],[Actual]]-DB_STProjectAcct[[#This Row],[Plan]]</f>
        <v>-0.92291100000000004</v>
      </c>
      <c r="AG288">
        <f>IF(DB_STProjectAcct[[#This Row],[Plan]]&lt;&gt;0,DB_STProjectAcct[[#This Row],[Actual]]/DB_STProjectAcct[[#This Row],[Plan]],1.000011000011)</f>
        <v>0.29214356988858042</v>
      </c>
    </row>
    <row r="289" spans="1:33" hidden="1" x14ac:dyDescent="0.2">
      <c r="A289" t="s">
        <v>1276</v>
      </c>
      <c r="B289" t="s">
        <v>346</v>
      </c>
      <c r="C289" t="s">
        <v>515</v>
      </c>
      <c r="D289" t="s">
        <v>955</v>
      </c>
      <c r="E289" t="s">
        <v>235</v>
      </c>
      <c r="F289">
        <v>0</v>
      </c>
      <c r="H289">
        <v>10.483000000000001</v>
      </c>
      <c r="I289">
        <v>0</v>
      </c>
      <c r="J289">
        <v>0</v>
      </c>
      <c r="K289">
        <v>61.29</v>
      </c>
      <c r="R289">
        <v>0</v>
      </c>
      <c r="T289">
        <v>10.69</v>
      </c>
      <c r="U289">
        <v>0</v>
      </c>
      <c r="V289">
        <v>0</v>
      </c>
      <c r="W289">
        <v>174.71</v>
      </c>
      <c r="AC289" s="295"/>
      <c r="AD289">
        <f>SUMPRODUCT(DB_STProjectAcct[[#This Row],[Plan01]:[Plan12]],$F$14:$Q$14)/valUnits2</f>
        <v>7.177299999999999E-2</v>
      </c>
      <c r="AE289">
        <f>SUMPRODUCT(DB_STProjectAcct[[#This Row],[Act01]:[Act12]],$R$14:$AC$14)/valUnits2</f>
        <v>0.18540000000000001</v>
      </c>
      <c r="AF289">
        <f>DB_STProjectAcct[[#This Row],[Actual]]-DB_STProjectAcct[[#This Row],[Plan]]</f>
        <v>0.11362700000000002</v>
      </c>
      <c r="AG289">
        <f>IF(DB_STProjectAcct[[#This Row],[Plan]]&lt;&gt;0,DB_STProjectAcct[[#This Row],[Actual]]/DB_STProjectAcct[[#This Row],[Plan]],1.000011000011)</f>
        <v>2.5831440792498577</v>
      </c>
    </row>
    <row r="290" spans="1:33" hidden="1" x14ac:dyDescent="0.2">
      <c r="A290" t="s">
        <v>1277</v>
      </c>
      <c r="B290" t="s">
        <v>346</v>
      </c>
      <c r="C290" t="s">
        <v>515</v>
      </c>
      <c r="D290" t="s">
        <v>955</v>
      </c>
      <c r="E290" t="s">
        <v>144</v>
      </c>
      <c r="AC290" s="297"/>
      <c r="AD290">
        <f>SUMPRODUCT(DB_STProjectAcct[[#This Row],[Plan01]:[Plan12]],$F$14:$Q$14)/valUnits2</f>
        <v>0</v>
      </c>
      <c r="AE290">
        <f>SUMPRODUCT(DB_STProjectAcct[[#This Row],[Act01]:[Act12]],$R$14:$AC$14)/valUnits2</f>
        <v>0</v>
      </c>
      <c r="AF290">
        <f>DB_STProjectAcct[[#This Row],[Actual]]-DB_STProjectAcct[[#This Row],[Plan]]</f>
        <v>0</v>
      </c>
      <c r="AG290">
        <f>IF(DB_STProjectAcct[[#This Row],[Plan]]&lt;&gt;0,DB_STProjectAcct[[#This Row],[Actual]]/DB_STProjectAcct[[#This Row],[Plan]],1.000011000011)</f>
        <v>1.0000110000110001</v>
      </c>
    </row>
    <row r="291" spans="1:33" hidden="1" x14ac:dyDescent="0.2">
      <c r="A291" t="s">
        <v>1278</v>
      </c>
      <c r="B291" t="s">
        <v>346</v>
      </c>
      <c r="C291" t="s">
        <v>515</v>
      </c>
      <c r="D291" t="s">
        <v>955</v>
      </c>
      <c r="E291" t="s">
        <v>142</v>
      </c>
      <c r="F291">
        <v>145.3410000000045</v>
      </c>
      <c r="G291">
        <v>0</v>
      </c>
      <c r="H291">
        <v>0</v>
      </c>
      <c r="I291">
        <v>32760.712</v>
      </c>
      <c r="J291">
        <v>-4.5474735088646412E-13</v>
      </c>
      <c r="K291">
        <v>26905.763999999999</v>
      </c>
      <c r="L291">
        <v>22347.012000000002</v>
      </c>
      <c r="M291">
        <v>24605.393</v>
      </c>
      <c r="N291">
        <v>28248.804</v>
      </c>
      <c r="O291">
        <v>28106.383999999998</v>
      </c>
      <c r="P291">
        <v>28307.957000000002</v>
      </c>
      <c r="R291">
        <v>143.18999999999505</v>
      </c>
      <c r="S291">
        <v>0</v>
      </c>
      <c r="T291">
        <v>0</v>
      </c>
      <c r="U291">
        <v>32629.68</v>
      </c>
      <c r="V291">
        <v>0</v>
      </c>
      <c r="W291">
        <v>93852.580000000016</v>
      </c>
      <c r="X291">
        <v>0</v>
      </c>
      <c r="Y291">
        <v>0</v>
      </c>
      <c r="Z291">
        <v>0</v>
      </c>
      <c r="AA291">
        <v>0</v>
      </c>
      <c r="AB291">
        <v>0</v>
      </c>
      <c r="AC291" s="295"/>
      <c r="AD291">
        <f>SUMPRODUCT(DB_STProjectAcct[[#This Row],[Plan01]:[Plan12]],$F$14:$Q$14)/valUnits2</f>
        <v>59.811817000000012</v>
      </c>
      <c r="AE291">
        <f>SUMPRODUCT(DB_STProjectAcct[[#This Row],[Act01]:[Act12]],$R$14:$AC$14)/valUnits2</f>
        <v>126.62545000000001</v>
      </c>
      <c r="AF291">
        <f>DB_STProjectAcct[[#This Row],[Actual]]-DB_STProjectAcct[[#This Row],[Plan]]</f>
        <v>66.81363300000001</v>
      </c>
      <c r="AG291">
        <f>IF(DB_STProjectAcct[[#This Row],[Plan]]&lt;&gt;0,DB_STProjectAcct[[#This Row],[Actual]]/DB_STProjectAcct[[#This Row],[Plan]],1.000011000011)</f>
        <v>2.1170640911978982</v>
      </c>
    </row>
    <row r="292" spans="1:33" hidden="1" x14ac:dyDescent="0.2">
      <c r="A292" t="s">
        <v>1279</v>
      </c>
      <c r="B292" t="s">
        <v>346</v>
      </c>
      <c r="C292" t="s">
        <v>515</v>
      </c>
      <c r="D292" t="s">
        <v>955</v>
      </c>
      <c r="E292" t="s">
        <v>140</v>
      </c>
      <c r="F292">
        <v>2219.7640000000001</v>
      </c>
      <c r="G292">
        <v>6045.0479999999998</v>
      </c>
      <c r="H292">
        <v>4328.7790000000005</v>
      </c>
      <c r="I292">
        <v>15725.263999999999</v>
      </c>
      <c r="J292">
        <v>8415.0030000000006</v>
      </c>
      <c r="K292">
        <v>10017.149000000001</v>
      </c>
      <c r="L292">
        <v>9191.9880000000012</v>
      </c>
      <c r="M292">
        <v>9191.9880000000012</v>
      </c>
      <c r="N292">
        <v>9191.9880000000012</v>
      </c>
      <c r="O292">
        <v>9191.9880000000012</v>
      </c>
      <c r="P292">
        <v>9191.9880000000012</v>
      </c>
      <c r="R292">
        <v>2242.41</v>
      </c>
      <c r="S292">
        <v>6143.85</v>
      </c>
      <c r="T292">
        <v>4366.34</v>
      </c>
      <c r="U292">
        <v>15541.47</v>
      </c>
      <c r="V292">
        <v>8537.6200000000008</v>
      </c>
      <c r="W292">
        <v>23403.709999999995</v>
      </c>
      <c r="X292">
        <v>0</v>
      </c>
      <c r="Y292">
        <v>0</v>
      </c>
      <c r="Z292">
        <v>0</v>
      </c>
      <c r="AA292">
        <v>0</v>
      </c>
      <c r="AB292">
        <v>0</v>
      </c>
      <c r="AC292" s="297"/>
      <c r="AD292">
        <f>SUMPRODUCT(DB_STProjectAcct[[#This Row],[Plan01]:[Plan12]],$F$14:$Q$14)/valUnits2</f>
        <v>46.751007000000001</v>
      </c>
      <c r="AE292">
        <f>SUMPRODUCT(DB_STProjectAcct[[#This Row],[Act01]:[Act12]],$R$14:$AC$14)/valUnits2</f>
        <v>60.235399999999991</v>
      </c>
      <c r="AF292">
        <f>DB_STProjectAcct[[#This Row],[Actual]]-DB_STProjectAcct[[#This Row],[Plan]]</f>
        <v>13.48439299999999</v>
      </c>
      <c r="AG292">
        <f>IF(DB_STProjectAcct[[#This Row],[Plan]]&lt;&gt;0,DB_STProjectAcct[[#This Row],[Actual]]/DB_STProjectAcct[[#This Row],[Plan]],1.000011000011)</f>
        <v>1.2884300010906715</v>
      </c>
    </row>
    <row r="293" spans="1:33" hidden="1" x14ac:dyDescent="0.2">
      <c r="A293" t="s">
        <v>1280</v>
      </c>
      <c r="B293" t="s">
        <v>346</v>
      </c>
      <c r="C293" t="s">
        <v>515</v>
      </c>
      <c r="D293" t="s">
        <v>955</v>
      </c>
      <c r="E293" t="s">
        <v>236</v>
      </c>
      <c r="F293">
        <v>10865.946</v>
      </c>
      <c r="H293">
        <v>685.45799999999997</v>
      </c>
      <c r="J293">
        <v>0</v>
      </c>
      <c r="R293">
        <v>10554.01</v>
      </c>
      <c r="T293">
        <v>700.59</v>
      </c>
      <c r="V293">
        <v>0</v>
      </c>
      <c r="AC293" s="295"/>
      <c r="AD293">
        <f>SUMPRODUCT(DB_STProjectAcct[[#This Row],[Plan01]:[Plan12]],$F$14:$Q$14)/valUnits2</f>
        <v>11.551404</v>
      </c>
      <c r="AE293">
        <f>SUMPRODUCT(DB_STProjectAcct[[#This Row],[Act01]:[Act12]],$R$14:$AC$14)/valUnits2</f>
        <v>11.2546</v>
      </c>
      <c r="AF293">
        <f>DB_STProjectAcct[[#This Row],[Actual]]-DB_STProjectAcct[[#This Row],[Plan]]</f>
        <v>-0.29680399999999985</v>
      </c>
      <c r="AG293">
        <f>IF(DB_STProjectAcct[[#This Row],[Plan]]&lt;&gt;0,DB_STProjectAcct[[#This Row],[Actual]]/DB_STProjectAcct[[#This Row],[Plan]],1.000011000011)</f>
        <v>0.9743058073287022</v>
      </c>
    </row>
    <row r="294" spans="1:33" hidden="1" x14ac:dyDescent="0.2">
      <c r="A294" t="s">
        <v>1281</v>
      </c>
      <c r="B294" t="s">
        <v>346</v>
      </c>
      <c r="C294" t="s">
        <v>515</v>
      </c>
      <c r="D294" t="s">
        <v>955</v>
      </c>
      <c r="E294" t="s">
        <v>237</v>
      </c>
      <c r="G294">
        <v>604.40499999999997</v>
      </c>
      <c r="H294">
        <v>4.992</v>
      </c>
      <c r="I294">
        <v>20.335999999999999</v>
      </c>
      <c r="J294">
        <v>177.52200000000002</v>
      </c>
      <c r="K294">
        <v>0</v>
      </c>
      <c r="S294">
        <v>624.84</v>
      </c>
      <c r="T294">
        <v>5.09</v>
      </c>
      <c r="U294">
        <v>20.100000000000001</v>
      </c>
      <c r="V294">
        <v>181.43</v>
      </c>
      <c r="W294">
        <v>5.83</v>
      </c>
      <c r="AC294" s="297"/>
      <c r="AD294">
        <f>SUMPRODUCT(DB_STProjectAcct[[#This Row],[Plan01]:[Plan12]],$F$14:$Q$14)/valUnits2</f>
        <v>0.80725499999999994</v>
      </c>
      <c r="AE294">
        <f>SUMPRODUCT(DB_STProjectAcct[[#This Row],[Act01]:[Act12]],$R$14:$AC$14)/valUnits2</f>
        <v>0.83729000000000009</v>
      </c>
      <c r="AF294">
        <f>DB_STProjectAcct[[#This Row],[Actual]]-DB_STProjectAcct[[#This Row],[Plan]]</f>
        <v>3.0035000000000145E-2</v>
      </c>
      <c r="AG294">
        <f>IF(DB_STProjectAcct[[#This Row],[Plan]]&lt;&gt;0,DB_STProjectAcct[[#This Row],[Actual]]/DB_STProjectAcct[[#This Row],[Plan]],1.000011000011)</f>
        <v>1.0372063350490244</v>
      </c>
    </row>
    <row r="295" spans="1:33" hidden="1" x14ac:dyDescent="0.2">
      <c r="A295" t="s">
        <v>1282</v>
      </c>
      <c r="B295" t="s">
        <v>346</v>
      </c>
      <c r="C295" t="s">
        <v>515</v>
      </c>
      <c r="D295" t="s">
        <v>955</v>
      </c>
      <c r="E295" t="s">
        <v>141</v>
      </c>
      <c r="F295">
        <v>2155.8449999999998</v>
      </c>
      <c r="G295">
        <v>219.64599999999999</v>
      </c>
      <c r="H295">
        <v>1223.1559999999999</v>
      </c>
      <c r="I295">
        <v>12603.863000000001</v>
      </c>
      <c r="J295">
        <v>10823.093000000001</v>
      </c>
      <c r="K295">
        <v>668.19799999999998</v>
      </c>
      <c r="R295">
        <v>2132.5300000000002</v>
      </c>
      <c r="S295">
        <v>225.01000000000002</v>
      </c>
      <c r="T295">
        <v>1244.5</v>
      </c>
      <c r="U295">
        <v>12533.81</v>
      </c>
      <c r="V295">
        <v>10846.949999999997</v>
      </c>
      <c r="W295">
        <v>421.65000000000055</v>
      </c>
      <c r="AC295" s="295"/>
      <c r="AD295">
        <f>SUMPRODUCT(DB_STProjectAcct[[#This Row],[Plan01]:[Plan12]],$F$14:$Q$14)/valUnits2</f>
        <v>27.693801000000004</v>
      </c>
      <c r="AE295">
        <f>SUMPRODUCT(DB_STProjectAcct[[#This Row],[Act01]:[Act12]],$R$14:$AC$14)/valUnits2</f>
        <v>27.404449999999997</v>
      </c>
      <c r="AF295">
        <f>DB_STProjectAcct[[#This Row],[Actual]]-DB_STProjectAcct[[#This Row],[Plan]]</f>
        <v>-0.28935100000000702</v>
      </c>
      <c r="AG295">
        <f>IF(DB_STProjectAcct[[#This Row],[Plan]]&lt;&gt;0,DB_STProjectAcct[[#This Row],[Actual]]/DB_STProjectAcct[[#This Row],[Plan]],1.000011000011)</f>
        <v>0.98955177730929722</v>
      </c>
    </row>
    <row r="296" spans="1:33" hidden="1" x14ac:dyDescent="0.2">
      <c r="A296" t="s">
        <v>1283</v>
      </c>
      <c r="B296" t="s">
        <v>346</v>
      </c>
      <c r="C296" t="s">
        <v>516</v>
      </c>
      <c r="D296" t="s">
        <v>966</v>
      </c>
      <c r="E296" t="s">
        <v>143</v>
      </c>
      <c r="AC296" s="297"/>
      <c r="AD296">
        <f>SUMPRODUCT(DB_STProjectAcct[[#This Row],[Plan01]:[Plan12]],$F$14:$Q$14)/valUnits2</f>
        <v>0</v>
      </c>
      <c r="AE296">
        <f>SUMPRODUCT(DB_STProjectAcct[[#This Row],[Act01]:[Act12]],$R$14:$AC$14)/valUnits2</f>
        <v>0</v>
      </c>
      <c r="AF296">
        <f>DB_STProjectAcct[[#This Row],[Actual]]-DB_STProjectAcct[[#This Row],[Plan]]</f>
        <v>0</v>
      </c>
      <c r="AG296">
        <f>IF(DB_STProjectAcct[[#This Row],[Plan]]&lt;&gt;0,DB_STProjectAcct[[#This Row],[Actual]]/DB_STProjectAcct[[#This Row],[Plan]],1.000011000011)</f>
        <v>1.0000110000110001</v>
      </c>
    </row>
    <row r="297" spans="1:33" hidden="1" x14ac:dyDescent="0.2">
      <c r="A297" t="s">
        <v>1284</v>
      </c>
      <c r="B297" t="s">
        <v>346</v>
      </c>
      <c r="C297" t="s">
        <v>516</v>
      </c>
      <c r="D297" t="s">
        <v>966</v>
      </c>
      <c r="E297" t="s">
        <v>235</v>
      </c>
      <c r="H297">
        <v>0</v>
      </c>
      <c r="I297">
        <v>0</v>
      </c>
      <c r="J297">
        <v>0</v>
      </c>
      <c r="K297">
        <v>50.566000000000003</v>
      </c>
      <c r="T297">
        <v>0</v>
      </c>
      <c r="U297">
        <v>0</v>
      </c>
      <c r="V297">
        <v>0</v>
      </c>
      <c r="W297">
        <v>0</v>
      </c>
      <c r="AC297" s="295"/>
      <c r="AD297">
        <f>SUMPRODUCT(DB_STProjectAcct[[#This Row],[Plan01]:[Plan12]],$F$14:$Q$14)/valUnits2</f>
        <v>5.0566E-2</v>
      </c>
      <c r="AE297">
        <f>SUMPRODUCT(DB_STProjectAcct[[#This Row],[Act01]:[Act12]],$R$14:$AC$14)/valUnits2</f>
        <v>0</v>
      </c>
      <c r="AF297">
        <f>DB_STProjectAcct[[#This Row],[Actual]]-DB_STProjectAcct[[#This Row],[Plan]]</f>
        <v>-5.0566E-2</v>
      </c>
      <c r="AG297">
        <f>IF(DB_STProjectAcct[[#This Row],[Plan]]&lt;&gt;0,DB_STProjectAcct[[#This Row],[Actual]]/DB_STProjectAcct[[#This Row],[Plan]],1.000011000011)</f>
        <v>0</v>
      </c>
    </row>
    <row r="298" spans="1:33" hidden="1" x14ac:dyDescent="0.2">
      <c r="A298" t="s">
        <v>1285</v>
      </c>
      <c r="B298" t="s">
        <v>346</v>
      </c>
      <c r="C298" t="s">
        <v>516</v>
      </c>
      <c r="D298" t="s">
        <v>966</v>
      </c>
      <c r="E298" t="s">
        <v>144</v>
      </c>
      <c r="AC298" s="297"/>
      <c r="AD298">
        <f>SUMPRODUCT(DB_STProjectAcct[[#This Row],[Plan01]:[Plan12]],$F$14:$Q$14)/valUnits2</f>
        <v>0</v>
      </c>
      <c r="AE298">
        <f>SUMPRODUCT(DB_STProjectAcct[[#This Row],[Act01]:[Act12]],$R$14:$AC$14)/valUnits2</f>
        <v>0</v>
      </c>
      <c r="AF298">
        <f>DB_STProjectAcct[[#This Row],[Actual]]-DB_STProjectAcct[[#This Row],[Plan]]</f>
        <v>0</v>
      </c>
      <c r="AG298">
        <f>IF(DB_STProjectAcct[[#This Row],[Plan]]&lt;&gt;0,DB_STProjectAcct[[#This Row],[Actual]]/DB_STProjectAcct[[#This Row],[Plan]],1.000011000011)</f>
        <v>1.0000110000110001</v>
      </c>
    </row>
    <row r="299" spans="1:33" hidden="1" x14ac:dyDescent="0.2">
      <c r="A299" t="s">
        <v>1286</v>
      </c>
      <c r="B299" t="s">
        <v>346</v>
      </c>
      <c r="C299" t="s">
        <v>516</v>
      </c>
      <c r="D299" t="s">
        <v>966</v>
      </c>
      <c r="E299" t="s">
        <v>142</v>
      </c>
      <c r="F299">
        <v>0</v>
      </c>
      <c r="G299">
        <v>0</v>
      </c>
      <c r="H299">
        <v>13631.816999999999</v>
      </c>
      <c r="I299">
        <v>12021.673000000003</v>
      </c>
      <c r="J299">
        <v>-1.0000000000218279E-2</v>
      </c>
      <c r="K299">
        <v>12087.014999999998</v>
      </c>
      <c r="R299">
        <v>0</v>
      </c>
      <c r="S299">
        <v>0</v>
      </c>
      <c r="T299">
        <v>13476</v>
      </c>
      <c r="U299">
        <v>12149.14</v>
      </c>
      <c r="V299">
        <v>-1.0000000001127773E-2</v>
      </c>
      <c r="W299">
        <v>141.00000000000017</v>
      </c>
      <c r="AC299" s="295"/>
      <c r="AD299">
        <f>SUMPRODUCT(DB_STProjectAcct[[#This Row],[Plan01]:[Plan12]],$F$14:$Q$14)/valUnits2</f>
        <v>37.740495000000003</v>
      </c>
      <c r="AE299">
        <f>SUMPRODUCT(DB_STProjectAcct[[#This Row],[Act01]:[Act12]],$R$14:$AC$14)/valUnits2</f>
        <v>25.766129999999997</v>
      </c>
      <c r="AF299">
        <f>DB_STProjectAcct[[#This Row],[Actual]]-DB_STProjectAcct[[#This Row],[Plan]]</f>
        <v>-11.974365000000006</v>
      </c>
      <c r="AG299">
        <f>IF(DB_STProjectAcct[[#This Row],[Plan]]&lt;&gt;0,DB_STProjectAcct[[#This Row],[Actual]]/DB_STProjectAcct[[#This Row],[Plan]],1.000011000011)</f>
        <v>0.68271839041856752</v>
      </c>
    </row>
    <row r="300" spans="1:33" hidden="1" x14ac:dyDescent="0.2">
      <c r="A300" t="s">
        <v>1287</v>
      </c>
      <c r="B300" t="s">
        <v>346</v>
      </c>
      <c r="C300" t="s">
        <v>516</v>
      </c>
      <c r="D300" t="s">
        <v>966</v>
      </c>
      <c r="E300" t="s">
        <v>140</v>
      </c>
      <c r="F300">
        <v>1081.4570000000001</v>
      </c>
      <c r="G300">
        <v>3682.498</v>
      </c>
      <c r="H300">
        <v>2449.2719999999999</v>
      </c>
      <c r="I300">
        <v>4839.2489999999998</v>
      </c>
      <c r="J300">
        <v>2805.422</v>
      </c>
      <c r="K300">
        <v>4859.7359999999999</v>
      </c>
      <c r="R300">
        <v>1091.95</v>
      </c>
      <c r="S300">
        <v>3753.04</v>
      </c>
      <c r="T300">
        <v>2440.08</v>
      </c>
      <c r="U300">
        <v>4825.0200000000004</v>
      </c>
      <c r="V300">
        <v>2862.1399999999994</v>
      </c>
      <c r="W300">
        <v>3112.8500000000004</v>
      </c>
      <c r="AC300" s="297"/>
      <c r="AD300">
        <f>SUMPRODUCT(DB_STProjectAcct[[#This Row],[Plan01]:[Plan12]],$F$14:$Q$14)/valUnits2</f>
        <v>19.717633999999997</v>
      </c>
      <c r="AE300">
        <f>SUMPRODUCT(DB_STProjectAcct[[#This Row],[Act01]:[Act12]],$R$14:$AC$14)/valUnits2</f>
        <v>18.085080000000001</v>
      </c>
      <c r="AF300">
        <f>DB_STProjectAcct[[#This Row],[Actual]]-DB_STProjectAcct[[#This Row],[Plan]]</f>
        <v>-1.6325539999999954</v>
      </c>
      <c r="AG300">
        <f>IF(DB_STProjectAcct[[#This Row],[Plan]]&lt;&gt;0,DB_STProjectAcct[[#This Row],[Actual]]/DB_STProjectAcct[[#This Row],[Plan]],1.000011000011)</f>
        <v>0.91720335208575254</v>
      </c>
    </row>
    <row r="301" spans="1:33" hidden="1" x14ac:dyDescent="0.2">
      <c r="A301" t="s">
        <v>1288</v>
      </c>
      <c r="B301" t="s">
        <v>346</v>
      </c>
      <c r="C301" t="s">
        <v>516</v>
      </c>
      <c r="D301" t="s">
        <v>966</v>
      </c>
      <c r="E301" t="s">
        <v>236</v>
      </c>
      <c r="I301">
        <v>0</v>
      </c>
      <c r="J301">
        <v>0</v>
      </c>
      <c r="K301">
        <v>2951.7890000000002</v>
      </c>
      <c r="U301">
        <v>0</v>
      </c>
      <c r="V301">
        <v>0</v>
      </c>
      <c r="W301">
        <v>0</v>
      </c>
      <c r="AC301" s="295"/>
      <c r="AD301">
        <f>SUMPRODUCT(DB_STProjectAcct[[#This Row],[Plan01]:[Plan12]],$F$14:$Q$14)/valUnits2</f>
        <v>2.9517890000000002</v>
      </c>
      <c r="AE301">
        <f>SUMPRODUCT(DB_STProjectAcct[[#This Row],[Act01]:[Act12]],$R$14:$AC$14)/valUnits2</f>
        <v>0</v>
      </c>
      <c r="AF301">
        <f>DB_STProjectAcct[[#This Row],[Actual]]-DB_STProjectAcct[[#This Row],[Plan]]</f>
        <v>-2.9517890000000002</v>
      </c>
      <c r="AG301">
        <f>IF(DB_STProjectAcct[[#This Row],[Plan]]&lt;&gt;0,DB_STProjectAcct[[#This Row],[Actual]]/DB_STProjectAcct[[#This Row],[Plan]],1.000011000011)</f>
        <v>0</v>
      </c>
    </row>
    <row r="302" spans="1:33" hidden="1" x14ac:dyDescent="0.2">
      <c r="A302" t="s">
        <v>1289</v>
      </c>
      <c r="B302" t="s">
        <v>346</v>
      </c>
      <c r="C302" t="s">
        <v>516</v>
      </c>
      <c r="D302" t="s">
        <v>966</v>
      </c>
      <c r="E302" t="s">
        <v>237</v>
      </c>
      <c r="H302">
        <v>166.96799999999999</v>
      </c>
      <c r="L302">
        <v>0</v>
      </c>
      <c r="T302">
        <v>166.28</v>
      </c>
      <c r="X302">
        <v>1323.46</v>
      </c>
      <c r="AC302" s="297"/>
      <c r="AD302">
        <f>SUMPRODUCT(DB_STProjectAcct[[#This Row],[Plan01]:[Plan12]],$F$14:$Q$14)/valUnits2</f>
        <v>0.16696799999999998</v>
      </c>
      <c r="AE302">
        <f>SUMPRODUCT(DB_STProjectAcct[[#This Row],[Act01]:[Act12]],$R$14:$AC$14)/valUnits2</f>
        <v>0.16628000000000001</v>
      </c>
      <c r="AF302">
        <f>DB_STProjectAcct[[#This Row],[Actual]]-DB_STProjectAcct[[#This Row],[Plan]]</f>
        <v>-6.8799999999996642E-4</v>
      </c>
      <c r="AG302">
        <f>IF(DB_STProjectAcct[[#This Row],[Plan]]&lt;&gt;0,DB_STProjectAcct[[#This Row],[Actual]]/DB_STProjectAcct[[#This Row],[Plan]],1.000011000011)</f>
        <v>0.99587944995448252</v>
      </c>
    </row>
    <row r="303" spans="1:33" hidden="1" x14ac:dyDescent="0.2">
      <c r="A303" t="s">
        <v>1290</v>
      </c>
      <c r="B303" t="s">
        <v>346</v>
      </c>
      <c r="C303" t="s">
        <v>516</v>
      </c>
      <c r="D303" t="s">
        <v>966</v>
      </c>
      <c r="E303" t="s">
        <v>141</v>
      </c>
      <c r="H303">
        <v>0</v>
      </c>
      <c r="I303">
        <v>6487.0640000000003</v>
      </c>
      <c r="J303">
        <v>38.619999999999997</v>
      </c>
      <c r="K303">
        <v>202.26600000000002</v>
      </c>
      <c r="T303">
        <v>0</v>
      </c>
      <c r="U303">
        <v>6550.1699999999992</v>
      </c>
      <c r="V303">
        <v>40.65</v>
      </c>
      <c r="W303">
        <v>33.72</v>
      </c>
      <c r="AC303" s="295"/>
      <c r="AD303">
        <f>SUMPRODUCT(DB_STProjectAcct[[#This Row],[Plan01]:[Plan12]],$F$14:$Q$14)/valUnits2</f>
        <v>6.7279499999999999</v>
      </c>
      <c r="AE303">
        <f>SUMPRODUCT(DB_STProjectAcct[[#This Row],[Act01]:[Act12]],$R$14:$AC$14)/valUnits2</f>
        <v>6.6245399999999988</v>
      </c>
      <c r="AF303">
        <f>DB_STProjectAcct[[#This Row],[Actual]]-DB_STProjectAcct[[#This Row],[Plan]]</f>
        <v>-0.10341000000000111</v>
      </c>
      <c r="AG303">
        <f>IF(DB_STProjectAcct[[#This Row],[Plan]]&lt;&gt;0,DB_STProjectAcct[[#This Row],[Actual]]/DB_STProjectAcct[[#This Row],[Plan]],1.000011000011)</f>
        <v>0.98462979064945477</v>
      </c>
    </row>
    <row r="304" spans="1:33" hidden="1" x14ac:dyDescent="0.2">
      <c r="A304" t="s">
        <v>1291</v>
      </c>
      <c r="B304" t="s">
        <v>346</v>
      </c>
      <c r="C304" t="s">
        <v>516</v>
      </c>
      <c r="D304" t="s">
        <v>987</v>
      </c>
      <c r="E304" t="s">
        <v>143</v>
      </c>
      <c r="F304">
        <v>0</v>
      </c>
      <c r="G304">
        <v>0</v>
      </c>
      <c r="I304">
        <v>0</v>
      </c>
      <c r="J304">
        <v>0</v>
      </c>
      <c r="R304">
        <v>0</v>
      </c>
      <c r="S304">
        <v>0</v>
      </c>
      <c r="U304">
        <v>0</v>
      </c>
      <c r="V304">
        <v>0</v>
      </c>
      <c r="AC304" s="297"/>
      <c r="AD304">
        <f>SUMPRODUCT(DB_STProjectAcct[[#This Row],[Plan01]:[Plan12]],$F$14:$Q$14)/valUnits2</f>
        <v>0</v>
      </c>
      <c r="AE304">
        <f>SUMPRODUCT(DB_STProjectAcct[[#This Row],[Act01]:[Act12]],$R$14:$AC$14)/valUnits2</f>
        <v>0</v>
      </c>
      <c r="AF304">
        <f>DB_STProjectAcct[[#This Row],[Actual]]-DB_STProjectAcct[[#This Row],[Plan]]</f>
        <v>0</v>
      </c>
      <c r="AG304">
        <f>IF(DB_STProjectAcct[[#This Row],[Plan]]&lt;&gt;0,DB_STProjectAcct[[#This Row],[Actual]]/DB_STProjectAcct[[#This Row],[Plan]],1.000011000011)</f>
        <v>1.0000110000110001</v>
      </c>
    </row>
    <row r="305" spans="1:33" hidden="1" x14ac:dyDescent="0.2">
      <c r="A305" t="s">
        <v>1292</v>
      </c>
      <c r="B305" t="s">
        <v>346</v>
      </c>
      <c r="C305" t="s">
        <v>516</v>
      </c>
      <c r="D305" t="s">
        <v>987</v>
      </c>
      <c r="E305" t="s">
        <v>235</v>
      </c>
      <c r="F305">
        <v>137.24700000000001</v>
      </c>
      <c r="G305">
        <v>198.29400000000001</v>
      </c>
      <c r="H305">
        <v>88.68</v>
      </c>
      <c r="I305">
        <v>77.326999999999998</v>
      </c>
      <c r="J305">
        <v>249.626</v>
      </c>
      <c r="K305">
        <v>0</v>
      </c>
      <c r="R305">
        <v>140.05000000000001</v>
      </c>
      <c r="S305">
        <v>198.28</v>
      </c>
      <c r="T305">
        <v>90.43</v>
      </c>
      <c r="U305">
        <v>75.52</v>
      </c>
      <c r="V305">
        <v>252.83</v>
      </c>
      <c r="W305">
        <v>412.11</v>
      </c>
      <c r="AC305" s="295"/>
      <c r="AD305">
        <f>SUMPRODUCT(DB_STProjectAcct[[#This Row],[Plan01]:[Plan12]],$F$14:$Q$14)/valUnits2</f>
        <v>0.75117400000000012</v>
      </c>
      <c r="AE305">
        <f>SUMPRODUCT(DB_STProjectAcct[[#This Row],[Act01]:[Act12]],$R$14:$AC$14)/valUnits2</f>
        <v>1.1692199999999999</v>
      </c>
      <c r="AF305">
        <f>DB_STProjectAcct[[#This Row],[Actual]]-DB_STProjectAcct[[#This Row],[Plan]]</f>
        <v>0.41804599999999981</v>
      </c>
      <c r="AG305">
        <f>IF(DB_STProjectAcct[[#This Row],[Plan]]&lt;&gt;0,DB_STProjectAcct[[#This Row],[Actual]]/DB_STProjectAcct[[#This Row],[Plan]],1.000011000011)</f>
        <v>1.5565235218471349</v>
      </c>
    </row>
    <row r="306" spans="1:33" hidden="1" x14ac:dyDescent="0.2">
      <c r="A306" t="s">
        <v>1293</v>
      </c>
      <c r="B306" t="s">
        <v>346</v>
      </c>
      <c r="C306" t="s">
        <v>516</v>
      </c>
      <c r="D306" t="s">
        <v>987</v>
      </c>
      <c r="E306" t="s">
        <v>144</v>
      </c>
      <c r="AC306" s="297"/>
      <c r="AD306">
        <f>SUMPRODUCT(DB_STProjectAcct[[#This Row],[Plan01]:[Plan12]],$F$14:$Q$14)/valUnits2</f>
        <v>0</v>
      </c>
      <c r="AE306">
        <f>SUMPRODUCT(DB_STProjectAcct[[#This Row],[Act01]:[Act12]],$R$14:$AC$14)/valUnits2</f>
        <v>0</v>
      </c>
      <c r="AF306">
        <f>DB_STProjectAcct[[#This Row],[Actual]]-DB_STProjectAcct[[#This Row],[Plan]]</f>
        <v>0</v>
      </c>
      <c r="AG306">
        <f>IF(DB_STProjectAcct[[#This Row],[Plan]]&lt;&gt;0,DB_STProjectAcct[[#This Row],[Actual]]/DB_STProjectAcct[[#This Row],[Plan]],1.000011000011)</f>
        <v>1.0000110000110001</v>
      </c>
    </row>
    <row r="307" spans="1:33" hidden="1" x14ac:dyDescent="0.2">
      <c r="A307" t="s">
        <v>1294</v>
      </c>
      <c r="B307" t="s">
        <v>346</v>
      </c>
      <c r="C307" t="s">
        <v>516</v>
      </c>
      <c r="D307" t="s">
        <v>987</v>
      </c>
      <c r="E307" t="s">
        <v>142</v>
      </c>
      <c r="F307">
        <v>26245.209000000003</v>
      </c>
      <c r="G307">
        <v>-1.0000000002037268E-3</v>
      </c>
      <c r="H307">
        <v>-0.10399999999772547</v>
      </c>
      <c r="I307">
        <v>9959.8340000000007</v>
      </c>
      <c r="J307">
        <v>1.9999999999527063E-2</v>
      </c>
      <c r="K307">
        <v>9968.6620000000003</v>
      </c>
      <c r="R307">
        <v>26747</v>
      </c>
      <c r="S307">
        <v>-1.8189894035458565E-12</v>
      </c>
      <c r="T307">
        <v>-9.9999999991268851E-2</v>
      </c>
      <c r="U307">
        <v>9642.75</v>
      </c>
      <c r="V307">
        <v>1.9999999999662066E-2</v>
      </c>
      <c r="W307">
        <v>7572.43</v>
      </c>
      <c r="AC307" s="295"/>
      <c r="AD307">
        <f>SUMPRODUCT(DB_STProjectAcct[[#This Row],[Plan01]:[Plan12]],$F$14:$Q$14)/valUnits2</f>
        <v>46.173619999999993</v>
      </c>
      <c r="AE307">
        <f>SUMPRODUCT(DB_STProjectAcct[[#This Row],[Act01]:[Act12]],$R$14:$AC$14)/valUnits2</f>
        <v>43.962100000000007</v>
      </c>
      <c r="AF307">
        <f>DB_STProjectAcct[[#This Row],[Actual]]-DB_STProjectAcct[[#This Row],[Plan]]</f>
        <v>-2.2115199999999859</v>
      </c>
      <c r="AG307">
        <f>IF(DB_STProjectAcct[[#This Row],[Plan]]&lt;&gt;0,DB_STProjectAcct[[#This Row],[Actual]]/DB_STProjectAcct[[#This Row],[Plan]],1.000011000011)</f>
        <v>0.95210425346767291</v>
      </c>
    </row>
    <row r="308" spans="1:33" hidden="1" x14ac:dyDescent="0.2">
      <c r="A308" t="s">
        <v>1295</v>
      </c>
      <c r="B308" t="s">
        <v>346</v>
      </c>
      <c r="C308" t="s">
        <v>516</v>
      </c>
      <c r="D308" t="s">
        <v>987</v>
      </c>
      <c r="E308" t="s">
        <v>140</v>
      </c>
      <c r="F308">
        <v>2457.3049999999998</v>
      </c>
      <c r="G308">
        <v>3669.7080000000001</v>
      </c>
      <c r="H308">
        <v>3058.1790000000001</v>
      </c>
      <c r="I308">
        <v>4567.7129999999997</v>
      </c>
      <c r="J308">
        <v>4859.2909999999993</v>
      </c>
      <c r="K308">
        <v>4267.2860000000001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2506.9499999999998</v>
      </c>
      <c r="S308">
        <v>3696.3600000000006</v>
      </c>
      <c r="T308">
        <v>3077.3999999999996</v>
      </c>
      <c r="U308">
        <v>4510.2299999999996</v>
      </c>
      <c r="V308">
        <v>4927.6900000000005</v>
      </c>
      <c r="W308">
        <v>6008.8200000000006</v>
      </c>
      <c r="X308">
        <v>0</v>
      </c>
      <c r="Y308">
        <v>0</v>
      </c>
      <c r="Z308">
        <v>0</v>
      </c>
      <c r="AA308">
        <v>0</v>
      </c>
      <c r="AB308">
        <v>0</v>
      </c>
      <c r="AC308" s="297">
        <v>0</v>
      </c>
      <c r="AD308">
        <f>SUMPRODUCT(DB_STProjectAcct[[#This Row],[Plan01]:[Plan12]],$F$14:$Q$14)/valUnits2</f>
        <v>22.879481999999996</v>
      </c>
      <c r="AE308">
        <f>SUMPRODUCT(DB_STProjectAcct[[#This Row],[Act01]:[Act12]],$R$14:$AC$14)/valUnits2</f>
        <v>24.727449999999997</v>
      </c>
      <c r="AF308">
        <f>DB_STProjectAcct[[#This Row],[Actual]]-DB_STProjectAcct[[#This Row],[Plan]]</f>
        <v>1.8479680000000016</v>
      </c>
      <c r="AG308">
        <f>IF(DB_STProjectAcct[[#This Row],[Plan]]&lt;&gt;0,DB_STProjectAcct[[#This Row],[Actual]]/DB_STProjectAcct[[#This Row],[Plan]],1.000011000011)</f>
        <v>1.0807696607816559</v>
      </c>
    </row>
    <row r="309" spans="1:33" hidden="1" x14ac:dyDescent="0.2">
      <c r="A309" t="s">
        <v>1296</v>
      </c>
      <c r="B309" t="s">
        <v>346</v>
      </c>
      <c r="C309" t="s">
        <v>516</v>
      </c>
      <c r="D309" t="s">
        <v>987</v>
      </c>
      <c r="E309" t="s">
        <v>236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 s="295">
        <v>0</v>
      </c>
      <c r="AD309">
        <f>SUMPRODUCT(DB_STProjectAcct[[#This Row],[Plan01]:[Plan12]],$F$14:$Q$14)/valUnits2</f>
        <v>0</v>
      </c>
      <c r="AE309">
        <f>SUMPRODUCT(DB_STProjectAcct[[#This Row],[Act01]:[Act12]],$R$14:$AC$14)/valUnits2</f>
        <v>0</v>
      </c>
      <c r="AF309">
        <f>DB_STProjectAcct[[#This Row],[Actual]]-DB_STProjectAcct[[#This Row],[Plan]]</f>
        <v>0</v>
      </c>
      <c r="AG309">
        <f>IF(DB_STProjectAcct[[#This Row],[Plan]]&lt;&gt;0,DB_STProjectAcct[[#This Row],[Actual]]/DB_STProjectAcct[[#This Row],[Plan]],1.000011000011)</f>
        <v>1.0000110000110001</v>
      </c>
    </row>
    <row r="310" spans="1:33" hidden="1" x14ac:dyDescent="0.2">
      <c r="A310" t="s">
        <v>1297</v>
      </c>
      <c r="B310" t="s">
        <v>346</v>
      </c>
      <c r="C310" t="s">
        <v>516</v>
      </c>
      <c r="D310" t="s">
        <v>987</v>
      </c>
      <c r="E310" t="s">
        <v>237</v>
      </c>
      <c r="F310">
        <v>14.454000000000001</v>
      </c>
      <c r="G310">
        <v>370.57</v>
      </c>
      <c r="J310">
        <v>487.48099999999999</v>
      </c>
      <c r="K310">
        <v>0</v>
      </c>
      <c r="R310">
        <v>14.73</v>
      </c>
      <c r="S310">
        <v>371.37</v>
      </c>
      <c r="V310">
        <v>496.39</v>
      </c>
      <c r="W310">
        <v>4564.51</v>
      </c>
      <c r="AC310" s="297"/>
      <c r="AD310">
        <f>SUMPRODUCT(DB_STProjectAcct[[#This Row],[Plan01]:[Plan12]],$F$14:$Q$14)/valUnits2</f>
        <v>0.87250499999999998</v>
      </c>
      <c r="AE310">
        <f>SUMPRODUCT(DB_STProjectAcct[[#This Row],[Act01]:[Act12]],$R$14:$AC$14)/valUnits2</f>
        <v>5.4470000000000001</v>
      </c>
      <c r="AF310">
        <f>DB_STProjectAcct[[#This Row],[Actual]]-DB_STProjectAcct[[#This Row],[Plan]]</f>
        <v>4.5744949999999998</v>
      </c>
      <c r="AG310">
        <f>IF(DB_STProjectAcct[[#This Row],[Plan]]&lt;&gt;0,DB_STProjectAcct[[#This Row],[Actual]]/DB_STProjectAcct[[#This Row],[Plan]],1.000011000011)</f>
        <v>6.2429441665090746</v>
      </c>
    </row>
    <row r="311" spans="1:33" hidden="1" x14ac:dyDescent="0.2">
      <c r="A311" t="s">
        <v>1298</v>
      </c>
      <c r="B311" t="s">
        <v>346</v>
      </c>
      <c r="C311" t="s">
        <v>516</v>
      </c>
      <c r="D311" t="s">
        <v>987</v>
      </c>
      <c r="E311" t="s">
        <v>141</v>
      </c>
      <c r="F311">
        <v>321.20999999999998</v>
      </c>
      <c r="G311">
        <v>1153.018</v>
      </c>
      <c r="H311">
        <v>512.54199999999992</v>
      </c>
      <c r="I311">
        <v>693.31399999999996</v>
      </c>
      <c r="J311">
        <v>391.673</v>
      </c>
      <c r="K311">
        <v>385.78499999999997</v>
      </c>
      <c r="R311">
        <v>327.58</v>
      </c>
      <c r="S311">
        <v>1153.8699999999999</v>
      </c>
      <c r="T311">
        <v>521.87</v>
      </c>
      <c r="U311">
        <v>680.82999999999993</v>
      </c>
      <c r="V311">
        <v>399.88</v>
      </c>
      <c r="W311">
        <v>644.61999999999989</v>
      </c>
      <c r="AC311" s="295"/>
      <c r="AD311">
        <f>SUMPRODUCT(DB_STProjectAcct[[#This Row],[Plan01]:[Plan12]],$F$14:$Q$14)/valUnits2</f>
        <v>3.4575419999999997</v>
      </c>
      <c r="AE311">
        <f>SUMPRODUCT(DB_STProjectAcct[[#This Row],[Act01]:[Act12]],$R$14:$AC$14)/valUnits2</f>
        <v>3.7286499999999996</v>
      </c>
      <c r="AF311">
        <f>DB_STProjectAcct[[#This Row],[Actual]]-DB_STProjectAcct[[#This Row],[Plan]]</f>
        <v>0.2711079999999999</v>
      </c>
      <c r="AG311">
        <f>IF(DB_STProjectAcct[[#This Row],[Plan]]&lt;&gt;0,DB_STProjectAcct[[#This Row],[Actual]]/DB_STProjectAcct[[#This Row],[Plan]],1.000011000011)</f>
        <v>1.0784106165593939</v>
      </c>
    </row>
    <row r="312" spans="1:33" hidden="1" x14ac:dyDescent="0.2">
      <c r="A312" t="s">
        <v>1299</v>
      </c>
      <c r="B312" t="s">
        <v>346</v>
      </c>
      <c r="C312" t="s">
        <v>517</v>
      </c>
      <c r="D312" t="s">
        <v>967</v>
      </c>
      <c r="E312" t="s">
        <v>143</v>
      </c>
      <c r="AC312" s="297"/>
      <c r="AD312">
        <f>SUMPRODUCT(DB_STProjectAcct[[#This Row],[Plan01]:[Plan12]],$F$14:$Q$14)/valUnits2</f>
        <v>0</v>
      </c>
      <c r="AE312">
        <f>SUMPRODUCT(DB_STProjectAcct[[#This Row],[Act01]:[Act12]],$R$14:$AC$14)/valUnits2</f>
        <v>0</v>
      </c>
      <c r="AF312">
        <f>DB_STProjectAcct[[#This Row],[Actual]]-DB_STProjectAcct[[#This Row],[Plan]]</f>
        <v>0</v>
      </c>
      <c r="AG312">
        <f>IF(DB_STProjectAcct[[#This Row],[Plan]]&lt;&gt;0,DB_STProjectAcct[[#This Row],[Actual]]/DB_STProjectAcct[[#This Row],[Plan]],1.000011000011)</f>
        <v>1.0000110000110001</v>
      </c>
    </row>
    <row r="313" spans="1:33" hidden="1" x14ac:dyDescent="0.2">
      <c r="A313" t="s">
        <v>1300</v>
      </c>
      <c r="B313" t="s">
        <v>346</v>
      </c>
      <c r="C313" t="s">
        <v>517</v>
      </c>
      <c r="D313" t="s">
        <v>967</v>
      </c>
      <c r="E313" t="s">
        <v>235</v>
      </c>
      <c r="AC313" s="295"/>
      <c r="AD313">
        <f>SUMPRODUCT(DB_STProjectAcct[[#This Row],[Plan01]:[Plan12]],$F$14:$Q$14)/valUnits2</f>
        <v>0</v>
      </c>
      <c r="AE313">
        <f>SUMPRODUCT(DB_STProjectAcct[[#This Row],[Act01]:[Act12]],$R$14:$AC$14)/valUnits2</f>
        <v>0</v>
      </c>
      <c r="AF313">
        <f>DB_STProjectAcct[[#This Row],[Actual]]-DB_STProjectAcct[[#This Row],[Plan]]</f>
        <v>0</v>
      </c>
      <c r="AG313">
        <f>IF(DB_STProjectAcct[[#This Row],[Plan]]&lt;&gt;0,DB_STProjectAcct[[#This Row],[Actual]]/DB_STProjectAcct[[#This Row],[Plan]],1.000011000011)</f>
        <v>1.0000110000110001</v>
      </c>
    </row>
    <row r="314" spans="1:33" hidden="1" x14ac:dyDescent="0.2">
      <c r="A314" t="s">
        <v>1301</v>
      </c>
      <c r="B314" t="s">
        <v>346</v>
      </c>
      <c r="C314" t="s">
        <v>517</v>
      </c>
      <c r="D314" t="s">
        <v>967</v>
      </c>
      <c r="E314" t="s">
        <v>144</v>
      </c>
      <c r="AC314" s="297"/>
      <c r="AD314">
        <f>SUMPRODUCT(DB_STProjectAcct[[#This Row],[Plan01]:[Plan12]],$F$14:$Q$14)/valUnits2</f>
        <v>0</v>
      </c>
      <c r="AE314">
        <f>SUMPRODUCT(DB_STProjectAcct[[#This Row],[Act01]:[Act12]],$R$14:$AC$14)/valUnits2</f>
        <v>0</v>
      </c>
      <c r="AF314">
        <f>DB_STProjectAcct[[#This Row],[Actual]]-DB_STProjectAcct[[#This Row],[Plan]]</f>
        <v>0</v>
      </c>
      <c r="AG314">
        <f>IF(DB_STProjectAcct[[#This Row],[Plan]]&lt;&gt;0,DB_STProjectAcct[[#This Row],[Actual]]/DB_STProjectAcct[[#This Row],[Plan]],1.000011000011)</f>
        <v>1.0000110000110001</v>
      </c>
    </row>
    <row r="315" spans="1:33" hidden="1" x14ac:dyDescent="0.2">
      <c r="A315" t="s">
        <v>1302</v>
      </c>
      <c r="B315" t="s">
        <v>346</v>
      </c>
      <c r="C315" t="s">
        <v>517</v>
      </c>
      <c r="D315" t="s">
        <v>967</v>
      </c>
      <c r="E315" t="s">
        <v>142</v>
      </c>
      <c r="AC315" s="295"/>
      <c r="AD315">
        <f>SUMPRODUCT(DB_STProjectAcct[[#This Row],[Plan01]:[Plan12]],$F$14:$Q$14)/valUnits2</f>
        <v>0</v>
      </c>
      <c r="AE315">
        <f>SUMPRODUCT(DB_STProjectAcct[[#This Row],[Act01]:[Act12]],$R$14:$AC$14)/valUnits2</f>
        <v>0</v>
      </c>
      <c r="AF315">
        <f>DB_STProjectAcct[[#This Row],[Actual]]-DB_STProjectAcct[[#This Row],[Plan]]</f>
        <v>0</v>
      </c>
      <c r="AG315">
        <f>IF(DB_STProjectAcct[[#This Row],[Plan]]&lt;&gt;0,DB_STProjectAcct[[#This Row],[Actual]]/DB_STProjectAcct[[#This Row],[Plan]],1.000011000011)</f>
        <v>1.0000110000110001</v>
      </c>
    </row>
    <row r="316" spans="1:33" hidden="1" x14ac:dyDescent="0.2">
      <c r="A316" t="s">
        <v>1303</v>
      </c>
      <c r="B316" t="s">
        <v>346</v>
      </c>
      <c r="C316" t="s">
        <v>517</v>
      </c>
      <c r="D316" t="s">
        <v>967</v>
      </c>
      <c r="E316" t="s">
        <v>140</v>
      </c>
      <c r="F316">
        <v>4215.1239999999998</v>
      </c>
      <c r="G316">
        <v>4144.5029999999997</v>
      </c>
      <c r="H316">
        <v>3870.7629999999999</v>
      </c>
      <c r="I316">
        <v>4317.5479999999998</v>
      </c>
      <c r="K316">
        <v>0</v>
      </c>
      <c r="R316">
        <v>4152.79</v>
      </c>
      <c r="S316">
        <v>4231.41</v>
      </c>
      <c r="T316">
        <v>3905.7999999999997</v>
      </c>
      <c r="U316">
        <v>4292.9299999999994</v>
      </c>
      <c r="W316">
        <v>-12430.140000000001</v>
      </c>
      <c r="AC316" s="297"/>
      <c r="AD316">
        <f>SUMPRODUCT(DB_STProjectAcct[[#This Row],[Plan01]:[Plan12]],$F$14:$Q$14)/valUnits2</f>
        <v>16.547937999999998</v>
      </c>
      <c r="AE316">
        <f>SUMPRODUCT(DB_STProjectAcct[[#This Row],[Act01]:[Act12]],$R$14:$AC$14)/valUnits2</f>
        <v>4.1527899999999986</v>
      </c>
      <c r="AF316">
        <f>DB_STProjectAcct[[#This Row],[Actual]]-DB_STProjectAcct[[#This Row],[Plan]]</f>
        <v>-12.395147999999999</v>
      </c>
      <c r="AG316">
        <f>IF(DB_STProjectAcct[[#This Row],[Plan]]&lt;&gt;0,DB_STProjectAcct[[#This Row],[Actual]]/DB_STProjectAcct[[#This Row],[Plan]],1.000011000011)</f>
        <v>0.2509551341079474</v>
      </c>
    </row>
    <row r="317" spans="1:33" hidden="1" x14ac:dyDescent="0.2">
      <c r="A317" t="s">
        <v>1304</v>
      </c>
      <c r="B317" t="s">
        <v>346</v>
      </c>
      <c r="C317" t="s">
        <v>517</v>
      </c>
      <c r="D317" t="s">
        <v>967</v>
      </c>
      <c r="E317" t="s">
        <v>236</v>
      </c>
      <c r="AC317" s="295"/>
      <c r="AD317">
        <f>SUMPRODUCT(DB_STProjectAcct[[#This Row],[Plan01]:[Plan12]],$F$14:$Q$14)/valUnits2</f>
        <v>0</v>
      </c>
      <c r="AE317">
        <f>SUMPRODUCT(DB_STProjectAcct[[#This Row],[Act01]:[Act12]],$R$14:$AC$14)/valUnits2</f>
        <v>0</v>
      </c>
      <c r="AF317">
        <f>DB_STProjectAcct[[#This Row],[Actual]]-DB_STProjectAcct[[#This Row],[Plan]]</f>
        <v>0</v>
      </c>
      <c r="AG317">
        <f>IF(DB_STProjectAcct[[#This Row],[Plan]]&lt;&gt;0,DB_STProjectAcct[[#This Row],[Actual]]/DB_STProjectAcct[[#This Row],[Plan]],1.000011000011)</f>
        <v>1.0000110000110001</v>
      </c>
    </row>
    <row r="318" spans="1:33" hidden="1" x14ac:dyDescent="0.2">
      <c r="A318" t="s">
        <v>1305</v>
      </c>
      <c r="B318" t="s">
        <v>346</v>
      </c>
      <c r="C318" t="s">
        <v>517</v>
      </c>
      <c r="D318" t="s">
        <v>967</v>
      </c>
      <c r="E318" t="s">
        <v>237</v>
      </c>
      <c r="AC318" s="297"/>
      <c r="AD318">
        <f>SUMPRODUCT(DB_STProjectAcct[[#This Row],[Plan01]:[Plan12]],$F$14:$Q$14)/valUnits2</f>
        <v>0</v>
      </c>
      <c r="AE318">
        <f>SUMPRODUCT(DB_STProjectAcct[[#This Row],[Act01]:[Act12]],$R$14:$AC$14)/valUnits2</f>
        <v>0</v>
      </c>
      <c r="AF318">
        <f>DB_STProjectAcct[[#This Row],[Actual]]-DB_STProjectAcct[[#This Row],[Plan]]</f>
        <v>0</v>
      </c>
      <c r="AG318">
        <f>IF(DB_STProjectAcct[[#This Row],[Plan]]&lt;&gt;0,DB_STProjectAcct[[#This Row],[Actual]]/DB_STProjectAcct[[#This Row],[Plan]],1.000011000011)</f>
        <v>1.0000110000110001</v>
      </c>
    </row>
    <row r="319" spans="1:33" hidden="1" x14ac:dyDescent="0.2">
      <c r="A319" t="s">
        <v>1306</v>
      </c>
      <c r="B319" t="s">
        <v>346</v>
      </c>
      <c r="C319" t="s">
        <v>517</v>
      </c>
      <c r="D319" t="s">
        <v>967</v>
      </c>
      <c r="E319" t="s">
        <v>141</v>
      </c>
      <c r="H319">
        <v>70.168999999999997</v>
      </c>
      <c r="K319">
        <v>0</v>
      </c>
      <c r="T319">
        <v>71.33</v>
      </c>
      <c r="W319">
        <v>-71.33</v>
      </c>
      <c r="AC319" s="295"/>
      <c r="AD319">
        <f>SUMPRODUCT(DB_STProjectAcct[[#This Row],[Plan01]:[Plan12]],$F$14:$Q$14)/valUnits2</f>
        <v>7.0168999999999995E-2</v>
      </c>
      <c r="AE319">
        <f>SUMPRODUCT(DB_STProjectAcct[[#This Row],[Act01]:[Act12]],$R$14:$AC$14)/valUnits2</f>
        <v>0</v>
      </c>
      <c r="AF319">
        <f>DB_STProjectAcct[[#This Row],[Actual]]-DB_STProjectAcct[[#This Row],[Plan]]</f>
        <v>-7.0168999999999995E-2</v>
      </c>
      <c r="AG319">
        <f>IF(DB_STProjectAcct[[#This Row],[Plan]]&lt;&gt;0,DB_STProjectAcct[[#This Row],[Actual]]/DB_STProjectAcct[[#This Row],[Plan]],1.000011000011)</f>
        <v>0</v>
      </c>
    </row>
    <row r="320" spans="1:33" hidden="1" x14ac:dyDescent="0.2">
      <c r="A320" t="s">
        <v>1307</v>
      </c>
      <c r="B320" t="s">
        <v>346</v>
      </c>
      <c r="C320" t="s">
        <v>518</v>
      </c>
      <c r="D320" t="s">
        <v>953</v>
      </c>
      <c r="E320" t="s">
        <v>143</v>
      </c>
      <c r="AC320" s="297"/>
      <c r="AD320">
        <f>SUMPRODUCT(DB_STProjectAcct[[#This Row],[Plan01]:[Plan12]],$F$14:$Q$14)/valUnits2</f>
        <v>0</v>
      </c>
      <c r="AE320">
        <f>SUMPRODUCT(DB_STProjectAcct[[#This Row],[Act01]:[Act12]],$R$14:$AC$14)/valUnits2</f>
        <v>0</v>
      </c>
      <c r="AF320">
        <f>DB_STProjectAcct[[#This Row],[Actual]]-DB_STProjectAcct[[#This Row],[Plan]]</f>
        <v>0</v>
      </c>
      <c r="AG320">
        <f>IF(DB_STProjectAcct[[#This Row],[Plan]]&lt;&gt;0,DB_STProjectAcct[[#This Row],[Actual]]/DB_STProjectAcct[[#This Row],[Plan]],1.000011000011)</f>
        <v>1.0000110000110001</v>
      </c>
    </row>
    <row r="321" spans="1:33" hidden="1" x14ac:dyDescent="0.2">
      <c r="A321" t="s">
        <v>1308</v>
      </c>
      <c r="B321" t="s">
        <v>346</v>
      </c>
      <c r="C321" t="s">
        <v>518</v>
      </c>
      <c r="D321" t="s">
        <v>953</v>
      </c>
      <c r="E321" t="s">
        <v>235</v>
      </c>
      <c r="H321">
        <v>0</v>
      </c>
      <c r="I321">
        <v>0</v>
      </c>
      <c r="J321">
        <v>0</v>
      </c>
      <c r="K321">
        <v>29.613</v>
      </c>
      <c r="L321">
        <v>29.613</v>
      </c>
      <c r="M321">
        <v>29.613</v>
      </c>
      <c r="N321">
        <v>29.613</v>
      </c>
      <c r="O321">
        <v>29.613</v>
      </c>
      <c r="P321">
        <v>29.613</v>
      </c>
      <c r="Q321">
        <v>29.613</v>
      </c>
      <c r="T321">
        <v>0</v>
      </c>
      <c r="U321">
        <v>0</v>
      </c>
      <c r="V321">
        <v>0</v>
      </c>
      <c r="W321">
        <v>66.97</v>
      </c>
      <c r="X321">
        <v>0</v>
      </c>
      <c r="Y321">
        <v>0</v>
      </c>
      <c r="Z321">
        <v>0</v>
      </c>
      <c r="AA321">
        <v>0</v>
      </c>
      <c r="AB321">
        <v>0</v>
      </c>
      <c r="AC321" s="295">
        <v>0</v>
      </c>
      <c r="AD321">
        <f>SUMPRODUCT(DB_STProjectAcct[[#This Row],[Plan01]:[Plan12]],$F$14:$Q$14)/valUnits2</f>
        <v>2.9613E-2</v>
      </c>
      <c r="AE321">
        <f>SUMPRODUCT(DB_STProjectAcct[[#This Row],[Act01]:[Act12]],$R$14:$AC$14)/valUnits2</f>
        <v>6.6970000000000002E-2</v>
      </c>
      <c r="AF321">
        <f>DB_STProjectAcct[[#This Row],[Actual]]-DB_STProjectAcct[[#This Row],[Plan]]</f>
        <v>3.7357000000000001E-2</v>
      </c>
      <c r="AG321">
        <f>IF(DB_STProjectAcct[[#This Row],[Plan]]&lt;&gt;0,DB_STProjectAcct[[#This Row],[Actual]]/DB_STProjectAcct[[#This Row],[Plan]],1.000011000011)</f>
        <v>2.2615067706750414</v>
      </c>
    </row>
    <row r="322" spans="1:33" hidden="1" x14ac:dyDescent="0.2">
      <c r="A322" t="s">
        <v>1309</v>
      </c>
      <c r="B322" t="s">
        <v>346</v>
      </c>
      <c r="C322" t="s">
        <v>518</v>
      </c>
      <c r="D322" t="s">
        <v>953</v>
      </c>
      <c r="E322" t="s">
        <v>144</v>
      </c>
      <c r="AC322" s="297"/>
      <c r="AD322">
        <f>SUMPRODUCT(DB_STProjectAcct[[#This Row],[Plan01]:[Plan12]],$F$14:$Q$14)/valUnits2</f>
        <v>0</v>
      </c>
      <c r="AE322">
        <f>SUMPRODUCT(DB_STProjectAcct[[#This Row],[Act01]:[Act12]],$R$14:$AC$14)/valUnits2</f>
        <v>0</v>
      </c>
      <c r="AF322">
        <f>DB_STProjectAcct[[#This Row],[Actual]]-DB_STProjectAcct[[#This Row],[Plan]]</f>
        <v>0</v>
      </c>
      <c r="AG322">
        <f>IF(DB_STProjectAcct[[#This Row],[Plan]]&lt;&gt;0,DB_STProjectAcct[[#This Row],[Actual]]/DB_STProjectAcct[[#This Row],[Plan]],1.000011000011)</f>
        <v>1.0000110000110001</v>
      </c>
    </row>
    <row r="323" spans="1:33" hidden="1" x14ac:dyDescent="0.2">
      <c r="A323" t="s">
        <v>1310</v>
      </c>
      <c r="B323" t="s">
        <v>346</v>
      </c>
      <c r="C323" t="s">
        <v>518</v>
      </c>
      <c r="D323" t="s">
        <v>953</v>
      </c>
      <c r="E323" t="s">
        <v>142</v>
      </c>
      <c r="AC323" s="295"/>
      <c r="AD323">
        <f>SUMPRODUCT(DB_STProjectAcct[[#This Row],[Plan01]:[Plan12]],$F$14:$Q$14)/valUnits2</f>
        <v>0</v>
      </c>
      <c r="AE323">
        <f>SUMPRODUCT(DB_STProjectAcct[[#This Row],[Act01]:[Act12]],$R$14:$AC$14)/valUnits2</f>
        <v>0</v>
      </c>
      <c r="AF323">
        <f>DB_STProjectAcct[[#This Row],[Actual]]-DB_STProjectAcct[[#This Row],[Plan]]</f>
        <v>0</v>
      </c>
      <c r="AG323">
        <f>IF(DB_STProjectAcct[[#This Row],[Plan]]&lt;&gt;0,DB_STProjectAcct[[#This Row],[Actual]]/DB_STProjectAcct[[#This Row],[Plan]],1.000011000011)</f>
        <v>1.0000110000110001</v>
      </c>
    </row>
    <row r="324" spans="1:33" hidden="1" x14ac:dyDescent="0.2">
      <c r="A324" t="s">
        <v>1311</v>
      </c>
      <c r="B324" t="s">
        <v>346</v>
      </c>
      <c r="C324" t="s">
        <v>518</v>
      </c>
      <c r="D324" t="s">
        <v>953</v>
      </c>
      <c r="E324" t="s">
        <v>140</v>
      </c>
      <c r="I324">
        <v>24.516999999999999</v>
      </c>
      <c r="J324">
        <v>2.5750000000000002</v>
      </c>
      <c r="K324">
        <v>507.66399999999999</v>
      </c>
      <c r="L324">
        <v>507.66399999999999</v>
      </c>
      <c r="M324">
        <v>507.66399999999999</v>
      </c>
      <c r="N324">
        <v>507.66399999999999</v>
      </c>
      <c r="O324">
        <v>507.66399999999999</v>
      </c>
      <c r="P324">
        <v>507.66399999999999</v>
      </c>
      <c r="Q324">
        <v>507.66399999999999</v>
      </c>
      <c r="U324">
        <v>24.03</v>
      </c>
      <c r="V324">
        <v>2.58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 s="297">
        <v>0</v>
      </c>
      <c r="AD324">
        <f>SUMPRODUCT(DB_STProjectAcct[[#This Row],[Plan01]:[Plan12]],$F$14:$Q$14)/valUnits2</f>
        <v>0.53475600000000001</v>
      </c>
      <c r="AE324">
        <f>SUMPRODUCT(DB_STProjectAcct[[#This Row],[Act01]:[Act12]],$R$14:$AC$14)/valUnits2</f>
        <v>2.6609999999999998E-2</v>
      </c>
      <c r="AF324">
        <f>DB_STProjectAcct[[#This Row],[Actual]]-DB_STProjectAcct[[#This Row],[Plan]]</f>
        <v>-0.50814599999999999</v>
      </c>
      <c r="AG324">
        <f>IF(DB_STProjectAcct[[#This Row],[Plan]]&lt;&gt;0,DB_STProjectAcct[[#This Row],[Actual]]/DB_STProjectAcct[[#This Row],[Plan]],1.000011000011)</f>
        <v>4.9761012499158493E-2</v>
      </c>
    </row>
    <row r="325" spans="1:33" hidden="1" x14ac:dyDescent="0.2">
      <c r="A325" t="s">
        <v>1312</v>
      </c>
      <c r="B325" t="s">
        <v>346</v>
      </c>
      <c r="C325" t="s">
        <v>518</v>
      </c>
      <c r="D325" t="s">
        <v>953</v>
      </c>
      <c r="E325" t="s">
        <v>236</v>
      </c>
      <c r="I325">
        <v>116.473</v>
      </c>
      <c r="J325">
        <v>138.745</v>
      </c>
      <c r="K325">
        <v>0</v>
      </c>
      <c r="L325">
        <v>1370.694</v>
      </c>
      <c r="M325">
        <v>1370.694</v>
      </c>
      <c r="O325">
        <v>1370.694</v>
      </c>
      <c r="P325">
        <v>1370.694</v>
      </c>
      <c r="U325">
        <v>114.36</v>
      </c>
      <c r="V325">
        <v>139.02000000000001</v>
      </c>
      <c r="W325">
        <v>119.02</v>
      </c>
      <c r="X325">
        <v>0</v>
      </c>
      <c r="Y325">
        <v>0</v>
      </c>
      <c r="AA325">
        <v>0</v>
      </c>
      <c r="AB325">
        <v>0</v>
      </c>
      <c r="AC325" s="295"/>
      <c r="AD325">
        <f>SUMPRODUCT(DB_STProjectAcct[[#This Row],[Plan01]:[Plan12]],$F$14:$Q$14)/valUnits2</f>
        <v>0.255218</v>
      </c>
      <c r="AE325">
        <f>SUMPRODUCT(DB_STProjectAcct[[#This Row],[Act01]:[Act12]],$R$14:$AC$14)/valUnits2</f>
        <v>0.37239999999999995</v>
      </c>
      <c r="AF325">
        <f>DB_STProjectAcct[[#This Row],[Actual]]-DB_STProjectAcct[[#This Row],[Plan]]</f>
        <v>0.11718199999999995</v>
      </c>
      <c r="AG325">
        <f>IF(DB_STProjectAcct[[#This Row],[Plan]]&lt;&gt;0,DB_STProjectAcct[[#This Row],[Actual]]/DB_STProjectAcct[[#This Row],[Plan]],1.000011000011)</f>
        <v>1.4591447311709986</v>
      </c>
    </row>
    <row r="326" spans="1:33" hidden="1" x14ac:dyDescent="0.2">
      <c r="A326" t="s">
        <v>1313</v>
      </c>
      <c r="B326" t="s">
        <v>346</v>
      </c>
      <c r="C326" t="s">
        <v>518</v>
      </c>
      <c r="D326" t="s">
        <v>953</v>
      </c>
      <c r="E326" t="s">
        <v>237</v>
      </c>
      <c r="AC326" s="297"/>
      <c r="AD326">
        <f>SUMPRODUCT(DB_STProjectAcct[[#This Row],[Plan01]:[Plan12]],$F$14:$Q$14)/valUnits2</f>
        <v>0</v>
      </c>
      <c r="AE326">
        <f>SUMPRODUCT(DB_STProjectAcct[[#This Row],[Act01]:[Act12]],$R$14:$AC$14)/valUnits2</f>
        <v>0</v>
      </c>
      <c r="AF326">
        <f>DB_STProjectAcct[[#This Row],[Actual]]-DB_STProjectAcct[[#This Row],[Plan]]</f>
        <v>0</v>
      </c>
      <c r="AG326">
        <f>IF(DB_STProjectAcct[[#This Row],[Plan]]&lt;&gt;0,DB_STProjectAcct[[#This Row],[Actual]]/DB_STProjectAcct[[#This Row],[Plan]],1.000011000011)</f>
        <v>1.0000110000110001</v>
      </c>
    </row>
    <row r="327" spans="1:33" hidden="1" x14ac:dyDescent="0.2">
      <c r="A327" t="s">
        <v>1314</v>
      </c>
      <c r="B327" t="s">
        <v>346</v>
      </c>
      <c r="C327" t="s">
        <v>518</v>
      </c>
      <c r="D327" t="s">
        <v>953</v>
      </c>
      <c r="E327" t="s">
        <v>141</v>
      </c>
      <c r="H327">
        <v>336.26799999999997</v>
      </c>
      <c r="I327">
        <v>179.666</v>
      </c>
      <c r="J327">
        <v>33.768999999999998</v>
      </c>
      <c r="K327">
        <v>16.922000000000001</v>
      </c>
      <c r="L327">
        <v>16.922000000000001</v>
      </c>
      <c r="M327">
        <v>16.922000000000001</v>
      </c>
      <c r="N327">
        <v>16.922000000000001</v>
      </c>
      <c r="O327">
        <v>16.922000000000001</v>
      </c>
      <c r="P327">
        <v>16.922000000000001</v>
      </c>
      <c r="Q327">
        <v>16.922000000000001</v>
      </c>
      <c r="T327">
        <v>335.14</v>
      </c>
      <c r="U327">
        <v>176.28</v>
      </c>
      <c r="V327">
        <v>34.32</v>
      </c>
      <c r="W327">
        <v>411.65000000000003</v>
      </c>
      <c r="X327">
        <v>0</v>
      </c>
      <c r="Y327">
        <v>0</v>
      </c>
      <c r="Z327">
        <v>0</v>
      </c>
      <c r="AA327">
        <v>0</v>
      </c>
      <c r="AB327">
        <v>0</v>
      </c>
      <c r="AC327" s="295">
        <v>0</v>
      </c>
      <c r="AD327">
        <f>SUMPRODUCT(DB_STProjectAcct[[#This Row],[Plan01]:[Plan12]],$F$14:$Q$14)/valUnits2</f>
        <v>0.56662500000000005</v>
      </c>
      <c r="AE327">
        <f>SUMPRODUCT(DB_STProjectAcct[[#This Row],[Act01]:[Act12]],$R$14:$AC$14)/valUnits2</f>
        <v>0.95739000000000007</v>
      </c>
      <c r="AF327">
        <f>DB_STProjectAcct[[#This Row],[Actual]]-DB_STProjectAcct[[#This Row],[Plan]]</f>
        <v>0.39076500000000003</v>
      </c>
      <c r="AG327">
        <f>IF(DB_STProjectAcct[[#This Row],[Plan]]&lt;&gt;0,DB_STProjectAcct[[#This Row],[Actual]]/DB_STProjectAcct[[#This Row],[Plan]],1.000011000011)</f>
        <v>1.6896360026472534</v>
      </c>
    </row>
    <row r="328" spans="1:33" hidden="1" x14ac:dyDescent="0.2">
      <c r="A328" t="s">
        <v>1315</v>
      </c>
      <c r="B328" t="s">
        <v>346</v>
      </c>
      <c r="C328" t="s">
        <v>518</v>
      </c>
      <c r="D328" t="s">
        <v>957</v>
      </c>
      <c r="E328" t="s">
        <v>143</v>
      </c>
      <c r="F328">
        <v>0</v>
      </c>
      <c r="H328">
        <v>0</v>
      </c>
      <c r="I328">
        <v>0</v>
      </c>
      <c r="J328">
        <v>0</v>
      </c>
      <c r="K328">
        <v>1677.8579999999999</v>
      </c>
      <c r="L328">
        <v>1677.8579999999999</v>
      </c>
      <c r="M328">
        <v>1677.8579999999999</v>
      </c>
      <c r="N328">
        <v>1677.8579999999999</v>
      </c>
      <c r="O328">
        <v>1677.8579999999999</v>
      </c>
      <c r="P328">
        <v>1677.8579999999999</v>
      </c>
      <c r="Q328">
        <v>1677.8579999999999</v>
      </c>
      <c r="R328">
        <v>0</v>
      </c>
      <c r="T328">
        <v>19.739999999999998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 s="297">
        <v>0</v>
      </c>
      <c r="AD328">
        <f>SUMPRODUCT(DB_STProjectAcct[[#This Row],[Plan01]:[Plan12]],$F$14:$Q$14)/valUnits2</f>
        <v>1.6778579999999998</v>
      </c>
      <c r="AE328">
        <f>SUMPRODUCT(DB_STProjectAcct[[#This Row],[Act01]:[Act12]],$R$14:$AC$14)/valUnits2</f>
        <v>1.9739999999999997E-2</v>
      </c>
      <c r="AF328">
        <f>DB_STProjectAcct[[#This Row],[Actual]]-DB_STProjectAcct[[#This Row],[Plan]]</f>
        <v>-1.6581179999999998</v>
      </c>
      <c r="AG328">
        <f>IF(DB_STProjectAcct[[#This Row],[Plan]]&lt;&gt;0,DB_STProjectAcct[[#This Row],[Actual]]/DB_STProjectAcct[[#This Row],[Plan]],1.000011000011)</f>
        <v>1.1765000375478734E-2</v>
      </c>
    </row>
    <row r="329" spans="1:33" hidden="1" x14ac:dyDescent="0.2">
      <c r="A329" t="s">
        <v>1316</v>
      </c>
      <c r="B329" t="s">
        <v>346</v>
      </c>
      <c r="C329" t="s">
        <v>518</v>
      </c>
      <c r="D329" t="s">
        <v>957</v>
      </c>
      <c r="E329" t="s">
        <v>235</v>
      </c>
      <c r="F329">
        <v>98.831999999999994</v>
      </c>
      <c r="G329">
        <v>0</v>
      </c>
      <c r="H329">
        <v>196.89400000000001</v>
      </c>
      <c r="I329">
        <v>0</v>
      </c>
      <c r="J329">
        <v>16.802</v>
      </c>
      <c r="K329">
        <v>608.00699999999995</v>
      </c>
      <c r="L329">
        <v>608.00699999999995</v>
      </c>
      <c r="M329">
        <v>608.00699999999995</v>
      </c>
      <c r="N329">
        <v>608.00699999999995</v>
      </c>
      <c r="O329">
        <v>608.00699999999995</v>
      </c>
      <c r="P329">
        <v>608.00699999999995</v>
      </c>
      <c r="Q329">
        <v>608.00699999999995</v>
      </c>
      <c r="R329">
        <v>100.85</v>
      </c>
      <c r="S329">
        <v>0</v>
      </c>
      <c r="T329">
        <v>201.01</v>
      </c>
      <c r="U329">
        <v>0</v>
      </c>
      <c r="V329">
        <v>16.77</v>
      </c>
      <c r="W329">
        <v>145.92000000000002</v>
      </c>
      <c r="X329">
        <v>0</v>
      </c>
      <c r="Y329">
        <v>0</v>
      </c>
      <c r="Z329">
        <v>0</v>
      </c>
      <c r="AA329">
        <v>0</v>
      </c>
      <c r="AB329">
        <v>0</v>
      </c>
      <c r="AC329" s="295">
        <v>0</v>
      </c>
      <c r="AD329">
        <f>SUMPRODUCT(DB_STProjectAcct[[#This Row],[Plan01]:[Plan12]],$F$14:$Q$14)/valUnits2</f>
        <v>0.92053499999999999</v>
      </c>
      <c r="AE329">
        <f>SUMPRODUCT(DB_STProjectAcct[[#This Row],[Act01]:[Act12]],$R$14:$AC$14)/valUnits2</f>
        <v>0.46455000000000002</v>
      </c>
      <c r="AF329">
        <f>DB_STProjectAcct[[#This Row],[Actual]]-DB_STProjectAcct[[#This Row],[Plan]]</f>
        <v>-0.45598499999999997</v>
      </c>
      <c r="AG329">
        <f>IF(DB_STProjectAcct[[#This Row],[Plan]]&lt;&gt;0,DB_STProjectAcct[[#This Row],[Actual]]/DB_STProjectAcct[[#This Row],[Plan]],1.000011000011)</f>
        <v>0.50465218595707928</v>
      </c>
    </row>
    <row r="330" spans="1:33" hidden="1" x14ac:dyDescent="0.2">
      <c r="A330" t="s">
        <v>1317</v>
      </c>
      <c r="B330" t="s">
        <v>346</v>
      </c>
      <c r="C330" t="s">
        <v>518</v>
      </c>
      <c r="D330" t="s">
        <v>957</v>
      </c>
      <c r="E330" t="s">
        <v>144</v>
      </c>
      <c r="AC330" s="297"/>
      <c r="AD330">
        <f>SUMPRODUCT(DB_STProjectAcct[[#This Row],[Plan01]:[Plan12]],$F$14:$Q$14)/valUnits2</f>
        <v>0</v>
      </c>
      <c r="AE330">
        <f>SUMPRODUCT(DB_STProjectAcct[[#This Row],[Act01]:[Act12]],$R$14:$AC$14)/valUnits2</f>
        <v>0</v>
      </c>
      <c r="AF330">
        <f>DB_STProjectAcct[[#This Row],[Actual]]-DB_STProjectAcct[[#This Row],[Plan]]</f>
        <v>0</v>
      </c>
      <c r="AG330">
        <f>IF(DB_STProjectAcct[[#This Row],[Plan]]&lt;&gt;0,DB_STProjectAcct[[#This Row],[Actual]]/DB_STProjectAcct[[#This Row],[Plan]],1.000011000011)</f>
        <v>1.0000110000110001</v>
      </c>
    </row>
    <row r="331" spans="1:33" hidden="1" x14ac:dyDescent="0.2">
      <c r="A331" t="s">
        <v>1318</v>
      </c>
      <c r="B331" t="s">
        <v>346</v>
      </c>
      <c r="C331" t="s">
        <v>518</v>
      </c>
      <c r="D331" t="s">
        <v>957</v>
      </c>
      <c r="E331" t="s">
        <v>142</v>
      </c>
      <c r="F331">
        <v>105330.65599999994</v>
      </c>
      <c r="G331">
        <v>-9564.4909999999909</v>
      </c>
      <c r="H331">
        <v>2173.9579999999942</v>
      </c>
      <c r="I331">
        <v>235470.7190000001</v>
      </c>
      <c r="J331">
        <v>173305.98700000002</v>
      </c>
      <c r="K331">
        <v>186768.08500000005</v>
      </c>
      <c r="L331">
        <v>130301.73599999996</v>
      </c>
      <c r="M331">
        <v>129977.83699999997</v>
      </c>
      <c r="N331">
        <v>126271.26199999994</v>
      </c>
      <c r="O331">
        <v>130325.97899999995</v>
      </c>
      <c r="P331">
        <v>146685.46900000007</v>
      </c>
      <c r="Q331">
        <v>134979.64400000006</v>
      </c>
      <c r="R331">
        <v>103106.89</v>
      </c>
      <c r="S331">
        <v>-8190.7700000000086</v>
      </c>
      <c r="T331">
        <v>2234.1499999999969</v>
      </c>
      <c r="U331">
        <v>234141.6099999999</v>
      </c>
      <c r="V331">
        <v>173288.84000000011</v>
      </c>
      <c r="W331">
        <v>24370.459999999992</v>
      </c>
      <c r="X331">
        <v>10521.87</v>
      </c>
      <c r="Y331">
        <v>0</v>
      </c>
      <c r="Z331">
        <v>0</v>
      </c>
      <c r="AA331">
        <v>0</v>
      </c>
      <c r="AB331">
        <v>0</v>
      </c>
      <c r="AC331" s="295">
        <v>0</v>
      </c>
      <c r="AD331">
        <f>SUMPRODUCT(DB_STProjectAcct[[#This Row],[Plan01]:[Plan12]],$F$14:$Q$14)/valUnits2</f>
        <v>693.48491400000012</v>
      </c>
      <c r="AE331">
        <f>SUMPRODUCT(DB_STProjectAcct[[#This Row],[Act01]:[Act12]],$R$14:$AC$14)/valUnits2</f>
        <v>528.95117999999991</v>
      </c>
      <c r="AF331">
        <f>DB_STProjectAcct[[#This Row],[Actual]]-DB_STProjectAcct[[#This Row],[Plan]]</f>
        <v>-164.53373400000021</v>
      </c>
      <c r="AG331">
        <f>IF(DB_STProjectAcct[[#This Row],[Plan]]&lt;&gt;0,DB_STProjectAcct[[#This Row],[Actual]]/DB_STProjectAcct[[#This Row],[Plan]],1.000011000011)</f>
        <v>0.76274360021622589</v>
      </c>
    </row>
    <row r="332" spans="1:33" hidden="1" x14ac:dyDescent="0.2">
      <c r="A332" t="s">
        <v>1319</v>
      </c>
      <c r="B332" t="s">
        <v>346</v>
      </c>
      <c r="C332" t="s">
        <v>518</v>
      </c>
      <c r="D332" t="s">
        <v>957</v>
      </c>
      <c r="E332" t="s">
        <v>140</v>
      </c>
      <c r="F332">
        <v>7277.058</v>
      </c>
      <c r="G332">
        <v>16112.779</v>
      </c>
      <c r="H332">
        <v>8004.8349999999991</v>
      </c>
      <c r="I332">
        <v>17030.932999999997</v>
      </c>
      <c r="J332">
        <v>21722.71699999999</v>
      </c>
      <c r="K332">
        <v>16984.560999999994</v>
      </c>
      <c r="L332">
        <v>14669.857</v>
      </c>
      <c r="M332">
        <v>14669.857000000002</v>
      </c>
      <c r="N332">
        <v>14669.857</v>
      </c>
      <c r="O332">
        <v>14669.857000000002</v>
      </c>
      <c r="P332">
        <v>14669.857000000002</v>
      </c>
      <c r="Q332">
        <v>14669.857000000004</v>
      </c>
      <c r="R332">
        <v>7258.7999999999993</v>
      </c>
      <c r="S332">
        <v>16143.49</v>
      </c>
      <c r="T332">
        <v>8009.329999999999</v>
      </c>
      <c r="U332">
        <v>16991.32</v>
      </c>
      <c r="V332">
        <v>21739.260000000006</v>
      </c>
      <c r="W332">
        <v>23834.280000000006</v>
      </c>
      <c r="X332">
        <v>511</v>
      </c>
      <c r="Y332">
        <v>0</v>
      </c>
      <c r="Z332">
        <v>0</v>
      </c>
      <c r="AA332">
        <v>0</v>
      </c>
      <c r="AB332">
        <v>0</v>
      </c>
      <c r="AC332" s="297">
        <v>0</v>
      </c>
      <c r="AD332">
        <f>SUMPRODUCT(DB_STProjectAcct[[#This Row],[Plan01]:[Plan12]],$F$14:$Q$14)/valUnits2</f>
        <v>87.132882999999978</v>
      </c>
      <c r="AE332">
        <f>SUMPRODUCT(DB_STProjectAcct[[#This Row],[Act01]:[Act12]],$R$14:$AC$14)/valUnits2</f>
        <v>93.976480000000009</v>
      </c>
      <c r="AF332">
        <f>DB_STProjectAcct[[#This Row],[Actual]]-DB_STProjectAcct[[#This Row],[Plan]]</f>
        <v>6.843597000000031</v>
      </c>
      <c r="AG332">
        <f>IF(DB_STProjectAcct[[#This Row],[Plan]]&lt;&gt;0,DB_STProjectAcct[[#This Row],[Actual]]/DB_STProjectAcct[[#This Row],[Plan]],1.000011000011)</f>
        <v>1.0785420700471948</v>
      </c>
    </row>
    <row r="333" spans="1:33" hidden="1" x14ac:dyDescent="0.2">
      <c r="A333" t="s">
        <v>1320</v>
      </c>
      <c r="B333" t="s">
        <v>346</v>
      </c>
      <c r="C333" t="s">
        <v>518</v>
      </c>
      <c r="D333" t="s">
        <v>957</v>
      </c>
      <c r="E333" t="s">
        <v>236</v>
      </c>
      <c r="F333">
        <v>0</v>
      </c>
      <c r="G333">
        <v>21.74</v>
      </c>
      <c r="H333">
        <v>0</v>
      </c>
      <c r="I333">
        <v>868.65499999999997</v>
      </c>
      <c r="J333">
        <v>0</v>
      </c>
      <c r="K333">
        <v>1083.3330000000001</v>
      </c>
      <c r="L333">
        <v>2337.4719999999998</v>
      </c>
      <c r="M333">
        <v>1083.3330000000001</v>
      </c>
      <c r="N333">
        <v>1083.3330000000001</v>
      </c>
      <c r="O333">
        <v>1083.3330000000001</v>
      </c>
      <c r="P333">
        <v>1083.3330000000001</v>
      </c>
      <c r="Q333">
        <v>1083.3330000000001</v>
      </c>
      <c r="R333">
        <v>0</v>
      </c>
      <c r="S333">
        <v>21.74</v>
      </c>
      <c r="T333">
        <v>0</v>
      </c>
      <c r="U333">
        <v>870.51</v>
      </c>
      <c r="V333">
        <v>0</v>
      </c>
      <c r="W333">
        <v>187.08999999999992</v>
      </c>
      <c r="X333">
        <v>0</v>
      </c>
      <c r="Y333">
        <v>0</v>
      </c>
      <c r="Z333">
        <v>0</v>
      </c>
      <c r="AA333">
        <v>0</v>
      </c>
      <c r="AB333">
        <v>0</v>
      </c>
      <c r="AC333" s="295">
        <v>0</v>
      </c>
      <c r="AD333">
        <f>SUMPRODUCT(DB_STProjectAcct[[#This Row],[Plan01]:[Plan12]],$F$14:$Q$14)/valUnits2</f>
        <v>1.9737280000000001</v>
      </c>
      <c r="AE333">
        <f>SUMPRODUCT(DB_STProjectAcct[[#This Row],[Act01]:[Act12]],$R$14:$AC$14)/valUnits2</f>
        <v>1.07934</v>
      </c>
      <c r="AF333">
        <f>DB_STProjectAcct[[#This Row],[Actual]]-DB_STProjectAcct[[#This Row],[Plan]]</f>
        <v>-0.89438800000000018</v>
      </c>
      <c r="AG333">
        <f>IF(DB_STProjectAcct[[#This Row],[Plan]]&lt;&gt;0,DB_STProjectAcct[[#This Row],[Actual]]/DB_STProjectAcct[[#This Row],[Plan]],1.000011000011)</f>
        <v>0.54685346714440886</v>
      </c>
    </row>
    <row r="334" spans="1:33" hidden="1" x14ac:dyDescent="0.2">
      <c r="A334" t="s">
        <v>1321</v>
      </c>
      <c r="B334" t="s">
        <v>346</v>
      </c>
      <c r="C334" t="s">
        <v>518</v>
      </c>
      <c r="D334" t="s">
        <v>957</v>
      </c>
      <c r="E334" t="s">
        <v>237</v>
      </c>
      <c r="F334">
        <v>4.7240000000000002</v>
      </c>
      <c r="G334">
        <v>384.03899999999999</v>
      </c>
      <c r="I334">
        <v>144.87700000000001</v>
      </c>
      <c r="J334">
        <v>403.791</v>
      </c>
      <c r="K334">
        <v>0</v>
      </c>
      <c r="R334">
        <v>4.82</v>
      </c>
      <c r="S334">
        <v>383.65999999999997</v>
      </c>
      <c r="U334">
        <v>144.69999999999999</v>
      </c>
      <c r="V334">
        <v>404</v>
      </c>
      <c r="W334">
        <v>923.97</v>
      </c>
      <c r="AC334" s="297"/>
      <c r="AD334">
        <f>SUMPRODUCT(DB_STProjectAcct[[#This Row],[Plan01]:[Plan12]],$F$14:$Q$14)/valUnits2</f>
        <v>0.93743100000000001</v>
      </c>
      <c r="AE334">
        <f>SUMPRODUCT(DB_STProjectAcct[[#This Row],[Act01]:[Act12]],$R$14:$AC$14)/valUnits2</f>
        <v>1.8611500000000001</v>
      </c>
      <c r="AF334">
        <f>DB_STProjectAcct[[#This Row],[Actual]]-DB_STProjectAcct[[#This Row],[Plan]]</f>
        <v>0.92371900000000007</v>
      </c>
      <c r="AG334">
        <f>IF(DB_STProjectAcct[[#This Row],[Plan]]&lt;&gt;0,DB_STProjectAcct[[#This Row],[Actual]]/DB_STProjectAcct[[#This Row],[Plan]],1.000011000011)</f>
        <v>1.9853727901040183</v>
      </c>
    </row>
    <row r="335" spans="1:33" hidden="1" x14ac:dyDescent="0.2">
      <c r="A335" t="s">
        <v>1322</v>
      </c>
      <c r="B335" t="s">
        <v>346</v>
      </c>
      <c r="C335" t="s">
        <v>518</v>
      </c>
      <c r="D335" t="s">
        <v>957</v>
      </c>
      <c r="E335" t="s">
        <v>141</v>
      </c>
      <c r="F335">
        <v>-6686.7079999999996</v>
      </c>
      <c r="G335">
        <v>1395.1739999999998</v>
      </c>
      <c r="H335">
        <v>900.58400000000006</v>
      </c>
      <c r="I335">
        <v>2329.355</v>
      </c>
      <c r="J335">
        <v>11895.828000000001</v>
      </c>
      <c r="K335">
        <v>4165.848</v>
      </c>
      <c r="L335">
        <v>4165.848</v>
      </c>
      <c r="M335">
        <v>5040.848</v>
      </c>
      <c r="N335">
        <v>4165.848</v>
      </c>
      <c r="O335">
        <v>4165.848</v>
      </c>
      <c r="P335">
        <v>4165.848</v>
      </c>
      <c r="Q335">
        <v>4165.848</v>
      </c>
      <c r="R335">
        <v>-6570.869999999999</v>
      </c>
      <c r="S335">
        <v>1402.87</v>
      </c>
      <c r="T335">
        <v>903.96</v>
      </c>
      <c r="U335">
        <v>2328.6600000000003</v>
      </c>
      <c r="V335">
        <v>11929.200000000003</v>
      </c>
      <c r="W335">
        <v>8514.3900000000012</v>
      </c>
      <c r="X335">
        <v>0</v>
      </c>
      <c r="Y335">
        <v>0</v>
      </c>
      <c r="Z335">
        <v>0</v>
      </c>
      <c r="AA335">
        <v>0</v>
      </c>
      <c r="AB335">
        <v>0</v>
      </c>
      <c r="AC335" s="295">
        <v>0</v>
      </c>
      <c r="AD335">
        <f>SUMPRODUCT(DB_STProjectAcct[[#This Row],[Plan01]:[Plan12]],$F$14:$Q$14)/valUnits2</f>
        <v>14.000081000000002</v>
      </c>
      <c r="AE335">
        <f>SUMPRODUCT(DB_STProjectAcct[[#This Row],[Act01]:[Act12]],$R$14:$AC$14)/valUnits2</f>
        <v>18.508210000000005</v>
      </c>
      <c r="AF335">
        <f>DB_STProjectAcct[[#This Row],[Actual]]-DB_STProjectAcct[[#This Row],[Plan]]</f>
        <v>4.5081290000000038</v>
      </c>
      <c r="AG335">
        <f>IF(DB_STProjectAcct[[#This Row],[Plan]]&lt;&gt;0,DB_STProjectAcct[[#This Row],[Actual]]/DB_STProjectAcct[[#This Row],[Plan]],1.000011000011)</f>
        <v>1.3220073512431822</v>
      </c>
    </row>
    <row r="336" spans="1:33" hidden="1" x14ac:dyDescent="0.2">
      <c r="A336" t="s">
        <v>1323</v>
      </c>
      <c r="B336" t="s">
        <v>347</v>
      </c>
      <c r="C336" t="s">
        <v>519</v>
      </c>
      <c r="D336" t="s">
        <v>945</v>
      </c>
      <c r="E336" t="s">
        <v>143</v>
      </c>
      <c r="F336">
        <v>3490.8149999999996</v>
      </c>
      <c r="G336">
        <v>4127.9110000000001</v>
      </c>
      <c r="H336">
        <v>3782.5720000000001</v>
      </c>
      <c r="I336">
        <v>8741.5110000000004</v>
      </c>
      <c r="J336">
        <v>19578.954000000002</v>
      </c>
      <c r="K336">
        <v>1330.0070000000001</v>
      </c>
      <c r="L336">
        <v>1330.0070000000001</v>
      </c>
      <c r="M336">
        <v>1330.0070000000001</v>
      </c>
      <c r="N336">
        <v>1330.0070000000001</v>
      </c>
      <c r="O336">
        <v>1330.0070000000001</v>
      </c>
      <c r="P336">
        <v>1330.0070000000001</v>
      </c>
      <c r="Q336">
        <v>1330.0070000000001</v>
      </c>
      <c r="R336">
        <v>3273.4999999999995</v>
      </c>
      <c r="S336">
        <v>3981.99</v>
      </c>
      <c r="T336">
        <v>3704.32</v>
      </c>
      <c r="U336">
        <v>7521.9900000000007</v>
      </c>
      <c r="V336">
        <v>17569.86</v>
      </c>
      <c r="W336">
        <v>5545.8799999999992</v>
      </c>
      <c r="X336">
        <v>0</v>
      </c>
      <c r="Y336">
        <v>0</v>
      </c>
      <c r="Z336">
        <v>0</v>
      </c>
      <c r="AA336">
        <v>0</v>
      </c>
      <c r="AB336">
        <v>0</v>
      </c>
      <c r="AC336" s="297">
        <v>0</v>
      </c>
      <c r="AD336">
        <f>SUMPRODUCT(DB_STProjectAcct[[#This Row],[Plan01]:[Plan12]],$F$14:$Q$14)/valUnits2</f>
        <v>41.051770000000005</v>
      </c>
      <c r="AE336">
        <f>SUMPRODUCT(DB_STProjectAcct[[#This Row],[Act01]:[Act12]],$R$14:$AC$14)/valUnits2</f>
        <v>41.597540000000002</v>
      </c>
      <c r="AF336">
        <f>DB_STProjectAcct[[#This Row],[Actual]]-DB_STProjectAcct[[#This Row],[Plan]]</f>
        <v>0.54576999999999742</v>
      </c>
      <c r="AG336">
        <f>IF(DB_STProjectAcct[[#This Row],[Plan]]&lt;&gt;0,DB_STProjectAcct[[#This Row],[Actual]]/DB_STProjectAcct[[#This Row],[Plan]],1.000011000011)</f>
        <v>1.0132946764536583</v>
      </c>
    </row>
    <row r="337" spans="1:33" hidden="1" x14ac:dyDescent="0.2">
      <c r="A337" t="s">
        <v>1324</v>
      </c>
      <c r="B337" t="s">
        <v>347</v>
      </c>
      <c r="C337" t="s">
        <v>519</v>
      </c>
      <c r="D337" t="s">
        <v>945</v>
      </c>
      <c r="E337" t="s">
        <v>235</v>
      </c>
      <c r="F337">
        <v>416.99099999999999</v>
      </c>
      <c r="G337">
        <v>912.67</v>
      </c>
      <c r="H337">
        <v>3116.3290000000002</v>
      </c>
      <c r="I337">
        <v>2768.7299999999996</v>
      </c>
      <c r="J337">
        <v>2326.04</v>
      </c>
      <c r="K337">
        <v>443.33600000000001</v>
      </c>
      <c r="L337">
        <v>443.33600000000001</v>
      </c>
      <c r="M337">
        <v>443.33600000000001</v>
      </c>
      <c r="N337">
        <v>443.33600000000001</v>
      </c>
      <c r="O337">
        <v>443.33600000000001</v>
      </c>
      <c r="P337">
        <v>443.33600000000001</v>
      </c>
      <c r="Q337">
        <v>443.33600000000001</v>
      </c>
      <c r="R337">
        <v>420.24</v>
      </c>
      <c r="S337">
        <v>916.50999999999988</v>
      </c>
      <c r="T337">
        <v>3063.02</v>
      </c>
      <c r="U337">
        <v>2342.5299999999997</v>
      </c>
      <c r="V337">
        <v>2024.21</v>
      </c>
      <c r="W337">
        <v>3726.03</v>
      </c>
      <c r="X337">
        <v>0</v>
      </c>
      <c r="Y337">
        <v>0</v>
      </c>
      <c r="Z337">
        <v>0</v>
      </c>
      <c r="AA337">
        <v>0</v>
      </c>
      <c r="AB337">
        <v>0</v>
      </c>
      <c r="AC337" s="295">
        <v>0</v>
      </c>
      <c r="AD337">
        <f>SUMPRODUCT(DB_STProjectAcct[[#This Row],[Plan01]:[Plan12]],$F$14:$Q$14)/valUnits2</f>
        <v>9.9840959999999974</v>
      </c>
      <c r="AE337">
        <f>SUMPRODUCT(DB_STProjectAcct[[#This Row],[Act01]:[Act12]],$R$14:$AC$14)/valUnits2</f>
        <v>12.492540000000002</v>
      </c>
      <c r="AF337">
        <f>DB_STProjectAcct[[#This Row],[Actual]]-DB_STProjectAcct[[#This Row],[Plan]]</f>
        <v>2.5084440000000043</v>
      </c>
      <c r="AG337">
        <f>IF(DB_STProjectAcct[[#This Row],[Plan]]&lt;&gt;0,DB_STProjectAcct[[#This Row],[Actual]]/DB_STProjectAcct[[#This Row],[Plan]],1.000011000011)</f>
        <v>1.2512439784232849</v>
      </c>
    </row>
    <row r="338" spans="1:33" hidden="1" x14ac:dyDescent="0.2">
      <c r="A338" t="s">
        <v>1325</v>
      </c>
      <c r="B338" t="s">
        <v>347</v>
      </c>
      <c r="C338" t="s">
        <v>519</v>
      </c>
      <c r="D338" t="s">
        <v>945</v>
      </c>
      <c r="E338" t="s">
        <v>144</v>
      </c>
      <c r="AC338" s="297"/>
      <c r="AD338">
        <f>SUMPRODUCT(DB_STProjectAcct[[#This Row],[Plan01]:[Plan12]],$F$14:$Q$14)/valUnits2</f>
        <v>0</v>
      </c>
      <c r="AE338">
        <f>SUMPRODUCT(DB_STProjectAcct[[#This Row],[Act01]:[Act12]],$R$14:$AC$14)/valUnits2</f>
        <v>0</v>
      </c>
      <c r="AF338">
        <f>DB_STProjectAcct[[#This Row],[Actual]]-DB_STProjectAcct[[#This Row],[Plan]]</f>
        <v>0</v>
      </c>
      <c r="AG338">
        <f>IF(DB_STProjectAcct[[#This Row],[Plan]]&lt;&gt;0,DB_STProjectAcct[[#This Row],[Actual]]/DB_STProjectAcct[[#This Row],[Plan]],1.000011000011)</f>
        <v>1.0000110000110001</v>
      </c>
    </row>
    <row r="339" spans="1:33" hidden="1" x14ac:dyDescent="0.2">
      <c r="A339" t="s">
        <v>1326</v>
      </c>
      <c r="B339" t="s">
        <v>347</v>
      </c>
      <c r="C339" t="s">
        <v>519</v>
      </c>
      <c r="D339" t="s">
        <v>945</v>
      </c>
      <c r="E339" t="s">
        <v>142</v>
      </c>
      <c r="AC339" s="295"/>
      <c r="AD339">
        <f>SUMPRODUCT(DB_STProjectAcct[[#This Row],[Plan01]:[Plan12]],$F$14:$Q$14)/valUnits2</f>
        <v>0</v>
      </c>
      <c r="AE339">
        <f>SUMPRODUCT(DB_STProjectAcct[[#This Row],[Act01]:[Act12]],$R$14:$AC$14)/valUnits2</f>
        <v>0</v>
      </c>
      <c r="AF339">
        <f>DB_STProjectAcct[[#This Row],[Actual]]-DB_STProjectAcct[[#This Row],[Plan]]</f>
        <v>0</v>
      </c>
      <c r="AG339">
        <f>IF(DB_STProjectAcct[[#This Row],[Plan]]&lt;&gt;0,DB_STProjectAcct[[#This Row],[Actual]]/DB_STProjectAcct[[#This Row],[Plan]],1.000011000011)</f>
        <v>1.0000110000110001</v>
      </c>
    </row>
    <row r="340" spans="1:33" hidden="1" x14ac:dyDescent="0.2">
      <c r="A340" t="s">
        <v>1327</v>
      </c>
      <c r="B340" t="s">
        <v>347</v>
      </c>
      <c r="C340" t="s">
        <v>519</v>
      </c>
      <c r="D340" t="s">
        <v>945</v>
      </c>
      <c r="E340" t="s">
        <v>140</v>
      </c>
      <c r="F340">
        <v>75221.471999999994</v>
      </c>
      <c r="G340">
        <v>70970.055999999997</v>
      </c>
      <c r="H340">
        <v>80178.351999999999</v>
      </c>
      <c r="I340">
        <v>99079.525999999998</v>
      </c>
      <c r="J340">
        <v>102391.02299999999</v>
      </c>
      <c r="K340">
        <v>21711.539000000001</v>
      </c>
      <c r="L340">
        <v>49594.952999999994</v>
      </c>
      <c r="M340">
        <v>49594.952999999994</v>
      </c>
      <c r="N340">
        <v>49594.952999999994</v>
      </c>
      <c r="O340">
        <v>49594.952999999994</v>
      </c>
      <c r="P340">
        <v>49594.952999999994</v>
      </c>
      <c r="Q340">
        <v>49594.952999999994</v>
      </c>
      <c r="R340">
        <v>50620.36</v>
      </c>
      <c r="S340">
        <v>47254.020000000004</v>
      </c>
      <c r="T340">
        <v>56187.780000000006</v>
      </c>
      <c r="U340">
        <v>75107.539999999994</v>
      </c>
      <c r="V340">
        <v>78481.679999999993</v>
      </c>
      <c r="W340">
        <v>81877.16</v>
      </c>
      <c r="X340">
        <v>0</v>
      </c>
      <c r="Y340">
        <v>0</v>
      </c>
      <c r="Z340">
        <v>0</v>
      </c>
      <c r="AA340">
        <v>0</v>
      </c>
      <c r="AB340">
        <v>0</v>
      </c>
      <c r="AC340" s="297">
        <v>0</v>
      </c>
      <c r="AD340">
        <f>SUMPRODUCT(DB_STProjectAcct[[#This Row],[Plan01]:[Plan12]],$F$14:$Q$14)/valUnits2</f>
        <v>449.55196799999999</v>
      </c>
      <c r="AE340">
        <f>SUMPRODUCT(DB_STProjectAcct[[#This Row],[Act01]:[Act12]],$R$14:$AC$14)/valUnits2</f>
        <v>389.52854000000002</v>
      </c>
      <c r="AF340">
        <f>DB_STProjectAcct[[#This Row],[Actual]]-DB_STProjectAcct[[#This Row],[Plan]]</f>
        <v>-60.023427999999967</v>
      </c>
      <c r="AG340">
        <f>IF(DB_STProjectAcct[[#This Row],[Plan]]&lt;&gt;0,DB_STProjectAcct[[#This Row],[Actual]]/DB_STProjectAcct[[#This Row],[Plan]],1.000011000011)</f>
        <v>0.86648167003464216</v>
      </c>
    </row>
    <row r="341" spans="1:33" hidden="1" x14ac:dyDescent="0.2">
      <c r="A341" t="s">
        <v>1328</v>
      </c>
      <c r="B341" t="s">
        <v>347</v>
      </c>
      <c r="C341" t="s">
        <v>519</v>
      </c>
      <c r="D341" t="s">
        <v>945</v>
      </c>
      <c r="E341" t="s">
        <v>236</v>
      </c>
      <c r="F341">
        <v>36374.146000000001</v>
      </c>
      <c r="G341">
        <v>-36.275999999999982</v>
      </c>
      <c r="H341">
        <v>83768.982000000004</v>
      </c>
      <c r="I341">
        <v>5735.2420000000002</v>
      </c>
      <c r="J341">
        <v>58631.053999999996</v>
      </c>
      <c r="K341">
        <v>2828.085</v>
      </c>
      <c r="L341">
        <v>2828.085</v>
      </c>
      <c r="M341">
        <v>2828.085</v>
      </c>
      <c r="N341">
        <v>2828.085</v>
      </c>
      <c r="O341">
        <v>2828.085</v>
      </c>
      <c r="P341">
        <v>2828.085</v>
      </c>
      <c r="Q341">
        <v>2828.085</v>
      </c>
      <c r="R341">
        <v>36352.729999999996</v>
      </c>
      <c r="S341">
        <v>-35.470000000000027</v>
      </c>
      <c r="T341">
        <v>81858.430000000008</v>
      </c>
      <c r="U341">
        <v>2818.8500000000004</v>
      </c>
      <c r="V341">
        <v>54333.729999999996</v>
      </c>
      <c r="W341">
        <v>18427.32</v>
      </c>
      <c r="X341">
        <v>0</v>
      </c>
      <c r="Y341">
        <v>0</v>
      </c>
      <c r="Z341">
        <v>0</v>
      </c>
      <c r="AA341">
        <v>0</v>
      </c>
      <c r="AB341">
        <v>0</v>
      </c>
      <c r="AC341" s="295">
        <v>0</v>
      </c>
      <c r="AD341">
        <f>SUMPRODUCT(DB_STProjectAcct[[#This Row],[Plan01]:[Plan12]],$F$14:$Q$14)/valUnits2</f>
        <v>187.301233</v>
      </c>
      <c r="AE341">
        <f>SUMPRODUCT(DB_STProjectAcct[[#This Row],[Act01]:[Act12]],$R$14:$AC$14)/valUnits2</f>
        <v>193.75559000000001</v>
      </c>
      <c r="AF341">
        <f>DB_STProjectAcct[[#This Row],[Actual]]-DB_STProjectAcct[[#This Row],[Plan]]</f>
        <v>6.4543570000000159</v>
      </c>
      <c r="AG341">
        <f>IF(DB_STProjectAcct[[#This Row],[Plan]]&lt;&gt;0,DB_STProjectAcct[[#This Row],[Actual]]/DB_STProjectAcct[[#This Row],[Plan]],1.000011000011)</f>
        <v>1.0344597678115659</v>
      </c>
    </row>
    <row r="342" spans="1:33" hidden="1" x14ac:dyDescent="0.2">
      <c r="A342" t="s">
        <v>1329</v>
      </c>
      <c r="B342" t="s">
        <v>347</v>
      </c>
      <c r="C342" t="s">
        <v>519</v>
      </c>
      <c r="D342" t="s">
        <v>945</v>
      </c>
      <c r="E342" t="s">
        <v>237</v>
      </c>
      <c r="F342">
        <v>6582.12</v>
      </c>
      <c r="G342">
        <v>3052.9490000000005</v>
      </c>
      <c r="H342">
        <v>4783.0349999999999</v>
      </c>
      <c r="I342">
        <v>1208.336</v>
      </c>
      <c r="J342">
        <v>548.19100000000003</v>
      </c>
      <c r="K342">
        <v>0</v>
      </c>
      <c r="R342">
        <v>6223.32</v>
      </c>
      <c r="S342">
        <v>2925.2699999999995</v>
      </c>
      <c r="T342">
        <v>4595.71</v>
      </c>
      <c r="U342">
        <v>1172.24</v>
      </c>
      <c r="V342">
        <v>533.73</v>
      </c>
      <c r="W342">
        <v>966.68999999999994</v>
      </c>
      <c r="AC342" s="297"/>
      <c r="AD342">
        <f>SUMPRODUCT(DB_STProjectAcct[[#This Row],[Plan01]:[Plan12]],$F$14:$Q$14)/valUnits2</f>
        <v>16.174630999999998</v>
      </c>
      <c r="AE342">
        <f>SUMPRODUCT(DB_STProjectAcct[[#This Row],[Act01]:[Act12]],$R$14:$AC$14)/valUnits2</f>
        <v>16.41696</v>
      </c>
      <c r="AF342">
        <f>DB_STProjectAcct[[#This Row],[Actual]]-DB_STProjectAcct[[#This Row],[Plan]]</f>
        <v>0.24232900000000157</v>
      </c>
      <c r="AG342">
        <f>IF(DB_STProjectAcct[[#This Row],[Plan]]&lt;&gt;0,DB_STProjectAcct[[#This Row],[Actual]]/DB_STProjectAcct[[#This Row],[Plan]],1.000011000011)</f>
        <v>1.0149820419396276</v>
      </c>
    </row>
    <row r="343" spans="1:33" hidden="1" x14ac:dyDescent="0.2">
      <c r="A343" t="s">
        <v>1330</v>
      </c>
      <c r="B343" t="s">
        <v>347</v>
      </c>
      <c r="C343" t="s">
        <v>519</v>
      </c>
      <c r="D343" t="s">
        <v>945</v>
      </c>
      <c r="E343" t="s">
        <v>141</v>
      </c>
      <c r="F343">
        <v>18492.177</v>
      </c>
      <c r="G343">
        <v>15033.516</v>
      </c>
      <c r="H343">
        <v>14882.715</v>
      </c>
      <c r="I343">
        <v>40890.318999999996</v>
      </c>
      <c r="J343">
        <v>44599.170999999995</v>
      </c>
      <c r="K343">
        <v>35667.606</v>
      </c>
      <c r="L343">
        <v>35667.606</v>
      </c>
      <c r="M343">
        <v>35667.606</v>
      </c>
      <c r="N343">
        <v>35667.606</v>
      </c>
      <c r="O343">
        <v>35667.606</v>
      </c>
      <c r="P343">
        <v>35667.606</v>
      </c>
      <c r="Q343">
        <v>35667.606</v>
      </c>
      <c r="R343">
        <v>5310.1699999999992</v>
      </c>
      <c r="S343">
        <v>2063.9299999999998</v>
      </c>
      <c r="T343">
        <v>1928.8100000000002</v>
      </c>
      <c r="U343">
        <v>5083.4900000000007</v>
      </c>
      <c r="V343">
        <v>8660.73</v>
      </c>
      <c r="W343">
        <v>3899.6899999999996</v>
      </c>
      <c r="X343">
        <v>5924.21</v>
      </c>
      <c r="Y343">
        <v>0</v>
      </c>
      <c r="Z343">
        <v>0</v>
      </c>
      <c r="AA343">
        <v>0</v>
      </c>
      <c r="AB343">
        <v>0</v>
      </c>
      <c r="AC343" s="295">
        <v>0</v>
      </c>
      <c r="AD343">
        <f>SUMPRODUCT(DB_STProjectAcct[[#This Row],[Plan01]:[Plan12]],$F$14:$Q$14)/valUnits2</f>
        <v>169.56550399999998</v>
      </c>
      <c r="AE343">
        <f>SUMPRODUCT(DB_STProjectAcct[[#This Row],[Act01]:[Act12]],$R$14:$AC$14)/valUnits2</f>
        <v>26.946819999999995</v>
      </c>
      <c r="AF343">
        <f>DB_STProjectAcct[[#This Row],[Actual]]-DB_STProjectAcct[[#This Row],[Plan]]</f>
        <v>-142.61868399999997</v>
      </c>
      <c r="AG343">
        <f>IF(DB_STProjectAcct[[#This Row],[Plan]]&lt;&gt;0,DB_STProjectAcct[[#This Row],[Actual]]/DB_STProjectAcct[[#This Row],[Plan]],1.000011000011)</f>
        <v>0.15891687497947696</v>
      </c>
    </row>
    <row r="344" spans="1:33" hidden="1" x14ac:dyDescent="0.2">
      <c r="A344" t="s">
        <v>1331</v>
      </c>
      <c r="B344" t="s">
        <v>347</v>
      </c>
      <c r="C344" t="s">
        <v>519</v>
      </c>
      <c r="D344" t="s">
        <v>948</v>
      </c>
      <c r="E344" t="s">
        <v>143</v>
      </c>
      <c r="AC344" s="297"/>
      <c r="AD344">
        <f>SUMPRODUCT(DB_STProjectAcct[[#This Row],[Plan01]:[Plan12]],$F$14:$Q$14)/valUnits2</f>
        <v>0</v>
      </c>
      <c r="AE344">
        <f>SUMPRODUCT(DB_STProjectAcct[[#This Row],[Act01]:[Act12]],$R$14:$AC$14)/valUnits2</f>
        <v>0</v>
      </c>
      <c r="AF344">
        <f>DB_STProjectAcct[[#This Row],[Actual]]-DB_STProjectAcct[[#This Row],[Plan]]</f>
        <v>0</v>
      </c>
      <c r="AG344">
        <f>IF(DB_STProjectAcct[[#This Row],[Plan]]&lt;&gt;0,DB_STProjectAcct[[#This Row],[Actual]]/DB_STProjectAcct[[#This Row],[Plan]],1.000011000011)</f>
        <v>1.0000110000110001</v>
      </c>
    </row>
    <row r="345" spans="1:33" hidden="1" x14ac:dyDescent="0.2">
      <c r="A345" t="s">
        <v>1332</v>
      </c>
      <c r="B345" t="s">
        <v>347</v>
      </c>
      <c r="C345" t="s">
        <v>519</v>
      </c>
      <c r="D345" t="s">
        <v>948</v>
      </c>
      <c r="E345" t="s">
        <v>235</v>
      </c>
      <c r="AC345" s="295"/>
      <c r="AD345">
        <f>SUMPRODUCT(DB_STProjectAcct[[#This Row],[Plan01]:[Plan12]],$F$14:$Q$14)/valUnits2</f>
        <v>0</v>
      </c>
      <c r="AE345">
        <f>SUMPRODUCT(DB_STProjectAcct[[#This Row],[Act01]:[Act12]],$R$14:$AC$14)/valUnits2</f>
        <v>0</v>
      </c>
      <c r="AF345">
        <f>DB_STProjectAcct[[#This Row],[Actual]]-DB_STProjectAcct[[#This Row],[Plan]]</f>
        <v>0</v>
      </c>
      <c r="AG345">
        <f>IF(DB_STProjectAcct[[#This Row],[Plan]]&lt;&gt;0,DB_STProjectAcct[[#This Row],[Actual]]/DB_STProjectAcct[[#This Row],[Plan]],1.000011000011)</f>
        <v>1.0000110000110001</v>
      </c>
    </row>
    <row r="346" spans="1:33" hidden="1" x14ac:dyDescent="0.2">
      <c r="A346" t="s">
        <v>1333</v>
      </c>
      <c r="B346" t="s">
        <v>347</v>
      </c>
      <c r="C346" t="s">
        <v>519</v>
      </c>
      <c r="D346" t="s">
        <v>948</v>
      </c>
      <c r="E346" t="s">
        <v>144</v>
      </c>
      <c r="AC346" s="297"/>
      <c r="AD346">
        <f>SUMPRODUCT(DB_STProjectAcct[[#This Row],[Plan01]:[Plan12]],$F$14:$Q$14)/valUnits2</f>
        <v>0</v>
      </c>
      <c r="AE346">
        <f>SUMPRODUCT(DB_STProjectAcct[[#This Row],[Act01]:[Act12]],$R$14:$AC$14)/valUnits2</f>
        <v>0</v>
      </c>
      <c r="AF346">
        <f>DB_STProjectAcct[[#This Row],[Actual]]-DB_STProjectAcct[[#This Row],[Plan]]</f>
        <v>0</v>
      </c>
      <c r="AG346">
        <f>IF(DB_STProjectAcct[[#This Row],[Plan]]&lt;&gt;0,DB_STProjectAcct[[#This Row],[Actual]]/DB_STProjectAcct[[#This Row],[Plan]],1.000011000011)</f>
        <v>1.0000110000110001</v>
      </c>
    </row>
    <row r="347" spans="1:33" hidden="1" x14ac:dyDescent="0.2">
      <c r="A347" t="s">
        <v>1334</v>
      </c>
      <c r="B347" t="s">
        <v>347</v>
      </c>
      <c r="C347" t="s">
        <v>519</v>
      </c>
      <c r="D347" t="s">
        <v>948</v>
      </c>
      <c r="E347" t="s">
        <v>142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 s="295">
        <v>0</v>
      </c>
      <c r="AD347">
        <f>SUMPRODUCT(DB_STProjectAcct[[#This Row],[Plan01]:[Plan12]],$F$14:$Q$14)/valUnits2</f>
        <v>0</v>
      </c>
      <c r="AE347">
        <f>SUMPRODUCT(DB_STProjectAcct[[#This Row],[Act01]:[Act12]],$R$14:$AC$14)/valUnits2</f>
        <v>0</v>
      </c>
      <c r="AF347">
        <f>DB_STProjectAcct[[#This Row],[Actual]]-DB_STProjectAcct[[#This Row],[Plan]]</f>
        <v>0</v>
      </c>
      <c r="AG347">
        <f>IF(DB_STProjectAcct[[#This Row],[Plan]]&lt;&gt;0,DB_STProjectAcct[[#This Row],[Actual]]/DB_STProjectAcct[[#This Row],[Plan]],1.000011000011)</f>
        <v>1.0000110000110001</v>
      </c>
    </row>
    <row r="348" spans="1:33" hidden="1" x14ac:dyDescent="0.2">
      <c r="A348" t="s">
        <v>1335</v>
      </c>
      <c r="B348" t="s">
        <v>347</v>
      </c>
      <c r="C348" t="s">
        <v>519</v>
      </c>
      <c r="D348" t="s">
        <v>948</v>
      </c>
      <c r="E348" t="s">
        <v>140</v>
      </c>
      <c r="I348">
        <v>875.94500000000005</v>
      </c>
      <c r="J348">
        <v>863.30100000000004</v>
      </c>
      <c r="K348">
        <v>0</v>
      </c>
      <c r="U348">
        <v>850.24</v>
      </c>
      <c r="V348">
        <v>840.46</v>
      </c>
      <c r="W348">
        <v>65.81</v>
      </c>
      <c r="AC348" s="297"/>
      <c r="AD348">
        <f>SUMPRODUCT(DB_STProjectAcct[[#This Row],[Plan01]:[Plan12]],$F$14:$Q$14)/valUnits2</f>
        <v>1.7392460000000001</v>
      </c>
      <c r="AE348">
        <f>SUMPRODUCT(DB_STProjectAcct[[#This Row],[Act01]:[Act12]],$R$14:$AC$14)/valUnits2</f>
        <v>1.75651</v>
      </c>
      <c r="AF348">
        <f>DB_STProjectAcct[[#This Row],[Actual]]-DB_STProjectAcct[[#This Row],[Plan]]</f>
        <v>1.7263999999999946E-2</v>
      </c>
      <c r="AG348">
        <f>IF(DB_STProjectAcct[[#This Row],[Plan]]&lt;&gt;0,DB_STProjectAcct[[#This Row],[Actual]]/DB_STProjectAcct[[#This Row],[Plan]],1.000011000011)</f>
        <v>1.0099261404079698</v>
      </c>
    </row>
    <row r="349" spans="1:33" hidden="1" x14ac:dyDescent="0.2">
      <c r="A349" t="s">
        <v>1336</v>
      </c>
      <c r="B349" t="s">
        <v>347</v>
      </c>
      <c r="C349" t="s">
        <v>519</v>
      </c>
      <c r="D349" t="s">
        <v>948</v>
      </c>
      <c r="E349" t="s">
        <v>236</v>
      </c>
      <c r="AC349" s="295"/>
      <c r="AD349">
        <f>SUMPRODUCT(DB_STProjectAcct[[#This Row],[Plan01]:[Plan12]],$F$14:$Q$14)/valUnits2</f>
        <v>0</v>
      </c>
      <c r="AE349">
        <f>SUMPRODUCT(DB_STProjectAcct[[#This Row],[Act01]:[Act12]],$R$14:$AC$14)/valUnits2</f>
        <v>0</v>
      </c>
      <c r="AF349">
        <f>DB_STProjectAcct[[#This Row],[Actual]]-DB_STProjectAcct[[#This Row],[Plan]]</f>
        <v>0</v>
      </c>
      <c r="AG349">
        <f>IF(DB_STProjectAcct[[#This Row],[Plan]]&lt;&gt;0,DB_STProjectAcct[[#This Row],[Actual]]/DB_STProjectAcct[[#This Row],[Plan]],1.000011000011)</f>
        <v>1.0000110000110001</v>
      </c>
    </row>
    <row r="350" spans="1:33" hidden="1" x14ac:dyDescent="0.2">
      <c r="A350" t="s">
        <v>1337</v>
      </c>
      <c r="B350" t="s">
        <v>347</v>
      </c>
      <c r="C350" t="s">
        <v>519</v>
      </c>
      <c r="D350" t="s">
        <v>948</v>
      </c>
      <c r="E350" t="s">
        <v>237</v>
      </c>
      <c r="AC350" s="297"/>
      <c r="AD350">
        <f>SUMPRODUCT(DB_STProjectAcct[[#This Row],[Plan01]:[Plan12]],$F$14:$Q$14)/valUnits2</f>
        <v>0</v>
      </c>
      <c r="AE350">
        <f>SUMPRODUCT(DB_STProjectAcct[[#This Row],[Act01]:[Act12]],$R$14:$AC$14)/valUnits2</f>
        <v>0</v>
      </c>
      <c r="AF350">
        <f>DB_STProjectAcct[[#This Row],[Actual]]-DB_STProjectAcct[[#This Row],[Plan]]</f>
        <v>0</v>
      </c>
      <c r="AG350">
        <f>IF(DB_STProjectAcct[[#This Row],[Plan]]&lt;&gt;0,DB_STProjectAcct[[#This Row],[Actual]]/DB_STProjectAcct[[#This Row],[Plan]],1.000011000011)</f>
        <v>1.0000110000110001</v>
      </c>
    </row>
    <row r="351" spans="1:33" hidden="1" x14ac:dyDescent="0.2">
      <c r="A351" t="s">
        <v>1338</v>
      </c>
      <c r="B351" t="s">
        <v>347</v>
      </c>
      <c r="C351" t="s">
        <v>519</v>
      </c>
      <c r="D351" t="s">
        <v>948</v>
      </c>
      <c r="E351" t="s">
        <v>141</v>
      </c>
      <c r="AC351" s="295"/>
      <c r="AD351">
        <f>SUMPRODUCT(DB_STProjectAcct[[#This Row],[Plan01]:[Plan12]],$F$14:$Q$14)/valUnits2</f>
        <v>0</v>
      </c>
      <c r="AE351">
        <f>SUMPRODUCT(DB_STProjectAcct[[#This Row],[Act01]:[Act12]],$R$14:$AC$14)/valUnits2</f>
        <v>0</v>
      </c>
      <c r="AF351">
        <f>DB_STProjectAcct[[#This Row],[Actual]]-DB_STProjectAcct[[#This Row],[Plan]]</f>
        <v>0</v>
      </c>
      <c r="AG351">
        <f>IF(DB_STProjectAcct[[#This Row],[Plan]]&lt;&gt;0,DB_STProjectAcct[[#This Row],[Actual]]/DB_STProjectAcct[[#This Row],[Plan]],1.000011000011)</f>
        <v>1.0000110000110001</v>
      </c>
    </row>
    <row r="352" spans="1:33" hidden="1" x14ac:dyDescent="0.2">
      <c r="A352" t="s">
        <v>1339</v>
      </c>
      <c r="B352" t="s">
        <v>347</v>
      </c>
      <c r="C352" t="s">
        <v>519</v>
      </c>
      <c r="D352" t="s">
        <v>952</v>
      </c>
      <c r="E352" t="s">
        <v>143</v>
      </c>
      <c r="AC352" s="297"/>
      <c r="AD352">
        <f>SUMPRODUCT(DB_STProjectAcct[[#This Row],[Plan01]:[Plan12]],$F$14:$Q$14)/valUnits2</f>
        <v>0</v>
      </c>
      <c r="AE352">
        <f>SUMPRODUCT(DB_STProjectAcct[[#This Row],[Act01]:[Act12]],$R$14:$AC$14)/valUnits2</f>
        <v>0</v>
      </c>
      <c r="AF352">
        <f>DB_STProjectAcct[[#This Row],[Actual]]-DB_STProjectAcct[[#This Row],[Plan]]</f>
        <v>0</v>
      </c>
      <c r="AG352">
        <f>IF(DB_STProjectAcct[[#This Row],[Plan]]&lt;&gt;0,DB_STProjectAcct[[#This Row],[Actual]]/DB_STProjectAcct[[#This Row],[Plan]],1.000011000011)</f>
        <v>1.0000110000110001</v>
      </c>
    </row>
    <row r="353" spans="1:33" hidden="1" x14ac:dyDescent="0.2">
      <c r="A353" t="s">
        <v>1340</v>
      </c>
      <c r="B353" t="s">
        <v>347</v>
      </c>
      <c r="C353" t="s">
        <v>519</v>
      </c>
      <c r="D353" t="s">
        <v>952</v>
      </c>
      <c r="E353" t="s">
        <v>235</v>
      </c>
      <c r="K353">
        <v>0</v>
      </c>
      <c r="W353">
        <v>158.34</v>
      </c>
      <c r="AC353" s="295"/>
      <c r="AD353">
        <f>SUMPRODUCT(DB_STProjectAcct[[#This Row],[Plan01]:[Plan12]],$F$14:$Q$14)/valUnits2</f>
        <v>0</v>
      </c>
      <c r="AE353">
        <f>SUMPRODUCT(DB_STProjectAcct[[#This Row],[Act01]:[Act12]],$R$14:$AC$14)/valUnits2</f>
        <v>0.15834000000000001</v>
      </c>
      <c r="AF353">
        <f>DB_STProjectAcct[[#This Row],[Actual]]-DB_STProjectAcct[[#This Row],[Plan]]</f>
        <v>0.15834000000000001</v>
      </c>
      <c r="AG353">
        <f>IF(DB_STProjectAcct[[#This Row],[Plan]]&lt;&gt;0,DB_STProjectAcct[[#This Row],[Actual]]/DB_STProjectAcct[[#This Row],[Plan]],1.000011000011)</f>
        <v>1.0000110000110001</v>
      </c>
    </row>
    <row r="354" spans="1:33" hidden="1" x14ac:dyDescent="0.2">
      <c r="A354" t="s">
        <v>1341</v>
      </c>
      <c r="B354" t="s">
        <v>347</v>
      </c>
      <c r="C354" t="s">
        <v>519</v>
      </c>
      <c r="D354" t="s">
        <v>952</v>
      </c>
      <c r="E354" t="s">
        <v>144</v>
      </c>
      <c r="AC354" s="297"/>
      <c r="AD354">
        <f>SUMPRODUCT(DB_STProjectAcct[[#This Row],[Plan01]:[Plan12]],$F$14:$Q$14)/valUnits2</f>
        <v>0</v>
      </c>
      <c r="AE354">
        <f>SUMPRODUCT(DB_STProjectAcct[[#This Row],[Act01]:[Act12]],$R$14:$AC$14)/valUnits2</f>
        <v>0</v>
      </c>
      <c r="AF354">
        <f>DB_STProjectAcct[[#This Row],[Actual]]-DB_STProjectAcct[[#This Row],[Plan]]</f>
        <v>0</v>
      </c>
      <c r="AG354">
        <f>IF(DB_STProjectAcct[[#This Row],[Plan]]&lt;&gt;0,DB_STProjectAcct[[#This Row],[Actual]]/DB_STProjectAcct[[#This Row],[Plan]],1.000011000011)</f>
        <v>1.0000110000110001</v>
      </c>
    </row>
    <row r="355" spans="1:33" hidden="1" x14ac:dyDescent="0.2">
      <c r="A355" t="s">
        <v>1342</v>
      </c>
      <c r="B355" t="s">
        <v>347</v>
      </c>
      <c r="C355" t="s">
        <v>519</v>
      </c>
      <c r="D355" t="s">
        <v>952</v>
      </c>
      <c r="E355" t="s">
        <v>142</v>
      </c>
      <c r="F355">
        <v>0</v>
      </c>
      <c r="G355">
        <v>-1.8019363778876141E-11</v>
      </c>
      <c r="H355">
        <v>1.0000000002889919E-3</v>
      </c>
      <c r="I355">
        <v>673485.78300000005</v>
      </c>
      <c r="J355">
        <v>0</v>
      </c>
      <c r="K355">
        <v>0</v>
      </c>
      <c r="L355">
        <v>577929.92799999996</v>
      </c>
      <c r="M355">
        <v>0</v>
      </c>
      <c r="N355">
        <v>0</v>
      </c>
      <c r="O355">
        <v>525202.98400000005</v>
      </c>
      <c r="P355">
        <v>0</v>
      </c>
      <c r="Q355">
        <v>539859.41099999996</v>
      </c>
      <c r="R355">
        <v>0</v>
      </c>
      <c r="S355">
        <v>5.0000000002318856E-2</v>
      </c>
      <c r="T355">
        <v>-1.0000000000218279E-2</v>
      </c>
      <c r="U355">
        <v>0</v>
      </c>
      <c r="V355">
        <v>0</v>
      </c>
      <c r="W355">
        <v>907532.11</v>
      </c>
      <c r="X355">
        <v>0</v>
      </c>
      <c r="Y355">
        <v>0</v>
      </c>
      <c r="Z355">
        <v>0</v>
      </c>
      <c r="AA355">
        <v>0</v>
      </c>
      <c r="AB355">
        <v>0</v>
      </c>
      <c r="AC355" s="295">
        <v>0</v>
      </c>
      <c r="AD355">
        <f>SUMPRODUCT(DB_STProjectAcct[[#This Row],[Plan01]:[Plan12]],$F$14:$Q$14)/valUnits2</f>
        <v>673.48578399999997</v>
      </c>
      <c r="AE355">
        <f>SUMPRODUCT(DB_STProjectAcct[[#This Row],[Act01]:[Act12]],$R$14:$AC$14)/valUnits2</f>
        <v>907.53215</v>
      </c>
      <c r="AF355">
        <f>DB_STProjectAcct[[#This Row],[Actual]]-DB_STProjectAcct[[#This Row],[Plan]]</f>
        <v>234.04636600000003</v>
      </c>
      <c r="AG355">
        <f>IF(DB_STProjectAcct[[#This Row],[Plan]]&lt;&gt;0,DB_STProjectAcct[[#This Row],[Actual]]/DB_STProjectAcct[[#This Row],[Plan]],1.000011000011)</f>
        <v>1.3475149313619366</v>
      </c>
    </row>
    <row r="356" spans="1:33" hidden="1" x14ac:dyDescent="0.2">
      <c r="A356" t="s">
        <v>1343</v>
      </c>
      <c r="B356" t="s">
        <v>347</v>
      </c>
      <c r="C356" t="s">
        <v>519</v>
      </c>
      <c r="D356" t="s">
        <v>952</v>
      </c>
      <c r="E356" t="s">
        <v>140</v>
      </c>
      <c r="F356">
        <v>11806.482</v>
      </c>
      <c r="G356">
        <v>11806.482</v>
      </c>
      <c r="H356">
        <v>11806.482</v>
      </c>
      <c r="I356">
        <v>11806.482</v>
      </c>
      <c r="J356">
        <v>11806.482</v>
      </c>
      <c r="K356">
        <v>11806.482</v>
      </c>
      <c r="L356">
        <v>11806.482</v>
      </c>
      <c r="M356">
        <v>11806.482</v>
      </c>
      <c r="N356">
        <v>11806.482</v>
      </c>
      <c r="O356">
        <v>11806.482</v>
      </c>
      <c r="P356">
        <v>11806.482</v>
      </c>
      <c r="Q356">
        <v>11806.482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 s="297">
        <v>0</v>
      </c>
      <c r="AD356">
        <f>SUMPRODUCT(DB_STProjectAcct[[#This Row],[Plan01]:[Plan12]],$F$14:$Q$14)/valUnits2</f>
        <v>70.838892000000001</v>
      </c>
      <c r="AE356">
        <f>SUMPRODUCT(DB_STProjectAcct[[#This Row],[Act01]:[Act12]],$R$14:$AC$14)/valUnits2</f>
        <v>0</v>
      </c>
      <c r="AF356">
        <f>DB_STProjectAcct[[#This Row],[Actual]]-DB_STProjectAcct[[#This Row],[Plan]]</f>
        <v>-70.838892000000001</v>
      </c>
      <c r="AG356">
        <f>IF(DB_STProjectAcct[[#This Row],[Plan]]&lt;&gt;0,DB_STProjectAcct[[#This Row],[Actual]]/DB_STProjectAcct[[#This Row],[Plan]],1.000011000011)</f>
        <v>0</v>
      </c>
    </row>
    <row r="357" spans="1:33" hidden="1" x14ac:dyDescent="0.2">
      <c r="A357" t="s">
        <v>1344</v>
      </c>
      <c r="B357" t="s">
        <v>347</v>
      </c>
      <c r="C357" t="s">
        <v>519</v>
      </c>
      <c r="D357" t="s">
        <v>952</v>
      </c>
      <c r="E357" t="s">
        <v>236</v>
      </c>
      <c r="F357">
        <v>21165.305</v>
      </c>
      <c r="G357">
        <v>21165.305</v>
      </c>
      <c r="H357">
        <v>21165.305</v>
      </c>
      <c r="I357">
        <v>21165.305</v>
      </c>
      <c r="J357">
        <v>21165.305</v>
      </c>
      <c r="K357">
        <v>21165.305</v>
      </c>
      <c r="L357">
        <v>21165.305</v>
      </c>
      <c r="M357">
        <v>21165.305</v>
      </c>
      <c r="N357">
        <v>21165.305</v>
      </c>
      <c r="O357">
        <v>21165.305</v>
      </c>
      <c r="P357">
        <v>21165.305</v>
      </c>
      <c r="Q357">
        <v>21165.305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 s="295">
        <v>0</v>
      </c>
      <c r="AD357">
        <f>SUMPRODUCT(DB_STProjectAcct[[#This Row],[Plan01]:[Plan12]],$F$14:$Q$14)/valUnits2</f>
        <v>126.99182999999999</v>
      </c>
      <c r="AE357">
        <f>SUMPRODUCT(DB_STProjectAcct[[#This Row],[Act01]:[Act12]],$R$14:$AC$14)/valUnits2</f>
        <v>0</v>
      </c>
      <c r="AF357">
        <f>DB_STProjectAcct[[#This Row],[Actual]]-DB_STProjectAcct[[#This Row],[Plan]]</f>
        <v>-126.99182999999999</v>
      </c>
      <c r="AG357">
        <f>IF(DB_STProjectAcct[[#This Row],[Plan]]&lt;&gt;0,DB_STProjectAcct[[#This Row],[Actual]]/DB_STProjectAcct[[#This Row],[Plan]],1.000011000011)</f>
        <v>0</v>
      </c>
    </row>
    <row r="358" spans="1:33" hidden="1" x14ac:dyDescent="0.2">
      <c r="A358" t="s">
        <v>1345</v>
      </c>
      <c r="B358" t="s">
        <v>347</v>
      </c>
      <c r="C358" t="s">
        <v>519</v>
      </c>
      <c r="D358" t="s">
        <v>952</v>
      </c>
      <c r="E358" t="s">
        <v>237</v>
      </c>
      <c r="AC358" s="297"/>
      <c r="AD358">
        <f>SUMPRODUCT(DB_STProjectAcct[[#This Row],[Plan01]:[Plan12]],$F$14:$Q$14)/valUnits2</f>
        <v>0</v>
      </c>
      <c r="AE358">
        <f>SUMPRODUCT(DB_STProjectAcct[[#This Row],[Act01]:[Act12]],$R$14:$AC$14)/valUnits2</f>
        <v>0</v>
      </c>
      <c r="AF358">
        <f>DB_STProjectAcct[[#This Row],[Actual]]-DB_STProjectAcct[[#This Row],[Plan]]</f>
        <v>0</v>
      </c>
      <c r="AG358">
        <f>IF(DB_STProjectAcct[[#This Row],[Plan]]&lt;&gt;0,DB_STProjectAcct[[#This Row],[Actual]]/DB_STProjectAcct[[#This Row],[Plan]],1.000011000011)</f>
        <v>1.0000110000110001</v>
      </c>
    </row>
    <row r="359" spans="1:33" hidden="1" x14ac:dyDescent="0.2">
      <c r="A359" t="s">
        <v>1346</v>
      </c>
      <c r="B359" t="s">
        <v>347</v>
      </c>
      <c r="C359" t="s">
        <v>519</v>
      </c>
      <c r="D359" t="s">
        <v>952</v>
      </c>
      <c r="E359" t="s">
        <v>141</v>
      </c>
      <c r="F359">
        <v>230.48400000000001</v>
      </c>
      <c r="G359">
        <v>230.48400000000001</v>
      </c>
      <c r="H359">
        <v>230.48400000000001</v>
      </c>
      <c r="I359">
        <v>230.48400000000001</v>
      </c>
      <c r="J359">
        <v>230.48400000000001</v>
      </c>
      <c r="K359">
        <v>230.48400000000001</v>
      </c>
      <c r="L359">
        <v>230.48400000000001</v>
      </c>
      <c r="M359">
        <v>230.48400000000001</v>
      </c>
      <c r="N359">
        <v>230.48400000000001</v>
      </c>
      <c r="O359">
        <v>230.48400000000001</v>
      </c>
      <c r="P359">
        <v>230.48400000000001</v>
      </c>
      <c r="Q359">
        <v>230.48400000000001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238.61</v>
      </c>
      <c r="X359">
        <v>0</v>
      </c>
      <c r="Y359">
        <v>0</v>
      </c>
      <c r="Z359">
        <v>0</v>
      </c>
      <c r="AA359">
        <v>0</v>
      </c>
      <c r="AB359">
        <v>0</v>
      </c>
      <c r="AC359" s="295">
        <v>0</v>
      </c>
      <c r="AD359">
        <f>SUMPRODUCT(DB_STProjectAcct[[#This Row],[Plan01]:[Plan12]],$F$14:$Q$14)/valUnits2</f>
        <v>1.3829039999999999</v>
      </c>
      <c r="AE359">
        <f>SUMPRODUCT(DB_STProjectAcct[[#This Row],[Act01]:[Act12]],$R$14:$AC$14)/valUnits2</f>
        <v>0.23861000000000002</v>
      </c>
      <c r="AF359">
        <f>DB_STProjectAcct[[#This Row],[Actual]]-DB_STProjectAcct[[#This Row],[Plan]]</f>
        <v>-1.1442939999999999</v>
      </c>
      <c r="AG359">
        <f>IF(DB_STProjectAcct[[#This Row],[Plan]]&lt;&gt;0,DB_STProjectAcct[[#This Row],[Actual]]/DB_STProjectAcct[[#This Row],[Plan]],1.000011000011)</f>
        <v>0.17254270723058146</v>
      </c>
    </row>
    <row r="360" spans="1:33" hidden="1" x14ac:dyDescent="0.2">
      <c r="A360" t="s">
        <v>1347</v>
      </c>
      <c r="B360" t="s">
        <v>347</v>
      </c>
      <c r="C360" t="s">
        <v>519</v>
      </c>
      <c r="D360" t="s">
        <v>963</v>
      </c>
      <c r="E360" t="s">
        <v>143</v>
      </c>
      <c r="AC360" s="297"/>
      <c r="AD360">
        <f>SUMPRODUCT(DB_STProjectAcct[[#This Row],[Plan01]:[Plan12]],$F$14:$Q$14)/valUnits2</f>
        <v>0</v>
      </c>
      <c r="AE360">
        <f>SUMPRODUCT(DB_STProjectAcct[[#This Row],[Act01]:[Act12]],$R$14:$AC$14)/valUnits2</f>
        <v>0</v>
      </c>
      <c r="AF360">
        <f>DB_STProjectAcct[[#This Row],[Actual]]-DB_STProjectAcct[[#This Row],[Plan]]</f>
        <v>0</v>
      </c>
      <c r="AG360">
        <f>IF(DB_STProjectAcct[[#This Row],[Plan]]&lt;&gt;0,DB_STProjectAcct[[#This Row],[Actual]]/DB_STProjectAcct[[#This Row],[Plan]],1.000011000011)</f>
        <v>1.0000110000110001</v>
      </c>
    </row>
    <row r="361" spans="1:33" hidden="1" x14ac:dyDescent="0.2">
      <c r="A361" t="s">
        <v>1348</v>
      </c>
      <c r="B361" t="s">
        <v>347</v>
      </c>
      <c r="C361" t="s">
        <v>519</v>
      </c>
      <c r="D361" t="s">
        <v>963</v>
      </c>
      <c r="E361" t="s">
        <v>235</v>
      </c>
      <c r="AC361" s="295"/>
      <c r="AD361">
        <f>SUMPRODUCT(DB_STProjectAcct[[#This Row],[Plan01]:[Plan12]],$F$14:$Q$14)/valUnits2</f>
        <v>0</v>
      </c>
      <c r="AE361">
        <f>SUMPRODUCT(DB_STProjectAcct[[#This Row],[Act01]:[Act12]],$R$14:$AC$14)/valUnits2</f>
        <v>0</v>
      </c>
      <c r="AF361">
        <f>DB_STProjectAcct[[#This Row],[Actual]]-DB_STProjectAcct[[#This Row],[Plan]]</f>
        <v>0</v>
      </c>
      <c r="AG361">
        <f>IF(DB_STProjectAcct[[#This Row],[Plan]]&lt;&gt;0,DB_STProjectAcct[[#This Row],[Actual]]/DB_STProjectAcct[[#This Row],[Plan]],1.000011000011)</f>
        <v>1.0000110000110001</v>
      </c>
    </row>
    <row r="362" spans="1:33" hidden="1" x14ac:dyDescent="0.2">
      <c r="A362" t="s">
        <v>1349</v>
      </c>
      <c r="B362" t="s">
        <v>347</v>
      </c>
      <c r="C362" t="s">
        <v>519</v>
      </c>
      <c r="D362" t="s">
        <v>963</v>
      </c>
      <c r="E362" t="s">
        <v>144</v>
      </c>
      <c r="AC362" s="297"/>
      <c r="AD362">
        <f>SUMPRODUCT(DB_STProjectAcct[[#This Row],[Plan01]:[Plan12]],$F$14:$Q$14)/valUnits2</f>
        <v>0</v>
      </c>
      <c r="AE362">
        <f>SUMPRODUCT(DB_STProjectAcct[[#This Row],[Act01]:[Act12]],$R$14:$AC$14)/valUnits2</f>
        <v>0</v>
      </c>
      <c r="AF362">
        <f>DB_STProjectAcct[[#This Row],[Actual]]-DB_STProjectAcct[[#This Row],[Plan]]</f>
        <v>0</v>
      </c>
      <c r="AG362">
        <f>IF(DB_STProjectAcct[[#This Row],[Plan]]&lt;&gt;0,DB_STProjectAcct[[#This Row],[Actual]]/DB_STProjectAcct[[#This Row],[Plan]],1.000011000011)</f>
        <v>1.0000110000110001</v>
      </c>
    </row>
    <row r="363" spans="1:33" hidden="1" x14ac:dyDescent="0.2">
      <c r="A363" t="s">
        <v>1350</v>
      </c>
      <c r="B363" t="s">
        <v>347</v>
      </c>
      <c r="C363" t="s">
        <v>519</v>
      </c>
      <c r="D363" t="s">
        <v>963</v>
      </c>
      <c r="E363" t="s">
        <v>142</v>
      </c>
      <c r="J363">
        <v>0</v>
      </c>
      <c r="K363">
        <v>0</v>
      </c>
      <c r="V363">
        <v>0</v>
      </c>
      <c r="W363">
        <v>81741.789999999994</v>
      </c>
      <c r="AC363" s="295"/>
      <c r="AD363">
        <f>SUMPRODUCT(DB_STProjectAcct[[#This Row],[Plan01]:[Plan12]],$F$14:$Q$14)/valUnits2</f>
        <v>0</v>
      </c>
      <c r="AE363">
        <f>SUMPRODUCT(DB_STProjectAcct[[#This Row],[Act01]:[Act12]],$R$14:$AC$14)/valUnits2</f>
        <v>81.741789999999995</v>
      </c>
      <c r="AF363">
        <f>DB_STProjectAcct[[#This Row],[Actual]]-DB_STProjectAcct[[#This Row],[Plan]]</f>
        <v>81.741789999999995</v>
      </c>
      <c r="AG363">
        <f>IF(DB_STProjectAcct[[#This Row],[Plan]]&lt;&gt;0,DB_STProjectAcct[[#This Row],[Actual]]/DB_STProjectAcct[[#This Row],[Plan]],1.000011000011)</f>
        <v>1.0000110000110001</v>
      </c>
    </row>
    <row r="364" spans="1:33" hidden="1" x14ac:dyDescent="0.2">
      <c r="A364" t="s">
        <v>1351</v>
      </c>
      <c r="B364" t="s">
        <v>347</v>
      </c>
      <c r="C364" t="s">
        <v>519</v>
      </c>
      <c r="D364" t="s">
        <v>963</v>
      </c>
      <c r="E364" t="s">
        <v>140</v>
      </c>
      <c r="AC364" s="297"/>
      <c r="AD364">
        <f>SUMPRODUCT(DB_STProjectAcct[[#This Row],[Plan01]:[Plan12]],$F$14:$Q$14)/valUnits2</f>
        <v>0</v>
      </c>
      <c r="AE364">
        <f>SUMPRODUCT(DB_STProjectAcct[[#This Row],[Act01]:[Act12]],$R$14:$AC$14)/valUnits2</f>
        <v>0</v>
      </c>
      <c r="AF364">
        <f>DB_STProjectAcct[[#This Row],[Actual]]-DB_STProjectAcct[[#This Row],[Plan]]</f>
        <v>0</v>
      </c>
      <c r="AG364">
        <f>IF(DB_STProjectAcct[[#This Row],[Plan]]&lt;&gt;0,DB_STProjectAcct[[#This Row],[Actual]]/DB_STProjectAcct[[#This Row],[Plan]],1.000011000011)</f>
        <v>1.0000110000110001</v>
      </c>
    </row>
    <row r="365" spans="1:33" hidden="1" x14ac:dyDescent="0.2">
      <c r="A365" t="s">
        <v>1352</v>
      </c>
      <c r="B365" t="s">
        <v>347</v>
      </c>
      <c r="C365" t="s">
        <v>519</v>
      </c>
      <c r="D365" t="s">
        <v>963</v>
      </c>
      <c r="E365" t="s">
        <v>236</v>
      </c>
      <c r="AC365" s="295"/>
      <c r="AD365">
        <f>SUMPRODUCT(DB_STProjectAcct[[#This Row],[Plan01]:[Plan12]],$F$14:$Q$14)/valUnits2</f>
        <v>0</v>
      </c>
      <c r="AE365">
        <f>SUMPRODUCT(DB_STProjectAcct[[#This Row],[Act01]:[Act12]],$R$14:$AC$14)/valUnits2</f>
        <v>0</v>
      </c>
      <c r="AF365">
        <f>DB_STProjectAcct[[#This Row],[Actual]]-DB_STProjectAcct[[#This Row],[Plan]]</f>
        <v>0</v>
      </c>
      <c r="AG365">
        <f>IF(DB_STProjectAcct[[#This Row],[Plan]]&lt;&gt;0,DB_STProjectAcct[[#This Row],[Actual]]/DB_STProjectAcct[[#This Row],[Plan]],1.000011000011)</f>
        <v>1.0000110000110001</v>
      </c>
    </row>
    <row r="366" spans="1:33" hidden="1" x14ac:dyDescent="0.2">
      <c r="A366" t="s">
        <v>1353</v>
      </c>
      <c r="B366" t="s">
        <v>347</v>
      </c>
      <c r="C366" t="s">
        <v>519</v>
      </c>
      <c r="D366" t="s">
        <v>963</v>
      </c>
      <c r="E366" t="s">
        <v>237</v>
      </c>
      <c r="AC366" s="297"/>
      <c r="AD366">
        <f>SUMPRODUCT(DB_STProjectAcct[[#This Row],[Plan01]:[Plan12]],$F$14:$Q$14)/valUnits2</f>
        <v>0</v>
      </c>
      <c r="AE366">
        <f>SUMPRODUCT(DB_STProjectAcct[[#This Row],[Act01]:[Act12]],$R$14:$AC$14)/valUnits2</f>
        <v>0</v>
      </c>
      <c r="AF366">
        <f>DB_STProjectAcct[[#This Row],[Actual]]-DB_STProjectAcct[[#This Row],[Plan]]</f>
        <v>0</v>
      </c>
      <c r="AG366">
        <f>IF(DB_STProjectAcct[[#This Row],[Plan]]&lt;&gt;0,DB_STProjectAcct[[#This Row],[Actual]]/DB_STProjectAcct[[#This Row],[Plan]],1.000011000011)</f>
        <v>1.0000110000110001</v>
      </c>
    </row>
    <row r="367" spans="1:33" hidden="1" x14ac:dyDescent="0.2">
      <c r="A367" t="s">
        <v>1354</v>
      </c>
      <c r="B367" t="s">
        <v>347</v>
      </c>
      <c r="C367" t="s">
        <v>519</v>
      </c>
      <c r="D367" t="s">
        <v>963</v>
      </c>
      <c r="E367" t="s">
        <v>141</v>
      </c>
      <c r="AC367" s="295"/>
      <c r="AD367">
        <f>SUMPRODUCT(DB_STProjectAcct[[#This Row],[Plan01]:[Plan12]],$F$14:$Q$14)/valUnits2</f>
        <v>0</v>
      </c>
      <c r="AE367">
        <f>SUMPRODUCT(DB_STProjectAcct[[#This Row],[Act01]:[Act12]],$R$14:$AC$14)/valUnits2</f>
        <v>0</v>
      </c>
      <c r="AF367">
        <f>DB_STProjectAcct[[#This Row],[Actual]]-DB_STProjectAcct[[#This Row],[Plan]]</f>
        <v>0</v>
      </c>
      <c r="AG367">
        <f>IF(DB_STProjectAcct[[#This Row],[Plan]]&lt;&gt;0,DB_STProjectAcct[[#This Row],[Actual]]/DB_STProjectAcct[[#This Row],[Plan]],1.000011000011)</f>
        <v>1.0000110000110001</v>
      </c>
    </row>
    <row r="368" spans="1:33" hidden="1" x14ac:dyDescent="0.2">
      <c r="A368" t="s">
        <v>1355</v>
      </c>
      <c r="B368" t="s">
        <v>347</v>
      </c>
      <c r="C368" t="s">
        <v>519</v>
      </c>
      <c r="D368" t="s">
        <v>973</v>
      </c>
      <c r="E368" t="s">
        <v>143</v>
      </c>
      <c r="AC368" s="297"/>
      <c r="AD368">
        <f>SUMPRODUCT(DB_STProjectAcct[[#This Row],[Plan01]:[Plan12]],$F$14:$Q$14)/valUnits2</f>
        <v>0</v>
      </c>
      <c r="AE368">
        <f>SUMPRODUCT(DB_STProjectAcct[[#This Row],[Act01]:[Act12]],$R$14:$AC$14)/valUnits2</f>
        <v>0</v>
      </c>
      <c r="AF368">
        <f>DB_STProjectAcct[[#This Row],[Actual]]-DB_STProjectAcct[[#This Row],[Plan]]</f>
        <v>0</v>
      </c>
      <c r="AG368">
        <f>IF(DB_STProjectAcct[[#This Row],[Plan]]&lt;&gt;0,DB_STProjectAcct[[#This Row],[Actual]]/DB_STProjectAcct[[#This Row],[Plan]],1.000011000011)</f>
        <v>1.0000110000110001</v>
      </c>
    </row>
    <row r="369" spans="1:33" hidden="1" x14ac:dyDescent="0.2">
      <c r="A369" t="s">
        <v>1356</v>
      </c>
      <c r="B369" t="s">
        <v>347</v>
      </c>
      <c r="C369" t="s">
        <v>519</v>
      </c>
      <c r="D369" t="s">
        <v>973</v>
      </c>
      <c r="E369" t="s">
        <v>235</v>
      </c>
      <c r="AC369" s="295"/>
      <c r="AD369">
        <f>SUMPRODUCT(DB_STProjectAcct[[#This Row],[Plan01]:[Plan12]],$F$14:$Q$14)/valUnits2</f>
        <v>0</v>
      </c>
      <c r="AE369">
        <f>SUMPRODUCT(DB_STProjectAcct[[#This Row],[Act01]:[Act12]],$R$14:$AC$14)/valUnits2</f>
        <v>0</v>
      </c>
      <c r="AF369">
        <f>DB_STProjectAcct[[#This Row],[Actual]]-DB_STProjectAcct[[#This Row],[Plan]]</f>
        <v>0</v>
      </c>
      <c r="AG369">
        <f>IF(DB_STProjectAcct[[#This Row],[Plan]]&lt;&gt;0,DB_STProjectAcct[[#This Row],[Actual]]/DB_STProjectAcct[[#This Row],[Plan]],1.000011000011)</f>
        <v>1.0000110000110001</v>
      </c>
    </row>
    <row r="370" spans="1:33" hidden="1" x14ac:dyDescent="0.2">
      <c r="A370" t="s">
        <v>1357</v>
      </c>
      <c r="B370" t="s">
        <v>347</v>
      </c>
      <c r="C370" t="s">
        <v>519</v>
      </c>
      <c r="D370" t="s">
        <v>973</v>
      </c>
      <c r="E370" t="s">
        <v>144</v>
      </c>
      <c r="G370">
        <v>0</v>
      </c>
      <c r="I370">
        <v>0</v>
      </c>
      <c r="K370">
        <v>409.24</v>
      </c>
      <c r="N370">
        <v>409.24</v>
      </c>
      <c r="Q370">
        <v>409.24</v>
      </c>
      <c r="S370">
        <v>1657.84</v>
      </c>
      <c r="U370">
        <v>0</v>
      </c>
      <c r="W370">
        <v>0</v>
      </c>
      <c r="Z370">
        <v>0</v>
      </c>
      <c r="AC370" s="297">
        <v>0</v>
      </c>
      <c r="AD370">
        <f>SUMPRODUCT(DB_STProjectAcct[[#This Row],[Plan01]:[Plan12]],$F$14:$Q$14)/valUnits2</f>
        <v>0.40923999999999999</v>
      </c>
      <c r="AE370">
        <f>SUMPRODUCT(DB_STProjectAcct[[#This Row],[Act01]:[Act12]],$R$14:$AC$14)/valUnits2</f>
        <v>1.65784</v>
      </c>
      <c r="AF370">
        <f>DB_STProjectAcct[[#This Row],[Actual]]-DB_STProjectAcct[[#This Row],[Plan]]</f>
        <v>1.2485999999999999</v>
      </c>
      <c r="AG370">
        <f>IF(DB_STProjectAcct[[#This Row],[Plan]]&lt;&gt;0,DB_STProjectAcct[[#This Row],[Actual]]/DB_STProjectAcct[[#This Row],[Plan]],1.000011000011)</f>
        <v>4.0510214055322065</v>
      </c>
    </row>
    <row r="371" spans="1:33" hidden="1" x14ac:dyDescent="0.2">
      <c r="A371" t="s">
        <v>1358</v>
      </c>
      <c r="B371" t="s">
        <v>347</v>
      </c>
      <c r="C371" t="s">
        <v>519</v>
      </c>
      <c r="D371" t="s">
        <v>973</v>
      </c>
      <c r="E371" t="s">
        <v>142</v>
      </c>
      <c r="F371">
        <v>0</v>
      </c>
      <c r="G371">
        <v>0</v>
      </c>
      <c r="H371">
        <v>0</v>
      </c>
      <c r="I371">
        <v>54235.468999999997</v>
      </c>
      <c r="J371">
        <v>0</v>
      </c>
      <c r="K371">
        <v>0</v>
      </c>
      <c r="L371">
        <v>21182.812999999998</v>
      </c>
      <c r="M371">
        <v>0</v>
      </c>
      <c r="N371">
        <v>0</v>
      </c>
      <c r="O371">
        <v>25956.75</v>
      </c>
      <c r="P371">
        <v>0</v>
      </c>
      <c r="Q371">
        <v>128763.156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-5532.14</v>
      </c>
      <c r="X371">
        <v>0</v>
      </c>
      <c r="Y371">
        <v>0</v>
      </c>
      <c r="Z371">
        <v>0</v>
      </c>
      <c r="AA371">
        <v>0</v>
      </c>
      <c r="AB371">
        <v>0</v>
      </c>
      <c r="AC371" s="295">
        <v>0</v>
      </c>
      <c r="AD371">
        <f>SUMPRODUCT(DB_STProjectAcct[[#This Row],[Plan01]:[Plan12]],$F$14:$Q$14)/valUnits2</f>
        <v>54.235468999999995</v>
      </c>
      <c r="AE371">
        <f>SUMPRODUCT(DB_STProjectAcct[[#This Row],[Act01]:[Act12]],$R$14:$AC$14)/valUnits2</f>
        <v>-5.5321400000000001</v>
      </c>
      <c r="AF371">
        <f>DB_STProjectAcct[[#This Row],[Actual]]-DB_STProjectAcct[[#This Row],[Plan]]</f>
        <v>-59.767608999999993</v>
      </c>
      <c r="AG371">
        <f>IF(DB_STProjectAcct[[#This Row],[Plan]]&lt;&gt;0,DB_STProjectAcct[[#This Row],[Actual]]/DB_STProjectAcct[[#This Row],[Plan]],1.000011000011)</f>
        <v>-0.10200225243742246</v>
      </c>
    </row>
    <row r="372" spans="1:33" hidden="1" x14ac:dyDescent="0.2">
      <c r="A372" t="s">
        <v>1359</v>
      </c>
      <c r="B372" t="s">
        <v>347</v>
      </c>
      <c r="C372" t="s">
        <v>519</v>
      </c>
      <c r="D372" t="s">
        <v>973</v>
      </c>
      <c r="E372" t="s">
        <v>140</v>
      </c>
      <c r="AC372" s="297"/>
      <c r="AD372">
        <f>SUMPRODUCT(DB_STProjectAcct[[#This Row],[Plan01]:[Plan12]],$F$14:$Q$14)/valUnits2</f>
        <v>0</v>
      </c>
      <c r="AE372">
        <f>SUMPRODUCT(DB_STProjectAcct[[#This Row],[Act01]:[Act12]],$R$14:$AC$14)/valUnits2</f>
        <v>0</v>
      </c>
      <c r="AF372">
        <f>DB_STProjectAcct[[#This Row],[Actual]]-DB_STProjectAcct[[#This Row],[Plan]]</f>
        <v>0</v>
      </c>
      <c r="AG372">
        <f>IF(DB_STProjectAcct[[#This Row],[Plan]]&lt;&gt;0,DB_STProjectAcct[[#This Row],[Actual]]/DB_STProjectAcct[[#This Row],[Plan]],1.000011000011)</f>
        <v>1.0000110000110001</v>
      </c>
    </row>
    <row r="373" spans="1:33" hidden="1" x14ac:dyDescent="0.2">
      <c r="A373" t="s">
        <v>1360</v>
      </c>
      <c r="B373" t="s">
        <v>347</v>
      </c>
      <c r="C373" t="s">
        <v>519</v>
      </c>
      <c r="D373" t="s">
        <v>973</v>
      </c>
      <c r="E373" t="s">
        <v>236</v>
      </c>
      <c r="G373">
        <v>1657.84</v>
      </c>
      <c r="S373">
        <v>0</v>
      </c>
      <c r="AC373" s="295"/>
      <c r="AD373">
        <f>SUMPRODUCT(DB_STProjectAcct[[#This Row],[Plan01]:[Plan12]],$F$14:$Q$14)/valUnits2</f>
        <v>1.65784</v>
      </c>
      <c r="AE373">
        <f>SUMPRODUCT(DB_STProjectAcct[[#This Row],[Act01]:[Act12]],$R$14:$AC$14)/valUnits2</f>
        <v>0</v>
      </c>
      <c r="AF373">
        <f>DB_STProjectAcct[[#This Row],[Actual]]-DB_STProjectAcct[[#This Row],[Plan]]</f>
        <v>-1.65784</v>
      </c>
      <c r="AG373">
        <f>IF(DB_STProjectAcct[[#This Row],[Plan]]&lt;&gt;0,DB_STProjectAcct[[#This Row],[Actual]]/DB_STProjectAcct[[#This Row],[Plan]],1.000011000011)</f>
        <v>0</v>
      </c>
    </row>
    <row r="374" spans="1:33" hidden="1" x14ac:dyDescent="0.2">
      <c r="A374" t="s">
        <v>1361</v>
      </c>
      <c r="B374" t="s">
        <v>347</v>
      </c>
      <c r="C374" t="s">
        <v>519</v>
      </c>
      <c r="D374" t="s">
        <v>973</v>
      </c>
      <c r="E374" t="s">
        <v>237</v>
      </c>
      <c r="AC374" s="297"/>
      <c r="AD374">
        <f>SUMPRODUCT(DB_STProjectAcct[[#This Row],[Plan01]:[Plan12]],$F$14:$Q$14)/valUnits2</f>
        <v>0</v>
      </c>
      <c r="AE374">
        <f>SUMPRODUCT(DB_STProjectAcct[[#This Row],[Act01]:[Act12]],$R$14:$AC$14)/valUnits2</f>
        <v>0</v>
      </c>
      <c r="AF374">
        <f>DB_STProjectAcct[[#This Row],[Actual]]-DB_STProjectAcct[[#This Row],[Plan]]</f>
        <v>0</v>
      </c>
      <c r="AG374">
        <f>IF(DB_STProjectAcct[[#This Row],[Plan]]&lt;&gt;0,DB_STProjectAcct[[#This Row],[Actual]]/DB_STProjectAcct[[#This Row],[Plan]],1.000011000011)</f>
        <v>1.0000110000110001</v>
      </c>
    </row>
    <row r="375" spans="1:33" hidden="1" x14ac:dyDescent="0.2">
      <c r="A375" t="s">
        <v>1362</v>
      </c>
      <c r="B375" t="s">
        <v>347</v>
      </c>
      <c r="C375" t="s">
        <v>519</v>
      </c>
      <c r="D375" t="s">
        <v>973</v>
      </c>
      <c r="E375" t="s">
        <v>141</v>
      </c>
      <c r="AC375" s="295"/>
      <c r="AD375">
        <f>SUMPRODUCT(DB_STProjectAcct[[#This Row],[Plan01]:[Plan12]],$F$14:$Q$14)/valUnits2</f>
        <v>0</v>
      </c>
      <c r="AE375">
        <f>SUMPRODUCT(DB_STProjectAcct[[#This Row],[Act01]:[Act12]],$R$14:$AC$14)/valUnits2</f>
        <v>0</v>
      </c>
      <c r="AF375">
        <f>DB_STProjectAcct[[#This Row],[Actual]]-DB_STProjectAcct[[#This Row],[Plan]]</f>
        <v>0</v>
      </c>
      <c r="AG375">
        <f>IF(DB_STProjectAcct[[#This Row],[Plan]]&lt;&gt;0,DB_STProjectAcct[[#This Row],[Actual]]/DB_STProjectAcct[[#This Row],[Plan]],1.000011000011)</f>
        <v>1.0000110000110001</v>
      </c>
    </row>
    <row r="376" spans="1:33" hidden="1" x14ac:dyDescent="0.2">
      <c r="A376" t="s">
        <v>1363</v>
      </c>
      <c r="B376" t="s">
        <v>347</v>
      </c>
      <c r="C376" t="s">
        <v>519</v>
      </c>
      <c r="D376" t="s">
        <v>991</v>
      </c>
      <c r="E376" t="s">
        <v>143</v>
      </c>
      <c r="AC376" s="297"/>
      <c r="AD376">
        <f>SUMPRODUCT(DB_STProjectAcct[[#This Row],[Plan01]:[Plan12]],$F$14:$Q$14)/valUnits2</f>
        <v>0</v>
      </c>
      <c r="AE376">
        <f>SUMPRODUCT(DB_STProjectAcct[[#This Row],[Act01]:[Act12]],$R$14:$AC$14)/valUnits2</f>
        <v>0</v>
      </c>
      <c r="AF376">
        <f>DB_STProjectAcct[[#This Row],[Actual]]-DB_STProjectAcct[[#This Row],[Plan]]</f>
        <v>0</v>
      </c>
      <c r="AG376">
        <f>IF(DB_STProjectAcct[[#This Row],[Plan]]&lt;&gt;0,DB_STProjectAcct[[#This Row],[Actual]]/DB_STProjectAcct[[#This Row],[Plan]],1.000011000011)</f>
        <v>1.0000110000110001</v>
      </c>
    </row>
    <row r="377" spans="1:33" hidden="1" x14ac:dyDescent="0.2">
      <c r="A377" t="s">
        <v>1364</v>
      </c>
      <c r="B377" t="s">
        <v>347</v>
      </c>
      <c r="C377" t="s">
        <v>519</v>
      </c>
      <c r="D377" t="s">
        <v>991</v>
      </c>
      <c r="E377" t="s">
        <v>235</v>
      </c>
      <c r="AC377" s="295"/>
      <c r="AD377">
        <f>SUMPRODUCT(DB_STProjectAcct[[#This Row],[Plan01]:[Plan12]],$F$14:$Q$14)/valUnits2</f>
        <v>0</v>
      </c>
      <c r="AE377">
        <f>SUMPRODUCT(DB_STProjectAcct[[#This Row],[Act01]:[Act12]],$R$14:$AC$14)/valUnits2</f>
        <v>0</v>
      </c>
      <c r="AF377">
        <f>DB_STProjectAcct[[#This Row],[Actual]]-DB_STProjectAcct[[#This Row],[Plan]]</f>
        <v>0</v>
      </c>
      <c r="AG377">
        <f>IF(DB_STProjectAcct[[#This Row],[Plan]]&lt;&gt;0,DB_STProjectAcct[[#This Row],[Actual]]/DB_STProjectAcct[[#This Row],[Plan]],1.000011000011)</f>
        <v>1.0000110000110001</v>
      </c>
    </row>
    <row r="378" spans="1:33" hidden="1" x14ac:dyDescent="0.2">
      <c r="A378" t="s">
        <v>1365</v>
      </c>
      <c r="B378" t="s">
        <v>347</v>
      </c>
      <c r="C378" t="s">
        <v>519</v>
      </c>
      <c r="D378" t="s">
        <v>991</v>
      </c>
      <c r="E378" t="s">
        <v>144</v>
      </c>
      <c r="AC378" s="297"/>
      <c r="AD378">
        <f>SUMPRODUCT(DB_STProjectAcct[[#This Row],[Plan01]:[Plan12]],$F$14:$Q$14)/valUnits2</f>
        <v>0</v>
      </c>
      <c r="AE378">
        <f>SUMPRODUCT(DB_STProjectAcct[[#This Row],[Act01]:[Act12]],$R$14:$AC$14)/valUnits2</f>
        <v>0</v>
      </c>
      <c r="AF378">
        <f>DB_STProjectAcct[[#This Row],[Actual]]-DB_STProjectAcct[[#This Row],[Plan]]</f>
        <v>0</v>
      </c>
      <c r="AG378">
        <f>IF(DB_STProjectAcct[[#This Row],[Plan]]&lt;&gt;0,DB_STProjectAcct[[#This Row],[Actual]]/DB_STProjectAcct[[#This Row],[Plan]],1.000011000011)</f>
        <v>1.0000110000110001</v>
      </c>
    </row>
    <row r="379" spans="1:33" hidden="1" x14ac:dyDescent="0.2">
      <c r="A379" t="s">
        <v>1366</v>
      </c>
      <c r="B379" t="s">
        <v>347</v>
      </c>
      <c r="C379" t="s">
        <v>519</v>
      </c>
      <c r="D379" t="s">
        <v>991</v>
      </c>
      <c r="E379" t="s">
        <v>142</v>
      </c>
      <c r="AC379" s="295"/>
      <c r="AD379">
        <f>SUMPRODUCT(DB_STProjectAcct[[#This Row],[Plan01]:[Plan12]],$F$14:$Q$14)/valUnits2</f>
        <v>0</v>
      </c>
      <c r="AE379">
        <f>SUMPRODUCT(DB_STProjectAcct[[#This Row],[Act01]:[Act12]],$R$14:$AC$14)/valUnits2</f>
        <v>0</v>
      </c>
      <c r="AF379">
        <f>DB_STProjectAcct[[#This Row],[Actual]]-DB_STProjectAcct[[#This Row],[Plan]]</f>
        <v>0</v>
      </c>
      <c r="AG379">
        <f>IF(DB_STProjectAcct[[#This Row],[Plan]]&lt;&gt;0,DB_STProjectAcct[[#This Row],[Actual]]/DB_STProjectAcct[[#This Row],[Plan]],1.000011000011)</f>
        <v>1.0000110000110001</v>
      </c>
    </row>
    <row r="380" spans="1:33" hidden="1" x14ac:dyDescent="0.2">
      <c r="A380" t="s">
        <v>1367</v>
      </c>
      <c r="B380" t="s">
        <v>347</v>
      </c>
      <c r="C380" t="s">
        <v>519</v>
      </c>
      <c r="D380" t="s">
        <v>991</v>
      </c>
      <c r="E380" t="s">
        <v>140</v>
      </c>
      <c r="AC380" s="297"/>
      <c r="AD380">
        <f>SUMPRODUCT(DB_STProjectAcct[[#This Row],[Plan01]:[Plan12]],$F$14:$Q$14)/valUnits2</f>
        <v>0</v>
      </c>
      <c r="AE380">
        <f>SUMPRODUCT(DB_STProjectAcct[[#This Row],[Act01]:[Act12]],$R$14:$AC$14)/valUnits2</f>
        <v>0</v>
      </c>
      <c r="AF380">
        <f>DB_STProjectAcct[[#This Row],[Actual]]-DB_STProjectAcct[[#This Row],[Plan]]</f>
        <v>0</v>
      </c>
      <c r="AG380">
        <f>IF(DB_STProjectAcct[[#This Row],[Plan]]&lt;&gt;0,DB_STProjectAcct[[#This Row],[Actual]]/DB_STProjectAcct[[#This Row],[Plan]],1.000011000011)</f>
        <v>1.0000110000110001</v>
      </c>
    </row>
    <row r="381" spans="1:33" hidden="1" x14ac:dyDescent="0.2">
      <c r="A381" t="s">
        <v>1368</v>
      </c>
      <c r="B381" t="s">
        <v>347</v>
      </c>
      <c r="C381" t="s">
        <v>519</v>
      </c>
      <c r="D381" t="s">
        <v>991</v>
      </c>
      <c r="E381" t="s">
        <v>236</v>
      </c>
      <c r="F381">
        <v>1118.7</v>
      </c>
      <c r="R381">
        <v>1118.7</v>
      </c>
      <c r="AC381" s="295"/>
      <c r="AD381">
        <f>SUMPRODUCT(DB_STProjectAcct[[#This Row],[Plan01]:[Plan12]],$F$14:$Q$14)/valUnits2</f>
        <v>1.1187</v>
      </c>
      <c r="AE381">
        <f>SUMPRODUCT(DB_STProjectAcct[[#This Row],[Act01]:[Act12]],$R$14:$AC$14)/valUnits2</f>
        <v>1.1187</v>
      </c>
      <c r="AF381">
        <f>DB_STProjectAcct[[#This Row],[Actual]]-DB_STProjectAcct[[#This Row],[Plan]]</f>
        <v>0</v>
      </c>
      <c r="AG381">
        <f>IF(DB_STProjectAcct[[#This Row],[Plan]]&lt;&gt;0,DB_STProjectAcct[[#This Row],[Actual]]/DB_STProjectAcct[[#This Row],[Plan]],1.000011000011)</f>
        <v>1</v>
      </c>
    </row>
    <row r="382" spans="1:33" hidden="1" x14ac:dyDescent="0.2">
      <c r="A382" t="s">
        <v>1369</v>
      </c>
      <c r="B382" t="s">
        <v>347</v>
      </c>
      <c r="C382" t="s">
        <v>519</v>
      </c>
      <c r="D382" t="s">
        <v>991</v>
      </c>
      <c r="E382" t="s">
        <v>237</v>
      </c>
      <c r="AC382" s="297"/>
      <c r="AD382">
        <f>SUMPRODUCT(DB_STProjectAcct[[#This Row],[Plan01]:[Plan12]],$F$14:$Q$14)/valUnits2</f>
        <v>0</v>
      </c>
      <c r="AE382">
        <f>SUMPRODUCT(DB_STProjectAcct[[#This Row],[Act01]:[Act12]],$R$14:$AC$14)/valUnits2</f>
        <v>0</v>
      </c>
      <c r="AF382">
        <f>DB_STProjectAcct[[#This Row],[Actual]]-DB_STProjectAcct[[#This Row],[Plan]]</f>
        <v>0</v>
      </c>
      <c r="AG382">
        <f>IF(DB_STProjectAcct[[#This Row],[Plan]]&lt;&gt;0,DB_STProjectAcct[[#This Row],[Actual]]/DB_STProjectAcct[[#This Row],[Plan]],1.000011000011)</f>
        <v>1.0000110000110001</v>
      </c>
    </row>
    <row r="383" spans="1:33" hidden="1" x14ac:dyDescent="0.2">
      <c r="A383" t="s">
        <v>1370</v>
      </c>
      <c r="B383" t="s">
        <v>347</v>
      </c>
      <c r="C383" t="s">
        <v>519</v>
      </c>
      <c r="D383" t="s">
        <v>991</v>
      </c>
      <c r="E383" t="s">
        <v>141</v>
      </c>
      <c r="K383">
        <v>0</v>
      </c>
      <c r="W383">
        <v>172.62</v>
      </c>
      <c r="AC383" s="295"/>
      <c r="AD383">
        <f>SUMPRODUCT(DB_STProjectAcct[[#This Row],[Plan01]:[Plan12]],$F$14:$Q$14)/valUnits2</f>
        <v>0</v>
      </c>
      <c r="AE383">
        <f>SUMPRODUCT(DB_STProjectAcct[[#This Row],[Act01]:[Act12]],$R$14:$AC$14)/valUnits2</f>
        <v>0.17262</v>
      </c>
      <c r="AF383">
        <f>DB_STProjectAcct[[#This Row],[Actual]]-DB_STProjectAcct[[#This Row],[Plan]]</f>
        <v>0.17262</v>
      </c>
      <c r="AG383">
        <f>IF(DB_STProjectAcct[[#This Row],[Plan]]&lt;&gt;0,DB_STProjectAcct[[#This Row],[Actual]]/DB_STProjectAcct[[#This Row],[Plan]],1.000011000011)</f>
        <v>1.0000110000110001</v>
      </c>
    </row>
    <row r="384" spans="1:33" hidden="1" x14ac:dyDescent="0.2">
      <c r="A384" t="s">
        <v>1371</v>
      </c>
      <c r="B384" t="s">
        <v>347</v>
      </c>
      <c r="C384" t="s">
        <v>519</v>
      </c>
      <c r="D384" t="s">
        <v>1001</v>
      </c>
      <c r="E384" t="s">
        <v>143</v>
      </c>
      <c r="AC384" s="297"/>
      <c r="AD384">
        <f>SUMPRODUCT(DB_STProjectAcct[[#This Row],[Plan01]:[Plan12]],$F$14:$Q$14)/valUnits2</f>
        <v>0</v>
      </c>
      <c r="AE384">
        <f>SUMPRODUCT(DB_STProjectAcct[[#This Row],[Act01]:[Act12]],$R$14:$AC$14)/valUnits2</f>
        <v>0</v>
      </c>
      <c r="AF384">
        <f>DB_STProjectAcct[[#This Row],[Actual]]-DB_STProjectAcct[[#This Row],[Plan]]</f>
        <v>0</v>
      </c>
      <c r="AG384">
        <f>IF(DB_STProjectAcct[[#This Row],[Plan]]&lt;&gt;0,DB_STProjectAcct[[#This Row],[Actual]]/DB_STProjectAcct[[#This Row],[Plan]],1.000011000011)</f>
        <v>1.0000110000110001</v>
      </c>
    </row>
    <row r="385" spans="1:33" hidden="1" x14ac:dyDescent="0.2">
      <c r="A385" t="s">
        <v>1372</v>
      </c>
      <c r="B385" t="s">
        <v>347</v>
      </c>
      <c r="C385" t="s">
        <v>519</v>
      </c>
      <c r="D385" t="s">
        <v>1001</v>
      </c>
      <c r="E385" t="s">
        <v>235</v>
      </c>
      <c r="AC385" s="295"/>
      <c r="AD385">
        <f>SUMPRODUCT(DB_STProjectAcct[[#This Row],[Plan01]:[Plan12]],$F$14:$Q$14)/valUnits2</f>
        <v>0</v>
      </c>
      <c r="AE385">
        <f>SUMPRODUCT(DB_STProjectAcct[[#This Row],[Act01]:[Act12]],$R$14:$AC$14)/valUnits2</f>
        <v>0</v>
      </c>
      <c r="AF385">
        <f>DB_STProjectAcct[[#This Row],[Actual]]-DB_STProjectAcct[[#This Row],[Plan]]</f>
        <v>0</v>
      </c>
      <c r="AG385">
        <f>IF(DB_STProjectAcct[[#This Row],[Plan]]&lt;&gt;0,DB_STProjectAcct[[#This Row],[Actual]]/DB_STProjectAcct[[#This Row],[Plan]],1.000011000011)</f>
        <v>1.0000110000110001</v>
      </c>
    </row>
    <row r="386" spans="1:33" hidden="1" x14ac:dyDescent="0.2">
      <c r="A386" t="s">
        <v>1373</v>
      </c>
      <c r="B386" t="s">
        <v>347</v>
      </c>
      <c r="C386" t="s">
        <v>519</v>
      </c>
      <c r="D386" t="s">
        <v>1001</v>
      </c>
      <c r="E386" t="s">
        <v>144</v>
      </c>
      <c r="AC386" s="297"/>
      <c r="AD386">
        <f>SUMPRODUCT(DB_STProjectAcct[[#This Row],[Plan01]:[Plan12]],$F$14:$Q$14)/valUnits2</f>
        <v>0</v>
      </c>
      <c r="AE386">
        <f>SUMPRODUCT(DB_STProjectAcct[[#This Row],[Act01]:[Act12]],$R$14:$AC$14)/valUnits2</f>
        <v>0</v>
      </c>
      <c r="AF386">
        <f>DB_STProjectAcct[[#This Row],[Actual]]-DB_STProjectAcct[[#This Row],[Plan]]</f>
        <v>0</v>
      </c>
      <c r="AG386">
        <f>IF(DB_STProjectAcct[[#This Row],[Plan]]&lt;&gt;0,DB_STProjectAcct[[#This Row],[Actual]]/DB_STProjectAcct[[#This Row],[Plan]],1.000011000011)</f>
        <v>1.0000110000110001</v>
      </c>
    </row>
    <row r="387" spans="1:33" hidden="1" x14ac:dyDescent="0.2">
      <c r="A387" t="s">
        <v>1374</v>
      </c>
      <c r="B387" t="s">
        <v>347</v>
      </c>
      <c r="C387" t="s">
        <v>519</v>
      </c>
      <c r="D387" t="s">
        <v>1001</v>
      </c>
      <c r="E387" t="s">
        <v>142</v>
      </c>
      <c r="F387">
        <v>0</v>
      </c>
      <c r="G387">
        <v>0</v>
      </c>
      <c r="H387">
        <v>0</v>
      </c>
      <c r="I387">
        <v>745229.94</v>
      </c>
      <c r="J387">
        <v>0</v>
      </c>
      <c r="K387">
        <v>0</v>
      </c>
      <c r="L387">
        <v>621560.42500000005</v>
      </c>
      <c r="M387">
        <v>0</v>
      </c>
      <c r="N387">
        <v>0</v>
      </c>
      <c r="O387">
        <v>585087.28300000005</v>
      </c>
      <c r="P387">
        <v>0</v>
      </c>
      <c r="Q387">
        <v>583575.25199999998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1087668.3600000001</v>
      </c>
      <c r="X387">
        <v>0</v>
      </c>
      <c r="Y387">
        <v>0</v>
      </c>
      <c r="Z387">
        <v>0</v>
      </c>
      <c r="AA387">
        <v>0</v>
      </c>
      <c r="AB387">
        <v>0</v>
      </c>
      <c r="AC387" s="295">
        <v>0</v>
      </c>
      <c r="AD387">
        <f>SUMPRODUCT(DB_STProjectAcct[[#This Row],[Plan01]:[Plan12]],$F$14:$Q$14)/valUnits2</f>
        <v>745.22993999999994</v>
      </c>
      <c r="AE387">
        <f>SUMPRODUCT(DB_STProjectAcct[[#This Row],[Act01]:[Act12]],$R$14:$AC$14)/valUnits2</f>
        <v>1087.6683600000001</v>
      </c>
      <c r="AF387">
        <f>DB_STProjectAcct[[#This Row],[Actual]]-DB_STProjectAcct[[#This Row],[Plan]]</f>
        <v>342.43842000000018</v>
      </c>
      <c r="AG387">
        <f>IF(DB_STProjectAcct[[#This Row],[Plan]]&lt;&gt;0,DB_STProjectAcct[[#This Row],[Actual]]/DB_STProjectAcct[[#This Row],[Plan]],1.000011000011)</f>
        <v>1.4595070616728043</v>
      </c>
    </row>
    <row r="388" spans="1:33" hidden="1" x14ac:dyDescent="0.2">
      <c r="A388" t="s">
        <v>1375</v>
      </c>
      <c r="B388" t="s">
        <v>347</v>
      </c>
      <c r="C388" t="s">
        <v>519</v>
      </c>
      <c r="D388" t="s">
        <v>1001</v>
      </c>
      <c r="E388" t="s">
        <v>140</v>
      </c>
      <c r="F388">
        <v>3415.625</v>
      </c>
      <c r="G388">
        <v>3415.625</v>
      </c>
      <c r="H388">
        <v>3415.625</v>
      </c>
      <c r="I388">
        <v>3415.625</v>
      </c>
      <c r="J388">
        <v>3415.625</v>
      </c>
      <c r="K388">
        <v>3415.625</v>
      </c>
      <c r="L388">
        <v>3415.625</v>
      </c>
      <c r="M388">
        <v>3415.625</v>
      </c>
      <c r="N388">
        <v>3415.625</v>
      </c>
      <c r="O388">
        <v>3415.625</v>
      </c>
      <c r="P388">
        <v>3415.625</v>
      </c>
      <c r="Q388">
        <v>3415.625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 s="297">
        <v>0</v>
      </c>
      <c r="AD388">
        <f>SUMPRODUCT(DB_STProjectAcct[[#This Row],[Plan01]:[Plan12]],$F$14:$Q$14)/valUnits2</f>
        <v>20.493749999999999</v>
      </c>
      <c r="AE388">
        <f>SUMPRODUCT(DB_STProjectAcct[[#This Row],[Act01]:[Act12]],$R$14:$AC$14)/valUnits2</f>
        <v>0</v>
      </c>
      <c r="AF388">
        <f>DB_STProjectAcct[[#This Row],[Actual]]-DB_STProjectAcct[[#This Row],[Plan]]</f>
        <v>-20.493749999999999</v>
      </c>
      <c r="AG388">
        <f>IF(DB_STProjectAcct[[#This Row],[Plan]]&lt;&gt;0,DB_STProjectAcct[[#This Row],[Actual]]/DB_STProjectAcct[[#This Row],[Plan]],1.000011000011)</f>
        <v>0</v>
      </c>
    </row>
    <row r="389" spans="1:33" hidden="1" x14ac:dyDescent="0.2">
      <c r="A389" t="s">
        <v>1376</v>
      </c>
      <c r="B389" t="s">
        <v>347</v>
      </c>
      <c r="C389" t="s">
        <v>519</v>
      </c>
      <c r="D389" t="s">
        <v>1001</v>
      </c>
      <c r="E389" t="s">
        <v>236</v>
      </c>
      <c r="F389">
        <v>9509.0499999999993</v>
      </c>
      <c r="G389">
        <v>9509.0499999999993</v>
      </c>
      <c r="H389">
        <v>9509.0499999999993</v>
      </c>
      <c r="I389">
        <v>9509.0499999999993</v>
      </c>
      <c r="J389">
        <v>9509.0499999999975</v>
      </c>
      <c r="K389">
        <v>9509.0499999999993</v>
      </c>
      <c r="L389">
        <v>9509.0499999999993</v>
      </c>
      <c r="M389">
        <v>9509.0499999999993</v>
      </c>
      <c r="N389">
        <v>9509.0499999999993</v>
      </c>
      <c r="O389">
        <v>9509.0499999999993</v>
      </c>
      <c r="P389">
        <v>9509.0499999999993</v>
      </c>
      <c r="Q389">
        <v>9509.0499999999993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 s="295">
        <v>0</v>
      </c>
      <c r="AD389">
        <f>SUMPRODUCT(DB_STProjectAcct[[#This Row],[Plan01]:[Plan12]],$F$14:$Q$14)/valUnits2</f>
        <v>57.054299999999991</v>
      </c>
      <c r="AE389">
        <f>SUMPRODUCT(DB_STProjectAcct[[#This Row],[Act01]:[Act12]],$R$14:$AC$14)/valUnits2</f>
        <v>0</v>
      </c>
      <c r="AF389">
        <f>DB_STProjectAcct[[#This Row],[Actual]]-DB_STProjectAcct[[#This Row],[Plan]]</f>
        <v>-57.054299999999991</v>
      </c>
      <c r="AG389">
        <f>IF(DB_STProjectAcct[[#This Row],[Plan]]&lt;&gt;0,DB_STProjectAcct[[#This Row],[Actual]]/DB_STProjectAcct[[#This Row],[Plan]],1.000011000011)</f>
        <v>0</v>
      </c>
    </row>
    <row r="390" spans="1:33" hidden="1" x14ac:dyDescent="0.2">
      <c r="A390" t="s">
        <v>1377</v>
      </c>
      <c r="B390" t="s">
        <v>347</v>
      </c>
      <c r="C390" t="s">
        <v>519</v>
      </c>
      <c r="D390" t="s">
        <v>1001</v>
      </c>
      <c r="E390" t="s">
        <v>237</v>
      </c>
      <c r="AC390" s="297"/>
      <c r="AD390">
        <f>SUMPRODUCT(DB_STProjectAcct[[#This Row],[Plan01]:[Plan12]],$F$14:$Q$14)/valUnits2</f>
        <v>0</v>
      </c>
      <c r="AE390">
        <f>SUMPRODUCT(DB_STProjectAcct[[#This Row],[Act01]:[Act12]],$R$14:$AC$14)/valUnits2</f>
        <v>0</v>
      </c>
      <c r="AF390">
        <f>DB_STProjectAcct[[#This Row],[Actual]]-DB_STProjectAcct[[#This Row],[Plan]]</f>
        <v>0</v>
      </c>
      <c r="AG390">
        <f>IF(DB_STProjectAcct[[#This Row],[Plan]]&lt;&gt;0,DB_STProjectAcct[[#This Row],[Actual]]/DB_STProjectAcct[[#This Row],[Plan]],1.000011000011)</f>
        <v>1.0000110000110001</v>
      </c>
    </row>
    <row r="391" spans="1:33" hidden="1" x14ac:dyDescent="0.2">
      <c r="A391" t="s">
        <v>1378</v>
      </c>
      <c r="B391" t="s">
        <v>347</v>
      </c>
      <c r="C391" t="s">
        <v>519</v>
      </c>
      <c r="D391" t="s">
        <v>1001</v>
      </c>
      <c r="E391" t="s">
        <v>141</v>
      </c>
      <c r="F391">
        <v>103.551</v>
      </c>
      <c r="G391">
        <v>103.551</v>
      </c>
      <c r="H391">
        <v>103.551</v>
      </c>
      <c r="I391">
        <v>103.551</v>
      </c>
      <c r="J391">
        <v>103.551</v>
      </c>
      <c r="K391">
        <v>103.551</v>
      </c>
      <c r="L391">
        <v>103.551</v>
      </c>
      <c r="M391">
        <v>103.551</v>
      </c>
      <c r="N391">
        <v>103.551</v>
      </c>
      <c r="O391">
        <v>103.551</v>
      </c>
      <c r="P391">
        <v>103.551</v>
      </c>
      <c r="Q391">
        <v>103.551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 s="295">
        <v>0</v>
      </c>
      <c r="AD391">
        <f>SUMPRODUCT(DB_STProjectAcct[[#This Row],[Plan01]:[Plan12]],$F$14:$Q$14)/valUnits2</f>
        <v>0.62130600000000002</v>
      </c>
      <c r="AE391">
        <f>SUMPRODUCT(DB_STProjectAcct[[#This Row],[Act01]:[Act12]],$R$14:$AC$14)/valUnits2</f>
        <v>0</v>
      </c>
      <c r="AF391">
        <f>DB_STProjectAcct[[#This Row],[Actual]]-DB_STProjectAcct[[#This Row],[Plan]]</f>
        <v>-0.62130600000000002</v>
      </c>
      <c r="AG391">
        <f>IF(DB_STProjectAcct[[#This Row],[Plan]]&lt;&gt;0,DB_STProjectAcct[[#This Row],[Actual]]/DB_STProjectAcct[[#This Row],[Plan]],1.000011000011)</f>
        <v>0</v>
      </c>
    </row>
    <row r="392" spans="1:33" hidden="1" x14ac:dyDescent="0.2">
      <c r="A392" t="s">
        <v>1379</v>
      </c>
      <c r="B392" t="s">
        <v>347</v>
      </c>
      <c r="C392" t="s">
        <v>519</v>
      </c>
      <c r="D392" t="s">
        <v>1002</v>
      </c>
      <c r="E392" t="s">
        <v>143</v>
      </c>
      <c r="AC392" s="297"/>
      <c r="AD392">
        <f>SUMPRODUCT(DB_STProjectAcct[[#This Row],[Plan01]:[Plan12]],$F$14:$Q$14)/valUnits2</f>
        <v>0</v>
      </c>
      <c r="AE392">
        <f>SUMPRODUCT(DB_STProjectAcct[[#This Row],[Act01]:[Act12]],$R$14:$AC$14)/valUnits2</f>
        <v>0</v>
      </c>
      <c r="AF392">
        <f>DB_STProjectAcct[[#This Row],[Actual]]-DB_STProjectAcct[[#This Row],[Plan]]</f>
        <v>0</v>
      </c>
      <c r="AG392">
        <f>IF(DB_STProjectAcct[[#This Row],[Plan]]&lt;&gt;0,DB_STProjectAcct[[#This Row],[Actual]]/DB_STProjectAcct[[#This Row],[Plan]],1.000011000011)</f>
        <v>1.0000110000110001</v>
      </c>
    </row>
    <row r="393" spans="1:33" hidden="1" x14ac:dyDescent="0.2">
      <c r="A393" t="s">
        <v>1380</v>
      </c>
      <c r="B393" t="s">
        <v>347</v>
      </c>
      <c r="C393" t="s">
        <v>519</v>
      </c>
      <c r="D393" t="s">
        <v>1002</v>
      </c>
      <c r="E393" t="s">
        <v>235</v>
      </c>
      <c r="AC393" s="295"/>
      <c r="AD393">
        <f>SUMPRODUCT(DB_STProjectAcct[[#This Row],[Plan01]:[Plan12]],$F$14:$Q$14)/valUnits2</f>
        <v>0</v>
      </c>
      <c r="AE393">
        <f>SUMPRODUCT(DB_STProjectAcct[[#This Row],[Act01]:[Act12]],$R$14:$AC$14)/valUnits2</f>
        <v>0</v>
      </c>
      <c r="AF393">
        <f>DB_STProjectAcct[[#This Row],[Actual]]-DB_STProjectAcct[[#This Row],[Plan]]</f>
        <v>0</v>
      </c>
      <c r="AG393">
        <f>IF(DB_STProjectAcct[[#This Row],[Plan]]&lt;&gt;0,DB_STProjectAcct[[#This Row],[Actual]]/DB_STProjectAcct[[#This Row],[Plan]],1.000011000011)</f>
        <v>1.0000110000110001</v>
      </c>
    </row>
    <row r="394" spans="1:33" hidden="1" x14ac:dyDescent="0.2">
      <c r="A394" t="s">
        <v>1381</v>
      </c>
      <c r="B394" t="s">
        <v>347</v>
      </c>
      <c r="C394" t="s">
        <v>519</v>
      </c>
      <c r="D394" t="s">
        <v>1002</v>
      </c>
      <c r="E394" t="s">
        <v>144</v>
      </c>
      <c r="AC394" s="297"/>
      <c r="AD394">
        <f>SUMPRODUCT(DB_STProjectAcct[[#This Row],[Plan01]:[Plan12]],$F$14:$Q$14)/valUnits2</f>
        <v>0</v>
      </c>
      <c r="AE394">
        <f>SUMPRODUCT(DB_STProjectAcct[[#This Row],[Act01]:[Act12]],$R$14:$AC$14)/valUnits2</f>
        <v>0</v>
      </c>
      <c r="AF394">
        <f>DB_STProjectAcct[[#This Row],[Actual]]-DB_STProjectAcct[[#This Row],[Plan]]</f>
        <v>0</v>
      </c>
      <c r="AG394">
        <f>IF(DB_STProjectAcct[[#This Row],[Plan]]&lt;&gt;0,DB_STProjectAcct[[#This Row],[Actual]]/DB_STProjectAcct[[#This Row],[Plan]],1.000011000011)</f>
        <v>1.0000110000110001</v>
      </c>
    </row>
    <row r="395" spans="1:33" hidden="1" x14ac:dyDescent="0.2">
      <c r="A395" t="s">
        <v>1382</v>
      </c>
      <c r="B395" t="s">
        <v>347</v>
      </c>
      <c r="C395" t="s">
        <v>519</v>
      </c>
      <c r="D395" t="s">
        <v>1002</v>
      </c>
      <c r="E395" t="s">
        <v>142</v>
      </c>
      <c r="F395">
        <v>0</v>
      </c>
      <c r="G395">
        <v>0</v>
      </c>
      <c r="H395">
        <v>0</v>
      </c>
      <c r="I395">
        <v>79195.593999999997</v>
      </c>
      <c r="J395">
        <v>0</v>
      </c>
      <c r="K395">
        <v>0</v>
      </c>
      <c r="L395">
        <v>122621.942</v>
      </c>
      <c r="M395">
        <v>0</v>
      </c>
      <c r="N395">
        <v>0</v>
      </c>
      <c r="O395">
        <v>101561.269</v>
      </c>
      <c r="P395">
        <v>0</v>
      </c>
      <c r="Q395">
        <v>101310.019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211188.41</v>
      </c>
      <c r="X395">
        <v>0</v>
      </c>
      <c r="Y395">
        <v>0</v>
      </c>
      <c r="Z395">
        <v>0</v>
      </c>
      <c r="AA395">
        <v>0</v>
      </c>
      <c r="AB395">
        <v>0</v>
      </c>
      <c r="AC395" s="295">
        <v>0</v>
      </c>
      <c r="AD395">
        <f>SUMPRODUCT(DB_STProjectAcct[[#This Row],[Plan01]:[Plan12]],$F$14:$Q$14)/valUnits2</f>
        <v>79.195594</v>
      </c>
      <c r="AE395">
        <f>SUMPRODUCT(DB_STProjectAcct[[#This Row],[Act01]:[Act12]],$R$14:$AC$14)/valUnits2</f>
        <v>211.18841</v>
      </c>
      <c r="AF395">
        <f>DB_STProjectAcct[[#This Row],[Actual]]-DB_STProjectAcct[[#This Row],[Plan]]</f>
        <v>131.992816</v>
      </c>
      <c r="AG395">
        <f>IF(DB_STProjectAcct[[#This Row],[Plan]]&lt;&gt;0,DB_STProjectAcct[[#This Row],[Actual]]/DB_STProjectAcct[[#This Row],[Plan]],1.000011000011)</f>
        <v>2.6666686785631031</v>
      </c>
    </row>
    <row r="396" spans="1:33" hidden="1" x14ac:dyDescent="0.2">
      <c r="A396" t="s">
        <v>1383</v>
      </c>
      <c r="B396" t="s">
        <v>347</v>
      </c>
      <c r="C396" t="s">
        <v>519</v>
      </c>
      <c r="D396" t="s">
        <v>1002</v>
      </c>
      <c r="E396" t="s">
        <v>140</v>
      </c>
      <c r="AC396" s="297"/>
      <c r="AD396">
        <f>SUMPRODUCT(DB_STProjectAcct[[#This Row],[Plan01]:[Plan12]],$F$14:$Q$14)/valUnits2</f>
        <v>0</v>
      </c>
      <c r="AE396">
        <f>SUMPRODUCT(DB_STProjectAcct[[#This Row],[Act01]:[Act12]],$R$14:$AC$14)/valUnits2</f>
        <v>0</v>
      </c>
      <c r="AF396">
        <f>DB_STProjectAcct[[#This Row],[Actual]]-DB_STProjectAcct[[#This Row],[Plan]]</f>
        <v>0</v>
      </c>
      <c r="AG396">
        <f>IF(DB_STProjectAcct[[#This Row],[Plan]]&lt;&gt;0,DB_STProjectAcct[[#This Row],[Actual]]/DB_STProjectAcct[[#This Row],[Plan]],1.000011000011)</f>
        <v>1.0000110000110001</v>
      </c>
    </row>
    <row r="397" spans="1:33" hidden="1" x14ac:dyDescent="0.2">
      <c r="A397" t="s">
        <v>1384</v>
      </c>
      <c r="B397" t="s">
        <v>347</v>
      </c>
      <c r="C397" t="s">
        <v>519</v>
      </c>
      <c r="D397" t="s">
        <v>1002</v>
      </c>
      <c r="E397" t="s">
        <v>236</v>
      </c>
      <c r="AC397" s="295"/>
      <c r="AD397">
        <f>SUMPRODUCT(DB_STProjectAcct[[#This Row],[Plan01]:[Plan12]],$F$14:$Q$14)/valUnits2</f>
        <v>0</v>
      </c>
      <c r="AE397">
        <f>SUMPRODUCT(DB_STProjectAcct[[#This Row],[Act01]:[Act12]],$R$14:$AC$14)/valUnits2</f>
        <v>0</v>
      </c>
      <c r="AF397">
        <f>DB_STProjectAcct[[#This Row],[Actual]]-DB_STProjectAcct[[#This Row],[Plan]]</f>
        <v>0</v>
      </c>
      <c r="AG397">
        <f>IF(DB_STProjectAcct[[#This Row],[Plan]]&lt;&gt;0,DB_STProjectAcct[[#This Row],[Actual]]/DB_STProjectAcct[[#This Row],[Plan]],1.000011000011)</f>
        <v>1.0000110000110001</v>
      </c>
    </row>
    <row r="398" spans="1:33" hidden="1" x14ac:dyDescent="0.2">
      <c r="A398" t="s">
        <v>1385</v>
      </c>
      <c r="B398" t="s">
        <v>347</v>
      </c>
      <c r="C398" t="s">
        <v>519</v>
      </c>
      <c r="D398" t="s">
        <v>1002</v>
      </c>
      <c r="E398" t="s">
        <v>237</v>
      </c>
      <c r="AC398" s="297"/>
      <c r="AD398">
        <f>SUMPRODUCT(DB_STProjectAcct[[#This Row],[Plan01]:[Plan12]],$F$14:$Q$14)/valUnits2</f>
        <v>0</v>
      </c>
      <c r="AE398">
        <f>SUMPRODUCT(DB_STProjectAcct[[#This Row],[Act01]:[Act12]],$R$14:$AC$14)/valUnits2</f>
        <v>0</v>
      </c>
      <c r="AF398">
        <f>DB_STProjectAcct[[#This Row],[Actual]]-DB_STProjectAcct[[#This Row],[Plan]]</f>
        <v>0</v>
      </c>
      <c r="AG398">
        <f>IF(DB_STProjectAcct[[#This Row],[Plan]]&lt;&gt;0,DB_STProjectAcct[[#This Row],[Actual]]/DB_STProjectAcct[[#This Row],[Plan]],1.000011000011)</f>
        <v>1.0000110000110001</v>
      </c>
    </row>
    <row r="399" spans="1:33" hidden="1" x14ac:dyDescent="0.2">
      <c r="A399" t="s">
        <v>1386</v>
      </c>
      <c r="B399" t="s">
        <v>347</v>
      </c>
      <c r="C399" t="s">
        <v>519</v>
      </c>
      <c r="D399" t="s">
        <v>1002</v>
      </c>
      <c r="E399" t="s">
        <v>141</v>
      </c>
      <c r="AC399" s="295"/>
      <c r="AD399">
        <f>SUMPRODUCT(DB_STProjectAcct[[#This Row],[Plan01]:[Plan12]],$F$14:$Q$14)/valUnits2</f>
        <v>0</v>
      </c>
      <c r="AE399">
        <f>SUMPRODUCT(DB_STProjectAcct[[#This Row],[Act01]:[Act12]],$R$14:$AC$14)/valUnits2</f>
        <v>0</v>
      </c>
      <c r="AF399">
        <f>DB_STProjectAcct[[#This Row],[Actual]]-DB_STProjectAcct[[#This Row],[Plan]]</f>
        <v>0</v>
      </c>
      <c r="AG399">
        <f>IF(DB_STProjectAcct[[#This Row],[Plan]]&lt;&gt;0,DB_STProjectAcct[[#This Row],[Actual]]/DB_STProjectAcct[[#This Row],[Plan]],1.000011000011)</f>
        <v>1.0000110000110001</v>
      </c>
    </row>
    <row r="400" spans="1:33" hidden="1" x14ac:dyDescent="0.2">
      <c r="A400" t="s">
        <v>1387</v>
      </c>
      <c r="B400" t="s">
        <v>347</v>
      </c>
      <c r="C400" t="s">
        <v>520</v>
      </c>
      <c r="D400" t="s">
        <v>949</v>
      </c>
      <c r="E400" t="s">
        <v>143</v>
      </c>
      <c r="AC400" s="297"/>
      <c r="AD400">
        <f>SUMPRODUCT(DB_STProjectAcct[[#This Row],[Plan01]:[Plan12]],$F$14:$Q$14)/valUnits2</f>
        <v>0</v>
      </c>
      <c r="AE400">
        <f>SUMPRODUCT(DB_STProjectAcct[[#This Row],[Act01]:[Act12]],$R$14:$AC$14)/valUnits2</f>
        <v>0</v>
      </c>
      <c r="AF400">
        <f>DB_STProjectAcct[[#This Row],[Actual]]-DB_STProjectAcct[[#This Row],[Plan]]</f>
        <v>0</v>
      </c>
      <c r="AG400">
        <f>IF(DB_STProjectAcct[[#This Row],[Plan]]&lt;&gt;0,DB_STProjectAcct[[#This Row],[Actual]]/DB_STProjectAcct[[#This Row],[Plan]],1.000011000011)</f>
        <v>1.0000110000110001</v>
      </c>
    </row>
    <row r="401" spans="1:33" hidden="1" x14ac:dyDescent="0.2">
      <c r="A401" t="s">
        <v>1388</v>
      </c>
      <c r="B401" t="s">
        <v>347</v>
      </c>
      <c r="C401" t="s">
        <v>520</v>
      </c>
      <c r="D401" t="s">
        <v>949</v>
      </c>
      <c r="E401" t="s">
        <v>235</v>
      </c>
      <c r="AC401" s="295"/>
      <c r="AD401">
        <f>SUMPRODUCT(DB_STProjectAcct[[#This Row],[Plan01]:[Plan12]],$F$14:$Q$14)/valUnits2</f>
        <v>0</v>
      </c>
      <c r="AE401">
        <f>SUMPRODUCT(DB_STProjectAcct[[#This Row],[Act01]:[Act12]],$R$14:$AC$14)/valUnits2</f>
        <v>0</v>
      </c>
      <c r="AF401">
        <f>DB_STProjectAcct[[#This Row],[Actual]]-DB_STProjectAcct[[#This Row],[Plan]]</f>
        <v>0</v>
      </c>
      <c r="AG401">
        <f>IF(DB_STProjectAcct[[#This Row],[Plan]]&lt;&gt;0,DB_STProjectAcct[[#This Row],[Actual]]/DB_STProjectAcct[[#This Row],[Plan]],1.000011000011)</f>
        <v>1.0000110000110001</v>
      </c>
    </row>
    <row r="402" spans="1:33" hidden="1" x14ac:dyDescent="0.2">
      <c r="A402" t="s">
        <v>1389</v>
      </c>
      <c r="B402" t="s">
        <v>347</v>
      </c>
      <c r="C402" t="s">
        <v>520</v>
      </c>
      <c r="D402" t="s">
        <v>949</v>
      </c>
      <c r="E402" t="s">
        <v>144</v>
      </c>
      <c r="AC402" s="297"/>
      <c r="AD402">
        <f>SUMPRODUCT(DB_STProjectAcct[[#This Row],[Plan01]:[Plan12]],$F$14:$Q$14)/valUnits2</f>
        <v>0</v>
      </c>
      <c r="AE402">
        <f>SUMPRODUCT(DB_STProjectAcct[[#This Row],[Act01]:[Act12]],$R$14:$AC$14)/valUnits2</f>
        <v>0</v>
      </c>
      <c r="AF402">
        <f>DB_STProjectAcct[[#This Row],[Actual]]-DB_STProjectAcct[[#This Row],[Plan]]</f>
        <v>0</v>
      </c>
      <c r="AG402">
        <f>IF(DB_STProjectAcct[[#This Row],[Plan]]&lt;&gt;0,DB_STProjectAcct[[#This Row],[Actual]]/DB_STProjectAcct[[#This Row],[Plan]],1.000011000011)</f>
        <v>1.0000110000110001</v>
      </c>
    </row>
    <row r="403" spans="1:33" hidden="1" x14ac:dyDescent="0.2">
      <c r="A403" t="s">
        <v>1390</v>
      </c>
      <c r="B403" t="s">
        <v>347</v>
      </c>
      <c r="C403" t="s">
        <v>520</v>
      </c>
      <c r="D403" t="s">
        <v>949</v>
      </c>
      <c r="E403" t="s">
        <v>142</v>
      </c>
      <c r="AC403" s="295"/>
      <c r="AD403">
        <f>SUMPRODUCT(DB_STProjectAcct[[#This Row],[Plan01]:[Plan12]],$F$14:$Q$14)/valUnits2</f>
        <v>0</v>
      </c>
      <c r="AE403">
        <f>SUMPRODUCT(DB_STProjectAcct[[#This Row],[Act01]:[Act12]],$R$14:$AC$14)/valUnits2</f>
        <v>0</v>
      </c>
      <c r="AF403">
        <f>DB_STProjectAcct[[#This Row],[Actual]]-DB_STProjectAcct[[#This Row],[Plan]]</f>
        <v>0</v>
      </c>
      <c r="AG403">
        <f>IF(DB_STProjectAcct[[#This Row],[Plan]]&lt;&gt;0,DB_STProjectAcct[[#This Row],[Actual]]/DB_STProjectAcct[[#This Row],[Plan]],1.000011000011)</f>
        <v>1.0000110000110001</v>
      </c>
    </row>
    <row r="404" spans="1:33" hidden="1" x14ac:dyDescent="0.2">
      <c r="A404" t="s">
        <v>1391</v>
      </c>
      <c r="B404" t="s">
        <v>347</v>
      </c>
      <c r="C404" t="s">
        <v>520</v>
      </c>
      <c r="D404" t="s">
        <v>949</v>
      </c>
      <c r="E404" t="s">
        <v>140</v>
      </c>
      <c r="AC404" s="297"/>
      <c r="AD404">
        <f>SUMPRODUCT(DB_STProjectAcct[[#This Row],[Plan01]:[Plan12]],$F$14:$Q$14)/valUnits2</f>
        <v>0</v>
      </c>
      <c r="AE404">
        <f>SUMPRODUCT(DB_STProjectAcct[[#This Row],[Act01]:[Act12]],$R$14:$AC$14)/valUnits2</f>
        <v>0</v>
      </c>
      <c r="AF404">
        <f>DB_STProjectAcct[[#This Row],[Actual]]-DB_STProjectAcct[[#This Row],[Plan]]</f>
        <v>0</v>
      </c>
      <c r="AG404">
        <f>IF(DB_STProjectAcct[[#This Row],[Plan]]&lt;&gt;0,DB_STProjectAcct[[#This Row],[Actual]]/DB_STProjectAcct[[#This Row],[Plan]],1.000011000011)</f>
        <v>1.0000110000110001</v>
      </c>
    </row>
    <row r="405" spans="1:33" hidden="1" x14ac:dyDescent="0.2">
      <c r="A405" t="s">
        <v>1392</v>
      </c>
      <c r="B405" t="s">
        <v>347</v>
      </c>
      <c r="C405" t="s">
        <v>520</v>
      </c>
      <c r="D405" t="s">
        <v>949</v>
      </c>
      <c r="E405" t="s">
        <v>236</v>
      </c>
      <c r="F405">
        <v>-405.262</v>
      </c>
      <c r="R405">
        <v>-387.54</v>
      </c>
      <c r="AC405" s="295"/>
      <c r="AD405">
        <f>SUMPRODUCT(DB_STProjectAcct[[#This Row],[Plan01]:[Plan12]],$F$14:$Q$14)/valUnits2</f>
        <v>-0.40526200000000001</v>
      </c>
      <c r="AE405">
        <f>SUMPRODUCT(DB_STProjectAcct[[#This Row],[Act01]:[Act12]],$R$14:$AC$14)/valUnits2</f>
        <v>-0.38754</v>
      </c>
      <c r="AF405">
        <f>DB_STProjectAcct[[#This Row],[Actual]]-DB_STProjectAcct[[#This Row],[Plan]]</f>
        <v>1.7722000000000016E-2</v>
      </c>
      <c r="AG405">
        <f>IF(DB_STProjectAcct[[#This Row],[Plan]]&lt;&gt;0,DB_STProjectAcct[[#This Row],[Actual]]/DB_STProjectAcct[[#This Row],[Plan]],1.000011000011)</f>
        <v>0.95627026466828857</v>
      </c>
    </row>
    <row r="406" spans="1:33" hidden="1" x14ac:dyDescent="0.2">
      <c r="A406" t="s">
        <v>1393</v>
      </c>
      <c r="B406" t="s">
        <v>347</v>
      </c>
      <c r="C406" t="s">
        <v>520</v>
      </c>
      <c r="D406" t="s">
        <v>949</v>
      </c>
      <c r="E406" t="s">
        <v>237</v>
      </c>
      <c r="AC406" s="297"/>
      <c r="AD406">
        <f>SUMPRODUCT(DB_STProjectAcct[[#This Row],[Plan01]:[Plan12]],$F$14:$Q$14)/valUnits2</f>
        <v>0</v>
      </c>
      <c r="AE406">
        <f>SUMPRODUCT(DB_STProjectAcct[[#This Row],[Act01]:[Act12]],$R$14:$AC$14)/valUnits2</f>
        <v>0</v>
      </c>
      <c r="AF406">
        <f>DB_STProjectAcct[[#This Row],[Actual]]-DB_STProjectAcct[[#This Row],[Plan]]</f>
        <v>0</v>
      </c>
      <c r="AG406">
        <f>IF(DB_STProjectAcct[[#This Row],[Plan]]&lt;&gt;0,DB_STProjectAcct[[#This Row],[Actual]]/DB_STProjectAcct[[#This Row],[Plan]],1.000011000011)</f>
        <v>1.0000110000110001</v>
      </c>
    </row>
    <row r="407" spans="1:33" hidden="1" x14ac:dyDescent="0.2">
      <c r="A407" t="s">
        <v>1394</v>
      </c>
      <c r="B407" t="s">
        <v>347</v>
      </c>
      <c r="C407" t="s">
        <v>520</v>
      </c>
      <c r="D407" t="s">
        <v>949</v>
      </c>
      <c r="E407" t="s">
        <v>141</v>
      </c>
      <c r="AC407" s="295"/>
      <c r="AD407">
        <f>SUMPRODUCT(DB_STProjectAcct[[#This Row],[Plan01]:[Plan12]],$F$14:$Q$14)/valUnits2</f>
        <v>0</v>
      </c>
      <c r="AE407">
        <f>SUMPRODUCT(DB_STProjectAcct[[#This Row],[Act01]:[Act12]],$R$14:$AC$14)/valUnits2</f>
        <v>0</v>
      </c>
      <c r="AF407">
        <f>DB_STProjectAcct[[#This Row],[Actual]]-DB_STProjectAcct[[#This Row],[Plan]]</f>
        <v>0</v>
      </c>
      <c r="AG407">
        <f>IF(DB_STProjectAcct[[#This Row],[Plan]]&lt;&gt;0,DB_STProjectAcct[[#This Row],[Actual]]/DB_STProjectAcct[[#This Row],[Plan]],1.000011000011)</f>
        <v>1.0000110000110001</v>
      </c>
    </row>
    <row r="408" spans="1:33" hidden="1" x14ac:dyDescent="0.2">
      <c r="A408" t="s">
        <v>1395</v>
      </c>
      <c r="B408" t="s">
        <v>347</v>
      </c>
      <c r="C408" t="s">
        <v>520</v>
      </c>
      <c r="D408" t="s">
        <v>961</v>
      </c>
      <c r="E408" t="s">
        <v>143</v>
      </c>
      <c r="AC408" s="297"/>
      <c r="AD408">
        <f>SUMPRODUCT(DB_STProjectAcct[[#This Row],[Plan01]:[Plan12]],$F$14:$Q$14)/valUnits2</f>
        <v>0</v>
      </c>
      <c r="AE408">
        <f>SUMPRODUCT(DB_STProjectAcct[[#This Row],[Act01]:[Act12]],$R$14:$AC$14)/valUnits2</f>
        <v>0</v>
      </c>
      <c r="AF408">
        <f>DB_STProjectAcct[[#This Row],[Actual]]-DB_STProjectAcct[[#This Row],[Plan]]</f>
        <v>0</v>
      </c>
      <c r="AG408">
        <f>IF(DB_STProjectAcct[[#This Row],[Plan]]&lt;&gt;0,DB_STProjectAcct[[#This Row],[Actual]]/DB_STProjectAcct[[#This Row],[Plan]],1.000011000011)</f>
        <v>1.0000110000110001</v>
      </c>
    </row>
    <row r="409" spans="1:33" hidden="1" x14ac:dyDescent="0.2">
      <c r="A409" t="s">
        <v>1396</v>
      </c>
      <c r="B409" t="s">
        <v>347</v>
      </c>
      <c r="C409" t="s">
        <v>520</v>
      </c>
      <c r="D409" t="s">
        <v>961</v>
      </c>
      <c r="E409" t="s">
        <v>235</v>
      </c>
      <c r="AC409" s="295"/>
      <c r="AD409">
        <f>SUMPRODUCT(DB_STProjectAcct[[#This Row],[Plan01]:[Plan12]],$F$14:$Q$14)/valUnits2</f>
        <v>0</v>
      </c>
      <c r="AE409">
        <f>SUMPRODUCT(DB_STProjectAcct[[#This Row],[Act01]:[Act12]],$R$14:$AC$14)/valUnits2</f>
        <v>0</v>
      </c>
      <c r="AF409">
        <f>DB_STProjectAcct[[#This Row],[Actual]]-DB_STProjectAcct[[#This Row],[Plan]]</f>
        <v>0</v>
      </c>
      <c r="AG409">
        <f>IF(DB_STProjectAcct[[#This Row],[Plan]]&lt;&gt;0,DB_STProjectAcct[[#This Row],[Actual]]/DB_STProjectAcct[[#This Row],[Plan]],1.000011000011)</f>
        <v>1.0000110000110001</v>
      </c>
    </row>
    <row r="410" spans="1:33" hidden="1" x14ac:dyDescent="0.2">
      <c r="A410" t="s">
        <v>1397</v>
      </c>
      <c r="B410" t="s">
        <v>347</v>
      </c>
      <c r="C410" t="s">
        <v>520</v>
      </c>
      <c r="D410" t="s">
        <v>961</v>
      </c>
      <c r="E410" t="s">
        <v>144</v>
      </c>
      <c r="AC410" s="297"/>
      <c r="AD410">
        <f>SUMPRODUCT(DB_STProjectAcct[[#This Row],[Plan01]:[Plan12]],$F$14:$Q$14)/valUnits2</f>
        <v>0</v>
      </c>
      <c r="AE410">
        <f>SUMPRODUCT(DB_STProjectAcct[[#This Row],[Act01]:[Act12]],$R$14:$AC$14)/valUnits2</f>
        <v>0</v>
      </c>
      <c r="AF410">
        <f>DB_STProjectAcct[[#This Row],[Actual]]-DB_STProjectAcct[[#This Row],[Plan]]</f>
        <v>0</v>
      </c>
      <c r="AG410">
        <f>IF(DB_STProjectAcct[[#This Row],[Plan]]&lt;&gt;0,DB_STProjectAcct[[#This Row],[Actual]]/DB_STProjectAcct[[#This Row],[Plan]],1.000011000011)</f>
        <v>1.0000110000110001</v>
      </c>
    </row>
    <row r="411" spans="1:33" hidden="1" x14ac:dyDescent="0.2">
      <c r="A411" t="s">
        <v>1398</v>
      </c>
      <c r="B411" t="s">
        <v>347</v>
      </c>
      <c r="C411" t="s">
        <v>520</v>
      </c>
      <c r="D411" t="s">
        <v>961</v>
      </c>
      <c r="E411" t="s">
        <v>142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 s="295">
        <v>0</v>
      </c>
      <c r="AD411">
        <f>SUMPRODUCT(DB_STProjectAcct[[#This Row],[Plan01]:[Plan12]],$F$14:$Q$14)/valUnits2</f>
        <v>0</v>
      </c>
      <c r="AE411">
        <f>SUMPRODUCT(DB_STProjectAcct[[#This Row],[Act01]:[Act12]],$R$14:$AC$14)/valUnits2</f>
        <v>0</v>
      </c>
      <c r="AF411">
        <f>DB_STProjectAcct[[#This Row],[Actual]]-DB_STProjectAcct[[#This Row],[Plan]]</f>
        <v>0</v>
      </c>
      <c r="AG411">
        <f>IF(DB_STProjectAcct[[#This Row],[Plan]]&lt;&gt;0,DB_STProjectAcct[[#This Row],[Actual]]/DB_STProjectAcct[[#This Row],[Plan]],1.000011000011)</f>
        <v>1.0000110000110001</v>
      </c>
    </row>
    <row r="412" spans="1:33" hidden="1" x14ac:dyDescent="0.2">
      <c r="A412" t="s">
        <v>1399</v>
      </c>
      <c r="B412" t="s">
        <v>347</v>
      </c>
      <c r="C412" t="s">
        <v>520</v>
      </c>
      <c r="D412" t="s">
        <v>961</v>
      </c>
      <c r="E412" t="s">
        <v>140</v>
      </c>
      <c r="AC412" s="297"/>
      <c r="AD412">
        <f>SUMPRODUCT(DB_STProjectAcct[[#This Row],[Plan01]:[Plan12]],$F$14:$Q$14)/valUnits2</f>
        <v>0</v>
      </c>
      <c r="AE412">
        <f>SUMPRODUCT(DB_STProjectAcct[[#This Row],[Act01]:[Act12]],$R$14:$AC$14)/valUnits2</f>
        <v>0</v>
      </c>
      <c r="AF412">
        <f>DB_STProjectAcct[[#This Row],[Actual]]-DB_STProjectAcct[[#This Row],[Plan]]</f>
        <v>0</v>
      </c>
      <c r="AG412">
        <f>IF(DB_STProjectAcct[[#This Row],[Plan]]&lt;&gt;0,DB_STProjectAcct[[#This Row],[Actual]]/DB_STProjectAcct[[#This Row],[Plan]],1.000011000011)</f>
        <v>1.0000110000110001</v>
      </c>
    </row>
    <row r="413" spans="1:33" hidden="1" x14ac:dyDescent="0.2">
      <c r="A413" t="s">
        <v>1400</v>
      </c>
      <c r="B413" t="s">
        <v>347</v>
      </c>
      <c r="C413" t="s">
        <v>520</v>
      </c>
      <c r="D413" t="s">
        <v>961</v>
      </c>
      <c r="E413" t="s">
        <v>236</v>
      </c>
      <c r="AC413" s="295"/>
      <c r="AD413">
        <f>SUMPRODUCT(DB_STProjectAcct[[#This Row],[Plan01]:[Plan12]],$F$14:$Q$14)/valUnits2</f>
        <v>0</v>
      </c>
      <c r="AE413">
        <f>SUMPRODUCT(DB_STProjectAcct[[#This Row],[Act01]:[Act12]],$R$14:$AC$14)/valUnits2</f>
        <v>0</v>
      </c>
      <c r="AF413">
        <f>DB_STProjectAcct[[#This Row],[Actual]]-DB_STProjectAcct[[#This Row],[Plan]]</f>
        <v>0</v>
      </c>
      <c r="AG413">
        <f>IF(DB_STProjectAcct[[#This Row],[Plan]]&lt;&gt;0,DB_STProjectAcct[[#This Row],[Actual]]/DB_STProjectAcct[[#This Row],[Plan]],1.000011000011)</f>
        <v>1.0000110000110001</v>
      </c>
    </row>
    <row r="414" spans="1:33" hidden="1" x14ac:dyDescent="0.2">
      <c r="A414" t="s">
        <v>1401</v>
      </c>
      <c r="B414" t="s">
        <v>347</v>
      </c>
      <c r="C414" t="s">
        <v>520</v>
      </c>
      <c r="D414" t="s">
        <v>961</v>
      </c>
      <c r="E414" t="s">
        <v>237</v>
      </c>
      <c r="AC414" s="297"/>
      <c r="AD414">
        <f>SUMPRODUCT(DB_STProjectAcct[[#This Row],[Plan01]:[Plan12]],$F$14:$Q$14)/valUnits2</f>
        <v>0</v>
      </c>
      <c r="AE414">
        <f>SUMPRODUCT(DB_STProjectAcct[[#This Row],[Act01]:[Act12]],$R$14:$AC$14)/valUnits2</f>
        <v>0</v>
      </c>
      <c r="AF414">
        <f>DB_STProjectAcct[[#This Row],[Actual]]-DB_STProjectAcct[[#This Row],[Plan]]</f>
        <v>0</v>
      </c>
      <c r="AG414">
        <f>IF(DB_STProjectAcct[[#This Row],[Plan]]&lt;&gt;0,DB_STProjectAcct[[#This Row],[Actual]]/DB_STProjectAcct[[#This Row],[Plan]],1.000011000011)</f>
        <v>1.0000110000110001</v>
      </c>
    </row>
    <row r="415" spans="1:33" hidden="1" x14ac:dyDescent="0.2">
      <c r="A415" t="s">
        <v>1402</v>
      </c>
      <c r="B415" t="s">
        <v>347</v>
      </c>
      <c r="C415" t="s">
        <v>520</v>
      </c>
      <c r="D415" t="s">
        <v>961</v>
      </c>
      <c r="E415" t="s">
        <v>141</v>
      </c>
      <c r="AC415" s="295"/>
      <c r="AD415">
        <f>SUMPRODUCT(DB_STProjectAcct[[#This Row],[Plan01]:[Plan12]],$F$14:$Q$14)/valUnits2</f>
        <v>0</v>
      </c>
      <c r="AE415">
        <f>SUMPRODUCT(DB_STProjectAcct[[#This Row],[Act01]:[Act12]],$R$14:$AC$14)/valUnits2</f>
        <v>0</v>
      </c>
      <c r="AF415">
        <f>DB_STProjectAcct[[#This Row],[Actual]]-DB_STProjectAcct[[#This Row],[Plan]]</f>
        <v>0</v>
      </c>
      <c r="AG415">
        <f>IF(DB_STProjectAcct[[#This Row],[Plan]]&lt;&gt;0,DB_STProjectAcct[[#This Row],[Actual]]/DB_STProjectAcct[[#This Row],[Plan]],1.000011000011)</f>
        <v>1.0000110000110001</v>
      </c>
    </row>
    <row r="416" spans="1:33" hidden="1" x14ac:dyDescent="0.2">
      <c r="A416" t="s">
        <v>1403</v>
      </c>
      <c r="B416" t="s">
        <v>347</v>
      </c>
      <c r="C416" t="s">
        <v>521</v>
      </c>
      <c r="D416" t="s">
        <v>962</v>
      </c>
      <c r="E416" t="s">
        <v>143</v>
      </c>
      <c r="AC416" s="297"/>
      <c r="AD416">
        <f>SUMPRODUCT(DB_STProjectAcct[[#This Row],[Plan01]:[Plan12]],$F$14:$Q$14)/valUnits2</f>
        <v>0</v>
      </c>
      <c r="AE416">
        <f>SUMPRODUCT(DB_STProjectAcct[[#This Row],[Act01]:[Act12]],$R$14:$AC$14)/valUnits2</f>
        <v>0</v>
      </c>
      <c r="AF416">
        <f>DB_STProjectAcct[[#This Row],[Actual]]-DB_STProjectAcct[[#This Row],[Plan]]</f>
        <v>0</v>
      </c>
      <c r="AG416">
        <f>IF(DB_STProjectAcct[[#This Row],[Plan]]&lt;&gt;0,DB_STProjectAcct[[#This Row],[Actual]]/DB_STProjectAcct[[#This Row],[Plan]],1.000011000011)</f>
        <v>1.0000110000110001</v>
      </c>
    </row>
    <row r="417" spans="1:33" hidden="1" x14ac:dyDescent="0.2">
      <c r="A417" t="s">
        <v>1404</v>
      </c>
      <c r="B417" t="s">
        <v>347</v>
      </c>
      <c r="C417" t="s">
        <v>521</v>
      </c>
      <c r="D417" t="s">
        <v>962</v>
      </c>
      <c r="E417" t="s">
        <v>235</v>
      </c>
      <c r="AC417" s="295"/>
      <c r="AD417">
        <f>SUMPRODUCT(DB_STProjectAcct[[#This Row],[Plan01]:[Plan12]],$F$14:$Q$14)/valUnits2</f>
        <v>0</v>
      </c>
      <c r="AE417">
        <f>SUMPRODUCT(DB_STProjectAcct[[#This Row],[Act01]:[Act12]],$R$14:$AC$14)/valUnits2</f>
        <v>0</v>
      </c>
      <c r="AF417">
        <f>DB_STProjectAcct[[#This Row],[Actual]]-DB_STProjectAcct[[#This Row],[Plan]]</f>
        <v>0</v>
      </c>
      <c r="AG417">
        <f>IF(DB_STProjectAcct[[#This Row],[Plan]]&lt;&gt;0,DB_STProjectAcct[[#This Row],[Actual]]/DB_STProjectAcct[[#This Row],[Plan]],1.000011000011)</f>
        <v>1.0000110000110001</v>
      </c>
    </row>
    <row r="418" spans="1:33" hidden="1" x14ac:dyDescent="0.2">
      <c r="A418" t="s">
        <v>1405</v>
      </c>
      <c r="B418" t="s">
        <v>347</v>
      </c>
      <c r="C418" t="s">
        <v>521</v>
      </c>
      <c r="D418" t="s">
        <v>962</v>
      </c>
      <c r="E418" t="s">
        <v>144</v>
      </c>
      <c r="AC418" s="297"/>
      <c r="AD418">
        <f>SUMPRODUCT(DB_STProjectAcct[[#This Row],[Plan01]:[Plan12]],$F$14:$Q$14)/valUnits2</f>
        <v>0</v>
      </c>
      <c r="AE418">
        <f>SUMPRODUCT(DB_STProjectAcct[[#This Row],[Act01]:[Act12]],$R$14:$AC$14)/valUnits2</f>
        <v>0</v>
      </c>
      <c r="AF418">
        <f>DB_STProjectAcct[[#This Row],[Actual]]-DB_STProjectAcct[[#This Row],[Plan]]</f>
        <v>0</v>
      </c>
      <c r="AG418">
        <f>IF(DB_STProjectAcct[[#This Row],[Plan]]&lt;&gt;0,DB_STProjectAcct[[#This Row],[Actual]]/DB_STProjectAcct[[#This Row],[Plan]],1.000011000011)</f>
        <v>1.0000110000110001</v>
      </c>
    </row>
    <row r="419" spans="1:33" hidden="1" x14ac:dyDescent="0.2">
      <c r="A419" t="s">
        <v>1406</v>
      </c>
      <c r="B419" t="s">
        <v>347</v>
      </c>
      <c r="C419" t="s">
        <v>521</v>
      </c>
      <c r="D419" t="s">
        <v>962</v>
      </c>
      <c r="E419" t="s">
        <v>142</v>
      </c>
      <c r="I419">
        <v>62592.341999999997</v>
      </c>
      <c r="K419">
        <v>0</v>
      </c>
      <c r="L419">
        <v>50087.85</v>
      </c>
      <c r="U419">
        <v>0</v>
      </c>
      <c r="W419">
        <v>91478.83</v>
      </c>
      <c r="X419">
        <v>0</v>
      </c>
      <c r="AC419" s="295"/>
      <c r="AD419">
        <f>SUMPRODUCT(DB_STProjectAcct[[#This Row],[Plan01]:[Plan12]],$F$14:$Q$14)/valUnits2</f>
        <v>62.592341999999995</v>
      </c>
      <c r="AE419">
        <f>SUMPRODUCT(DB_STProjectAcct[[#This Row],[Act01]:[Act12]],$R$14:$AC$14)/valUnits2</f>
        <v>91.478830000000002</v>
      </c>
      <c r="AF419">
        <f>DB_STProjectAcct[[#This Row],[Actual]]-DB_STProjectAcct[[#This Row],[Plan]]</f>
        <v>28.886488000000007</v>
      </c>
      <c r="AG419">
        <f>IF(DB_STProjectAcct[[#This Row],[Plan]]&lt;&gt;0,DB_STProjectAcct[[#This Row],[Actual]]/DB_STProjectAcct[[#This Row],[Plan]],1.000011000011)</f>
        <v>1.4615019517882877</v>
      </c>
    </row>
    <row r="420" spans="1:33" hidden="1" x14ac:dyDescent="0.2">
      <c r="A420" t="s">
        <v>1407</v>
      </c>
      <c r="B420" t="s">
        <v>347</v>
      </c>
      <c r="C420" t="s">
        <v>521</v>
      </c>
      <c r="D420" t="s">
        <v>962</v>
      </c>
      <c r="E420" t="s">
        <v>140</v>
      </c>
      <c r="AC420" s="297"/>
      <c r="AD420">
        <f>SUMPRODUCT(DB_STProjectAcct[[#This Row],[Plan01]:[Plan12]],$F$14:$Q$14)/valUnits2</f>
        <v>0</v>
      </c>
      <c r="AE420">
        <f>SUMPRODUCT(DB_STProjectAcct[[#This Row],[Act01]:[Act12]],$R$14:$AC$14)/valUnits2</f>
        <v>0</v>
      </c>
      <c r="AF420">
        <f>DB_STProjectAcct[[#This Row],[Actual]]-DB_STProjectAcct[[#This Row],[Plan]]</f>
        <v>0</v>
      </c>
      <c r="AG420">
        <f>IF(DB_STProjectAcct[[#This Row],[Plan]]&lt;&gt;0,DB_STProjectAcct[[#This Row],[Actual]]/DB_STProjectAcct[[#This Row],[Plan]],1.000011000011)</f>
        <v>1.0000110000110001</v>
      </c>
    </row>
    <row r="421" spans="1:33" hidden="1" x14ac:dyDescent="0.2">
      <c r="A421" t="s">
        <v>1408</v>
      </c>
      <c r="B421" t="s">
        <v>347</v>
      </c>
      <c r="C421" t="s">
        <v>521</v>
      </c>
      <c r="D421" t="s">
        <v>962</v>
      </c>
      <c r="E421" t="s">
        <v>236</v>
      </c>
      <c r="AC421" s="295"/>
      <c r="AD421">
        <f>SUMPRODUCT(DB_STProjectAcct[[#This Row],[Plan01]:[Plan12]],$F$14:$Q$14)/valUnits2</f>
        <v>0</v>
      </c>
      <c r="AE421">
        <f>SUMPRODUCT(DB_STProjectAcct[[#This Row],[Act01]:[Act12]],$R$14:$AC$14)/valUnits2</f>
        <v>0</v>
      </c>
      <c r="AF421">
        <f>DB_STProjectAcct[[#This Row],[Actual]]-DB_STProjectAcct[[#This Row],[Plan]]</f>
        <v>0</v>
      </c>
      <c r="AG421">
        <f>IF(DB_STProjectAcct[[#This Row],[Plan]]&lt;&gt;0,DB_STProjectAcct[[#This Row],[Actual]]/DB_STProjectAcct[[#This Row],[Plan]],1.000011000011)</f>
        <v>1.0000110000110001</v>
      </c>
    </row>
    <row r="422" spans="1:33" hidden="1" x14ac:dyDescent="0.2">
      <c r="A422" t="s">
        <v>1409</v>
      </c>
      <c r="B422" t="s">
        <v>347</v>
      </c>
      <c r="C422" t="s">
        <v>521</v>
      </c>
      <c r="D422" t="s">
        <v>962</v>
      </c>
      <c r="E422" t="s">
        <v>237</v>
      </c>
      <c r="AC422" s="297"/>
      <c r="AD422">
        <f>SUMPRODUCT(DB_STProjectAcct[[#This Row],[Plan01]:[Plan12]],$F$14:$Q$14)/valUnits2</f>
        <v>0</v>
      </c>
      <c r="AE422">
        <f>SUMPRODUCT(DB_STProjectAcct[[#This Row],[Act01]:[Act12]],$R$14:$AC$14)/valUnits2</f>
        <v>0</v>
      </c>
      <c r="AF422">
        <f>DB_STProjectAcct[[#This Row],[Actual]]-DB_STProjectAcct[[#This Row],[Plan]]</f>
        <v>0</v>
      </c>
      <c r="AG422">
        <f>IF(DB_STProjectAcct[[#This Row],[Plan]]&lt;&gt;0,DB_STProjectAcct[[#This Row],[Actual]]/DB_STProjectAcct[[#This Row],[Plan]],1.000011000011)</f>
        <v>1.0000110000110001</v>
      </c>
    </row>
    <row r="423" spans="1:33" hidden="1" x14ac:dyDescent="0.2">
      <c r="A423" t="s">
        <v>1410</v>
      </c>
      <c r="B423" t="s">
        <v>347</v>
      </c>
      <c r="C423" t="s">
        <v>521</v>
      </c>
      <c r="D423" t="s">
        <v>962</v>
      </c>
      <c r="E423" t="s">
        <v>141</v>
      </c>
      <c r="AC423" s="295"/>
      <c r="AD423">
        <f>SUMPRODUCT(DB_STProjectAcct[[#This Row],[Plan01]:[Plan12]],$F$14:$Q$14)/valUnits2</f>
        <v>0</v>
      </c>
      <c r="AE423">
        <f>SUMPRODUCT(DB_STProjectAcct[[#This Row],[Act01]:[Act12]],$R$14:$AC$14)/valUnits2</f>
        <v>0</v>
      </c>
      <c r="AF423">
        <f>DB_STProjectAcct[[#This Row],[Actual]]-DB_STProjectAcct[[#This Row],[Plan]]</f>
        <v>0</v>
      </c>
      <c r="AG423">
        <f>IF(DB_STProjectAcct[[#This Row],[Plan]]&lt;&gt;0,DB_STProjectAcct[[#This Row],[Actual]]/DB_STProjectAcct[[#This Row],[Plan]],1.000011000011)</f>
        <v>1.0000110000110001</v>
      </c>
    </row>
    <row r="424" spans="1:33" hidden="1" x14ac:dyDescent="0.2">
      <c r="A424" t="s">
        <v>1411</v>
      </c>
      <c r="B424" t="s">
        <v>348</v>
      </c>
      <c r="C424" t="s">
        <v>522</v>
      </c>
      <c r="D424" t="s">
        <v>970</v>
      </c>
      <c r="E424" t="s">
        <v>143</v>
      </c>
      <c r="F424">
        <v>0</v>
      </c>
      <c r="G424">
        <v>0</v>
      </c>
      <c r="R424">
        <v>0</v>
      </c>
      <c r="S424">
        <v>0</v>
      </c>
      <c r="AC424" s="297"/>
      <c r="AD424">
        <f>SUMPRODUCT(DB_STProjectAcct[[#This Row],[Plan01]:[Plan12]],$F$14:$Q$14)/valUnits2</f>
        <v>0</v>
      </c>
      <c r="AE424">
        <f>SUMPRODUCT(DB_STProjectAcct[[#This Row],[Act01]:[Act12]],$R$14:$AC$14)/valUnits2</f>
        <v>0</v>
      </c>
      <c r="AF424">
        <f>DB_STProjectAcct[[#This Row],[Actual]]-DB_STProjectAcct[[#This Row],[Plan]]</f>
        <v>0</v>
      </c>
      <c r="AG424">
        <f>IF(DB_STProjectAcct[[#This Row],[Plan]]&lt;&gt;0,DB_STProjectAcct[[#This Row],[Actual]]/DB_STProjectAcct[[#This Row],[Plan]],1.000011000011)</f>
        <v>1.0000110000110001</v>
      </c>
    </row>
    <row r="425" spans="1:33" hidden="1" x14ac:dyDescent="0.2">
      <c r="A425" t="s">
        <v>1412</v>
      </c>
      <c r="B425" t="s">
        <v>348</v>
      </c>
      <c r="C425" t="s">
        <v>522</v>
      </c>
      <c r="D425" t="s">
        <v>970</v>
      </c>
      <c r="E425" t="s">
        <v>235</v>
      </c>
      <c r="F425">
        <v>87.462000000000003</v>
      </c>
      <c r="G425">
        <v>492.72599999999994</v>
      </c>
      <c r="H425">
        <v>1440.8989999999997</v>
      </c>
      <c r="I425">
        <v>851.62100000000009</v>
      </c>
      <c r="J425">
        <v>458.322</v>
      </c>
      <c r="K425">
        <v>7446.8609999999999</v>
      </c>
      <c r="L425">
        <v>2952</v>
      </c>
      <c r="M425">
        <v>2952</v>
      </c>
      <c r="N425">
        <v>2952</v>
      </c>
      <c r="O425">
        <v>2952</v>
      </c>
      <c r="P425">
        <v>2952</v>
      </c>
      <c r="Q425">
        <v>2952</v>
      </c>
      <c r="R425">
        <v>87.46</v>
      </c>
      <c r="S425">
        <v>492.46999999999997</v>
      </c>
      <c r="T425">
        <v>1439.76</v>
      </c>
      <c r="U425">
        <v>854.93000000000006</v>
      </c>
      <c r="V425">
        <v>459.62999999999994</v>
      </c>
      <c r="W425">
        <v>223.54999999999995</v>
      </c>
      <c r="X425">
        <v>0</v>
      </c>
      <c r="Y425">
        <v>0</v>
      </c>
      <c r="Z425">
        <v>0</v>
      </c>
      <c r="AA425">
        <v>0</v>
      </c>
      <c r="AB425">
        <v>0</v>
      </c>
      <c r="AC425" s="295">
        <v>0</v>
      </c>
      <c r="AD425">
        <f>SUMPRODUCT(DB_STProjectAcct[[#This Row],[Plan01]:[Plan12]],$F$14:$Q$14)/valUnits2</f>
        <v>10.777891</v>
      </c>
      <c r="AE425">
        <f>SUMPRODUCT(DB_STProjectAcct[[#This Row],[Act01]:[Act12]],$R$14:$AC$14)/valUnits2</f>
        <v>3.5578000000000003</v>
      </c>
      <c r="AF425">
        <f>DB_STProjectAcct[[#This Row],[Actual]]-DB_STProjectAcct[[#This Row],[Plan]]</f>
        <v>-7.220091</v>
      </c>
      <c r="AG425">
        <f>IF(DB_STProjectAcct[[#This Row],[Plan]]&lt;&gt;0,DB_STProjectAcct[[#This Row],[Actual]]/DB_STProjectAcct[[#This Row],[Plan]],1.000011000011)</f>
        <v>0.33010168686990804</v>
      </c>
    </row>
    <row r="426" spans="1:33" hidden="1" x14ac:dyDescent="0.2">
      <c r="A426" t="s">
        <v>1413</v>
      </c>
      <c r="B426" t="s">
        <v>348</v>
      </c>
      <c r="C426" t="s">
        <v>522</v>
      </c>
      <c r="D426" t="s">
        <v>970</v>
      </c>
      <c r="E426" t="s">
        <v>144</v>
      </c>
      <c r="AC426" s="297"/>
      <c r="AD426">
        <f>SUMPRODUCT(DB_STProjectAcct[[#This Row],[Plan01]:[Plan12]],$F$14:$Q$14)/valUnits2</f>
        <v>0</v>
      </c>
      <c r="AE426">
        <f>SUMPRODUCT(DB_STProjectAcct[[#This Row],[Act01]:[Act12]],$R$14:$AC$14)/valUnits2</f>
        <v>0</v>
      </c>
      <c r="AF426">
        <f>DB_STProjectAcct[[#This Row],[Actual]]-DB_STProjectAcct[[#This Row],[Plan]]</f>
        <v>0</v>
      </c>
      <c r="AG426">
        <f>IF(DB_STProjectAcct[[#This Row],[Plan]]&lt;&gt;0,DB_STProjectAcct[[#This Row],[Actual]]/DB_STProjectAcct[[#This Row],[Plan]],1.000011000011)</f>
        <v>1.0000110000110001</v>
      </c>
    </row>
    <row r="427" spans="1:33" hidden="1" x14ac:dyDescent="0.2">
      <c r="A427" t="s">
        <v>1414</v>
      </c>
      <c r="B427" t="s">
        <v>348</v>
      </c>
      <c r="C427" t="s">
        <v>522</v>
      </c>
      <c r="D427" t="s">
        <v>970</v>
      </c>
      <c r="E427" t="s">
        <v>142</v>
      </c>
      <c r="F427">
        <v>277.92000000000326</v>
      </c>
      <c r="G427">
        <v>129529.15</v>
      </c>
      <c r="H427">
        <v>251579.28000000003</v>
      </c>
      <c r="I427">
        <v>55841.57999999998</v>
      </c>
      <c r="J427">
        <v>125669.70999999999</v>
      </c>
      <c r="K427">
        <v>70109</v>
      </c>
      <c r="L427">
        <v>70109</v>
      </c>
      <c r="M427">
        <v>70109</v>
      </c>
      <c r="N427">
        <v>70109</v>
      </c>
      <c r="O427">
        <v>70109</v>
      </c>
      <c r="P427">
        <v>70109</v>
      </c>
      <c r="Q427">
        <v>70109</v>
      </c>
      <c r="R427">
        <v>277.9199999999928</v>
      </c>
      <c r="S427">
        <v>129529.15</v>
      </c>
      <c r="T427">
        <v>251579.28000000003</v>
      </c>
      <c r="U427">
        <v>55841.57999999998</v>
      </c>
      <c r="V427">
        <v>125669.70999999999</v>
      </c>
      <c r="W427">
        <v>65047.440000000017</v>
      </c>
      <c r="X427">
        <v>0</v>
      </c>
      <c r="Y427">
        <v>0</v>
      </c>
      <c r="Z427">
        <v>0</v>
      </c>
      <c r="AA427">
        <v>0</v>
      </c>
      <c r="AB427">
        <v>0</v>
      </c>
      <c r="AC427" s="295">
        <v>0</v>
      </c>
      <c r="AD427">
        <f>SUMPRODUCT(DB_STProjectAcct[[#This Row],[Plan01]:[Plan12]],$F$14:$Q$14)/valUnits2</f>
        <v>633.00664000000006</v>
      </c>
      <c r="AE427">
        <f>SUMPRODUCT(DB_STProjectAcct[[#This Row],[Act01]:[Act12]],$R$14:$AC$14)/valUnits2</f>
        <v>627.94508000000008</v>
      </c>
      <c r="AF427">
        <f>DB_STProjectAcct[[#This Row],[Actual]]-DB_STProjectAcct[[#This Row],[Plan]]</f>
        <v>-5.0615599999999858</v>
      </c>
      <c r="AG427">
        <f>IF(DB_STProjectAcct[[#This Row],[Plan]]&lt;&gt;0,DB_STProjectAcct[[#This Row],[Actual]]/DB_STProjectAcct[[#This Row],[Plan]],1.000011000011)</f>
        <v>0.99200393853688484</v>
      </c>
    </row>
    <row r="428" spans="1:33" hidden="1" x14ac:dyDescent="0.2">
      <c r="A428" t="s">
        <v>1415</v>
      </c>
      <c r="B428" t="s">
        <v>348</v>
      </c>
      <c r="C428" t="s">
        <v>522</v>
      </c>
      <c r="D428" t="s">
        <v>970</v>
      </c>
      <c r="E428" t="s">
        <v>140</v>
      </c>
      <c r="F428">
        <v>15578.342000000002</v>
      </c>
      <c r="G428">
        <v>19496.988999999994</v>
      </c>
      <c r="H428">
        <v>21734.097999999994</v>
      </c>
      <c r="I428">
        <v>17870.05</v>
      </c>
      <c r="J428">
        <v>22659.699999999993</v>
      </c>
      <c r="K428">
        <v>29961.627</v>
      </c>
      <c r="L428">
        <v>28942.298999999999</v>
      </c>
      <c r="M428">
        <v>28942.299000000003</v>
      </c>
      <c r="N428">
        <v>28942.298999999999</v>
      </c>
      <c r="O428">
        <v>28942.298999999999</v>
      </c>
      <c r="P428">
        <v>28942.299000000003</v>
      </c>
      <c r="Q428">
        <v>28942.298999999999</v>
      </c>
      <c r="R428">
        <v>15578.359999999999</v>
      </c>
      <c r="S428">
        <v>19496.97</v>
      </c>
      <c r="T428">
        <v>21703.540000000008</v>
      </c>
      <c r="U428">
        <v>17775.269999999993</v>
      </c>
      <c r="V428">
        <v>22677.87</v>
      </c>
      <c r="W428">
        <v>19228.47</v>
      </c>
      <c r="X428">
        <v>0</v>
      </c>
      <c r="Y428">
        <v>0</v>
      </c>
      <c r="Z428">
        <v>0</v>
      </c>
      <c r="AA428">
        <v>0</v>
      </c>
      <c r="AB428">
        <v>0</v>
      </c>
      <c r="AC428" s="297">
        <v>0</v>
      </c>
      <c r="AD428">
        <f>SUMPRODUCT(DB_STProjectAcct[[#This Row],[Plan01]:[Plan12]],$F$14:$Q$14)/valUnits2</f>
        <v>127.30080599999998</v>
      </c>
      <c r="AE428">
        <f>SUMPRODUCT(DB_STProjectAcct[[#This Row],[Act01]:[Act12]],$R$14:$AC$14)/valUnits2</f>
        <v>116.46047999999999</v>
      </c>
      <c r="AF428">
        <f>DB_STProjectAcct[[#This Row],[Actual]]-DB_STProjectAcct[[#This Row],[Plan]]</f>
        <v>-10.84032599999999</v>
      </c>
      <c r="AG428">
        <f>IF(DB_STProjectAcct[[#This Row],[Plan]]&lt;&gt;0,DB_STProjectAcct[[#This Row],[Actual]]/DB_STProjectAcct[[#This Row],[Plan]],1.000011000011)</f>
        <v>0.91484479681927555</v>
      </c>
    </row>
    <row r="429" spans="1:33" hidden="1" x14ac:dyDescent="0.2">
      <c r="A429" t="s">
        <v>1416</v>
      </c>
      <c r="B429" t="s">
        <v>348</v>
      </c>
      <c r="C429" t="s">
        <v>522</v>
      </c>
      <c r="D429" t="s">
        <v>970</v>
      </c>
      <c r="E429" t="s">
        <v>236</v>
      </c>
      <c r="F429">
        <v>48.937000000000005</v>
      </c>
      <c r="G429">
        <v>13417.287999999999</v>
      </c>
      <c r="H429">
        <v>377.37900000000002</v>
      </c>
      <c r="I429">
        <v>1160.0480000000002</v>
      </c>
      <c r="J429">
        <v>836.02499999999998</v>
      </c>
      <c r="K429">
        <v>3763.279</v>
      </c>
      <c r="L429">
        <v>2555.808</v>
      </c>
      <c r="M429">
        <v>2555.808</v>
      </c>
      <c r="N429">
        <v>2555.808</v>
      </c>
      <c r="O429">
        <v>2555.808</v>
      </c>
      <c r="P429">
        <v>2555.808</v>
      </c>
      <c r="Q429">
        <v>2555.808</v>
      </c>
      <c r="R429">
        <v>48.940000000000005</v>
      </c>
      <c r="S429">
        <v>12568.019999999999</v>
      </c>
      <c r="T429">
        <v>376.17</v>
      </c>
      <c r="U429">
        <v>1160.7800000000002</v>
      </c>
      <c r="V429">
        <v>836.15</v>
      </c>
      <c r="W429">
        <v>24092.92</v>
      </c>
      <c r="X429">
        <v>0</v>
      </c>
      <c r="Y429">
        <v>0</v>
      </c>
      <c r="Z429">
        <v>0</v>
      </c>
      <c r="AA429">
        <v>0</v>
      </c>
      <c r="AB429">
        <v>0</v>
      </c>
      <c r="AC429" s="295">
        <v>0</v>
      </c>
      <c r="AD429">
        <f>SUMPRODUCT(DB_STProjectAcct[[#This Row],[Plan01]:[Plan12]],$F$14:$Q$14)/valUnits2</f>
        <v>19.602955999999999</v>
      </c>
      <c r="AE429">
        <f>SUMPRODUCT(DB_STProjectAcct[[#This Row],[Act01]:[Act12]],$R$14:$AC$14)/valUnits2</f>
        <v>39.082979999999999</v>
      </c>
      <c r="AF429">
        <f>DB_STProjectAcct[[#This Row],[Actual]]-DB_STProjectAcct[[#This Row],[Plan]]</f>
        <v>19.480024</v>
      </c>
      <c r="AG429">
        <f>IF(DB_STProjectAcct[[#This Row],[Plan]]&lt;&gt;0,DB_STProjectAcct[[#This Row],[Actual]]/DB_STProjectAcct[[#This Row],[Plan]],1.000011000011)</f>
        <v>1.9937289049671898</v>
      </c>
    </row>
    <row r="430" spans="1:33" hidden="1" x14ac:dyDescent="0.2">
      <c r="A430" t="s">
        <v>1417</v>
      </c>
      <c r="B430" t="s">
        <v>348</v>
      </c>
      <c r="C430" t="s">
        <v>522</v>
      </c>
      <c r="D430" t="s">
        <v>970</v>
      </c>
      <c r="E430" t="s">
        <v>237</v>
      </c>
      <c r="G430">
        <v>210.42599999999999</v>
      </c>
      <c r="I430">
        <v>0.66</v>
      </c>
      <c r="S430">
        <v>208.39</v>
      </c>
      <c r="U430">
        <v>0.66</v>
      </c>
      <c r="AC430" s="297"/>
      <c r="AD430">
        <f>SUMPRODUCT(DB_STProjectAcct[[#This Row],[Plan01]:[Plan12]],$F$14:$Q$14)/valUnits2</f>
        <v>0.211086</v>
      </c>
      <c r="AE430">
        <f>SUMPRODUCT(DB_STProjectAcct[[#This Row],[Act01]:[Act12]],$R$14:$AC$14)/valUnits2</f>
        <v>0.20904999999999999</v>
      </c>
      <c r="AF430">
        <f>DB_STProjectAcct[[#This Row],[Actual]]-DB_STProjectAcct[[#This Row],[Plan]]</f>
        <v>-2.03600000000001E-3</v>
      </c>
      <c r="AG430">
        <f>IF(DB_STProjectAcct[[#This Row],[Plan]]&lt;&gt;0,DB_STProjectAcct[[#This Row],[Actual]]/DB_STProjectAcct[[#This Row],[Plan]],1.000011000011)</f>
        <v>0.99035464218375446</v>
      </c>
    </row>
    <row r="431" spans="1:33" hidden="1" x14ac:dyDescent="0.2">
      <c r="A431" t="s">
        <v>1418</v>
      </c>
      <c r="B431" t="s">
        <v>348</v>
      </c>
      <c r="C431" t="s">
        <v>522</v>
      </c>
      <c r="D431" t="s">
        <v>970</v>
      </c>
      <c r="E431" t="s">
        <v>141</v>
      </c>
      <c r="F431">
        <v>1739.585</v>
      </c>
      <c r="G431">
        <v>1469.6960000000004</v>
      </c>
      <c r="H431">
        <v>14465.422999999997</v>
      </c>
      <c r="I431">
        <v>1938.6469999999997</v>
      </c>
      <c r="J431">
        <v>23032.197999999997</v>
      </c>
      <c r="K431">
        <v>584.33199999999999</v>
      </c>
      <c r="L431">
        <v>806.93499999999995</v>
      </c>
      <c r="M431">
        <v>806.93499999999995</v>
      </c>
      <c r="N431">
        <v>806.93499999999995</v>
      </c>
      <c r="O431">
        <v>806.93499999999995</v>
      </c>
      <c r="P431">
        <v>806.93499999999995</v>
      </c>
      <c r="Q431">
        <v>806.93499999999995</v>
      </c>
      <c r="R431">
        <v>1739.32</v>
      </c>
      <c r="S431">
        <v>1467.4500000000003</v>
      </c>
      <c r="T431">
        <v>14463.040000000003</v>
      </c>
      <c r="U431">
        <v>1893.4</v>
      </c>
      <c r="V431">
        <v>23032.879999999997</v>
      </c>
      <c r="W431">
        <v>1275.0899999999997</v>
      </c>
      <c r="X431">
        <v>0</v>
      </c>
      <c r="Y431">
        <v>0</v>
      </c>
      <c r="Z431">
        <v>0</v>
      </c>
      <c r="AA431">
        <v>0</v>
      </c>
      <c r="AB431">
        <v>0</v>
      </c>
      <c r="AC431" s="295">
        <v>0</v>
      </c>
      <c r="AD431">
        <f>SUMPRODUCT(DB_STProjectAcct[[#This Row],[Plan01]:[Plan12]],$F$14:$Q$14)/valUnits2</f>
        <v>43.229880999999999</v>
      </c>
      <c r="AE431">
        <f>SUMPRODUCT(DB_STProjectAcct[[#This Row],[Act01]:[Act12]],$R$14:$AC$14)/valUnits2</f>
        <v>43.871180000000003</v>
      </c>
      <c r="AF431">
        <f>DB_STProjectAcct[[#This Row],[Actual]]-DB_STProjectAcct[[#This Row],[Plan]]</f>
        <v>0.64129900000000362</v>
      </c>
      <c r="AG431">
        <f>IF(DB_STProjectAcct[[#This Row],[Plan]]&lt;&gt;0,DB_STProjectAcct[[#This Row],[Actual]]/DB_STProjectAcct[[#This Row],[Plan]],1.000011000011)</f>
        <v>1.0148346233014152</v>
      </c>
    </row>
    <row r="432" spans="1:33" hidden="1" x14ac:dyDescent="0.2">
      <c r="A432" t="s">
        <v>1419</v>
      </c>
      <c r="B432" t="s">
        <v>348</v>
      </c>
      <c r="C432" t="s">
        <v>522</v>
      </c>
      <c r="D432" t="s">
        <v>981</v>
      </c>
      <c r="E432" t="s">
        <v>143</v>
      </c>
      <c r="F432">
        <v>87.46</v>
      </c>
      <c r="G432">
        <v>178.893</v>
      </c>
      <c r="H432">
        <v>629.697</v>
      </c>
      <c r="I432">
        <v>197.685</v>
      </c>
      <c r="J432">
        <v>636.68799999999999</v>
      </c>
      <c r="K432">
        <v>584.69899999999996</v>
      </c>
      <c r="L432">
        <v>2594.6329999999994</v>
      </c>
      <c r="M432">
        <v>584.69899999999996</v>
      </c>
      <c r="N432">
        <v>584.69899999999996</v>
      </c>
      <c r="O432">
        <v>584.69899999999996</v>
      </c>
      <c r="P432">
        <v>584.69899999999996</v>
      </c>
      <c r="Q432">
        <v>584.69899999999996</v>
      </c>
      <c r="R432">
        <v>88.84</v>
      </c>
      <c r="S432">
        <v>183.95000000000002</v>
      </c>
      <c r="T432">
        <v>625.54000000000008</v>
      </c>
      <c r="U432">
        <v>194.31</v>
      </c>
      <c r="V432">
        <v>493.71000000000004</v>
      </c>
      <c r="W432">
        <v>614.97</v>
      </c>
      <c r="X432">
        <v>0</v>
      </c>
      <c r="Y432">
        <v>0</v>
      </c>
      <c r="Z432">
        <v>0</v>
      </c>
      <c r="AA432">
        <v>0</v>
      </c>
      <c r="AB432">
        <v>0</v>
      </c>
      <c r="AC432" s="297">
        <v>0</v>
      </c>
      <c r="AD432">
        <f>SUMPRODUCT(DB_STProjectAcct[[#This Row],[Plan01]:[Plan12]],$F$14:$Q$14)/valUnits2</f>
        <v>2.3151219999999997</v>
      </c>
      <c r="AE432">
        <f>SUMPRODUCT(DB_STProjectAcct[[#This Row],[Act01]:[Act12]],$R$14:$AC$14)/valUnits2</f>
        <v>2.2013199999999999</v>
      </c>
      <c r="AF432">
        <f>DB_STProjectAcct[[#This Row],[Actual]]-DB_STProjectAcct[[#This Row],[Plan]]</f>
        <v>-0.11380199999999974</v>
      </c>
      <c r="AG432">
        <f>IF(DB_STProjectAcct[[#This Row],[Plan]]&lt;&gt;0,DB_STProjectAcct[[#This Row],[Actual]]/DB_STProjectAcct[[#This Row],[Plan]],1.000011000011)</f>
        <v>0.95084405918996939</v>
      </c>
    </row>
    <row r="433" spans="1:33" hidden="1" x14ac:dyDescent="0.2">
      <c r="A433" t="s">
        <v>1420</v>
      </c>
      <c r="B433" t="s">
        <v>348</v>
      </c>
      <c r="C433" t="s">
        <v>522</v>
      </c>
      <c r="D433" t="s">
        <v>981</v>
      </c>
      <c r="E433" t="s">
        <v>235</v>
      </c>
      <c r="F433">
        <v>2692.2050000000004</v>
      </c>
      <c r="G433">
        <v>1183.002</v>
      </c>
      <c r="H433">
        <v>1499.2829999999999</v>
      </c>
      <c r="I433">
        <v>1216.4069999999999</v>
      </c>
      <c r="J433">
        <v>959.18499999999995</v>
      </c>
      <c r="K433">
        <v>706.29199999999992</v>
      </c>
      <c r="L433">
        <v>706.29199999999992</v>
      </c>
      <c r="M433">
        <v>706.29199999999992</v>
      </c>
      <c r="N433">
        <v>706.29200000000003</v>
      </c>
      <c r="O433">
        <v>706.29200000000003</v>
      </c>
      <c r="P433">
        <v>706.29200000000003</v>
      </c>
      <c r="Q433">
        <v>706.29200000000003</v>
      </c>
      <c r="R433">
        <v>2702.63</v>
      </c>
      <c r="S433">
        <v>1216.76</v>
      </c>
      <c r="T433">
        <v>1489.14</v>
      </c>
      <c r="U433">
        <v>1199.3700000000001</v>
      </c>
      <c r="V433">
        <v>1100.21</v>
      </c>
      <c r="W433">
        <v>623.54</v>
      </c>
      <c r="X433">
        <v>0</v>
      </c>
      <c r="Y433">
        <v>0</v>
      </c>
      <c r="Z433">
        <v>0</v>
      </c>
      <c r="AA433">
        <v>0</v>
      </c>
      <c r="AB433">
        <v>0</v>
      </c>
      <c r="AC433" s="295">
        <v>0</v>
      </c>
      <c r="AD433">
        <f>SUMPRODUCT(DB_STProjectAcct[[#This Row],[Plan01]:[Plan12]],$F$14:$Q$14)/valUnits2</f>
        <v>8.2563739999999992</v>
      </c>
      <c r="AE433">
        <f>SUMPRODUCT(DB_STProjectAcct[[#This Row],[Act01]:[Act12]],$R$14:$AC$14)/valUnits2</f>
        <v>8.3316500000000016</v>
      </c>
      <c r="AF433">
        <f>DB_STProjectAcct[[#This Row],[Actual]]-DB_STProjectAcct[[#This Row],[Plan]]</f>
        <v>7.5276000000002341E-2</v>
      </c>
      <c r="AG433">
        <f>IF(DB_STProjectAcct[[#This Row],[Plan]]&lt;&gt;0,DB_STProjectAcct[[#This Row],[Actual]]/DB_STProjectAcct[[#This Row],[Plan]],1.000011000011)</f>
        <v>1.0091173195400309</v>
      </c>
    </row>
    <row r="434" spans="1:33" hidden="1" x14ac:dyDescent="0.2">
      <c r="A434" t="s">
        <v>1421</v>
      </c>
      <c r="B434" t="s">
        <v>348</v>
      </c>
      <c r="C434" t="s">
        <v>522</v>
      </c>
      <c r="D434" t="s">
        <v>981</v>
      </c>
      <c r="E434" t="s">
        <v>144</v>
      </c>
      <c r="AC434" s="297"/>
      <c r="AD434">
        <f>SUMPRODUCT(DB_STProjectAcct[[#This Row],[Plan01]:[Plan12]],$F$14:$Q$14)/valUnits2</f>
        <v>0</v>
      </c>
      <c r="AE434">
        <f>SUMPRODUCT(DB_STProjectAcct[[#This Row],[Act01]:[Act12]],$R$14:$AC$14)/valUnits2</f>
        <v>0</v>
      </c>
      <c r="AF434">
        <f>DB_STProjectAcct[[#This Row],[Actual]]-DB_STProjectAcct[[#This Row],[Plan]]</f>
        <v>0</v>
      </c>
      <c r="AG434">
        <f>IF(DB_STProjectAcct[[#This Row],[Plan]]&lt;&gt;0,DB_STProjectAcct[[#This Row],[Actual]]/DB_STProjectAcct[[#This Row],[Plan]],1.000011000011)</f>
        <v>1.0000110000110001</v>
      </c>
    </row>
    <row r="435" spans="1:33" hidden="1" x14ac:dyDescent="0.2">
      <c r="A435" t="s">
        <v>1422</v>
      </c>
      <c r="B435" t="s">
        <v>348</v>
      </c>
      <c r="C435" t="s">
        <v>522</v>
      </c>
      <c r="D435" t="s">
        <v>981</v>
      </c>
      <c r="E435" t="s">
        <v>142</v>
      </c>
      <c r="F435">
        <v>190787.15699999998</v>
      </c>
      <c r="G435">
        <v>440413.54499999998</v>
      </c>
      <c r="H435">
        <v>226995.71500000003</v>
      </c>
      <c r="I435">
        <v>365882.01</v>
      </c>
      <c r="J435">
        <v>180745.51000000007</v>
      </c>
      <c r="K435">
        <v>203438.45</v>
      </c>
      <c r="L435">
        <v>242790.52599999998</v>
      </c>
      <c r="M435">
        <v>202737.87299999999</v>
      </c>
      <c r="N435">
        <v>202829.253</v>
      </c>
      <c r="O435">
        <v>202737.87299999999</v>
      </c>
      <c r="P435">
        <v>202737.87299999996</v>
      </c>
      <c r="Q435">
        <v>213624.75899999996</v>
      </c>
      <c r="R435">
        <v>193751.9599999999</v>
      </c>
      <c r="S435">
        <v>456609.05</v>
      </c>
      <c r="T435">
        <v>226651.46999999988</v>
      </c>
      <c r="U435">
        <v>361132.33</v>
      </c>
      <c r="V435">
        <v>180773.45000000007</v>
      </c>
      <c r="W435">
        <v>391352.11000000004</v>
      </c>
      <c r="X435">
        <v>0</v>
      </c>
      <c r="Y435">
        <v>0</v>
      </c>
      <c r="Z435">
        <v>0</v>
      </c>
      <c r="AA435">
        <v>0</v>
      </c>
      <c r="AB435">
        <v>0</v>
      </c>
      <c r="AC435" s="295">
        <v>0</v>
      </c>
      <c r="AD435">
        <f>SUMPRODUCT(DB_STProjectAcct[[#This Row],[Plan01]:[Plan12]],$F$14:$Q$14)/valUnits2</f>
        <v>1608.2623869999998</v>
      </c>
      <c r="AE435">
        <f>SUMPRODUCT(DB_STProjectAcct[[#This Row],[Act01]:[Act12]],$R$14:$AC$14)/valUnits2</f>
        <v>1810.27037</v>
      </c>
      <c r="AF435">
        <f>DB_STProjectAcct[[#This Row],[Actual]]-DB_STProjectAcct[[#This Row],[Plan]]</f>
        <v>202.00798300000019</v>
      </c>
      <c r="AG435">
        <f>IF(DB_STProjectAcct[[#This Row],[Plan]]&lt;&gt;0,DB_STProjectAcct[[#This Row],[Actual]]/DB_STProjectAcct[[#This Row],[Plan]],1.000011000011)</f>
        <v>1.1256063591568657</v>
      </c>
    </row>
    <row r="436" spans="1:33" hidden="1" x14ac:dyDescent="0.2">
      <c r="A436" t="s">
        <v>1423</v>
      </c>
      <c r="B436" t="s">
        <v>348</v>
      </c>
      <c r="C436" t="s">
        <v>522</v>
      </c>
      <c r="D436" t="s">
        <v>981</v>
      </c>
      <c r="E436" t="s">
        <v>140</v>
      </c>
      <c r="F436">
        <v>14312.019</v>
      </c>
      <c r="G436">
        <v>17885.623000000007</v>
      </c>
      <c r="H436">
        <v>19402.108</v>
      </c>
      <c r="I436">
        <v>14496.372999999998</v>
      </c>
      <c r="J436">
        <v>39680.018999999993</v>
      </c>
      <c r="K436">
        <v>31930.543999999998</v>
      </c>
      <c r="L436">
        <v>31930.543999999994</v>
      </c>
      <c r="M436">
        <v>31930.543999999998</v>
      </c>
      <c r="N436">
        <v>31930.543999999998</v>
      </c>
      <c r="O436">
        <v>31930.543999999998</v>
      </c>
      <c r="P436">
        <v>31930.543999999998</v>
      </c>
      <c r="Q436">
        <v>34399.626000000004</v>
      </c>
      <c r="R436">
        <v>14386.869999999999</v>
      </c>
      <c r="S436">
        <v>18268.690000000002</v>
      </c>
      <c r="T436">
        <v>19292.670000000006</v>
      </c>
      <c r="U436">
        <v>14277.580000000002</v>
      </c>
      <c r="V436">
        <v>39520.910000000011</v>
      </c>
      <c r="W436">
        <v>29868.260000000006</v>
      </c>
      <c r="X436">
        <v>0</v>
      </c>
      <c r="Y436">
        <v>0</v>
      </c>
      <c r="Z436">
        <v>0</v>
      </c>
      <c r="AA436">
        <v>0</v>
      </c>
      <c r="AB436">
        <v>0</v>
      </c>
      <c r="AC436" s="297">
        <v>0</v>
      </c>
      <c r="AD436">
        <f>SUMPRODUCT(DB_STProjectAcct[[#This Row],[Plan01]:[Plan12]],$F$14:$Q$14)/valUnits2</f>
        <v>137.70668599999999</v>
      </c>
      <c r="AE436">
        <f>SUMPRODUCT(DB_STProjectAcct[[#This Row],[Act01]:[Act12]],$R$14:$AC$14)/valUnits2</f>
        <v>135.61498000000003</v>
      </c>
      <c r="AF436">
        <f>DB_STProjectAcct[[#This Row],[Actual]]-DB_STProjectAcct[[#This Row],[Plan]]</f>
        <v>-2.0917059999999594</v>
      </c>
      <c r="AG436">
        <f>IF(DB_STProjectAcct[[#This Row],[Plan]]&lt;&gt;0,DB_STProjectAcct[[#This Row],[Actual]]/DB_STProjectAcct[[#This Row],[Plan]],1.000011000011)</f>
        <v>0.98481042525415241</v>
      </c>
    </row>
    <row r="437" spans="1:33" hidden="1" x14ac:dyDescent="0.2">
      <c r="A437" t="s">
        <v>1424</v>
      </c>
      <c r="B437" t="s">
        <v>348</v>
      </c>
      <c r="C437" t="s">
        <v>522</v>
      </c>
      <c r="D437" t="s">
        <v>981</v>
      </c>
      <c r="E437" t="s">
        <v>236</v>
      </c>
      <c r="F437">
        <v>31759.519</v>
      </c>
      <c r="G437">
        <v>15001.25</v>
      </c>
      <c r="H437">
        <v>15727.822</v>
      </c>
      <c r="I437">
        <v>15019.581</v>
      </c>
      <c r="J437">
        <v>28514.991000000002</v>
      </c>
      <c r="K437">
        <v>84262.250999999989</v>
      </c>
      <c r="L437">
        <v>62332.790999999997</v>
      </c>
      <c r="M437">
        <v>8541.5259999999998</v>
      </c>
      <c r="N437">
        <v>8541.5259999999998</v>
      </c>
      <c r="O437">
        <v>8541.5259999999998</v>
      </c>
      <c r="P437">
        <v>8541.5259999999998</v>
      </c>
      <c r="Q437">
        <v>92307.205000000002</v>
      </c>
      <c r="R437">
        <v>17077.59</v>
      </c>
      <c r="S437">
        <v>0</v>
      </c>
      <c r="T437">
        <v>725.47</v>
      </c>
      <c r="U437">
        <v>17.95</v>
      </c>
      <c r="V437">
        <v>13331.29</v>
      </c>
      <c r="W437">
        <v>34181.870000000003</v>
      </c>
      <c r="X437">
        <v>0</v>
      </c>
      <c r="Y437">
        <v>0</v>
      </c>
      <c r="Z437">
        <v>0</v>
      </c>
      <c r="AA437">
        <v>0</v>
      </c>
      <c r="AB437">
        <v>0</v>
      </c>
      <c r="AC437" s="295">
        <v>0</v>
      </c>
      <c r="AD437">
        <f>SUMPRODUCT(DB_STProjectAcct[[#This Row],[Plan01]:[Plan12]],$F$14:$Q$14)/valUnits2</f>
        <v>190.285414</v>
      </c>
      <c r="AE437">
        <f>SUMPRODUCT(DB_STProjectAcct[[#This Row],[Act01]:[Act12]],$R$14:$AC$14)/valUnits2</f>
        <v>65.33417</v>
      </c>
      <c r="AF437">
        <f>DB_STProjectAcct[[#This Row],[Actual]]-DB_STProjectAcct[[#This Row],[Plan]]</f>
        <v>-124.951244</v>
      </c>
      <c r="AG437">
        <f>IF(DB_STProjectAcct[[#This Row],[Plan]]&lt;&gt;0,DB_STProjectAcct[[#This Row],[Actual]]/DB_STProjectAcct[[#This Row],[Plan]],1.000011000011)</f>
        <v>0.34334828207063733</v>
      </c>
    </row>
    <row r="438" spans="1:33" hidden="1" x14ac:dyDescent="0.2">
      <c r="A438" t="s">
        <v>1425</v>
      </c>
      <c r="B438" t="s">
        <v>348</v>
      </c>
      <c r="C438" t="s">
        <v>522</v>
      </c>
      <c r="D438" t="s">
        <v>981</v>
      </c>
      <c r="E438" t="s">
        <v>237</v>
      </c>
      <c r="F438">
        <v>2780.2510000000002</v>
      </c>
      <c r="G438">
        <v>5644.5590000000002</v>
      </c>
      <c r="H438">
        <v>7144.1239999999998</v>
      </c>
      <c r="I438">
        <v>111.771</v>
      </c>
      <c r="J438">
        <v>742.22</v>
      </c>
      <c r="K438">
        <v>65.917000000000002</v>
      </c>
      <c r="L438">
        <v>65.917000000000002</v>
      </c>
      <c r="M438">
        <v>65.917000000000002</v>
      </c>
      <c r="N438">
        <v>65.917000000000002</v>
      </c>
      <c r="O438">
        <v>65.917000000000002</v>
      </c>
      <c r="P438">
        <v>65.917000000000002</v>
      </c>
      <c r="Q438">
        <v>65.917000000000002</v>
      </c>
      <c r="R438">
        <v>2854.6000000000004</v>
      </c>
      <c r="S438">
        <v>5852.1</v>
      </c>
      <c r="T438">
        <v>7112.68</v>
      </c>
      <c r="U438">
        <v>109.67</v>
      </c>
      <c r="V438">
        <v>742.4</v>
      </c>
      <c r="W438">
        <v>2159.6799999999998</v>
      </c>
      <c r="X438">
        <v>0</v>
      </c>
      <c r="Y438">
        <v>0</v>
      </c>
      <c r="Z438">
        <v>0</v>
      </c>
      <c r="AA438">
        <v>0</v>
      </c>
      <c r="AB438">
        <v>0</v>
      </c>
      <c r="AC438" s="297">
        <v>0</v>
      </c>
      <c r="AD438">
        <f>SUMPRODUCT(DB_STProjectAcct[[#This Row],[Plan01]:[Plan12]],$F$14:$Q$14)/valUnits2</f>
        <v>16.488842000000005</v>
      </c>
      <c r="AE438">
        <f>SUMPRODUCT(DB_STProjectAcct[[#This Row],[Act01]:[Act12]],$R$14:$AC$14)/valUnits2</f>
        <v>18.831130000000002</v>
      </c>
      <c r="AF438">
        <f>DB_STProjectAcct[[#This Row],[Actual]]-DB_STProjectAcct[[#This Row],[Plan]]</f>
        <v>2.3422879999999964</v>
      </c>
      <c r="AG438">
        <f>IF(DB_STProjectAcct[[#This Row],[Plan]]&lt;&gt;0,DB_STProjectAcct[[#This Row],[Actual]]/DB_STProjectAcct[[#This Row],[Plan]],1.000011000011)</f>
        <v>1.1420529106895436</v>
      </c>
    </row>
    <row r="439" spans="1:33" hidden="1" x14ac:dyDescent="0.2">
      <c r="A439" t="s">
        <v>1426</v>
      </c>
      <c r="B439" t="s">
        <v>348</v>
      </c>
      <c r="C439" t="s">
        <v>522</v>
      </c>
      <c r="D439" t="s">
        <v>981</v>
      </c>
      <c r="E439" t="s">
        <v>141</v>
      </c>
      <c r="F439">
        <v>3473.1099999999992</v>
      </c>
      <c r="G439">
        <v>3607.8709999999996</v>
      </c>
      <c r="H439">
        <v>3604.5889999999999</v>
      </c>
      <c r="I439">
        <v>2770.3380000000002</v>
      </c>
      <c r="J439">
        <v>20172.924999999996</v>
      </c>
      <c r="K439">
        <v>4599.2689999999993</v>
      </c>
      <c r="L439">
        <v>4599.2690000000011</v>
      </c>
      <c r="M439">
        <v>4599.2690000000002</v>
      </c>
      <c r="N439">
        <v>4599.2690000000002</v>
      </c>
      <c r="O439">
        <v>4599.2690000000002</v>
      </c>
      <c r="P439">
        <v>4599.2690000000002</v>
      </c>
      <c r="Q439">
        <v>4246.6689999999999</v>
      </c>
      <c r="R439">
        <v>3523.74</v>
      </c>
      <c r="S439">
        <v>3696.41</v>
      </c>
      <c r="T439">
        <v>3584.3700000000003</v>
      </c>
      <c r="U439">
        <v>2722.1500000000005</v>
      </c>
      <c r="V439">
        <v>20210.100000000006</v>
      </c>
      <c r="W439">
        <v>2731.3400000000006</v>
      </c>
      <c r="X439">
        <v>0</v>
      </c>
      <c r="Y439">
        <v>0</v>
      </c>
      <c r="Z439">
        <v>0</v>
      </c>
      <c r="AA439">
        <v>0</v>
      </c>
      <c r="AB439">
        <v>0</v>
      </c>
      <c r="AC439" s="295">
        <v>0</v>
      </c>
      <c r="AD439">
        <f>SUMPRODUCT(DB_STProjectAcct[[#This Row],[Plan01]:[Plan12]],$F$14:$Q$14)/valUnits2</f>
        <v>38.228102</v>
      </c>
      <c r="AE439">
        <f>SUMPRODUCT(DB_STProjectAcct[[#This Row],[Act01]:[Act12]],$R$14:$AC$14)/valUnits2</f>
        <v>36.46811000000001</v>
      </c>
      <c r="AF439">
        <f>DB_STProjectAcct[[#This Row],[Actual]]-DB_STProjectAcct[[#This Row],[Plan]]</f>
        <v>-1.7599919999999898</v>
      </c>
      <c r="AG439">
        <f>IF(DB_STProjectAcct[[#This Row],[Plan]]&lt;&gt;0,DB_STProjectAcct[[#This Row],[Actual]]/DB_STProjectAcct[[#This Row],[Plan]],1.000011000011)</f>
        <v>0.95396077995187967</v>
      </c>
    </row>
    <row r="440" spans="1:33" hidden="1" x14ac:dyDescent="0.2">
      <c r="A440" t="s">
        <v>1427</v>
      </c>
      <c r="B440" t="s">
        <v>348</v>
      </c>
      <c r="C440" t="s">
        <v>522</v>
      </c>
      <c r="D440" t="s">
        <v>993</v>
      </c>
      <c r="E440" t="s">
        <v>143</v>
      </c>
      <c r="AC440" s="297"/>
      <c r="AD440">
        <f>SUMPRODUCT(DB_STProjectAcct[[#This Row],[Plan01]:[Plan12]],$F$14:$Q$14)/valUnits2</f>
        <v>0</v>
      </c>
      <c r="AE440">
        <f>SUMPRODUCT(DB_STProjectAcct[[#This Row],[Act01]:[Act12]],$R$14:$AC$14)/valUnits2</f>
        <v>0</v>
      </c>
      <c r="AF440">
        <f>DB_STProjectAcct[[#This Row],[Actual]]-DB_STProjectAcct[[#This Row],[Plan]]</f>
        <v>0</v>
      </c>
      <c r="AG440">
        <f>IF(DB_STProjectAcct[[#This Row],[Plan]]&lt;&gt;0,DB_STProjectAcct[[#This Row],[Actual]]/DB_STProjectAcct[[#This Row],[Plan]],1.000011000011)</f>
        <v>1.0000110000110001</v>
      </c>
    </row>
    <row r="441" spans="1:33" hidden="1" x14ac:dyDescent="0.2">
      <c r="A441" t="s">
        <v>1428</v>
      </c>
      <c r="B441" t="s">
        <v>348</v>
      </c>
      <c r="C441" t="s">
        <v>522</v>
      </c>
      <c r="D441" t="s">
        <v>993</v>
      </c>
      <c r="E441" t="s">
        <v>235</v>
      </c>
      <c r="F441">
        <v>36.326999999999998</v>
      </c>
      <c r="G441">
        <v>0</v>
      </c>
      <c r="H441">
        <v>0</v>
      </c>
      <c r="I441">
        <v>45.542000000000002</v>
      </c>
      <c r="J441">
        <v>0</v>
      </c>
      <c r="K441">
        <v>53.280999999999999</v>
      </c>
      <c r="L441">
        <v>53.280999999999999</v>
      </c>
      <c r="M441">
        <v>53.280999999999999</v>
      </c>
      <c r="N441">
        <v>53.280999999999999</v>
      </c>
      <c r="O441">
        <v>53.280999999999999</v>
      </c>
      <c r="P441">
        <v>53.280999999999999</v>
      </c>
      <c r="Q441">
        <v>53.280999999999999</v>
      </c>
      <c r="R441">
        <v>35.450000000000003</v>
      </c>
      <c r="S441">
        <v>0</v>
      </c>
      <c r="T441">
        <v>0</v>
      </c>
      <c r="U441">
        <v>44.66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 s="295">
        <v>0</v>
      </c>
      <c r="AD441">
        <f>SUMPRODUCT(DB_STProjectAcct[[#This Row],[Plan01]:[Plan12]],$F$14:$Q$14)/valUnits2</f>
        <v>0.13514999999999999</v>
      </c>
      <c r="AE441">
        <f>SUMPRODUCT(DB_STProjectAcct[[#This Row],[Act01]:[Act12]],$R$14:$AC$14)/valUnits2</f>
        <v>8.0110000000000001E-2</v>
      </c>
      <c r="AF441">
        <f>DB_STProjectAcct[[#This Row],[Actual]]-DB_STProjectAcct[[#This Row],[Plan]]</f>
        <v>-5.5039999999999992E-2</v>
      </c>
      <c r="AG441">
        <f>IF(DB_STProjectAcct[[#This Row],[Plan]]&lt;&gt;0,DB_STProjectAcct[[#This Row],[Actual]]/DB_STProjectAcct[[#This Row],[Plan]],1.000011000011)</f>
        <v>0.59274879763226052</v>
      </c>
    </row>
    <row r="442" spans="1:33" hidden="1" x14ac:dyDescent="0.2">
      <c r="A442" t="s">
        <v>1429</v>
      </c>
      <c r="B442" t="s">
        <v>348</v>
      </c>
      <c r="C442" t="s">
        <v>522</v>
      </c>
      <c r="D442" t="s">
        <v>993</v>
      </c>
      <c r="E442" t="s">
        <v>144</v>
      </c>
      <c r="AC442" s="297"/>
      <c r="AD442">
        <f>SUMPRODUCT(DB_STProjectAcct[[#This Row],[Plan01]:[Plan12]],$F$14:$Q$14)/valUnits2</f>
        <v>0</v>
      </c>
      <c r="AE442">
        <f>SUMPRODUCT(DB_STProjectAcct[[#This Row],[Act01]:[Act12]],$R$14:$AC$14)/valUnits2</f>
        <v>0</v>
      </c>
      <c r="AF442">
        <f>DB_STProjectAcct[[#This Row],[Actual]]-DB_STProjectAcct[[#This Row],[Plan]]</f>
        <v>0</v>
      </c>
      <c r="AG442">
        <f>IF(DB_STProjectAcct[[#This Row],[Plan]]&lt;&gt;0,DB_STProjectAcct[[#This Row],[Actual]]/DB_STProjectAcct[[#This Row],[Plan]],1.000011000011)</f>
        <v>1.0000110000110001</v>
      </c>
    </row>
    <row r="443" spans="1:33" hidden="1" x14ac:dyDescent="0.2">
      <c r="A443" t="s">
        <v>1430</v>
      </c>
      <c r="B443" t="s">
        <v>348</v>
      </c>
      <c r="C443" t="s">
        <v>522</v>
      </c>
      <c r="D443" t="s">
        <v>993</v>
      </c>
      <c r="E443" t="s">
        <v>142</v>
      </c>
      <c r="F443">
        <v>0</v>
      </c>
      <c r="G443">
        <v>33265.762000000002</v>
      </c>
      <c r="H443">
        <v>9.0000000000145519E-3</v>
      </c>
      <c r="I443">
        <v>38512.983999999997</v>
      </c>
      <c r="J443">
        <v>-9.0000000000145519E-3</v>
      </c>
      <c r="K443">
        <v>16264.863999999998</v>
      </c>
      <c r="L443">
        <v>13085.069999999998</v>
      </c>
      <c r="M443">
        <v>11055.574000000001</v>
      </c>
      <c r="N443">
        <v>13627.649000000001</v>
      </c>
      <c r="O443">
        <v>9790.6540000000005</v>
      </c>
      <c r="P443">
        <v>12139.359</v>
      </c>
      <c r="Q443">
        <v>9548.9719999999998</v>
      </c>
      <c r="R443">
        <v>0</v>
      </c>
      <c r="S443">
        <v>34214.68</v>
      </c>
      <c r="T443">
        <v>9.9999999998772182E-3</v>
      </c>
      <c r="U443">
        <v>38383.35</v>
      </c>
      <c r="V443">
        <v>-1.0000000000218279E-2</v>
      </c>
      <c r="W443">
        <v>-2.0000000002255547E-2</v>
      </c>
      <c r="X443">
        <v>37226.519999999997</v>
      </c>
      <c r="Y443">
        <v>0</v>
      </c>
      <c r="Z443">
        <v>0</v>
      </c>
      <c r="AA443">
        <v>0</v>
      </c>
      <c r="AB443">
        <v>0</v>
      </c>
      <c r="AC443" s="295">
        <v>0</v>
      </c>
      <c r="AD443">
        <f>SUMPRODUCT(DB_STProjectAcct[[#This Row],[Plan01]:[Plan12]],$F$14:$Q$14)/valUnits2</f>
        <v>88.043610000000001</v>
      </c>
      <c r="AE443">
        <f>SUMPRODUCT(DB_STProjectAcct[[#This Row],[Act01]:[Act12]],$R$14:$AC$14)/valUnits2</f>
        <v>72.598010000000016</v>
      </c>
      <c r="AF443">
        <f>DB_STProjectAcct[[#This Row],[Actual]]-DB_STProjectAcct[[#This Row],[Plan]]</f>
        <v>-15.445599999999985</v>
      </c>
      <c r="AG443">
        <f>IF(DB_STProjectAcct[[#This Row],[Plan]]&lt;&gt;0,DB_STProjectAcct[[#This Row],[Actual]]/DB_STProjectAcct[[#This Row],[Plan]],1.000011000011)</f>
        <v>0.82456875632428084</v>
      </c>
    </row>
    <row r="444" spans="1:33" hidden="1" x14ac:dyDescent="0.2">
      <c r="A444" t="s">
        <v>1431</v>
      </c>
      <c r="B444" t="s">
        <v>348</v>
      </c>
      <c r="C444" t="s">
        <v>522</v>
      </c>
      <c r="D444" t="s">
        <v>993</v>
      </c>
      <c r="E444" t="s">
        <v>140</v>
      </c>
      <c r="F444">
        <v>1156.066</v>
      </c>
      <c r="G444">
        <v>1222.4359999999999</v>
      </c>
      <c r="H444">
        <v>1396.4</v>
      </c>
      <c r="I444">
        <v>1247.7839999999999</v>
      </c>
      <c r="J444">
        <v>1234.626</v>
      </c>
      <c r="K444">
        <v>1707.1680000000001</v>
      </c>
      <c r="L444">
        <v>1707.1680000000001</v>
      </c>
      <c r="M444">
        <v>1707.1680000000001</v>
      </c>
      <c r="N444">
        <v>1707.1680000000001</v>
      </c>
      <c r="O444">
        <v>1707.1680000000001</v>
      </c>
      <c r="P444">
        <v>1707.1680000000001</v>
      </c>
      <c r="Q444">
        <v>1707.1680000000001</v>
      </c>
      <c r="R444">
        <v>1138.97</v>
      </c>
      <c r="S444">
        <v>1248.07</v>
      </c>
      <c r="T444">
        <v>1409.04</v>
      </c>
      <c r="U444">
        <v>1240.33</v>
      </c>
      <c r="V444">
        <v>1219.6600000000001</v>
      </c>
      <c r="W444">
        <v>1393.0100000000002</v>
      </c>
      <c r="X444">
        <v>0</v>
      </c>
      <c r="Y444">
        <v>0</v>
      </c>
      <c r="Z444">
        <v>0</v>
      </c>
      <c r="AA444">
        <v>0</v>
      </c>
      <c r="AB444">
        <v>0</v>
      </c>
      <c r="AC444" s="297">
        <v>0</v>
      </c>
      <c r="AD444">
        <f>SUMPRODUCT(DB_STProjectAcct[[#This Row],[Plan01]:[Plan12]],$F$14:$Q$14)/valUnits2</f>
        <v>7.96448</v>
      </c>
      <c r="AE444">
        <f>SUMPRODUCT(DB_STProjectAcct[[#This Row],[Act01]:[Act12]],$R$14:$AC$14)/valUnits2</f>
        <v>7.6490799999999997</v>
      </c>
      <c r="AF444">
        <f>DB_STProjectAcct[[#This Row],[Actual]]-DB_STProjectAcct[[#This Row],[Plan]]</f>
        <v>-0.31540000000000035</v>
      </c>
      <c r="AG444">
        <f>IF(DB_STProjectAcct[[#This Row],[Plan]]&lt;&gt;0,DB_STProjectAcct[[#This Row],[Actual]]/DB_STProjectAcct[[#This Row],[Plan]],1.000011000011)</f>
        <v>0.96039917232512351</v>
      </c>
    </row>
    <row r="445" spans="1:33" hidden="1" x14ac:dyDescent="0.2">
      <c r="A445" t="s">
        <v>1432</v>
      </c>
      <c r="B445" t="s">
        <v>348</v>
      </c>
      <c r="C445" t="s">
        <v>522</v>
      </c>
      <c r="D445" t="s">
        <v>993</v>
      </c>
      <c r="E445" t="s">
        <v>236</v>
      </c>
      <c r="AC445" s="295"/>
      <c r="AD445">
        <f>SUMPRODUCT(DB_STProjectAcct[[#This Row],[Plan01]:[Plan12]],$F$14:$Q$14)/valUnits2</f>
        <v>0</v>
      </c>
      <c r="AE445">
        <f>SUMPRODUCT(DB_STProjectAcct[[#This Row],[Act01]:[Act12]],$R$14:$AC$14)/valUnits2</f>
        <v>0</v>
      </c>
      <c r="AF445">
        <f>DB_STProjectAcct[[#This Row],[Actual]]-DB_STProjectAcct[[#This Row],[Plan]]</f>
        <v>0</v>
      </c>
      <c r="AG445">
        <f>IF(DB_STProjectAcct[[#This Row],[Plan]]&lt;&gt;0,DB_STProjectAcct[[#This Row],[Actual]]/DB_STProjectAcct[[#This Row],[Plan]],1.000011000011)</f>
        <v>1.0000110000110001</v>
      </c>
    </row>
    <row r="446" spans="1:33" hidden="1" x14ac:dyDescent="0.2">
      <c r="A446" t="s">
        <v>1433</v>
      </c>
      <c r="B446" t="s">
        <v>348</v>
      </c>
      <c r="C446" t="s">
        <v>522</v>
      </c>
      <c r="D446" t="s">
        <v>993</v>
      </c>
      <c r="E446" t="s">
        <v>237</v>
      </c>
      <c r="J446">
        <v>695.91099999999994</v>
      </c>
      <c r="V446">
        <v>697.69</v>
      </c>
      <c r="AC446" s="297"/>
      <c r="AD446">
        <f>SUMPRODUCT(DB_STProjectAcct[[#This Row],[Plan01]:[Plan12]],$F$14:$Q$14)/valUnits2</f>
        <v>0.69591099999999995</v>
      </c>
      <c r="AE446">
        <f>SUMPRODUCT(DB_STProjectAcct[[#This Row],[Act01]:[Act12]],$R$14:$AC$14)/valUnits2</f>
        <v>0.69769000000000003</v>
      </c>
      <c r="AF446">
        <f>DB_STProjectAcct[[#This Row],[Actual]]-DB_STProjectAcct[[#This Row],[Plan]]</f>
        <v>1.7790000000000861E-3</v>
      </c>
      <c r="AG446">
        <f>IF(DB_STProjectAcct[[#This Row],[Plan]]&lt;&gt;0,DB_STProjectAcct[[#This Row],[Actual]]/DB_STProjectAcct[[#This Row],[Plan]],1.000011000011)</f>
        <v>1.0025563613737964</v>
      </c>
    </row>
    <row r="447" spans="1:33" hidden="1" x14ac:dyDescent="0.2">
      <c r="A447" t="s">
        <v>1434</v>
      </c>
      <c r="B447" t="s">
        <v>348</v>
      </c>
      <c r="C447" t="s">
        <v>522</v>
      </c>
      <c r="D447" t="s">
        <v>993</v>
      </c>
      <c r="E447" t="s">
        <v>141</v>
      </c>
      <c r="F447">
        <v>45.323999999999998</v>
      </c>
      <c r="G447">
        <v>625.654</v>
      </c>
      <c r="H447">
        <v>0</v>
      </c>
      <c r="I447">
        <v>96.611000000000004</v>
      </c>
      <c r="J447">
        <v>0</v>
      </c>
      <c r="K447">
        <v>166.23500000000001</v>
      </c>
      <c r="L447">
        <v>166.23500000000001</v>
      </c>
      <c r="M447">
        <v>166.23500000000001</v>
      </c>
      <c r="N447">
        <v>166.23500000000001</v>
      </c>
      <c r="O447">
        <v>166.23500000000001</v>
      </c>
      <c r="P447">
        <v>166.23500000000001</v>
      </c>
      <c r="Q447">
        <v>166.23500000000001</v>
      </c>
      <c r="R447">
        <v>44.230000000000004</v>
      </c>
      <c r="S447">
        <v>625</v>
      </c>
      <c r="T447">
        <v>0</v>
      </c>
      <c r="U447">
        <v>94.74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 s="295">
        <v>0</v>
      </c>
      <c r="AD447">
        <f>SUMPRODUCT(DB_STProjectAcct[[#This Row],[Plan01]:[Plan12]],$F$14:$Q$14)/valUnits2</f>
        <v>0.93382399999999999</v>
      </c>
      <c r="AE447">
        <f>SUMPRODUCT(DB_STProjectAcct[[#This Row],[Act01]:[Act12]],$R$14:$AC$14)/valUnits2</f>
        <v>0.76397000000000004</v>
      </c>
      <c r="AF447">
        <f>DB_STProjectAcct[[#This Row],[Actual]]-DB_STProjectAcct[[#This Row],[Plan]]</f>
        <v>-0.16985399999999995</v>
      </c>
      <c r="AG447">
        <f>IF(DB_STProjectAcct[[#This Row],[Plan]]&lt;&gt;0,DB_STProjectAcct[[#This Row],[Actual]]/DB_STProjectAcct[[#This Row],[Plan]],1.000011000011)</f>
        <v>0.81810919402371329</v>
      </c>
    </row>
    <row r="448" spans="1:33" hidden="1" x14ac:dyDescent="0.2">
      <c r="A448" t="s">
        <v>1435</v>
      </c>
      <c r="B448" t="s">
        <v>348</v>
      </c>
      <c r="C448" t="s">
        <v>523</v>
      </c>
      <c r="D448" t="s">
        <v>942</v>
      </c>
      <c r="E448" t="s">
        <v>143</v>
      </c>
      <c r="F448">
        <v>0</v>
      </c>
      <c r="G448">
        <v>119.262</v>
      </c>
      <c r="H448">
        <v>129.46700000000001</v>
      </c>
      <c r="I448">
        <v>0</v>
      </c>
      <c r="J448">
        <v>-129.821</v>
      </c>
      <c r="K448">
        <v>29.965000000000003</v>
      </c>
      <c r="L448">
        <v>29.965000000000003</v>
      </c>
      <c r="M448">
        <v>29.965000000000003</v>
      </c>
      <c r="N448">
        <v>29.965000000000003</v>
      </c>
      <c r="O448">
        <v>29.965000000000003</v>
      </c>
      <c r="P448">
        <v>29.965000000000003</v>
      </c>
      <c r="Q448">
        <v>29.965000000000003</v>
      </c>
      <c r="R448">
        <v>0</v>
      </c>
      <c r="S448">
        <v>117.54</v>
      </c>
      <c r="T448">
        <v>128.26</v>
      </c>
      <c r="U448">
        <v>0</v>
      </c>
      <c r="V448">
        <v>-128.26</v>
      </c>
      <c r="W448">
        <v>1290.32</v>
      </c>
      <c r="X448">
        <v>0</v>
      </c>
      <c r="Y448">
        <v>0</v>
      </c>
      <c r="Z448">
        <v>0</v>
      </c>
      <c r="AA448">
        <v>0</v>
      </c>
      <c r="AB448">
        <v>0</v>
      </c>
      <c r="AC448" s="297">
        <v>0</v>
      </c>
      <c r="AD448">
        <f>SUMPRODUCT(DB_STProjectAcct[[#This Row],[Plan01]:[Plan12]],$F$14:$Q$14)/valUnits2</f>
        <v>0.14887300000000001</v>
      </c>
      <c r="AE448">
        <f>SUMPRODUCT(DB_STProjectAcct[[#This Row],[Act01]:[Act12]],$R$14:$AC$14)/valUnits2</f>
        <v>1.4078599999999999</v>
      </c>
      <c r="AF448">
        <f>DB_STProjectAcct[[#This Row],[Actual]]-DB_STProjectAcct[[#This Row],[Plan]]</f>
        <v>1.2589869999999999</v>
      </c>
      <c r="AG448">
        <f>IF(DB_STProjectAcct[[#This Row],[Plan]]&lt;&gt;0,DB_STProjectAcct[[#This Row],[Actual]]/DB_STProjectAcct[[#This Row],[Plan]],1.000011000011)</f>
        <v>9.4567853136566047</v>
      </c>
    </row>
    <row r="449" spans="1:33" hidden="1" x14ac:dyDescent="0.2">
      <c r="A449" t="s">
        <v>1436</v>
      </c>
      <c r="B449" t="s">
        <v>348</v>
      </c>
      <c r="C449" t="s">
        <v>523</v>
      </c>
      <c r="D449" t="s">
        <v>942</v>
      </c>
      <c r="E449" t="s">
        <v>235</v>
      </c>
      <c r="F449">
        <v>182.857</v>
      </c>
      <c r="G449">
        <v>92.765000000000015</v>
      </c>
      <c r="H449">
        <v>348.072</v>
      </c>
      <c r="I449">
        <v>587.23900000000003</v>
      </c>
      <c r="J449">
        <v>-214.60699999999997</v>
      </c>
      <c r="K449">
        <v>277.03999999999996</v>
      </c>
      <c r="L449">
        <v>277.03999999999996</v>
      </c>
      <c r="M449">
        <v>360.37299999999999</v>
      </c>
      <c r="N449">
        <v>277.03999999999996</v>
      </c>
      <c r="O449">
        <v>277.04000000000002</v>
      </c>
      <c r="P449">
        <v>277.03999999999996</v>
      </c>
      <c r="Q449">
        <v>277.03999999999996</v>
      </c>
      <c r="R449">
        <v>182.86</v>
      </c>
      <c r="S449">
        <v>94.67</v>
      </c>
      <c r="T449">
        <v>345.85999999999996</v>
      </c>
      <c r="U449">
        <v>583.93000000000006</v>
      </c>
      <c r="V449">
        <v>-214.66</v>
      </c>
      <c r="W449">
        <v>114.27</v>
      </c>
      <c r="X449">
        <v>0</v>
      </c>
      <c r="Y449">
        <v>0</v>
      </c>
      <c r="Z449">
        <v>0</v>
      </c>
      <c r="AA449">
        <v>0</v>
      </c>
      <c r="AB449">
        <v>0</v>
      </c>
      <c r="AC449" s="295">
        <v>0</v>
      </c>
      <c r="AD449">
        <f>SUMPRODUCT(DB_STProjectAcct[[#This Row],[Plan01]:[Plan12]],$F$14:$Q$14)/valUnits2</f>
        <v>1.273366</v>
      </c>
      <c r="AE449">
        <f>SUMPRODUCT(DB_STProjectAcct[[#This Row],[Act01]:[Act12]],$R$14:$AC$14)/valUnits2</f>
        <v>1.1069300000000002</v>
      </c>
      <c r="AF449">
        <f>DB_STProjectAcct[[#This Row],[Actual]]-DB_STProjectAcct[[#This Row],[Plan]]</f>
        <v>-0.16643599999999981</v>
      </c>
      <c r="AG449">
        <f>IF(DB_STProjectAcct[[#This Row],[Plan]]&lt;&gt;0,DB_STProjectAcct[[#This Row],[Actual]]/DB_STProjectAcct[[#This Row],[Plan]],1.000011000011)</f>
        <v>0.86929445265540328</v>
      </c>
    </row>
    <row r="450" spans="1:33" hidden="1" x14ac:dyDescent="0.2">
      <c r="A450" t="s">
        <v>1437</v>
      </c>
      <c r="B450" t="s">
        <v>348</v>
      </c>
      <c r="C450" t="s">
        <v>523</v>
      </c>
      <c r="D450" t="s">
        <v>942</v>
      </c>
      <c r="E450" t="s">
        <v>144</v>
      </c>
      <c r="AC450" s="297"/>
      <c r="AD450">
        <f>SUMPRODUCT(DB_STProjectAcct[[#This Row],[Plan01]:[Plan12]],$F$14:$Q$14)/valUnits2</f>
        <v>0</v>
      </c>
      <c r="AE450">
        <f>SUMPRODUCT(DB_STProjectAcct[[#This Row],[Act01]:[Act12]],$R$14:$AC$14)/valUnits2</f>
        <v>0</v>
      </c>
      <c r="AF450">
        <f>DB_STProjectAcct[[#This Row],[Actual]]-DB_STProjectAcct[[#This Row],[Plan]]</f>
        <v>0</v>
      </c>
      <c r="AG450">
        <f>IF(DB_STProjectAcct[[#This Row],[Plan]]&lt;&gt;0,DB_STProjectAcct[[#This Row],[Actual]]/DB_STProjectAcct[[#This Row],[Plan]],1.000011000011)</f>
        <v>1.0000110000110001</v>
      </c>
    </row>
    <row r="451" spans="1:33" hidden="1" x14ac:dyDescent="0.2">
      <c r="A451" t="s">
        <v>1438</v>
      </c>
      <c r="B451" t="s">
        <v>348</v>
      </c>
      <c r="C451" t="s">
        <v>523</v>
      </c>
      <c r="D451" t="s">
        <v>942</v>
      </c>
      <c r="E451" t="s">
        <v>142</v>
      </c>
      <c r="AC451" s="295"/>
      <c r="AD451">
        <f>SUMPRODUCT(DB_STProjectAcct[[#This Row],[Plan01]:[Plan12]],$F$14:$Q$14)/valUnits2</f>
        <v>0</v>
      </c>
      <c r="AE451">
        <f>SUMPRODUCT(DB_STProjectAcct[[#This Row],[Act01]:[Act12]],$R$14:$AC$14)/valUnits2</f>
        <v>0</v>
      </c>
      <c r="AF451">
        <f>DB_STProjectAcct[[#This Row],[Actual]]-DB_STProjectAcct[[#This Row],[Plan]]</f>
        <v>0</v>
      </c>
      <c r="AG451">
        <f>IF(DB_STProjectAcct[[#This Row],[Plan]]&lt;&gt;0,DB_STProjectAcct[[#This Row],[Actual]]/DB_STProjectAcct[[#This Row],[Plan]],1.000011000011)</f>
        <v>1.0000110000110001</v>
      </c>
    </row>
    <row r="452" spans="1:33" hidden="1" x14ac:dyDescent="0.2">
      <c r="A452" t="s">
        <v>1439</v>
      </c>
      <c r="B452" t="s">
        <v>348</v>
      </c>
      <c r="C452" t="s">
        <v>523</v>
      </c>
      <c r="D452" t="s">
        <v>942</v>
      </c>
      <c r="E452" t="s">
        <v>140</v>
      </c>
      <c r="F452">
        <v>2161.931</v>
      </c>
      <c r="G452">
        <v>3958.1059999999998</v>
      </c>
      <c r="H452">
        <v>11463.194000000003</v>
      </c>
      <c r="I452">
        <v>11635.811</v>
      </c>
      <c r="J452">
        <v>-8239.4670000000006</v>
      </c>
      <c r="K452">
        <v>14836.420999999997</v>
      </c>
      <c r="L452">
        <v>14448.064999999997</v>
      </c>
      <c r="M452">
        <v>14448.064999999997</v>
      </c>
      <c r="N452">
        <v>14448.064999999997</v>
      </c>
      <c r="O452">
        <v>14253.886999999997</v>
      </c>
      <c r="P452">
        <v>14253.886999999997</v>
      </c>
      <c r="Q452">
        <v>14253.886999999997</v>
      </c>
      <c r="R452">
        <v>2161.92</v>
      </c>
      <c r="S452">
        <v>3958.07</v>
      </c>
      <c r="T452">
        <v>11394.729999999998</v>
      </c>
      <c r="U452">
        <v>11538.49</v>
      </c>
      <c r="V452">
        <v>-8218.9</v>
      </c>
      <c r="W452">
        <v>3613.1700000000005</v>
      </c>
      <c r="X452">
        <v>0</v>
      </c>
      <c r="Y452">
        <v>0</v>
      </c>
      <c r="Z452">
        <v>0</v>
      </c>
      <c r="AA452">
        <v>0</v>
      </c>
      <c r="AB452">
        <v>0</v>
      </c>
      <c r="AC452" s="297">
        <v>0</v>
      </c>
      <c r="AD452">
        <f>SUMPRODUCT(DB_STProjectAcct[[#This Row],[Plan01]:[Plan12]],$F$14:$Q$14)/valUnits2</f>
        <v>35.815995999999998</v>
      </c>
      <c r="AE452">
        <f>SUMPRODUCT(DB_STProjectAcct[[#This Row],[Act01]:[Act12]],$R$14:$AC$14)/valUnits2</f>
        <v>24.447479999999999</v>
      </c>
      <c r="AF452">
        <f>DB_STProjectAcct[[#This Row],[Actual]]-DB_STProjectAcct[[#This Row],[Plan]]</f>
        <v>-11.368516</v>
      </c>
      <c r="AG452">
        <f>IF(DB_STProjectAcct[[#This Row],[Plan]]&lt;&gt;0,DB_STProjectAcct[[#This Row],[Actual]]/DB_STProjectAcct[[#This Row],[Plan]],1.000011000011)</f>
        <v>0.6825855129088132</v>
      </c>
    </row>
    <row r="453" spans="1:33" hidden="1" x14ac:dyDescent="0.2">
      <c r="A453" t="s">
        <v>1440</v>
      </c>
      <c r="B453" t="s">
        <v>348</v>
      </c>
      <c r="C453" t="s">
        <v>523</v>
      </c>
      <c r="D453" t="s">
        <v>942</v>
      </c>
      <c r="E453" t="s">
        <v>236</v>
      </c>
      <c r="F453">
        <v>5227.201</v>
      </c>
      <c r="G453">
        <v>13046.939999999999</v>
      </c>
      <c r="H453">
        <v>20797.695</v>
      </c>
      <c r="I453">
        <v>9709.2190000000028</v>
      </c>
      <c r="J453">
        <v>16149.414000000001</v>
      </c>
      <c r="K453">
        <v>7672.4639999999999</v>
      </c>
      <c r="L453">
        <v>6264.4769999999999</v>
      </c>
      <c r="M453">
        <v>6264.4769999999999</v>
      </c>
      <c r="N453">
        <v>6264.4769999999999</v>
      </c>
      <c r="O453">
        <v>6264.4769999999999</v>
      </c>
      <c r="P453">
        <v>5025.0829999999996</v>
      </c>
      <c r="Q453">
        <v>5025.0829999999996</v>
      </c>
      <c r="R453">
        <v>202.11</v>
      </c>
      <c r="S453">
        <v>8012.57</v>
      </c>
      <c r="T453">
        <v>15665.09</v>
      </c>
      <c r="U453">
        <v>4703.71</v>
      </c>
      <c r="V453">
        <v>11178.289999999999</v>
      </c>
      <c r="W453">
        <v>332.43</v>
      </c>
      <c r="X453">
        <v>0</v>
      </c>
      <c r="Y453">
        <v>0</v>
      </c>
      <c r="Z453">
        <v>0</v>
      </c>
      <c r="AA453">
        <v>0</v>
      </c>
      <c r="AB453">
        <v>0</v>
      </c>
      <c r="AC453" s="295">
        <v>0</v>
      </c>
      <c r="AD453">
        <f>SUMPRODUCT(DB_STProjectAcct[[#This Row],[Plan01]:[Plan12]],$F$14:$Q$14)/valUnits2</f>
        <v>72.602932999999993</v>
      </c>
      <c r="AE453">
        <f>SUMPRODUCT(DB_STProjectAcct[[#This Row],[Act01]:[Act12]],$R$14:$AC$14)/valUnits2</f>
        <v>40.094199999999994</v>
      </c>
      <c r="AF453">
        <f>DB_STProjectAcct[[#This Row],[Actual]]-DB_STProjectAcct[[#This Row],[Plan]]</f>
        <v>-32.508732999999999</v>
      </c>
      <c r="AG453">
        <f>IF(DB_STProjectAcct[[#This Row],[Plan]]&lt;&gt;0,DB_STProjectAcct[[#This Row],[Actual]]/DB_STProjectAcct[[#This Row],[Plan]],1.000011000011)</f>
        <v>0.55223939782157283</v>
      </c>
    </row>
    <row r="454" spans="1:33" hidden="1" x14ac:dyDescent="0.2">
      <c r="A454" t="s">
        <v>1441</v>
      </c>
      <c r="B454" t="s">
        <v>348</v>
      </c>
      <c r="C454" t="s">
        <v>523</v>
      </c>
      <c r="D454" t="s">
        <v>942</v>
      </c>
      <c r="E454" t="s">
        <v>237</v>
      </c>
      <c r="H454">
        <v>280.21800000000002</v>
      </c>
      <c r="I454">
        <v>14.098000000000001</v>
      </c>
      <c r="J454">
        <v>-270.19299999999998</v>
      </c>
      <c r="K454">
        <v>0</v>
      </c>
      <c r="T454">
        <v>278.39</v>
      </c>
      <c r="U454">
        <v>14.16</v>
      </c>
      <c r="V454">
        <v>-271.51</v>
      </c>
      <c r="W454">
        <v>0</v>
      </c>
      <c r="AC454" s="297"/>
      <c r="AD454">
        <f>SUMPRODUCT(DB_STProjectAcct[[#This Row],[Plan01]:[Plan12]],$F$14:$Q$14)/valUnits2</f>
        <v>2.4123000000000047E-2</v>
      </c>
      <c r="AE454">
        <f>SUMPRODUCT(DB_STProjectAcct[[#This Row],[Act01]:[Act12]],$R$14:$AC$14)/valUnits2</f>
        <v>2.104000000000002E-2</v>
      </c>
      <c r="AF454">
        <f>DB_STProjectAcct[[#This Row],[Actual]]-DB_STProjectAcct[[#This Row],[Plan]]</f>
        <v>-3.0830000000000267E-3</v>
      </c>
      <c r="AG454">
        <f>IF(DB_STProjectAcct[[#This Row],[Plan]]&lt;&gt;0,DB_STProjectAcct[[#This Row],[Actual]]/DB_STProjectAcct[[#This Row],[Plan]],1.000011000011)</f>
        <v>0.87219665879036523</v>
      </c>
    </row>
    <row r="455" spans="1:33" hidden="1" x14ac:dyDescent="0.2">
      <c r="A455" t="s">
        <v>1442</v>
      </c>
      <c r="B455" t="s">
        <v>348</v>
      </c>
      <c r="C455" t="s">
        <v>523</v>
      </c>
      <c r="D455" t="s">
        <v>942</v>
      </c>
      <c r="E455" t="s">
        <v>141</v>
      </c>
      <c r="F455">
        <v>818.43399999999997</v>
      </c>
      <c r="G455">
        <v>1524.1789999999999</v>
      </c>
      <c r="H455">
        <v>16238.653000000002</v>
      </c>
      <c r="I455">
        <v>2231.4139999999998</v>
      </c>
      <c r="J455">
        <v>-16513.532999999999</v>
      </c>
      <c r="K455">
        <v>7397.0430000000006</v>
      </c>
      <c r="L455">
        <v>7397.0430000000006</v>
      </c>
      <c r="M455">
        <v>7397.0430000000006</v>
      </c>
      <c r="N455">
        <v>10741.050000000001</v>
      </c>
      <c r="O455">
        <v>17842.317999999999</v>
      </c>
      <c r="P455">
        <v>10227.352000000001</v>
      </c>
      <c r="Q455">
        <v>6883.3450000000003</v>
      </c>
      <c r="R455">
        <v>818.39</v>
      </c>
      <c r="S455">
        <v>1526.3600000000001</v>
      </c>
      <c r="T455">
        <v>16193.09</v>
      </c>
      <c r="U455">
        <v>2199.2200000000003</v>
      </c>
      <c r="V455">
        <v>-16425.310000000001</v>
      </c>
      <c r="W455">
        <v>579.75000000000011</v>
      </c>
      <c r="X455">
        <v>0</v>
      </c>
      <c r="Y455">
        <v>0</v>
      </c>
      <c r="Z455">
        <v>0</v>
      </c>
      <c r="AA455">
        <v>0</v>
      </c>
      <c r="AB455">
        <v>0</v>
      </c>
      <c r="AC455" s="295">
        <v>0</v>
      </c>
      <c r="AD455">
        <f>SUMPRODUCT(DB_STProjectAcct[[#This Row],[Plan01]:[Plan12]],$F$14:$Q$14)/valUnits2</f>
        <v>11.696190000000007</v>
      </c>
      <c r="AE455">
        <f>SUMPRODUCT(DB_STProjectAcct[[#This Row],[Act01]:[Act12]],$R$14:$AC$14)/valUnits2</f>
        <v>4.8914999999999997</v>
      </c>
      <c r="AF455">
        <f>DB_STProjectAcct[[#This Row],[Actual]]-DB_STProjectAcct[[#This Row],[Plan]]</f>
        <v>-6.804690000000007</v>
      </c>
      <c r="AG455">
        <f>IF(DB_STProjectAcct[[#This Row],[Plan]]&lt;&gt;0,DB_STProjectAcct[[#This Row],[Actual]]/DB_STProjectAcct[[#This Row],[Plan]],1.000011000011)</f>
        <v>0.41821311042313752</v>
      </c>
    </row>
    <row r="456" spans="1:33" hidden="1" x14ac:dyDescent="0.2">
      <c r="A456" t="s">
        <v>1443</v>
      </c>
      <c r="B456" t="s">
        <v>349</v>
      </c>
      <c r="C456" t="s">
        <v>524</v>
      </c>
      <c r="D456" t="s">
        <v>940</v>
      </c>
      <c r="E456" t="s">
        <v>143</v>
      </c>
      <c r="AC456" s="297"/>
      <c r="AD456">
        <f>SUMPRODUCT(DB_STProjectAcct[[#This Row],[Plan01]:[Plan12]],$F$14:$Q$14)/valUnits2</f>
        <v>0</v>
      </c>
      <c r="AE456">
        <f>SUMPRODUCT(DB_STProjectAcct[[#This Row],[Act01]:[Act12]],$R$14:$AC$14)/valUnits2</f>
        <v>0</v>
      </c>
      <c r="AF456">
        <f>DB_STProjectAcct[[#This Row],[Actual]]-DB_STProjectAcct[[#This Row],[Plan]]</f>
        <v>0</v>
      </c>
      <c r="AG456">
        <f>IF(DB_STProjectAcct[[#This Row],[Plan]]&lt;&gt;0,DB_STProjectAcct[[#This Row],[Actual]]/DB_STProjectAcct[[#This Row],[Plan]],1.000011000011)</f>
        <v>1.0000110000110001</v>
      </c>
    </row>
    <row r="457" spans="1:33" hidden="1" x14ac:dyDescent="0.2">
      <c r="A457" t="s">
        <v>1444</v>
      </c>
      <c r="B457" t="s">
        <v>349</v>
      </c>
      <c r="C457" t="s">
        <v>524</v>
      </c>
      <c r="D457" t="s">
        <v>940</v>
      </c>
      <c r="E457" t="s">
        <v>235</v>
      </c>
      <c r="AC457" s="295"/>
      <c r="AD457">
        <f>SUMPRODUCT(DB_STProjectAcct[[#This Row],[Plan01]:[Plan12]],$F$14:$Q$14)/valUnits2</f>
        <v>0</v>
      </c>
      <c r="AE457">
        <f>SUMPRODUCT(DB_STProjectAcct[[#This Row],[Act01]:[Act12]],$R$14:$AC$14)/valUnits2</f>
        <v>0</v>
      </c>
      <c r="AF457">
        <f>DB_STProjectAcct[[#This Row],[Actual]]-DB_STProjectAcct[[#This Row],[Plan]]</f>
        <v>0</v>
      </c>
      <c r="AG457">
        <f>IF(DB_STProjectAcct[[#This Row],[Plan]]&lt;&gt;0,DB_STProjectAcct[[#This Row],[Actual]]/DB_STProjectAcct[[#This Row],[Plan]],1.000011000011)</f>
        <v>1.0000110000110001</v>
      </c>
    </row>
    <row r="458" spans="1:33" hidden="1" x14ac:dyDescent="0.2">
      <c r="A458" t="s">
        <v>1445</v>
      </c>
      <c r="B458" t="s">
        <v>349</v>
      </c>
      <c r="C458" t="s">
        <v>524</v>
      </c>
      <c r="D458" t="s">
        <v>940</v>
      </c>
      <c r="E458" t="s">
        <v>144</v>
      </c>
      <c r="AC458" s="297"/>
      <c r="AD458">
        <f>SUMPRODUCT(DB_STProjectAcct[[#This Row],[Plan01]:[Plan12]],$F$14:$Q$14)/valUnits2</f>
        <v>0</v>
      </c>
      <c r="AE458">
        <f>SUMPRODUCT(DB_STProjectAcct[[#This Row],[Act01]:[Act12]],$R$14:$AC$14)/valUnits2</f>
        <v>0</v>
      </c>
      <c r="AF458">
        <f>DB_STProjectAcct[[#This Row],[Actual]]-DB_STProjectAcct[[#This Row],[Plan]]</f>
        <v>0</v>
      </c>
      <c r="AG458">
        <f>IF(DB_STProjectAcct[[#This Row],[Plan]]&lt;&gt;0,DB_STProjectAcct[[#This Row],[Actual]]/DB_STProjectAcct[[#This Row],[Plan]],1.000011000011)</f>
        <v>1.0000110000110001</v>
      </c>
    </row>
    <row r="459" spans="1:33" hidden="1" x14ac:dyDescent="0.2">
      <c r="A459" t="s">
        <v>1446</v>
      </c>
      <c r="B459" t="s">
        <v>349</v>
      </c>
      <c r="C459" t="s">
        <v>524</v>
      </c>
      <c r="D459" t="s">
        <v>940</v>
      </c>
      <c r="E459" t="s">
        <v>142</v>
      </c>
      <c r="H459">
        <v>615.27099999999996</v>
      </c>
      <c r="T459">
        <v>710.35</v>
      </c>
      <c r="AC459" s="295"/>
      <c r="AD459">
        <f>SUMPRODUCT(DB_STProjectAcct[[#This Row],[Plan01]:[Plan12]],$F$14:$Q$14)/valUnits2</f>
        <v>0.61527100000000001</v>
      </c>
      <c r="AE459">
        <f>SUMPRODUCT(DB_STProjectAcct[[#This Row],[Act01]:[Act12]],$R$14:$AC$14)/valUnits2</f>
        <v>0.71035000000000004</v>
      </c>
      <c r="AF459">
        <f>DB_STProjectAcct[[#This Row],[Actual]]-DB_STProjectAcct[[#This Row],[Plan]]</f>
        <v>9.5079000000000025E-2</v>
      </c>
      <c r="AG459">
        <f>IF(DB_STProjectAcct[[#This Row],[Plan]]&lt;&gt;0,DB_STProjectAcct[[#This Row],[Actual]]/DB_STProjectAcct[[#This Row],[Plan]],1.000011000011)</f>
        <v>1.1545319054530443</v>
      </c>
    </row>
    <row r="460" spans="1:33" hidden="1" x14ac:dyDescent="0.2">
      <c r="A460" t="s">
        <v>1447</v>
      </c>
      <c r="B460" t="s">
        <v>349</v>
      </c>
      <c r="C460" t="s">
        <v>524</v>
      </c>
      <c r="D460" t="s">
        <v>940</v>
      </c>
      <c r="E460" t="s">
        <v>140</v>
      </c>
      <c r="H460">
        <v>0</v>
      </c>
      <c r="I460">
        <v>9715.5190000000002</v>
      </c>
      <c r="J460">
        <v>1761.0930000000001</v>
      </c>
      <c r="K460">
        <v>1880.8790000000001</v>
      </c>
      <c r="L460">
        <v>1880.8790000000001</v>
      </c>
      <c r="M460">
        <v>1880.8790000000001</v>
      </c>
      <c r="N460">
        <v>1880.8790000000001</v>
      </c>
      <c r="O460">
        <v>1880.8790000000001</v>
      </c>
      <c r="P460">
        <v>1880.8790000000001</v>
      </c>
      <c r="Q460">
        <v>1880.8790000000001</v>
      </c>
      <c r="T460">
        <v>0</v>
      </c>
      <c r="U460">
        <v>9751.92</v>
      </c>
      <c r="V460">
        <v>1784.7</v>
      </c>
      <c r="W460">
        <v>-704.0200000000001</v>
      </c>
      <c r="X460">
        <v>0</v>
      </c>
      <c r="Y460">
        <v>0</v>
      </c>
      <c r="Z460">
        <v>0</v>
      </c>
      <c r="AA460">
        <v>0</v>
      </c>
      <c r="AB460">
        <v>0</v>
      </c>
      <c r="AC460" s="297">
        <v>0</v>
      </c>
      <c r="AD460">
        <f>SUMPRODUCT(DB_STProjectAcct[[#This Row],[Plan01]:[Plan12]],$F$14:$Q$14)/valUnits2</f>
        <v>13.357491000000001</v>
      </c>
      <c r="AE460">
        <f>SUMPRODUCT(DB_STProjectAcct[[#This Row],[Act01]:[Act12]],$R$14:$AC$14)/valUnits2</f>
        <v>10.832600000000001</v>
      </c>
      <c r="AF460">
        <f>DB_STProjectAcct[[#This Row],[Actual]]-DB_STProjectAcct[[#This Row],[Plan]]</f>
        <v>-2.5248910000000002</v>
      </c>
      <c r="AG460">
        <f>IF(DB_STProjectAcct[[#This Row],[Plan]]&lt;&gt;0,DB_STProjectAcct[[#This Row],[Actual]]/DB_STProjectAcct[[#This Row],[Plan]],1.000011000011)</f>
        <v>0.81097565403562688</v>
      </c>
    </row>
    <row r="461" spans="1:33" hidden="1" x14ac:dyDescent="0.2">
      <c r="A461" t="s">
        <v>1448</v>
      </c>
      <c r="B461" t="s">
        <v>349</v>
      </c>
      <c r="C461" t="s">
        <v>524</v>
      </c>
      <c r="D461" t="s">
        <v>940</v>
      </c>
      <c r="E461" t="s">
        <v>236</v>
      </c>
      <c r="K461">
        <v>0</v>
      </c>
      <c r="W461">
        <v>239.83</v>
      </c>
      <c r="AC461" s="295"/>
      <c r="AD461">
        <f>SUMPRODUCT(DB_STProjectAcct[[#This Row],[Plan01]:[Plan12]],$F$14:$Q$14)/valUnits2</f>
        <v>0</v>
      </c>
      <c r="AE461">
        <f>SUMPRODUCT(DB_STProjectAcct[[#This Row],[Act01]:[Act12]],$R$14:$AC$14)/valUnits2</f>
        <v>0.23983000000000002</v>
      </c>
      <c r="AF461">
        <f>DB_STProjectAcct[[#This Row],[Actual]]-DB_STProjectAcct[[#This Row],[Plan]]</f>
        <v>0.23983000000000002</v>
      </c>
      <c r="AG461">
        <f>IF(DB_STProjectAcct[[#This Row],[Plan]]&lt;&gt;0,DB_STProjectAcct[[#This Row],[Actual]]/DB_STProjectAcct[[#This Row],[Plan]],1.000011000011)</f>
        <v>1.0000110000110001</v>
      </c>
    </row>
    <row r="462" spans="1:33" hidden="1" x14ac:dyDescent="0.2">
      <c r="A462" t="s">
        <v>1449</v>
      </c>
      <c r="B462" t="s">
        <v>349</v>
      </c>
      <c r="C462" t="s">
        <v>524</v>
      </c>
      <c r="D462" t="s">
        <v>940</v>
      </c>
      <c r="E462" t="s">
        <v>237</v>
      </c>
      <c r="H462">
        <v>140.29400000000001</v>
      </c>
      <c r="K462">
        <v>0</v>
      </c>
      <c r="T462">
        <v>139.77000000000001</v>
      </c>
      <c r="W462">
        <v>141.5</v>
      </c>
      <c r="AC462" s="297"/>
      <c r="AD462">
        <f>SUMPRODUCT(DB_STProjectAcct[[#This Row],[Plan01]:[Plan12]],$F$14:$Q$14)/valUnits2</f>
        <v>0.140294</v>
      </c>
      <c r="AE462">
        <f>SUMPRODUCT(DB_STProjectAcct[[#This Row],[Act01]:[Act12]],$R$14:$AC$14)/valUnits2</f>
        <v>0.28126999999999996</v>
      </c>
      <c r="AF462">
        <f>DB_STProjectAcct[[#This Row],[Actual]]-DB_STProjectAcct[[#This Row],[Plan]]</f>
        <v>0.14097599999999996</v>
      </c>
      <c r="AG462">
        <f>IF(DB_STProjectAcct[[#This Row],[Plan]]&lt;&gt;0,DB_STProjectAcct[[#This Row],[Actual]]/DB_STProjectAcct[[#This Row],[Plan]],1.000011000011)</f>
        <v>2.0048612200094085</v>
      </c>
    </row>
    <row r="463" spans="1:33" hidden="1" x14ac:dyDescent="0.2">
      <c r="A463" t="s">
        <v>1450</v>
      </c>
      <c r="B463" t="s">
        <v>349</v>
      </c>
      <c r="C463" t="s">
        <v>524</v>
      </c>
      <c r="D463" t="s">
        <v>940</v>
      </c>
      <c r="E463" t="s">
        <v>141</v>
      </c>
      <c r="F463">
        <v>10.851000000000001</v>
      </c>
      <c r="G463">
        <v>387.96699999999998</v>
      </c>
      <c r="J463">
        <v>24.393000000000001</v>
      </c>
      <c r="K463">
        <v>0</v>
      </c>
      <c r="R463">
        <v>10.9</v>
      </c>
      <c r="S463">
        <v>395.52</v>
      </c>
      <c r="V463">
        <v>25.029999999999998</v>
      </c>
      <c r="W463">
        <v>72.56</v>
      </c>
      <c r="AC463" s="295"/>
      <c r="AD463">
        <f>SUMPRODUCT(DB_STProjectAcct[[#This Row],[Plan01]:[Plan12]],$F$14:$Q$14)/valUnits2</f>
        <v>0.423211</v>
      </c>
      <c r="AE463">
        <f>SUMPRODUCT(DB_STProjectAcct[[#This Row],[Act01]:[Act12]],$R$14:$AC$14)/valUnits2</f>
        <v>0.50400999999999996</v>
      </c>
      <c r="AF463">
        <f>DB_STProjectAcct[[#This Row],[Actual]]-DB_STProjectAcct[[#This Row],[Plan]]</f>
        <v>8.0798999999999954E-2</v>
      </c>
      <c r="AG463">
        <f>IF(DB_STProjectAcct[[#This Row],[Plan]]&lt;&gt;0,DB_STProjectAcct[[#This Row],[Actual]]/DB_STProjectAcct[[#This Row],[Plan]],1.000011000011)</f>
        <v>1.1909189505943842</v>
      </c>
    </row>
    <row r="464" spans="1:33" hidden="1" x14ac:dyDescent="0.2">
      <c r="A464" t="s">
        <v>1451</v>
      </c>
      <c r="B464" t="s">
        <v>349</v>
      </c>
      <c r="C464" t="s">
        <v>524</v>
      </c>
      <c r="D464" t="s">
        <v>978</v>
      </c>
      <c r="E464" t="s">
        <v>143</v>
      </c>
      <c r="AC464" s="297"/>
      <c r="AD464">
        <f>SUMPRODUCT(DB_STProjectAcct[[#This Row],[Plan01]:[Plan12]],$F$14:$Q$14)/valUnits2</f>
        <v>0</v>
      </c>
      <c r="AE464">
        <f>SUMPRODUCT(DB_STProjectAcct[[#This Row],[Act01]:[Act12]],$R$14:$AC$14)/valUnits2</f>
        <v>0</v>
      </c>
      <c r="AF464">
        <f>DB_STProjectAcct[[#This Row],[Actual]]-DB_STProjectAcct[[#This Row],[Plan]]</f>
        <v>0</v>
      </c>
      <c r="AG464">
        <f>IF(DB_STProjectAcct[[#This Row],[Plan]]&lt;&gt;0,DB_STProjectAcct[[#This Row],[Actual]]/DB_STProjectAcct[[#This Row],[Plan]],1.000011000011)</f>
        <v>1.0000110000110001</v>
      </c>
    </row>
    <row r="465" spans="1:33" hidden="1" x14ac:dyDescent="0.2">
      <c r="A465" t="s">
        <v>1452</v>
      </c>
      <c r="B465" t="s">
        <v>349</v>
      </c>
      <c r="C465" t="s">
        <v>524</v>
      </c>
      <c r="D465" t="s">
        <v>978</v>
      </c>
      <c r="E465" t="s">
        <v>235</v>
      </c>
      <c r="AC465" s="295"/>
      <c r="AD465">
        <f>SUMPRODUCT(DB_STProjectAcct[[#This Row],[Plan01]:[Plan12]],$F$14:$Q$14)/valUnits2</f>
        <v>0</v>
      </c>
      <c r="AE465">
        <f>SUMPRODUCT(DB_STProjectAcct[[#This Row],[Act01]:[Act12]],$R$14:$AC$14)/valUnits2</f>
        <v>0</v>
      </c>
      <c r="AF465">
        <f>DB_STProjectAcct[[#This Row],[Actual]]-DB_STProjectAcct[[#This Row],[Plan]]</f>
        <v>0</v>
      </c>
      <c r="AG465">
        <f>IF(DB_STProjectAcct[[#This Row],[Plan]]&lt;&gt;0,DB_STProjectAcct[[#This Row],[Actual]]/DB_STProjectAcct[[#This Row],[Plan]],1.000011000011)</f>
        <v>1.0000110000110001</v>
      </c>
    </row>
    <row r="466" spans="1:33" hidden="1" x14ac:dyDescent="0.2">
      <c r="A466" t="s">
        <v>1453</v>
      </c>
      <c r="B466" t="s">
        <v>349</v>
      </c>
      <c r="C466" t="s">
        <v>524</v>
      </c>
      <c r="D466" t="s">
        <v>978</v>
      </c>
      <c r="E466" t="s">
        <v>144</v>
      </c>
      <c r="AC466" s="297"/>
      <c r="AD466">
        <f>SUMPRODUCT(DB_STProjectAcct[[#This Row],[Plan01]:[Plan12]],$F$14:$Q$14)/valUnits2</f>
        <v>0</v>
      </c>
      <c r="AE466">
        <f>SUMPRODUCT(DB_STProjectAcct[[#This Row],[Act01]:[Act12]],$R$14:$AC$14)/valUnits2</f>
        <v>0</v>
      </c>
      <c r="AF466">
        <f>DB_STProjectAcct[[#This Row],[Actual]]-DB_STProjectAcct[[#This Row],[Plan]]</f>
        <v>0</v>
      </c>
      <c r="AG466">
        <f>IF(DB_STProjectAcct[[#This Row],[Plan]]&lt;&gt;0,DB_STProjectAcct[[#This Row],[Actual]]/DB_STProjectAcct[[#This Row],[Plan]],1.000011000011)</f>
        <v>1.0000110000110001</v>
      </c>
    </row>
    <row r="467" spans="1:33" hidden="1" x14ac:dyDescent="0.2">
      <c r="A467" t="s">
        <v>1454</v>
      </c>
      <c r="B467" t="s">
        <v>349</v>
      </c>
      <c r="C467" t="s">
        <v>524</v>
      </c>
      <c r="D467" t="s">
        <v>978</v>
      </c>
      <c r="E467" t="s">
        <v>142</v>
      </c>
      <c r="F467">
        <v>0</v>
      </c>
      <c r="I467">
        <v>0</v>
      </c>
      <c r="L467">
        <v>0</v>
      </c>
      <c r="O467">
        <v>0</v>
      </c>
      <c r="R467">
        <v>0</v>
      </c>
      <c r="U467">
        <v>0</v>
      </c>
      <c r="X467">
        <v>0</v>
      </c>
      <c r="AA467">
        <v>0</v>
      </c>
      <c r="AC467" s="295"/>
      <c r="AD467">
        <f>SUMPRODUCT(DB_STProjectAcct[[#This Row],[Plan01]:[Plan12]],$F$14:$Q$14)/valUnits2</f>
        <v>0</v>
      </c>
      <c r="AE467">
        <f>SUMPRODUCT(DB_STProjectAcct[[#This Row],[Act01]:[Act12]],$R$14:$AC$14)/valUnits2</f>
        <v>0</v>
      </c>
      <c r="AF467">
        <f>DB_STProjectAcct[[#This Row],[Actual]]-DB_STProjectAcct[[#This Row],[Plan]]</f>
        <v>0</v>
      </c>
      <c r="AG467">
        <f>IF(DB_STProjectAcct[[#This Row],[Plan]]&lt;&gt;0,DB_STProjectAcct[[#This Row],[Actual]]/DB_STProjectAcct[[#This Row],[Plan]],1.000011000011)</f>
        <v>1.0000110000110001</v>
      </c>
    </row>
    <row r="468" spans="1:33" hidden="1" x14ac:dyDescent="0.2">
      <c r="A468" t="s">
        <v>1455</v>
      </c>
      <c r="B468" t="s">
        <v>349</v>
      </c>
      <c r="C468" t="s">
        <v>524</v>
      </c>
      <c r="D468" t="s">
        <v>978</v>
      </c>
      <c r="E468" t="s">
        <v>140</v>
      </c>
      <c r="F468">
        <v>0</v>
      </c>
      <c r="I468">
        <v>0</v>
      </c>
      <c r="L468">
        <v>0</v>
      </c>
      <c r="O468">
        <v>0</v>
      </c>
      <c r="R468">
        <v>0</v>
      </c>
      <c r="U468">
        <v>0</v>
      </c>
      <c r="X468">
        <v>0</v>
      </c>
      <c r="AA468">
        <v>0</v>
      </c>
      <c r="AC468" s="297"/>
      <c r="AD468">
        <f>SUMPRODUCT(DB_STProjectAcct[[#This Row],[Plan01]:[Plan12]],$F$14:$Q$14)/valUnits2</f>
        <v>0</v>
      </c>
      <c r="AE468">
        <f>SUMPRODUCT(DB_STProjectAcct[[#This Row],[Act01]:[Act12]],$R$14:$AC$14)/valUnits2</f>
        <v>0</v>
      </c>
      <c r="AF468">
        <f>DB_STProjectAcct[[#This Row],[Actual]]-DB_STProjectAcct[[#This Row],[Plan]]</f>
        <v>0</v>
      </c>
      <c r="AG468">
        <f>IF(DB_STProjectAcct[[#This Row],[Plan]]&lt;&gt;0,DB_STProjectAcct[[#This Row],[Actual]]/DB_STProjectAcct[[#This Row],[Plan]],1.000011000011)</f>
        <v>1.0000110000110001</v>
      </c>
    </row>
    <row r="469" spans="1:33" hidden="1" x14ac:dyDescent="0.2">
      <c r="A469" t="s">
        <v>1456</v>
      </c>
      <c r="B469" t="s">
        <v>349</v>
      </c>
      <c r="C469" t="s">
        <v>524</v>
      </c>
      <c r="D469" t="s">
        <v>978</v>
      </c>
      <c r="E469" t="s">
        <v>236</v>
      </c>
      <c r="I469">
        <v>64.83</v>
      </c>
      <c r="J469">
        <v>2035.75</v>
      </c>
      <c r="K469">
        <v>0</v>
      </c>
      <c r="U469">
        <v>64.83</v>
      </c>
      <c r="V469">
        <v>2035.75</v>
      </c>
      <c r="W469">
        <v>-2035.75</v>
      </c>
      <c r="AC469" s="295"/>
      <c r="AD469">
        <f>SUMPRODUCT(DB_STProjectAcct[[#This Row],[Plan01]:[Plan12]],$F$14:$Q$14)/valUnits2</f>
        <v>2.1005799999999999</v>
      </c>
      <c r="AE469">
        <f>SUMPRODUCT(DB_STProjectAcct[[#This Row],[Act01]:[Act12]],$R$14:$AC$14)/valUnits2</f>
        <v>6.4829999999999929E-2</v>
      </c>
      <c r="AF469">
        <f>DB_STProjectAcct[[#This Row],[Actual]]-DB_STProjectAcct[[#This Row],[Plan]]</f>
        <v>-2.0357500000000002</v>
      </c>
      <c r="AG469">
        <f>IF(DB_STProjectAcct[[#This Row],[Plan]]&lt;&gt;0,DB_STProjectAcct[[#This Row],[Actual]]/DB_STProjectAcct[[#This Row],[Plan]],1.000011000011)</f>
        <v>3.0862904531129467E-2</v>
      </c>
    </row>
    <row r="470" spans="1:33" hidden="1" x14ac:dyDescent="0.2">
      <c r="A470" t="s">
        <v>1457</v>
      </c>
      <c r="B470" t="s">
        <v>349</v>
      </c>
      <c r="C470" t="s">
        <v>524</v>
      </c>
      <c r="D470" t="s">
        <v>978</v>
      </c>
      <c r="E470" t="s">
        <v>237</v>
      </c>
      <c r="J470">
        <v>316.01</v>
      </c>
      <c r="K470">
        <v>0</v>
      </c>
      <c r="V470">
        <v>316.01</v>
      </c>
      <c r="W470">
        <v>-283.32</v>
      </c>
      <c r="AC470" s="297"/>
      <c r="AD470">
        <f>SUMPRODUCT(DB_STProjectAcct[[#This Row],[Plan01]:[Plan12]],$F$14:$Q$14)/valUnits2</f>
        <v>0.31601000000000001</v>
      </c>
      <c r="AE470">
        <f>SUMPRODUCT(DB_STProjectAcct[[#This Row],[Act01]:[Act12]],$R$14:$AC$14)/valUnits2</f>
        <v>3.2689999999999997E-2</v>
      </c>
      <c r="AF470">
        <f>DB_STProjectAcct[[#This Row],[Actual]]-DB_STProjectAcct[[#This Row],[Plan]]</f>
        <v>-0.28332000000000002</v>
      </c>
      <c r="AG470">
        <f>IF(DB_STProjectAcct[[#This Row],[Plan]]&lt;&gt;0,DB_STProjectAcct[[#This Row],[Actual]]/DB_STProjectAcct[[#This Row],[Plan]],1.000011000011)</f>
        <v>0.10344609347805447</v>
      </c>
    </row>
    <row r="471" spans="1:33" hidden="1" x14ac:dyDescent="0.2">
      <c r="A471" t="s">
        <v>1458</v>
      </c>
      <c r="B471" t="s">
        <v>349</v>
      </c>
      <c r="C471" t="s">
        <v>524</v>
      </c>
      <c r="D471" t="s">
        <v>978</v>
      </c>
      <c r="E471" t="s">
        <v>141</v>
      </c>
      <c r="I471">
        <v>0.71</v>
      </c>
      <c r="J471">
        <v>210.72</v>
      </c>
      <c r="K471">
        <v>0</v>
      </c>
      <c r="U471">
        <v>0.71</v>
      </c>
      <c r="V471">
        <v>210.72</v>
      </c>
      <c r="W471">
        <v>-79.740000000000009</v>
      </c>
      <c r="AC471" s="295"/>
      <c r="AD471">
        <f>SUMPRODUCT(DB_STProjectAcct[[#This Row],[Plan01]:[Plan12]],$F$14:$Q$14)/valUnits2</f>
        <v>0.21143000000000001</v>
      </c>
      <c r="AE471">
        <f>SUMPRODUCT(DB_STProjectAcct[[#This Row],[Act01]:[Act12]],$R$14:$AC$14)/valUnits2</f>
        <v>0.13169</v>
      </c>
      <c r="AF471">
        <f>DB_STProjectAcct[[#This Row],[Actual]]-DB_STProjectAcct[[#This Row],[Plan]]</f>
        <v>-7.9740000000000005E-2</v>
      </c>
      <c r="AG471">
        <f>IF(DB_STProjectAcct[[#This Row],[Plan]]&lt;&gt;0,DB_STProjectAcct[[#This Row],[Actual]]/DB_STProjectAcct[[#This Row],[Plan]],1.000011000011)</f>
        <v>0.62285389963581328</v>
      </c>
    </row>
    <row r="472" spans="1:33" hidden="1" x14ac:dyDescent="0.2">
      <c r="A472" t="s">
        <v>1459</v>
      </c>
      <c r="B472" t="s">
        <v>349</v>
      </c>
      <c r="C472" t="s">
        <v>524</v>
      </c>
      <c r="D472" t="s">
        <v>983</v>
      </c>
      <c r="E472" t="s">
        <v>143</v>
      </c>
      <c r="F472">
        <v>28.82</v>
      </c>
      <c r="G472">
        <v>0</v>
      </c>
      <c r="H472">
        <v>0</v>
      </c>
      <c r="I472">
        <v>0</v>
      </c>
      <c r="J472">
        <v>3339.35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28.82</v>
      </c>
      <c r="S472">
        <v>0</v>
      </c>
      <c r="T472">
        <v>0</v>
      </c>
      <c r="U472">
        <v>0</v>
      </c>
      <c r="V472">
        <v>3392.06</v>
      </c>
      <c r="W472">
        <v>1024.75</v>
      </c>
      <c r="X472">
        <v>0</v>
      </c>
      <c r="Y472">
        <v>0</v>
      </c>
      <c r="Z472">
        <v>0</v>
      </c>
      <c r="AA472">
        <v>0</v>
      </c>
      <c r="AB472">
        <v>0</v>
      </c>
      <c r="AC472" s="297">
        <v>0</v>
      </c>
      <c r="AD472">
        <f>SUMPRODUCT(DB_STProjectAcct[[#This Row],[Plan01]:[Plan12]],$F$14:$Q$14)/valUnits2</f>
        <v>3.3681700000000001</v>
      </c>
      <c r="AE472">
        <f>SUMPRODUCT(DB_STProjectAcct[[#This Row],[Act01]:[Act12]],$R$14:$AC$14)/valUnits2</f>
        <v>4.4456300000000004</v>
      </c>
      <c r="AF472">
        <f>DB_STProjectAcct[[#This Row],[Actual]]-DB_STProjectAcct[[#This Row],[Plan]]</f>
        <v>1.0774600000000003</v>
      </c>
      <c r="AG472">
        <f>IF(DB_STProjectAcct[[#This Row],[Plan]]&lt;&gt;0,DB_STProjectAcct[[#This Row],[Actual]]/DB_STProjectAcct[[#This Row],[Plan]],1.000011000011)</f>
        <v>1.3198947796577964</v>
      </c>
    </row>
    <row r="473" spans="1:33" hidden="1" x14ac:dyDescent="0.2">
      <c r="A473" t="s">
        <v>1460</v>
      </c>
      <c r="B473" t="s">
        <v>349</v>
      </c>
      <c r="C473" t="s">
        <v>524</v>
      </c>
      <c r="D473" t="s">
        <v>983</v>
      </c>
      <c r="E473" t="s">
        <v>235</v>
      </c>
      <c r="F473">
        <v>3694.99</v>
      </c>
      <c r="G473">
        <v>3108.18</v>
      </c>
      <c r="H473">
        <v>10294.852000000001</v>
      </c>
      <c r="I473">
        <v>1349.4879999999996</v>
      </c>
      <c r="J473">
        <v>1035.02</v>
      </c>
      <c r="K473">
        <v>95.903999999999996</v>
      </c>
      <c r="M473">
        <v>95.903999999999996</v>
      </c>
      <c r="N473">
        <v>95.903999999999996</v>
      </c>
      <c r="O473">
        <v>95.903999999999996</v>
      </c>
      <c r="P473">
        <v>95.903999999999996</v>
      </c>
      <c r="Q473">
        <v>95.903999999999996</v>
      </c>
      <c r="R473">
        <v>3694.9900000000002</v>
      </c>
      <c r="S473">
        <v>3108.1800000000003</v>
      </c>
      <c r="T473">
        <v>10293.52</v>
      </c>
      <c r="U473">
        <v>1349.78</v>
      </c>
      <c r="V473">
        <v>1035.02</v>
      </c>
      <c r="W473">
        <v>1120.5299999999997</v>
      </c>
      <c r="Y473">
        <v>0</v>
      </c>
      <c r="Z473">
        <v>0</v>
      </c>
      <c r="AA473">
        <v>0</v>
      </c>
      <c r="AB473">
        <v>0</v>
      </c>
      <c r="AC473" s="295">
        <v>0</v>
      </c>
      <c r="AD473">
        <f>SUMPRODUCT(DB_STProjectAcct[[#This Row],[Plan01]:[Plan12]],$F$14:$Q$14)/valUnits2</f>
        <v>19.578434000000001</v>
      </c>
      <c r="AE473">
        <f>SUMPRODUCT(DB_STProjectAcct[[#This Row],[Act01]:[Act12]],$R$14:$AC$14)/valUnits2</f>
        <v>20.60202</v>
      </c>
      <c r="AF473">
        <f>DB_STProjectAcct[[#This Row],[Actual]]-DB_STProjectAcct[[#This Row],[Plan]]</f>
        <v>1.0235859999999981</v>
      </c>
      <c r="AG473">
        <f>IF(DB_STProjectAcct[[#This Row],[Plan]]&lt;&gt;0,DB_STProjectAcct[[#This Row],[Actual]]/DB_STProjectAcct[[#This Row],[Plan]],1.000011000011)</f>
        <v>1.0522813009457241</v>
      </c>
    </row>
    <row r="474" spans="1:33" hidden="1" x14ac:dyDescent="0.2">
      <c r="A474" t="s">
        <v>1461</v>
      </c>
      <c r="B474" t="s">
        <v>349</v>
      </c>
      <c r="C474" t="s">
        <v>524</v>
      </c>
      <c r="D474" t="s">
        <v>983</v>
      </c>
      <c r="E474" t="s">
        <v>144</v>
      </c>
      <c r="AC474" s="297"/>
      <c r="AD474">
        <f>SUMPRODUCT(DB_STProjectAcct[[#This Row],[Plan01]:[Plan12]],$F$14:$Q$14)/valUnits2</f>
        <v>0</v>
      </c>
      <c r="AE474">
        <f>SUMPRODUCT(DB_STProjectAcct[[#This Row],[Act01]:[Act12]],$R$14:$AC$14)/valUnits2</f>
        <v>0</v>
      </c>
      <c r="AF474">
        <f>DB_STProjectAcct[[#This Row],[Actual]]-DB_STProjectAcct[[#This Row],[Plan]]</f>
        <v>0</v>
      </c>
      <c r="AG474">
        <f>IF(DB_STProjectAcct[[#This Row],[Plan]]&lt;&gt;0,DB_STProjectAcct[[#This Row],[Actual]]/DB_STProjectAcct[[#This Row],[Plan]],1.000011000011)</f>
        <v>1.0000110000110001</v>
      </c>
    </row>
    <row r="475" spans="1:33" hidden="1" x14ac:dyDescent="0.2">
      <c r="A475" t="s">
        <v>1462</v>
      </c>
      <c r="B475" t="s">
        <v>349</v>
      </c>
      <c r="C475" t="s">
        <v>524</v>
      </c>
      <c r="D475" t="s">
        <v>983</v>
      </c>
      <c r="E475" t="s">
        <v>142</v>
      </c>
      <c r="F475">
        <v>1940.1320000000051</v>
      </c>
      <c r="G475">
        <v>278027.43500000006</v>
      </c>
      <c r="H475">
        <v>17257.039999999994</v>
      </c>
      <c r="I475">
        <v>194329.45199999999</v>
      </c>
      <c r="J475">
        <v>163509.10700000002</v>
      </c>
      <c r="K475">
        <v>79487.073000000004</v>
      </c>
      <c r="L475">
        <v>74787.756000000008</v>
      </c>
      <c r="M475">
        <v>74685.457000000009</v>
      </c>
      <c r="N475">
        <v>76603.551999999996</v>
      </c>
      <c r="O475">
        <v>75554.993000000002</v>
      </c>
      <c r="P475">
        <v>74404.135999999999</v>
      </c>
      <c r="Q475">
        <v>74404.136000000013</v>
      </c>
      <c r="R475">
        <v>1934.1899999999998</v>
      </c>
      <c r="S475">
        <v>278089.69</v>
      </c>
      <c r="T475">
        <v>17597.579999999994</v>
      </c>
      <c r="U475">
        <v>194329.45</v>
      </c>
      <c r="V475">
        <v>163554.6</v>
      </c>
      <c r="W475">
        <v>787435.89000000025</v>
      </c>
      <c r="X475">
        <v>0</v>
      </c>
      <c r="Y475">
        <v>0</v>
      </c>
      <c r="Z475">
        <v>0</v>
      </c>
      <c r="AA475">
        <v>0</v>
      </c>
      <c r="AB475">
        <v>0</v>
      </c>
      <c r="AC475" s="295">
        <v>0</v>
      </c>
      <c r="AD475">
        <f>SUMPRODUCT(DB_STProjectAcct[[#This Row],[Plan01]:[Plan12]],$F$14:$Q$14)/valUnits2</f>
        <v>734.55023899999992</v>
      </c>
      <c r="AE475">
        <f>SUMPRODUCT(DB_STProjectAcct[[#This Row],[Act01]:[Act12]],$R$14:$AC$14)/valUnits2</f>
        <v>1442.9414000000004</v>
      </c>
      <c r="AF475">
        <f>DB_STProjectAcct[[#This Row],[Actual]]-DB_STProjectAcct[[#This Row],[Plan]]</f>
        <v>708.39116100000047</v>
      </c>
      <c r="AG475">
        <f>IF(DB_STProjectAcct[[#This Row],[Plan]]&lt;&gt;0,DB_STProjectAcct[[#This Row],[Actual]]/DB_STProjectAcct[[#This Row],[Plan]],1.000011000011)</f>
        <v>1.9643876257727289</v>
      </c>
    </row>
    <row r="476" spans="1:33" hidden="1" x14ac:dyDescent="0.2">
      <c r="A476" t="s">
        <v>1463</v>
      </c>
      <c r="B476" t="s">
        <v>349</v>
      </c>
      <c r="C476" t="s">
        <v>524</v>
      </c>
      <c r="D476" t="s">
        <v>983</v>
      </c>
      <c r="E476" t="s">
        <v>140</v>
      </c>
      <c r="F476">
        <v>19796.53</v>
      </c>
      <c r="G476">
        <v>23151.539000000001</v>
      </c>
      <c r="H476">
        <v>26457.029000000002</v>
      </c>
      <c r="I476">
        <v>24101.845999999998</v>
      </c>
      <c r="J476">
        <v>27477.481</v>
      </c>
      <c r="K476">
        <v>32665.413000000008</v>
      </c>
      <c r="L476">
        <v>32665.413000000004</v>
      </c>
      <c r="M476">
        <v>32665.413000000004</v>
      </c>
      <c r="N476">
        <v>32665.413000000004</v>
      </c>
      <c r="O476">
        <v>32665.413000000011</v>
      </c>
      <c r="P476">
        <v>32665.413000000008</v>
      </c>
      <c r="Q476">
        <v>32668.413000000004</v>
      </c>
      <c r="R476">
        <v>17899.530000000002</v>
      </c>
      <c r="S476">
        <v>21273.760000000002</v>
      </c>
      <c r="T476">
        <v>24569.03</v>
      </c>
      <c r="U476">
        <v>22187.640000000003</v>
      </c>
      <c r="V476">
        <v>25566.390000000003</v>
      </c>
      <c r="W476">
        <v>39438.990000000005</v>
      </c>
      <c r="X476">
        <v>0</v>
      </c>
      <c r="Y476">
        <v>0</v>
      </c>
      <c r="Z476">
        <v>0</v>
      </c>
      <c r="AA476">
        <v>0</v>
      </c>
      <c r="AB476">
        <v>0</v>
      </c>
      <c r="AC476" s="297">
        <v>0</v>
      </c>
      <c r="AD476">
        <f>SUMPRODUCT(DB_STProjectAcct[[#This Row],[Plan01]:[Plan12]],$F$14:$Q$14)/valUnits2</f>
        <v>153.64983799999999</v>
      </c>
      <c r="AE476">
        <f>SUMPRODUCT(DB_STProjectAcct[[#This Row],[Act01]:[Act12]],$R$14:$AC$14)/valUnits2</f>
        <v>150.93534000000002</v>
      </c>
      <c r="AF476">
        <f>DB_STProjectAcct[[#This Row],[Actual]]-DB_STProjectAcct[[#This Row],[Plan]]</f>
        <v>-2.7144979999999634</v>
      </c>
      <c r="AG476">
        <f>IF(DB_STProjectAcct[[#This Row],[Plan]]&lt;&gt;0,DB_STProjectAcct[[#This Row],[Actual]]/DB_STProjectAcct[[#This Row],[Plan]],1.000011000011)</f>
        <v>0.98233321925142569</v>
      </c>
    </row>
    <row r="477" spans="1:33" hidden="1" x14ac:dyDescent="0.2">
      <c r="A477" t="s">
        <v>1464</v>
      </c>
      <c r="B477" t="s">
        <v>349</v>
      </c>
      <c r="C477" t="s">
        <v>524</v>
      </c>
      <c r="D477" t="s">
        <v>983</v>
      </c>
      <c r="E477" t="s">
        <v>236</v>
      </c>
      <c r="F477">
        <v>1887.25</v>
      </c>
      <c r="G477">
        <v>1766.37</v>
      </c>
      <c r="H477">
        <v>3530.5640000000003</v>
      </c>
      <c r="I477">
        <v>37482.163</v>
      </c>
      <c r="J477">
        <v>659.92</v>
      </c>
      <c r="K477">
        <v>48030.129000000001</v>
      </c>
      <c r="L477">
        <v>34302.089</v>
      </c>
      <c r="M477">
        <v>33678.089</v>
      </c>
      <c r="N477">
        <v>33679.089</v>
      </c>
      <c r="O477">
        <v>49533.089</v>
      </c>
      <c r="P477">
        <v>33681.089</v>
      </c>
      <c r="Q477">
        <v>33682.089</v>
      </c>
      <c r="R477">
        <v>1438.38</v>
      </c>
      <c r="S477">
        <v>1316.37</v>
      </c>
      <c r="T477">
        <v>3091.24</v>
      </c>
      <c r="U477">
        <v>37015.18</v>
      </c>
      <c r="V477">
        <v>209.92</v>
      </c>
      <c r="W477">
        <v>86.049999999999926</v>
      </c>
      <c r="X477">
        <v>0</v>
      </c>
      <c r="Y477">
        <v>0</v>
      </c>
      <c r="Z477">
        <v>0</v>
      </c>
      <c r="AA477">
        <v>0</v>
      </c>
      <c r="AB477">
        <v>0</v>
      </c>
      <c r="AC477" s="295">
        <v>0</v>
      </c>
      <c r="AD477">
        <f>SUMPRODUCT(DB_STProjectAcct[[#This Row],[Plan01]:[Plan12]],$F$14:$Q$14)/valUnits2</f>
        <v>93.356396000000004</v>
      </c>
      <c r="AE477">
        <f>SUMPRODUCT(DB_STProjectAcct[[#This Row],[Act01]:[Act12]],$R$14:$AC$14)/valUnits2</f>
        <v>43.157139999999998</v>
      </c>
      <c r="AF477">
        <f>DB_STProjectAcct[[#This Row],[Actual]]-DB_STProjectAcct[[#This Row],[Plan]]</f>
        <v>-50.199256000000005</v>
      </c>
      <c r="AG477">
        <f>IF(DB_STProjectAcct[[#This Row],[Plan]]&lt;&gt;0,DB_STProjectAcct[[#This Row],[Actual]]/DB_STProjectAcct[[#This Row],[Plan]],1.000011000011)</f>
        <v>0.4622836982695861</v>
      </c>
    </row>
    <row r="478" spans="1:33" hidden="1" x14ac:dyDescent="0.2">
      <c r="A478" t="s">
        <v>1465</v>
      </c>
      <c r="B478" t="s">
        <v>349</v>
      </c>
      <c r="C478" t="s">
        <v>524</v>
      </c>
      <c r="D478" t="s">
        <v>983</v>
      </c>
      <c r="E478" t="s">
        <v>237</v>
      </c>
      <c r="F478">
        <v>1071.443</v>
      </c>
      <c r="H478">
        <v>99.76</v>
      </c>
      <c r="I478">
        <v>0.66</v>
      </c>
      <c r="J478">
        <v>0</v>
      </c>
      <c r="K478">
        <v>0</v>
      </c>
      <c r="R478">
        <v>1067.8599999999999</v>
      </c>
      <c r="T478">
        <v>99.76</v>
      </c>
      <c r="U478">
        <v>0.65999999999999659</v>
      </c>
      <c r="V478">
        <v>-1.1368683772161603E-13</v>
      </c>
      <c r="W478">
        <v>-177</v>
      </c>
      <c r="AC478" s="297"/>
      <c r="AD478">
        <f>SUMPRODUCT(DB_STProjectAcct[[#This Row],[Plan01]:[Plan12]],$F$14:$Q$14)/valUnits2</f>
        <v>1.1718630000000001</v>
      </c>
      <c r="AE478">
        <f>SUMPRODUCT(DB_STProjectAcct[[#This Row],[Act01]:[Act12]],$R$14:$AC$14)/valUnits2</f>
        <v>0.99127999999999972</v>
      </c>
      <c r="AF478">
        <f>DB_STProjectAcct[[#This Row],[Actual]]-DB_STProjectAcct[[#This Row],[Plan]]</f>
        <v>-0.18058300000000038</v>
      </c>
      <c r="AG478">
        <f>IF(DB_STProjectAcct[[#This Row],[Plan]]&lt;&gt;0,DB_STProjectAcct[[#This Row],[Actual]]/DB_STProjectAcct[[#This Row],[Plan]],1.000011000011)</f>
        <v>0.84590092869217615</v>
      </c>
    </row>
    <row r="479" spans="1:33" hidden="1" x14ac:dyDescent="0.2">
      <c r="A479" t="s">
        <v>1466</v>
      </c>
      <c r="B479" t="s">
        <v>349</v>
      </c>
      <c r="C479" t="s">
        <v>524</v>
      </c>
      <c r="D479" t="s">
        <v>983</v>
      </c>
      <c r="E479" t="s">
        <v>141</v>
      </c>
      <c r="F479">
        <v>7027.4389999999985</v>
      </c>
      <c r="G479">
        <v>4229.8200000000006</v>
      </c>
      <c r="H479">
        <v>15497.688</v>
      </c>
      <c r="I479">
        <v>2495.0830000000001</v>
      </c>
      <c r="J479">
        <v>23520.587</v>
      </c>
      <c r="K479">
        <v>3683.3210000000004</v>
      </c>
      <c r="L479">
        <v>8539.4639999999999</v>
      </c>
      <c r="M479">
        <v>1927.6110000000001</v>
      </c>
      <c r="N479">
        <v>177.68200000000002</v>
      </c>
      <c r="O479">
        <v>5177.6819999999998</v>
      </c>
      <c r="P479">
        <v>177.68199999999999</v>
      </c>
      <c r="Q479">
        <v>177.68199999999999</v>
      </c>
      <c r="R479">
        <v>6953.9699999999993</v>
      </c>
      <c r="S479">
        <v>4229.8200000000006</v>
      </c>
      <c r="T479">
        <v>15498.380000000001</v>
      </c>
      <c r="U479">
        <v>2492.83</v>
      </c>
      <c r="V479">
        <v>23520.879999999997</v>
      </c>
      <c r="W479">
        <v>4315.6000000000004</v>
      </c>
      <c r="X479">
        <v>0</v>
      </c>
      <c r="Y479">
        <v>0</v>
      </c>
      <c r="Z479">
        <v>0</v>
      </c>
      <c r="AA479">
        <v>0</v>
      </c>
      <c r="AB479">
        <v>0</v>
      </c>
      <c r="AC479" s="295">
        <v>0</v>
      </c>
      <c r="AD479">
        <f>SUMPRODUCT(DB_STProjectAcct[[#This Row],[Plan01]:[Plan12]],$F$14:$Q$14)/valUnits2</f>
        <v>56.453938000000001</v>
      </c>
      <c r="AE479">
        <f>SUMPRODUCT(DB_STProjectAcct[[#This Row],[Act01]:[Act12]],$R$14:$AC$14)/valUnits2</f>
        <v>57.011479999999999</v>
      </c>
      <c r="AF479">
        <f>DB_STProjectAcct[[#This Row],[Actual]]-DB_STProjectAcct[[#This Row],[Plan]]</f>
        <v>0.55754199999999798</v>
      </c>
      <c r="AG479">
        <f>IF(DB_STProjectAcct[[#This Row],[Plan]]&lt;&gt;0,DB_STProjectAcct[[#This Row],[Actual]]/DB_STProjectAcct[[#This Row],[Plan]],1.000011000011)</f>
        <v>1.0098760515165479</v>
      </c>
    </row>
    <row r="480" spans="1:33" hidden="1" x14ac:dyDescent="0.2">
      <c r="A480" t="s">
        <v>1467</v>
      </c>
      <c r="B480" t="s">
        <v>349</v>
      </c>
      <c r="C480" t="s">
        <v>524</v>
      </c>
      <c r="D480" t="s">
        <v>985</v>
      </c>
      <c r="E480" t="s">
        <v>143</v>
      </c>
      <c r="AC480" s="297"/>
      <c r="AD480">
        <f>SUMPRODUCT(DB_STProjectAcct[[#This Row],[Plan01]:[Plan12]],$F$14:$Q$14)/valUnits2</f>
        <v>0</v>
      </c>
      <c r="AE480">
        <f>SUMPRODUCT(DB_STProjectAcct[[#This Row],[Act01]:[Act12]],$R$14:$AC$14)/valUnits2</f>
        <v>0</v>
      </c>
      <c r="AF480">
        <f>DB_STProjectAcct[[#This Row],[Actual]]-DB_STProjectAcct[[#This Row],[Plan]]</f>
        <v>0</v>
      </c>
      <c r="AG480">
        <f>IF(DB_STProjectAcct[[#This Row],[Plan]]&lt;&gt;0,DB_STProjectAcct[[#This Row],[Actual]]/DB_STProjectAcct[[#This Row],[Plan]],1.000011000011)</f>
        <v>1.0000110000110001</v>
      </c>
    </row>
    <row r="481" spans="1:33" hidden="1" x14ac:dyDescent="0.2">
      <c r="A481" t="s">
        <v>1468</v>
      </c>
      <c r="B481" t="s">
        <v>349</v>
      </c>
      <c r="C481" t="s">
        <v>524</v>
      </c>
      <c r="D481" t="s">
        <v>985</v>
      </c>
      <c r="E481" t="s">
        <v>235</v>
      </c>
      <c r="F481">
        <v>162.78800000000001</v>
      </c>
      <c r="H481">
        <v>148.726</v>
      </c>
      <c r="K481">
        <v>0</v>
      </c>
      <c r="R481">
        <v>163.95</v>
      </c>
      <c r="T481">
        <v>148.16999999999999</v>
      </c>
      <c r="W481">
        <v>99.86</v>
      </c>
      <c r="AC481" s="295"/>
      <c r="AD481">
        <f>SUMPRODUCT(DB_STProjectAcct[[#This Row],[Plan01]:[Plan12]],$F$14:$Q$14)/valUnits2</f>
        <v>0.31151400000000001</v>
      </c>
      <c r="AE481">
        <f>SUMPRODUCT(DB_STProjectAcct[[#This Row],[Act01]:[Act12]],$R$14:$AC$14)/valUnits2</f>
        <v>0.41198000000000001</v>
      </c>
      <c r="AF481">
        <f>DB_STProjectAcct[[#This Row],[Actual]]-DB_STProjectAcct[[#This Row],[Plan]]</f>
        <v>0.100466</v>
      </c>
      <c r="AG481">
        <f>IF(DB_STProjectAcct[[#This Row],[Plan]]&lt;&gt;0,DB_STProjectAcct[[#This Row],[Actual]]/DB_STProjectAcct[[#This Row],[Plan]],1.000011000011)</f>
        <v>1.3225087797017148</v>
      </c>
    </row>
    <row r="482" spans="1:33" hidden="1" x14ac:dyDescent="0.2">
      <c r="A482" t="s">
        <v>1469</v>
      </c>
      <c r="B482" t="s">
        <v>349</v>
      </c>
      <c r="C482" t="s">
        <v>524</v>
      </c>
      <c r="D482" t="s">
        <v>985</v>
      </c>
      <c r="E482" t="s">
        <v>144</v>
      </c>
      <c r="AC482" s="297"/>
      <c r="AD482">
        <f>SUMPRODUCT(DB_STProjectAcct[[#This Row],[Plan01]:[Plan12]],$F$14:$Q$14)/valUnits2</f>
        <v>0</v>
      </c>
      <c r="AE482">
        <f>SUMPRODUCT(DB_STProjectAcct[[#This Row],[Act01]:[Act12]],$R$14:$AC$14)/valUnits2</f>
        <v>0</v>
      </c>
      <c r="AF482">
        <f>DB_STProjectAcct[[#This Row],[Actual]]-DB_STProjectAcct[[#This Row],[Plan]]</f>
        <v>0</v>
      </c>
      <c r="AG482">
        <f>IF(DB_STProjectAcct[[#This Row],[Plan]]&lt;&gt;0,DB_STProjectAcct[[#This Row],[Actual]]/DB_STProjectAcct[[#This Row],[Plan]],1.000011000011)</f>
        <v>1.0000110000110001</v>
      </c>
    </row>
    <row r="483" spans="1:33" hidden="1" x14ac:dyDescent="0.2">
      <c r="A483" t="s">
        <v>1470</v>
      </c>
      <c r="B483" t="s">
        <v>349</v>
      </c>
      <c r="C483" t="s">
        <v>524</v>
      </c>
      <c r="D483" t="s">
        <v>985</v>
      </c>
      <c r="E483" t="s">
        <v>142</v>
      </c>
      <c r="F483">
        <v>29469.578999999998</v>
      </c>
      <c r="G483">
        <v>14570.928</v>
      </c>
      <c r="H483">
        <v>-1.1000000000422006E-2</v>
      </c>
      <c r="I483">
        <v>9132.2510000000002</v>
      </c>
      <c r="J483">
        <v>3066.8700000000008</v>
      </c>
      <c r="K483">
        <v>25768.671999999995</v>
      </c>
      <c r="R483">
        <v>29755.509999999995</v>
      </c>
      <c r="S483">
        <v>14854.580000000004</v>
      </c>
      <c r="T483">
        <v>-1.0000000001014087E-2</v>
      </c>
      <c r="U483">
        <v>9229.0800000000017</v>
      </c>
      <c r="V483">
        <v>3249.8999999999996</v>
      </c>
      <c r="W483">
        <v>2297.1999999999998</v>
      </c>
      <c r="AC483" s="295"/>
      <c r="AD483">
        <f>SUMPRODUCT(DB_STProjectAcct[[#This Row],[Plan01]:[Plan12]],$F$14:$Q$14)/valUnits2</f>
        <v>82.008289000000005</v>
      </c>
      <c r="AE483">
        <f>SUMPRODUCT(DB_STProjectAcct[[#This Row],[Act01]:[Act12]],$R$14:$AC$14)/valUnits2</f>
        <v>59.386259999999993</v>
      </c>
      <c r="AF483">
        <f>DB_STProjectAcct[[#This Row],[Actual]]-DB_STProjectAcct[[#This Row],[Plan]]</f>
        <v>-22.622029000000012</v>
      </c>
      <c r="AG483">
        <f>IF(DB_STProjectAcct[[#This Row],[Plan]]&lt;&gt;0,DB_STProjectAcct[[#This Row],[Actual]]/DB_STProjectAcct[[#This Row],[Plan]],1.000011000011)</f>
        <v>0.72414948201150731</v>
      </c>
    </row>
    <row r="484" spans="1:33" hidden="1" x14ac:dyDescent="0.2">
      <c r="A484" t="s">
        <v>1471</v>
      </c>
      <c r="B484" t="s">
        <v>349</v>
      </c>
      <c r="C484" t="s">
        <v>524</v>
      </c>
      <c r="D484" t="s">
        <v>985</v>
      </c>
      <c r="E484" t="s">
        <v>140</v>
      </c>
      <c r="F484">
        <v>2824.0889999999999</v>
      </c>
      <c r="G484">
        <v>4710.8829999999998</v>
      </c>
      <c r="H484">
        <v>5067.7429999999995</v>
      </c>
      <c r="I484">
        <v>10467.199999999999</v>
      </c>
      <c r="J484">
        <v>3782.3969999999999</v>
      </c>
      <c r="K484">
        <v>5503.6390000000001</v>
      </c>
      <c r="R484">
        <v>2851.49</v>
      </c>
      <c r="S484">
        <v>4766.8599999999997</v>
      </c>
      <c r="T484">
        <v>5048.8100000000004</v>
      </c>
      <c r="U484">
        <v>10499.000000000002</v>
      </c>
      <c r="V484">
        <v>3833.1000000000004</v>
      </c>
      <c r="W484">
        <v>6211.94</v>
      </c>
      <c r="AC484" s="297"/>
      <c r="AD484">
        <f>SUMPRODUCT(DB_STProjectAcct[[#This Row],[Plan01]:[Plan12]],$F$14:$Q$14)/valUnits2</f>
        <v>32.355950999999997</v>
      </c>
      <c r="AE484">
        <f>SUMPRODUCT(DB_STProjectAcct[[#This Row],[Act01]:[Act12]],$R$14:$AC$14)/valUnits2</f>
        <v>33.211200000000005</v>
      </c>
      <c r="AF484">
        <f>DB_STProjectAcct[[#This Row],[Actual]]-DB_STProjectAcct[[#This Row],[Plan]]</f>
        <v>0.8552490000000077</v>
      </c>
      <c r="AG484">
        <f>IF(DB_STProjectAcct[[#This Row],[Plan]]&lt;&gt;0,DB_STProjectAcct[[#This Row],[Actual]]/DB_STProjectAcct[[#This Row],[Plan]],1.000011000011)</f>
        <v>1.0264325100504699</v>
      </c>
    </row>
    <row r="485" spans="1:33" hidden="1" x14ac:dyDescent="0.2">
      <c r="A485" t="s">
        <v>1472</v>
      </c>
      <c r="B485" t="s">
        <v>349</v>
      </c>
      <c r="C485" t="s">
        <v>524</v>
      </c>
      <c r="D485" t="s">
        <v>985</v>
      </c>
      <c r="E485" t="s">
        <v>236</v>
      </c>
      <c r="H485">
        <v>349.81900000000002</v>
      </c>
      <c r="K485">
        <v>0</v>
      </c>
      <c r="T485">
        <v>345.82</v>
      </c>
      <c r="W485">
        <v>24.93</v>
      </c>
      <c r="AC485" s="295"/>
      <c r="AD485">
        <f>SUMPRODUCT(DB_STProjectAcct[[#This Row],[Plan01]:[Plan12]],$F$14:$Q$14)/valUnits2</f>
        <v>0.34981899999999999</v>
      </c>
      <c r="AE485">
        <f>SUMPRODUCT(DB_STProjectAcct[[#This Row],[Act01]:[Act12]],$R$14:$AC$14)/valUnits2</f>
        <v>0.37075000000000002</v>
      </c>
      <c r="AF485">
        <f>DB_STProjectAcct[[#This Row],[Actual]]-DB_STProjectAcct[[#This Row],[Plan]]</f>
        <v>2.0931000000000033E-2</v>
      </c>
      <c r="AG485">
        <f>IF(DB_STProjectAcct[[#This Row],[Plan]]&lt;&gt;0,DB_STProjectAcct[[#This Row],[Actual]]/DB_STProjectAcct[[#This Row],[Plan]],1.000011000011)</f>
        <v>1.0598337997650213</v>
      </c>
    </row>
    <row r="486" spans="1:33" hidden="1" x14ac:dyDescent="0.2">
      <c r="A486" t="s">
        <v>1473</v>
      </c>
      <c r="B486" t="s">
        <v>349</v>
      </c>
      <c r="C486" t="s">
        <v>524</v>
      </c>
      <c r="D486" t="s">
        <v>985</v>
      </c>
      <c r="E486" t="s">
        <v>237</v>
      </c>
      <c r="H486">
        <v>2078.3490000000002</v>
      </c>
      <c r="I486">
        <v>302.125</v>
      </c>
      <c r="J486">
        <v>307.15300000000002</v>
      </c>
      <c r="T486">
        <v>2089.23</v>
      </c>
      <c r="U486">
        <v>299.52000000000004</v>
      </c>
      <c r="V486">
        <v>311.27</v>
      </c>
      <c r="AC486" s="297"/>
      <c r="AD486">
        <f>SUMPRODUCT(DB_STProjectAcct[[#This Row],[Plan01]:[Plan12]],$F$14:$Q$14)/valUnits2</f>
        <v>2.6876270000000004</v>
      </c>
      <c r="AE486">
        <f>SUMPRODUCT(DB_STProjectAcct[[#This Row],[Act01]:[Act12]],$R$14:$AC$14)/valUnits2</f>
        <v>2.7000199999999999</v>
      </c>
      <c r="AF486">
        <f>DB_STProjectAcct[[#This Row],[Actual]]-DB_STProjectAcct[[#This Row],[Plan]]</f>
        <v>1.2392999999999432E-2</v>
      </c>
      <c r="AG486">
        <f>IF(DB_STProjectAcct[[#This Row],[Plan]]&lt;&gt;0,DB_STProjectAcct[[#This Row],[Actual]]/DB_STProjectAcct[[#This Row],[Plan]],1.000011000011)</f>
        <v>1.0046111309344636</v>
      </c>
    </row>
    <row r="487" spans="1:33" hidden="1" x14ac:dyDescent="0.2">
      <c r="A487" t="s">
        <v>1474</v>
      </c>
      <c r="B487" t="s">
        <v>349</v>
      </c>
      <c r="C487" t="s">
        <v>524</v>
      </c>
      <c r="D487" t="s">
        <v>985</v>
      </c>
      <c r="E487" t="s">
        <v>141</v>
      </c>
      <c r="F487">
        <v>779.12</v>
      </c>
      <c r="G487">
        <v>211.90799999999999</v>
      </c>
      <c r="H487">
        <v>475.63300000000004</v>
      </c>
      <c r="I487">
        <v>524.13699999999994</v>
      </c>
      <c r="J487">
        <v>608.58299999999997</v>
      </c>
      <c r="K487">
        <v>3227.319</v>
      </c>
      <c r="R487">
        <v>780.61</v>
      </c>
      <c r="S487">
        <v>217.63</v>
      </c>
      <c r="T487">
        <v>472.37999999999994</v>
      </c>
      <c r="U487">
        <v>529.0200000000001</v>
      </c>
      <c r="V487">
        <v>636.42999999999995</v>
      </c>
      <c r="W487">
        <v>7253.6799999999994</v>
      </c>
      <c r="AC487" s="295"/>
      <c r="AD487">
        <f>SUMPRODUCT(DB_STProjectAcct[[#This Row],[Plan01]:[Plan12]],$F$14:$Q$14)/valUnits2</f>
        <v>5.8266999999999998</v>
      </c>
      <c r="AE487">
        <f>SUMPRODUCT(DB_STProjectAcct[[#This Row],[Act01]:[Act12]],$R$14:$AC$14)/valUnits2</f>
        <v>9.8897499999999994</v>
      </c>
      <c r="AF487">
        <f>DB_STProjectAcct[[#This Row],[Actual]]-DB_STProjectAcct[[#This Row],[Plan]]</f>
        <v>4.0630499999999996</v>
      </c>
      <c r="AG487">
        <f>IF(DB_STProjectAcct[[#This Row],[Plan]]&lt;&gt;0,DB_STProjectAcct[[#This Row],[Actual]]/DB_STProjectAcct[[#This Row],[Plan]],1.000011000011)</f>
        <v>1.6973158048294918</v>
      </c>
    </row>
    <row r="488" spans="1:33" hidden="1" x14ac:dyDescent="0.2">
      <c r="A488" t="s">
        <v>1475</v>
      </c>
      <c r="B488" t="s">
        <v>349</v>
      </c>
      <c r="C488" t="s">
        <v>524</v>
      </c>
      <c r="D488" t="s">
        <v>994</v>
      </c>
      <c r="E488" t="s">
        <v>143</v>
      </c>
      <c r="AC488" s="297"/>
      <c r="AD488">
        <f>SUMPRODUCT(DB_STProjectAcct[[#This Row],[Plan01]:[Plan12]],$F$14:$Q$14)/valUnits2</f>
        <v>0</v>
      </c>
      <c r="AE488">
        <f>SUMPRODUCT(DB_STProjectAcct[[#This Row],[Act01]:[Act12]],$R$14:$AC$14)/valUnits2</f>
        <v>0</v>
      </c>
      <c r="AF488">
        <f>DB_STProjectAcct[[#This Row],[Actual]]-DB_STProjectAcct[[#This Row],[Plan]]</f>
        <v>0</v>
      </c>
      <c r="AG488">
        <f>IF(DB_STProjectAcct[[#This Row],[Plan]]&lt;&gt;0,DB_STProjectAcct[[#This Row],[Actual]]/DB_STProjectAcct[[#This Row],[Plan]],1.000011000011)</f>
        <v>1.0000110000110001</v>
      </c>
    </row>
    <row r="489" spans="1:33" hidden="1" x14ac:dyDescent="0.2">
      <c r="A489" t="s">
        <v>1476</v>
      </c>
      <c r="B489" t="s">
        <v>349</v>
      </c>
      <c r="C489" t="s">
        <v>524</v>
      </c>
      <c r="D489" t="s">
        <v>994</v>
      </c>
      <c r="E489" t="s">
        <v>235</v>
      </c>
      <c r="AC489" s="295"/>
      <c r="AD489">
        <f>SUMPRODUCT(DB_STProjectAcct[[#This Row],[Plan01]:[Plan12]],$F$14:$Q$14)/valUnits2</f>
        <v>0</v>
      </c>
      <c r="AE489">
        <f>SUMPRODUCT(DB_STProjectAcct[[#This Row],[Act01]:[Act12]],$R$14:$AC$14)/valUnits2</f>
        <v>0</v>
      </c>
      <c r="AF489">
        <f>DB_STProjectAcct[[#This Row],[Actual]]-DB_STProjectAcct[[#This Row],[Plan]]</f>
        <v>0</v>
      </c>
      <c r="AG489">
        <f>IF(DB_STProjectAcct[[#This Row],[Plan]]&lt;&gt;0,DB_STProjectAcct[[#This Row],[Actual]]/DB_STProjectAcct[[#This Row],[Plan]],1.000011000011)</f>
        <v>1.0000110000110001</v>
      </c>
    </row>
    <row r="490" spans="1:33" hidden="1" x14ac:dyDescent="0.2">
      <c r="A490" t="s">
        <v>1477</v>
      </c>
      <c r="B490" t="s">
        <v>349</v>
      </c>
      <c r="C490" t="s">
        <v>524</v>
      </c>
      <c r="D490" t="s">
        <v>994</v>
      </c>
      <c r="E490" t="s">
        <v>144</v>
      </c>
      <c r="AC490" s="297"/>
      <c r="AD490">
        <f>SUMPRODUCT(DB_STProjectAcct[[#This Row],[Plan01]:[Plan12]],$F$14:$Q$14)/valUnits2</f>
        <v>0</v>
      </c>
      <c r="AE490">
        <f>SUMPRODUCT(DB_STProjectAcct[[#This Row],[Act01]:[Act12]],$R$14:$AC$14)/valUnits2</f>
        <v>0</v>
      </c>
      <c r="AF490">
        <f>DB_STProjectAcct[[#This Row],[Actual]]-DB_STProjectAcct[[#This Row],[Plan]]</f>
        <v>0</v>
      </c>
      <c r="AG490">
        <f>IF(DB_STProjectAcct[[#This Row],[Plan]]&lt;&gt;0,DB_STProjectAcct[[#This Row],[Actual]]/DB_STProjectAcct[[#This Row],[Plan]],1.000011000011)</f>
        <v>1.0000110000110001</v>
      </c>
    </row>
    <row r="491" spans="1:33" hidden="1" x14ac:dyDescent="0.2">
      <c r="A491" t="s">
        <v>1478</v>
      </c>
      <c r="B491" t="s">
        <v>349</v>
      </c>
      <c r="C491" t="s">
        <v>524</v>
      </c>
      <c r="D491" t="s">
        <v>994</v>
      </c>
      <c r="E491" t="s">
        <v>142</v>
      </c>
      <c r="AC491" s="295"/>
      <c r="AD491">
        <f>SUMPRODUCT(DB_STProjectAcct[[#This Row],[Plan01]:[Plan12]],$F$14:$Q$14)/valUnits2</f>
        <v>0</v>
      </c>
      <c r="AE491">
        <f>SUMPRODUCT(DB_STProjectAcct[[#This Row],[Act01]:[Act12]],$R$14:$AC$14)/valUnits2</f>
        <v>0</v>
      </c>
      <c r="AF491">
        <f>DB_STProjectAcct[[#This Row],[Actual]]-DB_STProjectAcct[[#This Row],[Plan]]</f>
        <v>0</v>
      </c>
      <c r="AG491">
        <f>IF(DB_STProjectAcct[[#This Row],[Plan]]&lt;&gt;0,DB_STProjectAcct[[#This Row],[Actual]]/DB_STProjectAcct[[#This Row],[Plan]],1.000011000011)</f>
        <v>1.0000110000110001</v>
      </c>
    </row>
    <row r="492" spans="1:33" hidden="1" x14ac:dyDescent="0.2">
      <c r="A492" t="s">
        <v>1479</v>
      </c>
      <c r="B492" t="s">
        <v>349</v>
      </c>
      <c r="C492" t="s">
        <v>524</v>
      </c>
      <c r="D492" t="s">
        <v>994</v>
      </c>
      <c r="E492" t="s">
        <v>140</v>
      </c>
      <c r="AC492" s="297"/>
      <c r="AD492">
        <f>SUMPRODUCT(DB_STProjectAcct[[#This Row],[Plan01]:[Plan12]],$F$14:$Q$14)/valUnits2</f>
        <v>0</v>
      </c>
      <c r="AE492">
        <f>SUMPRODUCT(DB_STProjectAcct[[#This Row],[Act01]:[Act12]],$R$14:$AC$14)/valUnits2</f>
        <v>0</v>
      </c>
      <c r="AF492">
        <f>DB_STProjectAcct[[#This Row],[Actual]]-DB_STProjectAcct[[#This Row],[Plan]]</f>
        <v>0</v>
      </c>
      <c r="AG492">
        <f>IF(DB_STProjectAcct[[#This Row],[Plan]]&lt;&gt;0,DB_STProjectAcct[[#This Row],[Actual]]/DB_STProjectAcct[[#This Row],[Plan]],1.000011000011)</f>
        <v>1.0000110000110001</v>
      </c>
    </row>
    <row r="493" spans="1:33" hidden="1" x14ac:dyDescent="0.2">
      <c r="A493" t="s">
        <v>1480</v>
      </c>
      <c r="B493" t="s">
        <v>349</v>
      </c>
      <c r="C493" t="s">
        <v>524</v>
      </c>
      <c r="D493" t="s">
        <v>994</v>
      </c>
      <c r="E493" t="s">
        <v>236</v>
      </c>
      <c r="AC493" s="295"/>
      <c r="AD493">
        <f>SUMPRODUCT(DB_STProjectAcct[[#This Row],[Plan01]:[Plan12]],$F$14:$Q$14)/valUnits2</f>
        <v>0</v>
      </c>
      <c r="AE493">
        <f>SUMPRODUCT(DB_STProjectAcct[[#This Row],[Act01]:[Act12]],$R$14:$AC$14)/valUnits2</f>
        <v>0</v>
      </c>
      <c r="AF493">
        <f>DB_STProjectAcct[[#This Row],[Actual]]-DB_STProjectAcct[[#This Row],[Plan]]</f>
        <v>0</v>
      </c>
      <c r="AG493">
        <f>IF(DB_STProjectAcct[[#This Row],[Plan]]&lt;&gt;0,DB_STProjectAcct[[#This Row],[Actual]]/DB_STProjectAcct[[#This Row],[Plan]],1.000011000011)</f>
        <v>1.0000110000110001</v>
      </c>
    </row>
    <row r="494" spans="1:33" hidden="1" x14ac:dyDescent="0.2">
      <c r="A494" t="s">
        <v>1481</v>
      </c>
      <c r="B494" t="s">
        <v>349</v>
      </c>
      <c r="C494" t="s">
        <v>524</v>
      </c>
      <c r="D494" t="s">
        <v>994</v>
      </c>
      <c r="E494" t="s">
        <v>237</v>
      </c>
      <c r="AC494" s="297"/>
      <c r="AD494">
        <f>SUMPRODUCT(DB_STProjectAcct[[#This Row],[Plan01]:[Plan12]],$F$14:$Q$14)/valUnits2</f>
        <v>0</v>
      </c>
      <c r="AE494">
        <f>SUMPRODUCT(DB_STProjectAcct[[#This Row],[Act01]:[Act12]],$R$14:$AC$14)/valUnits2</f>
        <v>0</v>
      </c>
      <c r="AF494">
        <f>DB_STProjectAcct[[#This Row],[Actual]]-DB_STProjectAcct[[#This Row],[Plan]]</f>
        <v>0</v>
      </c>
      <c r="AG494">
        <f>IF(DB_STProjectAcct[[#This Row],[Plan]]&lt;&gt;0,DB_STProjectAcct[[#This Row],[Actual]]/DB_STProjectAcct[[#This Row],[Plan]],1.000011000011)</f>
        <v>1.0000110000110001</v>
      </c>
    </row>
    <row r="495" spans="1:33" hidden="1" x14ac:dyDescent="0.2">
      <c r="A495" t="s">
        <v>1482</v>
      </c>
      <c r="B495" t="s">
        <v>349</v>
      </c>
      <c r="C495" t="s">
        <v>524</v>
      </c>
      <c r="D495" t="s">
        <v>994</v>
      </c>
      <c r="E495" t="s">
        <v>141</v>
      </c>
      <c r="F495">
        <v>49.540000000000006</v>
      </c>
      <c r="R495">
        <v>49.54</v>
      </c>
      <c r="AC495" s="295"/>
      <c r="AD495">
        <f>SUMPRODUCT(DB_STProjectAcct[[#This Row],[Plan01]:[Plan12]],$F$14:$Q$14)/valUnits2</f>
        <v>4.9540000000000008E-2</v>
      </c>
      <c r="AE495">
        <f>SUMPRODUCT(DB_STProjectAcct[[#This Row],[Act01]:[Act12]],$R$14:$AC$14)/valUnits2</f>
        <v>4.9540000000000001E-2</v>
      </c>
      <c r="AF495">
        <f>DB_STProjectAcct[[#This Row],[Actual]]-DB_STProjectAcct[[#This Row],[Plan]]</f>
        <v>0</v>
      </c>
      <c r="AG495">
        <f>IF(DB_STProjectAcct[[#This Row],[Plan]]&lt;&gt;0,DB_STProjectAcct[[#This Row],[Actual]]/DB_STProjectAcct[[#This Row],[Plan]],1.000011000011)</f>
        <v>0.99999999999999989</v>
      </c>
    </row>
    <row r="496" spans="1:33" hidden="1" x14ac:dyDescent="0.2">
      <c r="A496" t="s">
        <v>1483</v>
      </c>
      <c r="B496" t="s">
        <v>349</v>
      </c>
      <c r="C496" t="s">
        <v>525</v>
      </c>
      <c r="D496" t="s">
        <v>943</v>
      </c>
      <c r="E496" t="s">
        <v>143</v>
      </c>
      <c r="F496">
        <v>44.837000000000003</v>
      </c>
      <c r="G496">
        <v>30.777999999999999</v>
      </c>
      <c r="H496">
        <v>697.37900000000002</v>
      </c>
      <c r="I496">
        <v>1368.8489999999999</v>
      </c>
      <c r="J496">
        <v>1087.6949999999999</v>
      </c>
      <c r="K496">
        <v>0</v>
      </c>
      <c r="R496">
        <v>20.43</v>
      </c>
      <c r="S496">
        <v>31.62</v>
      </c>
      <c r="T496">
        <v>710.83999999999992</v>
      </c>
      <c r="U496">
        <v>1343.21</v>
      </c>
      <c r="V496">
        <v>1062.05</v>
      </c>
      <c r="W496">
        <v>903.19</v>
      </c>
      <c r="AC496" s="297"/>
      <c r="AD496">
        <f>SUMPRODUCT(DB_STProjectAcct[[#This Row],[Plan01]:[Plan12]],$F$14:$Q$14)/valUnits2</f>
        <v>3.2295379999999994</v>
      </c>
      <c r="AE496">
        <f>SUMPRODUCT(DB_STProjectAcct[[#This Row],[Act01]:[Act12]],$R$14:$AC$14)/valUnits2</f>
        <v>4.0713399999999993</v>
      </c>
      <c r="AF496">
        <f>DB_STProjectAcct[[#This Row],[Actual]]-DB_STProjectAcct[[#This Row],[Plan]]</f>
        <v>0.84180199999999994</v>
      </c>
      <c r="AG496">
        <f>IF(DB_STProjectAcct[[#This Row],[Plan]]&lt;&gt;0,DB_STProjectAcct[[#This Row],[Actual]]/DB_STProjectAcct[[#This Row],[Plan]],1.000011000011)</f>
        <v>1.260657097083236</v>
      </c>
    </row>
    <row r="497" spans="1:33" hidden="1" x14ac:dyDescent="0.2">
      <c r="A497" t="s">
        <v>1484</v>
      </c>
      <c r="B497" t="s">
        <v>349</v>
      </c>
      <c r="C497" t="s">
        <v>525</v>
      </c>
      <c r="D497" t="s">
        <v>943</v>
      </c>
      <c r="E497" t="s">
        <v>235</v>
      </c>
      <c r="F497">
        <v>1716.2380000000001</v>
      </c>
      <c r="G497">
        <v>465.49</v>
      </c>
      <c r="H497">
        <v>1647.1</v>
      </c>
      <c r="I497">
        <v>590.01900000000001</v>
      </c>
      <c r="J497">
        <v>465.37799999999999</v>
      </c>
      <c r="K497">
        <v>0</v>
      </c>
      <c r="R497">
        <v>1730.1100000000001</v>
      </c>
      <c r="S497">
        <v>478.09999999999997</v>
      </c>
      <c r="T497">
        <v>1675.8600000000001</v>
      </c>
      <c r="U497">
        <v>586.79999999999995</v>
      </c>
      <c r="V497">
        <v>508.21999999999997</v>
      </c>
      <c r="W497">
        <v>703.87</v>
      </c>
      <c r="AC497" s="295"/>
      <c r="AD497">
        <f>SUMPRODUCT(DB_STProjectAcct[[#This Row],[Plan01]:[Plan12]],$F$14:$Q$14)/valUnits2</f>
        <v>4.8842249999999998</v>
      </c>
      <c r="AE497">
        <f>SUMPRODUCT(DB_STProjectAcct[[#This Row],[Act01]:[Act12]],$R$14:$AC$14)/valUnits2</f>
        <v>5.6829600000000005</v>
      </c>
      <c r="AF497">
        <f>DB_STProjectAcct[[#This Row],[Actual]]-DB_STProjectAcct[[#This Row],[Plan]]</f>
        <v>0.79873500000000064</v>
      </c>
      <c r="AG497">
        <f>IF(DB_STProjectAcct[[#This Row],[Plan]]&lt;&gt;0,DB_STProjectAcct[[#This Row],[Actual]]/DB_STProjectAcct[[#This Row],[Plan]],1.000011000011)</f>
        <v>1.1635336209941189</v>
      </c>
    </row>
    <row r="498" spans="1:33" hidden="1" x14ac:dyDescent="0.2">
      <c r="A498" t="s">
        <v>1485</v>
      </c>
      <c r="B498" t="s">
        <v>349</v>
      </c>
      <c r="C498" t="s">
        <v>525</v>
      </c>
      <c r="D498" t="s">
        <v>943</v>
      </c>
      <c r="E498" t="s">
        <v>144</v>
      </c>
      <c r="AC498" s="297"/>
      <c r="AD498">
        <f>SUMPRODUCT(DB_STProjectAcct[[#This Row],[Plan01]:[Plan12]],$F$14:$Q$14)/valUnits2</f>
        <v>0</v>
      </c>
      <c r="AE498">
        <f>SUMPRODUCT(DB_STProjectAcct[[#This Row],[Act01]:[Act12]],$R$14:$AC$14)/valUnits2</f>
        <v>0</v>
      </c>
      <c r="AF498">
        <f>DB_STProjectAcct[[#This Row],[Actual]]-DB_STProjectAcct[[#This Row],[Plan]]</f>
        <v>0</v>
      </c>
      <c r="AG498">
        <f>IF(DB_STProjectAcct[[#This Row],[Plan]]&lt;&gt;0,DB_STProjectAcct[[#This Row],[Actual]]/DB_STProjectAcct[[#This Row],[Plan]],1.000011000011)</f>
        <v>1.0000110000110001</v>
      </c>
    </row>
    <row r="499" spans="1:33" hidden="1" x14ac:dyDescent="0.2">
      <c r="A499" t="s">
        <v>1486</v>
      </c>
      <c r="B499" t="s">
        <v>349</v>
      </c>
      <c r="C499" t="s">
        <v>525</v>
      </c>
      <c r="D499" t="s">
        <v>943</v>
      </c>
      <c r="E499" t="s">
        <v>142</v>
      </c>
      <c r="F499">
        <v>160239.28300000002</v>
      </c>
      <c r="G499">
        <v>-3.4000000003430841E-2</v>
      </c>
      <c r="H499">
        <v>167426.10500000007</v>
      </c>
      <c r="I499">
        <v>169930.90900000001</v>
      </c>
      <c r="J499">
        <v>27674.886999999992</v>
      </c>
      <c r="K499">
        <v>90653.274999999994</v>
      </c>
      <c r="R499">
        <v>155725.97</v>
      </c>
      <c r="S499">
        <v>-4.0000000016334525E-2</v>
      </c>
      <c r="T499">
        <v>170729.98999999996</v>
      </c>
      <c r="U499">
        <v>169957.84</v>
      </c>
      <c r="V499">
        <v>27339.400000000012</v>
      </c>
      <c r="W499">
        <v>52030.77</v>
      </c>
      <c r="AC499" s="295"/>
      <c r="AD499">
        <f>SUMPRODUCT(DB_STProjectAcct[[#This Row],[Plan01]:[Plan12]],$F$14:$Q$14)/valUnits2</f>
        <v>615.92442500000004</v>
      </c>
      <c r="AE499">
        <f>SUMPRODUCT(DB_STProjectAcct[[#This Row],[Act01]:[Act12]],$R$14:$AC$14)/valUnits2</f>
        <v>575.78392999999994</v>
      </c>
      <c r="AF499">
        <f>DB_STProjectAcct[[#This Row],[Actual]]-DB_STProjectAcct[[#This Row],[Plan]]</f>
        <v>-40.140495000000101</v>
      </c>
      <c r="AG499">
        <f>IF(DB_STProjectAcct[[#This Row],[Plan]]&lt;&gt;0,DB_STProjectAcct[[#This Row],[Actual]]/DB_STProjectAcct[[#This Row],[Plan]],1.000011000011)</f>
        <v>0.93482886313527813</v>
      </c>
    </row>
    <row r="500" spans="1:33" hidden="1" x14ac:dyDescent="0.2">
      <c r="A500" t="s">
        <v>1487</v>
      </c>
      <c r="B500" t="s">
        <v>349</v>
      </c>
      <c r="C500" t="s">
        <v>525</v>
      </c>
      <c r="D500" t="s">
        <v>943</v>
      </c>
      <c r="E500" t="s">
        <v>140</v>
      </c>
      <c r="F500">
        <v>2543.8809999999999</v>
      </c>
      <c r="G500">
        <v>3442.6279999999997</v>
      </c>
      <c r="H500">
        <v>3720.66</v>
      </c>
      <c r="I500">
        <v>6953.2730000000001</v>
      </c>
      <c r="J500">
        <v>11384.447999999999</v>
      </c>
      <c r="K500">
        <v>0</v>
      </c>
      <c r="R500">
        <v>2506.2600000000002</v>
      </c>
      <c r="S500">
        <v>3514.82</v>
      </c>
      <c r="T500">
        <v>3787.9599999999996</v>
      </c>
      <c r="U500">
        <v>6932.119999999999</v>
      </c>
      <c r="V500">
        <v>11408.279999999999</v>
      </c>
      <c r="W500">
        <v>6775.4400000000005</v>
      </c>
      <c r="AC500" s="297"/>
      <c r="AD500">
        <f>SUMPRODUCT(DB_STProjectAcct[[#This Row],[Plan01]:[Plan12]],$F$14:$Q$14)/valUnits2</f>
        <v>28.044889999999999</v>
      </c>
      <c r="AE500">
        <f>SUMPRODUCT(DB_STProjectAcct[[#This Row],[Act01]:[Act12]],$R$14:$AC$14)/valUnits2</f>
        <v>34.924879999999995</v>
      </c>
      <c r="AF500">
        <f>DB_STProjectAcct[[#This Row],[Actual]]-DB_STProjectAcct[[#This Row],[Plan]]</f>
        <v>6.8799899999999958</v>
      </c>
      <c r="AG500">
        <f>IF(DB_STProjectAcct[[#This Row],[Plan]]&lt;&gt;0,DB_STProjectAcct[[#This Row],[Actual]]/DB_STProjectAcct[[#This Row],[Plan]],1.000011000011)</f>
        <v>1.2453206270375814</v>
      </c>
    </row>
    <row r="501" spans="1:33" hidden="1" x14ac:dyDescent="0.2">
      <c r="A501" t="s">
        <v>1488</v>
      </c>
      <c r="B501" t="s">
        <v>349</v>
      </c>
      <c r="C501" t="s">
        <v>525</v>
      </c>
      <c r="D501" t="s">
        <v>943</v>
      </c>
      <c r="E501" t="s">
        <v>236</v>
      </c>
      <c r="F501">
        <v>201.63199999999998</v>
      </c>
      <c r="G501">
        <v>64.820999999999998</v>
      </c>
      <c r="H501">
        <v>70301.468999999997</v>
      </c>
      <c r="I501">
        <v>4250.54</v>
      </c>
      <c r="J501">
        <v>0</v>
      </c>
      <c r="K501">
        <v>0</v>
      </c>
      <c r="R501">
        <v>200.25</v>
      </c>
      <c r="S501">
        <v>66.67</v>
      </c>
      <c r="T501">
        <v>71633.17</v>
      </c>
      <c r="U501">
        <v>4233.63</v>
      </c>
      <c r="V501">
        <v>0</v>
      </c>
      <c r="W501">
        <v>43554.67</v>
      </c>
      <c r="AC501" s="295"/>
      <c r="AD501">
        <f>SUMPRODUCT(DB_STProjectAcct[[#This Row],[Plan01]:[Plan12]],$F$14:$Q$14)/valUnits2</f>
        <v>74.818461999999982</v>
      </c>
      <c r="AE501">
        <f>SUMPRODUCT(DB_STProjectAcct[[#This Row],[Act01]:[Act12]],$R$14:$AC$14)/valUnits2</f>
        <v>119.68839</v>
      </c>
      <c r="AF501">
        <f>DB_STProjectAcct[[#This Row],[Actual]]-DB_STProjectAcct[[#This Row],[Plan]]</f>
        <v>44.869928000000016</v>
      </c>
      <c r="AG501">
        <f>IF(DB_STProjectAcct[[#This Row],[Plan]]&lt;&gt;0,DB_STProjectAcct[[#This Row],[Actual]]/DB_STProjectAcct[[#This Row],[Plan]],1.000011000011)</f>
        <v>1.5997173264534632</v>
      </c>
    </row>
    <row r="502" spans="1:33" hidden="1" x14ac:dyDescent="0.2">
      <c r="A502" t="s">
        <v>1489</v>
      </c>
      <c r="B502" t="s">
        <v>349</v>
      </c>
      <c r="C502" t="s">
        <v>525</v>
      </c>
      <c r="D502" t="s">
        <v>943</v>
      </c>
      <c r="E502" t="s">
        <v>237</v>
      </c>
      <c r="G502">
        <v>435.98099999999999</v>
      </c>
      <c r="H502">
        <v>90.444000000000003</v>
      </c>
      <c r="J502">
        <v>26.529</v>
      </c>
      <c r="K502">
        <v>0</v>
      </c>
      <c r="S502">
        <v>450.23</v>
      </c>
      <c r="T502">
        <v>91.09</v>
      </c>
      <c r="V502">
        <v>26.53</v>
      </c>
      <c r="W502">
        <v>126.32</v>
      </c>
      <c r="AC502" s="297"/>
      <c r="AD502">
        <f>SUMPRODUCT(DB_STProjectAcct[[#This Row],[Plan01]:[Plan12]],$F$14:$Q$14)/valUnits2</f>
        <v>0.55295399999999995</v>
      </c>
      <c r="AE502">
        <f>SUMPRODUCT(DB_STProjectAcct[[#This Row],[Act01]:[Act12]],$R$14:$AC$14)/valUnits2</f>
        <v>0.69417000000000006</v>
      </c>
      <c r="AF502">
        <f>DB_STProjectAcct[[#This Row],[Actual]]-DB_STProjectAcct[[#This Row],[Plan]]</f>
        <v>0.14121600000000012</v>
      </c>
      <c r="AG502">
        <f>IF(DB_STProjectAcct[[#This Row],[Plan]]&lt;&gt;0,DB_STProjectAcct[[#This Row],[Actual]]/DB_STProjectAcct[[#This Row],[Plan]],1.000011000011)</f>
        <v>1.2553847155459588</v>
      </c>
    </row>
    <row r="503" spans="1:33" hidden="1" x14ac:dyDescent="0.2">
      <c r="A503" t="s">
        <v>1490</v>
      </c>
      <c r="B503" t="s">
        <v>349</v>
      </c>
      <c r="C503" t="s">
        <v>525</v>
      </c>
      <c r="D503" t="s">
        <v>943</v>
      </c>
      <c r="E503" t="s">
        <v>141</v>
      </c>
      <c r="F503">
        <v>1669.7279999999998</v>
      </c>
      <c r="G503">
        <v>1724.2739999999999</v>
      </c>
      <c r="H503">
        <v>3062.7860000000001</v>
      </c>
      <c r="I503">
        <v>3019.6150000000002</v>
      </c>
      <c r="J503">
        <v>943.04200000000003</v>
      </c>
      <c r="K503">
        <v>0</v>
      </c>
      <c r="R503">
        <v>1622.73</v>
      </c>
      <c r="S503">
        <v>1771.6200000000001</v>
      </c>
      <c r="T503">
        <v>3099.3099999999995</v>
      </c>
      <c r="U503">
        <v>3004.8399999999997</v>
      </c>
      <c r="V503">
        <v>940.53</v>
      </c>
      <c r="W503">
        <v>1946.0399999999997</v>
      </c>
      <c r="AC503" s="295"/>
      <c r="AD503">
        <f>SUMPRODUCT(DB_STProjectAcct[[#This Row],[Plan01]:[Plan12]],$F$14:$Q$14)/valUnits2</f>
        <v>10.419445</v>
      </c>
      <c r="AE503">
        <f>SUMPRODUCT(DB_STProjectAcct[[#This Row],[Act01]:[Act12]],$R$14:$AC$14)/valUnits2</f>
        <v>12.385069999999999</v>
      </c>
      <c r="AF503">
        <f>DB_STProjectAcct[[#This Row],[Actual]]-DB_STProjectAcct[[#This Row],[Plan]]</f>
        <v>1.9656249999999993</v>
      </c>
      <c r="AG503">
        <f>IF(DB_STProjectAcct[[#This Row],[Plan]]&lt;&gt;0,DB_STProjectAcct[[#This Row],[Actual]]/DB_STProjectAcct[[#This Row],[Plan]],1.000011000011)</f>
        <v>1.188649683356455</v>
      </c>
    </row>
    <row r="504" spans="1:33" hidden="1" x14ac:dyDescent="0.2">
      <c r="A504" t="s">
        <v>1491</v>
      </c>
      <c r="B504" t="s">
        <v>350</v>
      </c>
      <c r="C504" t="s">
        <v>526</v>
      </c>
      <c r="D504" t="s">
        <v>974</v>
      </c>
      <c r="E504" t="s">
        <v>143</v>
      </c>
      <c r="F504">
        <v>2623.5860000000002</v>
      </c>
      <c r="G504">
        <v>36.33</v>
      </c>
      <c r="H504">
        <v>5673.7969999999996</v>
      </c>
      <c r="I504">
        <v>730.17100000000005</v>
      </c>
      <c r="J504">
        <v>1112.2879999999998</v>
      </c>
      <c r="K504">
        <v>0</v>
      </c>
      <c r="R504">
        <v>2572.29</v>
      </c>
      <c r="S504">
        <v>36.33</v>
      </c>
      <c r="T504">
        <v>5644.35</v>
      </c>
      <c r="U504">
        <v>390.20999999999981</v>
      </c>
      <c r="V504">
        <v>1328.1000000000001</v>
      </c>
      <c r="W504">
        <v>48.38</v>
      </c>
      <c r="AC504" s="297"/>
      <c r="AD504">
        <f>SUMPRODUCT(DB_STProjectAcct[[#This Row],[Plan01]:[Plan12]],$F$14:$Q$14)/valUnits2</f>
        <v>10.176172000000001</v>
      </c>
      <c r="AE504">
        <f>SUMPRODUCT(DB_STProjectAcct[[#This Row],[Act01]:[Act12]],$R$14:$AC$14)/valUnits2</f>
        <v>10.01966</v>
      </c>
      <c r="AF504">
        <f>DB_STProjectAcct[[#This Row],[Actual]]-DB_STProjectAcct[[#This Row],[Plan]]</f>
        <v>-0.15651200000000109</v>
      </c>
      <c r="AG504">
        <f>IF(DB_STProjectAcct[[#This Row],[Plan]]&lt;&gt;0,DB_STProjectAcct[[#This Row],[Actual]]/DB_STProjectAcct[[#This Row],[Plan]],1.000011000011)</f>
        <v>0.98461975682014802</v>
      </c>
    </row>
    <row r="505" spans="1:33" hidden="1" x14ac:dyDescent="0.2">
      <c r="A505" t="s">
        <v>1492</v>
      </c>
      <c r="B505" t="s">
        <v>350</v>
      </c>
      <c r="C505" t="s">
        <v>526</v>
      </c>
      <c r="D505" t="s">
        <v>974</v>
      </c>
      <c r="E505" t="s">
        <v>235</v>
      </c>
      <c r="F505">
        <v>1913.0809999999999</v>
      </c>
      <c r="G505">
        <v>6004.7489999999998</v>
      </c>
      <c r="H505">
        <v>1231.4969999999998</v>
      </c>
      <c r="I505">
        <v>6873.5729999999994</v>
      </c>
      <c r="J505">
        <v>-232.70400000000004</v>
      </c>
      <c r="K505">
        <v>0</v>
      </c>
      <c r="R505">
        <v>1808.78</v>
      </c>
      <c r="S505">
        <v>5901.03</v>
      </c>
      <c r="T505">
        <v>1183.69</v>
      </c>
      <c r="U505">
        <v>6840.54</v>
      </c>
      <c r="V505">
        <v>-487.59999999999997</v>
      </c>
      <c r="W505">
        <v>195.04000000000002</v>
      </c>
      <c r="AC505" s="295"/>
      <c r="AD505">
        <f>SUMPRODUCT(DB_STProjectAcct[[#This Row],[Plan01]:[Plan12]],$F$14:$Q$14)/valUnits2</f>
        <v>15.790195999999998</v>
      </c>
      <c r="AE505">
        <f>SUMPRODUCT(DB_STProjectAcct[[#This Row],[Act01]:[Act12]],$R$14:$AC$14)/valUnits2</f>
        <v>15.441480000000002</v>
      </c>
      <c r="AF505">
        <f>DB_STProjectAcct[[#This Row],[Actual]]-DB_STProjectAcct[[#This Row],[Plan]]</f>
        <v>-0.34871599999999603</v>
      </c>
      <c r="AG505">
        <f>IF(DB_STProjectAcct[[#This Row],[Plan]]&lt;&gt;0,DB_STProjectAcct[[#This Row],[Actual]]/DB_STProjectAcct[[#This Row],[Plan]],1.000011000011)</f>
        <v>0.97791566361810855</v>
      </c>
    </row>
    <row r="506" spans="1:33" hidden="1" x14ac:dyDescent="0.2">
      <c r="A506" t="s">
        <v>1493</v>
      </c>
      <c r="B506" t="s">
        <v>350</v>
      </c>
      <c r="C506" t="s">
        <v>526</v>
      </c>
      <c r="D506" t="s">
        <v>974</v>
      </c>
      <c r="E506" t="s">
        <v>144</v>
      </c>
      <c r="AC506" s="297"/>
      <c r="AD506">
        <f>SUMPRODUCT(DB_STProjectAcct[[#This Row],[Plan01]:[Plan12]],$F$14:$Q$14)/valUnits2</f>
        <v>0</v>
      </c>
      <c r="AE506">
        <f>SUMPRODUCT(DB_STProjectAcct[[#This Row],[Act01]:[Act12]],$R$14:$AC$14)/valUnits2</f>
        <v>0</v>
      </c>
      <c r="AF506">
        <f>DB_STProjectAcct[[#This Row],[Actual]]-DB_STProjectAcct[[#This Row],[Plan]]</f>
        <v>0</v>
      </c>
      <c r="AG506">
        <f>IF(DB_STProjectAcct[[#This Row],[Plan]]&lt;&gt;0,DB_STProjectAcct[[#This Row],[Actual]]/DB_STProjectAcct[[#This Row],[Plan]],1.000011000011)</f>
        <v>1.0000110000110001</v>
      </c>
    </row>
    <row r="507" spans="1:33" hidden="1" x14ac:dyDescent="0.2">
      <c r="A507" t="s">
        <v>1494</v>
      </c>
      <c r="B507" t="s">
        <v>350</v>
      </c>
      <c r="C507" t="s">
        <v>526</v>
      </c>
      <c r="D507" t="s">
        <v>974</v>
      </c>
      <c r="E507" t="s">
        <v>142</v>
      </c>
      <c r="AC507" s="295"/>
      <c r="AD507">
        <f>SUMPRODUCT(DB_STProjectAcct[[#This Row],[Plan01]:[Plan12]],$F$14:$Q$14)/valUnits2</f>
        <v>0</v>
      </c>
      <c r="AE507">
        <f>SUMPRODUCT(DB_STProjectAcct[[#This Row],[Act01]:[Act12]],$R$14:$AC$14)/valUnits2</f>
        <v>0</v>
      </c>
      <c r="AF507">
        <f>DB_STProjectAcct[[#This Row],[Actual]]-DB_STProjectAcct[[#This Row],[Plan]]</f>
        <v>0</v>
      </c>
      <c r="AG507">
        <f>IF(DB_STProjectAcct[[#This Row],[Plan]]&lt;&gt;0,DB_STProjectAcct[[#This Row],[Actual]]/DB_STProjectAcct[[#This Row],[Plan]],1.000011000011)</f>
        <v>1.0000110000110001</v>
      </c>
    </row>
    <row r="508" spans="1:33" hidden="1" x14ac:dyDescent="0.2">
      <c r="A508" t="s">
        <v>1495</v>
      </c>
      <c r="B508" t="s">
        <v>350</v>
      </c>
      <c r="C508" t="s">
        <v>526</v>
      </c>
      <c r="D508" t="s">
        <v>974</v>
      </c>
      <c r="E508" t="s">
        <v>140</v>
      </c>
      <c r="F508">
        <v>2220.174</v>
      </c>
      <c r="G508">
        <v>38130.234000000011</v>
      </c>
      <c r="H508">
        <v>25091.639000000003</v>
      </c>
      <c r="I508">
        <v>28103.024999999994</v>
      </c>
      <c r="J508">
        <v>13376.073999999997</v>
      </c>
      <c r="K508">
        <v>16104.784000000003</v>
      </c>
      <c r="L508">
        <v>16104.784</v>
      </c>
      <c r="M508">
        <v>16104.784000000001</v>
      </c>
      <c r="N508">
        <v>16000.733000000002</v>
      </c>
      <c r="O508">
        <v>10303.097</v>
      </c>
      <c r="P508">
        <v>9527.9659999999985</v>
      </c>
      <c r="Q508">
        <v>9527.9660000000022</v>
      </c>
      <c r="R508">
        <v>2033.4499999999998</v>
      </c>
      <c r="S508">
        <v>37970.569999999985</v>
      </c>
      <c r="T508">
        <v>24384.43</v>
      </c>
      <c r="U508">
        <v>27267.230000000003</v>
      </c>
      <c r="V508">
        <v>12575.16</v>
      </c>
      <c r="W508">
        <v>8484.8999999999978</v>
      </c>
      <c r="X508">
        <v>0</v>
      </c>
      <c r="Y508">
        <v>0</v>
      </c>
      <c r="Z508">
        <v>0</v>
      </c>
      <c r="AA508">
        <v>0</v>
      </c>
      <c r="AB508">
        <v>0</v>
      </c>
      <c r="AC508" s="297">
        <v>0</v>
      </c>
      <c r="AD508">
        <f>SUMPRODUCT(DB_STProjectAcct[[#This Row],[Plan01]:[Plan12]],$F$14:$Q$14)/valUnits2</f>
        <v>123.02593</v>
      </c>
      <c r="AE508">
        <f>SUMPRODUCT(DB_STProjectAcct[[#This Row],[Act01]:[Act12]],$R$14:$AC$14)/valUnits2</f>
        <v>112.71574</v>
      </c>
      <c r="AF508">
        <f>DB_STProjectAcct[[#This Row],[Actual]]-DB_STProjectAcct[[#This Row],[Plan]]</f>
        <v>-10.310190000000006</v>
      </c>
      <c r="AG508">
        <f>IF(DB_STProjectAcct[[#This Row],[Plan]]&lt;&gt;0,DB_STProjectAcct[[#This Row],[Actual]]/DB_STProjectAcct[[#This Row],[Plan]],1.000011000011)</f>
        <v>0.91619498426063506</v>
      </c>
    </row>
    <row r="509" spans="1:33" hidden="1" x14ac:dyDescent="0.2">
      <c r="A509" t="s">
        <v>1496</v>
      </c>
      <c r="B509" t="s">
        <v>350</v>
      </c>
      <c r="C509" t="s">
        <v>526</v>
      </c>
      <c r="D509" t="s">
        <v>974</v>
      </c>
      <c r="E509" t="s">
        <v>236</v>
      </c>
      <c r="F509">
        <v>873.92200000000003</v>
      </c>
      <c r="G509">
        <v>1075</v>
      </c>
      <c r="H509">
        <v>1075</v>
      </c>
      <c r="I509">
        <v>1173.21</v>
      </c>
      <c r="J509">
        <v>1335</v>
      </c>
      <c r="K509">
        <v>1075</v>
      </c>
      <c r="L509">
        <v>1075</v>
      </c>
      <c r="M509">
        <v>1075</v>
      </c>
      <c r="N509">
        <v>1075</v>
      </c>
      <c r="O509">
        <v>1075</v>
      </c>
      <c r="P509">
        <v>1075</v>
      </c>
      <c r="Q509">
        <v>1075</v>
      </c>
      <c r="R509">
        <v>-202.13</v>
      </c>
      <c r="S509">
        <v>0</v>
      </c>
      <c r="T509">
        <v>0</v>
      </c>
      <c r="U509">
        <v>98.210000000000008</v>
      </c>
      <c r="V509">
        <v>260</v>
      </c>
      <c r="W509">
        <v>250.16</v>
      </c>
      <c r="X509">
        <v>0</v>
      </c>
      <c r="Y509">
        <v>0</v>
      </c>
      <c r="Z509">
        <v>0</v>
      </c>
      <c r="AA509">
        <v>0</v>
      </c>
      <c r="AB509">
        <v>0</v>
      </c>
      <c r="AC509" s="295">
        <v>0</v>
      </c>
      <c r="AD509">
        <f>SUMPRODUCT(DB_STProjectAcct[[#This Row],[Plan01]:[Plan12]],$F$14:$Q$14)/valUnits2</f>
        <v>6.607132</v>
      </c>
      <c r="AE509">
        <f>SUMPRODUCT(DB_STProjectAcct[[#This Row],[Act01]:[Act12]],$R$14:$AC$14)/valUnits2</f>
        <v>0.40623999999999999</v>
      </c>
      <c r="AF509">
        <f>DB_STProjectAcct[[#This Row],[Actual]]-DB_STProjectAcct[[#This Row],[Plan]]</f>
        <v>-6.2008919999999996</v>
      </c>
      <c r="AG509">
        <f>IF(DB_STProjectAcct[[#This Row],[Plan]]&lt;&gt;0,DB_STProjectAcct[[#This Row],[Actual]]/DB_STProjectAcct[[#This Row],[Plan]],1.000011000011)</f>
        <v>6.1485074007905392E-2</v>
      </c>
    </row>
    <row r="510" spans="1:33" hidden="1" x14ac:dyDescent="0.2">
      <c r="A510" t="s">
        <v>1497</v>
      </c>
      <c r="B510" t="s">
        <v>350</v>
      </c>
      <c r="C510" t="s">
        <v>526</v>
      </c>
      <c r="D510" t="s">
        <v>974</v>
      </c>
      <c r="E510" t="s">
        <v>237</v>
      </c>
      <c r="G510">
        <v>526.69100000000003</v>
      </c>
      <c r="H510">
        <v>0</v>
      </c>
      <c r="I510">
        <v>-159.91</v>
      </c>
      <c r="K510">
        <v>0</v>
      </c>
      <c r="S510">
        <v>524.9899999999999</v>
      </c>
      <c r="T510">
        <v>0</v>
      </c>
      <c r="U510">
        <v>-159.91</v>
      </c>
      <c r="W510">
        <v>148.63999999999999</v>
      </c>
      <c r="AC510" s="297"/>
      <c r="AD510">
        <f>SUMPRODUCT(DB_STProjectAcct[[#This Row],[Plan01]:[Plan12]],$F$14:$Q$14)/valUnits2</f>
        <v>0.36678100000000008</v>
      </c>
      <c r="AE510">
        <f>SUMPRODUCT(DB_STProjectAcct[[#This Row],[Act01]:[Act12]],$R$14:$AC$14)/valUnits2</f>
        <v>0.51371999999999995</v>
      </c>
      <c r="AF510">
        <f>DB_STProjectAcct[[#This Row],[Actual]]-DB_STProjectAcct[[#This Row],[Plan]]</f>
        <v>0.14693899999999988</v>
      </c>
      <c r="AG510">
        <f>IF(DB_STProjectAcct[[#This Row],[Plan]]&lt;&gt;0,DB_STProjectAcct[[#This Row],[Actual]]/DB_STProjectAcct[[#This Row],[Plan]],1.000011000011)</f>
        <v>1.400617807356433</v>
      </c>
    </row>
    <row r="511" spans="1:33" hidden="1" x14ac:dyDescent="0.2">
      <c r="A511" t="s">
        <v>1498</v>
      </c>
      <c r="B511" t="s">
        <v>350</v>
      </c>
      <c r="C511" t="s">
        <v>526</v>
      </c>
      <c r="D511" t="s">
        <v>974</v>
      </c>
      <c r="E511" t="s">
        <v>141</v>
      </c>
      <c r="F511">
        <v>14.7</v>
      </c>
      <c r="G511">
        <v>653.6350000000001</v>
      </c>
      <c r="H511">
        <v>821.49400000000014</v>
      </c>
      <c r="I511">
        <v>115.51300000000001</v>
      </c>
      <c r="J511">
        <v>273.6699999999999</v>
      </c>
      <c r="K511">
        <v>534.71100000000001</v>
      </c>
      <c r="L511">
        <v>534.71100000000001</v>
      </c>
      <c r="M511">
        <v>534.71100000000001</v>
      </c>
      <c r="N511">
        <v>534.71100000000001</v>
      </c>
      <c r="O511">
        <v>534.71100000000001</v>
      </c>
      <c r="P511">
        <v>534.71100000000001</v>
      </c>
      <c r="Q511">
        <v>534.71100000000001</v>
      </c>
      <c r="R511">
        <v>14.54</v>
      </c>
      <c r="S511">
        <v>659.33999999999992</v>
      </c>
      <c r="T511">
        <v>821.29</v>
      </c>
      <c r="U511">
        <v>113.63999999999999</v>
      </c>
      <c r="V511">
        <v>274.27999999999992</v>
      </c>
      <c r="W511">
        <v>2619.75</v>
      </c>
      <c r="X511">
        <v>0</v>
      </c>
      <c r="Y511">
        <v>0</v>
      </c>
      <c r="Z511">
        <v>0</v>
      </c>
      <c r="AA511">
        <v>0</v>
      </c>
      <c r="AB511">
        <v>0</v>
      </c>
      <c r="AC511" s="295">
        <v>0</v>
      </c>
      <c r="AD511">
        <f>SUMPRODUCT(DB_STProjectAcct[[#This Row],[Plan01]:[Plan12]],$F$14:$Q$14)/valUnits2</f>
        <v>2.4137230000000001</v>
      </c>
      <c r="AE511">
        <f>SUMPRODUCT(DB_STProjectAcct[[#This Row],[Act01]:[Act12]],$R$14:$AC$14)/valUnits2</f>
        <v>4.50284</v>
      </c>
      <c r="AF511">
        <f>DB_STProjectAcct[[#This Row],[Actual]]-DB_STProjectAcct[[#This Row],[Plan]]</f>
        <v>2.0891169999999999</v>
      </c>
      <c r="AG511">
        <f>IF(DB_STProjectAcct[[#This Row],[Plan]]&lt;&gt;0,DB_STProjectAcct[[#This Row],[Actual]]/DB_STProjectAcct[[#This Row],[Plan]],1.000011000011)</f>
        <v>1.865516465642495</v>
      </c>
    </row>
    <row r="512" spans="1:33" hidden="1" x14ac:dyDescent="0.2">
      <c r="A512" t="s">
        <v>1499</v>
      </c>
      <c r="B512" t="s">
        <v>350</v>
      </c>
      <c r="C512" t="s">
        <v>526</v>
      </c>
      <c r="D512" t="s">
        <v>995</v>
      </c>
      <c r="E512" t="s">
        <v>143</v>
      </c>
      <c r="H512">
        <v>0</v>
      </c>
      <c r="I512">
        <v>0</v>
      </c>
      <c r="J512">
        <v>0</v>
      </c>
      <c r="T512">
        <v>0</v>
      </c>
      <c r="U512">
        <v>0</v>
      </c>
      <c r="V512">
        <v>0</v>
      </c>
      <c r="AC512" s="297"/>
      <c r="AD512">
        <f>SUMPRODUCT(DB_STProjectAcct[[#This Row],[Plan01]:[Plan12]],$F$14:$Q$14)/valUnits2</f>
        <v>0</v>
      </c>
      <c r="AE512">
        <f>SUMPRODUCT(DB_STProjectAcct[[#This Row],[Act01]:[Act12]],$R$14:$AC$14)/valUnits2</f>
        <v>0</v>
      </c>
      <c r="AF512">
        <f>DB_STProjectAcct[[#This Row],[Actual]]-DB_STProjectAcct[[#This Row],[Plan]]</f>
        <v>0</v>
      </c>
      <c r="AG512">
        <f>IF(DB_STProjectAcct[[#This Row],[Plan]]&lt;&gt;0,DB_STProjectAcct[[#This Row],[Actual]]/DB_STProjectAcct[[#This Row],[Plan]],1.000011000011)</f>
        <v>1.0000110000110001</v>
      </c>
    </row>
    <row r="513" spans="1:33" hidden="1" x14ac:dyDescent="0.2">
      <c r="A513" t="s">
        <v>1500</v>
      </c>
      <c r="B513" t="s">
        <v>350</v>
      </c>
      <c r="C513" t="s">
        <v>526</v>
      </c>
      <c r="D513" t="s">
        <v>995</v>
      </c>
      <c r="E513" t="s">
        <v>235</v>
      </c>
      <c r="H513">
        <v>0</v>
      </c>
      <c r="I513">
        <v>0</v>
      </c>
      <c r="J513">
        <v>0</v>
      </c>
      <c r="K513">
        <v>250</v>
      </c>
      <c r="L513">
        <v>250</v>
      </c>
      <c r="M513">
        <v>250</v>
      </c>
      <c r="N513">
        <v>250</v>
      </c>
      <c r="O513">
        <v>250</v>
      </c>
      <c r="P513">
        <v>250</v>
      </c>
      <c r="Q513">
        <v>250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 s="295">
        <v>0</v>
      </c>
      <c r="AD513">
        <f>SUMPRODUCT(DB_STProjectAcct[[#This Row],[Plan01]:[Plan12]],$F$14:$Q$14)/valUnits2</f>
        <v>0.25</v>
      </c>
      <c r="AE513">
        <f>SUMPRODUCT(DB_STProjectAcct[[#This Row],[Act01]:[Act12]],$R$14:$AC$14)/valUnits2</f>
        <v>0</v>
      </c>
      <c r="AF513">
        <f>DB_STProjectAcct[[#This Row],[Actual]]-DB_STProjectAcct[[#This Row],[Plan]]</f>
        <v>-0.25</v>
      </c>
      <c r="AG513">
        <f>IF(DB_STProjectAcct[[#This Row],[Plan]]&lt;&gt;0,DB_STProjectAcct[[#This Row],[Actual]]/DB_STProjectAcct[[#This Row],[Plan]],1.000011000011)</f>
        <v>0</v>
      </c>
    </row>
    <row r="514" spans="1:33" hidden="1" x14ac:dyDescent="0.2">
      <c r="A514" t="s">
        <v>1501</v>
      </c>
      <c r="B514" t="s">
        <v>350</v>
      </c>
      <c r="C514" t="s">
        <v>526</v>
      </c>
      <c r="D514" t="s">
        <v>995</v>
      </c>
      <c r="E514" t="s">
        <v>144</v>
      </c>
      <c r="AC514" s="297"/>
      <c r="AD514">
        <f>SUMPRODUCT(DB_STProjectAcct[[#This Row],[Plan01]:[Plan12]],$F$14:$Q$14)/valUnits2</f>
        <v>0</v>
      </c>
      <c r="AE514">
        <f>SUMPRODUCT(DB_STProjectAcct[[#This Row],[Act01]:[Act12]],$R$14:$AC$14)/valUnits2</f>
        <v>0</v>
      </c>
      <c r="AF514">
        <f>DB_STProjectAcct[[#This Row],[Actual]]-DB_STProjectAcct[[#This Row],[Plan]]</f>
        <v>0</v>
      </c>
      <c r="AG514">
        <f>IF(DB_STProjectAcct[[#This Row],[Plan]]&lt;&gt;0,DB_STProjectAcct[[#This Row],[Actual]]/DB_STProjectAcct[[#This Row],[Plan]],1.000011000011)</f>
        <v>1.0000110000110001</v>
      </c>
    </row>
    <row r="515" spans="1:33" hidden="1" x14ac:dyDescent="0.2">
      <c r="A515" t="s">
        <v>1502</v>
      </c>
      <c r="B515" t="s">
        <v>350</v>
      </c>
      <c r="C515" t="s">
        <v>526</v>
      </c>
      <c r="D515" t="s">
        <v>995</v>
      </c>
      <c r="E515" t="s">
        <v>142</v>
      </c>
      <c r="AC515" s="295"/>
      <c r="AD515">
        <f>SUMPRODUCT(DB_STProjectAcct[[#This Row],[Plan01]:[Plan12]],$F$14:$Q$14)/valUnits2</f>
        <v>0</v>
      </c>
      <c r="AE515">
        <f>SUMPRODUCT(DB_STProjectAcct[[#This Row],[Act01]:[Act12]],$R$14:$AC$14)/valUnits2</f>
        <v>0</v>
      </c>
      <c r="AF515">
        <f>DB_STProjectAcct[[#This Row],[Actual]]-DB_STProjectAcct[[#This Row],[Plan]]</f>
        <v>0</v>
      </c>
      <c r="AG515">
        <f>IF(DB_STProjectAcct[[#This Row],[Plan]]&lt;&gt;0,DB_STProjectAcct[[#This Row],[Actual]]/DB_STProjectAcct[[#This Row],[Plan]],1.000011000011)</f>
        <v>1.0000110000110001</v>
      </c>
    </row>
    <row r="516" spans="1:33" hidden="1" x14ac:dyDescent="0.2">
      <c r="A516" t="s">
        <v>1503</v>
      </c>
      <c r="B516" t="s">
        <v>350</v>
      </c>
      <c r="C516" t="s">
        <v>526</v>
      </c>
      <c r="D516" t="s">
        <v>995</v>
      </c>
      <c r="E516" t="s">
        <v>140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1013.498</v>
      </c>
      <c r="L516">
        <v>1013.4979999999999</v>
      </c>
      <c r="M516">
        <v>1013.498</v>
      </c>
      <c r="N516">
        <v>1013.498</v>
      </c>
      <c r="O516">
        <v>1013.498</v>
      </c>
      <c r="P516">
        <v>1013.498</v>
      </c>
      <c r="Q516">
        <v>1013.4979999999999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 s="297">
        <v>0</v>
      </c>
      <c r="AD516">
        <f>SUMPRODUCT(DB_STProjectAcct[[#This Row],[Plan01]:[Plan12]],$F$14:$Q$14)/valUnits2</f>
        <v>1.013498</v>
      </c>
      <c r="AE516">
        <f>SUMPRODUCT(DB_STProjectAcct[[#This Row],[Act01]:[Act12]],$R$14:$AC$14)/valUnits2</f>
        <v>0</v>
      </c>
      <c r="AF516">
        <f>DB_STProjectAcct[[#This Row],[Actual]]-DB_STProjectAcct[[#This Row],[Plan]]</f>
        <v>-1.013498</v>
      </c>
      <c r="AG516">
        <f>IF(DB_STProjectAcct[[#This Row],[Plan]]&lt;&gt;0,DB_STProjectAcct[[#This Row],[Actual]]/DB_STProjectAcct[[#This Row],[Plan]],1.000011000011)</f>
        <v>0</v>
      </c>
    </row>
    <row r="517" spans="1:33" hidden="1" x14ac:dyDescent="0.2">
      <c r="A517" t="s">
        <v>1504</v>
      </c>
      <c r="B517" t="s">
        <v>350</v>
      </c>
      <c r="C517" t="s">
        <v>526</v>
      </c>
      <c r="D517" t="s">
        <v>995</v>
      </c>
      <c r="E517" t="s">
        <v>236</v>
      </c>
      <c r="AC517" s="295"/>
      <c r="AD517">
        <f>SUMPRODUCT(DB_STProjectAcct[[#This Row],[Plan01]:[Plan12]],$F$14:$Q$14)/valUnits2</f>
        <v>0</v>
      </c>
      <c r="AE517">
        <f>SUMPRODUCT(DB_STProjectAcct[[#This Row],[Act01]:[Act12]],$R$14:$AC$14)/valUnits2</f>
        <v>0</v>
      </c>
      <c r="AF517">
        <f>DB_STProjectAcct[[#This Row],[Actual]]-DB_STProjectAcct[[#This Row],[Plan]]</f>
        <v>0</v>
      </c>
      <c r="AG517">
        <f>IF(DB_STProjectAcct[[#This Row],[Plan]]&lt;&gt;0,DB_STProjectAcct[[#This Row],[Actual]]/DB_STProjectAcct[[#This Row],[Plan]],1.000011000011)</f>
        <v>1.0000110000110001</v>
      </c>
    </row>
    <row r="518" spans="1:33" hidden="1" x14ac:dyDescent="0.2">
      <c r="A518" t="s">
        <v>1505</v>
      </c>
      <c r="B518" t="s">
        <v>350</v>
      </c>
      <c r="C518" t="s">
        <v>526</v>
      </c>
      <c r="D518" t="s">
        <v>995</v>
      </c>
      <c r="E518" t="s">
        <v>237</v>
      </c>
      <c r="H518">
        <v>0</v>
      </c>
      <c r="I518">
        <v>0</v>
      </c>
      <c r="J518">
        <v>0</v>
      </c>
      <c r="T518">
        <v>0</v>
      </c>
      <c r="U518">
        <v>0</v>
      </c>
      <c r="V518">
        <v>0</v>
      </c>
      <c r="AC518" s="297"/>
      <c r="AD518">
        <f>SUMPRODUCT(DB_STProjectAcct[[#This Row],[Plan01]:[Plan12]],$F$14:$Q$14)/valUnits2</f>
        <v>0</v>
      </c>
      <c r="AE518">
        <f>SUMPRODUCT(DB_STProjectAcct[[#This Row],[Act01]:[Act12]],$R$14:$AC$14)/valUnits2</f>
        <v>0</v>
      </c>
      <c r="AF518">
        <f>DB_STProjectAcct[[#This Row],[Actual]]-DB_STProjectAcct[[#This Row],[Plan]]</f>
        <v>0</v>
      </c>
      <c r="AG518">
        <f>IF(DB_STProjectAcct[[#This Row],[Plan]]&lt;&gt;0,DB_STProjectAcct[[#This Row],[Actual]]/DB_STProjectAcct[[#This Row],[Plan]],1.000011000011)</f>
        <v>1.0000110000110001</v>
      </c>
    </row>
    <row r="519" spans="1:33" hidden="1" x14ac:dyDescent="0.2">
      <c r="A519" t="s">
        <v>1506</v>
      </c>
      <c r="B519" t="s">
        <v>350</v>
      </c>
      <c r="C519" t="s">
        <v>526</v>
      </c>
      <c r="D519" t="s">
        <v>995</v>
      </c>
      <c r="E519" t="s">
        <v>141</v>
      </c>
      <c r="AC519" s="295"/>
      <c r="AD519">
        <f>SUMPRODUCT(DB_STProjectAcct[[#This Row],[Plan01]:[Plan12]],$F$14:$Q$14)/valUnits2</f>
        <v>0</v>
      </c>
      <c r="AE519">
        <f>SUMPRODUCT(DB_STProjectAcct[[#This Row],[Act01]:[Act12]],$R$14:$AC$14)/valUnits2</f>
        <v>0</v>
      </c>
      <c r="AF519">
        <f>DB_STProjectAcct[[#This Row],[Actual]]-DB_STProjectAcct[[#This Row],[Plan]]</f>
        <v>0</v>
      </c>
      <c r="AG519">
        <f>IF(DB_STProjectAcct[[#This Row],[Plan]]&lt;&gt;0,DB_STProjectAcct[[#This Row],[Actual]]/DB_STProjectAcct[[#This Row],[Plan]],1.000011000011)</f>
        <v>1.0000110000110001</v>
      </c>
    </row>
    <row r="520" spans="1:33" hidden="1" x14ac:dyDescent="0.2">
      <c r="A520" t="s">
        <v>1507</v>
      </c>
      <c r="B520" t="s">
        <v>350</v>
      </c>
      <c r="C520" t="s">
        <v>527</v>
      </c>
      <c r="D520" t="s">
        <v>968</v>
      </c>
      <c r="E520" t="s">
        <v>143</v>
      </c>
      <c r="G520">
        <v>93740.099999999991</v>
      </c>
      <c r="H520">
        <v>49924.84</v>
      </c>
      <c r="I520">
        <v>-130542.99</v>
      </c>
      <c r="J520">
        <v>-1026.7660000000005</v>
      </c>
      <c r="K520">
        <v>0</v>
      </c>
      <c r="S520">
        <v>93731.200000000012</v>
      </c>
      <c r="T520">
        <v>48402.969999999994</v>
      </c>
      <c r="U520">
        <v>-129617.86</v>
      </c>
      <c r="V520">
        <v>-193.35</v>
      </c>
      <c r="W520">
        <v>-47.319999999999993</v>
      </c>
      <c r="AC520" s="297"/>
      <c r="AD520">
        <f>SUMPRODUCT(DB_STProjectAcct[[#This Row],[Plan01]:[Plan12]],$F$14:$Q$14)/valUnits2</f>
        <v>12.095183999999998</v>
      </c>
      <c r="AE520">
        <f>SUMPRODUCT(DB_STProjectAcct[[#This Row],[Act01]:[Act12]],$R$14:$AC$14)/valUnits2</f>
        <v>12.275640000000012</v>
      </c>
      <c r="AF520">
        <f>DB_STProjectAcct[[#This Row],[Actual]]-DB_STProjectAcct[[#This Row],[Plan]]</f>
        <v>0.18045600000001372</v>
      </c>
      <c r="AG520">
        <f>IF(DB_STProjectAcct[[#This Row],[Plan]]&lt;&gt;0,DB_STProjectAcct[[#This Row],[Actual]]/DB_STProjectAcct[[#This Row],[Plan]],1.000011000011)</f>
        <v>1.0149196572784684</v>
      </c>
    </row>
    <row r="521" spans="1:33" hidden="1" x14ac:dyDescent="0.2">
      <c r="A521" t="s">
        <v>1508</v>
      </c>
      <c r="B521" t="s">
        <v>350</v>
      </c>
      <c r="C521" t="s">
        <v>527</v>
      </c>
      <c r="D521" t="s">
        <v>968</v>
      </c>
      <c r="E521" t="s">
        <v>235</v>
      </c>
      <c r="G521">
        <v>49.59</v>
      </c>
      <c r="H521">
        <v>807.64</v>
      </c>
      <c r="I521">
        <v>1539.345</v>
      </c>
      <c r="J521">
        <v>-1818.83</v>
      </c>
      <c r="K521">
        <v>0</v>
      </c>
      <c r="S521">
        <v>58.49</v>
      </c>
      <c r="T521">
        <v>2574.0699999999997</v>
      </c>
      <c r="U521">
        <v>424.71000000000004</v>
      </c>
      <c r="V521">
        <v>-2489.44</v>
      </c>
      <c r="W521">
        <v>-61.34</v>
      </c>
      <c r="AC521" s="295"/>
      <c r="AD521">
        <f>SUMPRODUCT(DB_STProjectAcct[[#This Row],[Plan01]:[Plan12]],$F$14:$Q$14)/valUnits2</f>
        <v>0.57774499999999984</v>
      </c>
      <c r="AE521">
        <f>SUMPRODUCT(DB_STProjectAcct[[#This Row],[Act01]:[Act12]],$R$14:$AC$14)/valUnits2</f>
        <v>0.50648999999999944</v>
      </c>
      <c r="AF521">
        <f>DB_STProjectAcct[[#This Row],[Actual]]-DB_STProjectAcct[[#This Row],[Plan]]</f>
        <v>-7.1255000000000401E-2</v>
      </c>
      <c r="AG521">
        <f>IF(DB_STProjectAcct[[#This Row],[Plan]]&lt;&gt;0,DB_STProjectAcct[[#This Row],[Actual]]/DB_STProjectAcct[[#This Row],[Plan]],1.000011000011)</f>
        <v>0.87666704168794118</v>
      </c>
    </row>
    <row r="522" spans="1:33" hidden="1" x14ac:dyDescent="0.2">
      <c r="A522" t="s">
        <v>1509</v>
      </c>
      <c r="B522" t="s">
        <v>350</v>
      </c>
      <c r="C522" t="s">
        <v>527</v>
      </c>
      <c r="D522" t="s">
        <v>968</v>
      </c>
      <c r="E522" t="s">
        <v>144</v>
      </c>
      <c r="AC522" s="297"/>
      <c r="AD522">
        <f>SUMPRODUCT(DB_STProjectAcct[[#This Row],[Plan01]:[Plan12]],$F$14:$Q$14)/valUnits2</f>
        <v>0</v>
      </c>
      <c r="AE522">
        <f>SUMPRODUCT(DB_STProjectAcct[[#This Row],[Act01]:[Act12]],$R$14:$AC$14)/valUnits2</f>
        <v>0</v>
      </c>
      <c r="AF522">
        <f>DB_STProjectAcct[[#This Row],[Actual]]-DB_STProjectAcct[[#This Row],[Plan]]</f>
        <v>0</v>
      </c>
      <c r="AG522">
        <f>IF(DB_STProjectAcct[[#This Row],[Plan]]&lt;&gt;0,DB_STProjectAcct[[#This Row],[Actual]]/DB_STProjectAcct[[#This Row],[Plan]],1.000011000011)</f>
        <v>1.0000110000110001</v>
      </c>
    </row>
    <row r="523" spans="1:33" hidden="1" x14ac:dyDescent="0.2">
      <c r="A523" t="s">
        <v>1510</v>
      </c>
      <c r="B523" t="s">
        <v>350</v>
      </c>
      <c r="C523" t="s">
        <v>527</v>
      </c>
      <c r="D523" t="s">
        <v>968</v>
      </c>
      <c r="E523" t="s">
        <v>142</v>
      </c>
      <c r="AC523" s="295"/>
      <c r="AD523">
        <f>SUMPRODUCT(DB_STProjectAcct[[#This Row],[Plan01]:[Plan12]],$F$14:$Q$14)/valUnits2</f>
        <v>0</v>
      </c>
      <c r="AE523">
        <f>SUMPRODUCT(DB_STProjectAcct[[#This Row],[Act01]:[Act12]],$R$14:$AC$14)/valUnits2</f>
        <v>0</v>
      </c>
      <c r="AF523">
        <f>DB_STProjectAcct[[#This Row],[Actual]]-DB_STProjectAcct[[#This Row],[Plan]]</f>
        <v>0</v>
      </c>
      <c r="AG523">
        <f>IF(DB_STProjectAcct[[#This Row],[Plan]]&lt;&gt;0,DB_STProjectAcct[[#This Row],[Actual]]/DB_STProjectAcct[[#This Row],[Plan]],1.000011000011)</f>
        <v>1.0000110000110001</v>
      </c>
    </row>
    <row r="524" spans="1:33" hidden="1" x14ac:dyDescent="0.2">
      <c r="A524" t="s">
        <v>1511</v>
      </c>
      <c r="B524" t="s">
        <v>350</v>
      </c>
      <c r="C524" t="s">
        <v>527</v>
      </c>
      <c r="D524" t="s">
        <v>968</v>
      </c>
      <c r="E524" t="s">
        <v>140</v>
      </c>
      <c r="F524">
        <v>0</v>
      </c>
      <c r="G524">
        <v>8667.7099999999991</v>
      </c>
      <c r="H524">
        <v>10927.69</v>
      </c>
      <c r="I524">
        <v>-17916.911</v>
      </c>
      <c r="J524">
        <v>2447.41</v>
      </c>
      <c r="K524">
        <v>5609.5989999999993</v>
      </c>
      <c r="L524">
        <v>5609.5990000000002</v>
      </c>
      <c r="M524">
        <v>5609.5990000000002</v>
      </c>
      <c r="N524">
        <v>5609.5990000000002</v>
      </c>
      <c r="O524">
        <v>5609.5990000000002</v>
      </c>
      <c r="P524">
        <v>5609.5990000000011</v>
      </c>
      <c r="Q524">
        <v>5609.5990000000011</v>
      </c>
      <c r="R524">
        <v>0</v>
      </c>
      <c r="S524">
        <v>8667.7099999999991</v>
      </c>
      <c r="T524">
        <v>10927.69</v>
      </c>
      <c r="U524">
        <v>-17917.100000000002</v>
      </c>
      <c r="V524">
        <v>2447.41</v>
      </c>
      <c r="W524">
        <v>-190.64999999999998</v>
      </c>
      <c r="X524">
        <v>0</v>
      </c>
      <c r="Y524">
        <v>0</v>
      </c>
      <c r="Z524">
        <v>0</v>
      </c>
      <c r="AA524">
        <v>0</v>
      </c>
      <c r="AB524">
        <v>0</v>
      </c>
      <c r="AC524" s="297">
        <v>0</v>
      </c>
      <c r="AD524">
        <f>SUMPRODUCT(DB_STProjectAcct[[#This Row],[Plan01]:[Plan12]],$F$14:$Q$14)/valUnits2</f>
        <v>9.7354979999999998</v>
      </c>
      <c r="AE524">
        <f>SUMPRODUCT(DB_STProjectAcct[[#This Row],[Act01]:[Act12]],$R$14:$AC$14)/valUnits2</f>
        <v>3.9350599999999991</v>
      </c>
      <c r="AF524">
        <f>DB_STProjectAcct[[#This Row],[Actual]]-DB_STProjectAcct[[#This Row],[Plan]]</f>
        <v>-5.8004380000000006</v>
      </c>
      <c r="AG524">
        <f>IF(DB_STProjectAcct[[#This Row],[Plan]]&lt;&gt;0,DB_STProjectAcct[[#This Row],[Actual]]/DB_STProjectAcct[[#This Row],[Plan]],1.000011000011)</f>
        <v>0.40419709397505904</v>
      </c>
    </row>
    <row r="525" spans="1:33" hidden="1" x14ac:dyDescent="0.2">
      <c r="A525" t="s">
        <v>1512</v>
      </c>
      <c r="B525" t="s">
        <v>350</v>
      </c>
      <c r="C525" t="s">
        <v>527</v>
      </c>
      <c r="D525" t="s">
        <v>968</v>
      </c>
      <c r="E525" t="s">
        <v>236</v>
      </c>
      <c r="F525">
        <v>1177.9369999999999</v>
      </c>
      <c r="G525">
        <v>1178.077</v>
      </c>
      <c r="H525">
        <v>2729.9070000000002</v>
      </c>
      <c r="I525">
        <v>7.976999999999844</v>
      </c>
      <c r="J525">
        <v>1012.0769999999999</v>
      </c>
      <c r="K525">
        <v>1166.6669999999999</v>
      </c>
      <c r="L525">
        <v>1166.6669999999999</v>
      </c>
      <c r="M525">
        <v>1166.6669999999999</v>
      </c>
      <c r="N525">
        <v>1166.6669999999999</v>
      </c>
      <c r="O525">
        <v>1166.6669999999999</v>
      </c>
      <c r="P525">
        <v>1166.6669999999999</v>
      </c>
      <c r="Q525">
        <v>1166.6669999999999</v>
      </c>
      <c r="R525">
        <v>11.27</v>
      </c>
      <c r="S525">
        <v>11.41</v>
      </c>
      <c r="T525">
        <v>1563.24</v>
      </c>
      <c r="U525">
        <v>-1158.69</v>
      </c>
      <c r="V525">
        <v>-154.58999999999997</v>
      </c>
      <c r="W525">
        <v>263.04999999999995</v>
      </c>
      <c r="X525">
        <v>0</v>
      </c>
      <c r="Y525">
        <v>0</v>
      </c>
      <c r="Z525">
        <v>0</v>
      </c>
      <c r="AA525">
        <v>0</v>
      </c>
      <c r="AB525">
        <v>0</v>
      </c>
      <c r="AC525" s="295">
        <v>0</v>
      </c>
      <c r="AD525">
        <f>SUMPRODUCT(DB_STProjectAcct[[#This Row],[Plan01]:[Plan12]],$F$14:$Q$14)/valUnits2</f>
        <v>7.2726419999999994</v>
      </c>
      <c r="AE525">
        <f>SUMPRODUCT(DB_STProjectAcct[[#This Row],[Act01]:[Act12]],$R$14:$AC$14)/valUnits2</f>
        <v>0.53569</v>
      </c>
      <c r="AF525">
        <f>DB_STProjectAcct[[#This Row],[Actual]]-DB_STProjectAcct[[#This Row],[Plan]]</f>
        <v>-6.7369519999999996</v>
      </c>
      <c r="AG525">
        <f>IF(DB_STProjectAcct[[#This Row],[Plan]]&lt;&gt;0,DB_STProjectAcct[[#This Row],[Actual]]/DB_STProjectAcct[[#This Row],[Plan]],1.000011000011)</f>
        <v>7.3658238642848095E-2</v>
      </c>
    </row>
    <row r="526" spans="1:33" hidden="1" x14ac:dyDescent="0.2">
      <c r="A526" t="s">
        <v>1513</v>
      </c>
      <c r="B526" t="s">
        <v>350</v>
      </c>
      <c r="C526" t="s">
        <v>527</v>
      </c>
      <c r="D526" t="s">
        <v>968</v>
      </c>
      <c r="E526" t="s">
        <v>237</v>
      </c>
      <c r="G526">
        <v>16.53</v>
      </c>
      <c r="H526">
        <v>12860.33</v>
      </c>
      <c r="I526">
        <v>-12237.110000000002</v>
      </c>
      <c r="J526">
        <v>10246.359999999999</v>
      </c>
      <c r="K526">
        <v>0</v>
      </c>
      <c r="S526">
        <v>16.53</v>
      </c>
      <c r="T526">
        <v>12860.33</v>
      </c>
      <c r="U526">
        <v>-12237.11</v>
      </c>
      <c r="V526">
        <v>10246.36</v>
      </c>
      <c r="W526">
        <v>-312.21999999999991</v>
      </c>
      <c r="AC526" s="297"/>
      <c r="AD526">
        <f>SUMPRODUCT(DB_STProjectAcct[[#This Row],[Plan01]:[Plan12]],$F$14:$Q$14)/valUnits2</f>
        <v>10.886109999999997</v>
      </c>
      <c r="AE526">
        <f>SUMPRODUCT(DB_STProjectAcct[[#This Row],[Act01]:[Act12]],$R$14:$AC$14)/valUnits2</f>
        <v>10.57389</v>
      </c>
      <c r="AF526">
        <f>DB_STProjectAcct[[#This Row],[Actual]]-DB_STProjectAcct[[#This Row],[Plan]]</f>
        <v>-0.31221999999999639</v>
      </c>
      <c r="AG526">
        <f>IF(DB_STProjectAcct[[#This Row],[Plan]]&lt;&gt;0,DB_STProjectAcct[[#This Row],[Actual]]/DB_STProjectAcct[[#This Row],[Plan]],1.000011000011)</f>
        <v>0.97131941529159671</v>
      </c>
    </row>
    <row r="527" spans="1:33" hidden="1" x14ac:dyDescent="0.2">
      <c r="A527" t="s">
        <v>1514</v>
      </c>
      <c r="B527" t="s">
        <v>350</v>
      </c>
      <c r="C527" t="s">
        <v>527</v>
      </c>
      <c r="D527" t="s">
        <v>968</v>
      </c>
      <c r="E527" t="s">
        <v>141</v>
      </c>
      <c r="F527">
        <v>16.41</v>
      </c>
      <c r="G527">
        <v>593.12</v>
      </c>
      <c r="H527">
        <v>3053.886</v>
      </c>
      <c r="I527">
        <v>2602.3159999999998</v>
      </c>
      <c r="J527">
        <v>2425.768</v>
      </c>
      <c r="K527">
        <v>0</v>
      </c>
      <c r="R527">
        <v>16.41</v>
      </c>
      <c r="S527">
        <v>593.11999999999989</v>
      </c>
      <c r="T527">
        <v>3053.95</v>
      </c>
      <c r="U527">
        <v>2601.8799999999997</v>
      </c>
      <c r="V527">
        <v>2426.63</v>
      </c>
      <c r="W527">
        <v>-1064.7900000000002</v>
      </c>
      <c r="AC527" s="295"/>
      <c r="AD527">
        <f>SUMPRODUCT(DB_STProjectAcct[[#This Row],[Plan01]:[Plan12]],$F$14:$Q$14)/valUnits2</f>
        <v>8.6914999999999996</v>
      </c>
      <c r="AE527">
        <f>SUMPRODUCT(DB_STProjectAcct[[#This Row],[Act01]:[Act12]],$R$14:$AC$14)/valUnits2</f>
        <v>7.6271999999999984</v>
      </c>
      <c r="AF527">
        <f>DB_STProjectAcct[[#This Row],[Actual]]-DB_STProjectAcct[[#This Row],[Plan]]</f>
        <v>-1.0643000000000011</v>
      </c>
      <c r="AG527">
        <f>IF(DB_STProjectAcct[[#This Row],[Plan]]&lt;&gt;0,DB_STProjectAcct[[#This Row],[Actual]]/DB_STProjectAcct[[#This Row],[Plan]],1.000011000011)</f>
        <v>0.87754702870620704</v>
      </c>
    </row>
    <row r="528" spans="1:33" hidden="1" x14ac:dyDescent="0.2">
      <c r="A528" t="s">
        <v>1515</v>
      </c>
      <c r="B528" t="s">
        <v>350</v>
      </c>
      <c r="C528" t="s">
        <v>528</v>
      </c>
      <c r="D528" t="s">
        <v>941</v>
      </c>
      <c r="E528" t="s">
        <v>143</v>
      </c>
      <c r="AC528" s="297"/>
      <c r="AD528">
        <f>SUMPRODUCT(DB_STProjectAcct[[#This Row],[Plan01]:[Plan12]],$F$14:$Q$14)/valUnits2</f>
        <v>0</v>
      </c>
      <c r="AE528">
        <f>SUMPRODUCT(DB_STProjectAcct[[#This Row],[Act01]:[Act12]],$R$14:$AC$14)/valUnits2</f>
        <v>0</v>
      </c>
      <c r="AF528">
        <f>DB_STProjectAcct[[#This Row],[Actual]]-DB_STProjectAcct[[#This Row],[Plan]]</f>
        <v>0</v>
      </c>
      <c r="AG528">
        <f>IF(DB_STProjectAcct[[#This Row],[Plan]]&lt;&gt;0,DB_STProjectAcct[[#This Row],[Actual]]/DB_STProjectAcct[[#This Row],[Plan]],1.000011000011)</f>
        <v>1.0000110000110001</v>
      </c>
    </row>
    <row r="529" spans="1:33" hidden="1" x14ac:dyDescent="0.2">
      <c r="A529" t="s">
        <v>1516</v>
      </c>
      <c r="B529" t="s">
        <v>350</v>
      </c>
      <c r="C529" t="s">
        <v>528</v>
      </c>
      <c r="D529" t="s">
        <v>941</v>
      </c>
      <c r="E529" t="s">
        <v>235</v>
      </c>
      <c r="F529">
        <v>0</v>
      </c>
      <c r="G529">
        <v>0</v>
      </c>
      <c r="H529">
        <v>19.739999999999998</v>
      </c>
      <c r="I529">
        <v>51.7</v>
      </c>
      <c r="J529">
        <v>69.548000000000002</v>
      </c>
      <c r="K529">
        <v>0</v>
      </c>
      <c r="R529">
        <v>0</v>
      </c>
      <c r="S529">
        <v>0</v>
      </c>
      <c r="T529">
        <v>19.739999999999998</v>
      </c>
      <c r="U529">
        <v>51.7</v>
      </c>
      <c r="V529">
        <v>68.98</v>
      </c>
      <c r="W529">
        <v>13.55</v>
      </c>
      <c r="AC529" s="295"/>
      <c r="AD529">
        <f>SUMPRODUCT(DB_STProjectAcct[[#This Row],[Plan01]:[Plan12]],$F$14:$Q$14)/valUnits2</f>
        <v>0.140988</v>
      </c>
      <c r="AE529">
        <f>SUMPRODUCT(DB_STProjectAcct[[#This Row],[Act01]:[Act12]],$R$14:$AC$14)/valUnits2</f>
        <v>0.15397000000000002</v>
      </c>
      <c r="AF529">
        <f>DB_STProjectAcct[[#This Row],[Actual]]-DB_STProjectAcct[[#This Row],[Plan]]</f>
        <v>1.2982000000000021E-2</v>
      </c>
      <c r="AG529">
        <f>IF(DB_STProjectAcct[[#This Row],[Plan]]&lt;&gt;0,DB_STProjectAcct[[#This Row],[Actual]]/DB_STProjectAcct[[#This Row],[Plan]],1.000011000011)</f>
        <v>1.0920787584758989</v>
      </c>
    </row>
    <row r="530" spans="1:33" hidden="1" x14ac:dyDescent="0.2">
      <c r="A530" t="s">
        <v>1517</v>
      </c>
      <c r="B530" t="s">
        <v>350</v>
      </c>
      <c r="C530" t="s">
        <v>528</v>
      </c>
      <c r="D530" t="s">
        <v>941</v>
      </c>
      <c r="E530" t="s">
        <v>144</v>
      </c>
      <c r="AC530" s="297"/>
      <c r="AD530">
        <f>SUMPRODUCT(DB_STProjectAcct[[#This Row],[Plan01]:[Plan12]],$F$14:$Q$14)/valUnits2</f>
        <v>0</v>
      </c>
      <c r="AE530">
        <f>SUMPRODUCT(DB_STProjectAcct[[#This Row],[Act01]:[Act12]],$R$14:$AC$14)/valUnits2</f>
        <v>0</v>
      </c>
      <c r="AF530">
        <f>DB_STProjectAcct[[#This Row],[Actual]]-DB_STProjectAcct[[#This Row],[Plan]]</f>
        <v>0</v>
      </c>
      <c r="AG530">
        <f>IF(DB_STProjectAcct[[#This Row],[Plan]]&lt;&gt;0,DB_STProjectAcct[[#This Row],[Actual]]/DB_STProjectAcct[[#This Row],[Plan]],1.000011000011)</f>
        <v>1.0000110000110001</v>
      </c>
    </row>
    <row r="531" spans="1:33" hidden="1" x14ac:dyDescent="0.2">
      <c r="A531" t="s">
        <v>1518</v>
      </c>
      <c r="B531" t="s">
        <v>350</v>
      </c>
      <c r="C531" t="s">
        <v>528</v>
      </c>
      <c r="D531" t="s">
        <v>941</v>
      </c>
      <c r="E531" t="s">
        <v>142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 s="295">
        <v>0</v>
      </c>
      <c r="AD531">
        <f>SUMPRODUCT(DB_STProjectAcct[[#This Row],[Plan01]:[Plan12]],$F$14:$Q$14)/valUnits2</f>
        <v>0</v>
      </c>
      <c r="AE531">
        <f>SUMPRODUCT(DB_STProjectAcct[[#This Row],[Act01]:[Act12]],$R$14:$AC$14)/valUnits2</f>
        <v>0</v>
      </c>
      <c r="AF531">
        <f>DB_STProjectAcct[[#This Row],[Actual]]-DB_STProjectAcct[[#This Row],[Plan]]</f>
        <v>0</v>
      </c>
      <c r="AG531">
        <f>IF(DB_STProjectAcct[[#This Row],[Plan]]&lt;&gt;0,DB_STProjectAcct[[#This Row],[Actual]]/DB_STProjectAcct[[#This Row],[Plan]],1.000011000011)</f>
        <v>1.0000110000110001</v>
      </c>
    </row>
    <row r="532" spans="1:33" hidden="1" x14ac:dyDescent="0.2">
      <c r="A532" t="s">
        <v>1519</v>
      </c>
      <c r="B532" t="s">
        <v>350</v>
      </c>
      <c r="C532" t="s">
        <v>528</v>
      </c>
      <c r="D532" t="s">
        <v>941</v>
      </c>
      <c r="E532" t="s">
        <v>140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83.1</v>
      </c>
      <c r="AC532" s="297"/>
      <c r="AD532">
        <f>SUMPRODUCT(DB_STProjectAcct[[#This Row],[Plan01]:[Plan12]],$F$14:$Q$14)/valUnits2</f>
        <v>0</v>
      </c>
      <c r="AE532">
        <f>SUMPRODUCT(DB_STProjectAcct[[#This Row],[Act01]:[Act12]],$R$14:$AC$14)/valUnits2</f>
        <v>8.3099999999999993E-2</v>
      </c>
      <c r="AF532">
        <f>DB_STProjectAcct[[#This Row],[Actual]]-DB_STProjectAcct[[#This Row],[Plan]]</f>
        <v>8.3099999999999993E-2</v>
      </c>
      <c r="AG532">
        <f>IF(DB_STProjectAcct[[#This Row],[Plan]]&lt;&gt;0,DB_STProjectAcct[[#This Row],[Actual]]/DB_STProjectAcct[[#This Row],[Plan]],1.000011000011)</f>
        <v>1.0000110000110001</v>
      </c>
    </row>
    <row r="533" spans="1:33" hidden="1" x14ac:dyDescent="0.2">
      <c r="A533" t="s">
        <v>1520</v>
      </c>
      <c r="B533" t="s">
        <v>350</v>
      </c>
      <c r="C533" t="s">
        <v>528</v>
      </c>
      <c r="D533" t="s">
        <v>941</v>
      </c>
      <c r="E533" t="s">
        <v>236</v>
      </c>
      <c r="F533">
        <v>0</v>
      </c>
      <c r="I533">
        <v>0</v>
      </c>
      <c r="L533">
        <v>0</v>
      </c>
      <c r="O533">
        <v>0</v>
      </c>
      <c r="R533">
        <v>0</v>
      </c>
      <c r="U533">
        <v>0</v>
      </c>
      <c r="X533">
        <v>0</v>
      </c>
      <c r="AA533">
        <v>0</v>
      </c>
      <c r="AC533" s="295"/>
      <c r="AD533">
        <f>SUMPRODUCT(DB_STProjectAcct[[#This Row],[Plan01]:[Plan12]],$F$14:$Q$14)/valUnits2</f>
        <v>0</v>
      </c>
      <c r="AE533">
        <f>SUMPRODUCT(DB_STProjectAcct[[#This Row],[Act01]:[Act12]],$R$14:$AC$14)/valUnits2</f>
        <v>0</v>
      </c>
      <c r="AF533">
        <f>DB_STProjectAcct[[#This Row],[Actual]]-DB_STProjectAcct[[#This Row],[Plan]]</f>
        <v>0</v>
      </c>
      <c r="AG533">
        <f>IF(DB_STProjectAcct[[#This Row],[Plan]]&lt;&gt;0,DB_STProjectAcct[[#This Row],[Actual]]/DB_STProjectAcct[[#This Row],[Plan]],1.000011000011)</f>
        <v>1.0000110000110001</v>
      </c>
    </row>
    <row r="534" spans="1:33" hidden="1" x14ac:dyDescent="0.2">
      <c r="A534" t="s">
        <v>1521</v>
      </c>
      <c r="B534" t="s">
        <v>350</v>
      </c>
      <c r="C534" t="s">
        <v>528</v>
      </c>
      <c r="D534" t="s">
        <v>941</v>
      </c>
      <c r="E534" t="s">
        <v>237</v>
      </c>
      <c r="K534">
        <v>0</v>
      </c>
      <c r="W534">
        <v>0</v>
      </c>
      <c r="AC534" s="297"/>
      <c r="AD534">
        <f>SUMPRODUCT(DB_STProjectAcct[[#This Row],[Plan01]:[Plan12]],$F$14:$Q$14)/valUnits2</f>
        <v>0</v>
      </c>
      <c r="AE534">
        <f>SUMPRODUCT(DB_STProjectAcct[[#This Row],[Act01]:[Act12]],$R$14:$AC$14)/valUnits2</f>
        <v>0</v>
      </c>
      <c r="AF534">
        <f>DB_STProjectAcct[[#This Row],[Actual]]-DB_STProjectAcct[[#This Row],[Plan]]</f>
        <v>0</v>
      </c>
      <c r="AG534">
        <f>IF(DB_STProjectAcct[[#This Row],[Plan]]&lt;&gt;0,DB_STProjectAcct[[#This Row],[Actual]]/DB_STProjectAcct[[#This Row],[Plan]],1.000011000011)</f>
        <v>1.0000110000110001</v>
      </c>
    </row>
    <row r="535" spans="1:33" hidden="1" x14ac:dyDescent="0.2">
      <c r="A535" t="s">
        <v>1522</v>
      </c>
      <c r="B535" t="s">
        <v>350</v>
      </c>
      <c r="C535" t="s">
        <v>528</v>
      </c>
      <c r="D535" t="s">
        <v>941</v>
      </c>
      <c r="E535" t="s">
        <v>141</v>
      </c>
      <c r="F535">
        <v>362.40800000000002</v>
      </c>
      <c r="G535">
        <v>371.08700000000005</v>
      </c>
      <c r="H535">
        <v>1446.9960000000001</v>
      </c>
      <c r="I535">
        <v>295.89</v>
      </c>
      <c r="J535">
        <v>229.041</v>
      </c>
      <c r="K535">
        <v>295.84000000000003</v>
      </c>
      <c r="L535">
        <v>295.84000000000003</v>
      </c>
      <c r="M535">
        <v>295.84000000000003</v>
      </c>
      <c r="N535">
        <v>295.83999999999997</v>
      </c>
      <c r="O535">
        <v>295.84000000000003</v>
      </c>
      <c r="P535">
        <v>295.83999999999997</v>
      </c>
      <c r="Q535">
        <v>295.84000000000003</v>
      </c>
      <c r="R535">
        <v>362.42</v>
      </c>
      <c r="S535">
        <v>369.39</v>
      </c>
      <c r="T535">
        <v>1439.32</v>
      </c>
      <c r="U535">
        <v>295.89</v>
      </c>
      <c r="V535">
        <v>228.67</v>
      </c>
      <c r="W535">
        <v>515.65000000000009</v>
      </c>
      <c r="X535">
        <v>0</v>
      </c>
      <c r="Y535">
        <v>0</v>
      </c>
      <c r="Z535">
        <v>0</v>
      </c>
      <c r="AA535">
        <v>0</v>
      </c>
      <c r="AB535">
        <v>0</v>
      </c>
      <c r="AC535" s="295">
        <v>0</v>
      </c>
      <c r="AD535">
        <f>SUMPRODUCT(DB_STProjectAcct[[#This Row],[Plan01]:[Plan12]],$F$14:$Q$14)/valUnits2</f>
        <v>3.0012620000000001</v>
      </c>
      <c r="AE535">
        <f>SUMPRODUCT(DB_STProjectAcct[[#This Row],[Act01]:[Act12]],$R$14:$AC$14)/valUnits2</f>
        <v>3.2113400000000003</v>
      </c>
      <c r="AF535">
        <f>DB_STProjectAcct[[#This Row],[Actual]]-DB_STProjectAcct[[#This Row],[Plan]]</f>
        <v>0.21007800000000021</v>
      </c>
      <c r="AG535">
        <f>IF(DB_STProjectAcct[[#This Row],[Plan]]&lt;&gt;0,DB_STProjectAcct[[#This Row],[Actual]]/DB_STProjectAcct[[#This Row],[Plan]],1.000011000011)</f>
        <v>1.0699965547826216</v>
      </c>
    </row>
    <row r="536" spans="1:33" hidden="1" x14ac:dyDescent="0.2">
      <c r="A536" t="s">
        <v>529</v>
      </c>
      <c r="B536" t="s">
        <v>342</v>
      </c>
      <c r="C536" t="s">
        <v>490</v>
      </c>
      <c r="D536" t="s">
        <v>490</v>
      </c>
      <c r="E536" t="s">
        <v>143</v>
      </c>
      <c r="F536">
        <v>992.29500000000007</v>
      </c>
      <c r="G536">
        <v>1132.9669999999999</v>
      </c>
      <c r="H536">
        <v>292.53200000000004</v>
      </c>
      <c r="I536">
        <v>5509.9430000000002</v>
      </c>
      <c r="J536">
        <v>2139.4240000000004</v>
      </c>
      <c r="K536">
        <v>497.91700000000003</v>
      </c>
      <c r="L536">
        <v>21558.085000000003</v>
      </c>
      <c r="M536">
        <v>562.5</v>
      </c>
      <c r="N536">
        <v>497.91700000000003</v>
      </c>
      <c r="O536">
        <v>497.91700000000003</v>
      </c>
      <c r="P536">
        <v>497.91700000000003</v>
      </c>
      <c r="Q536">
        <v>497.91700000000003</v>
      </c>
      <c r="R536">
        <v>991.07</v>
      </c>
      <c r="S536">
        <v>1116.9299999999998</v>
      </c>
      <c r="T536">
        <v>466.89</v>
      </c>
      <c r="U536">
        <v>5052.34</v>
      </c>
      <c r="V536">
        <v>3280.48</v>
      </c>
      <c r="W536">
        <v>1557.59</v>
      </c>
      <c r="X536">
        <v>0</v>
      </c>
      <c r="Y536">
        <v>0</v>
      </c>
      <c r="Z536">
        <v>0</v>
      </c>
      <c r="AA536">
        <v>0</v>
      </c>
      <c r="AB536">
        <v>0</v>
      </c>
      <c r="AC536" s="297">
        <v>0</v>
      </c>
      <c r="AD536">
        <f>SUMPRODUCT(DB_STProjectAcct[[#This Row],[Plan01]:[Plan12]],$F$14:$Q$14)/valUnits2</f>
        <v>10.565078</v>
      </c>
      <c r="AE536">
        <f>SUMPRODUCT(DB_STProjectAcct[[#This Row],[Act01]:[Act12]],$R$14:$AC$14)/valUnits2</f>
        <v>12.465299999999999</v>
      </c>
      <c r="AF536">
        <f>DB_STProjectAcct[[#This Row],[Actual]]-DB_STProjectAcct[[#This Row],[Plan]]</f>
        <v>1.9002219999999994</v>
      </c>
      <c r="AG536">
        <f>IF(DB_STProjectAcct[[#This Row],[Plan]]&lt;&gt;0,DB_STProjectAcct[[#This Row],[Actual]]/DB_STProjectAcct[[#This Row],[Plan]],1.000011000011)</f>
        <v>1.1798587762437722</v>
      </c>
    </row>
    <row r="537" spans="1:33" hidden="1" x14ac:dyDescent="0.2">
      <c r="A537" t="s">
        <v>530</v>
      </c>
      <c r="B537" t="s">
        <v>342</v>
      </c>
      <c r="C537" t="s">
        <v>490</v>
      </c>
      <c r="D537" t="s">
        <v>490</v>
      </c>
      <c r="E537" t="s">
        <v>235</v>
      </c>
      <c r="F537">
        <v>2738.0940000000005</v>
      </c>
      <c r="G537">
        <v>2479.6580000000008</v>
      </c>
      <c r="H537">
        <v>2371.98</v>
      </c>
      <c r="I537">
        <v>9362.4359999999979</v>
      </c>
      <c r="J537">
        <v>2919.6539999999995</v>
      </c>
      <c r="K537">
        <v>1236.009</v>
      </c>
      <c r="L537">
        <v>2097.0169999999998</v>
      </c>
      <c r="M537">
        <v>1611.009</v>
      </c>
      <c r="N537">
        <v>1236.009</v>
      </c>
      <c r="O537">
        <v>1236.009</v>
      </c>
      <c r="P537">
        <v>1236.009</v>
      </c>
      <c r="Q537">
        <v>2097.0169999999998</v>
      </c>
      <c r="R537">
        <v>2717.8</v>
      </c>
      <c r="S537">
        <v>2521.4900000000002</v>
      </c>
      <c r="T537">
        <v>2397.5300000000002</v>
      </c>
      <c r="U537">
        <v>10074.98</v>
      </c>
      <c r="V537">
        <v>3029.2700000000004</v>
      </c>
      <c r="W537">
        <v>2644.99</v>
      </c>
      <c r="X537">
        <v>0</v>
      </c>
      <c r="Y537">
        <v>0</v>
      </c>
      <c r="Z537">
        <v>0</v>
      </c>
      <c r="AA537">
        <v>0</v>
      </c>
      <c r="AB537">
        <v>0</v>
      </c>
      <c r="AC537" s="295">
        <v>0</v>
      </c>
      <c r="AD537">
        <f>SUMPRODUCT(DB_STProjectAcct[[#This Row],[Plan01]:[Plan12]],$F$14:$Q$14)/valUnits2</f>
        <v>21.107830999999997</v>
      </c>
      <c r="AE537">
        <f>SUMPRODUCT(DB_STProjectAcct[[#This Row],[Act01]:[Act12]],$R$14:$AC$14)/valUnits2</f>
        <v>23.386060000000004</v>
      </c>
      <c r="AF537">
        <f>DB_STProjectAcct[[#This Row],[Actual]]-DB_STProjectAcct[[#This Row],[Plan]]</f>
        <v>2.2782290000000067</v>
      </c>
      <c r="AG537">
        <f>IF(DB_STProjectAcct[[#This Row],[Plan]]&lt;&gt;0,DB_STProjectAcct[[#This Row],[Actual]]/DB_STProjectAcct[[#This Row],[Plan]],1.000011000011)</f>
        <v>1.1079328804555999</v>
      </c>
    </row>
    <row r="538" spans="1:33" hidden="1" x14ac:dyDescent="0.2">
      <c r="A538" t="s">
        <v>531</v>
      </c>
      <c r="B538" t="s">
        <v>342</v>
      </c>
      <c r="C538" t="s">
        <v>490</v>
      </c>
      <c r="D538" t="s">
        <v>490</v>
      </c>
      <c r="E538" t="s">
        <v>144</v>
      </c>
      <c r="K538">
        <v>0</v>
      </c>
      <c r="W538">
        <v>2877.3</v>
      </c>
      <c r="AC538" s="297"/>
      <c r="AD538">
        <f>SUMPRODUCT(DB_STProjectAcct[[#This Row],[Plan01]:[Plan12]],$F$14:$Q$14)/valUnits2</f>
        <v>0</v>
      </c>
      <c r="AE538">
        <f>SUMPRODUCT(DB_STProjectAcct[[#This Row],[Act01]:[Act12]],$R$14:$AC$14)/valUnits2</f>
        <v>2.8773</v>
      </c>
      <c r="AF538">
        <f>DB_STProjectAcct[[#This Row],[Actual]]-DB_STProjectAcct[[#This Row],[Plan]]</f>
        <v>2.8773</v>
      </c>
      <c r="AG538">
        <f>IF(DB_STProjectAcct[[#This Row],[Plan]]&lt;&gt;0,DB_STProjectAcct[[#This Row],[Actual]]/DB_STProjectAcct[[#This Row],[Plan]],1.000011000011)</f>
        <v>1.0000110000110001</v>
      </c>
    </row>
    <row r="539" spans="1:33" hidden="1" x14ac:dyDescent="0.2">
      <c r="A539" t="s">
        <v>532</v>
      </c>
      <c r="B539" t="s">
        <v>342</v>
      </c>
      <c r="C539" t="s">
        <v>490</v>
      </c>
      <c r="D539" t="s">
        <v>490</v>
      </c>
      <c r="E539" t="s">
        <v>142</v>
      </c>
      <c r="F539">
        <v>1691.4289999999908</v>
      </c>
      <c r="G539">
        <v>508559.85600000003</v>
      </c>
      <c r="H539">
        <v>11555.425999999985</v>
      </c>
      <c r="I539">
        <v>116111.31900000003</v>
      </c>
      <c r="J539">
        <v>722373.63399999973</v>
      </c>
      <c r="K539">
        <v>291706.91700000002</v>
      </c>
      <c r="L539">
        <v>689901.37699999986</v>
      </c>
      <c r="M539">
        <v>346779.38099999999</v>
      </c>
      <c r="N539">
        <v>623024.29700000014</v>
      </c>
      <c r="O539">
        <v>572579.06199999992</v>
      </c>
      <c r="P539">
        <v>493248.37999999995</v>
      </c>
      <c r="Q539">
        <v>705515.603</v>
      </c>
      <c r="R539">
        <v>1691.1000000000174</v>
      </c>
      <c r="S539">
        <v>523640.52999999991</v>
      </c>
      <c r="T539">
        <v>11829.620000000014</v>
      </c>
      <c r="U539">
        <v>115826.22</v>
      </c>
      <c r="V539">
        <v>720175.58</v>
      </c>
      <c r="W539">
        <v>256326.2999999999</v>
      </c>
      <c r="X539">
        <v>0</v>
      </c>
      <c r="Y539">
        <v>0</v>
      </c>
      <c r="Z539">
        <v>0</v>
      </c>
      <c r="AA539">
        <v>0</v>
      </c>
      <c r="AB539">
        <v>0</v>
      </c>
      <c r="AC539" s="295">
        <v>0</v>
      </c>
      <c r="AD539">
        <f>SUMPRODUCT(DB_STProjectAcct[[#This Row],[Plan01]:[Plan12]],$F$14:$Q$14)/valUnits2</f>
        <v>1651.9985809999998</v>
      </c>
      <c r="AE539">
        <f>SUMPRODUCT(DB_STProjectAcct[[#This Row],[Act01]:[Act12]],$R$14:$AC$14)/valUnits2</f>
        <v>1629.4893499999996</v>
      </c>
      <c r="AF539">
        <f>DB_STProjectAcct[[#This Row],[Actual]]-DB_STProjectAcct[[#This Row],[Plan]]</f>
        <v>-22.509231000000227</v>
      </c>
      <c r="AG539">
        <f>IF(DB_STProjectAcct[[#This Row],[Plan]]&lt;&gt;0,DB_STProjectAcct[[#This Row],[Actual]]/DB_STProjectAcct[[#This Row],[Plan]],1.000011000011)</f>
        <v>0.98637454580234885</v>
      </c>
    </row>
    <row r="540" spans="1:33" hidden="1" x14ac:dyDescent="0.2">
      <c r="A540" t="s">
        <v>533</v>
      </c>
      <c r="B540" t="s">
        <v>342</v>
      </c>
      <c r="C540" t="s">
        <v>490</v>
      </c>
      <c r="D540" t="s">
        <v>490</v>
      </c>
      <c r="E540" t="s">
        <v>140</v>
      </c>
      <c r="F540">
        <v>32155.676000000003</v>
      </c>
      <c r="G540">
        <v>45657.025999999998</v>
      </c>
      <c r="H540">
        <v>50146.20900000001</v>
      </c>
      <c r="I540">
        <v>63789.114999999983</v>
      </c>
      <c r="J540">
        <v>56211.593000000008</v>
      </c>
      <c r="K540">
        <v>67808.303999999989</v>
      </c>
      <c r="L540">
        <v>73383.88</v>
      </c>
      <c r="M540">
        <v>67808.303999999989</v>
      </c>
      <c r="N540">
        <v>67808.304000000004</v>
      </c>
      <c r="O540">
        <v>98937.063999999998</v>
      </c>
      <c r="P540">
        <v>72656.397999999986</v>
      </c>
      <c r="Q540">
        <v>78116.5</v>
      </c>
      <c r="R540">
        <v>31955.37</v>
      </c>
      <c r="S540">
        <v>46061.439999999995</v>
      </c>
      <c r="T540">
        <v>50373.65</v>
      </c>
      <c r="U540">
        <v>63683.720000000016</v>
      </c>
      <c r="V540">
        <v>55996.889999999985</v>
      </c>
      <c r="W540">
        <v>58773.30999999999</v>
      </c>
      <c r="X540">
        <v>0</v>
      </c>
      <c r="Y540">
        <v>0</v>
      </c>
      <c r="Z540">
        <v>0</v>
      </c>
      <c r="AA540">
        <v>0</v>
      </c>
      <c r="AB540">
        <v>0</v>
      </c>
      <c r="AC540" s="297">
        <v>0</v>
      </c>
      <c r="AD540">
        <f>SUMPRODUCT(DB_STProjectAcct[[#This Row],[Plan01]:[Plan12]],$F$14:$Q$14)/valUnits2</f>
        <v>315.767923</v>
      </c>
      <c r="AE540">
        <f>SUMPRODUCT(DB_STProjectAcct[[#This Row],[Act01]:[Act12]],$R$14:$AC$14)/valUnits2</f>
        <v>306.84437999999994</v>
      </c>
      <c r="AF540">
        <f>DB_STProjectAcct[[#This Row],[Actual]]-DB_STProjectAcct[[#This Row],[Plan]]</f>
        <v>-8.923543000000052</v>
      </c>
      <c r="AG540">
        <f>IF(DB_STProjectAcct[[#This Row],[Plan]]&lt;&gt;0,DB_STProjectAcct[[#This Row],[Actual]]/DB_STProjectAcct[[#This Row],[Plan]],1.000011000011)</f>
        <v>0.97174018527524708</v>
      </c>
    </row>
    <row r="541" spans="1:33" hidden="1" x14ac:dyDescent="0.2">
      <c r="A541" t="s">
        <v>534</v>
      </c>
      <c r="B541" t="s">
        <v>342</v>
      </c>
      <c r="C541" t="s">
        <v>490</v>
      </c>
      <c r="D541" t="s">
        <v>490</v>
      </c>
      <c r="E541" t="s">
        <v>236</v>
      </c>
      <c r="F541">
        <v>31048.202999999998</v>
      </c>
      <c r="G541">
        <v>12334.933999999999</v>
      </c>
      <c r="H541">
        <v>28903.535000000003</v>
      </c>
      <c r="I541">
        <v>43966.933000000005</v>
      </c>
      <c r="J541">
        <v>20670.020000000004</v>
      </c>
      <c r="K541">
        <v>42044.769000000008</v>
      </c>
      <c r="L541">
        <v>49362.437000000005</v>
      </c>
      <c r="M541">
        <v>28199.681</v>
      </c>
      <c r="N541">
        <v>28130.655999999999</v>
      </c>
      <c r="O541">
        <v>17967.344000000001</v>
      </c>
      <c r="P541">
        <v>17967.344000000001</v>
      </c>
      <c r="Q541">
        <v>39187.046999999999</v>
      </c>
      <c r="R541">
        <v>19275.21</v>
      </c>
      <c r="S541">
        <v>918.73</v>
      </c>
      <c r="T541">
        <v>17488.149999999998</v>
      </c>
      <c r="U541">
        <v>32504.579999999998</v>
      </c>
      <c r="V541">
        <v>9257.8000000000011</v>
      </c>
      <c r="W541">
        <v>14583.939999999999</v>
      </c>
      <c r="X541">
        <v>0</v>
      </c>
      <c r="Y541">
        <v>0</v>
      </c>
      <c r="Z541">
        <v>0</v>
      </c>
      <c r="AA541">
        <v>0</v>
      </c>
      <c r="AB541">
        <v>0</v>
      </c>
      <c r="AC541" s="295">
        <v>0</v>
      </c>
      <c r="AD541">
        <f>SUMPRODUCT(DB_STProjectAcct[[#This Row],[Plan01]:[Plan12]],$F$14:$Q$14)/valUnits2</f>
        <v>178.96839399999999</v>
      </c>
      <c r="AE541">
        <f>SUMPRODUCT(DB_STProjectAcct[[#This Row],[Act01]:[Act12]],$R$14:$AC$14)/valUnits2</f>
        <v>94.028410000000008</v>
      </c>
      <c r="AF541">
        <f>DB_STProjectAcct[[#This Row],[Actual]]-DB_STProjectAcct[[#This Row],[Plan]]</f>
        <v>-84.939983999999981</v>
      </c>
      <c r="AG541">
        <f>IF(DB_STProjectAcct[[#This Row],[Plan]]&lt;&gt;0,DB_STProjectAcct[[#This Row],[Actual]]/DB_STProjectAcct[[#This Row],[Plan]],1.000011000011)</f>
        <v>0.52539114811523657</v>
      </c>
    </row>
    <row r="542" spans="1:33" hidden="1" x14ac:dyDescent="0.2">
      <c r="A542" t="s">
        <v>535</v>
      </c>
      <c r="B542" t="s">
        <v>342</v>
      </c>
      <c r="C542" t="s">
        <v>490</v>
      </c>
      <c r="D542" t="s">
        <v>490</v>
      </c>
      <c r="E542" t="s">
        <v>237</v>
      </c>
      <c r="F542">
        <v>-1034.184</v>
      </c>
      <c r="G542">
        <v>3132.7</v>
      </c>
      <c r="H542">
        <v>4249.9409999999998</v>
      </c>
      <c r="I542">
        <v>14073.74</v>
      </c>
      <c r="J542">
        <v>10204.664000000001</v>
      </c>
      <c r="K542">
        <v>0</v>
      </c>
      <c r="L542">
        <v>0</v>
      </c>
      <c r="O542">
        <v>0</v>
      </c>
      <c r="Q542">
        <v>11026.878000000001</v>
      </c>
      <c r="R542">
        <v>-1058.3900000000001</v>
      </c>
      <c r="S542">
        <v>3132.7</v>
      </c>
      <c r="T542">
        <v>4266.59</v>
      </c>
      <c r="U542">
        <v>14073.59</v>
      </c>
      <c r="V542">
        <v>10205.530000000001</v>
      </c>
      <c r="W542">
        <v>7173.49</v>
      </c>
      <c r="X542">
        <v>0</v>
      </c>
      <c r="AA542">
        <v>0</v>
      </c>
      <c r="AC542" s="297">
        <v>0</v>
      </c>
      <c r="AD542">
        <f>SUMPRODUCT(DB_STProjectAcct[[#This Row],[Plan01]:[Plan12]],$F$14:$Q$14)/valUnits2</f>
        <v>30.626861000000002</v>
      </c>
      <c r="AE542">
        <f>SUMPRODUCT(DB_STProjectAcct[[#This Row],[Act01]:[Act12]],$R$14:$AC$14)/valUnits2</f>
        <v>37.793509999999998</v>
      </c>
      <c r="AF542">
        <f>DB_STProjectAcct[[#This Row],[Actual]]-DB_STProjectAcct[[#This Row],[Plan]]</f>
        <v>7.1666489999999961</v>
      </c>
      <c r="AG542">
        <f>IF(DB_STProjectAcct[[#This Row],[Plan]]&lt;&gt;0,DB_STProjectAcct[[#This Row],[Actual]]/DB_STProjectAcct[[#This Row],[Plan]],1.000011000011)</f>
        <v>1.2339988090846135</v>
      </c>
    </row>
    <row r="543" spans="1:33" hidden="1" x14ac:dyDescent="0.2">
      <c r="A543" t="s">
        <v>536</v>
      </c>
      <c r="B543" t="s">
        <v>342</v>
      </c>
      <c r="C543" t="s">
        <v>490</v>
      </c>
      <c r="D543" t="s">
        <v>490</v>
      </c>
      <c r="E543" t="s">
        <v>141</v>
      </c>
      <c r="F543">
        <v>14933.928</v>
      </c>
      <c r="G543">
        <v>8438.4700000000012</v>
      </c>
      <c r="H543">
        <v>8246.3509999999987</v>
      </c>
      <c r="I543">
        <v>21360.659999999996</v>
      </c>
      <c r="J543">
        <v>18312.473999999998</v>
      </c>
      <c r="K543">
        <v>13313.875</v>
      </c>
      <c r="L543">
        <v>13532.442999999997</v>
      </c>
      <c r="M543">
        <v>14942.425999999999</v>
      </c>
      <c r="N543">
        <v>12567.425999999999</v>
      </c>
      <c r="O543">
        <v>12567.425999999999</v>
      </c>
      <c r="P543">
        <v>12567.425999999999</v>
      </c>
      <c r="Q543">
        <v>36134.277000000002</v>
      </c>
      <c r="R543">
        <v>14881.4</v>
      </c>
      <c r="S543">
        <v>8544.65</v>
      </c>
      <c r="T543">
        <v>8274.5499999999993</v>
      </c>
      <c r="U543">
        <v>21312.59</v>
      </c>
      <c r="V543">
        <v>18338.79</v>
      </c>
      <c r="W543">
        <v>8943.3600000000024</v>
      </c>
      <c r="X543">
        <v>0</v>
      </c>
      <c r="Y543">
        <v>0</v>
      </c>
      <c r="Z543">
        <v>0</v>
      </c>
      <c r="AA543">
        <v>0</v>
      </c>
      <c r="AB543">
        <v>0</v>
      </c>
      <c r="AC543" s="295">
        <v>0</v>
      </c>
      <c r="AD543">
        <f>SUMPRODUCT(DB_STProjectAcct[[#This Row],[Plan01]:[Plan12]],$F$14:$Q$14)/valUnits2</f>
        <v>84.605758000000009</v>
      </c>
      <c r="AE543">
        <f>SUMPRODUCT(DB_STProjectAcct[[#This Row],[Act01]:[Act12]],$R$14:$AC$14)/valUnits2</f>
        <v>80.29534000000001</v>
      </c>
      <c r="AF543">
        <f>DB_STProjectAcct[[#This Row],[Actual]]-DB_STProjectAcct[[#This Row],[Plan]]</f>
        <v>-4.3104179999999985</v>
      </c>
      <c r="AG543">
        <f>IF(DB_STProjectAcct[[#This Row],[Plan]]&lt;&gt;0,DB_STProjectAcct[[#This Row],[Actual]]/DB_STProjectAcct[[#This Row],[Plan]],1.000011000011)</f>
        <v>0.94905290015840293</v>
      </c>
    </row>
    <row r="544" spans="1:33" hidden="1" x14ac:dyDescent="0.2">
      <c r="A544" t="s">
        <v>537</v>
      </c>
      <c r="B544" t="s">
        <v>342</v>
      </c>
      <c r="C544" t="s">
        <v>491</v>
      </c>
      <c r="D544" t="s">
        <v>491</v>
      </c>
      <c r="E544" t="s">
        <v>143</v>
      </c>
      <c r="F544">
        <v>0</v>
      </c>
      <c r="G544">
        <v>0</v>
      </c>
      <c r="H544">
        <v>0</v>
      </c>
      <c r="I544">
        <v>65.245000000000005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-82.43</v>
      </c>
      <c r="S544">
        <v>0</v>
      </c>
      <c r="T544">
        <v>0</v>
      </c>
      <c r="U544">
        <v>65.540000000000006</v>
      </c>
      <c r="V544">
        <v>23.23</v>
      </c>
      <c r="W544">
        <v>-53.65</v>
      </c>
      <c r="X544">
        <v>0</v>
      </c>
      <c r="Y544">
        <v>0</v>
      </c>
      <c r="Z544">
        <v>0</v>
      </c>
      <c r="AA544">
        <v>0</v>
      </c>
      <c r="AB544">
        <v>0</v>
      </c>
      <c r="AC544" s="297">
        <v>0</v>
      </c>
      <c r="AD544">
        <f>SUMPRODUCT(DB_STProjectAcct[[#This Row],[Plan01]:[Plan12]],$F$14:$Q$14)/valUnits2</f>
        <v>6.5245000000000011E-2</v>
      </c>
      <c r="AE544">
        <f>SUMPRODUCT(DB_STProjectAcct[[#This Row],[Act01]:[Act12]],$R$14:$AC$14)/valUnits2</f>
        <v>-4.7310000000000005E-2</v>
      </c>
      <c r="AF544">
        <f>DB_STProjectAcct[[#This Row],[Actual]]-DB_STProjectAcct[[#This Row],[Plan]]</f>
        <v>-0.11255500000000002</v>
      </c>
      <c r="AG544">
        <f>IF(DB_STProjectAcct[[#This Row],[Plan]]&lt;&gt;0,DB_STProjectAcct[[#This Row],[Actual]]/DB_STProjectAcct[[#This Row],[Plan]],1.000011000011)</f>
        <v>-0.72511303548164607</v>
      </c>
    </row>
    <row r="545" spans="1:33" hidden="1" x14ac:dyDescent="0.2">
      <c r="A545" t="s">
        <v>538</v>
      </c>
      <c r="B545" t="s">
        <v>342</v>
      </c>
      <c r="C545" t="s">
        <v>491</v>
      </c>
      <c r="D545" t="s">
        <v>491</v>
      </c>
      <c r="E545" t="s">
        <v>235</v>
      </c>
      <c r="F545">
        <v>-3028.6579999999999</v>
      </c>
      <c r="G545">
        <v>57.567999999999998</v>
      </c>
      <c r="H545">
        <v>141.67400000000001</v>
      </c>
      <c r="I545">
        <v>161.203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-2819.95</v>
      </c>
      <c r="S545">
        <v>59.21</v>
      </c>
      <c r="T545">
        <v>144.47</v>
      </c>
      <c r="U545">
        <v>160.66</v>
      </c>
      <c r="V545">
        <v>0</v>
      </c>
      <c r="W545">
        <v>1075.95</v>
      </c>
      <c r="X545">
        <v>0</v>
      </c>
      <c r="Y545">
        <v>0</v>
      </c>
      <c r="Z545">
        <v>0</v>
      </c>
      <c r="AA545">
        <v>0</v>
      </c>
      <c r="AB545">
        <v>0</v>
      </c>
      <c r="AC545" s="295">
        <v>0</v>
      </c>
      <c r="AD545">
        <f>SUMPRODUCT(DB_STProjectAcct[[#This Row],[Plan01]:[Plan12]],$F$14:$Q$14)/valUnits2</f>
        <v>-2.6682129999999997</v>
      </c>
      <c r="AE545">
        <f>SUMPRODUCT(DB_STProjectAcct[[#This Row],[Act01]:[Act12]],$R$14:$AC$14)/valUnits2</f>
        <v>-1.3796600000000001</v>
      </c>
      <c r="AF545">
        <f>DB_STProjectAcct[[#This Row],[Actual]]-DB_STProjectAcct[[#This Row],[Plan]]</f>
        <v>1.2885529999999996</v>
      </c>
      <c r="AG545">
        <f>IF(DB_STProjectAcct[[#This Row],[Plan]]&lt;&gt;0,DB_STProjectAcct[[#This Row],[Actual]]/DB_STProjectAcct[[#This Row],[Plan]],1.000011000011)</f>
        <v>0.51707266248983885</v>
      </c>
    </row>
    <row r="546" spans="1:33" hidden="1" x14ac:dyDescent="0.2">
      <c r="A546" t="s">
        <v>539</v>
      </c>
      <c r="B546" t="s">
        <v>342</v>
      </c>
      <c r="C546" t="s">
        <v>491</v>
      </c>
      <c r="D546" t="s">
        <v>491</v>
      </c>
      <c r="E546" t="s">
        <v>144</v>
      </c>
      <c r="F546">
        <v>0</v>
      </c>
      <c r="R546">
        <v>-16797.669999999998</v>
      </c>
      <c r="AC546" s="297"/>
      <c r="AD546">
        <f>SUMPRODUCT(DB_STProjectAcct[[#This Row],[Plan01]:[Plan12]],$F$14:$Q$14)/valUnits2</f>
        <v>0</v>
      </c>
      <c r="AE546">
        <f>SUMPRODUCT(DB_STProjectAcct[[#This Row],[Act01]:[Act12]],$R$14:$AC$14)/valUnits2</f>
        <v>-16.797669999999997</v>
      </c>
      <c r="AF546">
        <f>DB_STProjectAcct[[#This Row],[Actual]]-DB_STProjectAcct[[#This Row],[Plan]]</f>
        <v>-16.797669999999997</v>
      </c>
      <c r="AG546">
        <f>IF(DB_STProjectAcct[[#This Row],[Plan]]&lt;&gt;0,DB_STProjectAcct[[#This Row],[Actual]]/DB_STProjectAcct[[#This Row],[Plan]],1.000011000011)</f>
        <v>1.0000110000110001</v>
      </c>
    </row>
    <row r="547" spans="1:33" hidden="1" x14ac:dyDescent="0.2">
      <c r="A547" t="s">
        <v>540</v>
      </c>
      <c r="B547" t="s">
        <v>342</v>
      </c>
      <c r="C547" t="s">
        <v>491</v>
      </c>
      <c r="D547" t="s">
        <v>491</v>
      </c>
      <c r="E547" t="s">
        <v>142</v>
      </c>
      <c r="F547">
        <v>241371.22400000002</v>
      </c>
      <c r="G547">
        <v>247889.38399999999</v>
      </c>
      <c r="H547">
        <v>190582.1889999999</v>
      </c>
      <c r="I547">
        <v>514633.83799999981</v>
      </c>
      <c r="J547">
        <v>215349.89199999999</v>
      </c>
      <c r="K547">
        <v>251965.57500000007</v>
      </c>
      <c r="L547">
        <v>267397.09499999991</v>
      </c>
      <c r="M547">
        <v>237016.30099999992</v>
      </c>
      <c r="N547">
        <v>232019.11599999998</v>
      </c>
      <c r="O547">
        <v>226597.90199999991</v>
      </c>
      <c r="P547">
        <v>243408.08099999995</v>
      </c>
      <c r="Q547">
        <v>210321.69600000008</v>
      </c>
      <c r="R547">
        <v>232247.05</v>
      </c>
      <c r="S547">
        <v>254691.21000000002</v>
      </c>
      <c r="T547">
        <v>182186.25999999989</v>
      </c>
      <c r="U547">
        <v>507205.82000000007</v>
      </c>
      <c r="V547">
        <v>204644.26999999993</v>
      </c>
      <c r="W547">
        <v>38857.500000000029</v>
      </c>
      <c r="X547">
        <v>53578.559999999998</v>
      </c>
      <c r="Y547">
        <v>0</v>
      </c>
      <c r="Z547">
        <v>0</v>
      </c>
      <c r="AA547">
        <v>0</v>
      </c>
      <c r="AB547">
        <v>0</v>
      </c>
      <c r="AC547" s="295">
        <v>0</v>
      </c>
      <c r="AD547">
        <f>SUMPRODUCT(DB_STProjectAcct[[#This Row],[Plan01]:[Plan12]],$F$14:$Q$14)/valUnits2</f>
        <v>1661.7921019999999</v>
      </c>
      <c r="AE547">
        <f>SUMPRODUCT(DB_STProjectAcct[[#This Row],[Act01]:[Act12]],$R$14:$AC$14)/valUnits2</f>
        <v>1419.8321099999998</v>
      </c>
      <c r="AF547">
        <f>DB_STProjectAcct[[#This Row],[Actual]]-DB_STProjectAcct[[#This Row],[Plan]]</f>
        <v>-241.95999200000006</v>
      </c>
      <c r="AG547">
        <f>IF(DB_STProjectAcct[[#This Row],[Plan]]&lt;&gt;0,DB_STProjectAcct[[#This Row],[Actual]]/DB_STProjectAcct[[#This Row],[Plan]],1.000011000011)</f>
        <v>0.85439815744171821</v>
      </c>
    </row>
    <row r="548" spans="1:33" hidden="1" x14ac:dyDescent="0.2">
      <c r="A548" t="s">
        <v>541</v>
      </c>
      <c r="B548" t="s">
        <v>342</v>
      </c>
      <c r="C548" t="s">
        <v>491</v>
      </c>
      <c r="D548" t="s">
        <v>491</v>
      </c>
      <c r="E548" t="s">
        <v>140</v>
      </c>
      <c r="F548">
        <v>14166.763000000001</v>
      </c>
      <c r="G548">
        <v>24846.916999999998</v>
      </c>
      <c r="H548">
        <v>23270.341999999993</v>
      </c>
      <c r="I548">
        <v>23864.327999999998</v>
      </c>
      <c r="J548">
        <v>25724.264000000003</v>
      </c>
      <c r="K548">
        <v>35150.170000000006</v>
      </c>
      <c r="L548">
        <v>35113.897000000004</v>
      </c>
      <c r="M548">
        <v>34993.107000000004</v>
      </c>
      <c r="N548">
        <v>34993.107000000004</v>
      </c>
      <c r="O548">
        <v>28548.131999999998</v>
      </c>
      <c r="P548">
        <v>28548.131999999998</v>
      </c>
      <c r="Q548">
        <v>28548.131999999998</v>
      </c>
      <c r="R548">
        <v>13721.11</v>
      </c>
      <c r="S548">
        <v>24963.26</v>
      </c>
      <c r="T548">
        <v>23155.670000000002</v>
      </c>
      <c r="U548">
        <v>23471.3</v>
      </c>
      <c r="V548">
        <v>24600.790000000008</v>
      </c>
      <c r="W548">
        <v>25181.61</v>
      </c>
      <c r="X548">
        <v>757</v>
      </c>
      <c r="Y548">
        <v>0</v>
      </c>
      <c r="Z548">
        <v>0</v>
      </c>
      <c r="AA548">
        <v>0</v>
      </c>
      <c r="AB548">
        <v>0</v>
      </c>
      <c r="AC548" s="297">
        <v>0</v>
      </c>
      <c r="AD548">
        <f>SUMPRODUCT(DB_STProjectAcct[[#This Row],[Plan01]:[Plan12]],$F$14:$Q$14)/valUnits2</f>
        <v>147.022784</v>
      </c>
      <c r="AE548">
        <f>SUMPRODUCT(DB_STProjectAcct[[#This Row],[Act01]:[Act12]],$R$14:$AC$14)/valUnits2</f>
        <v>135.09374</v>
      </c>
      <c r="AF548">
        <f>DB_STProjectAcct[[#This Row],[Actual]]-DB_STProjectAcct[[#This Row],[Plan]]</f>
        <v>-11.929044000000005</v>
      </c>
      <c r="AG548">
        <f>IF(DB_STProjectAcct[[#This Row],[Plan]]&lt;&gt;0,DB_STProjectAcct[[#This Row],[Actual]]/DB_STProjectAcct[[#This Row],[Plan]],1.000011000011)</f>
        <v>0.91886261655880486</v>
      </c>
    </row>
    <row r="549" spans="1:33" hidden="1" x14ac:dyDescent="0.2">
      <c r="A549" t="s">
        <v>542</v>
      </c>
      <c r="B549" t="s">
        <v>342</v>
      </c>
      <c r="C549" t="s">
        <v>491</v>
      </c>
      <c r="D549" t="s">
        <v>491</v>
      </c>
      <c r="E549" t="s">
        <v>236</v>
      </c>
      <c r="F549">
        <v>63370.282999999996</v>
      </c>
      <c r="G549">
        <v>16627.968000000001</v>
      </c>
      <c r="H549">
        <v>62327.1</v>
      </c>
      <c r="I549">
        <v>453.08600000000001</v>
      </c>
      <c r="J549">
        <v>4354.07</v>
      </c>
      <c r="K549">
        <v>214.041</v>
      </c>
      <c r="L549">
        <v>2498.5309999999999</v>
      </c>
      <c r="M549">
        <v>214.041</v>
      </c>
      <c r="N549">
        <v>214.041</v>
      </c>
      <c r="O549">
        <v>214.041</v>
      </c>
      <c r="P549">
        <v>2498.5309999999999</v>
      </c>
      <c r="Q549">
        <v>214.041</v>
      </c>
      <c r="R549">
        <v>79559.259999999995</v>
      </c>
      <c r="S549">
        <v>17051.810000000001</v>
      </c>
      <c r="T549">
        <v>62897.689999999995</v>
      </c>
      <c r="U549">
        <v>451.56</v>
      </c>
      <c r="V549">
        <v>4365.2</v>
      </c>
      <c r="W549">
        <v>11544.540000000005</v>
      </c>
      <c r="X549">
        <v>0</v>
      </c>
      <c r="Y549">
        <v>0</v>
      </c>
      <c r="Z549">
        <v>0</v>
      </c>
      <c r="AA549">
        <v>0</v>
      </c>
      <c r="AB549">
        <v>0</v>
      </c>
      <c r="AC549" s="295">
        <v>0</v>
      </c>
      <c r="AD549">
        <f>SUMPRODUCT(DB_STProjectAcct[[#This Row],[Plan01]:[Plan12]],$F$14:$Q$14)/valUnits2</f>
        <v>147.34654800000001</v>
      </c>
      <c r="AE549">
        <f>SUMPRODUCT(DB_STProjectAcct[[#This Row],[Act01]:[Act12]],$R$14:$AC$14)/valUnits2</f>
        <v>175.87006</v>
      </c>
      <c r="AF549">
        <f>DB_STProjectAcct[[#This Row],[Actual]]-DB_STProjectAcct[[#This Row],[Plan]]</f>
        <v>28.523511999999982</v>
      </c>
      <c r="AG549">
        <f>IF(DB_STProjectAcct[[#This Row],[Plan]]&lt;&gt;0,DB_STProjectAcct[[#This Row],[Actual]]/DB_STProjectAcct[[#This Row],[Plan]],1.000011000011)</f>
        <v>1.1935811349988328</v>
      </c>
    </row>
    <row r="550" spans="1:33" hidden="1" x14ac:dyDescent="0.2">
      <c r="A550" t="s">
        <v>543</v>
      </c>
      <c r="B550" t="s">
        <v>342</v>
      </c>
      <c r="C550" t="s">
        <v>491</v>
      </c>
      <c r="D550" t="s">
        <v>491</v>
      </c>
      <c r="E550" t="s">
        <v>237</v>
      </c>
      <c r="F550">
        <v>-165808.633</v>
      </c>
      <c r="G550">
        <v>6852.6080000000011</v>
      </c>
      <c r="H550">
        <v>7411.3329999999996</v>
      </c>
      <c r="I550">
        <v>15260.083999999999</v>
      </c>
      <c r="J550">
        <v>11778.388999999997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-160637.91</v>
      </c>
      <c r="S550">
        <v>7021.1600000000008</v>
      </c>
      <c r="T550">
        <v>7382.670000000001</v>
      </c>
      <c r="U550">
        <v>15104.459999999997</v>
      </c>
      <c r="V550">
        <v>11827.339999999998</v>
      </c>
      <c r="W550">
        <v>5585.0099999999984</v>
      </c>
      <c r="X550">
        <v>0</v>
      </c>
      <c r="Y550">
        <v>0</v>
      </c>
      <c r="Z550">
        <v>0</v>
      </c>
      <c r="AA550">
        <v>0</v>
      </c>
      <c r="AB550">
        <v>0</v>
      </c>
      <c r="AC550" s="297">
        <v>0</v>
      </c>
      <c r="AD550">
        <f>SUMPRODUCT(DB_STProjectAcct[[#This Row],[Plan01]:[Plan12]],$F$14:$Q$14)/valUnits2</f>
        <v>-124.50621899999999</v>
      </c>
      <c r="AE550">
        <f>SUMPRODUCT(DB_STProjectAcct[[#This Row],[Act01]:[Act12]],$R$14:$AC$14)/valUnits2</f>
        <v>-113.71727</v>
      </c>
      <c r="AF550">
        <f>DB_STProjectAcct[[#This Row],[Actual]]-DB_STProjectAcct[[#This Row],[Plan]]</f>
        <v>10.788948999999988</v>
      </c>
      <c r="AG550">
        <f>IF(DB_STProjectAcct[[#This Row],[Plan]]&lt;&gt;0,DB_STProjectAcct[[#This Row],[Actual]]/DB_STProjectAcct[[#This Row],[Plan]],1.000011000011)</f>
        <v>0.91334610361912938</v>
      </c>
    </row>
    <row r="551" spans="1:33" hidden="1" x14ac:dyDescent="0.2">
      <c r="A551" t="s">
        <v>544</v>
      </c>
      <c r="B551" t="s">
        <v>342</v>
      </c>
      <c r="C551" t="s">
        <v>491</v>
      </c>
      <c r="D551" t="s">
        <v>491</v>
      </c>
      <c r="E551" t="s">
        <v>141</v>
      </c>
      <c r="F551">
        <v>4024.7559999999999</v>
      </c>
      <c r="G551">
        <v>3905.9280000000003</v>
      </c>
      <c r="H551">
        <v>4857.0429999999997</v>
      </c>
      <c r="I551">
        <v>2400.0230000000001</v>
      </c>
      <c r="J551">
        <v>8786.9910000000018</v>
      </c>
      <c r="K551">
        <v>20682.634000000002</v>
      </c>
      <c r="L551">
        <v>20133.719000000001</v>
      </c>
      <c r="M551">
        <v>20133.719000000001</v>
      </c>
      <c r="N551">
        <v>20794.804000000004</v>
      </c>
      <c r="O551">
        <v>19351.919999999998</v>
      </c>
      <c r="P551">
        <v>36653.760000000002</v>
      </c>
      <c r="Q551">
        <v>19351.919999999998</v>
      </c>
      <c r="R551">
        <v>2622.44</v>
      </c>
      <c r="S551">
        <v>2613.4</v>
      </c>
      <c r="T551">
        <v>3514.06</v>
      </c>
      <c r="U551">
        <v>1100.6599999999996</v>
      </c>
      <c r="V551">
        <v>7495.829999999999</v>
      </c>
      <c r="W551">
        <v>6514.3499999999967</v>
      </c>
      <c r="X551">
        <v>0</v>
      </c>
      <c r="Y551">
        <v>0</v>
      </c>
      <c r="Z551">
        <v>0</v>
      </c>
      <c r="AA551">
        <v>0</v>
      </c>
      <c r="AB551">
        <v>0</v>
      </c>
      <c r="AC551" s="295">
        <v>0</v>
      </c>
      <c r="AD551">
        <f>SUMPRODUCT(DB_STProjectAcct[[#This Row],[Plan01]:[Plan12]],$F$14:$Q$14)/valUnits2</f>
        <v>44.657375000000002</v>
      </c>
      <c r="AE551">
        <f>SUMPRODUCT(DB_STProjectAcct[[#This Row],[Act01]:[Act12]],$R$14:$AC$14)/valUnits2</f>
        <v>23.860739999999996</v>
      </c>
      <c r="AF551">
        <f>DB_STProjectAcct[[#This Row],[Actual]]-DB_STProjectAcct[[#This Row],[Plan]]</f>
        <v>-20.796635000000006</v>
      </c>
      <c r="AG551">
        <f>IF(DB_STProjectAcct[[#This Row],[Plan]]&lt;&gt;0,DB_STProjectAcct[[#This Row],[Actual]]/DB_STProjectAcct[[#This Row],[Plan]],1.000011000011)</f>
        <v>0.53430681942232372</v>
      </c>
    </row>
    <row r="552" spans="1:33" hidden="1" x14ac:dyDescent="0.2">
      <c r="A552" t="s">
        <v>545</v>
      </c>
      <c r="B552" t="s">
        <v>342</v>
      </c>
      <c r="C552" t="s">
        <v>492</v>
      </c>
      <c r="D552" t="s">
        <v>492</v>
      </c>
      <c r="E552" t="s">
        <v>143</v>
      </c>
      <c r="F552">
        <v>840.68</v>
      </c>
      <c r="G552">
        <v>671.45400000000006</v>
      </c>
      <c r="H552">
        <v>338.98299999999995</v>
      </c>
      <c r="I552">
        <v>653.59999999999991</v>
      </c>
      <c r="J552">
        <v>526.29</v>
      </c>
      <c r="K552">
        <v>281.25</v>
      </c>
      <c r="L552">
        <v>281.25</v>
      </c>
      <c r="M552">
        <v>562.5</v>
      </c>
      <c r="N552">
        <v>281.25</v>
      </c>
      <c r="O552">
        <v>281.25</v>
      </c>
      <c r="P552">
        <v>281.25</v>
      </c>
      <c r="Q552">
        <v>281.25</v>
      </c>
      <c r="R552">
        <v>666.75</v>
      </c>
      <c r="S552">
        <v>589.82999999999993</v>
      </c>
      <c r="T552">
        <v>341.15</v>
      </c>
      <c r="U552">
        <v>681.34</v>
      </c>
      <c r="V552">
        <v>480.53000000000009</v>
      </c>
      <c r="W552">
        <v>585.63000000000011</v>
      </c>
      <c r="X552">
        <v>0</v>
      </c>
      <c r="Y552">
        <v>0</v>
      </c>
      <c r="Z552">
        <v>0</v>
      </c>
      <c r="AA552">
        <v>0</v>
      </c>
      <c r="AB552">
        <v>0</v>
      </c>
      <c r="AC552" s="297">
        <v>0</v>
      </c>
      <c r="AD552">
        <f>SUMPRODUCT(DB_STProjectAcct[[#This Row],[Plan01]:[Plan12]],$F$14:$Q$14)/valUnits2</f>
        <v>3.3122569999999998</v>
      </c>
      <c r="AE552">
        <f>SUMPRODUCT(DB_STProjectAcct[[#This Row],[Act01]:[Act12]],$R$14:$AC$14)/valUnits2</f>
        <v>3.3452300000000004</v>
      </c>
      <c r="AF552">
        <f>DB_STProjectAcct[[#This Row],[Actual]]-DB_STProjectAcct[[#This Row],[Plan]]</f>
        <v>3.2973000000000585E-2</v>
      </c>
      <c r="AG552">
        <f>IF(DB_STProjectAcct[[#This Row],[Plan]]&lt;&gt;0,DB_STProjectAcct[[#This Row],[Actual]]/DB_STProjectAcct[[#This Row],[Plan]],1.000011000011)</f>
        <v>1.0099548434798389</v>
      </c>
    </row>
    <row r="553" spans="1:33" hidden="1" x14ac:dyDescent="0.2">
      <c r="A553" t="s">
        <v>546</v>
      </c>
      <c r="B553" t="s">
        <v>342</v>
      </c>
      <c r="C553" t="s">
        <v>492</v>
      </c>
      <c r="D553" t="s">
        <v>492</v>
      </c>
      <c r="E553" t="s">
        <v>235</v>
      </c>
      <c r="F553">
        <v>1112.4270000000001</v>
      </c>
      <c r="G553">
        <v>1163.4960000000001</v>
      </c>
      <c r="H553">
        <v>1782.9599999999998</v>
      </c>
      <c r="I553">
        <v>2347.2249999999995</v>
      </c>
      <c r="J553">
        <v>1527.7699999999998</v>
      </c>
      <c r="K553">
        <v>250</v>
      </c>
      <c r="L553">
        <v>250</v>
      </c>
      <c r="M553">
        <v>500</v>
      </c>
      <c r="N553">
        <v>250</v>
      </c>
      <c r="O553">
        <v>250</v>
      </c>
      <c r="P553">
        <v>250</v>
      </c>
      <c r="Q553">
        <v>250</v>
      </c>
      <c r="R553">
        <v>1296.72</v>
      </c>
      <c r="S553">
        <v>1245.3499999999999</v>
      </c>
      <c r="T553">
        <v>1782.9600000000003</v>
      </c>
      <c r="U553">
        <v>2371.69</v>
      </c>
      <c r="V553">
        <v>1633.8500000000001</v>
      </c>
      <c r="W553">
        <v>2971.5000000000005</v>
      </c>
      <c r="X553">
        <v>0</v>
      </c>
      <c r="Y553">
        <v>0</v>
      </c>
      <c r="Z553">
        <v>0</v>
      </c>
      <c r="AA553">
        <v>0</v>
      </c>
      <c r="AB553">
        <v>0</v>
      </c>
      <c r="AC553" s="295">
        <v>0</v>
      </c>
      <c r="AD553">
        <f>SUMPRODUCT(DB_STProjectAcct[[#This Row],[Plan01]:[Plan12]],$F$14:$Q$14)/valUnits2</f>
        <v>8.1838779999999982</v>
      </c>
      <c r="AE553">
        <f>SUMPRODUCT(DB_STProjectAcct[[#This Row],[Act01]:[Act12]],$R$14:$AC$14)/valUnits2</f>
        <v>11.302070000000001</v>
      </c>
      <c r="AF553">
        <f>DB_STProjectAcct[[#This Row],[Actual]]-DB_STProjectAcct[[#This Row],[Plan]]</f>
        <v>3.1181920000000023</v>
      </c>
      <c r="AG553">
        <f>IF(DB_STProjectAcct[[#This Row],[Plan]]&lt;&gt;0,DB_STProjectAcct[[#This Row],[Actual]]/DB_STProjectAcct[[#This Row],[Plan]],1.000011000011)</f>
        <v>1.381016432551903</v>
      </c>
    </row>
    <row r="554" spans="1:33" hidden="1" x14ac:dyDescent="0.2">
      <c r="A554" t="s">
        <v>547</v>
      </c>
      <c r="B554" t="s">
        <v>342</v>
      </c>
      <c r="C554" t="s">
        <v>492</v>
      </c>
      <c r="D554" t="s">
        <v>492</v>
      </c>
      <c r="E554" t="s">
        <v>144</v>
      </c>
      <c r="AC554" s="297"/>
      <c r="AD554">
        <f>SUMPRODUCT(DB_STProjectAcct[[#This Row],[Plan01]:[Plan12]],$F$14:$Q$14)/valUnits2</f>
        <v>0</v>
      </c>
      <c r="AE554">
        <f>SUMPRODUCT(DB_STProjectAcct[[#This Row],[Act01]:[Act12]],$R$14:$AC$14)/valUnits2</f>
        <v>0</v>
      </c>
      <c r="AF554">
        <f>DB_STProjectAcct[[#This Row],[Actual]]-DB_STProjectAcct[[#This Row],[Plan]]</f>
        <v>0</v>
      </c>
      <c r="AG554">
        <f>IF(DB_STProjectAcct[[#This Row],[Plan]]&lt;&gt;0,DB_STProjectAcct[[#This Row],[Actual]]/DB_STProjectAcct[[#This Row],[Plan]],1.000011000011)</f>
        <v>1.0000110000110001</v>
      </c>
    </row>
    <row r="555" spans="1:33" hidden="1" x14ac:dyDescent="0.2">
      <c r="A555" t="s">
        <v>548</v>
      </c>
      <c r="B555" t="s">
        <v>342</v>
      </c>
      <c r="C555" t="s">
        <v>492</v>
      </c>
      <c r="D555" t="s">
        <v>492</v>
      </c>
      <c r="E555" t="s">
        <v>142</v>
      </c>
      <c r="F555">
        <v>366808.47899999999</v>
      </c>
      <c r="G555">
        <v>34427.856999999996</v>
      </c>
      <c r="H555">
        <v>49900.326000000001</v>
      </c>
      <c r="I555">
        <v>65693.056999999986</v>
      </c>
      <c r="J555">
        <v>258549.12999999995</v>
      </c>
      <c r="K555">
        <v>283869.00199999998</v>
      </c>
      <c r="L555">
        <v>193991.283</v>
      </c>
      <c r="M555">
        <v>178257.24800000002</v>
      </c>
      <c r="N555">
        <v>210781.23499999993</v>
      </c>
      <c r="O555">
        <v>193455.01799999995</v>
      </c>
      <c r="P555">
        <v>177100.45900000003</v>
      </c>
      <c r="Q555">
        <v>176165.32399999999</v>
      </c>
      <c r="R555">
        <v>366808.62000000011</v>
      </c>
      <c r="S555">
        <v>34473.889999999985</v>
      </c>
      <c r="T555">
        <v>40911.959999999977</v>
      </c>
      <c r="U555">
        <v>57003.169999999984</v>
      </c>
      <c r="V555">
        <v>249859.23999999993</v>
      </c>
      <c r="W555">
        <v>148009.06</v>
      </c>
      <c r="X555">
        <v>0</v>
      </c>
      <c r="Y555">
        <v>0</v>
      </c>
      <c r="Z555">
        <v>0</v>
      </c>
      <c r="AA555">
        <v>0</v>
      </c>
      <c r="AB555">
        <v>0</v>
      </c>
      <c r="AC555" s="295">
        <v>0</v>
      </c>
      <c r="AD555">
        <f>SUMPRODUCT(DB_STProjectAcct[[#This Row],[Plan01]:[Plan12]],$F$14:$Q$14)/valUnits2</f>
        <v>1059.2478509999999</v>
      </c>
      <c r="AE555">
        <f>SUMPRODUCT(DB_STProjectAcct[[#This Row],[Act01]:[Act12]],$R$14:$AC$14)/valUnits2</f>
        <v>897.06593999999996</v>
      </c>
      <c r="AF555">
        <f>DB_STProjectAcct[[#This Row],[Actual]]-DB_STProjectAcct[[#This Row],[Plan]]</f>
        <v>-162.1819109999999</v>
      </c>
      <c r="AG555">
        <f>IF(DB_STProjectAcct[[#This Row],[Plan]]&lt;&gt;0,DB_STProjectAcct[[#This Row],[Actual]]/DB_STProjectAcct[[#This Row],[Plan]],1.000011000011)</f>
        <v>0.84688955389723997</v>
      </c>
    </row>
    <row r="556" spans="1:33" hidden="1" x14ac:dyDescent="0.2">
      <c r="A556" t="s">
        <v>549</v>
      </c>
      <c r="B556" t="s">
        <v>342</v>
      </c>
      <c r="C556" t="s">
        <v>492</v>
      </c>
      <c r="D556" t="s">
        <v>492</v>
      </c>
      <c r="E556" t="s">
        <v>140</v>
      </c>
      <c r="F556">
        <v>47319.116999999998</v>
      </c>
      <c r="G556">
        <v>39136.157999999996</v>
      </c>
      <c r="H556">
        <v>34863.421999999999</v>
      </c>
      <c r="I556">
        <v>29790.774000000005</v>
      </c>
      <c r="J556">
        <v>58539.729999999996</v>
      </c>
      <c r="K556">
        <v>18625.325000000001</v>
      </c>
      <c r="L556">
        <v>18625.325000000001</v>
      </c>
      <c r="M556">
        <v>18625.325000000001</v>
      </c>
      <c r="N556">
        <v>18625.325000000001</v>
      </c>
      <c r="O556">
        <v>18625.325000000001</v>
      </c>
      <c r="P556">
        <v>18625.325000000001</v>
      </c>
      <c r="Q556">
        <v>18625.325000000001</v>
      </c>
      <c r="R556">
        <v>47324.670000000006</v>
      </c>
      <c r="S556">
        <v>39154.779999999992</v>
      </c>
      <c r="T556">
        <v>32160.17</v>
      </c>
      <c r="U556">
        <v>27086.6</v>
      </c>
      <c r="V556">
        <v>56063.46</v>
      </c>
      <c r="W556">
        <v>33554.449999999997</v>
      </c>
      <c r="X556">
        <v>0</v>
      </c>
      <c r="Y556">
        <v>0</v>
      </c>
      <c r="Z556">
        <v>0</v>
      </c>
      <c r="AA556">
        <v>0</v>
      </c>
      <c r="AB556">
        <v>0</v>
      </c>
      <c r="AC556" s="297">
        <v>0</v>
      </c>
      <c r="AD556">
        <f>SUMPRODUCT(DB_STProjectAcct[[#This Row],[Plan01]:[Plan12]],$F$14:$Q$14)/valUnits2</f>
        <v>228.27452600000001</v>
      </c>
      <c r="AE556">
        <f>SUMPRODUCT(DB_STProjectAcct[[#This Row],[Act01]:[Act12]],$R$14:$AC$14)/valUnits2</f>
        <v>235.34413000000001</v>
      </c>
      <c r="AF556">
        <f>DB_STProjectAcct[[#This Row],[Actual]]-DB_STProjectAcct[[#This Row],[Plan]]</f>
        <v>7.0696039999999982</v>
      </c>
      <c r="AG556">
        <f>IF(DB_STProjectAcct[[#This Row],[Plan]]&lt;&gt;0,DB_STProjectAcct[[#This Row],[Actual]]/DB_STProjectAcct[[#This Row],[Plan]],1.000011000011)</f>
        <v>1.030969745612351</v>
      </c>
    </row>
    <row r="557" spans="1:33" hidden="1" x14ac:dyDescent="0.2">
      <c r="A557" t="s">
        <v>550</v>
      </c>
      <c r="B557" t="s">
        <v>342</v>
      </c>
      <c r="C557" t="s">
        <v>492</v>
      </c>
      <c r="D557" t="s">
        <v>492</v>
      </c>
      <c r="E557" t="s">
        <v>236</v>
      </c>
      <c r="F557">
        <v>4661.6630000000005</v>
      </c>
      <c r="G557">
        <v>4796.473</v>
      </c>
      <c r="H557">
        <v>6498.7930000000006</v>
      </c>
      <c r="I557">
        <v>6583.7429999999995</v>
      </c>
      <c r="J557">
        <v>16361.523000000001</v>
      </c>
      <c r="K557">
        <v>18047.5</v>
      </c>
      <c r="L557">
        <v>33047.5</v>
      </c>
      <c r="M557">
        <v>18501</v>
      </c>
      <c r="N557">
        <v>11100</v>
      </c>
      <c r="O557">
        <v>11100</v>
      </c>
      <c r="P557">
        <v>9100</v>
      </c>
      <c r="Q557">
        <v>9100</v>
      </c>
      <c r="R557">
        <v>1078.08</v>
      </c>
      <c r="S557">
        <v>1213.1399999999999</v>
      </c>
      <c r="T557">
        <v>2915.46</v>
      </c>
      <c r="U557">
        <v>3000.41</v>
      </c>
      <c r="V557">
        <v>12778.19</v>
      </c>
      <c r="W557">
        <v>8653.0299999999988</v>
      </c>
      <c r="X557">
        <v>0</v>
      </c>
      <c r="Y557">
        <v>0</v>
      </c>
      <c r="Z557">
        <v>0</v>
      </c>
      <c r="AA557">
        <v>0</v>
      </c>
      <c r="AB557">
        <v>0</v>
      </c>
      <c r="AC557" s="295">
        <v>0</v>
      </c>
      <c r="AD557">
        <f>SUMPRODUCT(DB_STProjectAcct[[#This Row],[Plan01]:[Plan12]],$F$14:$Q$14)/valUnits2</f>
        <v>56.949694999999998</v>
      </c>
      <c r="AE557">
        <f>SUMPRODUCT(DB_STProjectAcct[[#This Row],[Act01]:[Act12]],$R$14:$AC$14)/valUnits2</f>
        <v>29.638309999999997</v>
      </c>
      <c r="AF557">
        <f>DB_STProjectAcct[[#This Row],[Actual]]-DB_STProjectAcct[[#This Row],[Plan]]</f>
        <v>-27.311385000000001</v>
      </c>
      <c r="AG557">
        <f>IF(DB_STProjectAcct[[#This Row],[Plan]]&lt;&gt;0,DB_STProjectAcct[[#This Row],[Actual]]/DB_STProjectAcct[[#This Row],[Plan]],1.000011000011)</f>
        <v>0.52042965287171417</v>
      </c>
    </row>
    <row r="558" spans="1:33" hidden="1" x14ac:dyDescent="0.2">
      <c r="A558" t="s">
        <v>551</v>
      </c>
      <c r="B558" t="s">
        <v>342</v>
      </c>
      <c r="C558" t="s">
        <v>492</v>
      </c>
      <c r="D558" t="s">
        <v>492</v>
      </c>
      <c r="E558" t="s">
        <v>237</v>
      </c>
      <c r="F558">
        <v>9860.9789999999994</v>
      </c>
      <c r="G558">
        <v>8248.7540000000008</v>
      </c>
      <c r="H558">
        <v>9215.5499999999993</v>
      </c>
      <c r="I558">
        <v>5602.98</v>
      </c>
      <c r="J558">
        <v>10174.549999999999</v>
      </c>
      <c r="K558">
        <v>0</v>
      </c>
      <c r="R558">
        <v>9926.2999999999993</v>
      </c>
      <c r="S558">
        <v>8243.43</v>
      </c>
      <c r="T558">
        <v>9215.5500000000011</v>
      </c>
      <c r="U558">
        <v>5602.98</v>
      </c>
      <c r="V558">
        <v>10174.550000000001</v>
      </c>
      <c r="W558">
        <v>16408.149999999998</v>
      </c>
      <c r="AC558" s="297"/>
      <c r="AD558">
        <f>SUMPRODUCT(DB_STProjectAcct[[#This Row],[Plan01]:[Plan12]],$F$14:$Q$14)/valUnits2</f>
        <v>43.102812999999998</v>
      </c>
      <c r="AE558">
        <f>SUMPRODUCT(DB_STProjectAcct[[#This Row],[Act01]:[Act12]],$R$14:$AC$14)/valUnits2</f>
        <v>59.570959999999992</v>
      </c>
      <c r="AF558">
        <f>DB_STProjectAcct[[#This Row],[Actual]]-DB_STProjectAcct[[#This Row],[Plan]]</f>
        <v>16.468146999999995</v>
      </c>
      <c r="AG558">
        <f>IF(DB_STProjectAcct[[#This Row],[Plan]]&lt;&gt;0,DB_STProjectAcct[[#This Row],[Actual]]/DB_STProjectAcct[[#This Row],[Plan]],1.000011000011)</f>
        <v>1.3820666414509883</v>
      </c>
    </row>
    <row r="559" spans="1:33" hidden="1" x14ac:dyDescent="0.2">
      <c r="A559" t="s">
        <v>552</v>
      </c>
      <c r="B559" t="s">
        <v>342</v>
      </c>
      <c r="C559" t="s">
        <v>492</v>
      </c>
      <c r="D559" t="s">
        <v>492</v>
      </c>
      <c r="E559" t="s">
        <v>141</v>
      </c>
      <c r="F559">
        <v>10153.967999999999</v>
      </c>
      <c r="G559">
        <v>15354.535999999998</v>
      </c>
      <c r="H559">
        <v>6180.5360000000019</v>
      </c>
      <c r="I559">
        <v>8755.5490000000009</v>
      </c>
      <c r="J559">
        <v>5414.4350000000013</v>
      </c>
      <c r="K559">
        <v>4313.1489999999994</v>
      </c>
      <c r="L559">
        <v>3838.3739999999998</v>
      </c>
      <c r="M559">
        <v>5813.1490000000003</v>
      </c>
      <c r="N559">
        <v>3838.3739999999998</v>
      </c>
      <c r="O559">
        <v>4313.1490000000003</v>
      </c>
      <c r="P559">
        <v>3838.3740000000003</v>
      </c>
      <c r="Q559">
        <v>4312.3399999999992</v>
      </c>
      <c r="R559">
        <v>10159.740000000003</v>
      </c>
      <c r="S559">
        <v>15354.240000000003</v>
      </c>
      <c r="T559">
        <v>5820.6299999999983</v>
      </c>
      <c r="U559">
        <v>8399.5700000000033</v>
      </c>
      <c r="V559">
        <v>5060.2599999999993</v>
      </c>
      <c r="W559">
        <v>7883.4700000000021</v>
      </c>
      <c r="X559">
        <v>0</v>
      </c>
      <c r="Y559">
        <v>0</v>
      </c>
      <c r="Z559">
        <v>0</v>
      </c>
      <c r="AA559">
        <v>0</v>
      </c>
      <c r="AB559">
        <v>0</v>
      </c>
      <c r="AC559" s="295">
        <v>0</v>
      </c>
      <c r="AD559">
        <f>SUMPRODUCT(DB_STProjectAcct[[#This Row],[Plan01]:[Plan12]],$F$14:$Q$14)/valUnits2</f>
        <v>50.172173000000001</v>
      </c>
      <c r="AE559">
        <f>SUMPRODUCT(DB_STProjectAcct[[#This Row],[Act01]:[Act12]],$R$14:$AC$14)/valUnits2</f>
        <v>52.677910000000011</v>
      </c>
      <c r="AF559">
        <f>DB_STProjectAcct[[#This Row],[Actual]]-DB_STProjectAcct[[#This Row],[Plan]]</f>
        <v>2.5057370000000105</v>
      </c>
      <c r="AG559">
        <f>IF(DB_STProjectAcct[[#This Row],[Plan]]&lt;&gt;0,DB_STProjectAcct[[#This Row],[Actual]]/DB_STProjectAcct[[#This Row],[Plan]],1.000011000011)</f>
        <v>1.0499427640895684</v>
      </c>
    </row>
    <row r="560" spans="1:33" hidden="1" x14ac:dyDescent="0.2">
      <c r="A560" t="s">
        <v>553</v>
      </c>
      <c r="B560" t="s">
        <v>342</v>
      </c>
      <c r="C560" t="s">
        <v>493</v>
      </c>
      <c r="D560" t="s">
        <v>493</v>
      </c>
      <c r="E560" t="s">
        <v>143</v>
      </c>
      <c r="AC560" s="297"/>
      <c r="AD560">
        <f>SUMPRODUCT(DB_STProjectAcct[[#This Row],[Plan01]:[Plan12]],$F$14:$Q$14)/valUnits2</f>
        <v>0</v>
      </c>
      <c r="AE560">
        <f>SUMPRODUCT(DB_STProjectAcct[[#This Row],[Act01]:[Act12]],$R$14:$AC$14)/valUnits2</f>
        <v>0</v>
      </c>
      <c r="AF560">
        <f>DB_STProjectAcct[[#This Row],[Actual]]-DB_STProjectAcct[[#This Row],[Plan]]</f>
        <v>0</v>
      </c>
      <c r="AG560">
        <f>IF(DB_STProjectAcct[[#This Row],[Plan]]&lt;&gt;0,DB_STProjectAcct[[#This Row],[Actual]]/DB_STProjectAcct[[#This Row],[Plan]],1.000011000011)</f>
        <v>1.0000110000110001</v>
      </c>
    </row>
    <row r="561" spans="1:33" hidden="1" x14ac:dyDescent="0.2">
      <c r="A561" t="s">
        <v>554</v>
      </c>
      <c r="B561" t="s">
        <v>342</v>
      </c>
      <c r="C561" t="s">
        <v>493</v>
      </c>
      <c r="D561" t="s">
        <v>493</v>
      </c>
      <c r="E561" t="s">
        <v>235</v>
      </c>
      <c r="AC561" s="295"/>
      <c r="AD561">
        <f>SUMPRODUCT(DB_STProjectAcct[[#This Row],[Plan01]:[Plan12]],$F$14:$Q$14)/valUnits2</f>
        <v>0</v>
      </c>
      <c r="AE561">
        <f>SUMPRODUCT(DB_STProjectAcct[[#This Row],[Act01]:[Act12]],$R$14:$AC$14)/valUnits2</f>
        <v>0</v>
      </c>
      <c r="AF561">
        <f>DB_STProjectAcct[[#This Row],[Actual]]-DB_STProjectAcct[[#This Row],[Plan]]</f>
        <v>0</v>
      </c>
      <c r="AG561">
        <f>IF(DB_STProjectAcct[[#This Row],[Plan]]&lt;&gt;0,DB_STProjectAcct[[#This Row],[Actual]]/DB_STProjectAcct[[#This Row],[Plan]],1.000011000011)</f>
        <v>1.0000110000110001</v>
      </c>
    </row>
    <row r="562" spans="1:33" hidden="1" x14ac:dyDescent="0.2">
      <c r="A562" t="s">
        <v>555</v>
      </c>
      <c r="B562" t="s">
        <v>342</v>
      </c>
      <c r="C562" t="s">
        <v>493</v>
      </c>
      <c r="D562" t="s">
        <v>493</v>
      </c>
      <c r="E562" t="s">
        <v>144</v>
      </c>
      <c r="AC562" s="297"/>
      <c r="AD562">
        <f>SUMPRODUCT(DB_STProjectAcct[[#This Row],[Plan01]:[Plan12]],$F$14:$Q$14)/valUnits2</f>
        <v>0</v>
      </c>
      <c r="AE562">
        <f>SUMPRODUCT(DB_STProjectAcct[[#This Row],[Act01]:[Act12]],$R$14:$AC$14)/valUnits2</f>
        <v>0</v>
      </c>
      <c r="AF562">
        <f>DB_STProjectAcct[[#This Row],[Actual]]-DB_STProjectAcct[[#This Row],[Plan]]</f>
        <v>0</v>
      </c>
      <c r="AG562">
        <f>IF(DB_STProjectAcct[[#This Row],[Plan]]&lt;&gt;0,DB_STProjectAcct[[#This Row],[Actual]]/DB_STProjectAcct[[#This Row],[Plan]],1.000011000011)</f>
        <v>1.0000110000110001</v>
      </c>
    </row>
    <row r="563" spans="1:33" hidden="1" x14ac:dyDescent="0.2">
      <c r="A563" t="s">
        <v>556</v>
      </c>
      <c r="B563" t="s">
        <v>342</v>
      </c>
      <c r="C563" t="s">
        <v>493</v>
      </c>
      <c r="D563" t="s">
        <v>493</v>
      </c>
      <c r="E563" t="s">
        <v>142</v>
      </c>
      <c r="AC563" s="295"/>
      <c r="AD563">
        <f>SUMPRODUCT(DB_STProjectAcct[[#This Row],[Plan01]:[Plan12]],$F$14:$Q$14)/valUnits2</f>
        <v>0</v>
      </c>
      <c r="AE563">
        <f>SUMPRODUCT(DB_STProjectAcct[[#This Row],[Act01]:[Act12]],$R$14:$AC$14)/valUnits2</f>
        <v>0</v>
      </c>
      <c r="AF563">
        <f>DB_STProjectAcct[[#This Row],[Actual]]-DB_STProjectAcct[[#This Row],[Plan]]</f>
        <v>0</v>
      </c>
      <c r="AG563">
        <f>IF(DB_STProjectAcct[[#This Row],[Plan]]&lt;&gt;0,DB_STProjectAcct[[#This Row],[Actual]]/DB_STProjectAcct[[#This Row],[Plan]],1.000011000011)</f>
        <v>1.0000110000110001</v>
      </c>
    </row>
    <row r="564" spans="1:33" hidden="1" x14ac:dyDescent="0.2">
      <c r="A564" t="s">
        <v>557</v>
      </c>
      <c r="B564" t="s">
        <v>342</v>
      </c>
      <c r="C564" t="s">
        <v>493</v>
      </c>
      <c r="D564" t="s">
        <v>493</v>
      </c>
      <c r="E564" t="s">
        <v>140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350</v>
      </c>
      <c r="L564">
        <v>350</v>
      </c>
      <c r="M564">
        <v>350</v>
      </c>
      <c r="N564">
        <v>350</v>
      </c>
      <c r="O564">
        <v>350</v>
      </c>
      <c r="P564">
        <v>350</v>
      </c>
      <c r="Q564">
        <v>350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 s="297">
        <v>0</v>
      </c>
      <c r="AD564">
        <f>SUMPRODUCT(DB_STProjectAcct[[#This Row],[Plan01]:[Plan12]],$F$14:$Q$14)/valUnits2</f>
        <v>0.35</v>
      </c>
      <c r="AE564">
        <f>SUMPRODUCT(DB_STProjectAcct[[#This Row],[Act01]:[Act12]],$R$14:$AC$14)/valUnits2</f>
        <v>0</v>
      </c>
      <c r="AF564">
        <f>DB_STProjectAcct[[#This Row],[Actual]]-DB_STProjectAcct[[#This Row],[Plan]]</f>
        <v>-0.35</v>
      </c>
      <c r="AG564">
        <f>IF(DB_STProjectAcct[[#This Row],[Plan]]&lt;&gt;0,DB_STProjectAcct[[#This Row],[Actual]]/DB_STProjectAcct[[#This Row],[Plan]],1.000011000011)</f>
        <v>0</v>
      </c>
    </row>
    <row r="565" spans="1:33" hidden="1" x14ac:dyDescent="0.2">
      <c r="A565" t="s">
        <v>558</v>
      </c>
      <c r="B565" t="s">
        <v>342</v>
      </c>
      <c r="C565" t="s">
        <v>493</v>
      </c>
      <c r="D565" t="s">
        <v>493</v>
      </c>
      <c r="E565" t="s">
        <v>236</v>
      </c>
      <c r="AC565" s="295"/>
      <c r="AD565">
        <f>SUMPRODUCT(DB_STProjectAcct[[#This Row],[Plan01]:[Plan12]],$F$14:$Q$14)/valUnits2</f>
        <v>0</v>
      </c>
      <c r="AE565">
        <f>SUMPRODUCT(DB_STProjectAcct[[#This Row],[Act01]:[Act12]],$R$14:$AC$14)/valUnits2</f>
        <v>0</v>
      </c>
      <c r="AF565">
        <f>DB_STProjectAcct[[#This Row],[Actual]]-DB_STProjectAcct[[#This Row],[Plan]]</f>
        <v>0</v>
      </c>
      <c r="AG565">
        <f>IF(DB_STProjectAcct[[#This Row],[Plan]]&lt;&gt;0,DB_STProjectAcct[[#This Row],[Actual]]/DB_STProjectAcct[[#This Row],[Plan]],1.000011000011)</f>
        <v>1.0000110000110001</v>
      </c>
    </row>
    <row r="566" spans="1:33" hidden="1" x14ac:dyDescent="0.2">
      <c r="A566" t="s">
        <v>559</v>
      </c>
      <c r="B566" t="s">
        <v>342</v>
      </c>
      <c r="C566" t="s">
        <v>493</v>
      </c>
      <c r="D566" t="s">
        <v>493</v>
      </c>
      <c r="E566" t="s">
        <v>237</v>
      </c>
      <c r="AC566" s="297"/>
      <c r="AD566">
        <f>SUMPRODUCT(DB_STProjectAcct[[#This Row],[Plan01]:[Plan12]],$F$14:$Q$14)/valUnits2</f>
        <v>0</v>
      </c>
      <c r="AE566">
        <f>SUMPRODUCT(DB_STProjectAcct[[#This Row],[Act01]:[Act12]],$R$14:$AC$14)/valUnits2</f>
        <v>0</v>
      </c>
      <c r="AF566">
        <f>DB_STProjectAcct[[#This Row],[Actual]]-DB_STProjectAcct[[#This Row],[Plan]]</f>
        <v>0</v>
      </c>
      <c r="AG566">
        <f>IF(DB_STProjectAcct[[#This Row],[Plan]]&lt;&gt;0,DB_STProjectAcct[[#This Row],[Actual]]/DB_STProjectAcct[[#This Row],[Plan]],1.000011000011)</f>
        <v>1.0000110000110001</v>
      </c>
    </row>
    <row r="567" spans="1:33" hidden="1" x14ac:dyDescent="0.2">
      <c r="A567" t="s">
        <v>560</v>
      </c>
      <c r="B567" t="s">
        <v>342</v>
      </c>
      <c r="C567" t="s">
        <v>493</v>
      </c>
      <c r="D567" t="s">
        <v>493</v>
      </c>
      <c r="E567" t="s">
        <v>141</v>
      </c>
      <c r="J567">
        <v>114.91</v>
      </c>
      <c r="V567">
        <v>114.91</v>
      </c>
      <c r="AC567" s="295"/>
      <c r="AD567">
        <f>SUMPRODUCT(DB_STProjectAcct[[#This Row],[Plan01]:[Plan12]],$F$14:$Q$14)/valUnits2</f>
        <v>0.11491</v>
      </c>
      <c r="AE567">
        <f>SUMPRODUCT(DB_STProjectAcct[[#This Row],[Act01]:[Act12]],$R$14:$AC$14)/valUnits2</f>
        <v>0.11491</v>
      </c>
      <c r="AF567">
        <f>DB_STProjectAcct[[#This Row],[Actual]]-DB_STProjectAcct[[#This Row],[Plan]]</f>
        <v>0</v>
      </c>
      <c r="AG567">
        <f>IF(DB_STProjectAcct[[#This Row],[Plan]]&lt;&gt;0,DB_STProjectAcct[[#This Row],[Actual]]/DB_STProjectAcct[[#This Row],[Plan]],1.000011000011)</f>
        <v>1</v>
      </c>
    </row>
    <row r="568" spans="1:33" hidden="1" x14ac:dyDescent="0.2">
      <c r="A568" t="s">
        <v>561</v>
      </c>
      <c r="B568" t="s">
        <v>342</v>
      </c>
      <c r="C568" t="s">
        <v>494</v>
      </c>
      <c r="D568" t="s">
        <v>494</v>
      </c>
      <c r="E568" t="s">
        <v>143</v>
      </c>
      <c r="F568">
        <v>857.02</v>
      </c>
      <c r="G568">
        <v>594.26</v>
      </c>
      <c r="H568">
        <v>230.94</v>
      </c>
      <c r="I568">
        <v>694.36</v>
      </c>
      <c r="J568">
        <v>527.59000000000015</v>
      </c>
      <c r="K568">
        <v>281.25</v>
      </c>
      <c r="L568">
        <v>281.25</v>
      </c>
      <c r="M568">
        <v>562.5</v>
      </c>
      <c r="N568">
        <v>281.25</v>
      </c>
      <c r="O568">
        <v>281.25</v>
      </c>
      <c r="P568">
        <v>281.25</v>
      </c>
      <c r="Q568">
        <v>281.25</v>
      </c>
      <c r="R568">
        <v>857.02</v>
      </c>
      <c r="S568">
        <v>584.75</v>
      </c>
      <c r="T568">
        <v>230.94</v>
      </c>
      <c r="U568">
        <v>722.09999999999991</v>
      </c>
      <c r="V568">
        <v>481.83000000000004</v>
      </c>
      <c r="W568">
        <v>543.34</v>
      </c>
      <c r="X568">
        <v>0</v>
      </c>
      <c r="Y568">
        <v>0</v>
      </c>
      <c r="Z568">
        <v>0</v>
      </c>
      <c r="AA568">
        <v>0</v>
      </c>
      <c r="AB568">
        <v>0</v>
      </c>
      <c r="AC568" s="297">
        <v>0</v>
      </c>
      <c r="AD568">
        <f>SUMPRODUCT(DB_STProjectAcct[[#This Row],[Plan01]:[Plan12]],$F$14:$Q$14)/valUnits2</f>
        <v>3.1854200000000001</v>
      </c>
      <c r="AE568">
        <f>SUMPRODUCT(DB_STProjectAcct[[#This Row],[Act01]:[Act12]],$R$14:$AC$14)/valUnits2</f>
        <v>3.4199799999999998</v>
      </c>
      <c r="AF568">
        <f>DB_STProjectAcct[[#This Row],[Actual]]-DB_STProjectAcct[[#This Row],[Plan]]</f>
        <v>0.23455999999999966</v>
      </c>
      <c r="AG568">
        <f>IF(DB_STProjectAcct[[#This Row],[Plan]]&lt;&gt;0,DB_STProjectAcct[[#This Row],[Actual]]/DB_STProjectAcct[[#This Row],[Plan]],1.000011000011)</f>
        <v>1.0736355017548704</v>
      </c>
    </row>
    <row r="569" spans="1:33" hidden="1" x14ac:dyDescent="0.2">
      <c r="A569" t="s">
        <v>562</v>
      </c>
      <c r="B569" t="s">
        <v>342</v>
      </c>
      <c r="C569" t="s">
        <v>494</v>
      </c>
      <c r="D569" t="s">
        <v>494</v>
      </c>
      <c r="E569" t="s">
        <v>235</v>
      </c>
      <c r="F569">
        <v>626.76</v>
      </c>
      <c r="G569">
        <v>525.19999999999993</v>
      </c>
      <c r="H569">
        <v>1286.8800000000001</v>
      </c>
      <c r="I569">
        <v>1713.1499999999999</v>
      </c>
      <c r="J569">
        <v>1144.9100000000001</v>
      </c>
      <c r="K569">
        <v>250</v>
      </c>
      <c r="L569">
        <v>250</v>
      </c>
      <c r="M569">
        <v>350</v>
      </c>
      <c r="N569">
        <v>250</v>
      </c>
      <c r="O569">
        <v>250</v>
      </c>
      <c r="P569">
        <v>250</v>
      </c>
      <c r="Q569">
        <v>452</v>
      </c>
      <c r="R569">
        <v>626.76</v>
      </c>
      <c r="S569">
        <v>534.71</v>
      </c>
      <c r="T569">
        <v>1286.8800000000001</v>
      </c>
      <c r="U569">
        <v>1739.1200000000001</v>
      </c>
      <c r="V569">
        <v>1250.99</v>
      </c>
      <c r="W569">
        <v>2264.1400000000003</v>
      </c>
      <c r="X569">
        <v>0</v>
      </c>
      <c r="Y569">
        <v>0</v>
      </c>
      <c r="Z569">
        <v>0</v>
      </c>
      <c r="AA569">
        <v>0</v>
      </c>
      <c r="AB569">
        <v>0</v>
      </c>
      <c r="AC569" s="295">
        <v>0</v>
      </c>
      <c r="AD569">
        <f>SUMPRODUCT(DB_STProjectAcct[[#This Row],[Plan01]:[Plan12]],$F$14:$Q$14)/valUnits2</f>
        <v>5.5468999999999999</v>
      </c>
      <c r="AE569">
        <f>SUMPRODUCT(DB_STProjectAcct[[#This Row],[Act01]:[Act12]],$R$14:$AC$14)/valUnits2</f>
        <v>7.7026000000000003</v>
      </c>
      <c r="AF569">
        <f>DB_STProjectAcct[[#This Row],[Actual]]-DB_STProjectAcct[[#This Row],[Plan]]</f>
        <v>2.1557000000000004</v>
      </c>
      <c r="AG569">
        <f>IF(DB_STProjectAcct[[#This Row],[Plan]]&lt;&gt;0,DB_STProjectAcct[[#This Row],[Actual]]/DB_STProjectAcct[[#This Row],[Plan]],1.000011000011)</f>
        <v>1.388631487858083</v>
      </c>
    </row>
    <row r="570" spans="1:33" hidden="1" x14ac:dyDescent="0.2">
      <c r="A570" t="s">
        <v>563</v>
      </c>
      <c r="B570" t="s">
        <v>342</v>
      </c>
      <c r="C570" t="s">
        <v>494</v>
      </c>
      <c r="D570" t="s">
        <v>494</v>
      </c>
      <c r="E570" t="s">
        <v>144</v>
      </c>
      <c r="AC570" s="297"/>
      <c r="AD570">
        <f>SUMPRODUCT(DB_STProjectAcct[[#This Row],[Plan01]:[Plan12]],$F$14:$Q$14)/valUnits2</f>
        <v>0</v>
      </c>
      <c r="AE570">
        <f>SUMPRODUCT(DB_STProjectAcct[[#This Row],[Act01]:[Act12]],$R$14:$AC$14)/valUnits2</f>
        <v>0</v>
      </c>
      <c r="AF570">
        <f>DB_STProjectAcct[[#This Row],[Actual]]-DB_STProjectAcct[[#This Row],[Plan]]</f>
        <v>0</v>
      </c>
      <c r="AG570">
        <f>IF(DB_STProjectAcct[[#This Row],[Plan]]&lt;&gt;0,DB_STProjectAcct[[#This Row],[Actual]]/DB_STProjectAcct[[#This Row],[Plan]],1.000011000011)</f>
        <v>1.0000110000110001</v>
      </c>
    </row>
    <row r="571" spans="1:33" hidden="1" x14ac:dyDescent="0.2">
      <c r="A571" t="s">
        <v>564</v>
      </c>
      <c r="B571" t="s">
        <v>342</v>
      </c>
      <c r="C571" t="s">
        <v>494</v>
      </c>
      <c r="D571" t="s">
        <v>494</v>
      </c>
      <c r="E571" t="s">
        <v>142</v>
      </c>
      <c r="F571">
        <v>0</v>
      </c>
      <c r="G571">
        <v>0</v>
      </c>
      <c r="H571">
        <v>535.62</v>
      </c>
      <c r="I571">
        <v>0</v>
      </c>
      <c r="J571">
        <v>0</v>
      </c>
      <c r="K571">
        <v>21666.667000000001</v>
      </c>
      <c r="L571">
        <v>43333.332999999999</v>
      </c>
      <c r="M571">
        <v>21666.667000000001</v>
      </c>
      <c r="N571">
        <v>21666.667000000001</v>
      </c>
      <c r="O571">
        <v>43333.332999999999</v>
      </c>
      <c r="P571">
        <v>21666.667000000001</v>
      </c>
      <c r="Q571">
        <v>64999.997000000003</v>
      </c>
      <c r="R571">
        <v>0</v>
      </c>
      <c r="S571">
        <v>0</v>
      </c>
      <c r="T571">
        <v>535.62</v>
      </c>
      <c r="U571">
        <v>0</v>
      </c>
      <c r="V571">
        <v>0</v>
      </c>
      <c r="W571">
        <v>46019.45</v>
      </c>
      <c r="X571">
        <v>0</v>
      </c>
      <c r="Y571">
        <v>0</v>
      </c>
      <c r="Z571">
        <v>0</v>
      </c>
      <c r="AA571">
        <v>0</v>
      </c>
      <c r="AB571">
        <v>0</v>
      </c>
      <c r="AC571" s="295">
        <v>0</v>
      </c>
      <c r="AD571">
        <f>SUMPRODUCT(DB_STProjectAcct[[#This Row],[Plan01]:[Plan12]],$F$14:$Q$14)/valUnits2</f>
        <v>22.202287000000002</v>
      </c>
      <c r="AE571">
        <f>SUMPRODUCT(DB_STProjectAcct[[#This Row],[Act01]:[Act12]],$R$14:$AC$14)/valUnits2</f>
        <v>46.555070000000001</v>
      </c>
      <c r="AF571">
        <f>DB_STProjectAcct[[#This Row],[Actual]]-DB_STProjectAcct[[#This Row],[Plan]]</f>
        <v>24.352782999999999</v>
      </c>
      <c r="AG571">
        <f>IF(DB_STProjectAcct[[#This Row],[Plan]]&lt;&gt;0,DB_STProjectAcct[[#This Row],[Actual]]/DB_STProjectAcct[[#This Row],[Plan]],1.000011000011)</f>
        <v>2.0968592109452509</v>
      </c>
    </row>
    <row r="572" spans="1:33" hidden="1" x14ac:dyDescent="0.2">
      <c r="A572" t="s">
        <v>565</v>
      </c>
      <c r="B572" t="s">
        <v>342</v>
      </c>
      <c r="C572" t="s">
        <v>494</v>
      </c>
      <c r="D572" t="s">
        <v>494</v>
      </c>
      <c r="E572" t="s">
        <v>140</v>
      </c>
      <c r="F572">
        <v>9814.8900000000012</v>
      </c>
      <c r="G572">
        <v>10927.460000000001</v>
      </c>
      <c r="H572">
        <v>11853.4</v>
      </c>
      <c r="I572">
        <v>10364.19</v>
      </c>
      <c r="J572">
        <v>13163.76</v>
      </c>
      <c r="K572">
        <v>10734.024000000001</v>
      </c>
      <c r="L572">
        <v>10734.024000000001</v>
      </c>
      <c r="M572">
        <v>10734.024000000001</v>
      </c>
      <c r="N572">
        <v>10734.024000000001</v>
      </c>
      <c r="O572">
        <v>29046.404999999999</v>
      </c>
      <c r="P572">
        <v>10734.024000000001</v>
      </c>
      <c r="Q572">
        <v>10734.024000000001</v>
      </c>
      <c r="R572">
        <v>9814.89</v>
      </c>
      <c r="S572">
        <v>10927.460000000001</v>
      </c>
      <c r="T572">
        <v>11853.4</v>
      </c>
      <c r="U572">
        <v>10364.19</v>
      </c>
      <c r="V572">
        <v>13163.759999999998</v>
      </c>
      <c r="W572">
        <v>14081.81</v>
      </c>
      <c r="X572">
        <v>0</v>
      </c>
      <c r="Y572">
        <v>0</v>
      </c>
      <c r="Z572">
        <v>0</v>
      </c>
      <c r="AA572">
        <v>0</v>
      </c>
      <c r="AB572">
        <v>0</v>
      </c>
      <c r="AC572" s="297">
        <v>0</v>
      </c>
      <c r="AD572">
        <f>SUMPRODUCT(DB_STProjectAcct[[#This Row],[Plan01]:[Plan12]],$F$14:$Q$14)/valUnits2</f>
        <v>66.857724000000005</v>
      </c>
      <c r="AE572">
        <f>SUMPRODUCT(DB_STProjectAcct[[#This Row],[Act01]:[Act12]],$R$14:$AC$14)/valUnits2</f>
        <v>70.20550999999999</v>
      </c>
      <c r="AF572">
        <f>DB_STProjectAcct[[#This Row],[Actual]]-DB_STProjectAcct[[#This Row],[Plan]]</f>
        <v>3.3477859999999851</v>
      </c>
      <c r="AG572">
        <f>IF(DB_STProjectAcct[[#This Row],[Plan]]&lt;&gt;0,DB_STProjectAcct[[#This Row],[Actual]]/DB_STProjectAcct[[#This Row],[Plan]],1.000011000011)</f>
        <v>1.0500732869698044</v>
      </c>
    </row>
    <row r="573" spans="1:33" hidden="1" x14ac:dyDescent="0.2">
      <c r="A573" t="s">
        <v>566</v>
      </c>
      <c r="B573" t="s">
        <v>342</v>
      </c>
      <c r="C573" t="s">
        <v>494</v>
      </c>
      <c r="D573" t="s">
        <v>494</v>
      </c>
      <c r="E573" t="s">
        <v>236</v>
      </c>
      <c r="F573">
        <v>34.94</v>
      </c>
      <c r="G573">
        <v>1681.55</v>
      </c>
      <c r="H573">
        <v>5468.1900000000005</v>
      </c>
      <c r="I573">
        <v>8927.7199999999993</v>
      </c>
      <c r="J573">
        <v>798.68999999999983</v>
      </c>
      <c r="K573">
        <v>9791.6669999999995</v>
      </c>
      <c r="L573">
        <v>13391.667000000001</v>
      </c>
      <c r="M573">
        <v>11391.667000000001</v>
      </c>
      <c r="N573">
        <v>11391.667000000001</v>
      </c>
      <c r="O573">
        <v>7791.6669999999995</v>
      </c>
      <c r="P573">
        <v>7791.6669999999995</v>
      </c>
      <c r="Q573">
        <v>7791.6669999999995</v>
      </c>
      <c r="R573">
        <v>34.94</v>
      </c>
      <c r="S573">
        <v>1681.55</v>
      </c>
      <c r="T573">
        <v>5468.19</v>
      </c>
      <c r="U573">
        <v>8927.7199999999993</v>
      </c>
      <c r="V573">
        <v>798.69</v>
      </c>
      <c r="W573">
        <v>7.99</v>
      </c>
      <c r="X573">
        <v>0</v>
      </c>
      <c r="Y573">
        <v>0</v>
      </c>
      <c r="Z573">
        <v>0</v>
      </c>
      <c r="AA573">
        <v>0</v>
      </c>
      <c r="AB573">
        <v>0</v>
      </c>
      <c r="AC573" s="295">
        <v>0</v>
      </c>
      <c r="AD573">
        <f>SUMPRODUCT(DB_STProjectAcct[[#This Row],[Plan01]:[Plan12]],$F$14:$Q$14)/valUnits2</f>
        <v>26.702756999999998</v>
      </c>
      <c r="AE573">
        <f>SUMPRODUCT(DB_STProjectAcct[[#This Row],[Act01]:[Act12]],$R$14:$AC$14)/valUnits2</f>
        <v>16.919079999999997</v>
      </c>
      <c r="AF573">
        <f>DB_STProjectAcct[[#This Row],[Actual]]-DB_STProjectAcct[[#This Row],[Plan]]</f>
        <v>-9.7836770000000008</v>
      </c>
      <c r="AG573">
        <f>IF(DB_STProjectAcct[[#This Row],[Plan]]&lt;&gt;0,DB_STProjectAcct[[#This Row],[Actual]]/DB_STProjectAcct[[#This Row],[Plan]],1.000011000011)</f>
        <v>0.63360798287607523</v>
      </c>
    </row>
    <row r="574" spans="1:33" hidden="1" x14ac:dyDescent="0.2">
      <c r="A574" t="s">
        <v>567</v>
      </c>
      <c r="B574" t="s">
        <v>342</v>
      </c>
      <c r="C574" t="s">
        <v>494</v>
      </c>
      <c r="D574" t="s">
        <v>494</v>
      </c>
      <c r="E574" t="s">
        <v>237</v>
      </c>
      <c r="F574">
        <v>38.01</v>
      </c>
      <c r="G574">
        <v>1403.36</v>
      </c>
      <c r="H574">
        <v>1020.7</v>
      </c>
      <c r="I574">
        <v>2865.6099999999997</v>
      </c>
      <c r="J574">
        <v>701.9</v>
      </c>
      <c r="K574">
        <v>0</v>
      </c>
      <c r="R574">
        <v>38.01</v>
      </c>
      <c r="S574">
        <v>1403.3600000000001</v>
      </c>
      <c r="T574">
        <v>1020.7</v>
      </c>
      <c r="U574">
        <v>2865.61</v>
      </c>
      <c r="V574">
        <v>701.90000000000009</v>
      </c>
      <c r="W574">
        <v>2054.85</v>
      </c>
      <c r="AC574" s="297"/>
      <c r="AD574">
        <f>SUMPRODUCT(DB_STProjectAcct[[#This Row],[Plan01]:[Plan12]],$F$14:$Q$14)/valUnits2</f>
        <v>6.0295799999999993</v>
      </c>
      <c r="AE574">
        <f>SUMPRODUCT(DB_STProjectAcct[[#This Row],[Act01]:[Act12]],$R$14:$AC$14)/valUnits2</f>
        <v>8.0844300000000011</v>
      </c>
      <c r="AF574">
        <f>DB_STProjectAcct[[#This Row],[Actual]]-DB_STProjectAcct[[#This Row],[Plan]]</f>
        <v>2.0548500000000018</v>
      </c>
      <c r="AG574">
        <f>IF(DB_STProjectAcct[[#This Row],[Plan]]&lt;&gt;0,DB_STProjectAcct[[#This Row],[Actual]]/DB_STProjectAcct[[#This Row],[Plan]],1.000011000011)</f>
        <v>1.3407948812355093</v>
      </c>
    </row>
    <row r="575" spans="1:33" hidden="1" x14ac:dyDescent="0.2">
      <c r="A575" t="s">
        <v>568</v>
      </c>
      <c r="B575" t="s">
        <v>342</v>
      </c>
      <c r="C575" t="s">
        <v>494</v>
      </c>
      <c r="D575" t="s">
        <v>494</v>
      </c>
      <c r="E575" t="s">
        <v>141</v>
      </c>
      <c r="F575">
        <v>561.88</v>
      </c>
      <c r="G575">
        <v>418.42</v>
      </c>
      <c r="H575">
        <v>1346.5800000000002</v>
      </c>
      <c r="I575">
        <v>941.74</v>
      </c>
      <c r="J575">
        <v>679.55</v>
      </c>
      <c r="K575">
        <v>2833.3330000000001</v>
      </c>
      <c r="L575">
        <v>2833.3330000000001</v>
      </c>
      <c r="M575">
        <v>4333.3330000000005</v>
      </c>
      <c r="N575">
        <v>2833.3330000000001</v>
      </c>
      <c r="O575">
        <v>2833.3330000000001</v>
      </c>
      <c r="P575">
        <v>2833.3330000000001</v>
      </c>
      <c r="Q575">
        <v>2833.3330000000001</v>
      </c>
      <c r="R575">
        <v>561.88000000000011</v>
      </c>
      <c r="S575">
        <v>418.4199999999999</v>
      </c>
      <c r="T575">
        <v>1346.58</v>
      </c>
      <c r="U575">
        <v>941.74</v>
      </c>
      <c r="V575">
        <v>679.54999999999984</v>
      </c>
      <c r="W575">
        <v>635.24</v>
      </c>
      <c r="X575">
        <v>0</v>
      </c>
      <c r="Y575">
        <v>0</v>
      </c>
      <c r="Z575">
        <v>0</v>
      </c>
      <c r="AA575">
        <v>0</v>
      </c>
      <c r="AB575">
        <v>0</v>
      </c>
      <c r="AC575" s="295">
        <v>0</v>
      </c>
      <c r="AD575">
        <f>SUMPRODUCT(DB_STProjectAcct[[#This Row],[Plan01]:[Plan12]],$F$14:$Q$14)/valUnits2</f>
        <v>6.7815030000000007</v>
      </c>
      <c r="AE575">
        <f>SUMPRODUCT(DB_STProjectAcct[[#This Row],[Act01]:[Act12]],$R$14:$AC$14)/valUnits2</f>
        <v>4.5834099999999998</v>
      </c>
      <c r="AF575">
        <f>DB_STProjectAcct[[#This Row],[Actual]]-DB_STProjectAcct[[#This Row],[Plan]]</f>
        <v>-2.198093000000001</v>
      </c>
      <c r="AG575">
        <f>IF(DB_STProjectAcct[[#This Row],[Plan]]&lt;&gt;0,DB_STProjectAcct[[#This Row],[Actual]]/DB_STProjectAcct[[#This Row],[Plan]],1.000011000011)</f>
        <v>0.67586934636761187</v>
      </c>
    </row>
    <row r="576" spans="1:33" hidden="1" x14ac:dyDescent="0.2">
      <c r="A576" t="s">
        <v>569</v>
      </c>
      <c r="B576" t="s">
        <v>351</v>
      </c>
      <c r="C576" t="s">
        <v>495</v>
      </c>
      <c r="D576" t="s">
        <v>495</v>
      </c>
      <c r="E576" t="s">
        <v>143</v>
      </c>
      <c r="AC576" s="297"/>
      <c r="AD576">
        <f>SUMPRODUCT(DB_STProjectAcct[[#This Row],[Plan01]:[Plan12]],$F$14:$Q$14)/valUnits2</f>
        <v>0</v>
      </c>
      <c r="AE576">
        <f>SUMPRODUCT(DB_STProjectAcct[[#This Row],[Act01]:[Act12]],$R$14:$AC$14)/valUnits2</f>
        <v>0</v>
      </c>
      <c r="AF576">
        <f>DB_STProjectAcct[[#This Row],[Actual]]-DB_STProjectAcct[[#This Row],[Plan]]</f>
        <v>0</v>
      </c>
      <c r="AG576">
        <f>IF(DB_STProjectAcct[[#This Row],[Plan]]&lt;&gt;0,DB_STProjectAcct[[#This Row],[Actual]]/DB_STProjectAcct[[#This Row],[Plan]],1.000011000011)</f>
        <v>1.0000110000110001</v>
      </c>
    </row>
    <row r="577" spans="1:33" hidden="1" x14ac:dyDescent="0.2">
      <c r="A577" t="s">
        <v>570</v>
      </c>
      <c r="B577" t="s">
        <v>351</v>
      </c>
      <c r="C577" t="s">
        <v>495</v>
      </c>
      <c r="D577" t="s">
        <v>495</v>
      </c>
      <c r="E577" t="s">
        <v>235</v>
      </c>
      <c r="F577">
        <v>43.84</v>
      </c>
      <c r="H577">
        <v>-43.84</v>
      </c>
      <c r="R577">
        <v>43.84</v>
      </c>
      <c r="T577">
        <v>-43.84</v>
      </c>
      <c r="AC577" s="295"/>
      <c r="AD577">
        <f>SUMPRODUCT(DB_STProjectAcct[[#This Row],[Plan01]:[Plan12]],$F$14:$Q$14)/valUnits2</f>
        <v>0</v>
      </c>
      <c r="AE577">
        <f>SUMPRODUCT(DB_STProjectAcct[[#This Row],[Act01]:[Act12]],$R$14:$AC$14)/valUnits2</f>
        <v>0</v>
      </c>
      <c r="AF577">
        <f>DB_STProjectAcct[[#This Row],[Actual]]-DB_STProjectAcct[[#This Row],[Plan]]</f>
        <v>0</v>
      </c>
      <c r="AG577">
        <f>IF(DB_STProjectAcct[[#This Row],[Plan]]&lt;&gt;0,DB_STProjectAcct[[#This Row],[Actual]]/DB_STProjectAcct[[#This Row],[Plan]],1.000011000011)</f>
        <v>1.0000110000110001</v>
      </c>
    </row>
    <row r="578" spans="1:33" hidden="1" x14ac:dyDescent="0.2">
      <c r="A578" t="s">
        <v>571</v>
      </c>
      <c r="B578" t="s">
        <v>351</v>
      </c>
      <c r="C578" t="s">
        <v>495</v>
      </c>
      <c r="D578" t="s">
        <v>495</v>
      </c>
      <c r="E578" t="s">
        <v>144</v>
      </c>
      <c r="AC578" s="297"/>
      <c r="AD578">
        <f>SUMPRODUCT(DB_STProjectAcct[[#This Row],[Plan01]:[Plan12]],$F$14:$Q$14)/valUnits2</f>
        <v>0</v>
      </c>
      <c r="AE578">
        <f>SUMPRODUCT(DB_STProjectAcct[[#This Row],[Act01]:[Act12]],$R$14:$AC$14)/valUnits2</f>
        <v>0</v>
      </c>
      <c r="AF578">
        <f>DB_STProjectAcct[[#This Row],[Actual]]-DB_STProjectAcct[[#This Row],[Plan]]</f>
        <v>0</v>
      </c>
      <c r="AG578">
        <f>IF(DB_STProjectAcct[[#This Row],[Plan]]&lt;&gt;0,DB_STProjectAcct[[#This Row],[Actual]]/DB_STProjectAcct[[#This Row],[Plan]],1.000011000011)</f>
        <v>1.0000110000110001</v>
      </c>
    </row>
    <row r="579" spans="1:33" hidden="1" x14ac:dyDescent="0.2">
      <c r="A579" t="s">
        <v>572</v>
      </c>
      <c r="B579" t="s">
        <v>351</v>
      </c>
      <c r="C579" t="s">
        <v>495</v>
      </c>
      <c r="D579" t="s">
        <v>495</v>
      </c>
      <c r="E579" t="s">
        <v>142</v>
      </c>
      <c r="AC579" s="295"/>
      <c r="AD579">
        <f>SUMPRODUCT(DB_STProjectAcct[[#This Row],[Plan01]:[Plan12]],$F$14:$Q$14)/valUnits2</f>
        <v>0</v>
      </c>
      <c r="AE579">
        <f>SUMPRODUCT(DB_STProjectAcct[[#This Row],[Act01]:[Act12]],$R$14:$AC$14)/valUnits2</f>
        <v>0</v>
      </c>
      <c r="AF579">
        <f>DB_STProjectAcct[[#This Row],[Actual]]-DB_STProjectAcct[[#This Row],[Plan]]</f>
        <v>0</v>
      </c>
      <c r="AG579">
        <f>IF(DB_STProjectAcct[[#This Row],[Plan]]&lt;&gt;0,DB_STProjectAcct[[#This Row],[Actual]]/DB_STProjectAcct[[#This Row],[Plan]],1.000011000011)</f>
        <v>1.0000110000110001</v>
      </c>
    </row>
    <row r="580" spans="1:33" hidden="1" x14ac:dyDescent="0.2">
      <c r="A580" t="s">
        <v>573</v>
      </c>
      <c r="B580" t="s">
        <v>351</v>
      </c>
      <c r="C580" t="s">
        <v>495</v>
      </c>
      <c r="D580" t="s">
        <v>495</v>
      </c>
      <c r="E580" t="s">
        <v>140</v>
      </c>
      <c r="F580">
        <v>3438.77</v>
      </c>
      <c r="G580">
        <v>24693.313999999995</v>
      </c>
      <c r="H580">
        <v>20017.545000000002</v>
      </c>
      <c r="I580">
        <v>18618.217999999997</v>
      </c>
      <c r="J580">
        <v>16234.128999999997</v>
      </c>
      <c r="K580">
        <v>14103.676000000001</v>
      </c>
      <c r="L580">
        <v>14103.676000000001</v>
      </c>
      <c r="M580">
        <v>14103.676000000003</v>
      </c>
      <c r="N580">
        <v>14103.676000000001</v>
      </c>
      <c r="O580">
        <v>14103.676000000003</v>
      </c>
      <c r="P580">
        <v>14103.676000000003</v>
      </c>
      <c r="Q580">
        <v>14103.676000000003</v>
      </c>
      <c r="R580">
        <v>323.77</v>
      </c>
      <c r="S580">
        <v>21648.939999999995</v>
      </c>
      <c r="T580">
        <v>16901.109999999997</v>
      </c>
      <c r="U580">
        <v>15470.279999999999</v>
      </c>
      <c r="V580">
        <v>13118.960000000003</v>
      </c>
      <c r="W580">
        <v>12044.280000000002</v>
      </c>
      <c r="X580">
        <v>61950</v>
      </c>
      <c r="Y580">
        <v>0</v>
      </c>
      <c r="Z580">
        <v>0</v>
      </c>
      <c r="AA580">
        <v>0</v>
      </c>
      <c r="AB580">
        <v>0</v>
      </c>
      <c r="AC580" s="297">
        <v>0</v>
      </c>
      <c r="AD580">
        <f>SUMPRODUCT(DB_STProjectAcct[[#This Row],[Plan01]:[Plan12]],$F$14:$Q$14)/valUnits2</f>
        <v>97.105652000000006</v>
      </c>
      <c r="AE580">
        <f>SUMPRODUCT(DB_STProjectAcct[[#This Row],[Act01]:[Act12]],$R$14:$AC$14)/valUnits2</f>
        <v>79.507339999999999</v>
      </c>
      <c r="AF580">
        <f>DB_STProjectAcct[[#This Row],[Actual]]-DB_STProjectAcct[[#This Row],[Plan]]</f>
        <v>-17.598312000000007</v>
      </c>
      <c r="AG580">
        <f>IF(DB_STProjectAcct[[#This Row],[Plan]]&lt;&gt;0,DB_STProjectAcct[[#This Row],[Actual]]/DB_STProjectAcct[[#This Row],[Plan]],1.000011000011)</f>
        <v>0.81877149643153613</v>
      </c>
    </row>
    <row r="581" spans="1:33" hidden="1" x14ac:dyDescent="0.2">
      <c r="A581" t="s">
        <v>574</v>
      </c>
      <c r="B581" t="s">
        <v>351</v>
      </c>
      <c r="C581" t="s">
        <v>495</v>
      </c>
      <c r="D581" t="s">
        <v>495</v>
      </c>
      <c r="E581" t="s">
        <v>236</v>
      </c>
      <c r="F581">
        <v>23707.89</v>
      </c>
      <c r="H581">
        <v>-23707.89</v>
      </c>
      <c r="R581">
        <v>23707.89</v>
      </c>
      <c r="T581">
        <v>-23707.89</v>
      </c>
      <c r="AC581" s="295"/>
      <c r="AD581">
        <f>SUMPRODUCT(DB_STProjectAcct[[#This Row],[Plan01]:[Plan12]],$F$14:$Q$14)/valUnits2</f>
        <v>0</v>
      </c>
      <c r="AE581">
        <f>SUMPRODUCT(DB_STProjectAcct[[#This Row],[Act01]:[Act12]],$R$14:$AC$14)/valUnits2</f>
        <v>0</v>
      </c>
      <c r="AF581">
        <f>DB_STProjectAcct[[#This Row],[Actual]]-DB_STProjectAcct[[#This Row],[Plan]]</f>
        <v>0</v>
      </c>
      <c r="AG581">
        <f>IF(DB_STProjectAcct[[#This Row],[Plan]]&lt;&gt;0,DB_STProjectAcct[[#This Row],[Actual]]/DB_STProjectAcct[[#This Row],[Plan]],1.000011000011)</f>
        <v>1.0000110000110001</v>
      </c>
    </row>
    <row r="582" spans="1:33" hidden="1" x14ac:dyDescent="0.2">
      <c r="A582" t="s">
        <v>575</v>
      </c>
      <c r="B582" t="s">
        <v>351</v>
      </c>
      <c r="C582" t="s">
        <v>495</v>
      </c>
      <c r="D582" t="s">
        <v>495</v>
      </c>
      <c r="E582" t="s">
        <v>237</v>
      </c>
      <c r="K582">
        <v>0</v>
      </c>
      <c r="W582">
        <v>80.39</v>
      </c>
      <c r="AC582" s="297"/>
      <c r="AD582">
        <f>SUMPRODUCT(DB_STProjectAcct[[#This Row],[Plan01]:[Plan12]],$F$14:$Q$14)/valUnits2</f>
        <v>0</v>
      </c>
      <c r="AE582">
        <f>SUMPRODUCT(DB_STProjectAcct[[#This Row],[Act01]:[Act12]],$R$14:$AC$14)/valUnits2</f>
        <v>8.0390000000000003E-2</v>
      </c>
      <c r="AF582">
        <f>DB_STProjectAcct[[#This Row],[Actual]]-DB_STProjectAcct[[#This Row],[Plan]]</f>
        <v>8.0390000000000003E-2</v>
      </c>
      <c r="AG582">
        <f>IF(DB_STProjectAcct[[#This Row],[Plan]]&lt;&gt;0,DB_STProjectAcct[[#This Row],[Actual]]/DB_STProjectAcct[[#This Row],[Plan]],1.000011000011)</f>
        <v>1.0000110000110001</v>
      </c>
    </row>
    <row r="583" spans="1:33" hidden="1" x14ac:dyDescent="0.2">
      <c r="A583" t="s">
        <v>576</v>
      </c>
      <c r="B583" t="s">
        <v>351</v>
      </c>
      <c r="C583" t="s">
        <v>495</v>
      </c>
      <c r="D583" t="s">
        <v>495</v>
      </c>
      <c r="E583" t="s">
        <v>141</v>
      </c>
      <c r="G583">
        <v>3059.8310000000001</v>
      </c>
      <c r="I583">
        <v>1665.5610000000004</v>
      </c>
      <c r="J583">
        <v>575.61</v>
      </c>
      <c r="K583">
        <v>0</v>
      </c>
      <c r="S583">
        <v>3059.74</v>
      </c>
      <c r="U583">
        <v>1658.21</v>
      </c>
      <c r="V583">
        <v>575.61</v>
      </c>
      <c r="W583">
        <v>869.24</v>
      </c>
      <c r="AC583" s="295"/>
      <c r="AD583">
        <f>SUMPRODUCT(DB_STProjectAcct[[#This Row],[Plan01]:[Plan12]],$F$14:$Q$14)/valUnits2</f>
        <v>5.3010020000000004</v>
      </c>
      <c r="AE583">
        <f>SUMPRODUCT(DB_STProjectAcct[[#This Row],[Act01]:[Act12]],$R$14:$AC$14)/valUnits2</f>
        <v>6.1627999999999989</v>
      </c>
      <c r="AF583">
        <f>DB_STProjectAcct[[#This Row],[Actual]]-DB_STProjectAcct[[#This Row],[Plan]]</f>
        <v>0.86179799999999851</v>
      </c>
      <c r="AG583">
        <f>IF(DB_STProjectAcct[[#This Row],[Plan]]&lt;&gt;0,DB_STProjectAcct[[#This Row],[Actual]]/DB_STProjectAcct[[#This Row],[Plan]],1.000011000011)</f>
        <v>1.1625726607912992</v>
      </c>
    </row>
    <row r="584" spans="1:33" hidden="1" x14ac:dyDescent="0.2">
      <c r="A584" t="s">
        <v>577</v>
      </c>
      <c r="B584" t="s">
        <v>351</v>
      </c>
      <c r="C584" t="s">
        <v>496</v>
      </c>
      <c r="D584" t="s">
        <v>496</v>
      </c>
      <c r="E584" t="s">
        <v>143</v>
      </c>
      <c r="F584">
        <v>21068.677999999996</v>
      </c>
      <c r="G584">
        <v>17270.318000000003</v>
      </c>
      <c r="H584">
        <v>13027.796</v>
      </c>
      <c r="I584">
        <v>201529.42499999996</v>
      </c>
      <c r="J584">
        <v>72602.358000000007</v>
      </c>
      <c r="K584">
        <v>61067.732000000011</v>
      </c>
      <c r="L584">
        <v>59052.58</v>
      </c>
      <c r="M584">
        <v>59397.845000000001</v>
      </c>
      <c r="N584">
        <v>58785.733</v>
      </c>
      <c r="O584">
        <v>58757.226000000002</v>
      </c>
      <c r="P584">
        <v>58704.434000000008</v>
      </c>
      <c r="Q584">
        <v>51758.181000000011</v>
      </c>
      <c r="R584">
        <v>9935.8999999999978</v>
      </c>
      <c r="S584">
        <v>6444.8000000000011</v>
      </c>
      <c r="T584">
        <v>3589.1700000000005</v>
      </c>
      <c r="U584">
        <v>186547.85999999987</v>
      </c>
      <c r="V584">
        <v>54405.609999999964</v>
      </c>
      <c r="W584">
        <v>58130.97</v>
      </c>
      <c r="X584">
        <v>0</v>
      </c>
      <c r="Y584">
        <v>0</v>
      </c>
      <c r="Z584">
        <v>0</v>
      </c>
      <c r="AA584">
        <v>0</v>
      </c>
      <c r="AB584">
        <v>0</v>
      </c>
      <c r="AC584" s="297">
        <v>0</v>
      </c>
      <c r="AD584">
        <f>SUMPRODUCT(DB_STProjectAcct[[#This Row],[Plan01]:[Plan12]],$F$14:$Q$14)/valUnits2</f>
        <v>386.56630699999999</v>
      </c>
      <c r="AE584">
        <f>SUMPRODUCT(DB_STProjectAcct[[#This Row],[Act01]:[Act12]],$R$14:$AC$14)/valUnits2</f>
        <v>319.05430999999982</v>
      </c>
      <c r="AF584">
        <f>DB_STProjectAcct[[#This Row],[Actual]]-DB_STProjectAcct[[#This Row],[Plan]]</f>
        <v>-67.511997000000179</v>
      </c>
      <c r="AG584">
        <f>IF(DB_STProjectAcct[[#This Row],[Plan]]&lt;&gt;0,DB_STProjectAcct[[#This Row],[Actual]]/DB_STProjectAcct[[#This Row],[Plan]],1.000011000011)</f>
        <v>0.82535467841484644</v>
      </c>
    </row>
    <row r="585" spans="1:33" hidden="1" x14ac:dyDescent="0.2">
      <c r="A585" t="s">
        <v>578</v>
      </c>
      <c r="B585" t="s">
        <v>351</v>
      </c>
      <c r="C585" t="s">
        <v>496</v>
      </c>
      <c r="D585" t="s">
        <v>496</v>
      </c>
      <c r="E585" t="s">
        <v>235</v>
      </c>
      <c r="F585">
        <v>7548.3700000000026</v>
      </c>
      <c r="G585">
        <v>10300.578000000001</v>
      </c>
      <c r="H585">
        <v>13011.692999999996</v>
      </c>
      <c r="I585">
        <v>11895.645999999993</v>
      </c>
      <c r="J585">
        <v>14808.362000000001</v>
      </c>
      <c r="K585">
        <v>20965.029999999995</v>
      </c>
      <c r="L585">
        <v>23652.601999999992</v>
      </c>
      <c r="M585">
        <v>22188.565999999992</v>
      </c>
      <c r="N585">
        <v>21421.623999999993</v>
      </c>
      <c r="O585">
        <v>23650.27299999999</v>
      </c>
      <c r="P585">
        <v>21320.700999999994</v>
      </c>
      <c r="Q585">
        <v>16380.419999999998</v>
      </c>
      <c r="R585">
        <v>4115.21</v>
      </c>
      <c r="S585">
        <v>4124.8199999999988</v>
      </c>
      <c r="T585">
        <v>10155.079999999998</v>
      </c>
      <c r="U585">
        <v>14629.270000000002</v>
      </c>
      <c r="V585">
        <v>8213.1400000000049</v>
      </c>
      <c r="W585">
        <v>13093.110000000004</v>
      </c>
      <c r="X585">
        <v>515.36</v>
      </c>
      <c r="Y585">
        <v>0</v>
      </c>
      <c r="Z585">
        <v>0</v>
      </c>
      <c r="AA585">
        <v>0</v>
      </c>
      <c r="AB585">
        <v>0</v>
      </c>
      <c r="AC585" s="295">
        <v>0</v>
      </c>
      <c r="AD585">
        <f>SUMPRODUCT(DB_STProjectAcct[[#This Row],[Plan01]:[Plan12]],$F$14:$Q$14)/valUnits2</f>
        <v>78.529678999999987</v>
      </c>
      <c r="AE585">
        <f>SUMPRODUCT(DB_STProjectAcct[[#This Row],[Act01]:[Act12]],$R$14:$AC$14)/valUnits2</f>
        <v>54.330630000000006</v>
      </c>
      <c r="AF585">
        <f>DB_STProjectAcct[[#This Row],[Actual]]-DB_STProjectAcct[[#This Row],[Plan]]</f>
        <v>-24.199048999999981</v>
      </c>
      <c r="AG585">
        <f>IF(DB_STProjectAcct[[#This Row],[Plan]]&lt;&gt;0,DB_STProjectAcct[[#This Row],[Actual]]/DB_STProjectAcct[[#This Row],[Plan]],1.000011000011)</f>
        <v>0.69184836474372979</v>
      </c>
    </row>
    <row r="586" spans="1:33" hidden="1" x14ac:dyDescent="0.2">
      <c r="A586" t="s">
        <v>579</v>
      </c>
      <c r="B586" t="s">
        <v>351</v>
      </c>
      <c r="C586" t="s">
        <v>496</v>
      </c>
      <c r="D586" t="s">
        <v>496</v>
      </c>
      <c r="E586" t="s">
        <v>144</v>
      </c>
      <c r="AC586" s="297"/>
      <c r="AD586">
        <f>SUMPRODUCT(DB_STProjectAcct[[#This Row],[Plan01]:[Plan12]],$F$14:$Q$14)/valUnits2</f>
        <v>0</v>
      </c>
      <c r="AE586">
        <f>SUMPRODUCT(DB_STProjectAcct[[#This Row],[Act01]:[Act12]],$R$14:$AC$14)/valUnits2</f>
        <v>0</v>
      </c>
      <c r="AF586">
        <f>DB_STProjectAcct[[#This Row],[Actual]]-DB_STProjectAcct[[#This Row],[Plan]]</f>
        <v>0</v>
      </c>
      <c r="AG586">
        <f>IF(DB_STProjectAcct[[#This Row],[Plan]]&lt;&gt;0,DB_STProjectAcct[[#This Row],[Actual]]/DB_STProjectAcct[[#This Row],[Plan]],1.000011000011)</f>
        <v>1.0000110000110001</v>
      </c>
    </row>
    <row r="587" spans="1:33" hidden="1" x14ac:dyDescent="0.2">
      <c r="A587" t="s">
        <v>580</v>
      </c>
      <c r="B587" t="s">
        <v>351</v>
      </c>
      <c r="C587" t="s">
        <v>496</v>
      </c>
      <c r="D587" t="s">
        <v>496</v>
      </c>
      <c r="E587" t="s">
        <v>142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464.98500000000001</v>
      </c>
      <c r="L587">
        <v>464.98500000000001</v>
      </c>
      <c r="M587">
        <v>464.98500000000001</v>
      </c>
      <c r="N587">
        <v>464.98500000000001</v>
      </c>
      <c r="O587">
        <v>464.98500000000001</v>
      </c>
      <c r="P587">
        <v>464.98500000000001</v>
      </c>
      <c r="Q587">
        <v>464.98500000000001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 s="295">
        <v>0</v>
      </c>
      <c r="AD587">
        <f>SUMPRODUCT(DB_STProjectAcct[[#This Row],[Plan01]:[Plan12]],$F$14:$Q$14)/valUnits2</f>
        <v>0.46498500000000004</v>
      </c>
      <c r="AE587">
        <f>SUMPRODUCT(DB_STProjectAcct[[#This Row],[Act01]:[Act12]],$R$14:$AC$14)/valUnits2</f>
        <v>0</v>
      </c>
      <c r="AF587">
        <f>DB_STProjectAcct[[#This Row],[Actual]]-DB_STProjectAcct[[#This Row],[Plan]]</f>
        <v>-0.46498500000000004</v>
      </c>
      <c r="AG587">
        <f>IF(DB_STProjectAcct[[#This Row],[Plan]]&lt;&gt;0,DB_STProjectAcct[[#This Row],[Actual]]/DB_STProjectAcct[[#This Row],[Plan]],1.000011000011)</f>
        <v>0</v>
      </c>
    </row>
    <row r="588" spans="1:33" hidden="1" x14ac:dyDescent="0.2">
      <c r="A588" t="s">
        <v>581</v>
      </c>
      <c r="B588" t="s">
        <v>351</v>
      </c>
      <c r="C588" t="s">
        <v>496</v>
      </c>
      <c r="D588" t="s">
        <v>496</v>
      </c>
      <c r="E588" t="s">
        <v>140</v>
      </c>
      <c r="F588">
        <v>39032.70900000001</v>
      </c>
      <c r="G588">
        <v>68025.59599999999</v>
      </c>
      <c r="H588">
        <v>70388.941999999966</v>
      </c>
      <c r="I588">
        <v>94814.699000000037</v>
      </c>
      <c r="J588">
        <v>77263.911999999997</v>
      </c>
      <c r="K588">
        <v>74574.428000000014</v>
      </c>
      <c r="L588">
        <v>66637.114999999991</v>
      </c>
      <c r="M588">
        <v>66409.774999999994</v>
      </c>
      <c r="N588">
        <v>66409.77499999998</v>
      </c>
      <c r="O588">
        <v>42912.495999999999</v>
      </c>
      <c r="P588">
        <v>40839.742999999995</v>
      </c>
      <c r="Q588">
        <v>40308.600999999995</v>
      </c>
      <c r="R588">
        <v>30968.400000000001</v>
      </c>
      <c r="S588">
        <v>59921.880000000012</v>
      </c>
      <c r="T588">
        <v>61134.870000000032</v>
      </c>
      <c r="U588">
        <v>85302.23000000004</v>
      </c>
      <c r="V588">
        <v>67998.089999999982</v>
      </c>
      <c r="W588">
        <v>57632.790000000037</v>
      </c>
      <c r="X588">
        <v>0</v>
      </c>
      <c r="Y588">
        <v>0</v>
      </c>
      <c r="Z588">
        <v>0</v>
      </c>
      <c r="AA588">
        <v>0</v>
      </c>
      <c r="AB588">
        <v>0</v>
      </c>
      <c r="AC588" s="297">
        <v>0</v>
      </c>
      <c r="AD588">
        <f>SUMPRODUCT(DB_STProjectAcct[[#This Row],[Plan01]:[Plan12]],$F$14:$Q$14)/valUnits2</f>
        <v>424.10028600000004</v>
      </c>
      <c r="AE588">
        <f>SUMPRODUCT(DB_STProjectAcct[[#This Row],[Act01]:[Act12]],$R$14:$AC$14)/valUnits2</f>
        <v>362.95826000000011</v>
      </c>
      <c r="AF588">
        <f>DB_STProjectAcct[[#This Row],[Actual]]-DB_STProjectAcct[[#This Row],[Plan]]</f>
        <v>-61.14202599999993</v>
      </c>
      <c r="AG588">
        <f>IF(DB_STProjectAcct[[#This Row],[Plan]]&lt;&gt;0,DB_STProjectAcct[[#This Row],[Actual]]/DB_STProjectAcct[[#This Row],[Plan]],1.000011000011)</f>
        <v>0.85583120781012645</v>
      </c>
    </row>
    <row r="589" spans="1:33" hidden="1" x14ac:dyDescent="0.2">
      <c r="A589" t="s">
        <v>582</v>
      </c>
      <c r="B589" t="s">
        <v>351</v>
      </c>
      <c r="C589" t="s">
        <v>496</v>
      </c>
      <c r="D589" t="s">
        <v>496</v>
      </c>
      <c r="E589" t="s">
        <v>236</v>
      </c>
      <c r="F589">
        <v>1803.5260000000001</v>
      </c>
      <c r="G589">
        <v>1818.2839999999999</v>
      </c>
      <c r="H589">
        <v>4179.6479999999992</v>
      </c>
      <c r="I589">
        <v>1563.029</v>
      </c>
      <c r="J589">
        <v>15840.925000000008</v>
      </c>
      <c r="K589">
        <v>366.95800000000003</v>
      </c>
      <c r="L589">
        <v>366.95800000000003</v>
      </c>
      <c r="M589">
        <v>366.95800000000003</v>
      </c>
      <c r="N589">
        <v>366.95800000000003</v>
      </c>
      <c r="O589">
        <v>366.95800000000003</v>
      </c>
      <c r="P589">
        <v>366.95800000000003</v>
      </c>
      <c r="Q589">
        <v>366.95800000000003</v>
      </c>
      <c r="R589">
        <v>1678.19</v>
      </c>
      <c r="S589">
        <v>1691.9600000000003</v>
      </c>
      <c r="T589">
        <v>4055.9400000000005</v>
      </c>
      <c r="U589">
        <v>1438.4800000000002</v>
      </c>
      <c r="V589">
        <v>15623.280000000008</v>
      </c>
      <c r="W589">
        <v>2392.079999999999</v>
      </c>
      <c r="X589">
        <v>0</v>
      </c>
      <c r="Y589">
        <v>0</v>
      </c>
      <c r="Z589">
        <v>0</v>
      </c>
      <c r="AA589">
        <v>0</v>
      </c>
      <c r="AB589">
        <v>0</v>
      </c>
      <c r="AC589" s="295">
        <v>0</v>
      </c>
      <c r="AD589">
        <f>SUMPRODUCT(DB_STProjectAcct[[#This Row],[Plan01]:[Plan12]],$F$14:$Q$14)/valUnits2</f>
        <v>25.572370000000006</v>
      </c>
      <c r="AE589">
        <f>SUMPRODUCT(DB_STProjectAcct[[#This Row],[Act01]:[Act12]],$R$14:$AC$14)/valUnits2</f>
        <v>26.879930000000009</v>
      </c>
      <c r="AF589">
        <f>DB_STProjectAcct[[#This Row],[Actual]]-DB_STProjectAcct[[#This Row],[Plan]]</f>
        <v>1.3075600000000023</v>
      </c>
      <c r="AG589">
        <f>IF(DB_STProjectAcct[[#This Row],[Plan]]&lt;&gt;0,DB_STProjectAcct[[#This Row],[Actual]]/DB_STProjectAcct[[#This Row],[Plan]],1.000011000011)</f>
        <v>1.0511317488367329</v>
      </c>
    </row>
    <row r="590" spans="1:33" hidden="1" x14ac:dyDescent="0.2">
      <c r="A590" t="s">
        <v>583</v>
      </c>
      <c r="B590" t="s">
        <v>351</v>
      </c>
      <c r="C590" t="s">
        <v>496</v>
      </c>
      <c r="D590" t="s">
        <v>496</v>
      </c>
      <c r="E590" t="s">
        <v>237</v>
      </c>
      <c r="F590">
        <v>1647.9550000000002</v>
      </c>
      <c r="G590">
        <v>159.84</v>
      </c>
      <c r="H590">
        <v>113.46900000000008</v>
      </c>
      <c r="I590">
        <v>5618.4319999999971</v>
      </c>
      <c r="J590">
        <v>1200.6579999999999</v>
      </c>
      <c r="K590">
        <v>114.75</v>
      </c>
      <c r="L590">
        <v>114.75</v>
      </c>
      <c r="M590">
        <v>114.75</v>
      </c>
      <c r="N590">
        <v>114.75</v>
      </c>
      <c r="O590">
        <v>114.75</v>
      </c>
      <c r="P590">
        <v>114.75</v>
      </c>
      <c r="Q590">
        <v>114.75</v>
      </c>
      <c r="R590">
        <v>1657.01</v>
      </c>
      <c r="S590">
        <v>159.84</v>
      </c>
      <c r="T590">
        <v>113.1</v>
      </c>
      <c r="U590">
        <v>5565.6799999999985</v>
      </c>
      <c r="V590">
        <v>1201.0299999999993</v>
      </c>
      <c r="W590">
        <v>115.16</v>
      </c>
      <c r="X590">
        <v>0</v>
      </c>
      <c r="Y590">
        <v>0</v>
      </c>
      <c r="Z590">
        <v>0</v>
      </c>
      <c r="AA590">
        <v>0</v>
      </c>
      <c r="AB590">
        <v>0</v>
      </c>
      <c r="AC590" s="297">
        <v>0</v>
      </c>
      <c r="AD590">
        <f>SUMPRODUCT(DB_STProjectAcct[[#This Row],[Plan01]:[Plan12]],$F$14:$Q$14)/valUnits2</f>
        <v>8.8551039999999972</v>
      </c>
      <c r="AE590">
        <f>SUMPRODUCT(DB_STProjectAcct[[#This Row],[Act01]:[Act12]],$R$14:$AC$14)/valUnits2</f>
        <v>8.8118199999999973</v>
      </c>
      <c r="AF590">
        <f>DB_STProjectAcct[[#This Row],[Actual]]-DB_STProjectAcct[[#This Row],[Plan]]</f>
        <v>-4.3283999999999878E-2</v>
      </c>
      <c r="AG590">
        <f>IF(DB_STProjectAcct[[#This Row],[Plan]]&lt;&gt;0,DB_STProjectAcct[[#This Row],[Actual]]/DB_STProjectAcct[[#This Row],[Plan]],1.000011000011)</f>
        <v>0.99511197158158726</v>
      </c>
    </row>
    <row r="591" spans="1:33" hidden="1" x14ac:dyDescent="0.2">
      <c r="A591" t="s">
        <v>584</v>
      </c>
      <c r="B591" t="s">
        <v>351</v>
      </c>
      <c r="C591" t="s">
        <v>496</v>
      </c>
      <c r="D591" t="s">
        <v>496</v>
      </c>
      <c r="E591" t="s">
        <v>141</v>
      </c>
      <c r="F591">
        <v>1507.8219999999999</v>
      </c>
      <c r="G591">
        <v>3543.152</v>
      </c>
      <c r="H591">
        <v>1595.627</v>
      </c>
      <c r="I591">
        <v>606.88299999999924</v>
      </c>
      <c r="J591">
        <v>4139.6519999999982</v>
      </c>
      <c r="K591">
        <v>2965.2730000000001</v>
      </c>
      <c r="L591">
        <v>2639.1970000000001</v>
      </c>
      <c r="M591">
        <v>2672.5309999999999</v>
      </c>
      <c r="N591">
        <v>2965.2730000000001</v>
      </c>
      <c r="O591">
        <v>2639.1969999999997</v>
      </c>
      <c r="P591">
        <v>2965.2730000000001</v>
      </c>
      <c r="Q591">
        <v>876.85600000000011</v>
      </c>
      <c r="R591">
        <v>1508.6100000000001</v>
      </c>
      <c r="S591">
        <v>3544.4400000000005</v>
      </c>
      <c r="T591">
        <v>1595.9800000000005</v>
      </c>
      <c r="U591">
        <v>605.94999999999982</v>
      </c>
      <c r="V591">
        <v>4128.58</v>
      </c>
      <c r="W591">
        <v>2029.28</v>
      </c>
      <c r="X591">
        <v>274.23</v>
      </c>
      <c r="Y591">
        <v>0</v>
      </c>
      <c r="Z591">
        <v>0</v>
      </c>
      <c r="AA591">
        <v>0</v>
      </c>
      <c r="AB591">
        <v>0</v>
      </c>
      <c r="AC591" s="295">
        <v>0</v>
      </c>
      <c r="AD591">
        <f>SUMPRODUCT(DB_STProjectAcct[[#This Row],[Plan01]:[Plan12]],$F$14:$Q$14)/valUnits2</f>
        <v>14.358409</v>
      </c>
      <c r="AE591">
        <f>SUMPRODUCT(DB_STProjectAcct[[#This Row],[Act01]:[Act12]],$R$14:$AC$14)/valUnits2</f>
        <v>13.412840000000003</v>
      </c>
      <c r="AF591">
        <f>DB_STProjectAcct[[#This Row],[Actual]]-DB_STProjectAcct[[#This Row],[Plan]]</f>
        <v>-0.94556899999999722</v>
      </c>
      <c r="AG591">
        <f>IF(DB_STProjectAcct[[#This Row],[Plan]]&lt;&gt;0,DB_STProjectAcct[[#This Row],[Actual]]/DB_STProjectAcct[[#This Row],[Plan]],1.000011000011)</f>
        <v>0.93414528030229549</v>
      </c>
    </row>
    <row r="592" spans="1:33" hidden="1" x14ac:dyDescent="0.2">
      <c r="A592" t="s">
        <v>585</v>
      </c>
      <c r="B592" t="s">
        <v>351</v>
      </c>
      <c r="C592" t="s">
        <v>497</v>
      </c>
      <c r="D592" t="s">
        <v>497</v>
      </c>
      <c r="E592" t="s">
        <v>143</v>
      </c>
      <c r="K592">
        <v>0</v>
      </c>
      <c r="W592">
        <v>93.36</v>
      </c>
      <c r="AC592" s="297"/>
      <c r="AD592">
        <f>SUMPRODUCT(DB_STProjectAcct[[#This Row],[Plan01]:[Plan12]],$F$14:$Q$14)/valUnits2</f>
        <v>0</v>
      </c>
      <c r="AE592">
        <f>SUMPRODUCT(DB_STProjectAcct[[#This Row],[Act01]:[Act12]],$R$14:$AC$14)/valUnits2</f>
        <v>9.3359999999999999E-2</v>
      </c>
      <c r="AF592">
        <f>DB_STProjectAcct[[#This Row],[Actual]]-DB_STProjectAcct[[#This Row],[Plan]]</f>
        <v>9.3359999999999999E-2</v>
      </c>
      <c r="AG592">
        <f>IF(DB_STProjectAcct[[#This Row],[Plan]]&lt;&gt;0,DB_STProjectAcct[[#This Row],[Actual]]/DB_STProjectAcct[[#This Row],[Plan]],1.000011000011)</f>
        <v>1.0000110000110001</v>
      </c>
    </row>
    <row r="593" spans="1:33" hidden="1" x14ac:dyDescent="0.2">
      <c r="A593" t="s">
        <v>586</v>
      </c>
      <c r="B593" t="s">
        <v>351</v>
      </c>
      <c r="C593" t="s">
        <v>497</v>
      </c>
      <c r="D593" t="s">
        <v>497</v>
      </c>
      <c r="E593" t="s">
        <v>235</v>
      </c>
      <c r="K593">
        <v>0</v>
      </c>
      <c r="W593">
        <v>25.66</v>
      </c>
      <c r="AC593" s="295"/>
      <c r="AD593">
        <f>SUMPRODUCT(DB_STProjectAcct[[#This Row],[Plan01]:[Plan12]],$F$14:$Q$14)/valUnits2</f>
        <v>0</v>
      </c>
      <c r="AE593">
        <f>SUMPRODUCT(DB_STProjectAcct[[#This Row],[Act01]:[Act12]],$R$14:$AC$14)/valUnits2</f>
        <v>2.5659999999999999E-2</v>
      </c>
      <c r="AF593">
        <f>DB_STProjectAcct[[#This Row],[Actual]]-DB_STProjectAcct[[#This Row],[Plan]]</f>
        <v>2.5659999999999999E-2</v>
      </c>
      <c r="AG593">
        <f>IF(DB_STProjectAcct[[#This Row],[Plan]]&lt;&gt;0,DB_STProjectAcct[[#This Row],[Actual]]/DB_STProjectAcct[[#This Row],[Plan]],1.000011000011)</f>
        <v>1.0000110000110001</v>
      </c>
    </row>
    <row r="594" spans="1:33" hidden="1" x14ac:dyDescent="0.2">
      <c r="A594" t="s">
        <v>587</v>
      </c>
      <c r="B594" t="s">
        <v>351</v>
      </c>
      <c r="C594" t="s">
        <v>497</v>
      </c>
      <c r="D594" t="s">
        <v>497</v>
      </c>
      <c r="E594" t="s">
        <v>144</v>
      </c>
      <c r="AC594" s="297"/>
      <c r="AD594">
        <f>SUMPRODUCT(DB_STProjectAcct[[#This Row],[Plan01]:[Plan12]],$F$14:$Q$14)/valUnits2</f>
        <v>0</v>
      </c>
      <c r="AE594">
        <f>SUMPRODUCT(DB_STProjectAcct[[#This Row],[Act01]:[Act12]],$R$14:$AC$14)/valUnits2</f>
        <v>0</v>
      </c>
      <c r="AF594">
        <f>DB_STProjectAcct[[#This Row],[Actual]]-DB_STProjectAcct[[#This Row],[Plan]]</f>
        <v>0</v>
      </c>
      <c r="AG594">
        <f>IF(DB_STProjectAcct[[#This Row],[Plan]]&lt;&gt;0,DB_STProjectAcct[[#This Row],[Actual]]/DB_STProjectAcct[[#This Row],[Plan]],1.000011000011)</f>
        <v>1.0000110000110001</v>
      </c>
    </row>
    <row r="595" spans="1:33" hidden="1" x14ac:dyDescent="0.2">
      <c r="A595" t="s">
        <v>588</v>
      </c>
      <c r="B595" t="s">
        <v>351</v>
      </c>
      <c r="C595" t="s">
        <v>497</v>
      </c>
      <c r="D595" t="s">
        <v>497</v>
      </c>
      <c r="E595" t="s">
        <v>142</v>
      </c>
      <c r="AC595" s="295"/>
      <c r="AD595">
        <f>SUMPRODUCT(DB_STProjectAcct[[#This Row],[Plan01]:[Plan12]],$F$14:$Q$14)/valUnits2</f>
        <v>0</v>
      </c>
      <c r="AE595">
        <f>SUMPRODUCT(DB_STProjectAcct[[#This Row],[Act01]:[Act12]],$R$14:$AC$14)/valUnits2</f>
        <v>0</v>
      </c>
      <c r="AF595">
        <f>DB_STProjectAcct[[#This Row],[Actual]]-DB_STProjectAcct[[#This Row],[Plan]]</f>
        <v>0</v>
      </c>
      <c r="AG595">
        <f>IF(DB_STProjectAcct[[#This Row],[Plan]]&lt;&gt;0,DB_STProjectAcct[[#This Row],[Actual]]/DB_STProjectAcct[[#This Row],[Plan]],1.000011000011)</f>
        <v>1.0000110000110001</v>
      </c>
    </row>
    <row r="596" spans="1:33" hidden="1" x14ac:dyDescent="0.2">
      <c r="A596" t="s">
        <v>589</v>
      </c>
      <c r="B596" t="s">
        <v>351</v>
      </c>
      <c r="C596" t="s">
        <v>497</v>
      </c>
      <c r="D596" t="s">
        <v>497</v>
      </c>
      <c r="E596" t="s">
        <v>140</v>
      </c>
      <c r="F596">
        <v>1536.8799999999999</v>
      </c>
      <c r="G596">
        <v>28434.434000000008</v>
      </c>
      <c r="H596">
        <v>21938.622999999996</v>
      </c>
      <c r="I596">
        <v>29518.248999999989</v>
      </c>
      <c r="J596">
        <v>18258.372000000003</v>
      </c>
      <c r="K596">
        <v>20827.249000000003</v>
      </c>
      <c r="L596">
        <v>19660.197</v>
      </c>
      <c r="M596">
        <v>19592.078999999998</v>
      </c>
      <c r="N596">
        <v>19540.054000000007</v>
      </c>
      <c r="O596">
        <v>15180.043</v>
      </c>
      <c r="P596">
        <v>15180.043</v>
      </c>
      <c r="Q596">
        <v>12400.260999999999</v>
      </c>
      <c r="R596">
        <v>159.6</v>
      </c>
      <c r="S596">
        <v>27028.52</v>
      </c>
      <c r="T596">
        <v>20294.030000000006</v>
      </c>
      <c r="U596">
        <v>27675.609999999997</v>
      </c>
      <c r="V596">
        <v>13973.519999999999</v>
      </c>
      <c r="W596">
        <v>14898.98</v>
      </c>
      <c r="X596">
        <v>0</v>
      </c>
      <c r="Y596">
        <v>0</v>
      </c>
      <c r="Z596">
        <v>0</v>
      </c>
      <c r="AA596">
        <v>0</v>
      </c>
      <c r="AB596">
        <v>0</v>
      </c>
      <c r="AC596" s="297">
        <v>0</v>
      </c>
      <c r="AD596">
        <f>SUMPRODUCT(DB_STProjectAcct[[#This Row],[Plan01]:[Plan12]],$F$14:$Q$14)/valUnits2</f>
        <v>120.513807</v>
      </c>
      <c r="AE596">
        <f>SUMPRODUCT(DB_STProjectAcct[[#This Row],[Act01]:[Act12]],$R$14:$AC$14)/valUnits2</f>
        <v>104.03026000000001</v>
      </c>
      <c r="AF596">
        <f>DB_STProjectAcct[[#This Row],[Actual]]-DB_STProjectAcct[[#This Row],[Plan]]</f>
        <v>-16.483546999999987</v>
      </c>
      <c r="AG596">
        <f>IF(DB_STProjectAcct[[#This Row],[Plan]]&lt;&gt;0,DB_STProjectAcct[[#This Row],[Actual]]/DB_STProjectAcct[[#This Row],[Plan]],1.000011000011)</f>
        <v>0.86322275090023515</v>
      </c>
    </row>
    <row r="597" spans="1:33" hidden="1" x14ac:dyDescent="0.2">
      <c r="A597" t="s">
        <v>590</v>
      </c>
      <c r="B597" t="s">
        <v>351</v>
      </c>
      <c r="C597" t="s">
        <v>497</v>
      </c>
      <c r="D597" t="s">
        <v>497</v>
      </c>
      <c r="E597" t="s">
        <v>236</v>
      </c>
      <c r="F597">
        <v>330.83</v>
      </c>
      <c r="G597">
        <v>56.67</v>
      </c>
      <c r="H597">
        <v>230.15900000000002</v>
      </c>
      <c r="I597">
        <v>-614.61</v>
      </c>
      <c r="K597">
        <v>0</v>
      </c>
      <c r="R597">
        <v>330.83</v>
      </c>
      <c r="S597">
        <v>56.67</v>
      </c>
      <c r="T597">
        <v>230.16000000000003</v>
      </c>
      <c r="U597">
        <v>-614.61</v>
      </c>
      <c r="W597">
        <v>1231.79</v>
      </c>
      <c r="AC597" s="295"/>
      <c r="AD597">
        <f>SUMPRODUCT(DB_STProjectAcct[[#This Row],[Plan01]:[Plan12]],$F$14:$Q$14)/valUnits2</f>
        <v>3.0489999999999784E-3</v>
      </c>
      <c r="AE597">
        <f>SUMPRODUCT(DB_STProjectAcct[[#This Row],[Act01]:[Act12]],$R$14:$AC$14)/valUnits2</f>
        <v>1.2348400000000002</v>
      </c>
      <c r="AF597">
        <f>DB_STProjectAcct[[#This Row],[Actual]]-DB_STProjectAcct[[#This Row],[Plan]]</f>
        <v>1.2317910000000001</v>
      </c>
      <c r="AG597">
        <f>IF(DB_STProjectAcct[[#This Row],[Plan]]&lt;&gt;0,DB_STProjectAcct[[#This Row],[Actual]]/DB_STProjectAcct[[#This Row],[Plan]],1.000011000011)</f>
        <v>404.9983601180744</v>
      </c>
    </row>
    <row r="598" spans="1:33" hidden="1" x14ac:dyDescent="0.2">
      <c r="A598" t="s">
        <v>591</v>
      </c>
      <c r="B598" t="s">
        <v>351</v>
      </c>
      <c r="C598" t="s">
        <v>497</v>
      </c>
      <c r="D598" t="s">
        <v>497</v>
      </c>
      <c r="E598" t="s">
        <v>237</v>
      </c>
      <c r="F598">
        <v>0</v>
      </c>
      <c r="G598">
        <v>0</v>
      </c>
      <c r="H598">
        <v>1111.08</v>
      </c>
      <c r="I598">
        <v>-1092.24</v>
      </c>
      <c r="J598">
        <v>24.28</v>
      </c>
      <c r="K598">
        <v>157.006</v>
      </c>
      <c r="L598">
        <v>170.46700000000001</v>
      </c>
      <c r="M598">
        <v>170.46700000000001</v>
      </c>
      <c r="N598">
        <v>170.46700000000001</v>
      </c>
      <c r="O598">
        <v>170.46700000000001</v>
      </c>
      <c r="P598">
        <v>170.46700000000001</v>
      </c>
      <c r="Q598">
        <v>170.46700000000001</v>
      </c>
      <c r="R598">
        <v>0</v>
      </c>
      <c r="S598">
        <v>0</v>
      </c>
      <c r="T598">
        <v>1111.08</v>
      </c>
      <c r="U598">
        <v>-1092.24</v>
      </c>
      <c r="V598">
        <v>24.28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 s="297">
        <v>0</v>
      </c>
      <c r="AD598">
        <f>SUMPRODUCT(DB_STProjectAcct[[#This Row],[Plan01]:[Plan12]],$F$14:$Q$14)/valUnits2</f>
        <v>0.20012599999999992</v>
      </c>
      <c r="AE598">
        <f>SUMPRODUCT(DB_STProjectAcct[[#This Row],[Act01]:[Act12]],$R$14:$AC$14)/valUnits2</f>
        <v>4.3119999999999922E-2</v>
      </c>
      <c r="AF598">
        <f>DB_STProjectAcct[[#This Row],[Actual]]-DB_STProjectAcct[[#This Row],[Plan]]</f>
        <v>-0.15700599999999998</v>
      </c>
      <c r="AG598">
        <f>IF(DB_STProjectAcct[[#This Row],[Plan]]&lt;&gt;0,DB_STProjectAcct[[#This Row],[Actual]]/DB_STProjectAcct[[#This Row],[Plan]],1.000011000011)</f>
        <v>0.21546425751776352</v>
      </c>
    </row>
    <row r="599" spans="1:33" hidden="1" x14ac:dyDescent="0.2">
      <c r="A599" t="s">
        <v>592</v>
      </c>
      <c r="B599" t="s">
        <v>351</v>
      </c>
      <c r="C599" t="s">
        <v>497</v>
      </c>
      <c r="D599" t="s">
        <v>497</v>
      </c>
      <c r="E599" t="s">
        <v>141</v>
      </c>
      <c r="F599">
        <v>145.21</v>
      </c>
      <c r="G599">
        <v>85.912999999999997</v>
      </c>
      <c r="H599">
        <v>0</v>
      </c>
      <c r="K599">
        <v>0</v>
      </c>
      <c r="R599">
        <v>145.21</v>
      </c>
      <c r="S599">
        <v>85.830000000000013</v>
      </c>
      <c r="T599">
        <v>0</v>
      </c>
      <c r="W599">
        <v>8729.93</v>
      </c>
      <c r="AC599" s="295"/>
      <c r="AD599">
        <f>SUMPRODUCT(DB_STProjectAcct[[#This Row],[Plan01]:[Plan12]],$F$14:$Q$14)/valUnits2</f>
        <v>0.231123</v>
      </c>
      <c r="AE599">
        <f>SUMPRODUCT(DB_STProjectAcct[[#This Row],[Act01]:[Act12]],$R$14:$AC$14)/valUnits2</f>
        <v>8.9609700000000014</v>
      </c>
      <c r="AF599">
        <f>DB_STProjectAcct[[#This Row],[Actual]]-DB_STProjectAcct[[#This Row],[Plan]]</f>
        <v>8.7298470000000012</v>
      </c>
      <c r="AG599">
        <f>IF(DB_STProjectAcct[[#This Row],[Plan]]&lt;&gt;0,DB_STProjectAcct[[#This Row],[Actual]]/DB_STProjectAcct[[#This Row],[Plan]],1.000011000011)</f>
        <v>38.77143339260914</v>
      </c>
    </row>
    <row r="600" spans="1:33" hidden="1" x14ac:dyDescent="0.2">
      <c r="A600" t="s">
        <v>593</v>
      </c>
      <c r="B600" t="s">
        <v>351</v>
      </c>
      <c r="C600" t="s">
        <v>498</v>
      </c>
      <c r="D600" t="s">
        <v>498</v>
      </c>
      <c r="E600" t="s">
        <v>143</v>
      </c>
      <c r="G600">
        <v>108.074</v>
      </c>
      <c r="H600">
        <v>0</v>
      </c>
      <c r="I600">
        <v>0</v>
      </c>
      <c r="J600">
        <v>0</v>
      </c>
      <c r="K600">
        <v>250</v>
      </c>
      <c r="L600">
        <v>250</v>
      </c>
      <c r="M600">
        <v>500</v>
      </c>
      <c r="N600">
        <v>250</v>
      </c>
      <c r="O600">
        <v>250</v>
      </c>
      <c r="P600">
        <v>250</v>
      </c>
      <c r="Q600">
        <v>250</v>
      </c>
      <c r="S600">
        <v>106.52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 s="297">
        <v>0</v>
      </c>
      <c r="AD600">
        <f>SUMPRODUCT(DB_STProjectAcct[[#This Row],[Plan01]:[Plan12]],$F$14:$Q$14)/valUnits2</f>
        <v>0.358074</v>
      </c>
      <c r="AE600">
        <f>SUMPRODUCT(DB_STProjectAcct[[#This Row],[Act01]:[Act12]],$R$14:$AC$14)/valUnits2</f>
        <v>0.10651999999999999</v>
      </c>
      <c r="AF600">
        <f>DB_STProjectAcct[[#This Row],[Actual]]-DB_STProjectAcct[[#This Row],[Plan]]</f>
        <v>-0.251554</v>
      </c>
      <c r="AG600">
        <f>IF(DB_STProjectAcct[[#This Row],[Plan]]&lt;&gt;0,DB_STProjectAcct[[#This Row],[Actual]]/DB_STProjectAcct[[#This Row],[Plan]],1.000011000011)</f>
        <v>0.29748040907745321</v>
      </c>
    </row>
    <row r="601" spans="1:33" hidden="1" x14ac:dyDescent="0.2">
      <c r="A601" t="s">
        <v>594</v>
      </c>
      <c r="B601" t="s">
        <v>351</v>
      </c>
      <c r="C601" t="s">
        <v>498</v>
      </c>
      <c r="D601" t="s">
        <v>498</v>
      </c>
      <c r="E601" t="s">
        <v>235</v>
      </c>
      <c r="K601">
        <v>0</v>
      </c>
      <c r="W601">
        <v>9.0299999999999994</v>
      </c>
      <c r="AC601" s="295"/>
      <c r="AD601">
        <f>SUMPRODUCT(DB_STProjectAcct[[#This Row],[Plan01]:[Plan12]],$F$14:$Q$14)/valUnits2</f>
        <v>0</v>
      </c>
      <c r="AE601">
        <f>SUMPRODUCT(DB_STProjectAcct[[#This Row],[Act01]:[Act12]],$R$14:$AC$14)/valUnits2</f>
        <v>9.0299999999999998E-3</v>
      </c>
      <c r="AF601">
        <f>DB_STProjectAcct[[#This Row],[Actual]]-DB_STProjectAcct[[#This Row],[Plan]]</f>
        <v>9.0299999999999998E-3</v>
      </c>
      <c r="AG601">
        <f>IF(DB_STProjectAcct[[#This Row],[Plan]]&lt;&gt;0,DB_STProjectAcct[[#This Row],[Actual]]/DB_STProjectAcct[[#This Row],[Plan]],1.000011000011)</f>
        <v>1.0000110000110001</v>
      </c>
    </row>
    <row r="602" spans="1:33" hidden="1" x14ac:dyDescent="0.2">
      <c r="A602" t="s">
        <v>595</v>
      </c>
      <c r="B602" t="s">
        <v>351</v>
      </c>
      <c r="C602" t="s">
        <v>498</v>
      </c>
      <c r="D602" t="s">
        <v>498</v>
      </c>
      <c r="E602" t="s">
        <v>144</v>
      </c>
      <c r="AC602" s="297"/>
      <c r="AD602">
        <f>SUMPRODUCT(DB_STProjectAcct[[#This Row],[Plan01]:[Plan12]],$F$14:$Q$14)/valUnits2</f>
        <v>0</v>
      </c>
      <c r="AE602">
        <f>SUMPRODUCT(DB_STProjectAcct[[#This Row],[Act01]:[Act12]],$R$14:$AC$14)/valUnits2</f>
        <v>0</v>
      </c>
      <c r="AF602">
        <f>DB_STProjectAcct[[#This Row],[Actual]]-DB_STProjectAcct[[#This Row],[Plan]]</f>
        <v>0</v>
      </c>
      <c r="AG602">
        <f>IF(DB_STProjectAcct[[#This Row],[Plan]]&lt;&gt;0,DB_STProjectAcct[[#This Row],[Actual]]/DB_STProjectAcct[[#This Row],[Plan]],1.000011000011)</f>
        <v>1.0000110000110001</v>
      </c>
    </row>
    <row r="603" spans="1:33" hidden="1" x14ac:dyDescent="0.2">
      <c r="A603" t="s">
        <v>596</v>
      </c>
      <c r="B603" t="s">
        <v>351</v>
      </c>
      <c r="C603" t="s">
        <v>498</v>
      </c>
      <c r="D603" t="s">
        <v>498</v>
      </c>
      <c r="E603" t="s">
        <v>142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929.96900000000005</v>
      </c>
      <c r="L603">
        <v>929.96900000000005</v>
      </c>
      <c r="M603">
        <v>929.96900000000005</v>
      </c>
      <c r="N603">
        <v>929.96900000000005</v>
      </c>
      <c r="O603">
        <v>929.96900000000005</v>
      </c>
      <c r="P603">
        <v>929.96900000000005</v>
      </c>
      <c r="Q603">
        <v>929.96900000000005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 s="295">
        <v>0</v>
      </c>
      <c r="AD603">
        <f>SUMPRODUCT(DB_STProjectAcct[[#This Row],[Plan01]:[Plan12]],$F$14:$Q$14)/valUnits2</f>
        <v>0.92996900000000005</v>
      </c>
      <c r="AE603">
        <f>SUMPRODUCT(DB_STProjectAcct[[#This Row],[Act01]:[Act12]],$R$14:$AC$14)/valUnits2</f>
        <v>0</v>
      </c>
      <c r="AF603">
        <f>DB_STProjectAcct[[#This Row],[Actual]]-DB_STProjectAcct[[#This Row],[Plan]]</f>
        <v>-0.92996900000000005</v>
      </c>
      <c r="AG603">
        <f>IF(DB_STProjectAcct[[#This Row],[Plan]]&lt;&gt;0,DB_STProjectAcct[[#This Row],[Actual]]/DB_STProjectAcct[[#This Row],[Plan]],1.000011000011)</f>
        <v>0</v>
      </c>
    </row>
    <row r="604" spans="1:33" hidden="1" x14ac:dyDescent="0.2">
      <c r="A604" t="s">
        <v>597</v>
      </c>
      <c r="B604" t="s">
        <v>351</v>
      </c>
      <c r="C604" t="s">
        <v>498</v>
      </c>
      <c r="D604" t="s">
        <v>498</v>
      </c>
      <c r="E604" t="s">
        <v>140</v>
      </c>
      <c r="F604">
        <v>11199.36</v>
      </c>
      <c r="G604">
        <v>15037.487000000001</v>
      </c>
      <c r="H604">
        <v>17113.021000000001</v>
      </c>
      <c r="I604">
        <v>61235.789999999979</v>
      </c>
      <c r="J604">
        <v>68555.429000000018</v>
      </c>
      <c r="K604">
        <v>52724.59</v>
      </c>
      <c r="L604">
        <v>52113.79800000001</v>
      </c>
      <c r="M604">
        <v>51410.82</v>
      </c>
      <c r="N604">
        <v>51352.648000000008</v>
      </c>
      <c r="O604">
        <v>44599.789000000019</v>
      </c>
      <c r="P604">
        <v>43017.951000000023</v>
      </c>
      <c r="Q604">
        <v>32795.563000000009</v>
      </c>
      <c r="R604">
        <v>8591.9600000000028</v>
      </c>
      <c r="S604">
        <v>12199.090000000002</v>
      </c>
      <c r="T604">
        <v>13427.279999999999</v>
      </c>
      <c r="U604">
        <v>57304.650000000023</v>
      </c>
      <c r="V604">
        <v>54463.39999999998</v>
      </c>
      <c r="W604">
        <v>36403.42</v>
      </c>
      <c r="X604">
        <v>0</v>
      </c>
      <c r="Y604">
        <v>0</v>
      </c>
      <c r="Z604">
        <v>0</v>
      </c>
      <c r="AA604">
        <v>0</v>
      </c>
      <c r="AB604">
        <v>0</v>
      </c>
      <c r="AC604" s="297">
        <v>0</v>
      </c>
      <c r="AD604">
        <f>SUMPRODUCT(DB_STProjectAcct[[#This Row],[Plan01]:[Plan12]],$F$14:$Q$14)/valUnits2</f>
        <v>225.86567700000001</v>
      </c>
      <c r="AE604">
        <f>SUMPRODUCT(DB_STProjectAcct[[#This Row],[Act01]:[Act12]],$R$14:$AC$14)/valUnits2</f>
        <v>182.38979999999998</v>
      </c>
      <c r="AF604">
        <f>DB_STProjectAcct[[#This Row],[Actual]]-DB_STProjectAcct[[#This Row],[Plan]]</f>
        <v>-43.475877000000025</v>
      </c>
      <c r="AG604">
        <f>IF(DB_STProjectAcct[[#This Row],[Plan]]&lt;&gt;0,DB_STProjectAcct[[#This Row],[Actual]]/DB_STProjectAcct[[#This Row],[Plan]],1.000011000011)</f>
        <v>0.80751445913581621</v>
      </c>
    </row>
    <row r="605" spans="1:33" hidden="1" x14ac:dyDescent="0.2">
      <c r="A605" t="s">
        <v>598</v>
      </c>
      <c r="B605" t="s">
        <v>351</v>
      </c>
      <c r="C605" t="s">
        <v>498</v>
      </c>
      <c r="D605" t="s">
        <v>498</v>
      </c>
      <c r="E605" t="s">
        <v>236</v>
      </c>
      <c r="F605">
        <v>1828.9859999999999</v>
      </c>
      <c r="G605">
        <v>1666.6659999999999</v>
      </c>
      <c r="H605">
        <v>1666.6659999999999</v>
      </c>
      <c r="I605">
        <v>1656.636</v>
      </c>
      <c r="J605">
        <v>3581.5059999999999</v>
      </c>
      <c r="K605">
        <v>1666.6659999999999</v>
      </c>
      <c r="L605">
        <v>1666.6659999999999</v>
      </c>
      <c r="M605">
        <v>1666.6659999999999</v>
      </c>
      <c r="N605">
        <v>1666.6659999999999</v>
      </c>
      <c r="O605">
        <v>1666.6659999999999</v>
      </c>
      <c r="P605">
        <v>1666.6659999999999</v>
      </c>
      <c r="Q605">
        <v>1666.6659999999999</v>
      </c>
      <c r="R605">
        <v>162.32</v>
      </c>
      <c r="S605">
        <v>0</v>
      </c>
      <c r="T605">
        <v>0</v>
      </c>
      <c r="U605">
        <v>-10.029999999999999</v>
      </c>
      <c r="V605">
        <v>1914.84</v>
      </c>
      <c r="W605">
        <v>154.44999999999999</v>
      </c>
      <c r="X605">
        <v>0</v>
      </c>
      <c r="Y605">
        <v>0</v>
      </c>
      <c r="Z605">
        <v>0</v>
      </c>
      <c r="AA605">
        <v>0</v>
      </c>
      <c r="AB605">
        <v>0</v>
      </c>
      <c r="AC605" s="295">
        <v>0</v>
      </c>
      <c r="AD605">
        <f>SUMPRODUCT(DB_STProjectAcct[[#This Row],[Plan01]:[Plan12]],$F$14:$Q$14)/valUnits2</f>
        <v>12.067125999999998</v>
      </c>
      <c r="AE605">
        <f>SUMPRODUCT(DB_STProjectAcct[[#This Row],[Act01]:[Act12]],$R$14:$AC$14)/valUnits2</f>
        <v>2.2215799999999999</v>
      </c>
      <c r="AF605">
        <f>DB_STProjectAcct[[#This Row],[Actual]]-DB_STProjectAcct[[#This Row],[Plan]]</f>
        <v>-9.8455459999999988</v>
      </c>
      <c r="AG605">
        <f>IF(DB_STProjectAcct[[#This Row],[Plan]]&lt;&gt;0,DB_STProjectAcct[[#This Row],[Actual]]/DB_STProjectAcct[[#This Row],[Plan]],1.000011000011)</f>
        <v>0.18410183170375449</v>
      </c>
    </row>
    <row r="606" spans="1:33" hidden="1" x14ac:dyDescent="0.2">
      <c r="A606" t="s">
        <v>599</v>
      </c>
      <c r="B606" t="s">
        <v>351</v>
      </c>
      <c r="C606" t="s">
        <v>498</v>
      </c>
      <c r="D606" t="s">
        <v>498</v>
      </c>
      <c r="E606" t="s">
        <v>237</v>
      </c>
      <c r="G606">
        <v>78.819999999999993</v>
      </c>
      <c r="H606">
        <v>1818.04</v>
      </c>
      <c r="I606">
        <v>-127.38200000000001</v>
      </c>
      <c r="J606">
        <v>360.27</v>
      </c>
      <c r="K606">
        <v>0</v>
      </c>
      <c r="S606">
        <v>78.819999999999993</v>
      </c>
      <c r="T606">
        <v>1818.04</v>
      </c>
      <c r="U606">
        <v>-127.37</v>
      </c>
      <c r="V606">
        <v>360.27</v>
      </c>
      <c r="W606">
        <v>0</v>
      </c>
      <c r="AC606" s="297"/>
      <c r="AD606">
        <f>SUMPRODUCT(DB_STProjectAcct[[#This Row],[Plan01]:[Plan12]],$F$14:$Q$14)/valUnits2</f>
        <v>2.1297479999999998</v>
      </c>
      <c r="AE606">
        <f>SUMPRODUCT(DB_STProjectAcct[[#This Row],[Act01]:[Act12]],$R$14:$AC$14)/valUnits2</f>
        <v>2.1297599999999997</v>
      </c>
      <c r="AF606">
        <f>DB_STProjectAcct[[#This Row],[Actual]]-DB_STProjectAcct[[#This Row],[Plan]]</f>
        <v>1.1999999999900979E-5</v>
      </c>
      <c r="AG606">
        <f>IF(DB_STProjectAcct[[#This Row],[Plan]]&lt;&gt;0,DB_STProjectAcct[[#This Row],[Actual]]/DB_STProjectAcct[[#This Row],[Plan]],1.000011000011)</f>
        <v>1.0000056344694301</v>
      </c>
    </row>
    <row r="607" spans="1:33" hidden="1" x14ac:dyDescent="0.2">
      <c r="A607" t="s">
        <v>600</v>
      </c>
      <c r="B607" t="s">
        <v>351</v>
      </c>
      <c r="C607" t="s">
        <v>498</v>
      </c>
      <c r="D607" t="s">
        <v>498</v>
      </c>
      <c r="E607" t="s">
        <v>141</v>
      </c>
      <c r="F607">
        <v>121.38</v>
      </c>
      <c r="G607">
        <v>31.119999999999997</v>
      </c>
      <c r="H607">
        <v>84.070999999999998</v>
      </c>
      <c r="I607">
        <v>120.553</v>
      </c>
      <c r="J607">
        <v>423.24899999999997</v>
      </c>
      <c r="K607">
        <v>149.99799999999999</v>
      </c>
      <c r="L607">
        <v>149.99799999999999</v>
      </c>
      <c r="M607">
        <v>249.99799999999999</v>
      </c>
      <c r="N607">
        <v>149.99799999999999</v>
      </c>
      <c r="O607">
        <v>149.99799999999999</v>
      </c>
      <c r="P607">
        <v>149.99799999999999</v>
      </c>
      <c r="Q607">
        <v>149.99799999999999</v>
      </c>
      <c r="R607">
        <v>121.38000000000001</v>
      </c>
      <c r="S607">
        <v>31.119999999999997</v>
      </c>
      <c r="T607">
        <v>84.070000000000007</v>
      </c>
      <c r="U607">
        <v>120.64</v>
      </c>
      <c r="V607">
        <v>423.27</v>
      </c>
      <c r="W607">
        <v>1493.6200000000001</v>
      </c>
      <c r="X607">
        <v>0</v>
      </c>
      <c r="Y607">
        <v>0</v>
      </c>
      <c r="Z607">
        <v>0</v>
      </c>
      <c r="AA607">
        <v>0</v>
      </c>
      <c r="AB607">
        <v>0</v>
      </c>
      <c r="AC607" s="295">
        <v>0</v>
      </c>
      <c r="AD607">
        <f>SUMPRODUCT(DB_STProjectAcct[[#This Row],[Plan01]:[Plan12]],$F$14:$Q$14)/valUnits2</f>
        <v>0.93037100000000006</v>
      </c>
      <c r="AE607">
        <f>SUMPRODUCT(DB_STProjectAcct[[#This Row],[Act01]:[Act12]],$R$14:$AC$14)/valUnits2</f>
        <v>2.2741000000000002</v>
      </c>
      <c r="AF607">
        <f>DB_STProjectAcct[[#This Row],[Actual]]-DB_STProjectAcct[[#This Row],[Plan]]</f>
        <v>1.3437290000000002</v>
      </c>
      <c r="AG607">
        <f>IF(DB_STProjectAcct[[#This Row],[Plan]]&lt;&gt;0,DB_STProjectAcct[[#This Row],[Actual]]/DB_STProjectAcct[[#This Row],[Plan]],1.000011000011)</f>
        <v>2.4442937279859325</v>
      </c>
    </row>
    <row r="608" spans="1:33" hidden="1" x14ac:dyDescent="0.2">
      <c r="A608" t="s">
        <v>601</v>
      </c>
      <c r="B608" t="s">
        <v>351</v>
      </c>
      <c r="C608" t="s">
        <v>499</v>
      </c>
      <c r="D608" t="s">
        <v>499</v>
      </c>
      <c r="E608" t="s">
        <v>143</v>
      </c>
      <c r="F608">
        <v>671.36</v>
      </c>
      <c r="G608">
        <v>0</v>
      </c>
      <c r="H608">
        <v>0</v>
      </c>
      <c r="I608">
        <v>0</v>
      </c>
      <c r="J608">
        <v>-518.41</v>
      </c>
      <c r="K608">
        <v>500</v>
      </c>
      <c r="L608">
        <v>500</v>
      </c>
      <c r="M608">
        <v>1000</v>
      </c>
      <c r="N608">
        <v>500</v>
      </c>
      <c r="O608">
        <v>500</v>
      </c>
      <c r="P608">
        <v>500</v>
      </c>
      <c r="Q608">
        <v>500</v>
      </c>
      <c r="R608">
        <v>671.36</v>
      </c>
      <c r="S608">
        <v>0</v>
      </c>
      <c r="T608">
        <v>0</v>
      </c>
      <c r="U608">
        <v>0</v>
      </c>
      <c r="V608">
        <v>-523.72</v>
      </c>
      <c r="W608">
        <v>97.570000000000007</v>
      </c>
      <c r="X608">
        <v>0</v>
      </c>
      <c r="Y608">
        <v>0</v>
      </c>
      <c r="Z608">
        <v>0</v>
      </c>
      <c r="AA608">
        <v>0</v>
      </c>
      <c r="AB608">
        <v>0</v>
      </c>
      <c r="AC608" s="297">
        <v>0</v>
      </c>
      <c r="AD608">
        <f>SUMPRODUCT(DB_STProjectAcct[[#This Row],[Plan01]:[Plan12]],$F$14:$Q$14)/valUnits2</f>
        <v>0.65295000000000003</v>
      </c>
      <c r="AE608">
        <f>SUMPRODUCT(DB_STProjectAcct[[#This Row],[Act01]:[Act12]],$R$14:$AC$14)/valUnits2</f>
        <v>0.24520999999999998</v>
      </c>
      <c r="AF608">
        <f>DB_STProjectAcct[[#This Row],[Actual]]-DB_STProjectAcct[[#This Row],[Plan]]</f>
        <v>-0.40774000000000005</v>
      </c>
      <c r="AG608">
        <f>IF(DB_STProjectAcct[[#This Row],[Plan]]&lt;&gt;0,DB_STProjectAcct[[#This Row],[Actual]]/DB_STProjectAcct[[#This Row],[Plan]],1.000011000011)</f>
        <v>0.37554177195803656</v>
      </c>
    </row>
    <row r="609" spans="1:33" hidden="1" x14ac:dyDescent="0.2">
      <c r="A609" t="s">
        <v>602</v>
      </c>
      <c r="B609" t="s">
        <v>351</v>
      </c>
      <c r="C609" t="s">
        <v>499</v>
      </c>
      <c r="D609" t="s">
        <v>499</v>
      </c>
      <c r="E609" t="s">
        <v>235</v>
      </c>
      <c r="F609">
        <v>610.18200000000002</v>
      </c>
      <c r="G609">
        <v>76.158000000000001</v>
      </c>
      <c r="H609">
        <v>-185.24</v>
      </c>
      <c r="J609">
        <v>65.56</v>
      </c>
      <c r="K609">
        <v>0</v>
      </c>
      <c r="R609">
        <v>604.09</v>
      </c>
      <c r="S609">
        <v>78.33</v>
      </c>
      <c r="T609">
        <v>-185.24</v>
      </c>
      <c r="V609">
        <v>70.87</v>
      </c>
      <c r="W609">
        <v>75.53</v>
      </c>
      <c r="AC609" s="295"/>
      <c r="AD609">
        <f>SUMPRODUCT(DB_STProjectAcct[[#This Row],[Plan01]:[Plan12]],$F$14:$Q$14)/valUnits2</f>
        <v>0.56666000000000005</v>
      </c>
      <c r="AE609">
        <f>SUMPRODUCT(DB_STProjectAcct[[#This Row],[Act01]:[Act12]],$R$14:$AC$14)/valUnits2</f>
        <v>0.64358000000000004</v>
      </c>
      <c r="AF609">
        <f>DB_STProjectAcct[[#This Row],[Actual]]-DB_STProjectAcct[[#This Row],[Plan]]</f>
        <v>7.6919999999999988E-2</v>
      </c>
      <c r="AG609">
        <f>IF(DB_STProjectAcct[[#This Row],[Plan]]&lt;&gt;0,DB_STProjectAcct[[#This Row],[Actual]]/DB_STProjectAcct[[#This Row],[Plan]],1.000011000011)</f>
        <v>1.1357427734443934</v>
      </c>
    </row>
    <row r="610" spans="1:33" hidden="1" x14ac:dyDescent="0.2">
      <c r="A610" t="s">
        <v>603</v>
      </c>
      <c r="B610" t="s">
        <v>351</v>
      </c>
      <c r="C610" t="s">
        <v>499</v>
      </c>
      <c r="D610" t="s">
        <v>499</v>
      </c>
      <c r="E610" t="s">
        <v>144</v>
      </c>
      <c r="AC610" s="297"/>
      <c r="AD610">
        <f>SUMPRODUCT(DB_STProjectAcct[[#This Row],[Plan01]:[Plan12]],$F$14:$Q$14)/valUnits2</f>
        <v>0</v>
      </c>
      <c r="AE610">
        <f>SUMPRODUCT(DB_STProjectAcct[[#This Row],[Act01]:[Act12]],$R$14:$AC$14)/valUnits2</f>
        <v>0</v>
      </c>
      <c r="AF610">
        <f>DB_STProjectAcct[[#This Row],[Actual]]-DB_STProjectAcct[[#This Row],[Plan]]</f>
        <v>0</v>
      </c>
      <c r="AG610">
        <f>IF(DB_STProjectAcct[[#This Row],[Plan]]&lt;&gt;0,DB_STProjectAcct[[#This Row],[Actual]]/DB_STProjectAcct[[#This Row],[Plan]],1.000011000011)</f>
        <v>1.0000110000110001</v>
      </c>
    </row>
    <row r="611" spans="1:33" hidden="1" x14ac:dyDescent="0.2">
      <c r="A611" t="s">
        <v>604</v>
      </c>
      <c r="B611" t="s">
        <v>351</v>
      </c>
      <c r="C611" t="s">
        <v>499</v>
      </c>
      <c r="D611" t="s">
        <v>499</v>
      </c>
      <c r="E611" t="s">
        <v>142</v>
      </c>
      <c r="AC611" s="295"/>
      <c r="AD611">
        <f>SUMPRODUCT(DB_STProjectAcct[[#This Row],[Plan01]:[Plan12]],$F$14:$Q$14)/valUnits2</f>
        <v>0</v>
      </c>
      <c r="AE611">
        <f>SUMPRODUCT(DB_STProjectAcct[[#This Row],[Act01]:[Act12]],$R$14:$AC$14)/valUnits2</f>
        <v>0</v>
      </c>
      <c r="AF611">
        <f>DB_STProjectAcct[[#This Row],[Actual]]-DB_STProjectAcct[[#This Row],[Plan]]</f>
        <v>0</v>
      </c>
      <c r="AG611">
        <f>IF(DB_STProjectAcct[[#This Row],[Plan]]&lt;&gt;0,DB_STProjectAcct[[#This Row],[Actual]]/DB_STProjectAcct[[#This Row],[Plan]],1.000011000011)</f>
        <v>1.0000110000110001</v>
      </c>
    </row>
    <row r="612" spans="1:33" hidden="1" x14ac:dyDescent="0.2">
      <c r="A612" t="s">
        <v>605</v>
      </c>
      <c r="B612" t="s">
        <v>351</v>
      </c>
      <c r="C612" t="s">
        <v>499</v>
      </c>
      <c r="D612" t="s">
        <v>499</v>
      </c>
      <c r="E612" t="s">
        <v>140</v>
      </c>
      <c r="F612">
        <v>189571.89499999999</v>
      </c>
      <c r="G612">
        <v>105751.019</v>
      </c>
      <c r="H612">
        <v>162192.62100000001</v>
      </c>
      <c r="I612">
        <v>-73949.952000000005</v>
      </c>
      <c r="J612">
        <v>-75394.664000000019</v>
      </c>
      <c r="K612">
        <v>59805.896999999997</v>
      </c>
      <c r="L612">
        <v>56826.760999999984</v>
      </c>
      <c r="M612">
        <v>56506.955999999991</v>
      </c>
      <c r="N612">
        <v>56397.177999999993</v>
      </c>
      <c r="O612">
        <v>48813.964</v>
      </c>
      <c r="P612">
        <v>48813.963999999993</v>
      </c>
      <c r="Q612">
        <v>38541.910999999993</v>
      </c>
      <c r="R612">
        <v>177858.50000000003</v>
      </c>
      <c r="S612">
        <v>94301.41999999994</v>
      </c>
      <c r="T612">
        <v>150263.43000000008</v>
      </c>
      <c r="U612">
        <v>-86198.479999999981</v>
      </c>
      <c r="V612">
        <v>-97448.71</v>
      </c>
      <c r="W612">
        <v>25721.730000000003</v>
      </c>
      <c r="X612">
        <v>0</v>
      </c>
      <c r="Y612">
        <v>0</v>
      </c>
      <c r="Z612">
        <v>0</v>
      </c>
      <c r="AA612">
        <v>0</v>
      </c>
      <c r="AB612">
        <v>0</v>
      </c>
      <c r="AC612" s="297">
        <v>0</v>
      </c>
      <c r="AD612">
        <f>SUMPRODUCT(DB_STProjectAcct[[#This Row],[Plan01]:[Plan12]],$F$14:$Q$14)/valUnits2</f>
        <v>367.97681599999999</v>
      </c>
      <c r="AE612">
        <f>SUMPRODUCT(DB_STProjectAcct[[#This Row],[Act01]:[Act12]],$R$14:$AC$14)/valUnits2</f>
        <v>264.4978900000001</v>
      </c>
      <c r="AF612">
        <f>DB_STProjectAcct[[#This Row],[Actual]]-DB_STProjectAcct[[#This Row],[Plan]]</f>
        <v>-103.47892599999989</v>
      </c>
      <c r="AG612">
        <f>IF(DB_STProjectAcct[[#This Row],[Plan]]&lt;&gt;0,DB_STProjectAcct[[#This Row],[Actual]]/DB_STProjectAcct[[#This Row],[Plan]],1.000011000011)</f>
        <v>0.71878955004600098</v>
      </c>
    </row>
    <row r="613" spans="1:33" hidden="1" x14ac:dyDescent="0.2">
      <c r="A613" t="s">
        <v>606</v>
      </c>
      <c r="B613" t="s">
        <v>351</v>
      </c>
      <c r="C613" t="s">
        <v>499</v>
      </c>
      <c r="D613" t="s">
        <v>499</v>
      </c>
      <c r="E613" t="s">
        <v>236</v>
      </c>
      <c r="F613">
        <v>52415.79</v>
      </c>
      <c r="G613">
        <v>5000</v>
      </c>
      <c r="H613">
        <v>-41105.49</v>
      </c>
      <c r="I613">
        <v>5000</v>
      </c>
      <c r="J613">
        <v>5429.576</v>
      </c>
      <c r="K613">
        <v>5000</v>
      </c>
      <c r="L613">
        <v>5000</v>
      </c>
      <c r="M613">
        <v>5000</v>
      </c>
      <c r="N613">
        <v>5000</v>
      </c>
      <c r="O613">
        <v>5000</v>
      </c>
      <c r="P613">
        <v>5000</v>
      </c>
      <c r="Q613">
        <v>5000</v>
      </c>
      <c r="R613">
        <v>47415.79</v>
      </c>
      <c r="S613">
        <v>0</v>
      </c>
      <c r="T613">
        <v>-46105.49</v>
      </c>
      <c r="U613">
        <v>0</v>
      </c>
      <c r="V613">
        <v>433</v>
      </c>
      <c r="W613">
        <v>13007.189999999997</v>
      </c>
      <c r="X613">
        <v>0</v>
      </c>
      <c r="Y613">
        <v>0</v>
      </c>
      <c r="Z613">
        <v>0</v>
      </c>
      <c r="AA613">
        <v>0</v>
      </c>
      <c r="AB613">
        <v>0</v>
      </c>
      <c r="AC613" s="295">
        <v>0</v>
      </c>
      <c r="AD613">
        <f>SUMPRODUCT(DB_STProjectAcct[[#This Row],[Plan01]:[Plan12]],$F$14:$Q$14)/valUnits2</f>
        <v>31.739876000000002</v>
      </c>
      <c r="AE613">
        <f>SUMPRODUCT(DB_STProjectAcct[[#This Row],[Act01]:[Act12]],$R$14:$AC$14)/valUnits2</f>
        <v>14.750489999999999</v>
      </c>
      <c r="AF613">
        <f>DB_STProjectAcct[[#This Row],[Actual]]-DB_STProjectAcct[[#This Row],[Plan]]</f>
        <v>-16.989386000000003</v>
      </c>
      <c r="AG613">
        <f>IF(DB_STProjectAcct[[#This Row],[Plan]]&lt;&gt;0,DB_STProjectAcct[[#This Row],[Actual]]/DB_STProjectAcct[[#This Row],[Plan]],1.000011000011)</f>
        <v>0.46473054904184247</v>
      </c>
    </row>
    <row r="614" spans="1:33" hidden="1" x14ac:dyDescent="0.2">
      <c r="A614" t="s">
        <v>607</v>
      </c>
      <c r="B614" t="s">
        <v>351</v>
      </c>
      <c r="C614" t="s">
        <v>499</v>
      </c>
      <c r="D614" t="s">
        <v>499</v>
      </c>
      <c r="E614" t="s">
        <v>237</v>
      </c>
      <c r="F614">
        <v>408.05</v>
      </c>
      <c r="G614">
        <v>22.52</v>
      </c>
      <c r="I614">
        <v>86.034000000000006</v>
      </c>
      <c r="J614">
        <v>2325.7800000000002</v>
      </c>
      <c r="K614">
        <v>0</v>
      </c>
      <c r="R614">
        <v>408.05</v>
      </c>
      <c r="S614">
        <v>22.52</v>
      </c>
      <c r="U614">
        <v>78.319999999999993</v>
      </c>
      <c r="V614">
        <v>2325.7799999999997</v>
      </c>
      <c r="W614">
        <v>283.32</v>
      </c>
      <c r="AC614" s="297"/>
      <c r="AD614">
        <f>SUMPRODUCT(DB_STProjectAcct[[#This Row],[Plan01]:[Plan12]],$F$14:$Q$14)/valUnits2</f>
        <v>2.842384</v>
      </c>
      <c r="AE614">
        <f>SUMPRODUCT(DB_STProjectAcct[[#This Row],[Act01]:[Act12]],$R$14:$AC$14)/valUnits2</f>
        <v>3.1179899999999998</v>
      </c>
      <c r="AF614">
        <f>DB_STProjectAcct[[#This Row],[Actual]]-DB_STProjectAcct[[#This Row],[Plan]]</f>
        <v>0.2756059999999998</v>
      </c>
      <c r="AG614">
        <f>IF(DB_STProjectAcct[[#This Row],[Plan]]&lt;&gt;0,DB_STProjectAcct[[#This Row],[Actual]]/DB_STProjectAcct[[#This Row],[Plan]],1.000011000011)</f>
        <v>1.09696297192779</v>
      </c>
    </row>
    <row r="615" spans="1:33" hidden="1" x14ac:dyDescent="0.2">
      <c r="A615" t="s">
        <v>608</v>
      </c>
      <c r="B615" t="s">
        <v>351</v>
      </c>
      <c r="C615" t="s">
        <v>499</v>
      </c>
      <c r="D615" t="s">
        <v>499</v>
      </c>
      <c r="E615" t="s">
        <v>141</v>
      </c>
      <c r="F615">
        <v>483.27499999999998</v>
      </c>
      <c r="G615">
        <v>3606.587</v>
      </c>
      <c r="H615">
        <v>428.55900000000003</v>
      </c>
      <c r="I615">
        <v>-3853.7039999999997</v>
      </c>
      <c r="J615">
        <v>185.62</v>
      </c>
      <c r="K615">
        <v>753.3359999999999</v>
      </c>
      <c r="L615">
        <v>408.68700000000001</v>
      </c>
      <c r="M615">
        <v>608.68700000000013</v>
      </c>
      <c r="N615">
        <v>734.76300000000003</v>
      </c>
      <c r="O615">
        <v>408.68699999999995</v>
      </c>
      <c r="P615">
        <v>408.68699999999995</v>
      </c>
      <c r="Q615">
        <v>2039.0680000000002</v>
      </c>
      <c r="R615">
        <v>477.38000000000005</v>
      </c>
      <c r="S615">
        <v>3607.23</v>
      </c>
      <c r="T615">
        <v>427.81</v>
      </c>
      <c r="U615">
        <v>-3859.1099999999997</v>
      </c>
      <c r="V615">
        <v>185.62000000000012</v>
      </c>
      <c r="W615">
        <v>565.12999999999988</v>
      </c>
      <c r="X615">
        <v>858.06</v>
      </c>
      <c r="Y615">
        <v>0</v>
      </c>
      <c r="Z615">
        <v>0</v>
      </c>
      <c r="AA615">
        <v>0</v>
      </c>
      <c r="AB615">
        <v>0</v>
      </c>
      <c r="AC615" s="295">
        <v>0</v>
      </c>
      <c r="AD615">
        <f>SUMPRODUCT(DB_STProjectAcct[[#This Row],[Plan01]:[Plan12]],$F$14:$Q$14)/valUnits2</f>
        <v>1.6036730000000003</v>
      </c>
      <c r="AE615">
        <f>SUMPRODUCT(DB_STProjectAcct[[#This Row],[Act01]:[Act12]],$R$14:$AC$14)/valUnits2</f>
        <v>1.4040600000000003</v>
      </c>
      <c r="AF615">
        <f>DB_STProjectAcct[[#This Row],[Actual]]-DB_STProjectAcct[[#This Row],[Plan]]</f>
        <v>-0.19961300000000004</v>
      </c>
      <c r="AG615">
        <f>IF(DB_STProjectAcct[[#This Row],[Plan]]&lt;&gt;0,DB_STProjectAcct[[#This Row],[Actual]]/DB_STProjectAcct[[#This Row],[Plan]],1.000011000011)</f>
        <v>0.87552761691442083</v>
      </c>
    </row>
    <row r="616" spans="1:33" hidden="1" x14ac:dyDescent="0.2">
      <c r="A616" t="s">
        <v>609</v>
      </c>
      <c r="B616" t="s">
        <v>351</v>
      </c>
      <c r="C616" t="s">
        <v>500</v>
      </c>
      <c r="D616" t="s">
        <v>500</v>
      </c>
      <c r="E616" t="s">
        <v>143</v>
      </c>
      <c r="AC616" s="297"/>
      <c r="AD616">
        <f>SUMPRODUCT(DB_STProjectAcct[[#This Row],[Plan01]:[Plan12]],$F$14:$Q$14)/valUnits2</f>
        <v>0</v>
      </c>
      <c r="AE616">
        <f>SUMPRODUCT(DB_STProjectAcct[[#This Row],[Act01]:[Act12]],$R$14:$AC$14)/valUnits2</f>
        <v>0</v>
      </c>
      <c r="AF616">
        <f>DB_STProjectAcct[[#This Row],[Actual]]-DB_STProjectAcct[[#This Row],[Plan]]</f>
        <v>0</v>
      </c>
      <c r="AG616">
        <f>IF(DB_STProjectAcct[[#This Row],[Plan]]&lt;&gt;0,DB_STProjectAcct[[#This Row],[Actual]]/DB_STProjectAcct[[#This Row],[Plan]],1.000011000011)</f>
        <v>1.0000110000110001</v>
      </c>
    </row>
    <row r="617" spans="1:33" hidden="1" x14ac:dyDescent="0.2">
      <c r="A617" t="s">
        <v>610</v>
      </c>
      <c r="B617" t="s">
        <v>351</v>
      </c>
      <c r="C617" t="s">
        <v>500</v>
      </c>
      <c r="D617" t="s">
        <v>500</v>
      </c>
      <c r="E617" t="s">
        <v>235</v>
      </c>
      <c r="F617">
        <v>107.22</v>
      </c>
      <c r="I617">
        <v>-107.22</v>
      </c>
      <c r="K617">
        <v>0</v>
      </c>
      <c r="R617">
        <v>107.22</v>
      </c>
      <c r="U617">
        <v>-107.22</v>
      </c>
      <c r="W617">
        <v>49.52</v>
      </c>
      <c r="AC617" s="295"/>
      <c r="AD617">
        <f>SUMPRODUCT(DB_STProjectAcct[[#This Row],[Plan01]:[Plan12]],$F$14:$Q$14)/valUnits2</f>
        <v>0</v>
      </c>
      <c r="AE617">
        <f>SUMPRODUCT(DB_STProjectAcct[[#This Row],[Act01]:[Act12]],$R$14:$AC$14)/valUnits2</f>
        <v>4.9520000000000002E-2</v>
      </c>
      <c r="AF617">
        <f>DB_STProjectAcct[[#This Row],[Actual]]-DB_STProjectAcct[[#This Row],[Plan]]</f>
        <v>4.9520000000000002E-2</v>
      </c>
      <c r="AG617">
        <f>IF(DB_STProjectAcct[[#This Row],[Plan]]&lt;&gt;0,DB_STProjectAcct[[#This Row],[Actual]]/DB_STProjectAcct[[#This Row],[Plan]],1.000011000011)</f>
        <v>1.0000110000110001</v>
      </c>
    </row>
    <row r="618" spans="1:33" hidden="1" x14ac:dyDescent="0.2">
      <c r="A618" t="s">
        <v>611</v>
      </c>
      <c r="B618" t="s">
        <v>351</v>
      </c>
      <c r="C618" t="s">
        <v>500</v>
      </c>
      <c r="D618" t="s">
        <v>500</v>
      </c>
      <c r="E618" t="s">
        <v>144</v>
      </c>
      <c r="AC618" s="297"/>
      <c r="AD618">
        <f>SUMPRODUCT(DB_STProjectAcct[[#This Row],[Plan01]:[Plan12]],$F$14:$Q$14)/valUnits2</f>
        <v>0</v>
      </c>
      <c r="AE618">
        <f>SUMPRODUCT(DB_STProjectAcct[[#This Row],[Act01]:[Act12]],$R$14:$AC$14)/valUnits2</f>
        <v>0</v>
      </c>
      <c r="AF618">
        <f>DB_STProjectAcct[[#This Row],[Actual]]-DB_STProjectAcct[[#This Row],[Plan]]</f>
        <v>0</v>
      </c>
      <c r="AG618">
        <f>IF(DB_STProjectAcct[[#This Row],[Plan]]&lt;&gt;0,DB_STProjectAcct[[#This Row],[Actual]]/DB_STProjectAcct[[#This Row],[Plan]],1.000011000011)</f>
        <v>1.0000110000110001</v>
      </c>
    </row>
    <row r="619" spans="1:33" hidden="1" x14ac:dyDescent="0.2">
      <c r="A619" t="s">
        <v>612</v>
      </c>
      <c r="B619" t="s">
        <v>351</v>
      </c>
      <c r="C619" t="s">
        <v>500</v>
      </c>
      <c r="D619" t="s">
        <v>500</v>
      </c>
      <c r="E619" t="s">
        <v>142</v>
      </c>
      <c r="AC619" s="295"/>
      <c r="AD619">
        <f>SUMPRODUCT(DB_STProjectAcct[[#This Row],[Plan01]:[Plan12]],$F$14:$Q$14)/valUnits2</f>
        <v>0</v>
      </c>
      <c r="AE619">
        <f>SUMPRODUCT(DB_STProjectAcct[[#This Row],[Act01]:[Act12]],$R$14:$AC$14)/valUnits2</f>
        <v>0</v>
      </c>
      <c r="AF619">
        <f>DB_STProjectAcct[[#This Row],[Actual]]-DB_STProjectAcct[[#This Row],[Plan]]</f>
        <v>0</v>
      </c>
      <c r="AG619">
        <f>IF(DB_STProjectAcct[[#This Row],[Plan]]&lt;&gt;0,DB_STProjectAcct[[#This Row],[Actual]]/DB_STProjectAcct[[#This Row],[Plan]],1.000011000011)</f>
        <v>1.0000110000110001</v>
      </c>
    </row>
    <row r="620" spans="1:33" hidden="1" x14ac:dyDescent="0.2">
      <c r="A620" t="s">
        <v>613</v>
      </c>
      <c r="B620" t="s">
        <v>351</v>
      </c>
      <c r="C620" t="s">
        <v>500</v>
      </c>
      <c r="D620" t="s">
        <v>500</v>
      </c>
      <c r="E620" t="s">
        <v>140</v>
      </c>
      <c r="F620">
        <v>661.72199999999998</v>
      </c>
      <c r="G620">
        <v>15422.279999999999</v>
      </c>
      <c r="H620">
        <v>7216.0069999999996</v>
      </c>
      <c r="I620">
        <v>21104.944</v>
      </c>
      <c r="J620">
        <v>20071.625000000004</v>
      </c>
      <c r="K620">
        <v>408.54399999999998</v>
      </c>
      <c r="L620">
        <v>408.54399999999998</v>
      </c>
      <c r="M620">
        <v>408.54399999999998</v>
      </c>
      <c r="N620">
        <v>408.54399999999998</v>
      </c>
      <c r="O620">
        <v>408.54399999999998</v>
      </c>
      <c r="P620">
        <v>408.54399999999998</v>
      </c>
      <c r="Q620">
        <v>408.54399999999998</v>
      </c>
      <c r="R620">
        <v>656.14</v>
      </c>
      <c r="S620">
        <v>15457.109999999999</v>
      </c>
      <c r="T620">
        <v>7217.98</v>
      </c>
      <c r="U620">
        <v>21043.06</v>
      </c>
      <c r="V620">
        <v>20130.510000000002</v>
      </c>
      <c r="W620">
        <v>20573.960000000003</v>
      </c>
      <c r="X620">
        <v>0</v>
      </c>
      <c r="Y620">
        <v>0</v>
      </c>
      <c r="Z620">
        <v>0</v>
      </c>
      <c r="AA620">
        <v>0</v>
      </c>
      <c r="AB620">
        <v>0</v>
      </c>
      <c r="AC620" s="297">
        <v>0</v>
      </c>
      <c r="AD620">
        <f>SUMPRODUCT(DB_STProjectAcct[[#This Row],[Plan01]:[Plan12]],$F$14:$Q$14)/valUnits2</f>
        <v>64.885121999999996</v>
      </c>
      <c r="AE620">
        <f>SUMPRODUCT(DB_STProjectAcct[[#This Row],[Act01]:[Act12]],$R$14:$AC$14)/valUnits2</f>
        <v>85.078759999999988</v>
      </c>
      <c r="AF620">
        <f>DB_STProjectAcct[[#This Row],[Actual]]-DB_STProjectAcct[[#This Row],[Plan]]</f>
        <v>20.193637999999993</v>
      </c>
      <c r="AG620">
        <f>IF(DB_STProjectAcct[[#This Row],[Plan]]&lt;&gt;0,DB_STProjectAcct[[#This Row],[Actual]]/DB_STProjectAcct[[#This Row],[Plan]],1.000011000011)</f>
        <v>1.3112213921706117</v>
      </c>
    </row>
    <row r="621" spans="1:33" hidden="1" x14ac:dyDescent="0.2">
      <c r="A621" t="s">
        <v>614</v>
      </c>
      <c r="B621" t="s">
        <v>351</v>
      </c>
      <c r="C621" t="s">
        <v>500</v>
      </c>
      <c r="D621" t="s">
        <v>500</v>
      </c>
      <c r="E621" t="s">
        <v>236</v>
      </c>
      <c r="K621">
        <v>0</v>
      </c>
      <c r="W621">
        <v>50.59</v>
      </c>
      <c r="AC621" s="295"/>
      <c r="AD621">
        <f>SUMPRODUCT(DB_STProjectAcct[[#This Row],[Plan01]:[Plan12]],$F$14:$Q$14)/valUnits2</f>
        <v>0</v>
      </c>
      <c r="AE621">
        <f>SUMPRODUCT(DB_STProjectAcct[[#This Row],[Act01]:[Act12]],$R$14:$AC$14)/valUnits2</f>
        <v>5.0590000000000003E-2</v>
      </c>
      <c r="AF621">
        <f>DB_STProjectAcct[[#This Row],[Actual]]-DB_STProjectAcct[[#This Row],[Plan]]</f>
        <v>5.0590000000000003E-2</v>
      </c>
      <c r="AG621">
        <f>IF(DB_STProjectAcct[[#This Row],[Plan]]&lt;&gt;0,DB_STProjectAcct[[#This Row],[Actual]]/DB_STProjectAcct[[#This Row],[Plan]],1.000011000011)</f>
        <v>1.0000110000110001</v>
      </c>
    </row>
    <row r="622" spans="1:33" hidden="1" x14ac:dyDescent="0.2">
      <c r="A622" t="s">
        <v>615</v>
      </c>
      <c r="B622" t="s">
        <v>351</v>
      </c>
      <c r="C622" t="s">
        <v>500</v>
      </c>
      <c r="D622" t="s">
        <v>500</v>
      </c>
      <c r="E622" t="s">
        <v>237</v>
      </c>
      <c r="G622">
        <v>53.23</v>
      </c>
      <c r="I622">
        <v>-53.23</v>
      </c>
      <c r="S622">
        <v>53.23</v>
      </c>
      <c r="U622">
        <v>-53.23</v>
      </c>
      <c r="AC622" s="297"/>
      <c r="AD622">
        <f>SUMPRODUCT(DB_STProjectAcct[[#This Row],[Plan01]:[Plan12]],$F$14:$Q$14)/valUnits2</f>
        <v>0</v>
      </c>
      <c r="AE622">
        <f>SUMPRODUCT(DB_STProjectAcct[[#This Row],[Act01]:[Act12]],$R$14:$AC$14)/valUnits2</f>
        <v>0</v>
      </c>
      <c r="AF622">
        <f>DB_STProjectAcct[[#This Row],[Actual]]-DB_STProjectAcct[[#This Row],[Plan]]</f>
        <v>0</v>
      </c>
      <c r="AG622">
        <f>IF(DB_STProjectAcct[[#This Row],[Plan]]&lt;&gt;0,DB_STProjectAcct[[#This Row],[Actual]]/DB_STProjectAcct[[#This Row],[Plan]],1.000011000011)</f>
        <v>1.0000110000110001</v>
      </c>
    </row>
    <row r="623" spans="1:33" hidden="1" x14ac:dyDescent="0.2">
      <c r="A623" t="s">
        <v>616</v>
      </c>
      <c r="B623" t="s">
        <v>351</v>
      </c>
      <c r="C623" t="s">
        <v>500</v>
      </c>
      <c r="D623" t="s">
        <v>500</v>
      </c>
      <c r="E623" t="s">
        <v>141</v>
      </c>
      <c r="F623">
        <v>13.91</v>
      </c>
      <c r="I623">
        <v>-13.91</v>
      </c>
      <c r="K623">
        <v>0</v>
      </c>
      <c r="R623">
        <v>13.91</v>
      </c>
      <c r="U623">
        <v>-13.91</v>
      </c>
      <c r="W623">
        <v>146.98000000000002</v>
      </c>
      <c r="AC623" s="295"/>
      <c r="AD623">
        <f>SUMPRODUCT(DB_STProjectAcct[[#This Row],[Plan01]:[Plan12]],$F$14:$Q$14)/valUnits2</f>
        <v>0</v>
      </c>
      <c r="AE623">
        <f>SUMPRODUCT(DB_STProjectAcct[[#This Row],[Act01]:[Act12]],$R$14:$AC$14)/valUnits2</f>
        <v>0.14698000000000003</v>
      </c>
      <c r="AF623">
        <f>DB_STProjectAcct[[#This Row],[Actual]]-DB_STProjectAcct[[#This Row],[Plan]]</f>
        <v>0.14698000000000003</v>
      </c>
      <c r="AG623">
        <f>IF(DB_STProjectAcct[[#This Row],[Plan]]&lt;&gt;0,DB_STProjectAcct[[#This Row],[Actual]]/DB_STProjectAcct[[#This Row],[Plan]],1.000011000011)</f>
        <v>1.0000110000110001</v>
      </c>
    </row>
    <row r="624" spans="1:33" hidden="1" x14ac:dyDescent="0.2">
      <c r="A624" t="s">
        <v>617</v>
      </c>
      <c r="B624" t="s">
        <v>351</v>
      </c>
      <c r="C624" t="s">
        <v>501</v>
      </c>
      <c r="D624" t="s">
        <v>501</v>
      </c>
      <c r="E624" t="s">
        <v>143</v>
      </c>
      <c r="F624">
        <v>34.46</v>
      </c>
      <c r="G624">
        <v>0</v>
      </c>
      <c r="H624">
        <v>0</v>
      </c>
      <c r="I624">
        <v>0</v>
      </c>
      <c r="J624">
        <v>6.4499999999999957</v>
      </c>
      <c r="K624">
        <v>1819.9990000000003</v>
      </c>
      <c r="L624">
        <v>1819.9990000000003</v>
      </c>
      <c r="M624">
        <v>3639.9980000000005</v>
      </c>
      <c r="N624">
        <v>1819.9990000000003</v>
      </c>
      <c r="O624">
        <v>1819.9990000000003</v>
      </c>
      <c r="P624">
        <v>1819.9990000000003</v>
      </c>
      <c r="Q624">
        <v>1819.9990000000003</v>
      </c>
      <c r="R624">
        <v>0</v>
      </c>
      <c r="S624">
        <v>0</v>
      </c>
      <c r="T624">
        <v>0</v>
      </c>
      <c r="U624">
        <v>179.18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 s="297">
        <v>0</v>
      </c>
      <c r="AD624">
        <f>SUMPRODUCT(DB_STProjectAcct[[#This Row],[Plan01]:[Plan12]],$F$14:$Q$14)/valUnits2</f>
        <v>1.8609090000000004</v>
      </c>
      <c r="AE624">
        <f>SUMPRODUCT(DB_STProjectAcct[[#This Row],[Act01]:[Act12]],$R$14:$AC$14)/valUnits2</f>
        <v>0.17918000000000001</v>
      </c>
      <c r="AF624">
        <f>DB_STProjectAcct[[#This Row],[Actual]]-DB_STProjectAcct[[#This Row],[Plan]]</f>
        <v>-1.6817290000000003</v>
      </c>
      <c r="AG624">
        <f>IF(DB_STProjectAcct[[#This Row],[Plan]]&lt;&gt;0,DB_STProjectAcct[[#This Row],[Actual]]/DB_STProjectAcct[[#This Row],[Plan]],1.000011000011)</f>
        <v>9.6286277297815193E-2</v>
      </c>
    </row>
    <row r="625" spans="1:33" hidden="1" x14ac:dyDescent="0.2">
      <c r="A625" t="s">
        <v>618</v>
      </c>
      <c r="B625" t="s">
        <v>351</v>
      </c>
      <c r="C625" t="s">
        <v>501</v>
      </c>
      <c r="D625" t="s">
        <v>501</v>
      </c>
      <c r="E625" t="s">
        <v>235</v>
      </c>
      <c r="F625">
        <v>0</v>
      </c>
      <c r="G625">
        <v>224.76</v>
      </c>
      <c r="H625">
        <v>226.84</v>
      </c>
      <c r="I625">
        <v>432.88</v>
      </c>
      <c r="J625">
        <v>270.73</v>
      </c>
      <c r="K625">
        <v>366.66599999999994</v>
      </c>
      <c r="L625">
        <v>366.666</v>
      </c>
      <c r="M625">
        <v>733.33200000000011</v>
      </c>
      <c r="N625">
        <v>366.66600000000005</v>
      </c>
      <c r="O625">
        <v>366.66600000000005</v>
      </c>
      <c r="P625">
        <v>366.66600000000005</v>
      </c>
      <c r="Q625">
        <v>366.66600000000005</v>
      </c>
      <c r="R625">
        <v>34.46</v>
      </c>
      <c r="S625">
        <v>224.76</v>
      </c>
      <c r="T625">
        <v>226.83999999999997</v>
      </c>
      <c r="U625">
        <v>432.88</v>
      </c>
      <c r="V625">
        <v>277.18</v>
      </c>
      <c r="W625">
        <v>191.9</v>
      </c>
      <c r="X625">
        <v>0</v>
      </c>
      <c r="Y625">
        <v>0</v>
      </c>
      <c r="Z625">
        <v>0</v>
      </c>
      <c r="AA625">
        <v>0</v>
      </c>
      <c r="AB625">
        <v>0</v>
      </c>
      <c r="AC625" s="295">
        <v>0</v>
      </c>
      <c r="AD625">
        <f>SUMPRODUCT(DB_STProjectAcct[[#This Row],[Plan01]:[Plan12]],$F$14:$Q$14)/valUnits2</f>
        <v>1.521876</v>
      </c>
      <c r="AE625">
        <f>SUMPRODUCT(DB_STProjectAcct[[#This Row],[Act01]:[Act12]],$R$14:$AC$14)/valUnits2</f>
        <v>1.38802</v>
      </c>
      <c r="AF625">
        <f>DB_STProjectAcct[[#This Row],[Actual]]-DB_STProjectAcct[[#This Row],[Plan]]</f>
        <v>-0.13385599999999998</v>
      </c>
      <c r="AG625">
        <f>IF(DB_STProjectAcct[[#This Row],[Plan]]&lt;&gt;0,DB_STProjectAcct[[#This Row],[Actual]]/DB_STProjectAcct[[#This Row],[Plan]],1.000011000011)</f>
        <v>0.91204539660261419</v>
      </c>
    </row>
    <row r="626" spans="1:33" hidden="1" x14ac:dyDescent="0.2">
      <c r="A626" t="s">
        <v>619</v>
      </c>
      <c r="B626" t="s">
        <v>351</v>
      </c>
      <c r="C626" t="s">
        <v>501</v>
      </c>
      <c r="D626" t="s">
        <v>501</v>
      </c>
      <c r="E626" t="s">
        <v>144</v>
      </c>
      <c r="AC626" s="297"/>
      <c r="AD626">
        <f>SUMPRODUCT(DB_STProjectAcct[[#This Row],[Plan01]:[Plan12]],$F$14:$Q$14)/valUnits2</f>
        <v>0</v>
      </c>
      <c r="AE626">
        <f>SUMPRODUCT(DB_STProjectAcct[[#This Row],[Act01]:[Act12]],$R$14:$AC$14)/valUnits2</f>
        <v>0</v>
      </c>
      <c r="AF626">
        <f>DB_STProjectAcct[[#This Row],[Actual]]-DB_STProjectAcct[[#This Row],[Plan]]</f>
        <v>0</v>
      </c>
      <c r="AG626">
        <f>IF(DB_STProjectAcct[[#This Row],[Plan]]&lt;&gt;0,DB_STProjectAcct[[#This Row],[Actual]]/DB_STProjectAcct[[#This Row],[Plan]],1.000011000011)</f>
        <v>1.0000110000110001</v>
      </c>
    </row>
    <row r="627" spans="1:33" hidden="1" x14ac:dyDescent="0.2">
      <c r="A627" t="s">
        <v>620</v>
      </c>
      <c r="B627" t="s">
        <v>351</v>
      </c>
      <c r="C627" t="s">
        <v>501</v>
      </c>
      <c r="D627" t="s">
        <v>501</v>
      </c>
      <c r="E627" t="s">
        <v>142</v>
      </c>
      <c r="AC627" s="295"/>
      <c r="AD627">
        <f>SUMPRODUCT(DB_STProjectAcct[[#This Row],[Plan01]:[Plan12]],$F$14:$Q$14)/valUnits2</f>
        <v>0</v>
      </c>
      <c r="AE627">
        <f>SUMPRODUCT(DB_STProjectAcct[[#This Row],[Act01]:[Act12]],$R$14:$AC$14)/valUnits2</f>
        <v>0</v>
      </c>
      <c r="AF627">
        <f>DB_STProjectAcct[[#This Row],[Actual]]-DB_STProjectAcct[[#This Row],[Plan]]</f>
        <v>0</v>
      </c>
      <c r="AG627">
        <f>IF(DB_STProjectAcct[[#This Row],[Plan]]&lt;&gt;0,DB_STProjectAcct[[#This Row],[Actual]]/DB_STProjectAcct[[#This Row],[Plan]],1.000011000011)</f>
        <v>1.0000110000110001</v>
      </c>
    </row>
    <row r="628" spans="1:33" hidden="1" x14ac:dyDescent="0.2">
      <c r="A628" t="s">
        <v>621</v>
      </c>
      <c r="B628" t="s">
        <v>351</v>
      </c>
      <c r="C628" t="s">
        <v>501</v>
      </c>
      <c r="D628" t="s">
        <v>501</v>
      </c>
      <c r="E628" t="s">
        <v>140</v>
      </c>
      <c r="F628">
        <v>10375.01</v>
      </c>
      <c r="G628">
        <v>13229.180000000002</v>
      </c>
      <c r="H628">
        <v>15877.3</v>
      </c>
      <c r="I628">
        <v>7434.79</v>
      </c>
      <c r="J628">
        <v>10504.43</v>
      </c>
      <c r="K628">
        <v>12246.272000000001</v>
      </c>
      <c r="L628">
        <v>12246.272000000001</v>
      </c>
      <c r="M628">
        <v>12246.272000000001</v>
      </c>
      <c r="N628">
        <v>12246.272000000001</v>
      </c>
      <c r="O628">
        <v>12246.272000000001</v>
      </c>
      <c r="P628">
        <v>12246.272000000001</v>
      </c>
      <c r="Q628">
        <v>12246.272000000001</v>
      </c>
      <c r="R628">
        <v>10375.01</v>
      </c>
      <c r="S628">
        <v>13229.180000000002</v>
      </c>
      <c r="T628">
        <v>15877.3</v>
      </c>
      <c r="U628">
        <v>7434.7899999999991</v>
      </c>
      <c r="V628">
        <v>10504.43</v>
      </c>
      <c r="W628">
        <v>13108.25</v>
      </c>
      <c r="X628">
        <v>0</v>
      </c>
      <c r="Y628">
        <v>0</v>
      </c>
      <c r="Z628">
        <v>0</v>
      </c>
      <c r="AA628">
        <v>0</v>
      </c>
      <c r="AB628">
        <v>0</v>
      </c>
      <c r="AC628" s="297">
        <v>0</v>
      </c>
      <c r="AD628">
        <f>SUMPRODUCT(DB_STProjectAcct[[#This Row],[Plan01]:[Plan12]],$F$14:$Q$14)/valUnits2</f>
        <v>69.666982000000004</v>
      </c>
      <c r="AE628">
        <f>SUMPRODUCT(DB_STProjectAcct[[#This Row],[Act01]:[Act12]],$R$14:$AC$14)/valUnits2</f>
        <v>70.528960000000012</v>
      </c>
      <c r="AF628">
        <f>DB_STProjectAcct[[#This Row],[Actual]]-DB_STProjectAcct[[#This Row],[Plan]]</f>
        <v>0.86197800000000768</v>
      </c>
      <c r="AG628">
        <f>IF(DB_STProjectAcct[[#This Row],[Plan]]&lt;&gt;0,DB_STProjectAcct[[#This Row],[Actual]]/DB_STProjectAcct[[#This Row],[Plan]],1.000011000011)</f>
        <v>1.0123728339487996</v>
      </c>
    </row>
    <row r="629" spans="1:33" hidden="1" x14ac:dyDescent="0.2">
      <c r="A629" t="s">
        <v>622</v>
      </c>
      <c r="B629" t="s">
        <v>351</v>
      </c>
      <c r="C629" t="s">
        <v>501</v>
      </c>
      <c r="D629" t="s">
        <v>501</v>
      </c>
      <c r="E629" t="s">
        <v>236</v>
      </c>
      <c r="F629">
        <v>248.12</v>
      </c>
      <c r="G629">
        <v>0</v>
      </c>
      <c r="H629">
        <v>0</v>
      </c>
      <c r="I629">
        <v>1785.02</v>
      </c>
      <c r="J629">
        <v>1219.54</v>
      </c>
      <c r="K629">
        <v>250</v>
      </c>
      <c r="L629">
        <v>250</v>
      </c>
      <c r="M629">
        <v>250</v>
      </c>
      <c r="N629">
        <v>250</v>
      </c>
      <c r="O629">
        <v>250</v>
      </c>
      <c r="P629">
        <v>250</v>
      </c>
      <c r="Q629">
        <v>250</v>
      </c>
      <c r="R629">
        <v>248.12</v>
      </c>
      <c r="S629">
        <v>0</v>
      </c>
      <c r="T629">
        <v>0</v>
      </c>
      <c r="U629">
        <v>1785.02</v>
      </c>
      <c r="V629">
        <v>1219.54</v>
      </c>
      <c r="W629">
        <v>1296.74</v>
      </c>
      <c r="X629">
        <v>0</v>
      </c>
      <c r="Y629">
        <v>0</v>
      </c>
      <c r="Z629">
        <v>0</v>
      </c>
      <c r="AA629">
        <v>0</v>
      </c>
      <c r="AB629">
        <v>0</v>
      </c>
      <c r="AC629" s="295">
        <v>0</v>
      </c>
      <c r="AD629">
        <f>SUMPRODUCT(DB_STProjectAcct[[#This Row],[Plan01]:[Plan12]],$F$14:$Q$14)/valUnits2</f>
        <v>3.5026799999999998</v>
      </c>
      <c r="AE629">
        <f>SUMPRODUCT(DB_STProjectAcct[[#This Row],[Act01]:[Act12]],$R$14:$AC$14)/valUnits2</f>
        <v>4.5494200000000005</v>
      </c>
      <c r="AF629">
        <f>DB_STProjectAcct[[#This Row],[Actual]]-DB_STProjectAcct[[#This Row],[Plan]]</f>
        <v>1.0467400000000007</v>
      </c>
      <c r="AG629">
        <f>IF(DB_STProjectAcct[[#This Row],[Plan]]&lt;&gt;0,DB_STProjectAcct[[#This Row],[Actual]]/DB_STProjectAcct[[#This Row],[Plan]],1.000011000011)</f>
        <v>1.2988397455662524</v>
      </c>
    </row>
    <row r="630" spans="1:33" hidden="1" x14ac:dyDescent="0.2">
      <c r="A630" t="s">
        <v>623</v>
      </c>
      <c r="B630" t="s">
        <v>351</v>
      </c>
      <c r="C630" t="s">
        <v>501</v>
      </c>
      <c r="D630" t="s">
        <v>501</v>
      </c>
      <c r="E630" t="s">
        <v>237</v>
      </c>
      <c r="F630">
        <v>4.51</v>
      </c>
      <c r="H630">
        <v>76.37</v>
      </c>
      <c r="I630">
        <v>159.34</v>
      </c>
      <c r="J630">
        <v>143.66</v>
      </c>
      <c r="R630">
        <v>4.51</v>
      </c>
      <c r="T630">
        <v>76.37</v>
      </c>
      <c r="U630">
        <v>159.34</v>
      </c>
      <c r="V630">
        <v>143.66</v>
      </c>
      <c r="AC630" s="297"/>
      <c r="AD630">
        <f>SUMPRODUCT(DB_STProjectAcct[[#This Row],[Plan01]:[Plan12]],$F$14:$Q$14)/valUnits2</f>
        <v>0.38388</v>
      </c>
      <c r="AE630">
        <f>SUMPRODUCT(DB_STProjectAcct[[#This Row],[Act01]:[Act12]],$R$14:$AC$14)/valUnits2</f>
        <v>0.38388</v>
      </c>
      <c r="AF630">
        <f>DB_STProjectAcct[[#This Row],[Actual]]-DB_STProjectAcct[[#This Row],[Plan]]</f>
        <v>0</v>
      </c>
      <c r="AG630">
        <f>IF(DB_STProjectAcct[[#This Row],[Plan]]&lt;&gt;0,DB_STProjectAcct[[#This Row],[Actual]]/DB_STProjectAcct[[#This Row],[Plan]],1.000011000011)</f>
        <v>1</v>
      </c>
    </row>
    <row r="631" spans="1:33" hidden="1" x14ac:dyDescent="0.2">
      <c r="A631" t="s">
        <v>624</v>
      </c>
      <c r="B631" t="s">
        <v>351</v>
      </c>
      <c r="C631" t="s">
        <v>501</v>
      </c>
      <c r="D631" t="s">
        <v>501</v>
      </c>
      <c r="E631" t="s">
        <v>141</v>
      </c>
      <c r="F631">
        <v>82</v>
      </c>
      <c r="G631">
        <v>50.17</v>
      </c>
      <c r="H631">
        <v>219.6</v>
      </c>
      <c r="I631">
        <v>376.55</v>
      </c>
      <c r="J631">
        <v>408.14</v>
      </c>
      <c r="K631">
        <v>616.66599999999994</v>
      </c>
      <c r="L631">
        <v>616.66599999999994</v>
      </c>
      <c r="M631">
        <v>899.99900000000002</v>
      </c>
      <c r="N631">
        <v>616.66599999999994</v>
      </c>
      <c r="O631">
        <v>616.66599999999994</v>
      </c>
      <c r="P631">
        <v>616.66599999999994</v>
      </c>
      <c r="Q631">
        <v>616.66599999999994</v>
      </c>
      <c r="R631">
        <v>82</v>
      </c>
      <c r="S631">
        <v>50.17</v>
      </c>
      <c r="T631">
        <v>219.6</v>
      </c>
      <c r="U631">
        <v>376.55</v>
      </c>
      <c r="V631">
        <v>408.14000000000004</v>
      </c>
      <c r="W631">
        <v>158.30000000000001</v>
      </c>
      <c r="X631">
        <v>0</v>
      </c>
      <c r="Y631">
        <v>0</v>
      </c>
      <c r="Z631">
        <v>0</v>
      </c>
      <c r="AA631">
        <v>0</v>
      </c>
      <c r="AB631">
        <v>0</v>
      </c>
      <c r="AC631" s="295">
        <v>0</v>
      </c>
      <c r="AD631">
        <f>SUMPRODUCT(DB_STProjectAcct[[#This Row],[Plan01]:[Plan12]],$F$14:$Q$14)/valUnits2</f>
        <v>1.753126</v>
      </c>
      <c r="AE631">
        <f>SUMPRODUCT(DB_STProjectAcct[[#This Row],[Act01]:[Act12]],$R$14:$AC$14)/valUnits2</f>
        <v>1.2947599999999999</v>
      </c>
      <c r="AF631">
        <f>DB_STProjectAcct[[#This Row],[Actual]]-DB_STProjectAcct[[#This Row],[Plan]]</f>
        <v>-0.45836600000000005</v>
      </c>
      <c r="AG631">
        <f>IF(DB_STProjectAcct[[#This Row],[Plan]]&lt;&gt;0,DB_STProjectAcct[[#This Row],[Actual]]/DB_STProjectAcct[[#This Row],[Plan]],1.000011000011)</f>
        <v>0.73854360724785317</v>
      </c>
    </row>
    <row r="632" spans="1:33" hidden="1" x14ac:dyDescent="0.2">
      <c r="A632" t="s">
        <v>625</v>
      </c>
      <c r="B632" t="s">
        <v>351</v>
      </c>
      <c r="C632" t="s">
        <v>502</v>
      </c>
      <c r="D632" t="s">
        <v>502</v>
      </c>
      <c r="E632" t="s">
        <v>143</v>
      </c>
      <c r="F632">
        <v>0</v>
      </c>
      <c r="I632">
        <v>0</v>
      </c>
      <c r="J632">
        <v>0</v>
      </c>
      <c r="K632">
        <v>317.27199999999999</v>
      </c>
      <c r="L632">
        <v>317.27199999999999</v>
      </c>
      <c r="M632">
        <v>317.27199999999999</v>
      </c>
      <c r="N632">
        <v>317.27199999999999</v>
      </c>
      <c r="O632">
        <v>317.27199999999999</v>
      </c>
      <c r="P632">
        <v>317.27199999999999</v>
      </c>
      <c r="Q632">
        <v>317.27199999999999</v>
      </c>
      <c r="R632">
        <v>118.41999999999999</v>
      </c>
      <c r="U632">
        <v>344.43</v>
      </c>
      <c r="V632">
        <v>-344.43</v>
      </c>
      <c r="W632">
        <v>170.57999999999998</v>
      </c>
      <c r="X632">
        <v>0</v>
      </c>
      <c r="Y632">
        <v>0</v>
      </c>
      <c r="Z632">
        <v>0</v>
      </c>
      <c r="AA632">
        <v>0</v>
      </c>
      <c r="AB632">
        <v>0</v>
      </c>
      <c r="AC632" s="297">
        <v>0</v>
      </c>
      <c r="AD632">
        <f>SUMPRODUCT(DB_STProjectAcct[[#This Row],[Plan01]:[Plan12]],$F$14:$Q$14)/valUnits2</f>
        <v>0.317272</v>
      </c>
      <c r="AE632">
        <f>SUMPRODUCT(DB_STProjectAcct[[#This Row],[Act01]:[Act12]],$R$14:$AC$14)/valUnits2</f>
        <v>0.28899999999999998</v>
      </c>
      <c r="AF632">
        <f>DB_STProjectAcct[[#This Row],[Actual]]-DB_STProjectAcct[[#This Row],[Plan]]</f>
        <v>-2.8272000000000019E-2</v>
      </c>
      <c r="AG632">
        <f>IF(DB_STProjectAcct[[#This Row],[Plan]]&lt;&gt;0,DB_STProjectAcct[[#This Row],[Actual]]/DB_STProjectAcct[[#This Row],[Plan]],1.000011000011)</f>
        <v>0.91089034014977677</v>
      </c>
    </row>
    <row r="633" spans="1:33" hidden="1" x14ac:dyDescent="0.2">
      <c r="A633" t="s">
        <v>626</v>
      </c>
      <c r="B633" t="s">
        <v>351</v>
      </c>
      <c r="C633" t="s">
        <v>502</v>
      </c>
      <c r="D633" t="s">
        <v>502</v>
      </c>
      <c r="E633" t="s">
        <v>235</v>
      </c>
      <c r="G633">
        <v>22.571000000000002</v>
      </c>
      <c r="I633">
        <v>85.646000000000001</v>
      </c>
      <c r="S633">
        <v>21.65</v>
      </c>
      <c r="U633">
        <v>83.13</v>
      </c>
      <c r="AC633" s="295"/>
      <c r="AD633">
        <f>SUMPRODUCT(DB_STProjectAcct[[#This Row],[Plan01]:[Plan12]],$F$14:$Q$14)/valUnits2</f>
        <v>0.10821699999999999</v>
      </c>
      <c r="AE633">
        <f>SUMPRODUCT(DB_STProjectAcct[[#This Row],[Act01]:[Act12]],$R$14:$AC$14)/valUnits2</f>
        <v>0.10478</v>
      </c>
      <c r="AF633">
        <f>DB_STProjectAcct[[#This Row],[Actual]]-DB_STProjectAcct[[#This Row],[Plan]]</f>
        <v>-3.4369999999999956E-3</v>
      </c>
      <c r="AG633">
        <f>IF(DB_STProjectAcct[[#This Row],[Plan]]&lt;&gt;0,DB_STProjectAcct[[#This Row],[Actual]]/DB_STProjectAcct[[#This Row],[Plan]],1.000011000011)</f>
        <v>0.96823974052135986</v>
      </c>
    </row>
    <row r="634" spans="1:33" hidden="1" x14ac:dyDescent="0.2">
      <c r="A634" t="s">
        <v>627</v>
      </c>
      <c r="B634" t="s">
        <v>351</v>
      </c>
      <c r="C634" t="s">
        <v>502</v>
      </c>
      <c r="D634" t="s">
        <v>502</v>
      </c>
      <c r="E634" t="s">
        <v>144</v>
      </c>
      <c r="AC634" s="297"/>
      <c r="AD634">
        <f>SUMPRODUCT(DB_STProjectAcct[[#This Row],[Plan01]:[Plan12]],$F$14:$Q$14)/valUnits2</f>
        <v>0</v>
      </c>
      <c r="AE634">
        <f>SUMPRODUCT(DB_STProjectAcct[[#This Row],[Act01]:[Act12]],$R$14:$AC$14)/valUnits2</f>
        <v>0</v>
      </c>
      <c r="AF634">
        <f>DB_STProjectAcct[[#This Row],[Actual]]-DB_STProjectAcct[[#This Row],[Plan]]</f>
        <v>0</v>
      </c>
      <c r="AG634">
        <f>IF(DB_STProjectAcct[[#This Row],[Plan]]&lt;&gt;0,DB_STProjectAcct[[#This Row],[Actual]]/DB_STProjectAcct[[#This Row],[Plan]],1.000011000011)</f>
        <v>1.0000110000110001</v>
      </c>
    </row>
    <row r="635" spans="1:33" hidden="1" x14ac:dyDescent="0.2">
      <c r="A635" t="s">
        <v>628</v>
      </c>
      <c r="B635" t="s">
        <v>351</v>
      </c>
      <c r="C635" t="s">
        <v>502</v>
      </c>
      <c r="D635" t="s">
        <v>502</v>
      </c>
      <c r="E635" t="s">
        <v>142</v>
      </c>
      <c r="AC635" s="295"/>
      <c r="AD635">
        <f>SUMPRODUCT(DB_STProjectAcct[[#This Row],[Plan01]:[Plan12]],$F$14:$Q$14)/valUnits2</f>
        <v>0</v>
      </c>
      <c r="AE635">
        <f>SUMPRODUCT(DB_STProjectAcct[[#This Row],[Act01]:[Act12]],$R$14:$AC$14)/valUnits2</f>
        <v>0</v>
      </c>
      <c r="AF635">
        <f>DB_STProjectAcct[[#This Row],[Actual]]-DB_STProjectAcct[[#This Row],[Plan]]</f>
        <v>0</v>
      </c>
      <c r="AG635">
        <f>IF(DB_STProjectAcct[[#This Row],[Plan]]&lt;&gt;0,DB_STProjectAcct[[#This Row],[Actual]]/DB_STProjectAcct[[#This Row],[Plan]],1.000011000011)</f>
        <v>1.0000110000110001</v>
      </c>
    </row>
    <row r="636" spans="1:33" hidden="1" x14ac:dyDescent="0.2">
      <c r="A636" t="s">
        <v>629</v>
      </c>
      <c r="B636" t="s">
        <v>351</v>
      </c>
      <c r="C636" t="s">
        <v>502</v>
      </c>
      <c r="D636" t="s">
        <v>502</v>
      </c>
      <c r="E636" t="s">
        <v>140</v>
      </c>
      <c r="F636">
        <v>1382.115</v>
      </c>
      <c r="G636">
        <v>7388.2339999999995</v>
      </c>
      <c r="H636">
        <v>6989.8099999999995</v>
      </c>
      <c r="I636">
        <v>19992.270000000004</v>
      </c>
      <c r="J636">
        <v>10309.564999999999</v>
      </c>
      <c r="K636">
        <v>10623.779999999997</v>
      </c>
      <c r="L636">
        <v>9474.9560000000019</v>
      </c>
      <c r="M636">
        <v>9388.61</v>
      </c>
      <c r="N636">
        <v>9336.5850000000009</v>
      </c>
      <c r="O636">
        <v>8060.1399999999994</v>
      </c>
      <c r="P636">
        <v>8060.1399999999994</v>
      </c>
      <c r="Q636">
        <v>7767.2740000000013</v>
      </c>
      <c r="R636">
        <v>4.84</v>
      </c>
      <c r="S636">
        <v>5997.75</v>
      </c>
      <c r="T636">
        <v>5428.03</v>
      </c>
      <c r="U636">
        <v>18134.989999999998</v>
      </c>
      <c r="V636">
        <v>8556.8300000000017</v>
      </c>
      <c r="W636">
        <v>8525.49</v>
      </c>
      <c r="X636">
        <v>0</v>
      </c>
      <c r="Y636">
        <v>0</v>
      </c>
      <c r="Z636">
        <v>0</v>
      </c>
      <c r="AA636">
        <v>0</v>
      </c>
      <c r="AB636">
        <v>0</v>
      </c>
      <c r="AC636" s="297">
        <v>0</v>
      </c>
      <c r="AD636">
        <f>SUMPRODUCT(DB_STProjectAcct[[#This Row],[Plan01]:[Plan12]],$F$14:$Q$14)/valUnits2</f>
        <v>56.685774000000002</v>
      </c>
      <c r="AE636">
        <f>SUMPRODUCT(DB_STProjectAcct[[#This Row],[Act01]:[Act12]],$R$14:$AC$14)/valUnits2</f>
        <v>46.647930000000002</v>
      </c>
      <c r="AF636">
        <f>DB_STProjectAcct[[#This Row],[Actual]]-DB_STProjectAcct[[#This Row],[Plan]]</f>
        <v>-10.037844</v>
      </c>
      <c r="AG636">
        <f>IF(DB_STProjectAcct[[#This Row],[Plan]]&lt;&gt;0,DB_STProjectAcct[[#This Row],[Actual]]/DB_STProjectAcct[[#This Row],[Plan]],1.000011000011)</f>
        <v>0.82292128532989606</v>
      </c>
    </row>
    <row r="637" spans="1:33" hidden="1" x14ac:dyDescent="0.2">
      <c r="A637" t="s">
        <v>630</v>
      </c>
      <c r="B637" t="s">
        <v>351</v>
      </c>
      <c r="C637" t="s">
        <v>502</v>
      </c>
      <c r="D637" t="s">
        <v>502</v>
      </c>
      <c r="E637" t="s">
        <v>236</v>
      </c>
      <c r="F637">
        <v>1654.14</v>
      </c>
      <c r="I637">
        <v>-1654.14</v>
      </c>
      <c r="R637">
        <v>1654.14</v>
      </c>
      <c r="U637">
        <v>-1654.14</v>
      </c>
      <c r="AC637" s="295"/>
      <c r="AD637">
        <f>SUMPRODUCT(DB_STProjectAcct[[#This Row],[Plan01]:[Plan12]],$F$14:$Q$14)/valUnits2</f>
        <v>0</v>
      </c>
      <c r="AE637">
        <f>SUMPRODUCT(DB_STProjectAcct[[#This Row],[Act01]:[Act12]],$R$14:$AC$14)/valUnits2</f>
        <v>0</v>
      </c>
      <c r="AF637">
        <f>DB_STProjectAcct[[#This Row],[Actual]]-DB_STProjectAcct[[#This Row],[Plan]]</f>
        <v>0</v>
      </c>
      <c r="AG637">
        <f>IF(DB_STProjectAcct[[#This Row],[Plan]]&lt;&gt;0,DB_STProjectAcct[[#This Row],[Actual]]/DB_STProjectAcct[[#This Row],[Plan]],1.000011000011)</f>
        <v>1.0000110000110001</v>
      </c>
    </row>
    <row r="638" spans="1:33" hidden="1" x14ac:dyDescent="0.2">
      <c r="A638" t="s">
        <v>631</v>
      </c>
      <c r="B638" t="s">
        <v>351</v>
      </c>
      <c r="C638" t="s">
        <v>502</v>
      </c>
      <c r="D638" t="s">
        <v>502</v>
      </c>
      <c r="E638" t="s">
        <v>237</v>
      </c>
      <c r="F638">
        <v>701.75</v>
      </c>
      <c r="H638">
        <v>147.51499999999999</v>
      </c>
      <c r="I638">
        <v>490.07299999999998</v>
      </c>
      <c r="R638">
        <v>701.75</v>
      </c>
      <c r="T638">
        <v>141.77000000000001</v>
      </c>
      <c r="U638">
        <v>474.43</v>
      </c>
      <c r="AC638" s="297"/>
      <c r="AD638">
        <f>SUMPRODUCT(DB_STProjectAcct[[#This Row],[Plan01]:[Plan12]],$F$14:$Q$14)/valUnits2</f>
        <v>1.3393379999999999</v>
      </c>
      <c r="AE638">
        <f>SUMPRODUCT(DB_STProjectAcct[[#This Row],[Act01]:[Act12]],$R$14:$AC$14)/valUnits2</f>
        <v>1.31795</v>
      </c>
      <c r="AF638">
        <f>DB_STProjectAcct[[#This Row],[Actual]]-DB_STProjectAcct[[#This Row],[Plan]]</f>
        <v>-2.1387999999999963E-2</v>
      </c>
      <c r="AG638">
        <f>IF(DB_STProjectAcct[[#This Row],[Plan]]&lt;&gt;0,DB_STProjectAcct[[#This Row],[Actual]]/DB_STProjectAcct[[#This Row],[Plan]],1.000011000011)</f>
        <v>0.9840309167663428</v>
      </c>
    </row>
    <row r="639" spans="1:33" hidden="1" x14ac:dyDescent="0.2">
      <c r="A639" t="s">
        <v>632</v>
      </c>
      <c r="B639" t="s">
        <v>351</v>
      </c>
      <c r="C639" t="s">
        <v>502</v>
      </c>
      <c r="D639" t="s">
        <v>502</v>
      </c>
      <c r="E639" t="s">
        <v>141</v>
      </c>
      <c r="F639">
        <v>52.613999999999997</v>
      </c>
      <c r="G639">
        <v>18.57</v>
      </c>
      <c r="H639">
        <v>232.34800000000001</v>
      </c>
      <c r="I639">
        <v>835.41200000000003</v>
      </c>
      <c r="J639">
        <v>1025.0140000000001</v>
      </c>
      <c r="K639">
        <v>0</v>
      </c>
      <c r="R639">
        <v>52.489999999999995</v>
      </c>
      <c r="S639">
        <v>18.57</v>
      </c>
      <c r="T639">
        <v>224.12</v>
      </c>
      <c r="U639">
        <v>824.86000000000013</v>
      </c>
      <c r="V639">
        <v>1002.59</v>
      </c>
      <c r="W639">
        <v>38.83</v>
      </c>
      <c r="AC639" s="295"/>
      <c r="AD639">
        <f>SUMPRODUCT(DB_STProjectAcct[[#This Row],[Plan01]:[Plan12]],$F$14:$Q$14)/valUnits2</f>
        <v>2.163958</v>
      </c>
      <c r="AE639">
        <f>SUMPRODUCT(DB_STProjectAcct[[#This Row],[Act01]:[Act12]],$R$14:$AC$14)/valUnits2</f>
        <v>2.1614599999999999</v>
      </c>
      <c r="AF639">
        <f>DB_STProjectAcct[[#This Row],[Actual]]-DB_STProjectAcct[[#This Row],[Plan]]</f>
        <v>-2.4980000000001112E-3</v>
      </c>
      <c r="AG639">
        <f>IF(DB_STProjectAcct[[#This Row],[Plan]]&lt;&gt;0,DB_STProjectAcct[[#This Row],[Actual]]/DB_STProjectAcct[[#This Row],[Plan]],1.000011000011)</f>
        <v>0.99884563378771674</v>
      </c>
    </row>
    <row r="640" spans="1:33" hidden="1" x14ac:dyDescent="0.2">
      <c r="A640" t="s">
        <v>633</v>
      </c>
      <c r="B640" t="s">
        <v>351</v>
      </c>
      <c r="C640" t="s">
        <v>503</v>
      </c>
      <c r="D640" t="s">
        <v>503</v>
      </c>
      <c r="E640" t="s">
        <v>143</v>
      </c>
      <c r="AC640" s="297"/>
      <c r="AD640">
        <f>SUMPRODUCT(DB_STProjectAcct[[#This Row],[Plan01]:[Plan12]],$F$14:$Q$14)/valUnits2</f>
        <v>0</v>
      </c>
      <c r="AE640">
        <f>SUMPRODUCT(DB_STProjectAcct[[#This Row],[Act01]:[Act12]],$R$14:$AC$14)/valUnits2</f>
        <v>0</v>
      </c>
      <c r="AF640">
        <f>DB_STProjectAcct[[#This Row],[Actual]]-DB_STProjectAcct[[#This Row],[Plan]]</f>
        <v>0</v>
      </c>
      <c r="AG640">
        <f>IF(DB_STProjectAcct[[#This Row],[Plan]]&lt;&gt;0,DB_STProjectAcct[[#This Row],[Actual]]/DB_STProjectAcct[[#This Row],[Plan]],1.000011000011)</f>
        <v>1.0000110000110001</v>
      </c>
    </row>
    <row r="641" spans="1:33" hidden="1" x14ac:dyDescent="0.2">
      <c r="A641" t="s">
        <v>634</v>
      </c>
      <c r="B641" t="s">
        <v>351</v>
      </c>
      <c r="C641" t="s">
        <v>503</v>
      </c>
      <c r="D641" t="s">
        <v>503</v>
      </c>
      <c r="E641" t="s">
        <v>235</v>
      </c>
      <c r="AC641" s="295"/>
      <c r="AD641">
        <f>SUMPRODUCT(DB_STProjectAcct[[#This Row],[Plan01]:[Plan12]],$F$14:$Q$14)/valUnits2</f>
        <v>0</v>
      </c>
      <c r="AE641">
        <f>SUMPRODUCT(DB_STProjectAcct[[#This Row],[Act01]:[Act12]],$R$14:$AC$14)/valUnits2</f>
        <v>0</v>
      </c>
      <c r="AF641">
        <f>DB_STProjectAcct[[#This Row],[Actual]]-DB_STProjectAcct[[#This Row],[Plan]]</f>
        <v>0</v>
      </c>
      <c r="AG641">
        <f>IF(DB_STProjectAcct[[#This Row],[Plan]]&lt;&gt;0,DB_STProjectAcct[[#This Row],[Actual]]/DB_STProjectAcct[[#This Row],[Plan]],1.000011000011)</f>
        <v>1.0000110000110001</v>
      </c>
    </row>
    <row r="642" spans="1:33" hidden="1" x14ac:dyDescent="0.2">
      <c r="A642" t="s">
        <v>635</v>
      </c>
      <c r="B642" t="s">
        <v>351</v>
      </c>
      <c r="C642" t="s">
        <v>503</v>
      </c>
      <c r="D642" t="s">
        <v>503</v>
      </c>
      <c r="E642" t="s">
        <v>144</v>
      </c>
      <c r="AC642" s="297"/>
      <c r="AD642">
        <f>SUMPRODUCT(DB_STProjectAcct[[#This Row],[Plan01]:[Plan12]],$F$14:$Q$14)/valUnits2</f>
        <v>0</v>
      </c>
      <c r="AE642">
        <f>SUMPRODUCT(DB_STProjectAcct[[#This Row],[Act01]:[Act12]],$R$14:$AC$14)/valUnits2</f>
        <v>0</v>
      </c>
      <c r="AF642">
        <f>DB_STProjectAcct[[#This Row],[Actual]]-DB_STProjectAcct[[#This Row],[Plan]]</f>
        <v>0</v>
      </c>
      <c r="AG642">
        <f>IF(DB_STProjectAcct[[#This Row],[Plan]]&lt;&gt;0,DB_STProjectAcct[[#This Row],[Actual]]/DB_STProjectAcct[[#This Row],[Plan]],1.000011000011)</f>
        <v>1.0000110000110001</v>
      </c>
    </row>
    <row r="643" spans="1:33" hidden="1" x14ac:dyDescent="0.2">
      <c r="A643" t="s">
        <v>636</v>
      </c>
      <c r="B643" t="s">
        <v>351</v>
      </c>
      <c r="C643" t="s">
        <v>503</v>
      </c>
      <c r="D643" t="s">
        <v>503</v>
      </c>
      <c r="E643" t="s">
        <v>142</v>
      </c>
      <c r="AC643" s="295"/>
      <c r="AD643">
        <f>SUMPRODUCT(DB_STProjectAcct[[#This Row],[Plan01]:[Plan12]],$F$14:$Q$14)/valUnits2</f>
        <v>0</v>
      </c>
      <c r="AE643">
        <f>SUMPRODUCT(DB_STProjectAcct[[#This Row],[Act01]:[Act12]],$R$14:$AC$14)/valUnits2</f>
        <v>0</v>
      </c>
      <c r="AF643">
        <f>DB_STProjectAcct[[#This Row],[Actual]]-DB_STProjectAcct[[#This Row],[Plan]]</f>
        <v>0</v>
      </c>
      <c r="AG643">
        <f>IF(DB_STProjectAcct[[#This Row],[Plan]]&lt;&gt;0,DB_STProjectAcct[[#This Row],[Actual]]/DB_STProjectAcct[[#This Row],[Plan]],1.000011000011)</f>
        <v>1.0000110000110001</v>
      </c>
    </row>
    <row r="644" spans="1:33" hidden="1" x14ac:dyDescent="0.2">
      <c r="A644" t="s">
        <v>637</v>
      </c>
      <c r="B644" t="s">
        <v>351</v>
      </c>
      <c r="C644" t="s">
        <v>503</v>
      </c>
      <c r="D644" t="s">
        <v>503</v>
      </c>
      <c r="E644" t="s">
        <v>140</v>
      </c>
      <c r="F644">
        <v>1175.8979999999999</v>
      </c>
      <c r="G644">
        <v>4724.9100000000008</v>
      </c>
      <c r="H644">
        <v>5398.1910000000007</v>
      </c>
      <c r="I644">
        <v>8552.887999999999</v>
      </c>
      <c r="J644">
        <v>5936.5229999999983</v>
      </c>
      <c r="K644">
        <v>6584.7249999999985</v>
      </c>
      <c r="L644">
        <v>6584.7249999999995</v>
      </c>
      <c r="M644">
        <v>6584.7249999999995</v>
      </c>
      <c r="N644">
        <v>6584.7249999999995</v>
      </c>
      <c r="O644">
        <v>5308.2800000000007</v>
      </c>
      <c r="P644">
        <v>4626.4539999999997</v>
      </c>
      <c r="Q644">
        <v>3102.8919999999998</v>
      </c>
      <c r="R644">
        <v>10.28</v>
      </c>
      <c r="S644">
        <v>3407.7</v>
      </c>
      <c r="T644">
        <v>3803.08</v>
      </c>
      <c r="U644">
        <v>6928.9100000000008</v>
      </c>
      <c r="V644">
        <v>2832.8</v>
      </c>
      <c r="W644">
        <v>2939.91</v>
      </c>
      <c r="X644">
        <v>0</v>
      </c>
      <c r="Y644">
        <v>0</v>
      </c>
      <c r="Z644">
        <v>0</v>
      </c>
      <c r="AA644">
        <v>0</v>
      </c>
      <c r="AB644">
        <v>0</v>
      </c>
      <c r="AC644" s="297">
        <v>0</v>
      </c>
      <c r="AD644">
        <f>SUMPRODUCT(DB_STProjectAcct[[#This Row],[Plan01]:[Plan12]],$F$14:$Q$14)/valUnits2</f>
        <v>32.373134999999998</v>
      </c>
      <c r="AE644">
        <f>SUMPRODUCT(DB_STProjectAcct[[#This Row],[Act01]:[Act12]],$R$14:$AC$14)/valUnits2</f>
        <v>19.92268</v>
      </c>
      <c r="AF644">
        <f>DB_STProjectAcct[[#This Row],[Actual]]-DB_STProjectAcct[[#This Row],[Plan]]</f>
        <v>-12.450454999999998</v>
      </c>
      <c r="AG644">
        <f>IF(DB_STProjectAcct[[#This Row],[Plan]]&lt;&gt;0,DB_STProjectAcct[[#This Row],[Actual]]/DB_STProjectAcct[[#This Row],[Plan]],1.000011000011)</f>
        <v>0.61540780650375693</v>
      </c>
    </row>
    <row r="645" spans="1:33" hidden="1" x14ac:dyDescent="0.2">
      <c r="A645" t="s">
        <v>638</v>
      </c>
      <c r="B645" t="s">
        <v>351</v>
      </c>
      <c r="C645" t="s">
        <v>503</v>
      </c>
      <c r="D645" t="s">
        <v>503</v>
      </c>
      <c r="E645" t="s">
        <v>236</v>
      </c>
      <c r="AC645" s="295"/>
      <c r="AD645">
        <f>SUMPRODUCT(DB_STProjectAcct[[#This Row],[Plan01]:[Plan12]],$F$14:$Q$14)/valUnits2</f>
        <v>0</v>
      </c>
      <c r="AE645">
        <f>SUMPRODUCT(DB_STProjectAcct[[#This Row],[Act01]:[Act12]],$R$14:$AC$14)/valUnits2</f>
        <v>0</v>
      </c>
      <c r="AF645">
        <f>DB_STProjectAcct[[#This Row],[Actual]]-DB_STProjectAcct[[#This Row],[Plan]]</f>
        <v>0</v>
      </c>
      <c r="AG645">
        <f>IF(DB_STProjectAcct[[#This Row],[Plan]]&lt;&gt;0,DB_STProjectAcct[[#This Row],[Actual]]/DB_STProjectAcct[[#This Row],[Plan]],1.000011000011)</f>
        <v>1.0000110000110001</v>
      </c>
    </row>
    <row r="646" spans="1:33" hidden="1" x14ac:dyDescent="0.2">
      <c r="A646" t="s">
        <v>639</v>
      </c>
      <c r="B646" t="s">
        <v>351</v>
      </c>
      <c r="C646" t="s">
        <v>503</v>
      </c>
      <c r="D646" t="s">
        <v>503</v>
      </c>
      <c r="E646" t="s">
        <v>237</v>
      </c>
      <c r="AC646" s="297"/>
      <c r="AD646">
        <f>SUMPRODUCT(DB_STProjectAcct[[#This Row],[Plan01]:[Plan12]],$F$14:$Q$14)/valUnits2</f>
        <v>0</v>
      </c>
      <c r="AE646">
        <f>SUMPRODUCT(DB_STProjectAcct[[#This Row],[Act01]:[Act12]],$R$14:$AC$14)/valUnits2</f>
        <v>0</v>
      </c>
      <c r="AF646">
        <f>DB_STProjectAcct[[#This Row],[Actual]]-DB_STProjectAcct[[#This Row],[Plan]]</f>
        <v>0</v>
      </c>
      <c r="AG646">
        <f>IF(DB_STProjectAcct[[#This Row],[Plan]]&lt;&gt;0,DB_STProjectAcct[[#This Row],[Actual]]/DB_STProjectAcct[[#This Row],[Plan]],1.000011000011)</f>
        <v>1.0000110000110001</v>
      </c>
    </row>
    <row r="647" spans="1:33" hidden="1" x14ac:dyDescent="0.2">
      <c r="A647" t="s">
        <v>640</v>
      </c>
      <c r="B647" t="s">
        <v>351</v>
      </c>
      <c r="C647" t="s">
        <v>503</v>
      </c>
      <c r="D647" t="s">
        <v>503</v>
      </c>
      <c r="E647" t="s">
        <v>141</v>
      </c>
      <c r="F647">
        <v>-1996.32</v>
      </c>
      <c r="I647">
        <v>290.64300000000003</v>
      </c>
      <c r="K647">
        <v>0</v>
      </c>
      <c r="R647">
        <v>-1996.32</v>
      </c>
      <c r="U647">
        <v>292.33999999999997</v>
      </c>
      <c r="W647">
        <v>179.10000000000002</v>
      </c>
      <c r="AC647" s="295"/>
      <c r="AD647">
        <f>SUMPRODUCT(DB_STProjectAcct[[#This Row],[Plan01]:[Plan12]],$F$14:$Q$14)/valUnits2</f>
        <v>-1.7056769999999999</v>
      </c>
      <c r="AE647">
        <f>SUMPRODUCT(DB_STProjectAcct[[#This Row],[Act01]:[Act12]],$R$14:$AC$14)/valUnits2</f>
        <v>-1.52488</v>
      </c>
      <c r="AF647">
        <f>DB_STProjectAcct[[#This Row],[Actual]]-DB_STProjectAcct[[#This Row],[Plan]]</f>
        <v>0.18079699999999987</v>
      </c>
      <c r="AG647">
        <f>IF(DB_STProjectAcct[[#This Row],[Plan]]&lt;&gt;0,DB_STProjectAcct[[#This Row],[Actual]]/DB_STProjectAcct[[#This Row],[Plan]],1.000011000011)</f>
        <v>0.89400279185332288</v>
      </c>
    </row>
    <row r="648" spans="1:33" hidden="1" x14ac:dyDescent="0.2">
      <c r="A648" t="s">
        <v>641</v>
      </c>
      <c r="B648" t="s">
        <v>351</v>
      </c>
      <c r="C648" t="s">
        <v>504</v>
      </c>
      <c r="D648" t="s">
        <v>504</v>
      </c>
      <c r="E648" t="s">
        <v>143</v>
      </c>
      <c r="F648">
        <v>0</v>
      </c>
      <c r="H648">
        <v>0</v>
      </c>
      <c r="I648">
        <v>0</v>
      </c>
      <c r="J648">
        <v>0</v>
      </c>
      <c r="K648">
        <v>0</v>
      </c>
      <c r="R648">
        <v>0</v>
      </c>
      <c r="T648">
        <v>97.9</v>
      </c>
      <c r="U648">
        <v>0</v>
      </c>
      <c r="V648">
        <v>0</v>
      </c>
      <c r="W648">
        <v>966.5</v>
      </c>
      <c r="AC648" s="297"/>
      <c r="AD648">
        <f>SUMPRODUCT(DB_STProjectAcct[[#This Row],[Plan01]:[Plan12]],$F$14:$Q$14)/valUnits2</f>
        <v>0</v>
      </c>
      <c r="AE648">
        <f>SUMPRODUCT(DB_STProjectAcct[[#This Row],[Act01]:[Act12]],$R$14:$AC$14)/valUnits2</f>
        <v>1.0644</v>
      </c>
      <c r="AF648">
        <f>DB_STProjectAcct[[#This Row],[Actual]]-DB_STProjectAcct[[#This Row],[Plan]]</f>
        <v>1.0644</v>
      </c>
      <c r="AG648">
        <f>IF(DB_STProjectAcct[[#This Row],[Plan]]&lt;&gt;0,DB_STProjectAcct[[#This Row],[Actual]]/DB_STProjectAcct[[#This Row],[Plan]],1.000011000011)</f>
        <v>1.0000110000110001</v>
      </c>
    </row>
    <row r="649" spans="1:33" hidden="1" x14ac:dyDescent="0.2">
      <c r="A649" t="s">
        <v>642</v>
      </c>
      <c r="B649" t="s">
        <v>351</v>
      </c>
      <c r="C649" t="s">
        <v>504</v>
      </c>
      <c r="D649" t="s">
        <v>504</v>
      </c>
      <c r="E649" t="s">
        <v>235</v>
      </c>
      <c r="F649">
        <v>4574.2939999999999</v>
      </c>
      <c r="G649">
        <v>5004.5889999999999</v>
      </c>
      <c r="H649">
        <v>3320.1600000000003</v>
      </c>
      <c r="I649">
        <v>1634.4200000000003</v>
      </c>
      <c r="J649">
        <v>1496.5279999999998</v>
      </c>
      <c r="K649">
        <v>0</v>
      </c>
      <c r="R649">
        <v>4572.9099999999989</v>
      </c>
      <c r="S649">
        <v>5004.9699999999993</v>
      </c>
      <c r="T649">
        <v>3320.1600000000003</v>
      </c>
      <c r="U649">
        <v>1634.4200000000003</v>
      </c>
      <c r="V649">
        <v>1496.92</v>
      </c>
      <c r="W649">
        <v>3223.7299999999996</v>
      </c>
      <c r="AC649" s="295"/>
      <c r="AD649">
        <f>SUMPRODUCT(DB_STProjectAcct[[#This Row],[Plan01]:[Plan12]],$F$14:$Q$14)/valUnits2</f>
        <v>16.029990999999999</v>
      </c>
      <c r="AE649">
        <f>SUMPRODUCT(DB_STProjectAcct[[#This Row],[Act01]:[Act12]],$R$14:$AC$14)/valUnits2</f>
        <v>19.253109999999996</v>
      </c>
      <c r="AF649">
        <f>DB_STProjectAcct[[#This Row],[Actual]]-DB_STProjectAcct[[#This Row],[Plan]]</f>
        <v>3.223118999999997</v>
      </c>
      <c r="AG649">
        <f>IF(DB_STProjectAcct[[#This Row],[Plan]]&lt;&gt;0,DB_STProjectAcct[[#This Row],[Actual]]/DB_STProjectAcct[[#This Row],[Plan]],1.000011000011)</f>
        <v>1.2010680480107567</v>
      </c>
    </row>
    <row r="650" spans="1:33" hidden="1" x14ac:dyDescent="0.2">
      <c r="A650" t="s">
        <v>643</v>
      </c>
      <c r="B650" t="s">
        <v>351</v>
      </c>
      <c r="C650" t="s">
        <v>504</v>
      </c>
      <c r="D650" t="s">
        <v>504</v>
      </c>
      <c r="E650" t="s">
        <v>144</v>
      </c>
      <c r="AC650" s="297"/>
      <c r="AD650">
        <f>SUMPRODUCT(DB_STProjectAcct[[#This Row],[Plan01]:[Plan12]],$F$14:$Q$14)/valUnits2</f>
        <v>0</v>
      </c>
      <c r="AE650">
        <f>SUMPRODUCT(DB_STProjectAcct[[#This Row],[Act01]:[Act12]],$R$14:$AC$14)/valUnits2</f>
        <v>0</v>
      </c>
      <c r="AF650">
        <f>DB_STProjectAcct[[#This Row],[Actual]]-DB_STProjectAcct[[#This Row],[Plan]]</f>
        <v>0</v>
      </c>
      <c r="AG650">
        <f>IF(DB_STProjectAcct[[#This Row],[Plan]]&lt;&gt;0,DB_STProjectAcct[[#This Row],[Actual]]/DB_STProjectAcct[[#This Row],[Plan]],1.000011000011)</f>
        <v>1.0000110000110001</v>
      </c>
    </row>
    <row r="651" spans="1:33" hidden="1" x14ac:dyDescent="0.2">
      <c r="A651" t="s">
        <v>644</v>
      </c>
      <c r="B651" t="s">
        <v>351</v>
      </c>
      <c r="C651" t="s">
        <v>504</v>
      </c>
      <c r="D651" t="s">
        <v>504</v>
      </c>
      <c r="E651" t="s">
        <v>142</v>
      </c>
      <c r="AC651" s="295"/>
      <c r="AD651">
        <f>SUMPRODUCT(DB_STProjectAcct[[#This Row],[Plan01]:[Plan12]],$F$14:$Q$14)/valUnits2</f>
        <v>0</v>
      </c>
      <c r="AE651">
        <f>SUMPRODUCT(DB_STProjectAcct[[#This Row],[Act01]:[Act12]],$R$14:$AC$14)/valUnits2</f>
        <v>0</v>
      </c>
      <c r="AF651">
        <f>DB_STProjectAcct[[#This Row],[Actual]]-DB_STProjectAcct[[#This Row],[Plan]]</f>
        <v>0</v>
      </c>
      <c r="AG651">
        <f>IF(DB_STProjectAcct[[#This Row],[Plan]]&lt;&gt;0,DB_STProjectAcct[[#This Row],[Actual]]/DB_STProjectAcct[[#This Row],[Plan]],1.000011000011)</f>
        <v>1.0000110000110001</v>
      </c>
    </row>
    <row r="652" spans="1:33" hidden="1" x14ac:dyDescent="0.2">
      <c r="A652" t="s">
        <v>645</v>
      </c>
      <c r="B652" t="s">
        <v>351</v>
      </c>
      <c r="C652" t="s">
        <v>504</v>
      </c>
      <c r="D652" t="s">
        <v>504</v>
      </c>
      <c r="E652" t="s">
        <v>140</v>
      </c>
      <c r="F652">
        <v>1911.0439999999999</v>
      </c>
      <c r="G652">
        <v>7406.4040000000005</v>
      </c>
      <c r="H652">
        <v>2903.346</v>
      </c>
      <c r="I652">
        <v>10342.798999999999</v>
      </c>
      <c r="J652">
        <v>14158.627999999997</v>
      </c>
      <c r="K652">
        <v>4083.8269999999998</v>
      </c>
      <c r="L652">
        <v>4256.5210000000006</v>
      </c>
      <c r="M652">
        <v>4083.8269999999998</v>
      </c>
      <c r="N652">
        <v>4083.8269999999998</v>
      </c>
      <c r="O652">
        <v>1531.049</v>
      </c>
      <c r="P652">
        <v>1531.0490000000002</v>
      </c>
      <c r="Q652">
        <v>1703.7430000000004</v>
      </c>
      <c r="R652">
        <v>1820.5300000000002</v>
      </c>
      <c r="S652">
        <v>7348.92</v>
      </c>
      <c r="T652">
        <v>2834.6400000000003</v>
      </c>
      <c r="U652">
        <v>10307.779999999997</v>
      </c>
      <c r="V652">
        <v>14263.2</v>
      </c>
      <c r="W652">
        <v>10498.459999999997</v>
      </c>
      <c r="X652">
        <v>0</v>
      </c>
      <c r="Y652">
        <v>0</v>
      </c>
      <c r="Z652">
        <v>0</v>
      </c>
      <c r="AA652">
        <v>0</v>
      </c>
      <c r="AB652">
        <v>0</v>
      </c>
      <c r="AC652" s="297">
        <v>0</v>
      </c>
      <c r="AD652">
        <f>SUMPRODUCT(DB_STProjectAcct[[#This Row],[Plan01]:[Plan12]],$F$14:$Q$14)/valUnits2</f>
        <v>40.806047999999997</v>
      </c>
      <c r="AE652">
        <f>SUMPRODUCT(DB_STProjectAcct[[#This Row],[Act01]:[Act12]],$R$14:$AC$14)/valUnits2</f>
        <v>47.073529999999991</v>
      </c>
      <c r="AF652">
        <f>DB_STProjectAcct[[#This Row],[Actual]]-DB_STProjectAcct[[#This Row],[Plan]]</f>
        <v>6.267481999999994</v>
      </c>
      <c r="AG652">
        <f>IF(DB_STProjectAcct[[#This Row],[Plan]]&lt;&gt;0,DB_STProjectAcct[[#This Row],[Actual]]/DB_STProjectAcct[[#This Row],[Plan]],1.000011000011)</f>
        <v>1.1535919871485716</v>
      </c>
    </row>
    <row r="653" spans="1:33" hidden="1" x14ac:dyDescent="0.2">
      <c r="A653" t="s">
        <v>646</v>
      </c>
      <c r="B653" t="s">
        <v>351</v>
      </c>
      <c r="C653" t="s">
        <v>504</v>
      </c>
      <c r="D653" t="s">
        <v>504</v>
      </c>
      <c r="E653" t="s">
        <v>236</v>
      </c>
      <c r="F653">
        <v>175.06</v>
      </c>
      <c r="G653">
        <v>0</v>
      </c>
      <c r="H653">
        <v>1639.18</v>
      </c>
      <c r="I653">
        <v>-175.06</v>
      </c>
      <c r="J653">
        <v>0</v>
      </c>
      <c r="K653">
        <v>0</v>
      </c>
      <c r="R653">
        <v>175.06</v>
      </c>
      <c r="S653">
        <v>0</v>
      </c>
      <c r="T653">
        <v>1639.18</v>
      </c>
      <c r="U653">
        <v>-175.06</v>
      </c>
      <c r="V653">
        <v>0</v>
      </c>
      <c r="W653">
        <v>6.1900000000000546</v>
      </c>
      <c r="AC653" s="295"/>
      <c r="AD653">
        <f>SUMPRODUCT(DB_STProjectAcct[[#This Row],[Plan01]:[Plan12]],$F$14:$Q$14)/valUnits2</f>
        <v>1.6391800000000001</v>
      </c>
      <c r="AE653">
        <f>SUMPRODUCT(DB_STProjectAcct[[#This Row],[Act01]:[Act12]],$R$14:$AC$14)/valUnits2</f>
        <v>1.6453700000000002</v>
      </c>
      <c r="AF653">
        <f>DB_STProjectAcct[[#This Row],[Actual]]-DB_STProjectAcct[[#This Row],[Plan]]</f>
        <v>6.1900000000001398E-3</v>
      </c>
      <c r="AG653">
        <f>IF(DB_STProjectAcct[[#This Row],[Plan]]&lt;&gt;0,DB_STProjectAcct[[#This Row],[Actual]]/DB_STProjectAcct[[#This Row],[Plan]],1.000011000011)</f>
        <v>1.0037762783830941</v>
      </c>
    </row>
    <row r="654" spans="1:33" hidden="1" x14ac:dyDescent="0.2">
      <c r="A654" t="s">
        <v>647</v>
      </c>
      <c r="B654" t="s">
        <v>351</v>
      </c>
      <c r="C654" t="s">
        <v>504</v>
      </c>
      <c r="D654" t="s">
        <v>504</v>
      </c>
      <c r="E654" t="s">
        <v>237</v>
      </c>
      <c r="G654">
        <v>11.282</v>
      </c>
      <c r="S654">
        <v>11.27</v>
      </c>
      <c r="AC654" s="297"/>
      <c r="AD654">
        <f>SUMPRODUCT(DB_STProjectAcct[[#This Row],[Plan01]:[Plan12]],$F$14:$Q$14)/valUnits2</f>
        <v>1.1282E-2</v>
      </c>
      <c r="AE654">
        <f>SUMPRODUCT(DB_STProjectAcct[[#This Row],[Act01]:[Act12]],$R$14:$AC$14)/valUnits2</f>
        <v>1.1269999999999999E-2</v>
      </c>
      <c r="AF654">
        <f>DB_STProjectAcct[[#This Row],[Actual]]-DB_STProjectAcct[[#This Row],[Plan]]</f>
        <v>-1.2000000000001593E-5</v>
      </c>
      <c r="AG654">
        <f>IF(DB_STProjectAcct[[#This Row],[Plan]]&lt;&gt;0,DB_STProjectAcct[[#This Row],[Actual]]/DB_STProjectAcct[[#This Row],[Plan]],1.000011000011)</f>
        <v>0.99893635880163079</v>
      </c>
    </row>
    <row r="655" spans="1:33" hidden="1" x14ac:dyDescent="0.2">
      <c r="A655" t="s">
        <v>648</v>
      </c>
      <c r="B655" t="s">
        <v>351</v>
      </c>
      <c r="C655" t="s">
        <v>504</v>
      </c>
      <c r="D655" t="s">
        <v>504</v>
      </c>
      <c r="E655" t="s">
        <v>141</v>
      </c>
      <c r="F655">
        <v>263.28300000000002</v>
      </c>
      <c r="G655">
        <v>1396.1139999999998</v>
      </c>
      <c r="H655">
        <v>430.12000000000006</v>
      </c>
      <c r="I655">
        <v>-393.11400000000003</v>
      </c>
      <c r="J655">
        <v>676.58899999999994</v>
      </c>
      <c r="K655">
        <v>0</v>
      </c>
      <c r="R655">
        <v>263.27999999999997</v>
      </c>
      <c r="S655">
        <v>1396.09</v>
      </c>
      <c r="T655">
        <v>429.93</v>
      </c>
      <c r="U655">
        <v>-393.09</v>
      </c>
      <c r="V655">
        <v>676.6099999999999</v>
      </c>
      <c r="W655">
        <v>836.29</v>
      </c>
      <c r="AC655" s="295"/>
      <c r="AD655">
        <f>SUMPRODUCT(DB_STProjectAcct[[#This Row],[Plan01]:[Plan12]],$F$14:$Q$14)/valUnits2</f>
        <v>2.3729919999999995</v>
      </c>
      <c r="AE655">
        <f>SUMPRODUCT(DB_STProjectAcct[[#This Row],[Act01]:[Act12]],$R$14:$AC$14)/valUnits2</f>
        <v>3.2091099999999995</v>
      </c>
      <c r="AF655">
        <f>DB_STProjectAcct[[#This Row],[Actual]]-DB_STProjectAcct[[#This Row],[Plan]]</f>
        <v>0.83611799999999992</v>
      </c>
      <c r="AG655">
        <f>IF(DB_STProjectAcct[[#This Row],[Plan]]&lt;&gt;0,DB_STProjectAcct[[#This Row],[Actual]]/DB_STProjectAcct[[#This Row],[Plan]],1.000011000011)</f>
        <v>1.3523475848211879</v>
      </c>
    </row>
    <row r="656" spans="1:33" hidden="1" x14ac:dyDescent="0.2">
      <c r="A656" t="s">
        <v>649</v>
      </c>
      <c r="B656" t="s">
        <v>351</v>
      </c>
      <c r="C656" t="s">
        <v>505</v>
      </c>
      <c r="D656" t="s">
        <v>505</v>
      </c>
      <c r="E656" t="s">
        <v>143</v>
      </c>
      <c r="AC656" s="297"/>
      <c r="AD656">
        <f>SUMPRODUCT(DB_STProjectAcct[[#This Row],[Plan01]:[Plan12]],$F$14:$Q$14)/valUnits2</f>
        <v>0</v>
      </c>
      <c r="AE656">
        <f>SUMPRODUCT(DB_STProjectAcct[[#This Row],[Act01]:[Act12]],$R$14:$AC$14)/valUnits2</f>
        <v>0</v>
      </c>
      <c r="AF656">
        <f>DB_STProjectAcct[[#This Row],[Actual]]-DB_STProjectAcct[[#This Row],[Plan]]</f>
        <v>0</v>
      </c>
      <c r="AG656">
        <f>IF(DB_STProjectAcct[[#This Row],[Plan]]&lt;&gt;0,DB_STProjectAcct[[#This Row],[Actual]]/DB_STProjectAcct[[#This Row],[Plan]],1.000011000011)</f>
        <v>1.0000110000110001</v>
      </c>
    </row>
    <row r="657" spans="1:33" hidden="1" x14ac:dyDescent="0.2">
      <c r="A657" t="s">
        <v>650</v>
      </c>
      <c r="B657" t="s">
        <v>351</v>
      </c>
      <c r="C657" t="s">
        <v>505</v>
      </c>
      <c r="D657" t="s">
        <v>505</v>
      </c>
      <c r="E657" t="s">
        <v>235</v>
      </c>
      <c r="AC657" s="295"/>
      <c r="AD657">
        <f>SUMPRODUCT(DB_STProjectAcct[[#This Row],[Plan01]:[Plan12]],$F$14:$Q$14)/valUnits2</f>
        <v>0</v>
      </c>
      <c r="AE657">
        <f>SUMPRODUCT(DB_STProjectAcct[[#This Row],[Act01]:[Act12]],$R$14:$AC$14)/valUnits2</f>
        <v>0</v>
      </c>
      <c r="AF657">
        <f>DB_STProjectAcct[[#This Row],[Actual]]-DB_STProjectAcct[[#This Row],[Plan]]</f>
        <v>0</v>
      </c>
      <c r="AG657">
        <f>IF(DB_STProjectAcct[[#This Row],[Plan]]&lt;&gt;0,DB_STProjectAcct[[#This Row],[Actual]]/DB_STProjectAcct[[#This Row],[Plan]],1.000011000011)</f>
        <v>1.0000110000110001</v>
      </c>
    </row>
    <row r="658" spans="1:33" hidden="1" x14ac:dyDescent="0.2">
      <c r="A658" t="s">
        <v>651</v>
      </c>
      <c r="B658" t="s">
        <v>351</v>
      </c>
      <c r="C658" t="s">
        <v>505</v>
      </c>
      <c r="D658" t="s">
        <v>505</v>
      </c>
      <c r="E658" t="s">
        <v>144</v>
      </c>
      <c r="AC658" s="297"/>
      <c r="AD658">
        <f>SUMPRODUCT(DB_STProjectAcct[[#This Row],[Plan01]:[Plan12]],$F$14:$Q$14)/valUnits2</f>
        <v>0</v>
      </c>
      <c r="AE658">
        <f>SUMPRODUCT(DB_STProjectAcct[[#This Row],[Act01]:[Act12]],$R$14:$AC$14)/valUnits2</f>
        <v>0</v>
      </c>
      <c r="AF658">
        <f>DB_STProjectAcct[[#This Row],[Actual]]-DB_STProjectAcct[[#This Row],[Plan]]</f>
        <v>0</v>
      </c>
      <c r="AG658">
        <f>IF(DB_STProjectAcct[[#This Row],[Plan]]&lt;&gt;0,DB_STProjectAcct[[#This Row],[Actual]]/DB_STProjectAcct[[#This Row],[Plan]],1.000011000011)</f>
        <v>1.0000110000110001</v>
      </c>
    </row>
    <row r="659" spans="1:33" hidden="1" x14ac:dyDescent="0.2">
      <c r="A659" t="s">
        <v>652</v>
      </c>
      <c r="B659" t="s">
        <v>351</v>
      </c>
      <c r="C659" t="s">
        <v>505</v>
      </c>
      <c r="D659" t="s">
        <v>505</v>
      </c>
      <c r="E659" t="s">
        <v>142</v>
      </c>
      <c r="AC659" s="295"/>
      <c r="AD659">
        <f>SUMPRODUCT(DB_STProjectAcct[[#This Row],[Plan01]:[Plan12]],$F$14:$Q$14)/valUnits2</f>
        <v>0</v>
      </c>
      <c r="AE659">
        <f>SUMPRODUCT(DB_STProjectAcct[[#This Row],[Act01]:[Act12]],$R$14:$AC$14)/valUnits2</f>
        <v>0</v>
      </c>
      <c r="AF659">
        <f>DB_STProjectAcct[[#This Row],[Actual]]-DB_STProjectAcct[[#This Row],[Plan]]</f>
        <v>0</v>
      </c>
      <c r="AG659">
        <f>IF(DB_STProjectAcct[[#This Row],[Plan]]&lt;&gt;0,DB_STProjectAcct[[#This Row],[Actual]]/DB_STProjectAcct[[#This Row],[Plan]],1.000011000011)</f>
        <v>1.0000110000110001</v>
      </c>
    </row>
    <row r="660" spans="1:33" hidden="1" x14ac:dyDescent="0.2">
      <c r="A660" t="s">
        <v>653</v>
      </c>
      <c r="B660" t="s">
        <v>351</v>
      </c>
      <c r="C660" t="s">
        <v>505</v>
      </c>
      <c r="D660" t="s">
        <v>505</v>
      </c>
      <c r="E660" t="s">
        <v>140</v>
      </c>
      <c r="I660">
        <v>1305.654</v>
      </c>
      <c r="J660">
        <v>5367.0060000000003</v>
      </c>
      <c r="K660">
        <v>0</v>
      </c>
      <c r="U660">
        <v>1298.21</v>
      </c>
      <c r="V660">
        <v>5395.34</v>
      </c>
      <c r="W660">
        <v>1436.29</v>
      </c>
      <c r="AC660" s="297"/>
      <c r="AD660">
        <f>SUMPRODUCT(DB_STProjectAcct[[#This Row],[Plan01]:[Plan12]],$F$14:$Q$14)/valUnits2</f>
        <v>6.6726599999999996</v>
      </c>
      <c r="AE660">
        <f>SUMPRODUCT(DB_STProjectAcct[[#This Row],[Act01]:[Act12]],$R$14:$AC$14)/valUnits2</f>
        <v>8.1298399999999997</v>
      </c>
      <c r="AF660">
        <f>DB_STProjectAcct[[#This Row],[Actual]]-DB_STProjectAcct[[#This Row],[Plan]]</f>
        <v>1.4571800000000001</v>
      </c>
      <c r="AG660">
        <f>IF(DB_STProjectAcct[[#This Row],[Plan]]&lt;&gt;0,DB_STProjectAcct[[#This Row],[Actual]]/DB_STProjectAcct[[#This Row],[Plan]],1.000011000011)</f>
        <v>1.2183806757724807</v>
      </c>
    </row>
    <row r="661" spans="1:33" hidden="1" x14ac:dyDescent="0.2">
      <c r="A661" t="s">
        <v>654</v>
      </c>
      <c r="B661" t="s">
        <v>351</v>
      </c>
      <c r="C661" t="s">
        <v>505</v>
      </c>
      <c r="D661" t="s">
        <v>505</v>
      </c>
      <c r="E661" t="s">
        <v>236</v>
      </c>
      <c r="AC661" s="295"/>
      <c r="AD661">
        <f>SUMPRODUCT(DB_STProjectAcct[[#This Row],[Plan01]:[Plan12]],$F$14:$Q$14)/valUnits2</f>
        <v>0</v>
      </c>
      <c r="AE661">
        <f>SUMPRODUCT(DB_STProjectAcct[[#This Row],[Act01]:[Act12]],$R$14:$AC$14)/valUnits2</f>
        <v>0</v>
      </c>
      <c r="AF661">
        <f>DB_STProjectAcct[[#This Row],[Actual]]-DB_STProjectAcct[[#This Row],[Plan]]</f>
        <v>0</v>
      </c>
      <c r="AG661">
        <f>IF(DB_STProjectAcct[[#This Row],[Plan]]&lt;&gt;0,DB_STProjectAcct[[#This Row],[Actual]]/DB_STProjectAcct[[#This Row],[Plan]],1.000011000011)</f>
        <v>1.0000110000110001</v>
      </c>
    </row>
    <row r="662" spans="1:33" hidden="1" x14ac:dyDescent="0.2">
      <c r="A662" t="s">
        <v>655</v>
      </c>
      <c r="B662" t="s">
        <v>351</v>
      </c>
      <c r="C662" t="s">
        <v>505</v>
      </c>
      <c r="D662" t="s">
        <v>505</v>
      </c>
      <c r="E662" t="s">
        <v>237</v>
      </c>
      <c r="K662">
        <v>0</v>
      </c>
      <c r="W662">
        <v>72.150000000000006</v>
      </c>
      <c r="AC662" s="297"/>
      <c r="AD662">
        <f>SUMPRODUCT(DB_STProjectAcct[[#This Row],[Plan01]:[Plan12]],$F$14:$Q$14)/valUnits2</f>
        <v>0</v>
      </c>
      <c r="AE662">
        <f>SUMPRODUCT(DB_STProjectAcct[[#This Row],[Act01]:[Act12]],$R$14:$AC$14)/valUnits2</f>
        <v>7.2150000000000006E-2</v>
      </c>
      <c r="AF662">
        <f>DB_STProjectAcct[[#This Row],[Actual]]-DB_STProjectAcct[[#This Row],[Plan]]</f>
        <v>7.2150000000000006E-2</v>
      </c>
      <c r="AG662">
        <f>IF(DB_STProjectAcct[[#This Row],[Plan]]&lt;&gt;0,DB_STProjectAcct[[#This Row],[Actual]]/DB_STProjectAcct[[#This Row],[Plan]],1.000011000011)</f>
        <v>1.0000110000110001</v>
      </c>
    </row>
    <row r="663" spans="1:33" hidden="1" x14ac:dyDescent="0.2">
      <c r="A663" t="s">
        <v>656</v>
      </c>
      <c r="B663" t="s">
        <v>351</v>
      </c>
      <c r="C663" t="s">
        <v>505</v>
      </c>
      <c r="D663" t="s">
        <v>505</v>
      </c>
      <c r="E663" t="s">
        <v>141</v>
      </c>
      <c r="F663">
        <v>26.3</v>
      </c>
      <c r="K663">
        <v>0</v>
      </c>
      <c r="R663">
        <v>26.3</v>
      </c>
      <c r="W663">
        <v>516.04999999999995</v>
      </c>
      <c r="AC663" s="295"/>
      <c r="AD663">
        <f>SUMPRODUCT(DB_STProjectAcct[[#This Row],[Plan01]:[Plan12]],$F$14:$Q$14)/valUnits2</f>
        <v>2.63E-2</v>
      </c>
      <c r="AE663">
        <f>SUMPRODUCT(DB_STProjectAcct[[#This Row],[Act01]:[Act12]],$R$14:$AC$14)/valUnits2</f>
        <v>0.54234999999999989</v>
      </c>
      <c r="AF663">
        <f>DB_STProjectAcct[[#This Row],[Actual]]-DB_STProjectAcct[[#This Row],[Plan]]</f>
        <v>0.5160499999999999</v>
      </c>
      <c r="AG663">
        <f>IF(DB_STProjectAcct[[#This Row],[Plan]]&lt;&gt;0,DB_STProjectAcct[[#This Row],[Actual]]/DB_STProjectAcct[[#This Row],[Plan]],1.000011000011)</f>
        <v>20.621673003802275</v>
      </c>
    </row>
    <row r="664" spans="1:33" hidden="1" x14ac:dyDescent="0.2">
      <c r="A664" t="s">
        <v>657</v>
      </c>
      <c r="B664" t="s">
        <v>351</v>
      </c>
      <c r="C664" t="s">
        <v>506</v>
      </c>
      <c r="D664" t="s">
        <v>506</v>
      </c>
      <c r="E664" t="s">
        <v>143</v>
      </c>
      <c r="AC664" s="297"/>
      <c r="AD664">
        <f>SUMPRODUCT(DB_STProjectAcct[[#This Row],[Plan01]:[Plan12]],$F$14:$Q$14)/valUnits2</f>
        <v>0</v>
      </c>
      <c r="AE664">
        <f>SUMPRODUCT(DB_STProjectAcct[[#This Row],[Act01]:[Act12]],$R$14:$AC$14)/valUnits2</f>
        <v>0</v>
      </c>
      <c r="AF664">
        <f>DB_STProjectAcct[[#This Row],[Actual]]-DB_STProjectAcct[[#This Row],[Plan]]</f>
        <v>0</v>
      </c>
      <c r="AG664">
        <f>IF(DB_STProjectAcct[[#This Row],[Plan]]&lt;&gt;0,DB_STProjectAcct[[#This Row],[Actual]]/DB_STProjectAcct[[#This Row],[Plan]],1.000011000011)</f>
        <v>1.0000110000110001</v>
      </c>
    </row>
    <row r="665" spans="1:33" hidden="1" x14ac:dyDescent="0.2">
      <c r="A665" t="s">
        <v>658</v>
      </c>
      <c r="B665" t="s">
        <v>351</v>
      </c>
      <c r="C665" t="s">
        <v>506</v>
      </c>
      <c r="D665" t="s">
        <v>506</v>
      </c>
      <c r="E665" t="s">
        <v>235</v>
      </c>
      <c r="AC665" s="295"/>
      <c r="AD665">
        <f>SUMPRODUCT(DB_STProjectAcct[[#This Row],[Plan01]:[Plan12]],$F$14:$Q$14)/valUnits2</f>
        <v>0</v>
      </c>
      <c r="AE665">
        <f>SUMPRODUCT(DB_STProjectAcct[[#This Row],[Act01]:[Act12]],$R$14:$AC$14)/valUnits2</f>
        <v>0</v>
      </c>
      <c r="AF665">
        <f>DB_STProjectAcct[[#This Row],[Actual]]-DB_STProjectAcct[[#This Row],[Plan]]</f>
        <v>0</v>
      </c>
      <c r="AG665">
        <f>IF(DB_STProjectAcct[[#This Row],[Plan]]&lt;&gt;0,DB_STProjectAcct[[#This Row],[Actual]]/DB_STProjectAcct[[#This Row],[Plan]],1.000011000011)</f>
        <v>1.0000110000110001</v>
      </c>
    </row>
    <row r="666" spans="1:33" hidden="1" x14ac:dyDescent="0.2">
      <c r="A666" t="s">
        <v>659</v>
      </c>
      <c r="B666" t="s">
        <v>351</v>
      </c>
      <c r="C666" t="s">
        <v>506</v>
      </c>
      <c r="D666" t="s">
        <v>506</v>
      </c>
      <c r="E666" t="s">
        <v>144</v>
      </c>
      <c r="AC666" s="297"/>
      <c r="AD666">
        <f>SUMPRODUCT(DB_STProjectAcct[[#This Row],[Plan01]:[Plan12]],$F$14:$Q$14)/valUnits2</f>
        <v>0</v>
      </c>
      <c r="AE666">
        <f>SUMPRODUCT(DB_STProjectAcct[[#This Row],[Act01]:[Act12]],$R$14:$AC$14)/valUnits2</f>
        <v>0</v>
      </c>
      <c r="AF666">
        <f>DB_STProjectAcct[[#This Row],[Actual]]-DB_STProjectAcct[[#This Row],[Plan]]</f>
        <v>0</v>
      </c>
      <c r="AG666">
        <f>IF(DB_STProjectAcct[[#This Row],[Plan]]&lt;&gt;0,DB_STProjectAcct[[#This Row],[Actual]]/DB_STProjectAcct[[#This Row],[Plan]],1.000011000011)</f>
        <v>1.0000110000110001</v>
      </c>
    </row>
    <row r="667" spans="1:33" hidden="1" x14ac:dyDescent="0.2">
      <c r="A667" t="s">
        <v>660</v>
      </c>
      <c r="B667" t="s">
        <v>351</v>
      </c>
      <c r="C667" t="s">
        <v>506</v>
      </c>
      <c r="D667" t="s">
        <v>506</v>
      </c>
      <c r="E667" t="s">
        <v>142</v>
      </c>
      <c r="AC667" s="295"/>
      <c r="AD667">
        <f>SUMPRODUCT(DB_STProjectAcct[[#This Row],[Plan01]:[Plan12]],$F$14:$Q$14)/valUnits2</f>
        <v>0</v>
      </c>
      <c r="AE667">
        <f>SUMPRODUCT(DB_STProjectAcct[[#This Row],[Act01]:[Act12]],$R$14:$AC$14)/valUnits2</f>
        <v>0</v>
      </c>
      <c r="AF667">
        <f>DB_STProjectAcct[[#This Row],[Actual]]-DB_STProjectAcct[[#This Row],[Plan]]</f>
        <v>0</v>
      </c>
      <c r="AG667">
        <f>IF(DB_STProjectAcct[[#This Row],[Plan]]&lt;&gt;0,DB_STProjectAcct[[#This Row],[Actual]]/DB_STProjectAcct[[#This Row],[Plan]],1.000011000011)</f>
        <v>1.0000110000110001</v>
      </c>
    </row>
    <row r="668" spans="1:33" hidden="1" x14ac:dyDescent="0.2">
      <c r="A668" t="s">
        <v>661</v>
      </c>
      <c r="B668" t="s">
        <v>351</v>
      </c>
      <c r="C668" t="s">
        <v>506</v>
      </c>
      <c r="D668" t="s">
        <v>506</v>
      </c>
      <c r="E668" t="s">
        <v>140</v>
      </c>
      <c r="AC668" s="297"/>
      <c r="AD668">
        <f>SUMPRODUCT(DB_STProjectAcct[[#This Row],[Plan01]:[Plan12]],$F$14:$Q$14)/valUnits2</f>
        <v>0</v>
      </c>
      <c r="AE668">
        <f>SUMPRODUCT(DB_STProjectAcct[[#This Row],[Act01]:[Act12]],$R$14:$AC$14)/valUnits2</f>
        <v>0</v>
      </c>
      <c r="AF668">
        <f>DB_STProjectAcct[[#This Row],[Actual]]-DB_STProjectAcct[[#This Row],[Plan]]</f>
        <v>0</v>
      </c>
      <c r="AG668">
        <f>IF(DB_STProjectAcct[[#This Row],[Plan]]&lt;&gt;0,DB_STProjectAcct[[#This Row],[Actual]]/DB_STProjectAcct[[#This Row],[Plan]],1.000011000011)</f>
        <v>1.0000110000110001</v>
      </c>
    </row>
    <row r="669" spans="1:33" hidden="1" x14ac:dyDescent="0.2">
      <c r="A669" t="s">
        <v>662</v>
      </c>
      <c r="B669" t="s">
        <v>351</v>
      </c>
      <c r="C669" t="s">
        <v>506</v>
      </c>
      <c r="D669" t="s">
        <v>506</v>
      </c>
      <c r="E669" t="s">
        <v>236</v>
      </c>
      <c r="F669">
        <v>4166.6670000000004</v>
      </c>
      <c r="G669">
        <v>4166.6670000000004</v>
      </c>
      <c r="H669">
        <v>4166.6670000000004</v>
      </c>
      <c r="I669">
        <v>4166.6670000000004</v>
      </c>
      <c r="J669">
        <v>4166.6670000000004</v>
      </c>
      <c r="K669">
        <v>4166.6670000000004</v>
      </c>
      <c r="L669">
        <v>4166.6670000000004</v>
      </c>
      <c r="M669">
        <v>4166.6670000000004</v>
      </c>
      <c r="N669">
        <v>4166.6670000000004</v>
      </c>
      <c r="O669">
        <v>4166.6670000000004</v>
      </c>
      <c r="P669">
        <v>4166.6670000000004</v>
      </c>
      <c r="Q669">
        <v>4166.6670000000004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 s="295">
        <v>0</v>
      </c>
      <c r="AD669">
        <f>SUMPRODUCT(DB_STProjectAcct[[#This Row],[Plan01]:[Plan12]],$F$14:$Q$14)/valUnits2</f>
        <v>25.000002000000006</v>
      </c>
      <c r="AE669">
        <f>SUMPRODUCT(DB_STProjectAcct[[#This Row],[Act01]:[Act12]],$R$14:$AC$14)/valUnits2</f>
        <v>0</v>
      </c>
      <c r="AF669">
        <f>DB_STProjectAcct[[#This Row],[Actual]]-DB_STProjectAcct[[#This Row],[Plan]]</f>
        <v>-25.000002000000006</v>
      </c>
      <c r="AG669">
        <f>IF(DB_STProjectAcct[[#This Row],[Plan]]&lt;&gt;0,DB_STProjectAcct[[#This Row],[Actual]]/DB_STProjectAcct[[#This Row],[Plan]],1.000011000011)</f>
        <v>0</v>
      </c>
    </row>
    <row r="670" spans="1:33" hidden="1" x14ac:dyDescent="0.2">
      <c r="A670" t="s">
        <v>663</v>
      </c>
      <c r="B670" t="s">
        <v>351</v>
      </c>
      <c r="C670" t="s">
        <v>506</v>
      </c>
      <c r="D670" t="s">
        <v>506</v>
      </c>
      <c r="E670" t="s">
        <v>237</v>
      </c>
      <c r="AC670" s="297"/>
      <c r="AD670">
        <f>SUMPRODUCT(DB_STProjectAcct[[#This Row],[Plan01]:[Plan12]],$F$14:$Q$14)/valUnits2</f>
        <v>0</v>
      </c>
      <c r="AE670">
        <f>SUMPRODUCT(DB_STProjectAcct[[#This Row],[Act01]:[Act12]],$R$14:$AC$14)/valUnits2</f>
        <v>0</v>
      </c>
      <c r="AF670">
        <f>DB_STProjectAcct[[#This Row],[Actual]]-DB_STProjectAcct[[#This Row],[Plan]]</f>
        <v>0</v>
      </c>
      <c r="AG670">
        <f>IF(DB_STProjectAcct[[#This Row],[Plan]]&lt;&gt;0,DB_STProjectAcct[[#This Row],[Actual]]/DB_STProjectAcct[[#This Row],[Plan]],1.000011000011)</f>
        <v>1.0000110000110001</v>
      </c>
    </row>
    <row r="671" spans="1:33" hidden="1" x14ac:dyDescent="0.2">
      <c r="A671" t="s">
        <v>664</v>
      </c>
      <c r="B671" t="s">
        <v>351</v>
      </c>
      <c r="C671" t="s">
        <v>506</v>
      </c>
      <c r="D671" t="s">
        <v>506</v>
      </c>
      <c r="E671" t="s">
        <v>141</v>
      </c>
      <c r="F671">
        <v>50.44</v>
      </c>
      <c r="G671">
        <v>32.774999999999999</v>
      </c>
      <c r="H671">
        <v>41.817999999999998</v>
      </c>
      <c r="I671">
        <v>208.57</v>
      </c>
      <c r="J671">
        <v>359.08700000000005</v>
      </c>
      <c r="R671">
        <v>50.44</v>
      </c>
      <c r="S671">
        <v>32.770000000000003</v>
      </c>
      <c r="T671">
        <v>41.97</v>
      </c>
      <c r="U671">
        <v>204.52999999999997</v>
      </c>
      <c r="V671">
        <v>357.3</v>
      </c>
      <c r="AC671" s="295"/>
      <c r="AD671">
        <f>SUMPRODUCT(DB_STProjectAcct[[#This Row],[Plan01]:[Plan12]],$F$14:$Q$14)/valUnits2</f>
        <v>0.69269000000000003</v>
      </c>
      <c r="AE671">
        <f>SUMPRODUCT(DB_STProjectAcct[[#This Row],[Act01]:[Act12]],$R$14:$AC$14)/valUnits2</f>
        <v>0.68701000000000001</v>
      </c>
      <c r="AF671">
        <f>DB_STProjectAcct[[#This Row],[Actual]]-DB_STProjectAcct[[#This Row],[Plan]]</f>
        <v>-5.6800000000000184E-3</v>
      </c>
      <c r="AG671">
        <f>IF(DB_STProjectAcct[[#This Row],[Plan]]&lt;&gt;0,DB_STProjectAcct[[#This Row],[Actual]]/DB_STProjectAcct[[#This Row],[Plan]],1.000011000011)</f>
        <v>0.99180008373153938</v>
      </c>
    </row>
    <row r="672" spans="1:33" hidden="1" x14ac:dyDescent="0.2">
      <c r="A672" t="s">
        <v>665</v>
      </c>
      <c r="B672" t="s">
        <v>343</v>
      </c>
      <c r="C672" t="s">
        <v>507</v>
      </c>
      <c r="D672" t="s">
        <v>507</v>
      </c>
      <c r="E672" t="s">
        <v>143</v>
      </c>
      <c r="AC672" s="297"/>
      <c r="AD672">
        <f>SUMPRODUCT(DB_STProjectAcct[[#This Row],[Plan01]:[Plan12]],$F$14:$Q$14)/valUnits2</f>
        <v>0</v>
      </c>
      <c r="AE672">
        <f>SUMPRODUCT(DB_STProjectAcct[[#This Row],[Act01]:[Act12]],$R$14:$AC$14)/valUnits2</f>
        <v>0</v>
      </c>
      <c r="AF672">
        <f>DB_STProjectAcct[[#This Row],[Actual]]-DB_STProjectAcct[[#This Row],[Plan]]</f>
        <v>0</v>
      </c>
      <c r="AG672">
        <f>IF(DB_STProjectAcct[[#This Row],[Plan]]&lt;&gt;0,DB_STProjectAcct[[#This Row],[Actual]]/DB_STProjectAcct[[#This Row],[Plan]],1.000011000011)</f>
        <v>1.0000110000110001</v>
      </c>
    </row>
    <row r="673" spans="1:33" hidden="1" x14ac:dyDescent="0.2">
      <c r="A673" t="s">
        <v>666</v>
      </c>
      <c r="B673" t="s">
        <v>343</v>
      </c>
      <c r="C673" t="s">
        <v>507</v>
      </c>
      <c r="D673" t="s">
        <v>507</v>
      </c>
      <c r="E673" t="s">
        <v>235</v>
      </c>
      <c r="AC673" s="295"/>
      <c r="AD673">
        <f>SUMPRODUCT(DB_STProjectAcct[[#This Row],[Plan01]:[Plan12]],$F$14:$Q$14)/valUnits2</f>
        <v>0</v>
      </c>
      <c r="AE673">
        <f>SUMPRODUCT(DB_STProjectAcct[[#This Row],[Act01]:[Act12]],$R$14:$AC$14)/valUnits2</f>
        <v>0</v>
      </c>
      <c r="AF673">
        <f>DB_STProjectAcct[[#This Row],[Actual]]-DB_STProjectAcct[[#This Row],[Plan]]</f>
        <v>0</v>
      </c>
      <c r="AG673">
        <f>IF(DB_STProjectAcct[[#This Row],[Plan]]&lt;&gt;0,DB_STProjectAcct[[#This Row],[Actual]]/DB_STProjectAcct[[#This Row],[Plan]],1.000011000011)</f>
        <v>1.0000110000110001</v>
      </c>
    </row>
    <row r="674" spans="1:33" hidden="1" x14ac:dyDescent="0.2">
      <c r="A674" t="s">
        <v>667</v>
      </c>
      <c r="B674" t="s">
        <v>343</v>
      </c>
      <c r="C674" t="s">
        <v>507</v>
      </c>
      <c r="D674" t="s">
        <v>507</v>
      </c>
      <c r="E674" t="s">
        <v>144</v>
      </c>
      <c r="AC674" s="297"/>
      <c r="AD674">
        <f>SUMPRODUCT(DB_STProjectAcct[[#This Row],[Plan01]:[Plan12]],$F$14:$Q$14)/valUnits2</f>
        <v>0</v>
      </c>
      <c r="AE674">
        <f>SUMPRODUCT(DB_STProjectAcct[[#This Row],[Act01]:[Act12]],$R$14:$AC$14)/valUnits2</f>
        <v>0</v>
      </c>
      <c r="AF674">
        <f>DB_STProjectAcct[[#This Row],[Actual]]-DB_STProjectAcct[[#This Row],[Plan]]</f>
        <v>0</v>
      </c>
      <c r="AG674">
        <f>IF(DB_STProjectAcct[[#This Row],[Plan]]&lt;&gt;0,DB_STProjectAcct[[#This Row],[Actual]]/DB_STProjectAcct[[#This Row],[Plan]],1.000011000011)</f>
        <v>1.0000110000110001</v>
      </c>
    </row>
    <row r="675" spans="1:33" hidden="1" x14ac:dyDescent="0.2">
      <c r="A675" t="s">
        <v>668</v>
      </c>
      <c r="B675" t="s">
        <v>343</v>
      </c>
      <c r="C675" t="s">
        <v>507</v>
      </c>
      <c r="D675" t="s">
        <v>507</v>
      </c>
      <c r="E675" t="s">
        <v>142</v>
      </c>
      <c r="H675">
        <v>-34974.351000000002</v>
      </c>
      <c r="T675">
        <v>-34749.879999999997</v>
      </c>
      <c r="AC675" s="295"/>
      <c r="AD675">
        <f>SUMPRODUCT(DB_STProjectAcct[[#This Row],[Plan01]:[Plan12]],$F$14:$Q$14)/valUnits2</f>
        <v>-34.974351000000006</v>
      </c>
      <c r="AE675">
        <f>SUMPRODUCT(DB_STProjectAcct[[#This Row],[Act01]:[Act12]],$R$14:$AC$14)/valUnits2</f>
        <v>-34.749879999999997</v>
      </c>
      <c r="AF675">
        <f>DB_STProjectAcct[[#This Row],[Actual]]-DB_STProjectAcct[[#This Row],[Plan]]</f>
        <v>0.2244710000000083</v>
      </c>
      <c r="AG675">
        <f>IF(DB_STProjectAcct[[#This Row],[Plan]]&lt;&gt;0,DB_STProjectAcct[[#This Row],[Actual]]/DB_STProjectAcct[[#This Row],[Plan]],1.000011000011)</f>
        <v>0.99358183944571243</v>
      </c>
    </row>
    <row r="676" spans="1:33" hidden="1" x14ac:dyDescent="0.2">
      <c r="A676" t="s">
        <v>669</v>
      </c>
      <c r="B676" t="s">
        <v>343</v>
      </c>
      <c r="C676" t="s">
        <v>507</v>
      </c>
      <c r="D676" t="s">
        <v>507</v>
      </c>
      <c r="E676" t="s">
        <v>140</v>
      </c>
      <c r="AC676" s="297"/>
      <c r="AD676">
        <f>SUMPRODUCT(DB_STProjectAcct[[#This Row],[Plan01]:[Plan12]],$F$14:$Q$14)/valUnits2</f>
        <v>0</v>
      </c>
      <c r="AE676">
        <f>SUMPRODUCT(DB_STProjectAcct[[#This Row],[Act01]:[Act12]],$R$14:$AC$14)/valUnits2</f>
        <v>0</v>
      </c>
      <c r="AF676">
        <f>DB_STProjectAcct[[#This Row],[Actual]]-DB_STProjectAcct[[#This Row],[Plan]]</f>
        <v>0</v>
      </c>
      <c r="AG676">
        <f>IF(DB_STProjectAcct[[#This Row],[Plan]]&lt;&gt;0,DB_STProjectAcct[[#This Row],[Actual]]/DB_STProjectAcct[[#This Row],[Plan]],1.000011000011)</f>
        <v>1.0000110000110001</v>
      </c>
    </row>
    <row r="677" spans="1:33" hidden="1" x14ac:dyDescent="0.2">
      <c r="A677" t="s">
        <v>670</v>
      </c>
      <c r="B677" t="s">
        <v>343</v>
      </c>
      <c r="C677" t="s">
        <v>507</v>
      </c>
      <c r="D677" t="s">
        <v>507</v>
      </c>
      <c r="E677" t="s">
        <v>236</v>
      </c>
      <c r="AC677" s="295"/>
      <c r="AD677">
        <f>SUMPRODUCT(DB_STProjectAcct[[#This Row],[Plan01]:[Plan12]],$F$14:$Q$14)/valUnits2</f>
        <v>0</v>
      </c>
      <c r="AE677">
        <f>SUMPRODUCT(DB_STProjectAcct[[#This Row],[Act01]:[Act12]],$R$14:$AC$14)/valUnits2</f>
        <v>0</v>
      </c>
      <c r="AF677">
        <f>DB_STProjectAcct[[#This Row],[Actual]]-DB_STProjectAcct[[#This Row],[Plan]]</f>
        <v>0</v>
      </c>
      <c r="AG677">
        <f>IF(DB_STProjectAcct[[#This Row],[Plan]]&lt;&gt;0,DB_STProjectAcct[[#This Row],[Actual]]/DB_STProjectAcct[[#This Row],[Plan]],1.000011000011)</f>
        <v>1.0000110000110001</v>
      </c>
    </row>
    <row r="678" spans="1:33" hidden="1" x14ac:dyDescent="0.2">
      <c r="A678" t="s">
        <v>671</v>
      </c>
      <c r="B678" t="s">
        <v>343</v>
      </c>
      <c r="C678" t="s">
        <v>507</v>
      </c>
      <c r="D678" t="s">
        <v>507</v>
      </c>
      <c r="E678" t="s">
        <v>237</v>
      </c>
      <c r="AC678" s="297"/>
      <c r="AD678">
        <f>SUMPRODUCT(DB_STProjectAcct[[#This Row],[Plan01]:[Plan12]],$F$14:$Q$14)/valUnits2</f>
        <v>0</v>
      </c>
      <c r="AE678">
        <f>SUMPRODUCT(DB_STProjectAcct[[#This Row],[Act01]:[Act12]],$R$14:$AC$14)/valUnits2</f>
        <v>0</v>
      </c>
      <c r="AF678">
        <f>DB_STProjectAcct[[#This Row],[Actual]]-DB_STProjectAcct[[#This Row],[Plan]]</f>
        <v>0</v>
      </c>
      <c r="AG678">
        <f>IF(DB_STProjectAcct[[#This Row],[Plan]]&lt;&gt;0,DB_STProjectAcct[[#This Row],[Actual]]/DB_STProjectAcct[[#This Row],[Plan]],1.000011000011)</f>
        <v>1.0000110000110001</v>
      </c>
    </row>
    <row r="679" spans="1:33" hidden="1" x14ac:dyDescent="0.2">
      <c r="A679" t="s">
        <v>672</v>
      </c>
      <c r="B679" t="s">
        <v>343</v>
      </c>
      <c r="C679" t="s">
        <v>507</v>
      </c>
      <c r="D679" t="s">
        <v>507</v>
      </c>
      <c r="E679" t="s">
        <v>141</v>
      </c>
      <c r="AC679" s="295"/>
      <c r="AD679">
        <f>SUMPRODUCT(DB_STProjectAcct[[#This Row],[Plan01]:[Plan12]],$F$14:$Q$14)/valUnits2</f>
        <v>0</v>
      </c>
      <c r="AE679">
        <f>SUMPRODUCT(DB_STProjectAcct[[#This Row],[Act01]:[Act12]],$R$14:$AC$14)/valUnits2</f>
        <v>0</v>
      </c>
      <c r="AF679">
        <f>DB_STProjectAcct[[#This Row],[Actual]]-DB_STProjectAcct[[#This Row],[Plan]]</f>
        <v>0</v>
      </c>
      <c r="AG679">
        <f>IF(DB_STProjectAcct[[#This Row],[Plan]]&lt;&gt;0,DB_STProjectAcct[[#This Row],[Actual]]/DB_STProjectAcct[[#This Row],[Plan]],1.000011000011)</f>
        <v>1.0000110000110001</v>
      </c>
    </row>
    <row r="680" spans="1:33" hidden="1" x14ac:dyDescent="0.2">
      <c r="A680" t="s">
        <v>673</v>
      </c>
      <c r="B680" t="s">
        <v>343</v>
      </c>
      <c r="C680" t="s">
        <v>508</v>
      </c>
      <c r="D680" t="s">
        <v>508</v>
      </c>
      <c r="E680" t="s">
        <v>143</v>
      </c>
      <c r="F680">
        <v>1113.7969999999998</v>
      </c>
      <c r="G680">
        <v>2426.33</v>
      </c>
      <c r="H680">
        <v>6638.4850000000006</v>
      </c>
      <c r="I680">
        <v>7258.4049999999997</v>
      </c>
      <c r="J680">
        <v>6874.0949999999993</v>
      </c>
      <c r="K680">
        <v>4914.6689999999999</v>
      </c>
      <c r="L680">
        <v>4890.8719999999994</v>
      </c>
      <c r="M680">
        <v>4914.6689999999999</v>
      </c>
      <c r="N680">
        <v>4867.0749999999998</v>
      </c>
      <c r="O680">
        <v>4867.0749999999998</v>
      </c>
      <c r="R680">
        <v>1049.6100000000001</v>
      </c>
      <c r="S680">
        <v>2411.87</v>
      </c>
      <c r="T680">
        <v>1775.8</v>
      </c>
      <c r="U680">
        <v>2391.33</v>
      </c>
      <c r="V680">
        <v>2234.79</v>
      </c>
      <c r="W680">
        <v>3021.69</v>
      </c>
      <c r="X680">
        <v>0</v>
      </c>
      <c r="Y680">
        <v>0</v>
      </c>
      <c r="Z680">
        <v>0</v>
      </c>
      <c r="AA680">
        <v>0</v>
      </c>
      <c r="AC680" s="297"/>
      <c r="AD680">
        <f>SUMPRODUCT(DB_STProjectAcct[[#This Row],[Plan01]:[Plan12]],$F$14:$Q$14)/valUnits2</f>
        <v>29.225781000000001</v>
      </c>
      <c r="AE680">
        <f>SUMPRODUCT(DB_STProjectAcct[[#This Row],[Act01]:[Act12]],$R$14:$AC$14)/valUnits2</f>
        <v>12.88509</v>
      </c>
      <c r="AF680">
        <f>DB_STProjectAcct[[#This Row],[Actual]]-DB_STProjectAcct[[#This Row],[Plan]]</f>
        <v>-16.340691</v>
      </c>
      <c r="AG680">
        <f>IF(DB_STProjectAcct[[#This Row],[Plan]]&lt;&gt;0,DB_STProjectAcct[[#This Row],[Actual]]/DB_STProjectAcct[[#This Row],[Plan]],1.000011000011)</f>
        <v>0.44088094685989743</v>
      </c>
    </row>
    <row r="681" spans="1:33" hidden="1" x14ac:dyDescent="0.2">
      <c r="A681" t="s">
        <v>674</v>
      </c>
      <c r="B681" t="s">
        <v>343</v>
      </c>
      <c r="C681" t="s">
        <v>508</v>
      </c>
      <c r="D681" t="s">
        <v>508</v>
      </c>
      <c r="E681" t="s">
        <v>235</v>
      </c>
      <c r="F681">
        <v>1295.923</v>
      </c>
      <c r="G681">
        <v>2169.172</v>
      </c>
      <c r="H681">
        <v>1626.68</v>
      </c>
      <c r="I681">
        <v>1889.2909999999999</v>
      </c>
      <c r="J681">
        <v>1631.89</v>
      </c>
      <c r="K681">
        <v>0</v>
      </c>
      <c r="R681">
        <v>1312.8500000000001</v>
      </c>
      <c r="S681">
        <v>2188.7300000000005</v>
      </c>
      <c r="T681">
        <v>1641.38</v>
      </c>
      <c r="U681">
        <v>1888.67</v>
      </c>
      <c r="V681">
        <v>1633.02</v>
      </c>
      <c r="W681">
        <v>2242.9</v>
      </c>
      <c r="AC681" s="295"/>
      <c r="AD681">
        <f>SUMPRODUCT(DB_STProjectAcct[[#This Row],[Plan01]:[Plan12]],$F$14:$Q$14)/valUnits2</f>
        <v>8.6129560000000005</v>
      </c>
      <c r="AE681">
        <f>SUMPRODUCT(DB_STProjectAcct[[#This Row],[Act01]:[Act12]],$R$14:$AC$14)/valUnits2</f>
        <v>10.907550000000001</v>
      </c>
      <c r="AF681">
        <f>DB_STProjectAcct[[#This Row],[Actual]]-DB_STProjectAcct[[#This Row],[Plan]]</f>
        <v>2.294594</v>
      </c>
      <c r="AG681">
        <f>IF(DB_STProjectAcct[[#This Row],[Plan]]&lt;&gt;0,DB_STProjectAcct[[#This Row],[Actual]]/DB_STProjectAcct[[#This Row],[Plan]],1.000011000011)</f>
        <v>1.266411903183994</v>
      </c>
    </row>
    <row r="682" spans="1:33" hidden="1" x14ac:dyDescent="0.2">
      <c r="A682" t="s">
        <v>675</v>
      </c>
      <c r="B682" t="s">
        <v>343</v>
      </c>
      <c r="C682" t="s">
        <v>508</v>
      </c>
      <c r="D682" t="s">
        <v>508</v>
      </c>
      <c r="E682" t="s">
        <v>144</v>
      </c>
      <c r="AC682" s="297"/>
      <c r="AD682">
        <f>SUMPRODUCT(DB_STProjectAcct[[#This Row],[Plan01]:[Plan12]],$F$14:$Q$14)/valUnits2</f>
        <v>0</v>
      </c>
      <c r="AE682">
        <f>SUMPRODUCT(DB_STProjectAcct[[#This Row],[Act01]:[Act12]],$R$14:$AC$14)/valUnits2</f>
        <v>0</v>
      </c>
      <c r="AF682">
        <f>DB_STProjectAcct[[#This Row],[Actual]]-DB_STProjectAcct[[#This Row],[Plan]]</f>
        <v>0</v>
      </c>
      <c r="AG682">
        <f>IF(DB_STProjectAcct[[#This Row],[Plan]]&lt;&gt;0,DB_STProjectAcct[[#This Row],[Actual]]/DB_STProjectAcct[[#This Row],[Plan]],1.000011000011)</f>
        <v>1.0000110000110001</v>
      </c>
    </row>
    <row r="683" spans="1:33" hidden="1" x14ac:dyDescent="0.2">
      <c r="A683" t="s">
        <v>676</v>
      </c>
      <c r="B683" t="s">
        <v>343</v>
      </c>
      <c r="C683" t="s">
        <v>508</v>
      </c>
      <c r="D683" t="s">
        <v>508</v>
      </c>
      <c r="E683" t="s">
        <v>142</v>
      </c>
      <c r="F683">
        <v>152746.84000000003</v>
      </c>
      <c r="G683">
        <v>318218.25900000008</v>
      </c>
      <c r="H683">
        <v>320232.89099999995</v>
      </c>
      <c r="I683">
        <v>440411.51300000004</v>
      </c>
      <c r="J683">
        <v>656275.31099999999</v>
      </c>
      <c r="K683">
        <v>791965.57799999998</v>
      </c>
      <c r="L683">
        <v>625942.92299999995</v>
      </c>
      <c r="M683">
        <v>775758.82499999995</v>
      </c>
      <c r="N683">
        <v>630629.03200000001</v>
      </c>
      <c r="O683">
        <v>666373.93599999999</v>
      </c>
      <c r="P683">
        <v>354123.924</v>
      </c>
      <c r="Q683">
        <v>144599.31400000001</v>
      </c>
      <c r="R683">
        <v>77022.31</v>
      </c>
      <c r="S683">
        <v>173516.23</v>
      </c>
      <c r="T683">
        <v>173832.65</v>
      </c>
      <c r="U683">
        <v>189338.46999999997</v>
      </c>
      <c r="V683">
        <v>46729.889999999992</v>
      </c>
      <c r="W683">
        <v>119839.90999999999</v>
      </c>
      <c r="X683">
        <v>0</v>
      </c>
      <c r="Y683">
        <v>0</v>
      </c>
      <c r="Z683">
        <v>0</v>
      </c>
      <c r="AA683">
        <v>0</v>
      </c>
      <c r="AB683">
        <v>0</v>
      </c>
      <c r="AC683" s="295">
        <v>0</v>
      </c>
      <c r="AD683">
        <f>SUMPRODUCT(DB_STProjectAcct[[#This Row],[Plan01]:[Plan12]],$F$14:$Q$14)/valUnits2</f>
        <v>2679.8503919999998</v>
      </c>
      <c r="AE683">
        <f>SUMPRODUCT(DB_STProjectAcct[[#This Row],[Act01]:[Act12]],$R$14:$AC$14)/valUnits2</f>
        <v>780.27945999999997</v>
      </c>
      <c r="AF683">
        <f>DB_STProjectAcct[[#This Row],[Actual]]-DB_STProjectAcct[[#This Row],[Plan]]</f>
        <v>-1899.5709319999999</v>
      </c>
      <c r="AG683">
        <f>IF(DB_STProjectAcct[[#This Row],[Plan]]&lt;&gt;0,DB_STProjectAcct[[#This Row],[Actual]]/DB_STProjectAcct[[#This Row],[Plan]],1.000011000011)</f>
        <v>0.29116530621609416</v>
      </c>
    </row>
    <row r="684" spans="1:33" hidden="1" x14ac:dyDescent="0.2">
      <c r="A684" t="s">
        <v>677</v>
      </c>
      <c r="B684" t="s">
        <v>343</v>
      </c>
      <c r="C684" t="s">
        <v>508</v>
      </c>
      <c r="D684" t="s">
        <v>508</v>
      </c>
      <c r="E684" t="s">
        <v>140</v>
      </c>
      <c r="F684">
        <v>37238.977999999996</v>
      </c>
      <c r="G684">
        <v>55880.920999999988</v>
      </c>
      <c r="H684">
        <v>67109.756999999998</v>
      </c>
      <c r="I684">
        <v>97731.879000000015</v>
      </c>
      <c r="J684">
        <v>137500.45100000003</v>
      </c>
      <c r="K684">
        <v>98404.48000000001</v>
      </c>
      <c r="L684">
        <v>76749.812999999995</v>
      </c>
      <c r="M684">
        <v>76749.812999999995</v>
      </c>
      <c r="N684">
        <v>76708.295000000013</v>
      </c>
      <c r="O684">
        <v>76708.294999999998</v>
      </c>
      <c r="P684">
        <v>47334.888999999996</v>
      </c>
      <c r="Q684">
        <v>7347.4860000000008</v>
      </c>
      <c r="R684">
        <v>20283.55</v>
      </c>
      <c r="S684">
        <v>30435.94</v>
      </c>
      <c r="T684">
        <v>39353.99</v>
      </c>
      <c r="U684">
        <v>68331.61</v>
      </c>
      <c r="V684">
        <v>68120.929999999993</v>
      </c>
      <c r="W684">
        <v>62257.69000000001</v>
      </c>
      <c r="X684">
        <v>0</v>
      </c>
      <c r="Y684">
        <v>0</v>
      </c>
      <c r="Z684">
        <v>0</v>
      </c>
      <c r="AA684">
        <v>0</v>
      </c>
      <c r="AB684">
        <v>0</v>
      </c>
      <c r="AC684" s="297">
        <v>0</v>
      </c>
      <c r="AD684">
        <f>SUMPRODUCT(DB_STProjectAcct[[#This Row],[Plan01]:[Plan12]],$F$14:$Q$14)/valUnits2</f>
        <v>493.866466</v>
      </c>
      <c r="AE684">
        <f>SUMPRODUCT(DB_STProjectAcct[[#This Row],[Act01]:[Act12]],$R$14:$AC$14)/valUnits2</f>
        <v>288.78371000000004</v>
      </c>
      <c r="AF684">
        <f>DB_STProjectAcct[[#This Row],[Actual]]-DB_STProjectAcct[[#This Row],[Plan]]</f>
        <v>-205.08275599999996</v>
      </c>
      <c r="AG684">
        <f>IF(DB_STProjectAcct[[#This Row],[Plan]]&lt;&gt;0,DB_STProjectAcct[[#This Row],[Actual]]/DB_STProjectAcct[[#This Row],[Plan]],1.000011000011)</f>
        <v>0.58474047112160077</v>
      </c>
    </row>
    <row r="685" spans="1:33" hidden="1" x14ac:dyDescent="0.2">
      <c r="A685" t="s">
        <v>678</v>
      </c>
      <c r="B685" t="s">
        <v>343</v>
      </c>
      <c r="C685" t="s">
        <v>508</v>
      </c>
      <c r="D685" t="s">
        <v>508</v>
      </c>
      <c r="E685" t="s">
        <v>236</v>
      </c>
      <c r="F685">
        <v>14021</v>
      </c>
      <c r="G685">
        <v>6025.4369999999999</v>
      </c>
      <c r="H685">
        <v>64727.32</v>
      </c>
      <c r="I685">
        <v>25816.240000000002</v>
      </c>
      <c r="J685">
        <v>13164.957</v>
      </c>
      <c r="K685">
        <v>11072.002</v>
      </c>
      <c r="L685">
        <v>9874.57</v>
      </c>
      <c r="M685">
        <v>9874.57</v>
      </c>
      <c r="N685">
        <v>9874.57</v>
      </c>
      <c r="O685">
        <v>9874.57</v>
      </c>
      <c r="P685">
        <v>9874.57</v>
      </c>
      <c r="Q685">
        <v>5047.9830000000002</v>
      </c>
      <c r="R685">
        <v>9271.0000000000018</v>
      </c>
      <c r="S685">
        <v>1282.75</v>
      </c>
      <c r="T685">
        <v>59844.5</v>
      </c>
      <c r="U685">
        <v>21066.239999999998</v>
      </c>
      <c r="V685">
        <v>3588.3700000000003</v>
      </c>
      <c r="W685">
        <v>24507.83</v>
      </c>
      <c r="X685">
        <v>1993.2</v>
      </c>
      <c r="Y685">
        <v>0</v>
      </c>
      <c r="Z685">
        <v>0</v>
      </c>
      <c r="AA685">
        <v>0</v>
      </c>
      <c r="AB685">
        <v>0</v>
      </c>
      <c r="AC685" s="295">
        <v>0</v>
      </c>
      <c r="AD685">
        <f>SUMPRODUCT(DB_STProjectAcct[[#This Row],[Plan01]:[Plan12]],$F$14:$Q$14)/valUnits2</f>
        <v>134.826956</v>
      </c>
      <c r="AE685">
        <f>SUMPRODUCT(DB_STProjectAcct[[#This Row],[Act01]:[Act12]],$R$14:$AC$14)/valUnits2</f>
        <v>119.56068999999999</v>
      </c>
      <c r="AF685">
        <f>DB_STProjectAcct[[#This Row],[Actual]]-DB_STProjectAcct[[#This Row],[Plan]]</f>
        <v>-15.266266000000002</v>
      </c>
      <c r="AG685">
        <f>IF(DB_STProjectAcct[[#This Row],[Plan]]&lt;&gt;0,DB_STProjectAcct[[#This Row],[Actual]]/DB_STProjectAcct[[#This Row],[Plan]],1.000011000011)</f>
        <v>0.88677141090391443</v>
      </c>
    </row>
    <row r="686" spans="1:33" hidden="1" x14ac:dyDescent="0.2">
      <c r="A686" t="s">
        <v>679</v>
      </c>
      <c r="B686" t="s">
        <v>343</v>
      </c>
      <c r="C686" t="s">
        <v>508</v>
      </c>
      <c r="D686" t="s">
        <v>508</v>
      </c>
      <c r="E686" t="s">
        <v>237</v>
      </c>
      <c r="F686">
        <v>13157.496000000001</v>
      </c>
      <c r="G686">
        <v>85.007000000000005</v>
      </c>
      <c r="H686">
        <v>17307.541000000001</v>
      </c>
      <c r="I686">
        <v>13591.24</v>
      </c>
      <c r="J686">
        <v>20074.96</v>
      </c>
      <c r="K686">
        <v>666.66700000000003</v>
      </c>
      <c r="L686">
        <v>0</v>
      </c>
      <c r="M686">
        <v>0</v>
      </c>
      <c r="N686">
        <v>0</v>
      </c>
      <c r="O686">
        <v>0</v>
      </c>
      <c r="R686">
        <v>13166.050000000001</v>
      </c>
      <c r="S686">
        <v>85.949999999999989</v>
      </c>
      <c r="T686">
        <v>17305.599999999999</v>
      </c>
      <c r="U686">
        <v>13591.24</v>
      </c>
      <c r="V686">
        <v>20074.96</v>
      </c>
      <c r="W686">
        <v>18545.68</v>
      </c>
      <c r="X686">
        <v>0</v>
      </c>
      <c r="Y686">
        <v>0</v>
      </c>
      <c r="Z686">
        <v>0</v>
      </c>
      <c r="AA686">
        <v>0</v>
      </c>
      <c r="AC686" s="297"/>
      <c r="AD686">
        <f>SUMPRODUCT(DB_STProjectAcct[[#This Row],[Plan01]:[Plan12]],$F$14:$Q$14)/valUnits2</f>
        <v>64.882911000000007</v>
      </c>
      <c r="AE686">
        <f>SUMPRODUCT(DB_STProjectAcct[[#This Row],[Act01]:[Act12]],$R$14:$AC$14)/valUnits2</f>
        <v>82.769480000000001</v>
      </c>
      <c r="AF686">
        <f>DB_STProjectAcct[[#This Row],[Actual]]-DB_STProjectAcct[[#This Row],[Plan]]</f>
        <v>17.886568999999994</v>
      </c>
      <c r="AG686">
        <f>IF(DB_STProjectAcct[[#This Row],[Plan]]&lt;&gt;0,DB_STProjectAcct[[#This Row],[Actual]]/DB_STProjectAcct[[#This Row],[Plan]],1.000011000011)</f>
        <v>1.2756745763148634</v>
      </c>
    </row>
    <row r="687" spans="1:33" hidden="1" x14ac:dyDescent="0.2">
      <c r="A687" t="s">
        <v>680</v>
      </c>
      <c r="B687" t="s">
        <v>343</v>
      </c>
      <c r="C687" t="s">
        <v>508</v>
      </c>
      <c r="D687" t="s">
        <v>508</v>
      </c>
      <c r="E687" t="s">
        <v>141</v>
      </c>
      <c r="F687">
        <v>5351.5050000000001</v>
      </c>
      <c r="G687">
        <v>5437.5329999999994</v>
      </c>
      <c r="H687">
        <v>23279.629000000001</v>
      </c>
      <c r="I687">
        <v>34068.321999999986</v>
      </c>
      <c r="J687">
        <v>51440.313999999991</v>
      </c>
      <c r="K687">
        <v>29579.683000000001</v>
      </c>
      <c r="L687">
        <v>11624.643</v>
      </c>
      <c r="M687">
        <v>13311.053000000002</v>
      </c>
      <c r="N687">
        <v>11998.796</v>
      </c>
      <c r="O687">
        <v>6238.1649999999991</v>
      </c>
      <c r="P687">
        <v>5413.9470000000001</v>
      </c>
      <c r="Q687">
        <v>604.77700000000004</v>
      </c>
      <c r="R687">
        <v>2977.9199999999996</v>
      </c>
      <c r="S687">
        <v>3435.6500000000005</v>
      </c>
      <c r="T687">
        <v>20195.07</v>
      </c>
      <c r="U687">
        <v>31012.38</v>
      </c>
      <c r="V687">
        <v>41349.240000000013</v>
      </c>
      <c r="W687">
        <v>17267.709999999995</v>
      </c>
      <c r="X687">
        <v>11043.32</v>
      </c>
      <c r="Y687">
        <v>0</v>
      </c>
      <c r="Z687">
        <v>0</v>
      </c>
      <c r="AA687">
        <v>0</v>
      </c>
      <c r="AB687">
        <v>0</v>
      </c>
      <c r="AC687" s="295">
        <v>0</v>
      </c>
      <c r="AD687">
        <f>SUMPRODUCT(DB_STProjectAcct[[#This Row],[Plan01]:[Plan12]],$F$14:$Q$14)/valUnits2</f>
        <v>149.15698599999999</v>
      </c>
      <c r="AE687">
        <f>SUMPRODUCT(DB_STProjectAcct[[#This Row],[Act01]:[Act12]],$R$14:$AC$14)/valUnits2</f>
        <v>116.23797</v>
      </c>
      <c r="AF687">
        <f>DB_STProjectAcct[[#This Row],[Actual]]-DB_STProjectAcct[[#This Row],[Plan]]</f>
        <v>-32.919015999999985</v>
      </c>
      <c r="AG687">
        <f>IF(DB_STProjectAcct[[#This Row],[Plan]]&lt;&gt;0,DB_STProjectAcct[[#This Row],[Actual]]/DB_STProjectAcct[[#This Row],[Plan]],1.000011000011)</f>
        <v>0.7792995361276609</v>
      </c>
    </row>
    <row r="688" spans="1:33" hidden="1" x14ac:dyDescent="0.2">
      <c r="A688" t="s">
        <v>681</v>
      </c>
      <c r="B688" t="s">
        <v>343</v>
      </c>
      <c r="C688" t="s">
        <v>509</v>
      </c>
      <c r="D688" t="s">
        <v>509</v>
      </c>
      <c r="E688" t="s">
        <v>143</v>
      </c>
      <c r="F688">
        <v>393.53</v>
      </c>
      <c r="G688">
        <v>564.18000000000006</v>
      </c>
      <c r="H688">
        <v>1484.54</v>
      </c>
      <c r="I688">
        <v>1009.05</v>
      </c>
      <c r="J688">
        <v>720.58999999999992</v>
      </c>
      <c r="K688">
        <v>281.25</v>
      </c>
      <c r="L688">
        <v>281.25</v>
      </c>
      <c r="M688">
        <v>562.49599999999998</v>
      </c>
      <c r="N688">
        <v>281.25</v>
      </c>
      <c r="O688">
        <v>281.25</v>
      </c>
      <c r="P688">
        <v>281.25</v>
      </c>
      <c r="Q688">
        <v>281.25</v>
      </c>
      <c r="R688">
        <v>393.53</v>
      </c>
      <c r="S688">
        <v>626.7399999999999</v>
      </c>
      <c r="T688">
        <v>1457.96</v>
      </c>
      <c r="U688">
        <v>1036.77</v>
      </c>
      <c r="V688">
        <v>674.82</v>
      </c>
      <c r="W688">
        <v>566.62</v>
      </c>
      <c r="X688">
        <v>0</v>
      </c>
      <c r="Y688">
        <v>0</v>
      </c>
      <c r="Z688">
        <v>0</v>
      </c>
      <c r="AA688">
        <v>0</v>
      </c>
      <c r="AB688">
        <v>0</v>
      </c>
      <c r="AC688" s="297">
        <v>0</v>
      </c>
      <c r="AD688">
        <f>SUMPRODUCT(DB_STProjectAcct[[#This Row],[Plan01]:[Plan12]],$F$14:$Q$14)/valUnits2</f>
        <v>4.4531400000000003</v>
      </c>
      <c r="AE688">
        <f>SUMPRODUCT(DB_STProjectAcct[[#This Row],[Act01]:[Act12]],$R$14:$AC$14)/valUnits2</f>
        <v>4.7564399999999996</v>
      </c>
      <c r="AF688">
        <f>DB_STProjectAcct[[#This Row],[Actual]]-DB_STProjectAcct[[#This Row],[Plan]]</f>
        <v>0.30329999999999924</v>
      </c>
      <c r="AG688">
        <f>IF(DB_STProjectAcct[[#This Row],[Plan]]&lt;&gt;0,DB_STProjectAcct[[#This Row],[Actual]]/DB_STProjectAcct[[#This Row],[Plan]],1.000011000011)</f>
        <v>1.068109244263598</v>
      </c>
    </row>
    <row r="689" spans="1:33" hidden="1" x14ac:dyDescent="0.2">
      <c r="A689" t="s">
        <v>682</v>
      </c>
      <c r="B689" t="s">
        <v>343</v>
      </c>
      <c r="C689" t="s">
        <v>509</v>
      </c>
      <c r="D689" t="s">
        <v>509</v>
      </c>
      <c r="E689" t="s">
        <v>235</v>
      </c>
      <c r="F689">
        <v>246.35999999999999</v>
      </c>
      <c r="G689">
        <v>1947.77</v>
      </c>
      <c r="H689">
        <v>3432.670000000001</v>
      </c>
      <c r="I689">
        <v>3057.94</v>
      </c>
      <c r="J689">
        <v>938.5200000000001</v>
      </c>
      <c r="K689">
        <v>166.667</v>
      </c>
      <c r="L689">
        <v>166.667</v>
      </c>
      <c r="M689">
        <v>333.33000000000004</v>
      </c>
      <c r="N689">
        <v>166.667</v>
      </c>
      <c r="O689">
        <v>166.667</v>
      </c>
      <c r="P689">
        <v>166.667</v>
      </c>
      <c r="Q689">
        <v>166.667</v>
      </c>
      <c r="R689">
        <v>246.35999999999999</v>
      </c>
      <c r="S689">
        <v>1951.12</v>
      </c>
      <c r="T689">
        <v>3459.2500000000005</v>
      </c>
      <c r="U689">
        <v>3083.9300000000003</v>
      </c>
      <c r="V689">
        <v>1044.6100000000001</v>
      </c>
      <c r="W689">
        <v>2367.6799999999998</v>
      </c>
      <c r="X689">
        <v>0</v>
      </c>
      <c r="Y689">
        <v>0</v>
      </c>
      <c r="Z689">
        <v>0</v>
      </c>
      <c r="AA689">
        <v>0</v>
      </c>
      <c r="AB689">
        <v>0</v>
      </c>
      <c r="AC689" s="295">
        <v>0</v>
      </c>
      <c r="AD689">
        <f>SUMPRODUCT(DB_STProjectAcct[[#This Row],[Plan01]:[Plan12]],$F$14:$Q$14)/valUnits2</f>
        <v>9.7899270000000023</v>
      </c>
      <c r="AE689">
        <f>SUMPRODUCT(DB_STProjectAcct[[#This Row],[Act01]:[Act12]],$R$14:$AC$14)/valUnits2</f>
        <v>12.152950000000001</v>
      </c>
      <c r="AF689">
        <f>DB_STProjectAcct[[#This Row],[Actual]]-DB_STProjectAcct[[#This Row],[Plan]]</f>
        <v>2.3630229999999983</v>
      </c>
      <c r="AG689">
        <f>IF(DB_STProjectAcct[[#This Row],[Plan]]&lt;&gt;0,DB_STProjectAcct[[#This Row],[Actual]]/DB_STProjectAcct[[#This Row],[Plan]],1.000011000011)</f>
        <v>1.2413728927702932</v>
      </c>
    </row>
    <row r="690" spans="1:33" hidden="1" x14ac:dyDescent="0.2">
      <c r="A690" t="s">
        <v>683</v>
      </c>
      <c r="B690" t="s">
        <v>343</v>
      </c>
      <c r="C690" t="s">
        <v>509</v>
      </c>
      <c r="D690" t="s">
        <v>509</v>
      </c>
      <c r="E690" t="s">
        <v>144</v>
      </c>
      <c r="AC690" s="297"/>
      <c r="AD690">
        <f>SUMPRODUCT(DB_STProjectAcct[[#This Row],[Plan01]:[Plan12]],$F$14:$Q$14)/valUnits2</f>
        <v>0</v>
      </c>
      <c r="AE690">
        <f>SUMPRODUCT(DB_STProjectAcct[[#This Row],[Act01]:[Act12]],$R$14:$AC$14)/valUnits2</f>
        <v>0</v>
      </c>
      <c r="AF690">
        <f>DB_STProjectAcct[[#This Row],[Actual]]-DB_STProjectAcct[[#This Row],[Plan]]</f>
        <v>0</v>
      </c>
      <c r="AG690">
        <f>IF(DB_STProjectAcct[[#This Row],[Plan]]&lt;&gt;0,DB_STProjectAcct[[#This Row],[Actual]]/DB_STProjectAcct[[#This Row],[Plan]],1.000011000011)</f>
        <v>1.0000110000110001</v>
      </c>
    </row>
    <row r="691" spans="1:33" hidden="1" x14ac:dyDescent="0.2">
      <c r="A691" t="s">
        <v>684</v>
      </c>
      <c r="B691" t="s">
        <v>343</v>
      </c>
      <c r="C691" t="s">
        <v>509</v>
      </c>
      <c r="D691" t="s">
        <v>509</v>
      </c>
      <c r="E691" t="s">
        <v>142</v>
      </c>
      <c r="H691">
        <v>535.62</v>
      </c>
      <c r="J691">
        <v>0</v>
      </c>
      <c r="K691">
        <v>16666.667000000001</v>
      </c>
      <c r="L691">
        <v>33333.332999999999</v>
      </c>
      <c r="M691">
        <v>16666.667000000001</v>
      </c>
      <c r="N691">
        <v>16666.667000000001</v>
      </c>
      <c r="O691">
        <v>33333.332999999999</v>
      </c>
      <c r="P691">
        <v>16666.667000000001</v>
      </c>
      <c r="Q691">
        <v>49999.997000000003</v>
      </c>
      <c r="T691">
        <v>535.62</v>
      </c>
      <c r="V691">
        <v>0</v>
      </c>
      <c r="W691">
        <v>46019.45</v>
      </c>
      <c r="X691">
        <v>0</v>
      </c>
      <c r="Y691">
        <v>0</v>
      </c>
      <c r="Z691">
        <v>0</v>
      </c>
      <c r="AA691">
        <v>0</v>
      </c>
      <c r="AB691">
        <v>0</v>
      </c>
      <c r="AC691" s="295">
        <v>0</v>
      </c>
      <c r="AD691">
        <f>SUMPRODUCT(DB_STProjectAcct[[#This Row],[Plan01]:[Plan12]],$F$14:$Q$14)/valUnits2</f>
        <v>17.202287000000002</v>
      </c>
      <c r="AE691">
        <f>SUMPRODUCT(DB_STProjectAcct[[#This Row],[Act01]:[Act12]],$R$14:$AC$14)/valUnits2</f>
        <v>46.555070000000001</v>
      </c>
      <c r="AF691">
        <f>DB_STProjectAcct[[#This Row],[Actual]]-DB_STProjectAcct[[#This Row],[Plan]]</f>
        <v>29.352782999999999</v>
      </c>
      <c r="AG691">
        <f>IF(DB_STProjectAcct[[#This Row],[Plan]]&lt;&gt;0,DB_STProjectAcct[[#This Row],[Actual]]/DB_STProjectAcct[[#This Row],[Plan]],1.000011000011)</f>
        <v>2.7063302687601944</v>
      </c>
    </row>
    <row r="692" spans="1:33" hidden="1" x14ac:dyDescent="0.2">
      <c r="A692" t="s">
        <v>685</v>
      </c>
      <c r="B692" t="s">
        <v>343</v>
      </c>
      <c r="C692" t="s">
        <v>509</v>
      </c>
      <c r="D692" t="s">
        <v>509</v>
      </c>
      <c r="E692" t="s">
        <v>140</v>
      </c>
      <c r="F692">
        <v>25874.190000000002</v>
      </c>
      <c r="G692">
        <v>26242.85</v>
      </c>
      <c r="H692">
        <v>33362.980000000003</v>
      </c>
      <c r="I692">
        <v>29684.050000000003</v>
      </c>
      <c r="J692">
        <v>30156.34</v>
      </c>
      <c r="K692">
        <v>39957.517</v>
      </c>
      <c r="L692">
        <v>39957.517</v>
      </c>
      <c r="M692">
        <v>39957.517000000007</v>
      </c>
      <c r="N692">
        <v>39957.517</v>
      </c>
      <c r="O692">
        <v>60696.308999999994</v>
      </c>
      <c r="P692">
        <v>39957.517</v>
      </c>
      <c r="Q692">
        <v>32739.751</v>
      </c>
      <c r="R692">
        <v>25874.190000000002</v>
      </c>
      <c r="S692">
        <v>26242.850000000002</v>
      </c>
      <c r="T692">
        <v>33362.979999999996</v>
      </c>
      <c r="U692">
        <v>29684.050000000003</v>
      </c>
      <c r="V692">
        <v>30156.340000000004</v>
      </c>
      <c r="W692">
        <v>45664.409999999989</v>
      </c>
      <c r="X692">
        <v>0</v>
      </c>
      <c r="Y692">
        <v>0</v>
      </c>
      <c r="Z692">
        <v>0</v>
      </c>
      <c r="AA692">
        <v>0</v>
      </c>
      <c r="AB692">
        <v>0</v>
      </c>
      <c r="AC692" s="297">
        <v>0</v>
      </c>
      <c r="AD692">
        <f>SUMPRODUCT(DB_STProjectAcct[[#This Row],[Plan01]:[Plan12]],$F$14:$Q$14)/valUnits2</f>
        <v>185.27792700000001</v>
      </c>
      <c r="AE692">
        <f>SUMPRODUCT(DB_STProjectAcct[[#This Row],[Act01]:[Act12]],$R$14:$AC$14)/valUnits2</f>
        <v>190.98482000000001</v>
      </c>
      <c r="AF692">
        <f>DB_STProjectAcct[[#This Row],[Actual]]-DB_STProjectAcct[[#This Row],[Plan]]</f>
        <v>5.706893000000008</v>
      </c>
      <c r="AG692">
        <f>IF(DB_STProjectAcct[[#This Row],[Plan]]&lt;&gt;0,DB_STProjectAcct[[#This Row],[Actual]]/DB_STProjectAcct[[#This Row],[Plan]],1.000011000011)</f>
        <v>1.0308017964816716</v>
      </c>
    </row>
    <row r="693" spans="1:33" hidden="1" x14ac:dyDescent="0.2">
      <c r="A693" t="s">
        <v>686</v>
      </c>
      <c r="B693" t="s">
        <v>343</v>
      </c>
      <c r="C693" t="s">
        <v>509</v>
      </c>
      <c r="D693" t="s">
        <v>509</v>
      </c>
      <c r="E693" t="s">
        <v>236</v>
      </c>
      <c r="F693">
        <v>1158.5999999999999</v>
      </c>
      <c r="G693">
        <v>3487.65</v>
      </c>
      <c r="H693">
        <v>8046.75</v>
      </c>
      <c r="I693">
        <v>2105.9300000000003</v>
      </c>
      <c r="J693">
        <v>1215.06</v>
      </c>
      <c r="K693">
        <v>33000.001000000004</v>
      </c>
      <c r="L693">
        <v>40000.001000000004</v>
      </c>
      <c r="M693">
        <v>12000.001</v>
      </c>
      <c r="N693">
        <v>11120.001</v>
      </c>
      <c r="O693">
        <v>4500.0010000000002</v>
      </c>
      <c r="P693">
        <v>2500.0009999999997</v>
      </c>
      <c r="Q693">
        <v>2500.0009999999997</v>
      </c>
      <c r="R693">
        <v>1158.5999999999999</v>
      </c>
      <c r="S693">
        <v>3487.65</v>
      </c>
      <c r="T693">
        <v>8046.7500000000009</v>
      </c>
      <c r="U693">
        <v>2105.9299999999998</v>
      </c>
      <c r="V693">
        <v>1215.06</v>
      </c>
      <c r="W693">
        <v>6823.05</v>
      </c>
      <c r="X693">
        <v>0</v>
      </c>
      <c r="Y693">
        <v>0</v>
      </c>
      <c r="Z693">
        <v>0</v>
      </c>
      <c r="AA693">
        <v>0</v>
      </c>
      <c r="AB693">
        <v>0</v>
      </c>
      <c r="AC693" s="295">
        <v>0</v>
      </c>
      <c r="AD693">
        <f>SUMPRODUCT(DB_STProjectAcct[[#This Row],[Plan01]:[Plan12]],$F$14:$Q$14)/valUnits2</f>
        <v>49.013991000000004</v>
      </c>
      <c r="AE693">
        <f>SUMPRODUCT(DB_STProjectAcct[[#This Row],[Act01]:[Act12]],$R$14:$AC$14)/valUnits2</f>
        <v>22.837040000000002</v>
      </c>
      <c r="AF693">
        <f>DB_STProjectAcct[[#This Row],[Actual]]-DB_STProjectAcct[[#This Row],[Plan]]</f>
        <v>-26.176951000000003</v>
      </c>
      <c r="AG693">
        <f>IF(DB_STProjectAcct[[#This Row],[Plan]]&lt;&gt;0,DB_STProjectAcct[[#This Row],[Actual]]/DB_STProjectAcct[[#This Row],[Plan]],1.000011000011)</f>
        <v>0.46592900382260238</v>
      </c>
    </row>
    <row r="694" spans="1:33" hidden="1" x14ac:dyDescent="0.2">
      <c r="A694" t="s">
        <v>687</v>
      </c>
      <c r="B694" t="s">
        <v>343</v>
      </c>
      <c r="C694" t="s">
        <v>509</v>
      </c>
      <c r="D694" t="s">
        <v>509</v>
      </c>
      <c r="E694" t="s">
        <v>237</v>
      </c>
      <c r="F694">
        <v>341.99</v>
      </c>
      <c r="G694">
        <v>666.93000000000006</v>
      </c>
      <c r="H694">
        <v>6145.27</v>
      </c>
      <c r="I694">
        <v>2961.83</v>
      </c>
      <c r="J694">
        <v>1269.79</v>
      </c>
      <c r="K694">
        <v>0</v>
      </c>
      <c r="R694">
        <v>341.99</v>
      </c>
      <c r="S694">
        <v>666.93</v>
      </c>
      <c r="T694">
        <v>6145.27</v>
      </c>
      <c r="U694">
        <v>2961.83</v>
      </c>
      <c r="V694">
        <v>1269.7900000000002</v>
      </c>
      <c r="W694">
        <v>1313.01</v>
      </c>
      <c r="AC694" s="297"/>
      <c r="AD694">
        <f>SUMPRODUCT(DB_STProjectAcct[[#This Row],[Plan01]:[Plan12]],$F$14:$Q$14)/valUnits2</f>
        <v>11.385810000000001</v>
      </c>
      <c r="AE694">
        <f>SUMPRODUCT(DB_STProjectAcct[[#This Row],[Act01]:[Act12]],$R$14:$AC$14)/valUnits2</f>
        <v>12.698820000000001</v>
      </c>
      <c r="AF694">
        <f>DB_STProjectAcct[[#This Row],[Actual]]-DB_STProjectAcct[[#This Row],[Plan]]</f>
        <v>1.3130100000000002</v>
      </c>
      <c r="AG694">
        <f>IF(DB_STProjectAcct[[#This Row],[Plan]]&lt;&gt;0,DB_STProjectAcct[[#This Row],[Actual]]/DB_STProjectAcct[[#This Row],[Plan]],1.000011000011)</f>
        <v>1.1153198586661819</v>
      </c>
    </row>
    <row r="695" spans="1:33" hidden="1" x14ac:dyDescent="0.2">
      <c r="A695" t="s">
        <v>688</v>
      </c>
      <c r="B695" t="s">
        <v>343</v>
      </c>
      <c r="C695" t="s">
        <v>509</v>
      </c>
      <c r="D695" t="s">
        <v>509</v>
      </c>
      <c r="E695" t="s">
        <v>141</v>
      </c>
      <c r="F695">
        <v>852.55</v>
      </c>
      <c r="G695">
        <v>2262.12</v>
      </c>
      <c r="H695">
        <v>1650.62</v>
      </c>
      <c r="I695">
        <v>2951.14</v>
      </c>
      <c r="J695">
        <v>1840.72</v>
      </c>
      <c r="K695">
        <v>7187.5</v>
      </c>
      <c r="L695">
        <v>7187.5</v>
      </c>
      <c r="M695">
        <v>8687.5</v>
      </c>
      <c r="N695">
        <v>7187.5</v>
      </c>
      <c r="O695">
        <v>7187.5</v>
      </c>
      <c r="P695">
        <v>7187.5</v>
      </c>
      <c r="Q695">
        <v>7187.5</v>
      </c>
      <c r="R695">
        <v>852.55</v>
      </c>
      <c r="S695">
        <v>2262.1200000000003</v>
      </c>
      <c r="T695">
        <v>1650.62</v>
      </c>
      <c r="U695">
        <v>2951.1400000000003</v>
      </c>
      <c r="V695">
        <v>1840.72</v>
      </c>
      <c r="W695">
        <v>3540.67</v>
      </c>
      <c r="X695">
        <v>0</v>
      </c>
      <c r="Y695">
        <v>0</v>
      </c>
      <c r="Z695">
        <v>0</v>
      </c>
      <c r="AA695">
        <v>0</v>
      </c>
      <c r="AB695">
        <v>0</v>
      </c>
      <c r="AC695" s="295">
        <v>0</v>
      </c>
      <c r="AD695">
        <f>SUMPRODUCT(DB_STProjectAcct[[#This Row],[Plan01]:[Plan12]],$F$14:$Q$14)/valUnits2</f>
        <v>16.74465</v>
      </c>
      <c r="AE695">
        <f>SUMPRODUCT(DB_STProjectAcct[[#This Row],[Act01]:[Act12]],$R$14:$AC$14)/valUnits2</f>
        <v>13.09782</v>
      </c>
      <c r="AF695">
        <f>DB_STProjectAcct[[#This Row],[Actual]]-DB_STProjectAcct[[#This Row],[Plan]]</f>
        <v>-3.6468299999999996</v>
      </c>
      <c r="AG695">
        <f>IF(DB_STProjectAcct[[#This Row],[Plan]]&lt;&gt;0,DB_STProjectAcct[[#This Row],[Actual]]/DB_STProjectAcct[[#This Row],[Plan]],1.000011000011)</f>
        <v>0.7822092429522266</v>
      </c>
    </row>
    <row r="696" spans="1:33" hidden="1" x14ac:dyDescent="0.2">
      <c r="A696" t="s">
        <v>689</v>
      </c>
      <c r="B696" t="s">
        <v>344</v>
      </c>
      <c r="C696" t="s">
        <v>510</v>
      </c>
      <c r="D696" t="s">
        <v>510</v>
      </c>
      <c r="E696" t="s">
        <v>143</v>
      </c>
      <c r="F696">
        <v>5004.7789999999995</v>
      </c>
      <c r="G696">
        <v>-10786.67</v>
      </c>
      <c r="H696">
        <v>3646.2580000000007</v>
      </c>
      <c r="I696">
        <v>253.99799999999999</v>
      </c>
      <c r="J696">
        <v>22649.822</v>
      </c>
      <c r="K696">
        <v>13147.649000000001</v>
      </c>
      <c r="L696">
        <v>12988.954</v>
      </c>
      <c r="M696">
        <v>12989.175999999999</v>
      </c>
      <c r="N696">
        <v>12499.375</v>
      </c>
      <c r="O696">
        <v>12499.375</v>
      </c>
      <c r="P696">
        <v>12499.375</v>
      </c>
      <c r="Q696">
        <v>12499.375</v>
      </c>
      <c r="R696">
        <v>4773.24</v>
      </c>
      <c r="S696">
        <v>-10773.999999999998</v>
      </c>
      <c r="T696">
        <v>3202.23</v>
      </c>
      <c r="U696">
        <v>223.16</v>
      </c>
      <c r="V696">
        <v>22484.58</v>
      </c>
      <c r="W696">
        <v>13299.480000000001</v>
      </c>
      <c r="X696">
        <v>0</v>
      </c>
      <c r="Y696">
        <v>0</v>
      </c>
      <c r="Z696">
        <v>0</v>
      </c>
      <c r="AA696">
        <v>0</v>
      </c>
      <c r="AB696">
        <v>0</v>
      </c>
      <c r="AC696" s="297">
        <v>0</v>
      </c>
      <c r="AD696">
        <f>SUMPRODUCT(DB_STProjectAcct[[#This Row],[Plan01]:[Plan12]],$F$14:$Q$14)/valUnits2</f>
        <v>33.915836000000006</v>
      </c>
      <c r="AE696">
        <f>SUMPRODUCT(DB_STProjectAcct[[#This Row],[Act01]:[Act12]],$R$14:$AC$14)/valUnits2</f>
        <v>33.208690000000004</v>
      </c>
      <c r="AF696">
        <f>DB_STProjectAcct[[#This Row],[Actual]]-DB_STProjectAcct[[#This Row],[Plan]]</f>
        <v>-0.70714600000000161</v>
      </c>
      <c r="AG696">
        <f>IF(DB_STProjectAcct[[#This Row],[Plan]]&lt;&gt;0,DB_STProjectAcct[[#This Row],[Actual]]/DB_STProjectAcct[[#This Row],[Plan]],1.000011000011)</f>
        <v>0.97914997584019448</v>
      </c>
    </row>
    <row r="697" spans="1:33" hidden="1" x14ac:dyDescent="0.2">
      <c r="A697" t="s">
        <v>690</v>
      </c>
      <c r="B697" t="s">
        <v>344</v>
      </c>
      <c r="C697" t="s">
        <v>510</v>
      </c>
      <c r="D697" t="s">
        <v>510</v>
      </c>
      <c r="E697" t="s">
        <v>235</v>
      </c>
      <c r="F697">
        <v>10286.922999999999</v>
      </c>
      <c r="G697">
        <v>-1723.9919999999997</v>
      </c>
      <c r="H697">
        <v>14180.631999999998</v>
      </c>
      <c r="I697">
        <v>32286.327000000001</v>
      </c>
      <c r="J697">
        <v>6119.7339999999995</v>
      </c>
      <c r="K697">
        <v>1914.7370000000001</v>
      </c>
      <c r="L697">
        <v>1914.7370000000001</v>
      </c>
      <c r="M697">
        <v>1913.2370000000001</v>
      </c>
      <c r="N697">
        <v>1174.9970000000001</v>
      </c>
      <c r="O697">
        <v>1174.9970000000001</v>
      </c>
      <c r="P697">
        <v>1174.9970000000001</v>
      </c>
      <c r="Q697">
        <v>1174.9970000000001</v>
      </c>
      <c r="R697">
        <v>10537.93</v>
      </c>
      <c r="S697">
        <v>-1723.44</v>
      </c>
      <c r="T697">
        <v>14666.73</v>
      </c>
      <c r="U697">
        <v>32334.06</v>
      </c>
      <c r="V697">
        <v>6324.5600000000013</v>
      </c>
      <c r="W697">
        <v>10603.199999999999</v>
      </c>
      <c r="X697">
        <v>0</v>
      </c>
      <c r="Y697">
        <v>0</v>
      </c>
      <c r="Z697">
        <v>0</v>
      </c>
      <c r="AA697">
        <v>0</v>
      </c>
      <c r="AB697">
        <v>0</v>
      </c>
      <c r="AC697" s="295">
        <v>0</v>
      </c>
      <c r="AD697">
        <f>SUMPRODUCT(DB_STProjectAcct[[#This Row],[Plan01]:[Plan12]],$F$14:$Q$14)/valUnits2</f>
        <v>63.064360999999998</v>
      </c>
      <c r="AE697">
        <f>SUMPRODUCT(DB_STProjectAcct[[#This Row],[Act01]:[Act12]],$R$14:$AC$14)/valUnits2</f>
        <v>72.743039999999993</v>
      </c>
      <c r="AF697">
        <f>DB_STProjectAcct[[#This Row],[Actual]]-DB_STProjectAcct[[#This Row],[Plan]]</f>
        <v>9.6786789999999954</v>
      </c>
      <c r="AG697">
        <f>IF(DB_STProjectAcct[[#This Row],[Plan]]&lt;&gt;0,DB_STProjectAcct[[#This Row],[Actual]]/DB_STProjectAcct[[#This Row],[Plan]],1.000011000011)</f>
        <v>1.153473036855158</v>
      </c>
    </row>
    <row r="698" spans="1:33" hidden="1" x14ac:dyDescent="0.2">
      <c r="A698" t="s">
        <v>691</v>
      </c>
      <c r="B698" t="s">
        <v>344</v>
      </c>
      <c r="C698" t="s">
        <v>510</v>
      </c>
      <c r="D698" t="s">
        <v>510</v>
      </c>
      <c r="E698" t="s">
        <v>144</v>
      </c>
      <c r="AC698" s="297"/>
      <c r="AD698">
        <f>SUMPRODUCT(DB_STProjectAcct[[#This Row],[Plan01]:[Plan12]],$F$14:$Q$14)/valUnits2</f>
        <v>0</v>
      </c>
      <c r="AE698">
        <f>SUMPRODUCT(DB_STProjectAcct[[#This Row],[Act01]:[Act12]],$R$14:$AC$14)/valUnits2</f>
        <v>0</v>
      </c>
      <c r="AF698">
        <f>DB_STProjectAcct[[#This Row],[Actual]]-DB_STProjectAcct[[#This Row],[Plan]]</f>
        <v>0</v>
      </c>
      <c r="AG698">
        <f>IF(DB_STProjectAcct[[#This Row],[Plan]]&lt;&gt;0,DB_STProjectAcct[[#This Row],[Actual]]/DB_STProjectAcct[[#This Row],[Plan]],1.000011000011)</f>
        <v>1.0000110000110001</v>
      </c>
    </row>
    <row r="699" spans="1:33" hidden="1" x14ac:dyDescent="0.2">
      <c r="A699" t="s">
        <v>692</v>
      </c>
      <c r="B699" t="s">
        <v>344</v>
      </c>
      <c r="C699" t="s">
        <v>510</v>
      </c>
      <c r="D699" t="s">
        <v>510</v>
      </c>
      <c r="E699" t="s">
        <v>142</v>
      </c>
      <c r="F699">
        <v>211744.78800000003</v>
      </c>
      <c r="G699">
        <v>67185.936000000002</v>
      </c>
      <c r="H699">
        <v>19975.230000000003</v>
      </c>
      <c r="I699">
        <v>271768.23</v>
      </c>
      <c r="J699">
        <v>287589.03399999999</v>
      </c>
      <c r="K699">
        <v>141200.91499999998</v>
      </c>
      <c r="L699">
        <v>117524.626</v>
      </c>
      <c r="M699">
        <v>117489.15499999998</v>
      </c>
      <c r="N699">
        <v>167489.15599999999</v>
      </c>
      <c r="O699">
        <v>162130.09699999998</v>
      </c>
      <c r="P699">
        <v>179865.09700000001</v>
      </c>
      <c r="Q699">
        <v>112130.09699999999</v>
      </c>
      <c r="R699">
        <v>211740.40000000002</v>
      </c>
      <c r="S699">
        <v>67112.960000000006</v>
      </c>
      <c r="T699">
        <v>19975.230000000007</v>
      </c>
      <c r="U699">
        <v>271768.22999999992</v>
      </c>
      <c r="V699">
        <v>290377.21999999991</v>
      </c>
      <c r="W699">
        <v>59523.950000000012</v>
      </c>
      <c r="X699">
        <v>0</v>
      </c>
      <c r="Y699">
        <v>0</v>
      </c>
      <c r="Z699">
        <v>0</v>
      </c>
      <c r="AA699">
        <v>0</v>
      </c>
      <c r="AB699">
        <v>0</v>
      </c>
      <c r="AC699" s="295">
        <v>0</v>
      </c>
      <c r="AD699">
        <f>SUMPRODUCT(DB_STProjectAcct[[#This Row],[Plan01]:[Plan12]],$F$14:$Q$14)/valUnits2</f>
        <v>999.46413299999995</v>
      </c>
      <c r="AE699">
        <f>SUMPRODUCT(DB_STProjectAcct[[#This Row],[Act01]:[Act12]],$R$14:$AC$14)/valUnits2</f>
        <v>920.49798999999973</v>
      </c>
      <c r="AF699">
        <f>DB_STProjectAcct[[#This Row],[Actual]]-DB_STProjectAcct[[#This Row],[Plan]]</f>
        <v>-78.966143000000216</v>
      </c>
      <c r="AG699">
        <f>IF(DB_STProjectAcct[[#This Row],[Plan]]&lt;&gt;0,DB_STProjectAcct[[#This Row],[Actual]]/DB_STProjectAcct[[#This Row],[Plan]],1.000011000011)</f>
        <v>0.92099151896229159</v>
      </c>
    </row>
    <row r="700" spans="1:33" hidden="1" x14ac:dyDescent="0.2">
      <c r="A700" t="s">
        <v>693</v>
      </c>
      <c r="B700" t="s">
        <v>344</v>
      </c>
      <c r="C700" t="s">
        <v>510</v>
      </c>
      <c r="D700" t="s">
        <v>510</v>
      </c>
      <c r="E700" t="s">
        <v>140</v>
      </c>
      <c r="F700">
        <v>40980.588000000011</v>
      </c>
      <c r="G700">
        <v>55498.977000000006</v>
      </c>
      <c r="H700">
        <v>56065.322000000007</v>
      </c>
      <c r="I700">
        <v>39988.698000000004</v>
      </c>
      <c r="J700">
        <v>69480.648999999976</v>
      </c>
      <c r="K700">
        <v>55787.515000000007</v>
      </c>
      <c r="L700">
        <v>55787.515000000007</v>
      </c>
      <c r="M700">
        <v>55787.515000000014</v>
      </c>
      <c r="N700">
        <v>52786.951000000001</v>
      </c>
      <c r="O700">
        <v>47391.351000000002</v>
      </c>
      <c r="P700">
        <v>47391.351000000002</v>
      </c>
      <c r="Q700">
        <v>47391.351000000002</v>
      </c>
      <c r="R700">
        <v>40906.870000000032</v>
      </c>
      <c r="S700">
        <v>55682.489999999969</v>
      </c>
      <c r="T700">
        <v>56140.50999999998</v>
      </c>
      <c r="U700">
        <v>39894.730000000018</v>
      </c>
      <c r="V700">
        <v>69574.450000000026</v>
      </c>
      <c r="W700">
        <v>69237.719999999972</v>
      </c>
      <c r="X700">
        <v>0</v>
      </c>
      <c r="Y700">
        <v>0</v>
      </c>
      <c r="Z700">
        <v>0</v>
      </c>
      <c r="AA700">
        <v>0</v>
      </c>
      <c r="AB700">
        <v>0</v>
      </c>
      <c r="AC700" s="297">
        <v>0</v>
      </c>
      <c r="AD700">
        <f>SUMPRODUCT(DB_STProjectAcct[[#This Row],[Plan01]:[Plan12]],$F$14:$Q$14)/valUnits2</f>
        <v>317.80174900000003</v>
      </c>
      <c r="AE700">
        <f>SUMPRODUCT(DB_STProjectAcct[[#This Row],[Act01]:[Act12]],$R$14:$AC$14)/valUnits2</f>
        <v>331.43677000000002</v>
      </c>
      <c r="AF700">
        <f>DB_STProjectAcct[[#This Row],[Actual]]-DB_STProjectAcct[[#This Row],[Plan]]</f>
        <v>13.635020999999995</v>
      </c>
      <c r="AG700">
        <f>IF(DB_STProjectAcct[[#This Row],[Plan]]&lt;&gt;0,DB_STProjectAcct[[#This Row],[Actual]]/DB_STProjectAcct[[#This Row],[Plan]],1.000011000011)</f>
        <v>1.0429041723115249</v>
      </c>
    </row>
    <row r="701" spans="1:33" hidden="1" x14ac:dyDescent="0.2">
      <c r="A701" t="s">
        <v>694</v>
      </c>
      <c r="B701" t="s">
        <v>344</v>
      </c>
      <c r="C701" t="s">
        <v>510</v>
      </c>
      <c r="D701" t="s">
        <v>510</v>
      </c>
      <c r="E701" t="s">
        <v>236</v>
      </c>
      <c r="F701">
        <v>16215.030000000002</v>
      </c>
      <c r="G701">
        <v>6668.8980000000001</v>
      </c>
      <c r="H701">
        <v>58189.385999999999</v>
      </c>
      <c r="I701">
        <v>1615128.9280000001</v>
      </c>
      <c r="J701">
        <v>22760.542999999998</v>
      </c>
      <c r="K701">
        <v>1503406.0830000001</v>
      </c>
      <c r="L701">
        <v>12350.904999999999</v>
      </c>
      <c r="M701">
        <v>9742.2950000000001</v>
      </c>
      <c r="N701">
        <v>1495147.6779999998</v>
      </c>
      <c r="O701">
        <v>2903.1099999999997</v>
      </c>
      <c r="P701">
        <v>3946.5540000000001</v>
      </c>
      <c r="Q701">
        <v>1483163.122</v>
      </c>
      <c r="R701">
        <v>16156.730000000001</v>
      </c>
      <c r="S701">
        <v>6683.1600000000026</v>
      </c>
      <c r="T701">
        <v>58242.52</v>
      </c>
      <c r="U701">
        <v>1615116.47</v>
      </c>
      <c r="V701">
        <v>23155.57</v>
      </c>
      <c r="W701">
        <v>577829.35000000009</v>
      </c>
      <c r="X701">
        <v>0</v>
      </c>
      <c r="Y701">
        <v>0</v>
      </c>
      <c r="Z701">
        <v>0</v>
      </c>
      <c r="AA701">
        <v>0</v>
      </c>
      <c r="AB701">
        <v>0</v>
      </c>
      <c r="AC701" s="295">
        <v>0</v>
      </c>
      <c r="AD701">
        <f>SUMPRODUCT(DB_STProjectAcct[[#This Row],[Plan01]:[Plan12]],$F$14:$Q$14)/valUnits2</f>
        <v>3222.3688680000005</v>
      </c>
      <c r="AE701">
        <f>SUMPRODUCT(DB_STProjectAcct[[#This Row],[Act01]:[Act12]],$R$14:$AC$14)/valUnits2</f>
        <v>2297.1837999999998</v>
      </c>
      <c r="AF701">
        <f>DB_STProjectAcct[[#This Row],[Actual]]-DB_STProjectAcct[[#This Row],[Plan]]</f>
        <v>-925.18506800000068</v>
      </c>
      <c r="AG701">
        <f>IF(DB_STProjectAcct[[#This Row],[Plan]]&lt;&gt;0,DB_STProjectAcct[[#This Row],[Actual]]/DB_STProjectAcct[[#This Row],[Plan]],1.000011000011)</f>
        <v>0.71288666633183206</v>
      </c>
    </row>
    <row r="702" spans="1:33" hidden="1" x14ac:dyDescent="0.2">
      <c r="A702" t="s">
        <v>695</v>
      </c>
      <c r="B702" t="s">
        <v>344</v>
      </c>
      <c r="C702" t="s">
        <v>510</v>
      </c>
      <c r="D702" t="s">
        <v>510</v>
      </c>
      <c r="E702" t="s">
        <v>237</v>
      </c>
      <c r="F702">
        <v>2.82</v>
      </c>
      <c r="G702">
        <v>2421.2060000000001</v>
      </c>
      <c r="H702">
        <v>28164.692000000003</v>
      </c>
      <c r="I702">
        <v>1052.0619999999999</v>
      </c>
      <c r="J702">
        <v>1855.921</v>
      </c>
      <c r="K702">
        <v>0</v>
      </c>
      <c r="R702">
        <v>2.82</v>
      </c>
      <c r="S702">
        <v>2450.9500000000003</v>
      </c>
      <c r="T702">
        <v>28895.48</v>
      </c>
      <c r="U702">
        <v>1052.03</v>
      </c>
      <c r="V702">
        <v>1857.73</v>
      </c>
      <c r="W702">
        <v>634.12</v>
      </c>
      <c r="AC702" s="297"/>
      <c r="AD702">
        <f>SUMPRODUCT(DB_STProjectAcct[[#This Row],[Plan01]:[Plan12]],$F$14:$Q$14)/valUnits2</f>
        <v>33.496701000000009</v>
      </c>
      <c r="AE702">
        <f>SUMPRODUCT(DB_STProjectAcct[[#This Row],[Act01]:[Act12]],$R$14:$AC$14)/valUnits2</f>
        <v>34.893130000000006</v>
      </c>
      <c r="AF702">
        <f>DB_STProjectAcct[[#This Row],[Actual]]-DB_STProjectAcct[[#This Row],[Plan]]</f>
        <v>1.3964289999999977</v>
      </c>
      <c r="AG702">
        <f>IF(DB_STProjectAcct[[#This Row],[Plan]]&lt;&gt;0,DB_STProjectAcct[[#This Row],[Actual]]/DB_STProjectAcct[[#This Row],[Plan]],1.000011000011)</f>
        <v>1.0416885531503535</v>
      </c>
    </row>
    <row r="703" spans="1:33" hidden="1" x14ac:dyDescent="0.2">
      <c r="A703" t="s">
        <v>696</v>
      </c>
      <c r="B703" t="s">
        <v>344</v>
      </c>
      <c r="C703" t="s">
        <v>510</v>
      </c>
      <c r="D703" t="s">
        <v>510</v>
      </c>
      <c r="E703" t="s">
        <v>141</v>
      </c>
      <c r="F703">
        <v>17934.789999999994</v>
      </c>
      <c r="G703">
        <v>7835.0000000000027</v>
      </c>
      <c r="H703">
        <v>26778.925999999996</v>
      </c>
      <c r="I703">
        <v>9333.7070000000003</v>
      </c>
      <c r="J703">
        <v>28350.691999999995</v>
      </c>
      <c r="K703">
        <v>91210.241999999998</v>
      </c>
      <c r="L703">
        <v>41212.296000000002</v>
      </c>
      <c r="M703">
        <v>40648.836000000003</v>
      </c>
      <c r="N703">
        <v>40986.622000000003</v>
      </c>
      <c r="O703">
        <v>37409.08</v>
      </c>
      <c r="P703">
        <v>37409.08</v>
      </c>
      <c r="Q703">
        <v>37409.08</v>
      </c>
      <c r="R703">
        <v>17919.880000000005</v>
      </c>
      <c r="S703">
        <v>7861.2600000000039</v>
      </c>
      <c r="T703">
        <v>26858.760000000009</v>
      </c>
      <c r="U703">
        <v>9306.1500000000033</v>
      </c>
      <c r="V703">
        <v>28365.37</v>
      </c>
      <c r="W703">
        <v>7144.0200000000023</v>
      </c>
      <c r="X703">
        <v>449.41</v>
      </c>
      <c r="Y703">
        <v>0</v>
      </c>
      <c r="Z703">
        <v>0</v>
      </c>
      <c r="AA703">
        <v>0</v>
      </c>
      <c r="AB703">
        <v>0</v>
      </c>
      <c r="AC703" s="295">
        <v>0</v>
      </c>
      <c r="AD703">
        <f>SUMPRODUCT(DB_STProjectAcct[[#This Row],[Plan01]:[Plan12]],$F$14:$Q$14)/valUnits2</f>
        <v>181.44335699999999</v>
      </c>
      <c r="AE703">
        <f>SUMPRODUCT(DB_STProjectAcct[[#This Row],[Act01]:[Act12]],$R$14:$AC$14)/valUnits2</f>
        <v>97.45544000000001</v>
      </c>
      <c r="AF703">
        <f>DB_STProjectAcct[[#This Row],[Actual]]-DB_STProjectAcct[[#This Row],[Plan]]</f>
        <v>-83.987916999999982</v>
      </c>
      <c r="AG703">
        <f>IF(DB_STProjectAcct[[#This Row],[Plan]]&lt;&gt;0,DB_STProjectAcct[[#This Row],[Actual]]/DB_STProjectAcct[[#This Row],[Plan]],1.000011000011)</f>
        <v>0.53711219639746866</v>
      </c>
    </row>
    <row r="704" spans="1:33" hidden="1" x14ac:dyDescent="0.2">
      <c r="A704" t="s">
        <v>697</v>
      </c>
      <c r="B704" t="s">
        <v>344</v>
      </c>
      <c r="C704" t="s">
        <v>511</v>
      </c>
      <c r="D704" t="s">
        <v>511</v>
      </c>
      <c r="E704" t="s">
        <v>143</v>
      </c>
      <c r="F704">
        <v>0</v>
      </c>
      <c r="G704">
        <v>2037.02</v>
      </c>
      <c r="H704">
        <v>0</v>
      </c>
      <c r="I704">
        <v>0</v>
      </c>
      <c r="J704">
        <v>0</v>
      </c>
      <c r="K704">
        <v>1382.6680000000001</v>
      </c>
      <c r="L704">
        <v>1382.6680000000001</v>
      </c>
      <c r="M704">
        <v>1382.6680000000001</v>
      </c>
      <c r="N704">
        <v>1482.6680000000001</v>
      </c>
      <c r="R704">
        <v>0</v>
      </c>
      <c r="S704">
        <v>2058.5700000000002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C704" s="297"/>
      <c r="AD704">
        <f>SUMPRODUCT(DB_STProjectAcct[[#This Row],[Plan01]:[Plan12]],$F$14:$Q$14)/valUnits2</f>
        <v>3.4196880000000003</v>
      </c>
      <c r="AE704">
        <f>SUMPRODUCT(DB_STProjectAcct[[#This Row],[Act01]:[Act12]],$R$14:$AC$14)/valUnits2</f>
        <v>2.05857</v>
      </c>
      <c r="AF704">
        <f>DB_STProjectAcct[[#This Row],[Actual]]-DB_STProjectAcct[[#This Row],[Plan]]</f>
        <v>-1.3611180000000003</v>
      </c>
      <c r="AG704">
        <f>IF(DB_STProjectAcct[[#This Row],[Plan]]&lt;&gt;0,DB_STProjectAcct[[#This Row],[Actual]]/DB_STProjectAcct[[#This Row],[Plan]],1.000011000011)</f>
        <v>0.60197596973759004</v>
      </c>
    </row>
    <row r="705" spans="1:33" hidden="1" x14ac:dyDescent="0.2">
      <c r="A705" t="s">
        <v>698</v>
      </c>
      <c r="B705" t="s">
        <v>344</v>
      </c>
      <c r="C705" t="s">
        <v>511</v>
      </c>
      <c r="D705" t="s">
        <v>511</v>
      </c>
      <c r="E705" t="s">
        <v>235</v>
      </c>
      <c r="F705">
        <v>33.229999999999997</v>
      </c>
      <c r="G705">
        <v>299.16000000000003</v>
      </c>
      <c r="H705">
        <v>375.34000000000003</v>
      </c>
      <c r="I705">
        <v>487.37</v>
      </c>
      <c r="J705">
        <v>3375.57</v>
      </c>
      <c r="K705">
        <v>266.66700000000003</v>
      </c>
      <c r="L705">
        <v>266.66700000000003</v>
      </c>
      <c r="M705">
        <v>266.66700000000003</v>
      </c>
      <c r="N705">
        <v>266.66700000000003</v>
      </c>
      <c r="R705">
        <v>33.229999999999997</v>
      </c>
      <c r="S705">
        <v>299.15999999999997</v>
      </c>
      <c r="T705">
        <v>375.34</v>
      </c>
      <c r="U705">
        <v>487.37000000000006</v>
      </c>
      <c r="V705">
        <v>3375.57</v>
      </c>
      <c r="W705">
        <v>1843.1799999999998</v>
      </c>
      <c r="X705">
        <v>0</v>
      </c>
      <c r="Y705">
        <v>0</v>
      </c>
      <c r="Z705">
        <v>0</v>
      </c>
      <c r="AC705" s="295"/>
      <c r="AD705">
        <f>SUMPRODUCT(DB_STProjectAcct[[#This Row],[Plan01]:[Plan12]],$F$14:$Q$14)/valUnits2</f>
        <v>4.8373370000000007</v>
      </c>
      <c r="AE705">
        <f>SUMPRODUCT(DB_STProjectAcct[[#This Row],[Act01]:[Act12]],$R$14:$AC$14)/valUnits2</f>
        <v>6.4138500000000001</v>
      </c>
      <c r="AF705">
        <f>DB_STProjectAcct[[#This Row],[Actual]]-DB_STProjectAcct[[#This Row],[Plan]]</f>
        <v>1.5765129999999994</v>
      </c>
      <c r="AG705">
        <f>IF(DB_STProjectAcct[[#This Row],[Plan]]&lt;&gt;0,DB_STProjectAcct[[#This Row],[Actual]]/DB_STProjectAcct[[#This Row],[Plan]],1.000011000011)</f>
        <v>1.3259051416099394</v>
      </c>
    </row>
    <row r="706" spans="1:33" hidden="1" x14ac:dyDescent="0.2">
      <c r="A706" t="s">
        <v>699</v>
      </c>
      <c r="B706" t="s">
        <v>344</v>
      </c>
      <c r="C706" t="s">
        <v>511</v>
      </c>
      <c r="D706" t="s">
        <v>511</v>
      </c>
      <c r="E706" t="s">
        <v>144</v>
      </c>
      <c r="AC706" s="297"/>
      <c r="AD706">
        <f>SUMPRODUCT(DB_STProjectAcct[[#This Row],[Plan01]:[Plan12]],$F$14:$Q$14)/valUnits2</f>
        <v>0</v>
      </c>
      <c r="AE706">
        <f>SUMPRODUCT(DB_STProjectAcct[[#This Row],[Act01]:[Act12]],$R$14:$AC$14)/valUnits2</f>
        <v>0</v>
      </c>
      <c r="AF706">
        <f>DB_STProjectAcct[[#This Row],[Actual]]-DB_STProjectAcct[[#This Row],[Plan]]</f>
        <v>0</v>
      </c>
      <c r="AG706">
        <f>IF(DB_STProjectAcct[[#This Row],[Plan]]&lt;&gt;0,DB_STProjectAcct[[#This Row],[Actual]]/DB_STProjectAcct[[#This Row],[Plan]],1.000011000011)</f>
        <v>1.0000110000110001</v>
      </c>
    </row>
    <row r="707" spans="1:33" hidden="1" x14ac:dyDescent="0.2">
      <c r="A707" t="s">
        <v>700</v>
      </c>
      <c r="B707" t="s">
        <v>344</v>
      </c>
      <c r="C707" t="s">
        <v>511</v>
      </c>
      <c r="D707" t="s">
        <v>511</v>
      </c>
      <c r="E707" t="s">
        <v>142</v>
      </c>
      <c r="F707">
        <v>0</v>
      </c>
      <c r="G707">
        <v>0</v>
      </c>
      <c r="H707">
        <v>407611.17999999993</v>
      </c>
      <c r="I707">
        <v>260165.86</v>
      </c>
      <c r="J707">
        <v>23563.27</v>
      </c>
      <c r="K707">
        <v>122222.22200000001</v>
      </c>
      <c r="L707">
        <v>122222.22199999999</v>
      </c>
      <c r="M707">
        <v>122222.22200000002</v>
      </c>
      <c r="N707">
        <v>122222.22200000001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407611.18000000005</v>
      </c>
      <c r="U707">
        <v>260165.86</v>
      </c>
      <c r="V707">
        <v>23563.270000000004</v>
      </c>
      <c r="W707">
        <v>171.01999999998952</v>
      </c>
      <c r="X707">
        <v>0</v>
      </c>
      <c r="Y707">
        <v>0</v>
      </c>
      <c r="Z707">
        <v>0</v>
      </c>
      <c r="AA707">
        <v>0</v>
      </c>
      <c r="AB707">
        <v>0</v>
      </c>
      <c r="AC707" s="295">
        <v>0</v>
      </c>
      <c r="AD707">
        <f>SUMPRODUCT(DB_STProjectAcct[[#This Row],[Plan01]:[Plan12]],$F$14:$Q$14)/valUnits2</f>
        <v>813.56253199999992</v>
      </c>
      <c r="AE707">
        <f>SUMPRODUCT(DB_STProjectAcct[[#This Row],[Act01]:[Act12]],$R$14:$AC$14)/valUnits2</f>
        <v>691.51133000000004</v>
      </c>
      <c r="AF707">
        <f>DB_STProjectAcct[[#This Row],[Actual]]-DB_STProjectAcct[[#This Row],[Plan]]</f>
        <v>-122.05120199999988</v>
      </c>
      <c r="AG707">
        <f>IF(DB_STProjectAcct[[#This Row],[Plan]]&lt;&gt;0,DB_STProjectAcct[[#This Row],[Actual]]/DB_STProjectAcct[[#This Row],[Plan]],1.000011000011)</f>
        <v>0.84997932279408372</v>
      </c>
    </row>
    <row r="708" spans="1:33" hidden="1" x14ac:dyDescent="0.2">
      <c r="A708" t="s">
        <v>701</v>
      </c>
      <c r="B708" t="s">
        <v>344</v>
      </c>
      <c r="C708" t="s">
        <v>511</v>
      </c>
      <c r="D708" t="s">
        <v>511</v>
      </c>
      <c r="E708" t="s">
        <v>140</v>
      </c>
      <c r="F708">
        <v>9816.07</v>
      </c>
      <c r="G708">
        <v>12313.05</v>
      </c>
      <c r="H708">
        <v>12964.189999999999</v>
      </c>
      <c r="I708">
        <v>14095.220000000001</v>
      </c>
      <c r="J708">
        <v>18062.71</v>
      </c>
      <c r="K708">
        <v>25427.143000000004</v>
      </c>
      <c r="L708">
        <v>25427.143000000004</v>
      </c>
      <c r="M708">
        <v>25427.143000000004</v>
      </c>
      <c r="N708">
        <v>25427.143000000004</v>
      </c>
      <c r="O708">
        <v>0</v>
      </c>
      <c r="P708">
        <v>0</v>
      </c>
      <c r="Q708">
        <v>0</v>
      </c>
      <c r="R708">
        <v>9816.07</v>
      </c>
      <c r="S708">
        <v>12313.050000000001</v>
      </c>
      <c r="T708">
        <v>12964.19</v>
      </c>
      <c r="U708">
        <v>14095.220000000001</v>
      </c>
      <c r="V708">
        <v>18062.71</v>
      </c>
      <c r="W708">
        <v>23238.129999999997</v>
      </c>
      <c r="X708">
        <v>0</v>
      </c>
      <c r="Y708">
        <v>0</v>
      </c>
      <c r="Z708">
        <v>0</v>
      </c>
      <c r="AA708">
        <v>0</v>
      </c>
      <c r="AB708">
        <v>0</v>
      </c>
      <c r="AC708" s="297">
        <v>0</v>
      </c>
      <c r="AD708">
        <f>SUMPRODUCT(DB_STProjectAcct[[#This Row],[Plan01]:[Plan12]],$F$14:$Q$14)/valUnits2</f>
        <v>92.678382999999997</v>
      </c>
      <c r="AE708">
        <f>SUMPRODUCT(DB_STProjectAcct[[#This Row],[Act01]:[Act12]],$R$14:$AC$14)/valUnits2</f>
        <v>90.489369999999994</v>
      </c>
      <c r="AF708">
        <f>DB_STProjectAcct[[#This Row],[Actual]]-DB_STProjectAcct[[#This Row],[Plan]]</f>
        <v>-2.1890130000000028</v>
      </c>
      <c r="AG708">
        <f>IF(DB_STProjectAcct[[#This Row],[Plan]]&lt;&gt;0,DB_STProjectAcct[[#This Row],[Actual]]/DB_STProjectAcct[[#This Row],[Plan]],1.000011000011)</f>
        <v>0.97638054388583795</v>
      </c>
    </row>
    <row r="709" spans="1:33" hidden="1" x14ac:dyDescent="0.2">
      <c r="A709" t="s">
        <v>702</v>
      </c>
      <c r="B709" t="s">
        <v>344</v>
      </c>
      <c r="C709" t="s">
        <v>511</v>
      </c>
      <c r="D709" t="s">
        <v>511</v>
      </c>
      <c r="E709" t="s">
        <v>236</v>
      </c>
      <c r="F709">
        <v>432.11</v>
      </c>
      <c r="G709">
        <v>168.32999999999998</v>
      </c>
      <c r="H709">
        <v>3312.6799999999989</v>
      </c>
      <c r="I709">
        <v>1198.0999999999999</v>
      </c>
      <c r="J709">
        <v>5548.19</v>
      </c>
      <c r="K709">
        <v>0</v>
      </c>
      <c r="R709">
        <v>432.11</v>
      </c>
      <c r="S709">
        <v>168.32999999999998</v>
      </c>
      <c r="T709">
        <v>3312.6800000000007</v>
      </c>
      <c r="U709">
        <v>1198.0999999999999</v>
      </c>
      <c r="V709">
        <v>5548.19</v>
      </c>
      <c r="W709">
        <v>3104.22</v>
      </c>
      <c r="AC709" s="295"/>
      <c r="AD709">
        <f>SUMPRODUCT(DB_STProjectAcct[[#This Row],[Plan01]:[Plan12]],$F$14:$Q$14)/valUnits2</f>
        <v>10.659409999999999</v>
      </c>
      <c r="AE709">
        <f>SUMPRODUCT(DB_STProjectAcct[[#This Row],[Act01]:[Act12]],$R$14:$AC$14)/valUnits2</f>
        <v>13.763629999999999</v>
      </c>
      <c r="AF709">
        <f>DB_STProjectAcct[[#This Row],[Actual]]-DB_STProjectAcct[[#This Row],[Plan]]</f>
        <v>3.1042199999999998</v>
      </c>
      <c r="AG709">
        <f>IF(DB_STProjectAcct[[#This Row],[Plan]]&lt;&gt;0,DB_STProjectAcct[[#This Row],[Actual]]/DB_STProjectAcct[[#This Row],[Plan]],1.000011000011)</f>
        <v>1.2912187447522894</v>
      </c>
    </row>
    <row r="710" spans="1:33" hidden="1" x14ac:dyDescent="0.2">
      <c r="A710" t="s">
        <v>703</v>
      </c>
      <c r="B710" t="s">
        <v>344</v>
      </c>
      <c r="C710" t="s">
        <v>511</v>
      </c>
      <c r="D710" t="s">
        <v>511</v>
      </c>
      <c r="E710" t="s">
        <v>237</v>
      </c>
      <c r="F710">
        <v>19.489999999999998</v>
      </c>
      <c r="G710">
        <v>722.15</v>
      </c>
      <c r="H710">
        <v>4483.4100000000017</v>
      </c>
      <c r="I710">
        <v>55.38</v>
      </c>
      <c r="J710">
        <v>1129.32</v>
      </c>
      <c r="K710">
        <v>122.22200000000001</v>
      </c>
      <c r="L710">
        <v>122.22200000000001</v>
      </c>
      <c r="M710">
        <v>122.22200000000001</v>
      </c>
      <c r="N710">
        <v>122.22200000000001</v>
      </c>
      <c r="R710">
        <v>19.489999999999998</v>
      </c>
      <c r="S710">
        <v>722.15</v>
      </c>
      <c r="T710">
        <v>4483.4100000000017</v>
      </c>
      <c r="U710">
        <v>55.38</v>
      </c>
      <c r="V710">
        <v>1129.3200000000002</v>
      </c>
      <c r="W710">
        <v>4201.87</v>
      </c>
      <c r="X710">
        <v>0</v>
      </c>
      <c r="Y710">
        <v>0</v>
      </c>
      <c r="Z710">
        <v>0</v>
      </c>
      <c r="AC710" s="297"/>
      <c r="AD710">
        <f>SUMPRODUCT(DB_STProjectAcct[[#This Row],[Plan01]:[Plan12]],$F$14:$Q$14)/valUnits2</f>
        <v>6.5319720000000014</v>
      </c>
      <c r="AE710">
        <f>SUMPRODUCT(DB_STProjectAcct[[#This Row],[Act01]:[Act12]],$R$14:$AC$14)/valUnits2</f>
        <v>10.611620000000002</v>
      </c>
      <c r="AF710">
        <f>DB_STProjectAcct[[#This Row],[Actual]]-DB_STProjectAcct[[#This Row],[Plan]]</f>
        <v>4.0796480000000006</v>
      </c>
      <c r="AG710">
        <f>IF(DB_STProjectAcct[[#This Row],[Plan]]&lt;&gt;0,DB_STProjectAcct[[#This Row],[Actual]]/DB_STProjectAcct[[#This Row],[Plan]],1.000011000011)</f>
        <v>1.6245660575397445</v>
      </c>
    </row>
    <row r="711" spans="1:33" hidden="1" x14ac:dyDescent="0.2">
      <c r="A711" t="s">
        <v>704</v>
      </c>
      <c r="B711" t="s">
        <v>344</v>
      </c>
      <c r="C711" t="s">
        <v>511</v>
      </c>
      <c r="D711" t="s">
        <v>511</v>
      </c>
      <c r="E711" t="s">
        <v>141</v>
      </c>
      <c r="F711">
        <v>490.65</v>
      </c>
      <c r="G711">
        <v>2057.1800000000003</v>
      </c>
      <c r="H711">
        <v>654.82999999999993</v>
      </c>
      <c r="I711">
        <v>1108.06</v>
      </c>
      <c r="J711">
        <v>1503.1499999999999</v>
      </c>
      <c r="K711">
        <v>6764.8889999999992</v>
      </c>
      <c r="L711">
        <v>6764.8889999999992</v>
      </c>
      <c r="M711">
        <v>6764.8889999999992</v>
      </c>
      <c r="N711">
        <v>6768.8889999999992</v>
      </c>
      <c r="O711">
        <v>0</v>
      </c>
      <c r="P711">
        <v>0</v>
      </c>
      <c r="Q711">
        <v>0</v>
      </c>
      <c r="R711">
        <v>490.65</v>
      </c>
      <c r="S711">
        <v>2057.1800000000003</v>
      </c>
      <c r="T711">
        <v>654.83000000000004</v>
      </c>
      <c r="U711">
        <v>1108.0600000000002</v>
      </c>
      <c r="V711">
        <v>1503.15</v>
      </c>
      <c r="W711">
        <v>12404.83</v>
      </c>
      <c r="X711">
        <v>0</v>
      </c>
      <c r="Y711">
        <v>0</v>
      </c>
      <c r="Z711">
        <v>0</v>
      </c>
      <c r="AA711">
        <v>0</v>
      </c>
      <c r="AB711">
        <v>0</v>
      </c>
      <c r="AC711" s="295">
        <v>0</v>
      </c>
      <c r="AD711">
        <f>SUMPRODUCT(DB_STProjectAcct[[#This Row],[Plan01]:[Plan12]],$F$14:$Q$14)/valUnits2</f>
        <v>12.578758999999998</v>
      </c>
      <c r="AE711">
        <f>SUMPRODUCT(DB_STProjectAcct[[#This Row],[Act01]:[Act12]],$R$14:$AC$14)/valUnits2</f>
        <v>18.218700000000002</v>
      </c>
      <c r="AF711">
        <f>DB_STProjectAcct[[#This Row],[Actual]]-DB_STProjectAcct[[#This Row],[Plan]]</f>
        <v>5.6399410000000039</v>
      </c>
      <c r="AG711">
        <f>IF(DB_STProjectAcct[[#This Row],[Plan]]&lt;&gt;0,DB_STProjectAcct[[#This Row],[Actual]]/DB_STProjectAcct[[#This Row],[Plan]],1.000011000011)</f>
        <v>1.4483702247574666</v>
      </c>
    </row>
    <row r="712" spans="1:33" hidden="1" x14ac:dyDescent="0.2">
      <c r="A712" t="s">
        <v>705</v>
      </c>
      <c r="B712" t="s">
        <v>345</v>
      </c>
      <c r="C712" t="s">
        <v>512</v>
      </c>
      <c r="D712" t="s">
        <v>512</v>
      </c>
      <c r="E712" t="s">
        <v>143</v>
      </c>
      <c r="G712">
        <v>1061.2260000000001</v>
      </c>
      <c r="H712">
        <v>0</v>
      </c>
      <c r="J712">
        <v>0</v>
      </c>
      <c r="S712">
        <v>625.38</v>
      </c>
      <c r="T712">
        <v>45.209999999999994</v>
      </c>
      <c r="V712">
        <v>57.42</v>
      </c>
      <c r="AC712" s="297"/>
      <c r="AD712">
        <f>SUMPRODUCT(DB_STProjectAcct[[#This Row],[Plan01]:[Plan12]],$F$14:$Q$14)/valUnits2</f>
        <v>1.061226</v>
      </c>
      <c r="AE712">
        <f>SUMPRODUCT(DB_STProjectAcct[[#This Row],[Act01]:[Act12]],$R$14:$AC$14)/valUnits2</f>
        <v>0.72801000000000005</v>
      </c>
      <c r="AF712">
        <f>DB_STProjectAcct[[#This Row],[Actual]]-DB_STProjectAcct[[#This Row],[Plan]]</f>
        <v>-0.33321599999999996</v>
      </c>
      <c r="AG712">
        <f>IF(DB_STProjectAcct[[#This Row],[Plan]]&lt;&gt;0,DB_STProjectAcct[[#This Row],[Actual]]/DB_STProjectAcct[[#This Row],[Plan]],1.000011000011)</f>
        <v>0.68600844683413342</v>
      </c>
    </row>
    <row r="713" spans="1:33" hidden="1" x14ac:dyDescent="0.2">
      <c r="A713" t="s">
        <v>706</v>
      </c>
      <c r="B713" t="s">
        <v>345</v>
      </c>
      <c r="C713" t="s">
        <v>512</v>
      </c>
      <c r="D713" t="s">
        <v>512</v>
      </c>
      <c r="E713" t="s">
        <v>235</v>
      </c>
      <c r="G713">
        <v>54.97</v>
      </c>
      <c r="J713">
        <v>21.742000000000001</v>
      </c>
      <c r="K713">
        <v>0</v>
      </c>
      <c r="S713">
        <v>438.15000000000003</v>
      </c>
      <c r="V713">
        <v>21.85</v>
      </c>
      <c r="W713">
        <v>214.15</v>
      </c>
      <c r="AC713" s="295"/>
      <c r="AD713">
        <f>SUMPRODUCT(DB_STProjectAcct[[#This Row],[Plan01]:[Plan12]],$F$14:$Q$14)/valUnits2</f>
        <v>7.6712000000000002E-2</v>
      </c>
      <c r="AE713">
        <f>SUMPRODUCT(DB_STProjectAcct[[#This Row],[Act01]:[Act12]],$R$14:$AC$14)/valUnits2</f>
        <v>0.67415000000000014</v>
      </c>
      <c r="AF713">
        <f>DB_STProjectAcct[[#This Row],[Actual]]-DB_STProjectAcct[[#This Row],[Plan]]</f>
        <v>0.59743800000000014</v>
      </c>
      <c r="AG713">
        <f>IF(DB_STProjectAcct[[#This Row],[Plan]]&lt;&gt;0,DB_STProjectAcct[[#This Row],[Actual]]/DB_STProjectAcct[[#This Row],[Plan]],1.000011000011)</f>
        <v>8.7880644488476403</v>
      </c>
    </row>
    <row r="714" spans="1:33" hidden="1" x14ac:dyDescent="0.2">
      <c r="A714" t="s">
        <v>707</v>
      </c>
      <c r="B714" t="s">
        <v>345</v>
      </c>
      <c r="C714" t="s">
        <v>512</v>
      </c>
      <c r="D714" t="s">
        <v>512</v>
      </c>
      <c r="E714" t="s">
        <v>144</v>
      </c>
      <c r="AC714" s="297"/>
      <c r="AD714">
        <f>SUMPRODUCT(DB_STProjectAcct[[#This Row],[Plan01]:[Plan12]],$F$14:$Q$14)/valUnits2</f>
        <v>0</v>
      </c>
      <c r="AE714">
        <f>SUMPRODUCT(DB_STProjectAcct[[#This Row],[Act01]:[Act12]],$R$14:$AC$14)/valUnits2</f>
        <v>0</v>
      </c>
      <c r="AF714">
        <f>DB_STProjectAcct[[#This Row],[Actual]]-DB_STProjectAcct[[#This Row],[Plan]]</f>
        <v>0</v>
      </c>
      <c r="AG714">
        <f>IF(DB_STProjectAcct[[#This Row],[Plan]]&lt;&gt;0,DB_STProjectAcct[[#This Row],[Actual]]/DB_STProjectAcct[[#This Row],[Plan]],1.000011000011)</f>
        <v>1.0000110000110001</v>
      </c>
    </row>
    <row r="715" spans="1:33" hidden="1" x14ac:dyDescent="0.2">
      <c r="A715" t="s">
        <v>708</v>
      </c>
      <c r="B715" t="s">
        <v>345</v>
      </c>
      <c r="C715" t="s">
        <v>512</v>
      </c>
      <c r="D715" t="s">
        <v>512</v>
      </c>
      <c r="E715" t="s">
        <v>142</v>
      </c>
      <c r="F715">
        <v>61662.505000000026</v>
      </c>
      <c r="G715">
        <v>-6300.4990000000016</v>
      </c>
      <c r="H715">
        <v>71906.21100000001</v>
      </c>
      <c r="I715">
        <v>96179.149999999951</v>
      </c>
      <c r="J715">
        <v>80110.672000000006</v>
      </c>
      <c r="K715">
        <v>70314.463000000018</v>
      </c>
      <c r="L715">
        <v>70314.463000000018</v>
      </c>
      <c r="M715">
        <v>72976.549000000014</v>
      </c>
      <c r="N715">
        <v>70314.463000000018</v>
      </c>
      <c r="O715">
        <v>70314.463000000032</v>
      </c>
      <c r="P715">
        <v>75106.479000000036</v>
      </c>
      <c r="Q715">
        <v>70314.463000000018</v>
      </c>
      <c r="R715">
        <v>60842.460000000006</v>
      </c>
      <c r="S715">
        <v>-6187.6500000000033</v>
      </c>
      <c r="T715">
        <v>72479.639999999985</v>
      </c>
      <c r="U715">
        <v>97762.409999999989</v>
      </c>
      <c r="V715">
        <v>80038.939999999988</v>
      </c>
      <c r="W715">
        <v>43143.430000000008</v>
      </c>
      <c r="X715">
        <v>0</v>
      </c>
      <c r="Y715">
        <v>0</v>
      </c>
      <c r="Z715">
        <v>0</v>
      </c>
      <c r="AA715">
        <v>0</v>
      </c>
      <c r="AB715">
        <v>0</v>
      </c>
      <c r="AC715" s="295">
        <v>0</v>
      </c>
      <c r="AD715">
        <f>SUMPRODUCT(DB_STProjectAcct[[#This Row],[Plan01]:[Plan12]],$F$14:$Q$14)/valUnits2</f>
        <v>373.872502</v>
      </c>
      <c r="AE715">
        <f>SUMPRODUCT(DB_STProjectAcct[[#This Row],[Act01]:[Act12]],$R$14:$AC$14)/valUnits2</f>
        <v>348.07923</v>
      </c>
      <c r="AF715">
        <f>DB_STProjectAcct[[#This Row],[Actual]]-DB_STProjectAcct[[#This Row],[Plan]]</f>
        <v>-25.793272000000002</v>
      </c>
      <c r="AG715">
        <f>IF(DB_STProjectAcct[[#This Row],[Plan]]&lt;&gt;0,DB_STProjectAcct[[#This Row],[Actual]]/DB_STProjectAcct[[#This Row],[Plan]],1.000011000011)</f>
        <v>0.93101051331129991</v>
      </c>
    </row>
    <row r="716" spans="1:33" hidden="1" x14ac:dyDescent="0.2">
      <c r="A716" t="s">
        <v>709</v>
      </c>
      <c r="B716" t="s">
        <v>345</v>
      </c>
      <c r="C716" t="s">
        <v>512</v>
      </c>
      <c r="D716" t="s">
        <v>512</v>
      </c>
      <c r="E716" t="s">
        <v>140</v>
      </c>
      <c r="F716">
        <v>1144.665</v>
      </c>
      <c r="G716">
        <v>9792.3590000000004</v>
      </c>
      <c r="H716">
        <v>1873.078</v>
      </c>
      <c r="I716">
        <v>19123.129999999997</v>
      </c>
      <c r="J716">
        <v>36687.411</v>
      </c>
      <c r="K716">
        <v>19248.045000000002</v>
      </c>
      <c r="L716">
        <v>19248.044999999998</v>
      </c>
      <c r="M716">
        <v>19248.045000000002</v>
      </c>
      <c r="N716">
        <v>19248.045000000002</v>
      </c>
      <c r="O716">
        <v>19248.044999999998</v>
      </c>
      <c r="P716">
        <v>19248.044999999998</v>
      </c>
      <c r="Q716">
        <v>19248.044999999995</v>
      </c>
      <c r="R716">
        <v>1127.49</v>
      </c>
      <c r="S716">
        <v>9772.7000000000007</v>
      </c>
      <c r="T716">
        <v>1862.54</v>
      </c>
      <c r="U716">
        <v>19122.560000000001</v>
      </c>
      <c r="V716">
        <v>36755.329999999994</v>
      </c>
      <c r="W716">
        <v>29119.289999999997</v>
      </c>
      <c r="X716">
        <v>2515</v>
      </c>
      <c r="Y716">
        <v>0</v>
      </c>
      <c r="Z716">
        <v>0</v>
      </c>
      <c r="AA716">
        <v>0</v>
      </c>
      <c r="AB716">
        <v>0</v>
      </c>
      <c r="AC716" s="297">
        <v>0</v>
      </c>
      <c r="AD716">
        <f>SUMPRODUCT(DB_STProjectAcct[[#This Row],[Plan01]:[Plan12]],$F$14:$Q$14)/valUnits2</f>
        <v>87.868687999999992</v>
      </c>
      <c r="AE716">
        <f>SUMPRODUCT(DB_STProjectAcct[[#This Row],[Act01]:[Act12]],$R$14:$AC$14)/valUnits2</f>
        <v>97.759909999999991</v>
      </c>
      <c r="AF716">
        <f>DB_STProjectAcct[[#This Row],[Actual]]-DB_STProjectAcct[[#This Row],[Plan]]</f>
        <v>9.8912219999999991</v>
      </c>
      <c r="AG716">
        <f>IF(DB_STProjectAcct[[#This Row],[Plan]]&lt;&gt;0,DB_STProjectAcct[[#This Row],[Actual]]/DB_STProjectAcct[[#This Row],[Plan]],1.000011000011)</f>
        <v>1.1125682222545532</v>
      </c>
    </row>
    <row r="717" spans="1:33" hidden="1" x14ac:dyDescent="0.2">
      <c r="A717" t="s">
        <v>710</v>
      </c>
      <c r="B717" t="s">
        <v>345</v>
      </c>
      <c r="C717" t="s">
        <v>512</v>
      </c>
      <c r="D717" t="s">
        <v>512</v>
      </c>
      <c r="E717" t="s">
        <v>236</v>
      </c>
      <c r="F717">
        <v>2911.2089999999998</v>
      </c>
      <c r="K717">
        <v>0</v>
      </c>
      <c r="R717">
        <v>2879.07</v>
      </c>
      <c r="W717">
        <v>147.1</v>
      </c>
      <c r="AC717" s="295"/>
      <c r="AD717">
        <f>SUMPRODUCT(DB_STProjectAcct[[#This Row],[Plan01]:[Plan12]],$F$14:$Q$14)/valUnits2</f>
        <v>2.9112089999999999</v>
      </c>
      <c r="AE717">
        <f>SUMPRODUCT(DB_STProjectAcct[[#This Row],[Act01]:[Act12]],$R$14:$AC$14)/valUnits2</f>
        <v>3.02617</v>
      </c>
      <c r="AF717">
        <f>DB_STProjectAcct[[#This Row],[Actual]]-DB_STProjectAcct[[#This Row],[Plan]]</f>
        <v>0.11496100000000009</v>
      </c>
      <c r="AG717">
        <f>IF(DB_STProjectAcct[[#This Row],[Plan]]&lt;&gt;0,DB_STProjectAcct[[#This Row],[Actual]]/DB_STProjectAcct[[#This Row],[Plan]],1.000011000011)</f>
        <v>1.0394890919889297</v>
      </c>
    </row>
    <row r="718" spans="1:33" hidden="1" x14ac:dyDescent="0.2">
      <c r="A718" t="s">
        <v>711</v>
      </c>
      <c r="B718" t="s">
        <v>345</v>
      </c>
      <c r="C718" t="s">
        <v>512</v>
      </c>
      <c r="D718" t="s">
        <v>512</v>
      </c>
      <c r="E718" t="s">
        <v>237</v>
      </c>
      <c r="F718">
        <v>0</v>
      </c>
      <c r="G718">
        <v>331</v>
      </c>
      <c r="H718">
        <v>83.5</v>
      </c>
      <c r="I718">
        <v>204.197</v>
      </c>
      <c r="J718">
        <v>378.24099999999999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331</v>
      </c>
      <c r="T718">
        <v>83.01</v>
      </c>
      <c r="U718">
        <v>204.82</v>
      </c>
      <c r="V718">
        <v>379.05000000000007</v>
      </c>
      <c r="W718">
        <v>120.50999999999999</v>
      </c>
      <c r="X718">
        <v>0</v>
      </c>
      <c r="Y718">
        <v>0</v>
      </c>
      <c r="Z718">
        <v>0</v>
      </c>
      <c r="AA718">
        <v>0</v>
      </c>
      <c r="AB718">
        <v>0</v>
      </c>
      <c r="AC718" s="297">
        <v>0</v>
      </c>
      <c r="AD718">
        <f>SUMPRODUCT(DB_STProjectAcct[[#This Row],[Plan01]:[Plan12]],$F$14:$Q$14)/valUnits2</f>
        <v>0.99693799999999999</v>
      </c>
      <c r="AE718">
        <f>SUMPRODUCT(DB_STProjectAcct[[#This Row],[Act01]:[Act12]],$R$14:$AC$14)/valUnits2</f>
        <v>1.1183899999999998</v>
      </c>
      <c r="AF718">
        <f>DB_STProjectAcct[[#This Row],[Actual]]-DB_STProjectAcct[[#This Row],[Plan]]</f>
        <v>0.12145199999999978</v>
      </c>
      <c r="AG718">
        <f>IF(DB_STProjectAcct[[#This Row],[Plan]]&lt;&gt;0,DB_STProjectAcct[[#This Row],[Actual]]/DB_STProjectAcct[[#This Row],[Plan]],1.000011000011)</f>
        <v>1.1218250282364599</v>
      </c>
    </row>
    <row r="719" spans="1:33" hidden="1" x14ac:dyDescent="0.2">
      <c r="A719" t="s">
        <v>712</v>
      </c>
      <c r="B719" t="s">
        <v>345</v>
      </c>
      <c r="C719" t="s">
        <v>512</v>
      </c>
      <c r="D719" t="s">
        <v>512</v>
      </c>
      <c r="E719" t="s">
        <v>141</v>
      </c>
      <c r="F719">
        <v>1.2809999999999999</v>
      </c>
      <c r="G719">
        <v>271.18</v>
      </c>
      <c r="H719">
        <v>3167.9230000000002</v>
      </c>
      <c r="I719">
        <v>2599.3519999999999</v>
      </c>
      <c r="J719">
        <v>766.505</v>
      </c>
      <c r="K719">
        <v>15265.523000000001</v>
      </c>
      <c r="L719">
        <v>2222.4739999999997</v>
      </c>
      <c r="M719">
        <v>2222.4739999999997</v>
      </c>
      <c r="N719">
        <v>2222.4740000000002</v>
      </c>
      <c r="O719">
        <v>2222.4739999999997</v>
      </c>
      <c r="P719">
        <v>2222.4740000000002</v>
      </c>
      <c r="Q719">
        <v>2222.4739999999997</v>
      </c>
      <c r="R719">
        <v>1.25</v>
      </c>
      <c r="S719">
        <v>274.5</v>
      </c>
      <c r="T719">
        <v>3196.41</v>
      </c>
      <c r="U719">
        <v>2653.2099999999996</v>
      </c>
      <c r="V719">
        <v>763.91</v>
      </c>
      <c r="W719">
        <v>1523.1600000000003</v>
      </c>
      <c r="X719">
        <v>0</v>
      </c>
      <c r="Y719">
        <v>0</v>
      </c>
      <c r="Z719">
        <v>0</v>
      </c>
      <c r="AA719">
        <v>0</v>
      </c>
      <c r="AB719">
        <v>0</v>
      </c>
      <c r="AC719" s="295">
        <v>0</v>
      </c>
      <c r="AD719">
        <f>SUMPRODUCT(DB_STProjectAcct[[#This Row],[Plan01]:[Plan12]],$F$14:$Q$14)/valUnits2</f>
        <v>22.071764000000002</v>
      </c>
      <c r="AE719">
        <f>SUMPRODUCT(DB_STProjectAcct[[#This Row],[Act01]:[Act12]],$R$14:$AC$14)/valUnits2</f>
        <v>8.4124399999999984</v>
      </c>
      <c r="AF719">
        <f>DB_STProjectAcct[[#This Row],[Actual]]-DB_STProjectAcct[[#This Row],[Plan]]</f>
        <v>-13.659324000000003</v>
      </c>
      <c r="AG719">
        <f>IF(DB_STProjectAcct[[#This Row],[Plan]]&lt;&gt;0,DB_STProjectAcct[[#This Row],[Actual]]/DB_STProjectAcct[[#This Row],[Plan]],1.000011000011)</f>
        <v>0.38114035652066586</v>
      </c>
    </row>
    <row r="720" spans="1:33" hidden="1" x14ac:dyDescent="0.2">
      <c r="A720" t="s">
        <v>713</v>
      </c>
      <c r="B720" t="s">
        <v>345</v>
      </c>
      <c r="C720" t="s">
        <v>513</v>
      </c>
      <c r="D720" t="s">
        <v>513</v>
      </c>
      <c r="E720" t="s">
        <v>143</v>
      </c>
      <c r="AC720" s="297"/>
      <c r="AD720">
        <f>SUMPRODUCT(DB_STProjectAcct[[#This Row],[Plan01]:[Plan12]],$F$14:$Q$14)/valUnits2</f>
        <v>0</v>
      </c>
      <c r="AE720">
        <f>SUMPRODUCT(DB_STProjectAcct[[#This Row],[Act01]:[Act12]],$R$14:$AC$14)/valUnits2</f>
        <v>0</v>
      </c>
      <c r="AF720">
        <f>DB_STProjectAcct[[#This Row],[Actual]]-DB_STProjectAcct[[#This Row],[Plan]]</f>
        <v>0</v>
      </c>
      <c r="AG720">
        <f>IF(DB_STProjectAcct[[#This Row],[Plan]]&lt;&gt;0,DB_STProjectAcct[[#This Row],[Actual]]/DB_STProjectAcct[[#This Row],[Plan]],1.000011000011)</f>
        <v>1.0000110000110001</v>
      </c>
    </row>
    <row r="721" spans="1:33" hidden="1" x14ac:dyDescent="0.2">
      <c r="A721" t="s">
        <v>714</v>
      </c>
      <c r="B721" t="s">
        <v>345</v>
      </c>
      <c r="C721" t="s">
        <v>513</v>
      </c>
      <c r="D721" t="s">
        <v>513</v>
      </c>
      <c r="E721" t="s">
        <v>235</v>
      </c>
      <c r="H721">
        <v>44.423000000000002</v>
      </c>
      <c r="I721">
        <v>0</v>
      </c>
      <c r="J721">
        <v>687.40200000000004</v>
      </c>
      <c r="T721">
        <v>44.42</v>
      </c>
      <c r="U721">
        <v>0</v>
      </c>
      <c r="V721">
        <v>681.48</v>
      </c>
      <c r="AC721" s="295"/>
      <c r="AD721">
        <f>SUMPRODUCT(DB_STProjectAcct[[#This Row],[Plan01]:[Plan12]],$F$14:$Q$14)/valUnits2</f>
        <v>0.73182500000000006</v>
      </c>
      <c r="AE721">
        <f>SUMPRODUCT(DB_STProjectAcct[[#This Row],[Act01]:[Act12]],$R$14:$AC$14)/valUnits2</f>
        <v>0.72589999999999999</v>
      </c>
      <c r="AF721">
        <f>DB_STProjectAcct[[#This Row],[Actual]]-DB_STProjectAcct[[#This Row],[Plan]]</f>
        <v>-5.9250000000000691E-3</v>
      </c>
      <c r="AG721">
        <f>IF(DB_STProjectAcct[[#This Row],[Plan]]&lt;&gt;0,DB_STProjectAcct[[#This Row],[Actual]]/DB_STProjectAcct[[#This Row],[Plan]],1.000011000011)</f>
        <v>0.99190380213848928</v>
      </c>
    </row>
    <row r="722" spans="1:33" hidden="1" x14ac:dyDescent="0.2">
      <c r="A722" t="s">
        <v>715</v>
      </c>
      <c r="B722" t="s">
        <v>345</v>
      </c>
      <c r="C722" t="s">
        <v>513</v>
      </c>
      <c r="D722" t="s">
        <v>513</v>
      </c>
      <c r="E722" t="s">
        <v>144</v>
      </c>
      <c r="AC722" s="297"/>
      <c r="AD722">
        <f>SUMPRODUCT(DB_STProjectAcct[[#This Row],[Plan01]:[Plan12]],$F$14:$Q$14)/valUnits2</f>
        <v>0</v>
      </c>
      <c r="AE722">
        <f>SUMPRODUCT(DB_STProjectAcct[[#This Row],[Act01]:[Act12]],$R$14:$AC$14)/valUnits2</f>
        <v>0</v>
      </c>
      <c r="AF722">
        <f>DB_STProjectAcct[[#This Row],[Actual]]-DB_STProjectAcct[[#This Row],[Plan]]</f>
        <v>0</v>
      </c>
      <c r="AG722">
        <f>IF(DB_STProjectAcct[[#This Row],[Plan]]&lt;&gt;0,DB_STProjectAcct[[#This Row],[Actual]]/DB_STProjectAcct[[#This Row],[Plan]],1.000011000011)</f>
        <v>1.0000110000110001</v>
      </c>
    </row>
    <row r="723" spans="1:33" hidden="1" x14ac:dyDescent="0.2">
      <c r="A723" t="s">
        <v>716</v>
      </c>
      <c r="B723" t="s">
        <v>345</v>
      </c>
      <c r="C723" t="s">
        <v>513</v>
      </c>
      <c r="D723" t="s">
        <v>513</v>
      </c>
      <c r="E723" t="s">
        <v>142</v>
      </c>
      <c r="AC723" s="295"/>
      <c r="AD723">
        <f>SUMPRODUCT(DB_STProjectAcct[[#This Row],[Plan01]:[Plan12]],$F$14:$Q$14)/valUnits2</f>
        <v>0</v>
      </c>
      <c r="AE723">
        <f>SUMPRODUCT(DB_STProjectAcct[[#This Row],[Act01]:[Act12]],$R$14:$AC$14)/valUnits2</f>
        <v>0</v>
      </c>
      <c r="AF723">
        <f>DB_STProjectAcct[[#This Row],[Actual]]-DB_STProjectAcct[[#This Row],[Plan]]</f>
        <v>0</v>
      </c>
      <c r="AG723">
        <f>IF(DB_STProjectAcct[[#This Row],[Plan]]&lt;&gt;0,DB_STProjectAcct[[#This Row],[Actual]]/DB_STProjectAcct[[#This Row],[Plan]],1.000011000011)</f>
        <v>1.0000110000110001</v>
      </c>
    </row>
    <row r="724" spans="1:33" hidden="1" x14ac:dyDescent="0.2">
      <c r="A724" t="s">
        <v>717</v>
      </c>
      <c r="B724" t="s">
        <v>345</v>
      </c>
      <c r="C724" t="s">
        <v>513</v>
      </c>
      <c r="D724" t="s">
        <v>513</v>
      </c>
      <c r="E724" t="s">
        <v>140</v>
      </c>
      <c r="F724">
        <v>383.459</v>
      </c>
      <c r="G724">
        <v>1554.152</v>
      </c>
      <c r="H724">
        <v>3261.7560000000003</v>
      </c>
      <c r="I724">
        <v>17247.447000000004</v>
      </c>
      <c r="J724">
        <v>1721.9430000000002</v>
      </c>
      <c r="R724">
        <v>383.46</v>
      </c>
      <c r="S724">
        <v>1554.14</v>
      </c>
      <c r="T724">
        <v>3243.6499999999996</v>
      </c>
      <c r="U724">
        <v>13495.270000000002</v>
      </c>
      <c r="V724">
        <v>1855.2800000000002</v>
      </c>
      <c r="AC724" s="297"/>
      <c r="AD724">
        <f>SUMPRODUCT(DB_STProjectAcct[[#This Row],[Plan01]:[Plan12]],$F$14:$Q$14)/valUnits2</f>
        <v>24.168757000000006</v>
      </c>
      <c r="AE724">
        <f>SUMPRODUCT(DB_STProjectAcct[[#This Row],[Act01]:[Act12]],$R$14:$AC$14)/valUnits2</f>
        <v>20.531800000000004</v>
      </c>
      <c r="AF724">
        <f>DB_STProjectAcct[[#This Row],[Actual]]-DB_STProjectAcct[[#This Row],[Plan]]</f>
        <v>-3.6369570000000024</v>
      </c>
      <c r="AG724">
        <f>IF(DB_STProjectAcct[[#This Row],[Plan]]&lt;&gt;0,DB_STProjectAcct[[#This Row],[Actual]]/DB_STProjectAcct[[#This Row],[Plan]],1.000011000011)</f>
        <v>0.8495182437392208</v>
      </c>
    </row>
    <row r="725" spans="1:33" hidden="1" x14ac:dyDescent="0.2">
      <c r="A725" t="s">
        <v>718</v>
      </c>
      <c r="B725" t="s">
        <v>345</v>
      </c>
      <c r="C725" t="s">
        <v>513</v>
      </c>
      <c r="D725" t="s">
        <v>513</v>
      </c>
      <c r="E725" t="s">
        <v>236</v>
      </c>
      <c r="H725">
        <v>826.154</v>
      </c>
      <c r="I725">
        <v>0</v>
      </c>
      <c r="T725">
        <v>826.15</v>
      </c>
      <c r="U725">
        <v>0</v>
      </c>
      <c r="AC725" s="295"/>
      <c r="AD725">
        <f>SUMPRODUCT(DB_STProjectAcct[[#This Row],[Plan01]:[Plan12]],$F$14:$Q$14)/valUnits2</f>
        <v>0.82615399999999994</v>
      </c>
      <c r="AE725">
        <f>SUMPRODUCT(DB_STProjectAcct[[#This Row],[Act01]:[Act12]],$R$14:$AC$14)/valUnits2</f>
        <v>0.82614999999999994</v>
      </c>
      <c r="AF725">
        <f>DB_STProjectAcct[[#This Row],[Actual]]-DB_STProjectAcct[[#This Row],[Plan]]</f>
        <v>-4.0000000000040004E-6</v>
      </c>
      <c r="AG725">
        <f>IF(DB_STProjectAcct[[#This Row],[Plan]]&lt;&gt;0,DB_STProjectAcct[[#This Row],[Actual]]/DB_STProjectAcct[[#This Row],[Plan]],1.000011000011)</f>
        <v>0.99999515828768004</v>
      </c>
    </row>
    <row r="726" spans="1:33" hidden="1" x14ac:dyDescent="0.2">
      <c r="A726" t="s">
        <v>719</v>
      </c>
      <c r="B726" t="s">
        <v>345</v>
      </c>
      <c r="C726" t="s">
        <v>513</v>
      </c>
      <c r="D726" t="s">
        <v>513</v>
      </c>
      <c r="E726" t="s">
        <v>237</v>
      </c>
      <c r="J726">
        <v>0</v>
      </c>
      <c r="V726">
        <v>0</v>
      </c>
      <c r="AC726" s="297"/>
      <c r="AD726">
        <f>SUMPRODUCT(DB_STProjectAcct[[#This Row],[Plan01]:[Plan12]],$F$14:$Q$14)/valUnits2</f>
        <v>0</v>
      </c>
      <c r="AE726">
        <f>SUMPRODUCT(DB_STProjectAcct[[#This Row],[Act01]:[Act12]],$R$14:$AC$14)/valUnits2</f>
        <v>0</v>
      </c>
      <c r="AF726">
        <f>DB_STProjectAcct[[#This Row],[Actual]]-DB_STProjectAcct[[#This Row],[Plan]]</f>
        <v>0</v>
      </c>
      <c r="AG726">
        <f>IF(DB_STProjectAcct[[#This Row],[Plan]]&lt;&gt;0,DB_STProjectAcct[[#This Row],[Actual]]/DB_STProjectAcct[[#This Row],[Plan]],1.000011000011)</f>
        <v>1.0000110000110001</v>
      </c>
    </row>
    <row r="727" spans="1:33" hidden="1" x14ac:dyDescent="0.2">
      <c r="A727" t="s">
        <v>720</v>
      </c>
      <c r="B727" t="s">
        <v>345</v>
      </c>
      <c r="C727" t="s">
        <v>513</v>
      </c>
      <c r="D727" t="s">
        <v>513</v>
      </c>
      <c r="E727" t="s">
        <v>141</v>
      </c>
      <c r="F727">
        <v>83.542000000000002</v>
      </c>
      <c r="G727">
        <v>86.034000000000006</v>
      </c>
      <c r="H727">
        <v>1270.5949999999998</v>
      </c>
      <c r="I727">
        <v>16.885999999999999</v>
      </c>
      <c r="J727">
        <v>0</v>
      </c>
      <c r="R727">
        <v>0</v>
      </c>
      <c r="S727">
        <v>1.27</v>
      </c>
      <c r="T727">
        <v>1184.2</v>
      </c>
      <c r="U727">
        <v>16.98</v>
      </c>
      <c r="V727">
        <v>0</v>
      </c>
      <c r="AC727" s="295"/>
      <c r="AD727">
        <f>SUMPRODUCT(DB_STProjectAcct[[#This Row],[Plan01]:[Plan12]],$F$14:$Q$14)/valUnits2</f>
        <v>1.4570569999999998</v>
      </c>
      <c r="AE727">
        <f>SUMPRODUCT(DB_STProjectAcct[[#This Row],[Act01]:[Act12]],$R$14:$AC$14)/valUnits2</f>
        <v>1.20245</v>
      </c>
      <c r="AF727">
        <f>DB_STProjectAcct[[#This Row],[Actual]]-DB_STProjectAcct[[#This Row],[Plan]]</f>
        <v>-0.25460699999999981</v>
      </c>
      <c r="AG727">
        <f>IF(DB_STProjectAcct[[#This Row],[Plan]]&lt;&gt;0,DB_STProjectAcct[[#This Row],[Actual]]/DB_STProjectAcct[[#This Row],[Plan]],1.000011000011)</f>
        <v>0.8252594098926811</v>
      </c>
    </row>
    <row r="728" spans="1:33" hidden="1" x14ac:dyDescent="0.2">
      <c r="A728" t="s">
        <v>721</v>
      </c>
      <c r="B728" t="s">
        <v>345</v>
      </c>
      <c r="C728" t="s">
        <v>514</v>
      </c>
      <c r="D728" t="s">
        <v>514</v>
      </c>
      <c r="E728" t="s">
        <v>143</v>
      </c>
      <c r="AC728" s="297"/>
      <c r="AD728">
        <f>SUMPRODUCT(DB_STProjectAcct[[#This Row],[Plan01]:[Plan12]],$F$14:$Q$14)/valUnits2</f>
        <v>0</v>
      </c>
      <c r="AE728">
        <f>SUMPRODUCT(DB_STProjectAcct[[#This Row],[Act01]:[Act12]],$R$14:$AC$14)/valUnits2</f>
        <v>0</v>
      </c>
      <c r="AF728">
        <f>DB_STProjectAcct[[#This Row],[Actual]]-DB_STProjectAcct[[#This Row],[Plan]]</f>
        <v>0</v>
      </c>
      <c r="AG728">
        <f>IF(DB_STProjectAcct[[#This Row],[Plan]]&lt;&gt;0,DB_STProjectAcct[[#This Row],[Actual]]/DB_STProjectAcct[[#This Row],[Plan]],1.000011000011)</f>
        <v>1.0000110000110001</v>
      </c>
    </row>
    <row r="729" spans="1:33" hidden="1" x14ac:dyDescent="0.2">
      <c r="A729" t="s">
        <v>722</v>
      </c>
      <c r="B729" t="s">
        <v>345</v>
      </c>
      <c r="C729" t="s">
        <v>514</v>
      </c>
      <c r="D729" t="s">
        <v>514</v>
      </c>
      <c r="E729" t="s">
        <v>235</v>
      </c>
      <c r="AC729" s="295"/>
      <c r="AD729">
        <f>SUMPRODUCT(DB_STProjectAcct[[#This Row],[Plan01]:[Plan12]],$F$14:$Q$14)/valUnits2</f>
        <v>0</v>
      </c>
      <c r="AE729">
        <f>SUMPRODUCT(DB_STProjectAcct[[#This Row],[Act01]:[Act12]],$R$14:$AC$14)/valUnits2</f>
        <v>0</v>
      </c>
      <c r="AF729">
        <f>DB_STProjectAcct[[#This Row],[Actual]]-DB_STProjectAcct[[#This Row],[Plan]]</f>
        <v>0</v>
      </c>
      <c r="AG729">
        <f>IF(DB_STProjectAcct[[#This Row],[Plan]]&lt;&gt;0,DB_STProjectAcct[[#This Row],[Actual]]/DB_STProjectAcct[[#This Row],[Plan]],1.000011000011)</f>
        <v>1.0000110000110001</v>
      </c>
    </row>
    <row r="730" spans="1:33" hidden="1" x14ac:dyDescent="0.2">
      <c r="A730" t="s">
        <v>723</v>
      </c>
      <c r="B730" t="s">
        <v>345</v>
      </c>
      <c r="C730" t="s">
        <v>514</v>
      </c>
      <c r="D730" t="s">
        <v>514</v>
      </c>
      <c r="E730" t="s">
        <v>144</v>
      </c>
      <c r="AC730" s="297"/>
      <c r="AD730">
        <f>SUMPRODUCT(DB_STProjectAcct[[#This Row],[Plan01]:[Plan12]],$F$14:$Q$14)/valUnits2</f>
        <v>0</v>
      </c>
      <c r="AE730">
        <f>SUMPRODUCT(DB_STProjectAcct[[#This Row],[Act01]:[Act12]],$R$14:$AC$14)/valUnits2</f>
        <v>0</v>
      </c>
      <c r="AF730">
        <f>DB_STProjectAcct[[#This Row],[Actual]]-DB_STProjectAcct[[#This Row],[Plan]]</f>
        <v>0</v>
      </c>
      <c r="AG730">
        <f>IF(DB_STProjectAcct[[#This Row],[Plan]]&lt;&gt;0,DB_STProjectAcct[[#This Row],[Actual]]/DB_STProjectAcct[[#This Row],[Plan]],1.000011000011)</f>
        <v>1.0000110000110001</v>
      </c>
    </row>
    <row r="731" spans="1:33" hidden="1" x14ac:dyDescent="0.2">
      <c r="A731" t="s">
        <v>724</v>
      </c>
      <c r="B731" t="s">
        <v>345</v>
      </c>
      <c r="C731" t="s">
        <v>514</v>
      </c>
      <c r="D731" t="s">
        <v>514</v>
      </c>
      <c r="E731" t="s">
        <v>142</v>
      </c>
      <c r="AC731" s="295"/>
      <c r="AD731">
        <f>SUMPRODUCT(DB_STProjectAcct[[#This Row],[Plan01]:[Plan12]],$F$14:$Q$14)/valUnits2</f>
        <v>0</v>
      </c>
      <c r="AE731">
        <f>SUMPRODUCT(DB_STProjectAcct[[#This Row],[Act01]:[Act12]],$R$14:$AC$14)/valUnits2</f>
        <v>0</v>
      </c>
      <c r="AF731">
        <f>DB_STProjectAcct[[#This Row],[Actual]]-DB_STProjectAcct[[#This Row],[Plan]]</f>
        <v>0</v>
      </c>
      <c r="AG731">
        <f>IF(DB_STProjectAcct[[#This Row],[Plan]]&lt;&gt;0,DB_STProjectAcct[[#This Row],[Actual]]/DB_STProjectAcct[[#This Row],[Plan]],1.000011000011)</f>
        <v>1.0000110000110001</v>
      </c>
    </row>
    <row r="732" spans="1:33" hidden="1" x14ac:dyDescent="0.2">
      <c r="A732" t="s">
        <v>725</v>
      </c>
      <c r="B732" t="s">
        <v>345</v>
      </c>
      <c r="C732" t="s">
        <v>514</v>
      </c>
      <c r="D732" t="s">
        <v>514</v>
      </c>
      <c r="E732" t="s">
        <v>140</v>
      </c>
      <c r="H732">
        <v>942.30700000000002</v>
      </c>
      <c r="I732">
        <v>11574.745000000001</v>
      </c>
      <c r="T732">
        <v>936.19</v>
      </c>
      <c r="U732">
        <v>11651.449999999999</v>
      </c>
      <c r="AC732" s="297"/>
      <c r="AD732">
        <f>SUMPRODUCT(DB_STProjectAcct[[#This Row],[Plan01]:[Plan12]],$F$14:$Q$14)/valUnits2</f>
        <v>12.517052000000001</v>
      </c>
      <c r="AE732">
        <f>SUMPRODUCT(DB_STProjectAcct[[#This Row],[Act01]:[Act12]],$R$14:$AC$14)/valUnits2</f>
        <v>12.587639999999999</v>
      </c>
      <c r="AF732">
        <f>DB_STProjectAcct[[#This Row],[Actual]]-DB_STProjectAcct[[#This Row],[Plan]]</f>
        <v>7.0587999999997209E-2</v>
      </c>
      <c r="AG732">
        <f>IF(DB_STProjectAcct[[#This Row],[Plan]]&lt;&gt;0,DB_STProjectAcct[[#This Row],[Actual]]/DB_STProjectAcct[[#This Row],[Plan]],1.000011000011)</f>
        <v>1.0056393470283576</v>
      </c>
    </row>
    <row r="733" spans="1:33" hidden="1" x14ac:dyDescent="0.2">
      <c r="A733" t="s">
        <v>726</v>
      </c>
      <c r="B733" t="s">
        <v>345</v>
      </c>
      <c r="C733" t="s">
        <v>514</v>
      </c>
      <c r="D733" t="s">
        <v>514</v>
      </c>
      <c r="E733" t="s">
        <v>236</v>
      </c>
      <c r="AC733" s="295"/>
      <c r="AD733">
        <f>SUMPRODUCT(DB_STProjectAcct[[#This Row],[Plan01]:[Plan12]],$F$14:$Q$14)/valUnits2</f>
        <v>0</v>
      </c>
      <c r="AE733">
        <f>SUMPRODUCT(DB_STProjectAcct[[#This Row],[Act01]:[Act12]],$R$14:$AC$14)/valUnits2</f>
        <v>0</v>
      </c>
      <c r="AF733">
        <f>DB_STProjectAcct[[#This Row],[Actual]]-DB_STProjectAcct[[#This Row],[Plan]]</f>
        <v>0</v>
      </c>
      <c r="AG733">
        <f>IF(DB_STProjectAcct[[#This Row],[Plan]]&lt;&gt;0,DB_STProjectAcct[[#This Row],[Actual]]/DB_STProjectAcct[[#This Row],[Plan]],1.000011000011)</f>
        <v>1.0000110000110001</v>
      </c>
    </row>
    <row r="734" spans="1:33" hidden="1" x14ac:dyDescent="0.2">
      <c r="A734" t="s">
        <v>727</v>
      </c>
      <c r="B734" t="s">
        <v>345</v>
      </c>
      <c r="C734" t="s">
        <v>514</v>
      </c>
      <c r="D734" t="s">
        <v>514</v>
      </c>
      <c r="E734" t="s">
        <v>237</v>
      </c>
      <c r="AC734" s="297"/>
      <c r="AD734">
        <f>SUMPRODUCT(DB_STProjectAcct[[#This Row],[Plan01]:[Plan12]],$F$14:$Q$14)/valUnits2</f>
        <v>0</v>
      </c>
      <c r="AE734">
        <f>SUMPRODUCT(DB_STProjectAcct[[#This Row],[Act01]:[Act12]],$R$14:$AC$14)/valUnits2</f>
        <v>0</v>
      </c>
      <c r="AF734">
        <f>DB_STProjectAcct[[#This Row],[Actual]]-DB_STProjectAcct[[#This Row],[Plan]]</f>
        <v>0</v>
      </c>
      <c r="AG734">
        <f>IF(DB_STProjectAcct[[#This Row],[Plan]]&lt;&gt;0,DB_STProjectAcct[[#This Row],[Actual]]/DB_STProjectAcct[[#This Row],[Plan]],1.000011000011)</f>
        <v>1.0000110000110001</v>
      </c>
    </row>
    <row r="735" spans="1:33" hidden="1" x14ac:dyDescent="0.2">
      <c r="A735" t="s">
        <v>728</v>
      </c>
      <c r="B735" t="s">
        <v>345</v>
      </c>
      <c r="C735" t="s">
        <v>514</v>
      </c>
      <c r="D735" t="s">
        <v>514</v>
      </c>
      <c r="E735" t="s">
        <v>141</v>
      </c>
      <c r="AC735" s="295"/>
      <c r="AD735">
        <f>SUMPRODUCT(DB_STProjectAcct[[#This Row],[Plan01]:[Plan12]],$F$14:$Q$14)/valUnits2</f>
        <v>0</v>
      </c>
      <c r="AE735">
        <f>SUMPRODUCT(DB_STProjectAcct[[#This Row],[Act01]:[Act12]],$R$14:$AC$14)/valUnits2</f>
        <v>0</v>
      </c>
      <c r="AF735">
        <f>DB_STProjectAcct[[#This Row],[Actual]]-DB_STProjectAcct[[#This Row],[Plan]]</f>
        <v>0</v>
      </c>
      <c r="AG735">
        <f>IF(DB_STProjectAcct[[#This Row],[Plan]]&lt;&gt;0,DB_STProjectAcct[[#This Row],[Actual]]/DB_STProjectAcct[[#This Row],[Plan]],1.000011000011)</f>
        <v>1.0000110000110001</v>
      </c>
    </row>
    <row r="736" spans="1:33" hidden="1" x14ac:dyDescent="0.2">
      <c r="A736" t="s">
        <v>729</v>
      </c>
      <c r="B736" t="s">
        <v>346</v>
      </c>
      <c r="C736" t="s">
        <v>515</v>
      </c>
      <c r="D736" t="s">
        <v>515</v>
      </c>
      <c r="E736" t="s">
        <v>143</v>
      </c>
      <c r="F736">
        <v>0</v>
      </c>
      <c r="H736">
        <v>118.50700000000001</v>
      </c>
      <c r="I736">
        <v>0</v>
      </c>
      <c r="J736">
        <v>20.068999999999999</v>
      </c>
      <c r="K736">
        <v>1165.2350000000001</v>
      </c>
      <c r="L736">
        <v>64.296999999999997</v>
      </c>
      <c r="M736">
        <v>64.296999999999997</v>
      </c>
      <c r="N736">
        <v>64.296999999999997</v>
      </c>
      <c r="O736">
        <v>64.296999999999997</v>
      </c>
      <c r="P736">
        <v>64.296999999999997</v>
      </c>
      <c r="R736">
        <v>0</v>
      </c>
      <c r="T736">
        <v>119.58</v>
      </c>
      <c r="U736">
        <v>0</v>
      </c>
      <c r="V736">
        <v>20.399999999999999</v>
      </c>
      <c r="W736">
        <v>240.92000000000002</v>
      </c>
      <c r="X736">
        <v>0</v>
      </c>
      <c r="Y736">
        <v>0</v>
      </c>
      <c r="Z736">
        <v>0</v>
      </c>
      <c r="AA736">
        <v>0</v>
      </c>
      <c r="AB736">
        <v>0</v>
      </c>
      <c r="AC736" s="297"/>
      <c r="AD736">
        <f>SUMPRODUCT(DB_STProjectAcct[[#This Row],[Plan01]:[Plan12]],$F$14:$Q$14)/valUnits2</f>
        <v>1.3038110000000001</v>
      </c>
      <c r="AE736">
        <f>SUMPRODUCT(DB_STProjectAcct[[#This Row],[Act01]:[Act12]],$R$14:$AC$14)/valUnits2</f>
        <v>0.38089999999999996</v>
      </c>
      <c r="AF736">
        <f>DB_STProjectAcct[[#This Row],[Actual]]-DB_STProjectAcct[[#This Row],[Plan]]</f>
        <v>-0.92291100000000004</v>
      </c>
      <c r="AG736">
        <f>IF(DB_STProjectAcct[[#This Row],[Plan]]&lt;&gt;0,DB_STProjectAcct[[#This Row],[Actual]]/DB_STProjectAcct[[#This Row],[Plan]],1.000011000011)</f>
        <v>0.29214356988858042</v>
      </c>
    </row>
    <row r="737" spans="1:33" hidden="1" x14ac:dyDescent="0.2">
      <c r="A737" t="s">
        <v>730</v>
      </c>
      <c r="B737" t="s">
        <v>346</v>
      </c>
      <c r="C737" t="s">
        <v>515</v>
      </c>
      <c r="D737" t="s">
        <v>515</v>
      </c>
      <c r="E737" t="s">
        <v>235</v>
      </c>
      <c r="F737">
        <v>0</v>
      </c>
      <c r="H737">
        <v>10.483000000000001</v>
      </c>
      <c r="I737">
        <v>0</v>
      </c>
      <c r="J737">
        <v>0</v>
      </c>
      <c r="K737">
        <v>61.29</v>
      </c>
      <c r="R737">
        <v>0</v>
      </c>
      <c r="T737">
        <v>10.69</v>
      </c>
      <c r="U737">
        <v>0</v>
      </c>
      <c r="V737">
        <v>0</v>
      </c>
      <c r="W737">
        <v>174.71</v>
      </c>
      <c r="AC737" s="295"/>
      <c r="AD737">
        <f>SUMPRODUCT(DB_STProjectAcct[[#This Row],[Plan01]:[Plan12]],$F$14:$Q$14)/valUnits2</f>
        <v>7.177299999999999E-2</v>
      </c>
      <c r="AE737">
        <f>SUMPRODUCT(DB_STProjectAcct[[#This Row],[Act01]:[Act12]],$R$14:$AC$14)/valUnits2</f>
        <v>0.18540000000000001</v>
      </c>
      <c r="AF737">
        <f>DB_STProjectAcct[[#This Row],[Actual]]-DB_STProjectAcct[[#This Row],[Plan]]</f>
        <v>0.11362700000000002</v>
      </c>
      <c r="AG737">
        <f>IF(DB_STProjectAcct[[#This Row],[Plan]]&lt;&gt;0,DB_STProjectAcct[[#This Row],[Actual]]/DB_STProjectAcct[[#This Row],[Plan]],1.000011000011)</f>
        <v>2.5831440792498577</v>
      </c>
    </row>
    <row r="738" spans="1:33" hidden="1" x14ac:dyDescent="0.2">
      <c r="A738" t="s">
        <v>731</v>
      </c>
      <c r="B738" t="s">
        <v>346</v>
      </c>
      <c r="C738" t="s">
        <v>515</v>
      </c>
      <c r="D738" t="s">
        <v>515</v>
      </c>
      <c r="E738" t="s">
        <v>144</v>
      </c>
      <c r="AC738" s="297"/>
      <c r="AD738">
        <f>SUMPRODUCT(DB_STProjectAcct[[#This Row],[Plan01]:[Plan12]],$F$14:$Q$14)/valUnits2</f>
        <v>0</v>
      </c>
      <c r="AE738">
        <f>SUMPRODUCT(DB_STProjectAcct[[#This Row],[Act01]:[Act12]],$R$14:$AC$14)/valUnits2</f>
        <v>0</v>
      </c>
      <c r="AF738">
        <f>DB_STProjectAcct[[#This Row],[Actual]]-DB_STProjectAcct[[#This Row],[Plan]]</f>
        <v>0</v>
      </c>
      <c r="AG738">
        <f>IF(DB_STProjectAcct[[#This Row],[Plan]]&lt;&gt;0,DB_STProjectAcct[[#This Row],[Actual]]/DB_STProjectAcct[[#This Row],[Plan]],1.000011000011)</f>
        <v>1.0000110000110001</v>
      </c>
    </row>
    <row r="739" spans="1:33" hidden="1" x14ac:dyDescent="0.2">
      <c r="A739" t="s">
        <v>732</v>
      </c>
      <c r="B739" t="s">
        <v>346</v>
      </c>
      <c r="C739" t="s">
        <v>515</v>
      </c>
      <c r="D739" t="s">
        <v>515</v>
      </c>
      <c r="E739" t="s">
        <v>142</v>
      </c>
      <c r="F739">
        <v>145.3410000000045</v>
      </c>
      <c r="G739">
        <v>0</v>
      </c>
      <c r="H739">
        <v>0</v>
      </c>
      <c r="I739">
        <v>32760.712</v>
      </c>
      <c r="J739">
        <v>-4.5474735088646412E-13</v>
      </c>
      <c r="K739">
        <v>26905.763999999999</v>
      </c>
      <c r="L739">
        <v>22347.012000000002</v>
      </c>
      <c r="M739">
        <v>24605.393</v>
      </c>
      <c r="N739">
        <v>28248.804</v>
      </c>
      <c r="O739">
        <v>28106.383999999998</v>
      </c>
      <c r="P739">
        <v>28307.957000000002</v>
      </c>
      <c r="R739">
        <v>143.18999999999505</v>
      </c>
      <c r="S739">
        <v>0</v>
      </c>
      <c r="T739">
        <v>0</v>
      </c>
      <c r="U739">
        <v>32629.68</v>
      </c>
      <c r="V739">
        <v>0</v>
      </c>
      <c r="W739">
        <v>93852.580000000016</v>
      </c>
      <c r="X739">
        <v>0</v>
      </c>
      <c r="Y739">
        <v>0</v>
      </c>
      <c r="Z739">
        <v>0</v>
      </c>
      <c r="AA739">
        <v>0</v>
      </c>
      <c r="AB739">
        <v>0</v>
      </c>
      <c r="AC739" s="295"/>
      <c r="AD739">
        <f>SUMPRODUCT(DB_STProjectAcct[[#This Row],[Plan01]:[Plan12]],$F$14:$Q$14)/valUnits2</f>
        <v>59.811817000000012</v>
      </c>
      <c r="AE739">
        <f>SUMPRODUCT(DB_STProjectAcct[[#This Row],[Act01]:[Act12]],$R$14:$AC$14)/valUnits2</f>
        <v>126.62545000000001</v>
      </c>
      <c r="AF739">
        <f>DB_STProjectAcct[[#This Row],[Actual]]-DB_STProjectAcct[[#This Row],[Plan]]</f>
        <v>66.81363300000001</v>
      </c>
      <c r="AG739">
        <f>IF(DB_STProjectAcct[[#This Row],[Plan]]&lt;&gt;0,DB_STProjectAcct[[#This Row],[Actual]]/DB_STProjectAcct[[#This Row],[Plan]],1.000011000011)</f>
        <v>2.1170640911978982</v>
      </c>
    </row>
    <row r="740" spans="1:33" hidden="1" x14ac:dyDescent="0.2">
      <c r="A740" t="s">
        <v>733</v>
      </c>
      <c r="B740" t="s">
        <v>346</v>
      </c>
      <c r="C740" t="s">
        <v>515</v>
      </c>
      <c r="D740" t="s">
        <v>515</v>
      </c>
      <c r="E740" t="s">
        <v>140</v>
      </c>
      <c r="F740">
        <v>2219.7640000000001</v>
      </c>
      <c r="G740">
        <v>6045.0479999999998</v>
      </c>
      <c r="H740">
        <v>4328.7790000000005</v>
      </c>
      <c r="I740">
        <v>15725.263999999999</v>
      </c>
      <c r="J740">
        <v>8415.0030000000006</v>
      </c>
      <c r="K740">
        <v>10017.149000000001</v>
      </c>
      <c r="L740">
        <v>9191.9880000000012</v>
      </c>
      <c r="M740">
        <v>9191.9880000000012</v>
      </c>
      <c r="N740">
        <v>9191.9880000000012</v>
      </c>
      <c r="O740">
        <v>9191.9880000000012</v>
      </c>
      <c r="P740">
        <v>9191.9880000000012</v>
      </c>
      <c r="R740">
        <v>2242.41</v>
      </c>
      <c r="S740">
        <v>6143.85</v>
      </c>
      <c r="T740">
        <v>4366.34</v>
      </c>
      <c r="U740">
        <v>15541.47</v>
      </c>
      <c r="V740">
        <v>8537.6200000000008</v>
      </c>
      <c r="W740">
        <v>23403.709999999995</v>
      </c>
      <c r="X740">
        <v>0</v>
      </c>
      <c r="Y740">
        <v>0</v>
      </c>
      <c r="Z740">
        <v>0</v>
      </c>
      <c r="AA740">
        <v>0</v>
      </c>
      <c r="AB740">
        <v>0</v>
      </c>
      <c r="AC740" s="297"/>
      <c r="AD740">
        <f>SUMPRODUCT(DB_STProjectAcct[[#This Row],[Plan01]:[Plan12]],$F$14:$Q$14)/valUnits2</f>
        <v>46.751007000000001</v>
      </c>
      <c r="AE740">
        <f>SUMPRODUCT(DB_STProjectAcct[[#This Row],[Act01]:[Act12]],$R$14:$AC$14)/valUnits2</f>
        <v>60.235399999999991</v>
      </c>
      <c r="AF740">
        <f>DB_STProjectAcct[[#This Row],[Actual]]-DB_STProjectAcct[[#This Row],[Plan]]</f>
        <v>13.48439299999999</v>
      </c>
      <c r="AG740">
        <f>IF(DB_STProjectAcct[[#This Row],[Plan]]&lt;&gt;0,DB_STProjectAcct[[#This Row],[Actual]]/DB_STProjectAcct[[#This Row],[Plan]],1.000011000011)</f>
        <v>1.2884300010906715</v>
      </c>
    </row>
    <row r="741" spans="1:33" hidden="1" x14ac:dyDescent="0.2">
      <c r="A741" t="s">
        <v>734</v>
      </c>
      <c r="B741" t="s">
        <v>346</v>
      </c>
      <c r="C741" t="s">
        <v>515</v>
      </c>
      <c r="D741" t="s">
        <v>515</v>
      </c>
      <c r="E741" t="s">
        <v>236</v>
      </c>
      <c r="F741">
        <v>10865.946</v>
      </c>
      <c r="H741">
        <v>685.45799999999997</v>
      </c>
      <c r="J741">
        <v>0</v>
      </c>
      <c r="R741">
        <v>10554.01</v>
      </c>
      <c r="T741">
        <v>700.59</v>
      </c>
      <c r="V741">
        <v>0</v>
      </c>
      <c r="AC741" s="295"/>
      <c r="AD741">
        <f>SUMPRODUCT(DB_STProjectAcct[[#This Row],[Plan01]:[Plan12]],$F$14:$Q$14)/valUnits2</f>
        <v>11.551404</v>
      </c>
      <c r="AE741">
        <f>SUMPRODUCT(DB_STProjectAcct[[#This Row],[Act01]:[Act12]],$R$14:$AC$14)/valUnits2</f>
        <v>11.2546</v>
      </c>
      <c r="AF741">
        <f>DB_STProjectAcct[[#This Row],[Actual]]-DB_STProjectAcct[[#This Row],[Plan]]</f>
        <v>-0.29680399999999985</v>
      </c>
      <c r="AG741">
        <f>IF(DB_STProjectAcct[[#This Row],[Plan]]&lt;&gt;0,DB_STProjectAcct[[#This Row],[Actual]]/DB_STProjectAcct[[#This Row],[Plan]],1.000011000011)</f>
        <v>0.9743058073287022</v>
      </c>
    </row>
    <row r="742" spans="1:33" hidden="1" x14ac:dyDescent="0.2">
      <c r="A742" t="s">
        <v>735</v>
      </c>
      <c r="B742" t="s">
        <v>346</v>
      </c>
      <c r="C742" t="s">
        <v>515</v>
      </c>
      <c r="D742" t="s">
        <v>515</v>
      </c>
      <c r="E742" t="s">
        <v>237</v>
      </c>
      <c r="G742">
        <v>604.40499999999997</v>
      </c>
      <c r="H742">
        <v>4.992</v>
      </c>
      <c r="I742">
        <v>20.335999999999999</v>
      </c>
      <c r="J742">
        <v>177.52200000000002</v>
      </c>
      <c r="K742">
        <v>0</v>
      </c>
      <c r="S742">
        <v>624.84</v>
      </c>
      <c r="T742">
        <v>5.09</v>
      </c>
      <c r="U742">
        <v>20.100000000000001</v>
      </c>
      <c r="V742">
        <v>181.43</v>
      </c>
      <c r="W742">
        <v>5.83</v>
      </c>
      <c r="AC742" s="297"/>
      <c r="AD742">
        <f>SUMPRODUCT(DB_STProjectAcct[[#This Row],[Plan01]:[Plan12]],$F$14:$Q$14)/valUnits2</f>
        <v>0.80725499999999994</v>
      </c>
      <c r="AE742">
        <f>SUMPRODUCT(DB_STProjectAcct[[#This Row],[Act01]:[Act12]],$R$14:$AC$14)/valUnits2</f>
        <v>0.83729000000000009</v>
      </c>
      <c r="AF742">
        <f>DB_STProjectAcct[[#This Row],[Actual]]-DB_STProjectAcct[[#This Row],[Plan]]</f>
        <v>3.0035000000000145E-2</v>
      </c>
      <c r="AG742">
        <f>IF(DB_STProjectAcct[[#This Row],[Plan]]&lt;&gt;0,DB_STProjectAcct[[#This Row],[Actual]]/DB_STProjectAcct[[#This Row],[Plan]],1.000011000011)</f>
        <v>1.0372063350490244</v>
      </c>
    </row>
    <row r="743" spans="1:33" hidden="1" x14ac:dyDescent="0.2">
      <c r="A743" t="s">
        <v>736</v>
      </c>
      <c r="B743" t="s">
        <v>346</v>
      </c>
      <c r="C743" t="s">
        <v>515</v>
      </c>
      <c r="D743" t="s">
        <v>515</v>
      </c>
      <c r="E743" t="s">
        <v>141</v>
      </c>
      <c r="F743">
        <v>2155.8449999999998</v>
      </c>
      <c r="G743">
        <v>219.64599999999999</v>
      </c>
      <c r="H743">
        <v>1223.1559999999999</v>
      </c>
      <c r="I743">
        <v>12603.863000000001</v>
      </c>
      <c r="J743">
        <v>10823.093000000001</v>
      </c>
      <c r="K743">
        <v>668.19799999999998</v>
      </c>
      <c r="R743">
        <v>2132.5300000000002</v>
      </c>
      <c r="S743">
        <v>225.01000000000002</v>
      </c>
      <c r="T743">
        <v>1244.5</v>
      </c>
      <c r="U743">
        <v>12533.81</v>
      </c>
      <c r="V743">
        <v>10846.949999999997</v>
      </c>
      <c r="W743">
        <v>421.65000000000055</v>
      </c>
      <c r="AC743" s="295"/>
      <c r="AD743">
        <f>SUMPRODUCT(DB_STProjectAcct[[#This Row],[Plan01]:[Plan12]],$F$14:$Q$14)/valUnits2</f>
        <v>27.693801000000004</v>
      </c>
      <c r="AE743">
        <f>SUMPRODUCT(DB_STProjectAcct[[#This Row],[Act01]:[Act12]],$R$14:$AC$14)/valUnits2</f>
        <v>27.404449999999997</v>
      </c>
      <c r="AF743">
        <f>DB_STProjectAcct[[#This Row],[Actual]]-DB_STProjectAcct[[#This Row],[Plan]]</f>
        <v>-0.28935100000000702</v>
      </c>
      <c r="AG743">
        <f>IF(DB_STProjectAcct[[#This Row],[Plan]]&lt;&gt;0,DB_STProjectAcct[[#This Row],[Actual]]/DB_STProjectAcct[[#This Row],[Plan]],1.000011000011)</f>
        <v>0.98955177730929722</v>
      </c>
    </row>
    <row r="744" spans="1:33" hidden="1" x14ac:dyDescent="0.2">
      <c r="A744" t="s">
        <v>737</v>
      </c>
      <c r="B744" t="s">
        <v>346</v>
      </c>
      <c r="C744" t="s">
        <v>516</v>
      </c>
      <c r="D744" t="s">
        <v>516</v>
      </c>
      <c r="E744" t="s">
        <v>143</v>
      </c>
      <c r="F744">
        <v>0</v>
      </c>
      <c r="G744">
        <v>0</v>
      </c>
      <c r="I744">
        <v>0</v>
      </c>
      <c r="J744">
        <v>0</v>
      </c>
      <c r="R744">
        <v>0</v>
      </c>
      <c r="S744">
        <v>0</v>
      </c>
      <c r="U744">
        <v>0</v>
      </c>
      <c r="V744">
        <v>0</v>
      </c>
      <c r="AC744" s="297"/>
      <c r="AD744">
        <f>SUMPRODUCT(DB_STProjectAcct[[#This Row],[Plan01]:[Plan12]],$F$14:$Q$14)/valUnits2</f>
        <v>0</v>
      </c>
      <c r="AE744">
        <f>SUMPRODUCT(DB_STProjectAcct[[#This Row],[Act01]:[Act12]],$R$14:$AC$14)/valUnits2</f>
        <v>0</v>
      </c>
      <c r="AF744">
        <f>DB_STProjectAcct[[#This Row],[Actual]]-DB_STProjectAcct[[#This Row],[Plan]]</f>
        <v>0</v>
      </c>
      <c r="AG744">
        <f>IF(DB_STProjectAcct[[#This Row],[Plan]]&lt;&gt;0,DB_STProjectAcct[[#This Row],[Actual]]/DB_STProjectAcct[[#This Row],[Plan]],1.000011000011)</f>
        <v>1.0000110000110001</v>
      </c>
    </row>
    <row r="745" spans="1:33" hidden="1" x14ac:dyDescent="0.2">
      <c r="A745" t="s">
        <v>738</v>
      </c>
      <c r="B745" t="s">
        <v>346</v>
      </c>
      <c r="C745" t="s">
        <v>516</v>
      </c>
      <c r="D745" t="s">
        <v>516</v>
      </c>
      <c r="E745" t="s">
        <v>235</v>
      </c>
      <c r="F745">
        <v>137.24700000000001</v>
      </c>
      <c r="G745">
        <v>198.29400000000001</v>
      </c>
      <c r="H745">
        <v>88.68</v>
      </c>
      <c r="I745">
        <v>77.326999999999998</v>
      </c>
      <c r="J745">
        <v>249.626</v>
      </c>
      <c r="K745">
        <v>50.566000000000003</v>
      </c>
      <c r="R745">
        <v>140.05000000000001</v>
      </c>
      <c r="S745">
        <v>198.28</v>
      </c>
      <c r="T745">
        <v>90.43</v>
      </c>
      <c r="U745">
        <v>75.52</v>
      </c>
      <c r="V745">
        <v>252.83</v>
      </c>
      <c r="W745">
        <v>412.11</v>
      </c>
      <c r="AC745" s="295"/>
      <c r="AD745">
        <f>SUMPRODUCT(DB_STProjectAcct[[#This Row],[Plan01]:[Plan12]],$F$14:$Q$14)/valUnits2</f>
        <v>0.80174000000000012</v>
      </c>
      <c r="AE745">
        <f>SUMPRODUCT(DB_STProjectAcct[[#This Row],[Act01]:[Act12]],$R$14:$AC$14)/valUnits2</f>
        <v>1.1692199999999999</v>
      </c>
      <c r="AF745">
        <f>DB_STProjectAcct[[#This Row],[Actual]]-DB_STProjectAcct[[#This Row],[Plan]]</f>
        <v>0.36747999999999981</v>
      </c>
      <c r="AG745">
        <f>IF(DB_STProjectAcct[[#This Row],[Plan]]&lt;&gt;0,DB_STProjectAcct[[#This Row],[Actual]]/DB_STProjectAcct[[#This Row],[Plan]],1.000011000011)</f>
        <v>1.4583530820465485</v>
      </c>
    </row>
    <row r="746" spans="1:33" hidden="1" x14ac:dyDescent="0.2">
      <c r="A746" t="s">
        <v>739</v>
      </c>
      <c r="B746" t="s">
        <v>346</v>
      </c>
      <c r="C746" t="s">
        <v>516</v>
      </c>
      <c r="D746" t="s">
        <v>516</v>
      </c>
      <c r="E746" t="s">
        <v>144</v>
      </c>
      <c r="AC746" s="297"/>
      <c r="AD746">
        <f>SUMPRODUCT(DB_STProjectAcct[[#This Row],[Plan01]:[Plan12]],$F$14:$Q$14)/valUnits2</f>
        <v>0</v>
      </c>
      <c r="AE746">
        <f>SUMPRODUCT(DB_STProjectAcct[[#This Row],[Act01]:[Act12]],$R$14:$AC$14)/valUnits2</f>
        <v>0</v>
      </c>
      <c r="AF746">
        <f>DB_STProjectAcct[[#This Row],[Actual]]-DB_STProjectAcct[[#This Row],[Plan]]</f>
        <v>0</v>
      </c>
      <c r="AG746">
        <f>IF(DB_STProjectAcct[[#This Row],[Plan]]&lt;&gt;0,DB_STProjectAcct[[#This Row],[Actual]]/DB_STProjectAcct[[#This Row],[Plan]],1.000011000011)</f>
        <v>1.0000110000110001</v>
      </c>
    </row>
    <row r="747" spans="1:33" hidden="1" x14ac:dyDescent="0.2">
      <c r="A747" t="s">
        <v>740</v>
      </c>
      <c r="B747" t="s">
        <v>346</v>
      </c>
      <c r="C747" t="s">
        <v>516</v>
      </c>
      <c r="D747" t="s">
        <v>516</v>
      </c>
      <c r="E747" t="s">
        <v>142</v>
      </c>
      <c r="F747">
        <v>26245.209000000003</v>
      </c>
      <c r="G747">
        <v>-1.0000000002037268E-3</v>
      </c>
      <c r="H747">
        <v>13631.713000000002</v>
      </c>
      <c r="I747">
        <v>21981.507000000005</v>
      </c>
      <c r="J747">
        <v>9.999999999308784E-3</v>
      </c>
      <c r="K747">
        <v>22055.676999999996</v>
      </c>
      <c r="R747">
        <v>26747</v>
      </c>
      <c r="S747">
        <v>-1.8189894035458565E-12</v>
      </c>
      <c r="T747">
        <v>13475.900000000009</v>
      </c>
      <c r="U747">
        <v>21791.89</v>
      </c>
      <c r="V747">
        <v>9.9999999985342924E-3</v>
      </c>
      <c r="W747">
        <v>7713.43</v>
      </c>
      <c r="AC747" s="295"/>
      <c r="AD747">
        <f>SUMPRODUCT(DB_STProjectAcct[[#This Row],[Plan01]:[Plan12]],$F$14:$Q$14)/valUnits2</f>
        <v>83.91411500000001</v>
      </c>
      <c r="AE747">
        <f>SUMPRODUCT(DB_STProjectAcct[[#This Row],[Act01]:[Act12]],$R$14:$AC$14)/valUnits2</f>
        <v>69.728230000000011</v>
      </c>
      <c r="AF747">
        <f>DB_STProjectAcct[[#This Row],[Actual]]-DB_STProjectAcct[[#This Row],[Plan]]</f>
        <v>-14.185884999999999</v>
      </c>
      <c r="AG747">
        <f>IF(DB_STProjectAcct[[#This Row],[Plan]]&lt;&gt;0,DB_STProjectAcct[[#This Row],[Actual]]/DB_STProjectAcct[[#This Row],[Plan]],1.000011000011)</f>
        <v>0.83094757062027058</v>
      </c>
    </row>
    <row r="748" spans="1:33" hidden="1" x14ac:dyDescent="0.2">
      <c r="A748" t="s">
        <v>741</v>
      </c>
      <c r="B748" t="s">
        <v>346</v>
      </c>
      <c r="C748" t="s">
        <v>516</v>
      </c>
      <c r="D748" t="s">
        <v>516</v>
      </c>
      <c r="E748" t="s">
        <v>140</v>
      </c>
      <c r="F748">
        <v>3538.7619999999997</v>
      </c>
      <c r="G748">
        <v>7352.2060000000001</v>
      </c>
      <c r="H748">
        <v>5507.451</v>
      </c>
      <c r="I748">
        <v>9406.9619999999995</v>
      </c>
      <c r="J748">
        <v>7664.7129999999997</v>
      </c>
      <c r="K748">
        <v>9127.0220000000008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3598.8999999999996</v>
      </c>
      <c r="S748">
        <v>7449.4000000000005</v>
      </c>
      <c r="T748">
        <v>5517.48</v>
      </c>
      <c r="U748">
        <v>9335.25</v>
      </c>
      <c r="V748">
        <v>7789.83</v>
      </c>
      <c r="W748">
        <v>9121.6700000000019</v>
      </c>
      <c r="X748">
        <v>0</v>
      </c>
      <c r="Y748">
        <v>0</v>
      </c>
      <c r="Z748">
        <v>0</v>
      </c>
      <c r="AA748">
        <v>0</v>
      </c>
      <c r="AB748">
        <v>0</v>
      </c>
      <c r="AC748" s="297">
        <v>0</v>
      </c>
      <c r="AD748">
        <f>SUMPRODUCT(DB_STProjectAcct[[#This Row],[Plan01]:[Plan12]],$F$14:$Q$14)/valUnits2</f>
        <v>42.597115999999993</v>
      </c>
      <c r="AE748">
        <f>SUMPRODUCT(DB_STProjectAcct[[#This Row],[Act01]:[Act12]],$R$14:$AC$14)/valUnits2</f>
        <v>42.812529999999995</v>
      </c>
      <c r="AF748">
        <f>DB_STProjectAcct[[#This Row],[Actual]]-DB_STProjectAcct[[#This Row],[Plan]]</f>
        <v>0.21541400000000266</v>
      </c>
      <c r="AG748">
        <f>IF(DB_STProjectAcct[[#This Row],[Plan]]&lt;&gt;0,DB_STProjectAcct[[#This Row],[Actual]]/DB_STProjectAcct[[#This Row],[Plan]],1.000011000011)</f>
        <v>1.0050570090238033</v>
      </c>
    </row>
    <row r="749" spans="1:33" hidden="1" x14ac:dyDescent="0.2">
      <c r="A749" t="s">
        <v>742</v>
      </c>
      <c r="B749" t="s">
        <v>346</v>
      </c>
      <c r="C749" t="s">
        <v>516</v>
      </c>
      <c r="D749" t="s">
        <v>516</v>
      </c>
      <c r="E749" t="s">
        <v>236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2951.7890000000002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 s="295">
        <v>0</v>
      </c>
      <c r="AD749">
        <f>SUMPRODUCT(DB_STProjectAcct[[#This Row],[Plan01]:[Plan12]],$F$14:$Q$14)/valUnits2</f>
        <v>2.9517890000000002</v>
      </c>
      <c r="AE749">
        <f>SUMPRODUCT(DB_STProjectAcct[[#This Row],[Act01]:[Act12]],$R$14:$AC$14)/valUnits2</f>
        <v>0</v>
      </c>
      <c r="AF749">
        <f>DB_STProjectAcct[[#This Row],[Actual]]-DB_STProjectAcct[[#This Row],[Plan]]</f>
        <v>-2.9517890000000002</v>
      </c>
      <c r="AG749">
        <f>IF(DB_STProjectAcct[[#This Row],[Plan]]&lt;&gt;0,DB_STProjectAcct[[#This Row],[Actual]]/DB_STProjectAcct[[#This Row],[Plan]],1.000011000011)</f>
        <v>0</v>
      </c>
    </row>
    <row r="750" spans="1:33" hidden="1" x14ac:dyDescent="0.2">
      <c r="A750" t="s">
        <v>743</v>
      </c>
      <c r="B750" t="s">
        <v>346</v>
      </c>
      <c r="C750" t="s">
        <v>516</v>
      </c>
      <c r="D750" t="s">
        <v>516</v>
      </c>
      <c r="E750" t="s">
        <v>237</v>
      </c>
      <c r="F750">
        <v>14.454000000000001</v>
      </c>
      <c r="G750">
        <v>370.57</v>
      </c>
      <c r="H750">
        <v>166.96799999999999</v>
      </c>
      <c r="J750">
        <v>487.48099999999999</v>
      </c>
      <c r="K750">
        <v>0</v>
      </c>
      <c r="L750">
        <v>0</v>
      </c>
      <c r="R750">
        <v>14.73</v>
      </c>
      <c r="S750">
        <v>371.37</v>
      </c>
      <c r="T750">
        <v>166.28</v>
      </c>
      <c r="V750">
        <v>496.39</v>
      </c>
      <c r="W750">
        <v>4564.51</v>
      </c>
      <c r="X750">
        <v>1323.46</v>
      </c>
      <c r="AC750" s="297"/>
      <c r="AD750">
        <f>SUMPRODUCT(DB_STProjectAcct[[#This Row],[Plan01]:[Plan12]],$F$14:$Q$14)/valUnits2</f>
        <v>1.0394729999999999</v>
      </c>
      <c r="AE750">
        <f>SUMPRODUCT(DB_STProjectAcct[[#This Row],[Act01]:[Act12]],$R$14:$AC$14)/valUnits2</f>
        <v>5.6132800000000005</v>
      </c>
      <c r="AF750">
        <f>DB_STProjectAcct[[#This Row],[Actual]]-DB_STProjectAcct[[#This Row],[Plan]]</f>
        <v>4.5738070000000004</v>
      </c>
      <c r="AG750">
        <f>IF(DB_STProjectAcct[[#This Row],[Plan]]&lt;&gt;0,DB_STProjectAcct[[#This Row],[Actual]]/DB_STProjectAcct[[#This Row],[Plan]],1.000011000011)</f>
        <v>5.4001210228644716</v>
      </c>
    </row>
    <row r="751" spans="1:33" hidden="1" x14ac:dyDescent="0.2">
      <c r="A751" t="s">
        <v>744</v>
      </c>
      <c r="B751" t="s">
        <v>346</v>
      </c>
      <c r="C751" t="s">
        <v>516</v>
      </c>
      <c r="D751" t="s">
        <v>516</v>
      </c>
      <c r="E751" t="s">
        <v>141</v>
      </c>
      <c r="F751">
        <v>321.20999999999998</v>
      </c>
      <c r="G751">
        <v>1153.018</v>
      </c>
      <c r="H751">
        <v>512.54199999999992</v>
      </c>
      <c r="I751">
        <v>7180.3780000000006</v>
      </c>
      <c r="J751">
        <v>430.29300000000001</v>
      </c>
      <c r="K751">
        <v>588.05099999999993</v>
      </c>
      <c r="R751">
        <v>327.58</v>
      </c>
      <c r="S751">
        <v>1153.8699999999999</v>
      </c>
      <c r="T751">
        <v>521.87</v>
      </c>
      <c r="U751">
        <v>7230.9999999999991</v>
      </c>
      <c r="V751">
        <v>440.53</v>
      </c>
      <c r="W751">
        <v>678.33999999999992</v>
      </c>
      <c r="AC751" s="295"/>
      <c r="AD751">
        <f>SUMPRODUCT(DB_STProjectAcct[[#This Row],[Plan01]:[Plan12]],$F$14:$Q$14)/valUnits2</f>
        <v>10.185492</v>
      </c>
      <c r="AE751">
        <f>SUMPRODUCT(DB_STProjectAcct[[#This Row],[Act01]:[Act12]],$R$14:$AC$14)/valUnits2</f>
        <v>10.35319</v>
      </c>
      <c r="AF751">
        <f>DB_STProjectAcct[[#This Row],[Actual]]-DB_STProjectAcct[[#This Row],[Plan]]</f>
        <v>0.16769799999999968</v>
      </c>
      <c r="AG751">
        <f>IF(DB_STProjectAcct[[#This Row],[Plan]]&lt;&gt;0,DB_STProjectAcct[[#This Row],[Actual]]/DB_STProjectAcct[[#This Row],[Plan]],1.000011000011)</f>
        <v>1.0164643985778987</v>
      </c>
    </row>
    <row r="752" spans="1:33" hidden="1" x14ac:dyDescent="0.2">
      <c r="A752" t="s">
        <v>745</v>
      </c>
      <c r="B752" t="s">
        <v>346</v>
      </c>
      <c r="C752" t="s">
        <v>517</v>
      </c>
      <c r="D752" t="s">
        <v>517</v>
      </c>
      <c r="E752" t="s">
        <v>143</v>
      </c>
      <c r="AC752" s="297"/>
      <c r="AD752">
        <f>SUMPRODUCT(DB_STProjectAcct[[#This Row],[Plan01]:[Plan12]],$F$14:$Q$14)/valUnits2</f>
        <v>0</v>
      </c>
      <c r="AE752">
        <f>SUMPRODUCT(DB_STProjectAcct[[#This Row],[Act01]:[Act12]],$R$14:$AC$14)/valUnits2</f>
        <v>0</v>
      </c>
      <c r="AF752">
        <f>DB_STProjectAcct[[#This Row],[Actual]]-DB_STProjectAcct[[#This Row],[Plan]]</f>
        <v>0</v>
      </c>
      <c r="AG752">
        <f>IF(DB_STProjectAcct[[#This Row],[Plan]]&lt;&gt;0,DB_STProjectAcct[[#This Row],[Actual]]/DB_STProjectAcct[[#This Row],[Plan]],1.000011000011)</f>
        <v>1.0000110000110001</v>
      </c>
    </row>
    <row r="753" spans="1:33" hidden="1" x14ac:dyDescent="0.2">
      <c r="A753" t="s">
        <v>746</v>
      </c>
      <c r="B753" t="s">
        <v>346</v>
      </c>
      <c r="C753" t="s">
        <v>517</v>
      </c>
      <c r="D753" t="s">
        <v>517</v>
      </c>
      <c r="E753" t="s">
        <v>235</v>
      </c>
      <c r="AC753" s="295"/>
      <c r="AD753">
        <f>SUMPRODUCT(DB_STProjectAcct[[#This Row],[Plan01]:[Plan12]],$F$14:$Q$14)/valUnits2</f>
        <v>0</v>
      </c>
      <c r="AE753">
        <f>SUMPRODUCT(DB_STProjectAcct[[#This Row],[Act01]:[Act12]],$R$14:$AC$14)/valUnits2</f>
        <v>0</v>
      </c>
      <c r="AF753">
        <f>DB_STProjectAcct[[#This Row],[Actual]]-DB_STProjectAcct[[#This Row],[Plan]]</f>
        <v>0</v>
      </c>
      <c r="AG753">
        <f>IF(DB_STProjectAcct[[#This Row],[Plan]]&lt;&gt;0,DB_STProjectAcct[[#This Row],[Actual]]/DB_STProjectAcct[[#This Row],[Plan]],1.000011000011)</f>
        <v>1.0000110000110001</v>
      </c>
    </row>
    <row r="754" spans="1:33" hidden="1" x14ac:dyDescent="0.2">
      <c r="A754" t="s">
        <v>747</v>
      </c>
      <c r="B754" t="s">
        <v>346</v>
      </c>
      <c r="C754" t="s">
        <v>517</v>
      </c>
      <c r="D754" t="s">
        <v>517</v>
      </c>
      <c r="E754" t="s">
        <v>144</v>
      </c>
      <c r="AC754" s="297"/>
      <c r="AD754">
        <f>SUMPRODUCT(DB_STProjectAcct[[#This Row],[Plan01]:[Plan12]],$F$14:$Q$14)/valUnits2</f>
        <v>0</v>
      </c>
      <c r="AE754">
        <f>SUMPRODUCT(DB_STProjectAcct[[#This Row],[Act01]:[Act12]],$R$14:$AC$14)/valUnits2</f>
        <v>0</v>
      </c>
      <c r="AF754">
        <f>DB_STProjectAcct[[#This Row],[Actual]]-DB_STProjectAcct[[#This Row],[Plan]]</f>
        <v>0</v>
      </c>
      <c r="AG754">
        <f>IF(DB_STProjectAcct[[#This Row],[Plan]]&lt;&gt;0,DB_STProjectAcct[[#This Row],[Actual]]/DB_STProjectAcct[[#This Row],[Plan]],1.000011000011)</f>
        <v>1.0000110000110001</v>
      </c>
    </row>
    <row r="755" spans="1:33" hidden="1" x14ac:dyDescent="0.2">
      <c r="A755" t="s">
        <v>748</v>
      </c>
      <c r="B755" t="s">
        <v>346</v>
      </c>
      <c r="C755" t="s">
        <v>517</v>
      </c>
      <c r="D755" t="s">
        <v>517</v>
      </c>
      <c r="E755" t="s">
        <v>142</v>
      </c>
      <c r="AC755" s="295"/>
      <c r="AD755">
        <f>SUMPRODUCT(DB_STProjectAcct[[#This Row],[Plan01]:[Plan12]],$F$14:$Q$14)/valUnits2</f>
        <v>0</v>
      </c>
      <c r="AE755">
        <f>SUMPRODUCT(DB_STProjectAcct[[#This Row],[Act01]:[Act12]],$R$14:$AC$14)/valUnits2</f>
        <v>0</v>
      </c>
      <c r="AF755">
        <f>DB_STProjectAcct[[#This Row],[Actual]]-DB_STProjectAcct[[#This Row],[Plan]]</f>
        <v>0</v>
      </c>
      <c r="AG755">
        <f>IF(DB_STProjectAcct[[#This Row],[Plan]]&lt;&gt;0,DB_STProjectAcct[[#This Row],[Actual]]/DB_STProjectAcct[[#This Row],[Plan]],1.000011000011)</f>
        <v>1.0000110000110001</v>
      </c>
    </row>
    <row r="756" spans="1:33" hidden="1" x14ac:dyDescent="0.2">
      <c r="A756" t="s">
        <v>749</v>
      </c>
      <c r="B756" t="s">
        <v>346</v>
      </c>
      <c r="C756" t="s">
        <v>517</v>
      </c>
      <c r="D756" t="s">
        <v>517</v>
      </c>
      <c r="E756" t="s">
        <v>140</v>
      </c>
      <c r="F756">
        <v>4215.1239999999998</v>
      </c>
      <c r="G756">
        <v>4144.5029999999997</v>
      </c>
      <c r="H756">
        <v>3870.7629999999999</v>
      </c>
      <c r="I756">
        <v>4317.5479999999998</v>
      </c>
      <c r="K756">
        <v>0</v>
      </c>
      <c r="R756">
        <v>4152.79</v>
      </c>
      <c r="S756">
        <v>4231.41</v>
      </c>
      <c r="T756">
        <v>3905.7999999999997</v>
      </c>
      <c r="U756">
        <v>4292.9299999999994</v>
      </c>
      <c r="W756">
        <v>-12430.140000000001</v>
      </c>
      <c r="AC756" s="297"/>
      <c r="AD756">
        <f>SUMPRODUCT(DB_STProjectAcct[[#This Row],[Plan01]:[Plan12]],$F$14:$Q$14)/valUnits2</f>
        <v>16.547937999999998</v>
      </c>
      <c r="AE756">
        <f>SUMPRODUCT(DB_STProjectAcct[[#This Row],[Act01]:[Act12]],$R$14:$AC$14)/valUnits2</f>
        <v>4.1527899999999986</v>
      </c>
      <c r="AF756">
        <f>DB_STProjectAcct[[#This Row],[Actual]]-DB_STProjectAcct[[#This Row],[Plan]]</f>
        <v>-12.395147999999999</v>
      </c>
      <c r="AG756">
        <f>IF(DB_STProjectAcct[[#This Row],[Plan]]&lt;&gt;0,DB_STProjectAcct[[#This Row],[Actual]]/DB_STProjectAcct[[#This Row],[Plan]],1.000011000011)</f>
        <v>0.2509551341079474</v>
      </c>
    </row>
    <row r="757" spans="1:33" hidden="1" x14ac:dyDescent="0.2">
      <c r="A757" t="s">
        <v>750</v>
      </c>
      <c r="B757" t="s">
        <v>346</v>
      </c>
      <c r="C757" t="s">
        <v>517</v>
      </c>
      <c r="D757" t="s">
        <v>517</v>
      </c>
      <c r="E757" t="s">
        <v>236</v>
      </c>
      <c r="AC757" s="295"/>
      <c r="AD757">
        <f>SUMPRODUCT(DB_STProjectAcct[[#This Row],[Plan01]:[Plan12]],$F$14:$Q$14)/valUnits2</f>
        <v>0</v>
      </c>
      <c r="AE757">
        <f>SUMPRODUCT(DB_STProjectAcct[[#This Row],[Act01]:[Act12]],$R$14:$AC$14)/valUnits2</f>
        <v>0</v>
      </c>
      <c r="AF757">
        <f>DB_STProjectAcct[[#This Row],[Actual]]-DB_STProjectAcct[[#This Row],[Plan]]</f>
        <v>0</v>
      </c>
      <c r="AG757">
        <f>IF(DB_STProjectAcct[[#This Row],[Plan]]&lt;&gt;0,DB_STProjectAcct[[#This Row],[Actual]]/DB_STProjectAcct[[#This Row],[Plan]],1.000011000011)</f>
        <v>1.0000110000110001</v>
      </c>
    </row>
    <row r="758" spans="1:33" hidden="1" x14ac:dyDescent="0.2">
      <c r="A758" t="s">
        <v>751</v>
      </c>
      <c r="B758" t="s">
        <v>346</v>
      </c>
      <c r="C758" t="s">
        <v>517</v>
      </c>
      <c r="D758" t="s">
        <v>517</v>
      </c>
      <c r="E758" t="s">
        <v>237</v>
      </c>
      <c r="AC758" s="297"/>
      <c r="AD758">
        <f>SUMPRODUCT(DB_STProjectAcct[[#This Row],[Plan01]:[Plan12]],$F$14:$Q$14)/valUnits2</f>
        <v>0</v>
      </c>
      <c r="AE758">
        <f>SUMPRODUCT(DB_STProjectAcct[[#This Row],[Act01]:[Act12]],$R$14:$AC$14)/valUnits2</f>
        <v>0</v>
      </c>
      <c r="AF758">
        <f>DB_STProjectAcct[[#This Row],[Actual]]-DB_STProjectAcct[[#This Row],[Plan]]</f>
        <v>0</v>
      </c>
      <c r="AG758">
        <f>IF(DB_STProjectAcct[[#This Row],[Plan]]&lt;&gt;0,DB_STProjectAcct[[#This Row],[Actual]]/DB_STProjectAcct[[#This Row],[Plan]],1.000011000011)</f>
        <v>1.0000110000110001</v>
      </c>
    </row>
    <row r="759" spans="1:33" hidden="1" x14ac:dyDescent="0.2">
      <c r="A759" t="s">
        <v>752</v>
      </c>
      <c r="B759" t="s">
        <v>346</v>
      </c>
      <c r="C759" t="s">
        <v>517</v>
      </c>
      <c r="D759" t="s">
        <v>517</v>
      </c>
      <c r="E759" t="s">
        <v>141</v>
      </c>
      <c r="H759">
        <v>70.168999999999997</v>
      </c>
      <c r="K759">
        <v>0</v>
      </c>
      <c r="T759">
        <v>71.33</v>
      </c>
      <c r="W759">
        <v>-71.33</v>
      </c>
      <c r="AC759" s="295"/>
      <c r="AD759">
        <f>SUMPRODUCT(DB_STProjectAcct[[#This Row],[Plan01]:[Plan12]],$F$14:$Q$14)/valUnits2</f>
        <v>7.0168999999999995E-2</v>
      </c>
      <c r="AE759">
        <f>SUMPRODUCT(DB_STProjectAcct[[#This Row],[Act01]:[Act12]],$R$14:$AC$14)/valUnits2</f>
        <v>0</v>
      </c>
      <c r="AF759">
        <f>DB_STProjectAcct[[#This Row],[Actual]]-DB_STProjectAcct[[#This Row],[Plan]]</f>
        <v>-7.0168999999999995E-2</v>
      </c>
      <c r="AG759">
        <f>IF(DB_STProjectAcct[[#This Row],[Plan]]&lt;&gt;0,DB_STProjectAcct[[#This Row],[Actual]]/DB_STProjectAcct[[#This Row],[Plan]],1.000011000011)</f>
        <v>0</v>
      </c>
    </row>
    <row r="760" spans="1:33" hidden="1" x14ac:dyDescent="0.2">
      <c r="A760" t="s">
        <v>753</v>
      </c>
      <c r="B760" t="s">
        <v>346</v>
      </c>
      <c r="C760" t="s">
        <v>518</v>
      </c>
      <c r="D760" t="s">
        <v>518</v>
      </c>
      <c r="E760" t="s">
        <v>143</v>
      </c>
      <c r="F760">
        <v>0</v>
      </c>
      <c r="H760">
        <v>0</v>
      </c>
      <c r="I760">
        <v>0</v>
      </c>
      <c r="J760">
        <v>0</v>
      </c>
      <c r="K760">
        <v>1677.8579999999999</v>
      </c>
      <c r="L760">
        <v>1677.8579999999999</v>
      </c>
      <c r="M760">
        <v>1677.8579999999999</v>
      </c>
      <c r="N760">
        <v>1677.8579999999999</v>
      </c>
      <c r="O760">
        <v>1677.8579999999999</v>
      </c>
      <c r="P760">
        <v>1677.8579999999999</v>
      </c>
      <c r="Q760">
        <v>1677.8579999999999</v>
      </c>
      <c r="R760">
        <v>0</v>
      </c>
      <c r="T760">
        <v>19.739999999999998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 s="297">
        <v>0</v>
      </c>
      <c r="AD760">
        <f>SUMPRODUCT(DB_STProjectAcct[[#This Row],[Plan01]:[Plan12]],$F$14:$Q$14)/valUnits2</f>
        <v>1.6778579999999998</v>
      </c>
      <c r="AE760">
        <f>SUMPRODUCT(DB_STProjectAcct[[#This Row],[Act01]:[Act12]],$R$14:$AC$14)/valUnits2</f>
        <v>1.9739999999999997E-2</v>
      </c>
      <c r="AF760">
        <f>DB_STProjectAcct[[#This Row],[Actual]]-DB_STProjectAcct[[#This Row],[Plan]]</f>
        <v>-1.6581179999999998</v>
      </c>
      <c r="AG760">
        <f>IF(DB_STProjectAcct[[#This Row],[Plan]]&lt;&gt;0,DB_STProjectAcct[[#This Row],[Actual]]/DB_STProjectAcct[[#This Row],[Plan]],1.000011000011)</f>
        <v>1.1765000375478734E-2</v>
      </c>
    </row>
    <row r="761" spans="1:33" hidden="1" x14ac:dyDescent="0.2">
      <c r="A761" t="s">
        <v>754</v>
      </c>
      <c r="B761" t="s">
        <v>346</v>
      </c>
      <c r="C761" t="s">
        <v>518</v>
      </c>
      <c r="D761" t="s">
        <v>518</v>
      </c>
      <c r="E761" t="s">
        <v>235</v>
      </c>
      <c r="F761">
        <v>98.831999999999994</v>
      </c>
      <c r="G761">
        <v>0</v>
      </c>
      <c r="H761">
        <v>196.89400000000001</v>
      </c>
      <c r="I761">
        <v>0</v>
      </c>
      <c r="J761">
        <v>16.802</v>
      </c>
      <c r="K761">
        <v>637.61999999999989</v>
      </c>
      <c r="L761">
        <v>637.61999999999989</v>
      </c>
      <c r="M761">
        <v>637.61999999999989</v>
      </c>
      <c r="N761">
        <v>637.61999999999989</v>
      </c>
      <c r="O761">
        <v>637.61999999999989</v>
      </c>
      <c r="P761">
        <v>637.61999999999989</v>
      </c>
      <c r="Q761">
        <v>637.61999999999989</v>
      </c>
      <c r="R761">
        <v>100.85</v>
      </c>
      <c r="S761">
        <v>0</v>
      </c>
      <c r="T761">
        <v>201.01</v>
      </c>
      <c r="U761">
        <v>0</v>
      </c>
      <c r="V761">
        <v>16.77</v>
      </c>
      <c r="W761">
        <v>212.89000000000001</v>
      </c>
      <c r="X761">
        <v>0</v>
      </c>
      <c r="Y761">
        <v>0</v>
      </c>
      <c r="Z761">
        <v>0</v>
      </c>
      <c r="AA761">
        <v>0</v>
      </c>
      <c r="AB761">
        <v>0</v>
      </c>
      <c r="AC761" s="295">
        <v>0</v>
      </c>
      <c r="AD761">
        <f>SUMPRODUCT(DB_STProjectAcct[[#This Row],[Plan01]:[Plan12]],$F$14:$Q$14)/valUnits2</f>
        <v>0.95014799999999988</v>
      </c>
      <c r="AE761">
        <f>SUMPRODUCT(DB_STProjectAcct[[#This Row],[Act01]:[Act12]],$R$14:$AC$14)/valUnits2</f>
        <v>0.53151999999999999</v>
      </c>
      <c r="AF761">
        <f>DB_STProjectAcct[[#This Row],[Actual]]-DB_STProjectAcct[[#This Row],[Plan]]</f>
        <v>-0.41862799999999989</v>
      </c>
      <c r="AG761">
        <f>IF(DB_STProjectAcct[[#This Row],[Plan]]&lt;&gt;0,DB_STProjectAcct[[#This Row],[Actual]]/DB_STProjectAcct[[#This Row],[Plan]],1.000011000011)</f>
        <v>0.5594075870285472</v>
      </c>
    </row>
    <row r="762" spans="1:33" hidden="1" x14ac:dyDescent="0.2">
      <c r="A762" t="s">
        <v>755</v>
      </c>
      <c r="B762" t="s">
        <v>346</v>
      </c>
      <c r="C762" t="s">
        <v>518</v>
      </c>
      <c r="D762" t="s">
        <v>518</v>
      </c>
      <c r="E762" t="s">
        <v>144</v>
      </c>
      <c r="AC762" s="297"/>
      <c r="AD762">
        <f>SUMPRODUCT(DB_STProjectAcct[[#This Row],[Plan01]:[Plan12]],$F$14:$Q$14)/valUnits2</f>
        <v>0</v>
      </c>
      <c r="AE762">
        <f>SUMPRODUCT(DB_STProjectAcct[[#This Row],[Act01]:[Act12]],$R$14:$AC$14)/valUnits2</f>
        <v>0</v>
      </c>
      <c r="AF762">
        <f>DB_STProjectAcct[[#This Row],[Actual]]-DB_STProjectAcct[[#This Row],[Plan]]</f>
        <v>0</v>
      </c>
      <c r="AG762">
        <f>IF(DB_STProjectAcct[[#This Row],[Plan]]&lt;&gt;0,DB_STProjectAcct[[#This Row],[Actual]]/DB_STProjectAcct[[#This Row],[Plan]],1.000011000011)</f>
        <v>1.0000110000110001</v>
      </c>
    </row>
    <row r="763" spans="1:33" hidden="1" x14ac:dyDescent="0.2">
      <c r="A763" t="s">
        <v>756</v>
      </c>
      <c r="B763" t="s">
        <v>346</v>
      </c>
      <c r="C763" t="s">
        <v>518</v>
      </c>
      <c r="D763" t="s">
        <v>518</v>
      </c>
      <c r="E763" t="s">
        <v>142</v>
      </c>
      <c r="F763">
        <v>105330.65599999994</v>
      </c>
      <c r="G763">
        <v>-9564.4909999999909</v>
      </c>
      <c r="H763">
        <v>2173.9579999999942</v>
      </c>
      <c r="I763">
        <v>235470.7190000001</v>
      </c>
      <c r="J763">
        <v>173305.98700000002</v>
      </c>
      <c r="K763">
        <v>186768.08500000005</v>
      </c>
      <c r="L763">
        <v>130301.73599999996</v>
      </c>
      <c r="M763">
        <v>129977.83699999997</v>
      </c>
      <c r="N763">
        <v>126271.26199999994</v>
      </c>
      <c r="O763">
        <v>130325.97899999995</v>
      </c>
      <c r="P763">
        <v>146685.46900000007</v>
      </c>
      <c r="Q763">
        <v>134979.64400000006</v>
      </c>
      <c r="R763">
        <v>103106.89</v>
      </c>
      <c r="S763">
        <v>-8190.7700000000086</v>
      </c>
      <c r="T763">
        <v>2234.1499999999969</v>
      </c>
      <c r="U763">
        <v>234141.6099999999</v>
      </c>
      <c r="V763">
        <v>173288.84000000011</v>
      </c>
      <c r="W763">
        <v>24370.459999999992</v>
      </c>
      <c r="X763">
        <v>10521.87</v>
      </c>
      <c r="Y763">
        <v>0</v>
      </c>
      <c r="Z763">
        <v>0</v>
      </c>
      <c r="AA763">
        <v>0</v>
      </c>
      <c r="AB763">
        <v>0</v>
      </c>
      <c r="AC763" s="295">
        <v>0</v>
      </c>
      <c r="AD763">
        <f>SUMPRODUCT(DB_STProjectAcct[[#This Row],[Plan01]:[Plan12]],$F$14:$Q$14)/valUnits2</f>
        <v>693.48491400000012</v>
      </c>
      <c r="AE763">
        <f>SUMPRODUCT(DB_STProjectAcct[[#This Row],[Act01]:[Act12]],$R$14:$AC$14)/valUnits2</f>
        <v>528.95117999999991</v>
      </c>
      <c r="AF763">
        <f>DB_STProjectAcct[[#This Row],[Actual]]-DB_STProjectAcct[[#This Row],[Plan]]</f>
        <v>-164.53373400000021</v>
      </c>
      <c r="AG763">
        <f>IF(DB_STProjectAcct[[#This Row],[Plan]]&lt;&gt;0,DB_STProjectAcct[[#This Row],[Actual]]/DB_STProjectAcct[[#This Row],[Plan]],1.000011000011)</f>
        <v>0.76274360021622589</v>
      </c>
    </row>
    <row r="764" spans="1:33" hidden="1" x14ac:dyDescent="0.2">
      <c r="A764" t="s">
        <v>757</v>
      </c>
      <c r="B764" t="s">
        <v>346</v>
      </c>
      <c r="C764" t="s">
        <v>518</v>
      </c>
      <c r="D764" t="s">
        <v>518</v>
      </c>
      <c r="E764" t="s">
        <v>140</v>
      </c>
      <c r="F764">
        <v>7277.058</v>
      </c>
      <c r="G764">
        <v>16112.779</v>
      </c>
      <c r="H764">
        <v>8004.8349999999991</v>
      </c>
      <c r="I764">
        <v>17055.449999999997</v>
      </c>
      <c r="J764">
        <v>21725.29199999999</v>
      </c>
      <c r="K764">
        <v>17492.224999999995</v>
      </c>
      <c r="L764">
        <v>15177.521000000001</v>
      </c>
      <c r="M764">
        <v>15177.521000000002</v>
      </c>
      <c r="N764">
        <v>15177.521000000001</v>
      </c>
      <c r="O764">
        <v>15177.521000000002</v>
      </c>
      <c r="P764">
        <v>15177.521000000002</v>
      </c>
      <c r="Q764">
        <v>15177.521000000004</v>
      </c>
      <c r="R764">
        <v>7258.7999999999993</v>
      </c>
      <c r="S764">
        <v>16143.49</v>
      </c>
      <c r="T764">
        <v>8009.329999999999</v>
      </c>
      <c r="U764">
        <v>17015.349999999999</v>
      </c>
      <c r="V764">
        <v>21741.840000000007</v>
      </c>
      <c r="W764">
        <v>23834.280000000006</v>
      </c>
      <c r="X764">
        <v>511</v>
      </c>
      <c r="Y764">
        <v>0</v>
      </c>
      <c r="Z764">
        <v>0</v>
      </c>
      <c r="AA764">
        <v>0</v>
      </c>
      <c r="AB764">
        <v>0</v>
      </c>
      <c r="AC764" s="297">
        <v>0</v>
      </c>
      <c r="AD764">
        <f>SUMPRODUCT(DB_STProjectAcct[[#This Row],[Plan01]:[Plan12]],$F$14:$Q$14)/valUnits2</f>
        <v>87.66763899999998</v>
      </c>
      <c r="AE764">
        <f>SUMPRODUCT(DB_STProjectAcct[[#This Row],[Act01]:[Act12]],$R$14:$AC$14)/valUnits2</f>
        <v>94.003090000000029</v>
      </c>
      <c r="AF764">
        <f>DB_STProjectAcct[[#This Row],[Actual]]-DB_STProjectAcct[[#This Row],[Plan]]</f>
        <v>6.3354510000000488</v>
      </c>
      <c r="AG764">
        <f>IF(DB_STProjectAcct[[#This Row],[Plan]]&lt;&gt;0,DB_STProjectAcct[[#This Row],[Actual]]/DB_STProjectAcct[[#This Row],[Plan]],1.000011000011)</f>
        <v>1.0722667003727573</v>
      </c>
    </row>
    <row r="765" spans="1:33" hidden="1" x14ac:dyDescent="0.2">
      <c r="A765" t="s">
        <v>758</v>
      </c>
      <c r="B765" t="s">
        <v>346</v>
      </c>
      <c r="C765" t="s">
        <v>518</v>
      </c>
      <c r="D765" t="s">
        <v>518</v>
      </c>
      <c r="E765" t="s">
        <v>236</v>
      </c>
      <c r="F765">
        <v>0</v>
      </c>
      <c r="G765">
        <v>21.74</v>
      </c>
      <c r="H765">
        <v>0</v>
      </c>
      <c r="I765">
        <v>985.12799999999993</v>
      </c>
      <c r="J765">
        <v>138.745</v>
      </c>
      <c r="K765">
        <v>1083.3330000000001</v>
      </c>
      <c r="L765">
        <v>3708.1659999999997</v>
      </c>
      <c r="M765">
        <v>2454.027</v>
      </c>
      <c r="N765">
        <v>1083.3330000000001</v>
      </c>
      <c r="O765">
        <v>2454.027</v>
      </c>
      <c r="P765">
        <v>2454.027</v>
      </c>
      <c r="Q765">
        <v>1083.3330000000001</v>
      </c>
      <c r="R765">
        <v>0</v>
      </c>
      <c r="S765">
        <v>21.74</v>
      </c>
      <c r="T765">
        <v>0</v>
      </c>
      <c r="U765">
        <v>984.87</v>
      </c>
      <c r="V765">
        <v>139.02000000000001</v>
      </c>
      <c r="W765">
        <v>306.1099999999999</v>
      </c>
      <c r="X765">
        <v>0</v>
      </c>
      <c r="Y765">
        <v>0</v>
      </c>
      <c r="Z765">
        <v>0</v>
      </c>
      <c r="AA765">
        <v>0</v>
      </c>
      <c r="AB765">
        <v>0</v>
      </c>
      <c r="AC765" s="295">
        <v>0</v>
      </c>
      <c r="AD765">
        <f>SUMPRODUCT(DB_STProjectAcct[[#This Row],[Plan01]:[Plan12]],$F$14:$Q$14)/valUnits2</f>
        <v>2.2289460000000001</v>
      </c>
      <c r="AE765">
        <f>SUMPRODUCT(DB_STProjectAcct[[#This Row],[Act01]:[Act12]],$R$14:$AC$14)/valUnits2</f>
        <v>1.45174</v>
      </c>
      <c r="AF765">
        <f>DB_STProjectAcct[[#This Row],[Actual]]-DB_STProjectAcct[[#This Row],[Plan]]</f>
        <v>-0.77720600000000006</v>
      </c>
      <c r="AG765">
        <f>IF(DB_STProjectAcct[[#This Row],[Plan]]&lt;&gt;0,DB_STProjectAcct[[#This Row],[Actual]]/DB_STProjectAcct[[#This Row],[Plan]],1.000011000011)</f>
        <v>0.65131232430036434</v>
      </c>
    </row>
    <row r="766" spans="1:33" hidden="1" x14ac:dyDescent="0.2">
      <c r="A766" t="s">
        <v>759</v>
      </c>
      <c r="B766" t="s">
        <v>346</v>
      </c>
      <c r="C766" t="s">
        <v>518</v>
      </c>
      <c r="D766" t="s">
        <v>518</v>
      </c>
      <c r="E766" t="s">
        <v>237</v>
      </c>
      <c r="F766">
        <v>4.7240000000000002</v>
      </c>
      <c r="G766">
        <v>384.03899999999999</v>
      </c>
      <c r="I766">
        <v>144.87700000000001</v>
      </c>
      <c r="J766">
        <v>403.791</v>
      </c>
      <c r="K766">
        <v>0</v>
      </c>
      <c r="R766">
        <v>4.82</v>
      </c>
      <c r="S766">
        <v>383.65999999999997</v>
      </c>
      <c r="U766">
        <v>144.69999999999999</v>
      </c>
      <c r="V766">
        <v>404</v>
      </c>
      <c r="W766">
        <v>923.97</v>
      </c>
      <c r="AC766" s="297"/>
      <c r="AD766">
        <f>SUMPRODUCT(DB_STProjectAcct[[#This Row],[Plan01]:[Plan12]],$F$14:$Q$14)/valUnits2</f>
        <v>0.93743100000000001</v>
      </c>
      <c r="AE766">
        <f>SUMPRODUCT(DB_STProjectAcct[[#This Row],[Act01]:[Act12]],$R$14:$AC$14)/valUnits2</f>
        <v>1.8611500000000001</v>
      </c>
      <c r="AF766">
        <f>DB_STProjectAcct[[#This Row],[Actual]]-DB_STProjectAcct[[#This Row],[Plan]]</f>
        <v>0.92371900000000007</v>
      </c>
      <c r="AG766">
        <f>IF(DB_STProjectAcct[[#This Row],[Plan]]&lt;&gt;0,DB_STProjectAcct[[#This Row],[Actual]]/DB_STProjectAcct[[#This Row],[Plan]],1.000011000011)</f>
        <v>1.9853727901040183</v>
      </c>
    </row>
    <row r="767" spans="1:33" hidden="1" x14ac:dyDescent="0.2">
      <c r="A767" t="s">
        <v>760</v>
      </c>
      <c r="B767" t="s">
        <v>346</v>
      </c>
      <c r="C767" t="s">
        <v>518</v>
      </c>
      <c r="D767" t="s">
        <v>518</v>
      </c>
      <c r="E767" t="s">
        <v>141</v>
      </c>
      <c r="F767">
        <v>-6686.7079999999996</v>
      </c>
      <c r="G767">
        <v>1395.1739999999998</v>
      </c>
      <c r="H767">
        <v>1236.8520000000001</v>
      </c>
      <c r="I767">
        <v>2509.0210000000002</v>
      </c>
      <c r="J767">
        <v>11929.597000000002</v>
      </c>
      <c r="K767">
        <v>4182.7699999999995</v>
      </c>
      <c r="L767">
        <v>4182.7699999999995</v>
      </c>
      <c r="M767">
        <v>5057.7699999999995</v>
      </c>
      <c r="N767">
        <v>4182.7699999999995</v>
      </c>
      <c r="O767">
        <v>4182.7699999999995</v>
      </c>
      <c r="P767">
        <v>4182.7699999999995</v>
      </c>
      <c r="Q767">
        <v>4182.7699999999995</v>
      </c>
      <c r="R767">
        <v>-6570.869999999999</v>
      </c>
      <c r="S767">
        <v>1402.87</v>
      </c>
      <c r="T767">
        <v>1239.0999999999999</v>
      </c>
      <c r="U767">
        <v>2504.9400000000005</v>
      </c>
      <c r="V767">
        <v>11963.520000000002</v>
      </c>
      <c r="W767">
        <v>8926.0400000000009</v>
      </c>
      <c r="X767">
        <v>0</v>
      </c>
      <c r="Y767">
        <v>0</v>
      </c>
      <c r="Z767">
        <v>0</v>
      </c>
      <c r="AA767">
        <v>0</v>
      </c>
      <c r="AB767">
        <v>0</v>
      </c>
      <c r="AC767" s="295">
        <v>0</v>
      </c>
      <c r="AD767">
        <f>SUMPRODUCT(DB_STProjectAcct[[#This Row],[Plan01]:[Plan12]],$F$14:$Q$14)/valUnits2</f>
        <v>14.566706000000002</v>
      </c>
      <c r="AE767">
        <f>SUMPRODUCT(DB_STProjectAcct[[#This Row],[Act01]:[Act12]],$R$14:$AC$14)/valUnits2</f>
        <v>19.465600000000006</v>
      </c>
      <c r="AF767">
        <f>DB_STProjectAcct[[#This Row],[Actual]]-DB_STProjectAcct[[#This Row],[Plan]]</f>
        <v>4.8988940000000039</v>
      </c>
      <c r="AG767">
        <f>IF(DB_STProjectAcct[[#This Row],[Plan]]&lt;&gt;0,DB_STProjectAcct[[#This Row],[Actual]]/DB_STProjectAcct[[#This Row],[Plan]],1.000011000011)</f>
        <v>1.3363076044783222</v>
      </c>
    </row>
    <row r="768" spans="1:33" hidden="1" x14ac:dyDescent="0.2">
      <c r="A768" t="s">
        <v>761</v>
      </c>
      <c r="B768" t="s">
        <v>347</v>
      </c>
      <c r="C768" t="s">
        <v>519</v>
      </c>
      <c r="D768" t="s">
        <v>519</v>
      </c>
      <c r="E768" t="s">
        <v>143</v>
      </c>
      <c r="F768">
        <v>3490.8149999999996</v>
      </c>
      <c r="G768">
        <v>4127.9110000000001</v>
      </c>
      <c r="H768">
        <v>3782.5720000000001</v>
      </c>
      <c r="I768">
        <v>8741.5110000000004</v>
      </c>
      <c r="J768">
        <v>19578.954000000002</v>
      </c>
      <c r="K768">
        <v>1330.0070000000001</v>
      </c>
      <c r="L768">
        <v>1330.0070000000001</v>
      </c>
      <c r="M768">
        <v>1330.0070000000001</v>
      </c>
      <c r="N768">
        <v>1330.0070000000001</v>
      </c>
      <c r="O768">
        <v>1330.0070000000001</v>
      </c>
      <c r="P768">
        <v>1330.0070000000001</v>
      </c>
      <c r="Q768">
        <v>1330.0070000000001</v>
      </c>
      <c r="R768">
        <v>3273.4999999999995</v>
      </c>
      <c r="S768">
        <v>3981.99</v>
      </c>
      <c r="T768">
        <v>3704.32</v>
      </c>
      <c r="U768">
        <v>7521.9900000000007</v>
      </c>
      <c r="V768">
        <v>17569.86</v>
      </c>
      <c r="W768">
        <v>5545.8799999999992</v>
      </c>
      <c r="X768">
        <v>0</v>
      </c>
      <c r="Y768">
        <v>0</v>
      </c>
      <c r="Z768">
        <v>0</v>
      </c>
      <c r="AA768">
        <v>0</v>
      </c>
      <c r="AB768">
        <v>0</v>
      </c>
      <c r="AC768" s="297">
        <v>0</v>
      </c>
      <c r="AD768">
        <f>SUMPRODUCT(DB_STProjectAcct[[#This Row],[Plan01]:[Plan12]],$F$14:$Q$14)/valUnits2</f>
        <v>41.051770000000005</v>
      </c>
      <c r="AE768">
        <f>SUMPRODUCT(DB_STProjectAcct[[#This Row],[Act01]:[Act12]],$R$14:$AC$14)/valUnits2</f>
        <v>41.597540000000002</v>
      </c>
      <c r="AF768">
        <f>DB_STProjectAcct[[#This Row],[Actual]]-DB_STProjectAcct[[#This Row],[Plan]]</f>
        <v>0.54576999999999742</v>
      </c>
      <c r="AG768">
        <f>IF(DB_STProjectAcct[[#This Row],[Plan]]&lt;&gt;0,DB_STProjectAcct[[#This Row],[Actual]]/DB_STProjectAcct[[#This Row],[Plan]],1.000011000011)</f>
        <v>1.0132946764536583</v>
      </c>
    </row>
    <row r="769" spans="1:33" hidden="1" x14ac:dyDescent="0.2">
      <c r="A769" t="s">
        <v>762</v>
      </c>
      <c r="B769" t="s">
        <v>347</v>
      </c>
      <c r="C769" t="s">
        <v>519</v>
      </c>
      <c r="D769" t="s">
        <v>519</v>
      </c>
      <c r="E769" t="s">
        <v>235</v>
      </c>
      <c r="F769">
        <v>416.99099999999999</v>
      </c>
      <c r="G769">
        <v>912.67</v>
      </c>
      <c r="H769">
        <v>3116.3290000000002</v>
      </c>
      <c r="I769">
        <v>2768.7299999999996</v>
      </c>
      <c r="J769">
        <v>2326.04</v>
      </c>
      <c r="K769">
        <v>443.33600000000001</v>
      </c>
      <c r="L769">
        <v>443.33600000000001</v>
      </c>
      <c r="M769">
        <v>443.33600000000001</v>
      </c>
      <c r="N769">
        <v>443.33600000000001</v>
      </c>
      <c r="O769">
        <v>443.33600000000001</v>
      </c>
      <c r="P769">
        <v>443.33600000000001</v>
      </c>
      <c r="Q769">
        <v>443.33600000000001</v>
      </c>
      <c r="R769">
        <v>420.24</v>
      </c>
      <c r="S769">
        <v>916.50999999999988</v>
      </c>
      <c r="T769">
        <v>3063.02</v>
      </c>
      <c r="U769">
        <v>2342.5299999999997</v>
      </c>
      <c r="V769">
        <v>2024.21</v>
      </c>
      <c r="W769">
        <v>3884.3700000000003</v>
      </c>
      <c r="X769">
        <v>0</v>
      </c>
      <c r="Y769">
        <v>0</v>
      </c>
      <c r="Z769">
        <v>0</v>
      </c>
      <c r="AA769">
        <v>0</v>
      </c>
      <c r="AB769">
        <v>0</v>
      </c>
      <c r="AC769" s="295">
        <v>0</v>
      </c>
      <c r="AD769">
        <f>SUMPRODUCT(DB_STProjectAcct[[#This Row],[Plan01]:[Plan12]],$F$14:$Q$14)/valUnits2</f>
        <v>9.9840959999999974</v>
      </c>
      <c r="AE769">
        <f>SUMPRODUCT(DB_STProjectAcct[[#This Row],[Act01]:[Act12]],$R$14:$AC$14)/valUnits2</f>
        <v>12.650880000000001</v>
      </c>
      <c r="AF769">
        <f>DB_STProjectAcct[[#This Row],[Actual]]-DB_STProjectAcct[[#This Row],[Plan]]</f>
        <v>2.6667840000000034</v>
      </c>
      <c r="AG769">
        <f>IF(DB_STProjectAcct[[#This Row],[Plan]]&lt;&gt;0,DB_STProjectAcct[[#This Row],[Actual]]/DB_STProjectAcct[[#This Row],[Plan]],1.000011000011)</f>
        <v>1.2671032009307608</v>
      </c>
    </row>
    <row r="770" spans="1:33" hidden="1" x14ac:dyDescent="0.2">
      <c r="A770" t="s">
        <v>763</v>
      </c>
      <c r="B770" t="s">
        <v>347</v>
      </c>
      <c r="C770" t="s">
        <v>519</v>
      </c>
      <c r="D770" t="s">
        <v>519</v>
      </c>
      <c r="E770" t="s">
        <v>144</v>
      </c>
      <c r="G770">
        <v>0</v>
      </c>
      <c r="I770">
        <v>0</v>
      </c>
      <c r="K770">
        <v>409.24</v>
      </c>
      <c r="N770">
        <v>409.24</v>
      </c>
      <c r="Q770">
        <v>409.24</v>
      </c>
      <c r="S770">
        <v>1657.84</v>
      </c>
      <c r="U770">
        <v>0</v>
      </c>
      <c r="W770">
        <v>0</v>
      </c>
      <c r="Z770">
        <v>0</v>
      </c>
      <c r="AC770" s="297">
        <v>0</v>
      </c>
      <c r="AD770">
        <f>SUMPRODUCT(DB_STProjectAcct[[#This Row],[Plan01]:[Plan12]],$F$14:$Q$14)/valUnits2</f>
        <v>0.40923999999999999</v>
      </c>
      <c r="AE770">
        <f>SUMPRODUCT(DB_STProjectAcct[[#This Row],[Act01]:[Act12]],$R$14:$AC$14)/valUnits2</f>
        <v>1.65784</v>
      </c>
      <c r="AF770">
        <f>DB_STProjectAcct[[#This Row],[Actual]]-DB_STProjectAcct[[#This Row],[Plan]]</f>
        <v>1.2485999999999999</v>
      </c>
      <c r="AG770">
        <f>IF(DB_STProjectAcct[[#This Row],[Plan]]&lt;&gt;0,DB_STProjectAcct[[#This Row],[Actual]]/DB_STProjectAcct[[#This Row],[Plan]],1.000011000011)</f>
        <v>4.0510214055322065</v>
      </c>
    </row>
    <row r="771" spans="1:33" hidden="1" x14ac:dyDescent="0.2">
      <c r="A771" t="s">
        <v>764</v>
      </c>
      <c r="B771" t="s">
        <v>347</v>
      </c>
      <c r="C771" t="s">
        <v>519</v>
      </c>
      <c r="D771" t="s">
        <v>519</v>
      </c>
      <c r="E771" t="s">
        <v>142</v>
      </c>
      <c r="F771">
        <v>0</v>
      </c>
      <c r="G771">
        <v>-1.8019363778876141E-11</v>
      </c>
      <c r="H771">
        <v>1.0000000002889919E-3</v>
      </c>
      <c r="I771">
        <v>1552146.7860000001</v>
      </c>
      <c r="J771">
        <v>0</v>
      </c>
      <c r="K771">
        <v>0</v>
      </c>
      <c r="L771">
        <v>1343295.108</v>
      </c>
      <c r="M771">
        <v>0</v>
      </c>
      <c r="N771">
        <v>0</v>
      </c>
      <c r="O771">
        <v>1237808.2860000001</v>
      </c>
      <c r="P771">
        <v>0</v>
      </c>
      <c r="Q771">
        <v>1353507.838</v>
      </c>
      <c r="R771">
        <v>0</v>
      </c>
      <c r="S771">
        <v>5.0000000002318856E-2</v>
      </c>
      <c r="T771">
        <v>-1.0000000000218279E-2</v>
      </c>
      <c r="U771">
        <v>0</v>
      </c>
      <c r="V771">
        <v>0</v>
      </c>
      <c r="W771">
        <v>2282598.5300000003</v>
      </c>
      <c r="X771">
        <v>0</v>
      </c>
      <c r="Y771">
        <v>0</v>
      </c>
      <c r="Z771">
        <v>0</v>
      </c>
      <c r="AA771">
        <v>0</v>
      </c>
      <c r="AB771">
        <v>0</v>
      </c>
      <c r="AC771" s="295">
        <v>0</v>
      </c>
      <c r="AD771">
        <f>SUMPRODUCT(DB_STProjectAcct[[#This Row],[Plan01]:[Plan12]],$F$14:$Q$14)/valUnits2</f>
        <v>1552.1467869999999</v>
      </c>
      <c r="AE771">
        <f>SUMPRODUCT(DB_STProjectAcct[[#This Row],[Act01]:[Act12]],$R$14:$AC$14)/valUnits2</f>
        <v>2282.5985700000001</v>
      </c>
      <c r="AF771">
        <f>DB_STProjectAcct[[#This Row],[Actual]]-DB_STProjectAcct[[#This Row],[Plan]]</f>
        <v>730.4517830000002</v>
      </c>
      <c r="AG771">
        <f>IF(DB_STProjectAcct[[#This Row],[Plan]]&lt;&gt;0,DB_STProjectAcct[[#This Row],[Actual]]/DB_STProjectAcct[[#This Row],[Plan]],1.000011000011)</f>
        <v>1.4706074123387662</v>
      </c>
    </row>
    <row r="772" spans="1:33" hidden="1" x14ac:dyDescent="0.2">
      <c r="A772" t="s">
        <v>765</v>
      </c>
      <c r="B772" t="s">
        <v>347</v>
      </c>
      <c r="C772" t="s">
        <v>519</v>
      </c>
      <c r="D772" t="s">
        <v>519</v>
      </c>
      <c r="E772" t="s">
        <v>140</v>
      </c>
      <c r="F772">
        <v>90443.578999999998</v>
      </c>
      <c r="G772">
        <v>86192.163</v>
      </c>
      <c r="H772">
        <v>95400.459000000003</v>
      </c>
      <c r="I772">
        <v>115177.57800000001</v>
      </c>
      <c r="J772">
        <v>118476.431</v>
      </c>
      <c r="K772">
        <v>36933.646000000001</v>
      </c>
      <c r="L772">
        <v>64817.06</v>
      </c>
      <c r="M772">
        <v>64817.06</v>
      </c>
      <c r="N772">
        <v>64817.06</v>
      </c>
      <c r="O772">
        <v>64817.06</v>
      </c>
      <c r="P772">
        <v>64817.06</v>
      </c>
      <c r="Q772">
        <v>64817.06</v>
      </c>
      <c r="R772">
        <v>50620.36</v>
      </c>
      <c r="S772">
        <v>47254.020000000004</v>
      </c>
      <c r="T772">
        <v>56187.780000000006</v>
      </c>
      <c r="U772">
        <v>75957.78</v>
      </c>
      <c r="V772">
        <v>79322.14</v>
      </c>
      <c r="W772">
        <v>81942.97</v>
      </c>
      <c r="X772">
        <v>0</v>
      </c>
      <c r="Y772">
        <v>0</v>
      </c>
      <c r="Z772">
        <v>0</v>
      </c>
      <c r="AA772">
        <v>0</v>
      </c>
      <c r="AB772">
        <v>0</v>
      </c>
      <c r="AC772" s="297">
        <v>0</v>
      </c>
      <c r="AD772">
        <f>SUMPRODUCT(DB_STProjectAcct[[#This Row],[Plan01]:[Plan12]],$F$14:$Q$14)/valUnits2</f>
        <v>542.62385599999993</v>
      </c>
      <c r="AE772">
        <f>SUMPRODUCT(DB_STProjectAcct[[#This Row],[Act01]:[Act12]],$R$14:$AC$14)/valUnits2</f>
        <v>391.28505000000007</v>
      </c>
      <c r="AF772">
        <f>DB_STProjectAcct[[#This Row],[Actual]]-DB_STProjectAcct[[#This Row],[Plan]]</f>
        <v>-151.33880599999986</v>
      </c>
      <c r="AG772">
        <f>IF(DB_STProjectAcct[[#This Row],[Plan]]&lt;&gt;0,DB_STProjectAcct[[#This Row],[Actual]]/DB_STProjectAcct[[#This Row],[Plan]],1.000011000011)</f>
        <v>0.72109813395303457</v>
      </c>
    </row>
    <row r="773" spans="1:33" hidden="1" x14ac:dyDescent="0.2">
      <c r="A773" t="s">
        <v>766</v>
      </c>
      <c r="B773" t="s">
        <v>347</v>
      </c>
      <c r="C773" t="s">
        <v>519</v>
      </c>
      <c r="D773" t="s">
        <v>519</v>
      </c>
      <c r="E773" t="s">
        <v>236</v>
      </c>
      <c r="F773">
        <v>68167.201000000001</v>
      </c>
      <c r="G773">
        <v>32295.918999999998</v>
      </c>
      <c r="H773">
        <v>114443.33700000001</v>
      </c>
      <c r="I773">
        <v>36409.596999999994</v>
      </c>
      <c r="J773">
        <v>89305.409</v>
      </c>
      <c r="K773">
        <v>33502.44</v>
      </c>
      <c r="L773">
        <v>33502.44</v>
      </c>
      <c r="M773">
        <v>33502.44</v>
      </c>
      <c r="N773">
        <v>33502.44</v>
      </c>
      <c r="O773">
        <v>33502.44</v>
      </c>
      <c r="P773">
        <v>33502.44</v>
      </c>
      <c r="Q773">
        <v>33502.44</v>
      </c>
      <c r="R773">
        <v>37471.429999999993</v>
      </c>
      <c r="S773">
        <v>-35.470000000000027</v>
      </c>
      <c r="T773">
        <v>81858.430000000008</v>
      </c>
      <c r="U773">
        <v>2818.8500000000004</v>
      </c>
      <c r="V773">
        <v>54333.729999999996</v>
      </c>
      <c r="W773">
        <v>18427.32</v>
      </c>
      <c r="X773">
        <v>0</v>
      </c>
      <c r="Y773">
        <v>0</v>
      </c>
      <c r="Z773">
        <v>0</v>
      </c>
      <c r="AA773">
        <v>0</v>
      </c>
      <c r="AB773">
        <v>0</v>
      </c>
      <c r="AC773" s="295">
        <v>0</v>
      </c>
      <c r="AD773">
        <f>SUMPRODUCT(DB_STProjectAcct[[#This Row],[Plan01]:[Plan12]],$F$14:$Q$14)/valUnits2</f>
        <v>374.12390299999998</v>
      </c>
      <c r="AE773">
        <f>SUMPRODUCT(DB_STProjectAcct[[#This Row],[Act01]:[Act12]],$R$14:$AC$14)/valUnits2</f>
        <v>194.87429</v>
      </c>
      <c r="AF773">
        <f>DB_STProjectAcct[[#This Row],[Actual]]-DB_STProjectAcct[[#This Row],[Plan]]</f>
        <v>-179.24961299999998</v>
      </c>
      <c r="AG773">
        <f>IF(DB_STProjectAcct[[#This Row],[Plan]]&lt;&gt;0,DB_STProjectAcct[[#This Row],[Actual]]/DB_STProjectAcct[[#This Row],[Plan]],1.000011000011)</f>
        <v>0.52088168769050824</v>
      </c>
    </row>
    <row r="774" spans="1:33" hidden="1" x14ac:dyDescent="0.2">
      <c r="A774" t="s">
        <v>767</v>
      </c>
      <c r="B774" t="s">
        <v>347</v>
      </c>
      <c r="C774" t="s">
        <v>519</v>
      </c>
      <c r="D774" t="s">
        <v>519</v>
      </c>
      <c r="E774" t="s">
        <v>237</v>
      </c>
      <c r="F774">
        <v>6582.12</v>
      </c>
      <c r="G774">
        <v>3052.9490000000005</v>
      </c>
      <c r="H774">
        <v>4783.0349999999999</v>
      </c>
      <c r="I774">
        <v>1208.336</v>
      </c>
      <c r="J774">
        <v>548.19100000000003</v>
      </c>
      <c r="K774">
        <v>0</v>
      </c>
      <c r="R774">
        <v>6223.32</v>
      </c>
      <c r="S774">
        <v>2925.2699999999995</v>
      </c>
      <c r="T774">
        <v>4595.71</v>
      </c>
      <c r="U774">
        <v>1172.24</v>
      </c>
      <c r="V774">
        <v>533.73</v>
      </c>
      <c r="W774">
        <v>966.68999999999994</v>
      </c>
      <c r="AC774" s="297"/>
      <c r="AD774">
        <f>SUMPRODUCT(DB_STProjectAcct[[#This Row],[Plan01]:[Plan12]],$F$14:$Q$14)/valUnits2</f>
        <v>16.174630999999998</v>
      </c>
      <c r="AE774">
        <f>SUMPRODUCT(DB_STProjectAcct[[#This Row],[Act01]:[Act12]],$R$14:$AC$14)/valUnits2</f>
        <v>16.41696</v>
      </c>
      <c r="AF774">
        <f>DB_STProjectAcct[[#This Row],[Actual]]-DB_STProjectAcct[[#This Row],[Plan]]</f>
        <v>0.24232900000000157</v>
      </c>
      <c r="AG774">
        <f>IF(DB_STProjectAcct[[#This Row],[Plan]]&lt;&gt;0,DB_STProjectAcct[[#This Row],[Actual]]/DB_STProjectAcct[[#This Row],[Plan]],1.000011000011)</f>
        <v>1.0149820419396276</v>
      </c>
    </row>
    <row r="775" spans="1:33" hidden="1" x14ac:dyDescent="0.2">
      <c r="A775" t="s">
        <v>768</v>
      </c>
      <c r="B775" t="s">
        <v>347</v>
      </c>
      <c r="C775" t="s">
        <v>519</v>
      </c>
      <c r="D775" t="s">
        <v>519</v>
      </c>
      <c r="E775" t="s">
        <v>141</v>
      </c>
      <c r="F775">
        <v>18826.212</v>
      </c>
      <c r="G775">
        <v>15367.550999999999</v>
      </c>
      <c r="H775">
        <v>15216.75</v>
      </c>
      <c r="I775">
        <v>41224.353999999992</v>
      </c>
      <c r="J775">
        <v>44933.205999999991</v>
      </c>
      <c r="K775">
        <v>36001.640999999996</v>
      </c>
      <c r="L775">
        <v>36001.640999999996</v>
      </c>
      <c r="M775">
        <v>36001.640999999996</v>
      </c>
      <c r="N775">
        <v>36001.640999999996</v>
      </c>
      <c r="O775">
        <v>36001.640999999996</v>
      </c>
      <c r="P775">
        <v>36001.640999999996</v>
      </c>
      <c r="Q775">
        <v>36001.640999999996</v>
      </c>
      <c r="R775">
        <v>5310.1699999999992</v>
      </c>
      <c r="S775">
        <v>2063.9299999999998</v>
      </c>
      <c r="T775">
        <v>1928.8100000000002</v>
      </c>
      <c r="U775">
        <v>5083.4900000000007</v>
      </c>
      <c r="V775">
        <v>8660.73</v>
      </c>
      <c r="W775">
        <v>4310.9199999999992</v>
      </c>
      <c r="X775">
        <v>5924.21</v>
      </c>
      <c r="Y775">
        <v>0</v>
      </c>
      <c r="Z775">
        <v>0</v>
      </c>
      <c r="AA775">
        <v>0</v>
      </c>
      <c r="AB775">
        <v>0</v>
      </c>
      <c r="AC775" s="295">
        <v>0</v>
      </c>
      <c r="AD775">
        <f>SUMPRODUCT(DB_STProjectAcct[[#This Row],[Plan01]:[Plan12]],$F$14:$Q$14)/valUnits2</f>
        <v>171.56971399999998</v>
      </c>
      <c r="AE775">
        <f>SUMPRODUCT(DB_STProjectAcct[[#This Row],[Act01]:[Act12]],$R$14:$AC$14)/valUnits2</f>
        <v>27.358049999999995</v>
      </c>
      <c r="AF775">
        <f>DB_STProjectAcct[[#This Row],[Actual]]-DB_STProjectAcct[[#This Row],[Plan]]</f>
        <v>-144.21166399999998</v>
      </c>
      <c r="AG775">
        <f>IF(DB_STProjectAcct[[#This Row],[Plan]]&lt;&gt;0,DB_STProjectAcct[[#This Row],[Actual]]/DB_STProjectAcct[[#This Row],[Plan]],1.000011000011)</f>
        <v>0.1594573387235465</v>
      </c>
    </row>
    <row r="776" spans="1:33" hidden="1" x14ac:dyDescent="0.2">
      <c r="A776" t="s">
        <v>769</v>
      </c>
      <c r="B776" t="s">
        <v>347</v>
      </c>
      <c r="C776" t="s">
        <v>520</v>
      </c>
      <c r="D776" t="s">
        <v>520</v>
      </c>
      <c r="E776" t="s">
        <v>143</v>
      </c>
      <c r="AC776" s="297"/>
      <c r="AD776">
        <f>SUMPRODUCT(DB_STProjectAcct[[#This Row],[Plan01]:[Plan12]],$F$14:$Q$14)/valUnits2</f>
        <v>0</v>
      </c>
      <c r="AE776">
        <f>SUMPRODUCT(DB_STProjectAcct[[#This Row],[Act01]:[Act12]],$R$14:$AC$14)/valUnits2</f>
        <v>0</v>
      </c>
      <c r="AF776">
        <f>DB_STProjectAcct[[#This Row],[Actual]]-DB_STProjectAcct[[#This Row],[Plan]]</f>
        <v>0</v>
      </c>
      <c r="AG776">
        <f>IF(DB_STProjectAcct[[#This Row],[Plan]]&lt;&gt;0,DB_STProjectAcct[[#This Row],[Actual]]/DB_STProjectAcct[[#This Row],[Plan]],1.000011000011)</f>
        <v>1.0000110000110001</v>
      </c>
    </row>
    <row r="777" spans="1:33" hidden="1" x14ac:dyDescent="0.2">
      <c r="A777" t="s">
        <v>770</v>
      </c>
      <c r="B777" t="s">
        <v>347</v>
      </c>
      <c r="C777" t="s">
        <v>520</v>
      </c>
      <c r="D777" t="s">
        <v>520</v>
      </c>
      <c r="E777" t="s">
        <v>235</v>
      </c>
      <c r="AC777" s="295"/>
      <c r="AD777">
        <f>SUMPRODUCT(DB_STProjectAcct[[#This Row],[Plan01]:[Plan12]],$F$14:$Q$14)/valUnits2</f>
        <v>0</v>
      </c>
      <c r="AE777">
        <f>SUMPRODUCT(DB_STProjectAcct[[#This Row],[Act01]:[Act12]],$R$14:$AC$14)/valUnits2</f>
        <v>0</v>
      </c>
      <c r="AF777">
        <f>DB_STProjectAcct[[#This Row],[Actual]]-DB_STProjectAcct[[#This Row],[Plan]]</f>
        <v>0</v>
      </c>
      <c r="AG777">
        <f>IF(DB_STProjectAcct[[#This Row],[Plan]]&lt;&gt;0,DB_STProjectAcct[[#This Row],[Actual]]/DB_STProjectAcct[[#This Row],[Plan]],1.000011000011)</f>
        <v>1.0000110000110001</v>
      </c>
    </row>
    <row r="778" spans="1:33" hidden="1" x14ac:dyDescent="0.2">
      <c r="A778" t="s">
        <v>771</v>
      </c>
      <c r="B778" t="s">
        <v>347</v>
      </c>
      <c r="C778" t="s">
        <v>520</v>
      </c>
      <c r="D778" t="s">
        <v>520</v>
      </c>
      <c r="E778" t="s">
        <v>144</v>
      </c>
      <c r="AC778" s="297"/>
      <c r="AD778">
        <f>SUMPRODUCT(DB_STProjectAcct[[#This Row],[Plan01]:[Plan12]],$F$14:$Q$14)/valUnits2</f>
        <v>0</v>
      </c>
      <c r="AE778">
        <f>SUMPRODUCT(DB_STProjectAcct[[#This Row],[Act01]:[Act12]],$R$14:$AC$14)/valUnits2</f>
        <v>0</v>
      </c>
      <c r="AF778">
        <f>DB_STProjectAcct[[#This Row],[Actual]]-DB_STProjectAcct[[#This Row],[Plan]]</f>
        <v>0</v>
      </c>
      <c r="AG778">
        <f>IF(DB_STProjectAcct[[#This Row],[Plan]]&lt;&gt;0,DB_STProjectAcct[[#This Row],[Actual]]/DB_STProjectAcct[[#This Row],[Plan]],1.000011000011)</f>
        <v>1.0000110000110001</v>
      </c>
    </row>
    <row r="779" spans="1:33" hidden="1" x14ac:dyDescent="0.2">
      <c r="A779" t="s">
        <v>772</v>
      </c>
      <c r="B779" t="s">
        <v>347</v>
      </c>
      <c r="C779" t="s">
        <v>520</v>
      </c>
      <c r="D779" t="s">
        <v>520</v>
      </c>
      <c r="E779" t="s">
        <v>142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 s="295">
        <v>0</v>
      </c>
      <c r="AD779">
        <f>SUMPRODUCT(DB_STProjectAcct[[#This Row],[Plan01]:[Plan12]],$F$14:$Q$14)/valUnits2</f>
        <v>0</v>
      </c>
      <c r="AE779">
        <f>SUMPRODUCT(DB_STProjectAcct[[#This Row],[Act01]:[Act12]],$R$14:$AC$14)/valUnits2</f>
        <v>0</v>
      </c>
      <c r="AF779">
        <f>DB_STProjectAcct[[#This Row],[Actual]]-DB_STProjectAcct[[#This Row],[Plan]]</f>
        <v>0</v>
      </c>
      <c r="AG779">
        <f>IF(DB_STProjectAcct[[#This Row],[Plan]]&lt;&gt;0,DB_STProjectAcct[[#This Row],[Actual]]/DB_STProjectAcct[[#This Row],[Plan]],1.000011000011)</f>
        <v>1.0000110000110001</v>
      </c>
    </row>
    <row r="780" spans="1:33" hidden="1" x14ac:dyDescent="0.2">
      <c r="A780" t="s">
        <v>773</v>
      </c>
      <c r="B780" t="s">
        <v>347</v>
      </c>
      <c r="C780" t="s">
        <v>520</v>
      </c>
      <c r="D780" t="s">
        <v>520</v>
      </c>
      <c r="E780" t="s">
        <v>140</v>
      </c>
      <c r="AC780" s="297"/>
      <c r="AD780">
        <f>SUMPRODUCT(DB_STProjectAcct[[#This Row],[Plan01]:[Plan12]],$F$14:$Q$14)/valUnits2</f>
        <v>0</v>
      </c>
      <c r="AE780">
        <f>SUMPRODUCT(DB_STProjectAcct[[#This Row],[Act01]:[Act12]],$R$14:$AC$14)/valUnits2</f>
        <v>0</v>
      </c>
      <c r="AF780">
        <f>DB_STProjectAcct[[#This Row],[Actual]]-DB_STProjectAcct[[#This Row],[Plan]]</f>
        <v>0</v>
      </c>
      <c r="AG780">
        <f>IF(DB_STProjectAcct[[#This Row],[Plan]]&lt;&gt;0,DB_STProjectAcct[[#This Row],[Actual]]/DB_STProjectAcct[[#This Row],[Plan]],1.000011000011)</f>
        <v>1.0000110000110001</v>
      </c>
    </row>
    <row r="781" spans="1:33" hidden="1" x14ac:dyDescent="0.2">
      <c r="A781" t="s">
        <v>774</v>
      </c>
      <c r="B781" t="s">
        <v>347</v>
      </c>
      <c r="C781" t="s">
        <v>520</v>
      </c>
      <c r="D781" t="s">
        <v>520</v>
      </c>
      <c r="E781" t="s">
        <v>236</v>
      </c>
      <c r="F781">
        <v>-405.262</v>
      </c>
      <c r="R781">
        <v>-387.54</v>
      </c>
      <c r="AC781" s="295"/>
      <c r="AD781">
        <f>SUMPRODUCT(DB_STProjectAcct[[#This Row],[Plan01]:[Plan12]],$F$14:$Q$14)/valUnits2</f>
        <v>-0.40526200000000001</v>
      </c>
      <c r="AE781">
        <f>SUMPRODUCT(DB_STProjectAcct[[#This Row],[Act01]:[Act12]],$R$14:$AC$14)/valUnits2</f>
        <v>-0.38754</v>
      </c>
      <c r="AF781">
        <f>DB_STProjectAcct[[#This Row],[Actual]]-DB_STProjectAcct[[#This Row],[Plan]]</f>
        <v>1.7722000000000016E-2</v>
      </c>
      <c r="AG781">
        <f>IF(DB_STProjectAcct[[#This Row],[Plan]]&lt;&gt;0,DB_STProjectAcct[[#This Row],[Actual]]/DB_STProjectAcct[[#This Row],[Plan]],1.000011000011)</f>
        <v>0.95627026466828857</v>
      </c>
    </row>
    <row r="782" spans="1:33" hidden="1" x14ac:dyDescent="0.2">
      <c r="A782" t="s">
        <v>775</v>
      </c>
      <c r="B782" t="s">
        <v>347</v>
      </c>
      <c r="C782" t="s">
        <v>520</v>
      </c>
      <c r="D782" t="s">
        <v>520</v>
      </c>
      <c r="E782" t="s">
        <v>237</v>
      </c>
      <c r="AC782" s="297"/>
      <c r="AD782">
        <f>SUMPRODUCT(DB_STProjectAcct[[#This Row],[Plan01]:[Plan12]],$F$14:$Q$14)/valUnits2</f>
        <v>0</v>
      </c>
      <c r="AE782">
        <f>SUMPRODUCT(DB_STProjectAcct[[#This Row],[Act01]:[Act12]],$R$14:$AC$14)/valUnits2</f>
        <v>0</v>
      </c>
      <c r="AF782">
        <f>DB_STProjectAcct[[#This Row],[Actual]]-DB_STProjectAcct[[#This Row],[Plan]]</f>
        <v>0</v>
      </c>
      <c r="AG782">
        <f>IF(DB_STProjectAcct[[#This Row],[Plan]]&lt;&gt;0,DB_STProjectAcct[[#This Row],[Actual]]/DB_STProjectAcct[[#This Row],[Plan]],1.000011000011)</f>
        <v>1.0000110000110001</v>
      </c>
    </row>
    <row r="783" spans="1:33" hidden="1" x14ac:dyDescent="0.2">
      <c r="A783" t="s">
        <v>776</v>
      </c>
      <c r="B783" t="s">
        <v>347</v>
      </c>
      <c r="C783" t="s">
        <v>520</v>
      </c>
      <c r="D783" t="s">
        <v>520</v>
      </c>
      <c r="E783" t="s">
        <v>141</v>
      </c>
      <c r="AC783" s="295"/>
      <c r="AD783">
        <f>SUMPRODUCT(DB_STProjectAcct[[#This Row],[Plan01]:[Plan12]],$F$14:$Q$14)/valUnits2</f>
        <v>0</v>
      </c>
      <c r="AE783">
        <f>SUMPRODUCT(DB_STProjectAcct[[#This Row],[Act01]:[Act12]],$R$14:$AC$14)/valUnits2</f>
        <v>0</v>
      </c>
      <c r="AF783">
        <f>DB_STProjectAcct[[#This Row],[Actual]]-DB_STProjectAcct[[#This Row],[Plan]]</f>
        <v>0</v>
      </c>
      <c r="AG783">
        <f>IF(DB_STProjectAcct[[#This Row],[Plan]]&lt;&gt;0,DB_STProjectAcct[[#This Row],[Actual]]/DB_STProjectAcct[[#This Row],[Plan]],1.000011000011)</f>
        <v>1.0000110000110001</v>
      </c>
    </row>
    <row r="784" spans="1:33" hidden="1" x14ac:dyDescent="0.2">
      <c r="A784" t="s">
        <v>777</v>
      </c>
      <c r="B784" t="s">
        <v>347</v>
      </c>
      <c r="C784" t="s">
        <v>521</v>
      </c>
      <c r="D784" t="s">
        <v>521</v>
      </c>
      <c r="E784" t="s">
        <v>143</v>
      </c>
      <c r="AC784" s="297"/>
      <c r="AD784">
        <f>SUMPRODUCT(DB_STProjectAcct[[#This Row],[Plan01]:[Plan12]],$F$14:$Q$14)/valUnits2</f>
        <v>0</v>
      </c>
      <c r="AE784">
        <f>SUMPRODUCT(DB_STProjectAcct[[#This Row],[Act01]:[Act12]],$R$14:$AC$14)/valUnits2</f>
        <v>0</v>
      </c>
      <c r="AF784">
        <f>DB_STProjectAcct[[#This Row],[Actual]]-DB_STProjectAcct[[#This Row],[Plan]]</f>
        <v>0</v>
      </c>
      <c r="AG784">
        <f>IF(DB_STProjectAcct[[#This Row],[Plan]]&lt;&gt;0,DB_STProjectAcct[[#This Row],[Actual]]/DB_STProjectAcct[[#This Row],[Plan]],1.000011000011)</f>
        <v>1.0000110000110001</v>
      </c>
    </row>
    <row r="785" spans="1:33" hidden="1" x14ac:dyDescent="0.2">
      <c r="A785" t="s">
        <v>778</v>
      </c>
      <c r="B785" t="s">
        <v>347</v>
      </c>
      <c r="C785" t="s">
        <v>521</v>
      </c>
      <c r="D785" t="s">
        <v>521</v>
      </c>
      <c r="E785" t="s">
        <v>235</v>
      </c>
      <c r="AC785" s="295"/>
      <c r="AD785">
        <f>SUMPRODUCT(DB_STProjectAcct[[#This Row],[Plan01]:[Plan12]],$F$14:$Q$14)/valUnits2</f>
        <v>0</v>
      </c>
      <c r="AE785">
        <f>SUMPRODUCT(DB_STProjectAcct[[#This Row],[Act01]:[Act12]],$R$14:$AC$14)/valUnits2</f>
        <v>0</v>
      </c>
      <c r="AF785">
        <f>DB_STProjectAcct[[#This Row],[Actual]]-DB_STProjectAcct[[#This Row],[Plan]]</f>
        <v>0</v>
      </c>
      <c r="AG785">
        <f>IF(DB_STProjectAcct[[#This Row],[Plan]]&lt;&gt;0,DB_STProjectAcct[[#This Row],[Actual]]/DB_STProjectAcct[[#This Row],[Plan]],1.000011000011)</f>
        <v>1.0000110000110001</v>
      </c>
    </row>
    <row r="786" spans="1:33" hidden="1" x14ac:dyDescent="0.2">
      <c r="A786" t="s">
        <v>779</v>
      </c>
      <c r="B786" t="s">
        <v>347</v>
      </c>
      <c r="C786" t="s">
        <v>521</v>
      </c>
      <c r="D786" t="s">
        <v>521</v>
      </c>
      <c r="E786" t="s">
        <v>144</v>
      </c>
      <c r="AC786" s="297"/>
      <c r="AD786">
        <f>SUMPRODUCT(DB_STProjectAcct[[#This Row],[Plan01]:[Plan12]],$F$14:$Q$14)/valUnits2</f>
        <v>0</v>
      </c>
      <c r="AE786">
        <f>SUMPRODUCT(DB_STProjectAcct[[#This Row],[Act01]:[Act12]],$R$14:$AC$14)/valUnits2</f>
        <v>0</v>
      </c>
      <c r="AF786">
        <f>DB_STProjectAcct[[#This Row],[Actual]]-DB_STProjectAcct[[#This Row],[Plan]]</f>
        <v>0</v>
      </c>
      <c r="AG786">
        <f>IF(DB_STProjectAcct[[#This Row],[Plan]]&lt;&gt;0,DB_STProjectAcct[[#This Row],[Actual]]/DB_STProjectAcct[[#This Row],[Plan]],1.000011000011)</f>
        <v>1.0000110000110001</v>
      </c>
    </row>
    <row r="787" spans="1:33" hidden="1" x14ac:dyDescent="0.2">
      <c r="A787" t="s">
        <v>780</v>
      </c>
      <c r="B787" t="s">
        <v>347</v>
      </c>
      <c r="C787" t="s">
        <v>521</v>
      </c>
      <c r="D787" t="s">
        <v>521</v>
      </c>
      <c r="E787" t="s">
        <v>142</v>
      </c>
      <c r="I787">
        <v>62592.341999999997</v>
      </c>
      <c r="K787">
        <v>0</v>
      </c>
      <c r="L787">
        <v>50087.85</v>
      </c>
      <c r="U787">
        <v>0</v>
      </c>
      <c r="W787">
        <v>91478.83</v>
      </c>
      <c r="X787">
        <v>0</v>
      </c>
      <c r="AC787" s="295"/>
      <c r="AD787">
        <f>SUMPRODUCT(DB_STProjectAcct[[#This Row],[Plan01]:[Plan12]],$F$14:$Q$14)/valUnits2</f>
        <v>62.592341999999995</v>
      </c>
      <c r="AE787">
        <f>SUMPRODUCT(DB_STProjectAcct[[#This Row],[Act01]:[Act12]],$R$14:$AC$14)/valUnits2</f>
        <v>91.478830000000002</v>
      </c>
      <c r="AF787">
        <f>DB_STProjectAcct[[#This Row],[Actual]]-DB_STProjectAcct[[#This Row],[Plan]]</f>
        <v>28.886488000000007</v>
      </c>
      <c r="AG787">
        <f>IF(DB_STProjectAcct[[#This Row],[Plan]]&lt;&gt;0,DB_STProjectAcct[[#This Row],[Actual]]/DB_STProjectAcct[[#This Row],[Plan]],1.000011000011)</f>
        <v>1.4615019517882877</v>
      </c>
    </row>
    <row r="788" spans="1:33" hidden="1" x14ac:dyDescent="0.2">
      <c r="A788" t="s">
        <v>781</v>
      </c>
      <c r="B788" t="s">
        <v>347</v>
      </c>
      <c r="C788" t="s">
        <v>521</v>
      </c>
      <c r="D788" t="s">
        <v>521</v>
      </c>
      <c r="E788" t="s">
        <v>140</v>
      </c>
      <c r="AC788" s="297"/>
      <c r="AD788">
        <f>SUMPRODUCT(DB_STProjectAcct[[#This Row],[Plan01]:[Plan12]],$F$14:$Q$14)/valUnits2</f>
        <v>0</v>
      </c>
      <c r="AE788">
        <f>SUMPRODUCT(DB_STProjectAcct[[#This Row],[Act01]:[Act12]],$R$14:$AC$14)/valUnits2</f>
        <v>0</v>
      </c>
      <c r="AF788">
        <f>DB_STProjectAcct[[#This Row],[Actual]]-DB_STProjectAcct[[#This Row],[Plan]]</f>
        <v>0</v>
      </c>
      <c r="AG788">
        <f>IF(DB_STProjectAcct[[#This Row],[Plan]]&lt;&gt;0,DB_STProjectAcct[[#This Row],[Actual]]/DB_STProjectAcct[[#This Row],[Plan]],1.000011000011)</f>
        <v>1.0000110000110001</v>
      </c>
    </row>
    <row r="789" spans="1:33" hidden="1" x14ac:dyDescent="0.2">
      <c r="A789" t="s">
        <v>782</v>
      </c>
      <c r="B789" t="s">
        <v>347</v>
      </c>
      <c r="C789" t="s">
        <v>521</v>
      </c>
      <c r="D789" t="s">
        <v>521</v>
      </c>
      <c r="E789" t="s">
        <v>236</v>
      </c>
      <c r="AC789" s="295"/>
      <c r="AD789">
        <f>SUMPRODUCT(DB_STProjectAcct[[#This Row],[Plan01]:[Plan12]],$F$14:$Q$14)/valUnits2</f>
        <v>0</v>
      </c>
      <c r="AE789">
        <f>SUMPRODUCT(DB_STProjectAcct[[#This Row],[Act01]:[Act12]],$R$14:$AC$14)/valUnits2</f>
        <v>0</v>
      </c>
      <c r="AF789">
        <f>DB_STProjectAcct[[#This Row],[Actual]]-DB_STProjectAcct[[#This Row],[Plan]]</f>
        <v>0</v>
      </c>
      <c r="AG789">
        <f>IF(DB_STProjectAcct[[#This Row],[Plan]]&lt;&gt;0,DB_STProjectAcct[[#This Row],[Actual]]/DB_STProjectAcct[[#This Row],[Plan]],1.000011000011)</f>
        <v>1.0000110000110001</v>
      </c>
    </row>
    <row r="790" spans="1:33" hidden="1" x14ac:dyDescent="0.2">
      <c r="A790" t="s">
        <v>783</v>
      </c>
      <c r="B790" t="s">
        <v>347</v>
      </c>
      <c r="C790" t="s">
        <v>521</v>
      </c>
      <c r="D790" t="s">
        <v>521</v>
      </c>
      <c r="E790" t="s">
        <v>237</v>
      </c>
      <c r="AC790" s="297"/>
      <c r="AD790">
        <f>SUMPRODUCT(DB_STProjectAcct[[#This Row],[Plan01]:[Plan12]],$F$14:$Q$14)/valUnits2</f>
        <v>0</v>
      </c>
      <c r="AE790">
        <f>SUMPRODUCT(DB_STProjectAcct[[#This Row],[Act01]:[Act12]],$R$14:$AC$14)/valUnits2</f>
        <v>0</v>
      </c>
      <c r="AF790">
        <f>DB_STProjectAcct[[#This Row],[Actual]]-DB_STProjectAcct[[#This Row],[Plan]]</f>
        <v>0</v>
      </c>
      <c r="AG790">
        <f>IF(DB_STProjectAcct[[#This Row],[Plan]]&lt;&gt;0,DB_STProjectAcct[[#This Row],[Actual]]/DB_STProjectAcct[[#This Row],[Plan]],1.000011000011)</f>
        <v>1.0000110000110001</v>
      </c>
    </row>
    <row r="791" spans="1:33" hidden="1" x14ac:dyDescent="0.2">
      <c r="A791" t="s">
        <v>784</v>
      </c>
      <c r="B791" t="s">
        <v>347</v>
      </c>
      <c r="C791" t="s">
        <v>521</v>
      </c>
      <c r="D791" t="s">
        <v>521</v>
      </c>
      <c r="E791" t="s">
        <v>141</v>
      </c>
      <c r="AC791" s="295"/>
      <c r="AD791">
        <f>SUMPRODUCT(DB_STProjectAcct[[#This Row],[Plan01]:[Plan12]],$F$14:$Q$14)/valUnits2</f>
        <v>0</v>
      </c>
      <c r="AE791">
        <f>SUMPRODUCT(DB_STProjectAcct[[#This Row],[Act01]:[Act12]],$R$14:$AC$14)/valUnits2</f>
        <v>0</v>
      </c>
      <c r="AF791">
        <f>DB_STProjectAcct[[#This Row],[Actual]]-DB_STProjectAcct[[#This Row],[Plan]]</f>
        <v>0</v>
      </c>
      <c r="AG791">
        <f>IF(DB_STProjectAcct[[#This Row],[Plan]]&lt;&gt;0,DB_STProjectAcct[[#This Row],[Actual]]/DB_STProjectAcct[[#This Row],[Plan]],1.000011000011)</f>
        <v>1.0000110000110001</v>
      </c>
    </row>
    <row r="792" spans="1:33" hidden="1" x14ac:dyDescent="0.2">
      <c r="A792" t="s">
        <v>785</v>
      </c>
      <c r="B792" t="s">
        <v>348</v>
      </c>
      <c r="C792" t="s">
        <v>522</v>
      </c>
      <c r="D792" t="s">
        <v>522</v>
      </c>
      <c r="E792" t="s">
        <v>143</v>
      </c>
      <c r="F792">
        <v>87.46</v>
      </c>
      <c r="G792">
        <v>178.893</v>
      </c>
      <c r="H792">
        <v>629.697</v>
      </c>
      <c r="I792">
        <v>197.685</v>
      </c>
      <c r="J792">
        <v>636.68799999999999</v>
      </c>
      <c r="K792">
        <v>584.69899999999996</v>
      </c>
      <c r="L792">
        <v>2594.6329999999994</v>
      </c>
      <c r="M792">
        <v>584.69899999999996</v>
      </c>
      <c r="N792">
        <v>584.69899999999996</v>
      </c>
      <c r="O792">
        <v>584.69899999999996</v>
      </c>
      <c r="P792">
        <v>584.69899999999996</v>
      </c>
      <c r="Q792">
        <v>584.69899999999996</v>
      </c>
      <c r="R792">
        <v>88.84</v>
      </c>
      <c r="S792">
        <v>183.95000000000002</v>
      </c>
      <c r="T792">
        <v>625.54000000000008</v>
      </c>
      <c r="U792">
        <v>194.31</v>
      </c>
      <c r="V792">
        <v>493.71000000000004</v>
      </c>
      <c r="W792">
        <v>614.97</v>
      </c>
      <c r="X792">
        <v>0</v>
      </c>
      <c r="Y792">
        <v>0</v>
      </c>
      <c r="Z792">
        <v>0</v>
      </c>
      <c r="AA792">
        <v>0</v>
      </c>
      <c r="AB792">
        <v>0</v>
      </c>
      <c r="AC792" s="297">
        <v>0</v>
      </c>
      <c r="AD792">
        <f>SUMPRODUCT(DB_STProjectAcct[[#This Row],[Plan01]:[Plan12]],$F$14:$Q$14)/valUnits2</f>
        <v>2.3151219999999997</v>
      </c>
      <c r="AE792">
        <f>SUMPRODUCT(DB_STProjectAcct[[#This Row],[Act01]:[Act12]],$R$14:$AC$14)/valUnits2</f>
        <v>2.2013199999999999</v>
      </c>
      <c r="AF792">
        <f>DB_STProjectAcct[[#This Row],[Actual]]-DB_STProjectAcct[[#This Row],[Plan]]</f>
        <v>-0.11380199999999974</v>
      </c>
      <c r="AG792">
        <f>IF(DB_STProjectAcct[[#This Row],[Plan]]&lt;&gt;0,DB_STProjectAcct[[#This Row],[Actual]]/DB_STProjectAcct[[#This Row],[Plan]],1.000011000011)</f>
        <v>0.95084405918996939</v>
      </c>
    </row>
    <row r="793" spans="1:33" hidden="1" x14ac:dyDescent="0.2">
      <c r="A793" t="s">
        <v>786</v>
      </c>
      <c r="B793" t="s">
        <v>348</v>
      </c>
      <c r="C793" t="s">
        <v>522</v>
      </c>
      <c r="D793" t="s">
        <v>522</v>
      </c>
      <c r="E793" t="s">
        <v>235</v>
      </c>
      <c r="F793">
        <v>2815.9940000000006</v>
      </c>
      <c r="G793">
        <v>1675.7279999999998</v>
      </c>
      <c r="H793">
        <v>2940.1819999999998</v>
      </c>
      <c r="I793">
        <v>2113.5700000000002</v>
      </c>
      <c r="J793">
        <v>1417.5070000000001</v>
      </c>
      <c r="K793">
        <v>8206.4340000000011</v>
      </c>
      <c r="L793">
        <v>3711.5729999999999</v>
      </c>
      <c r="M793">
        <v>3711.5729999999999</v>
      </c>
      <c r="N793">
        <v>3711.5729999999999</v>
      </c>
      <c r="O793">
        <v>3711.5729999999999</v>
      </c>
      <c r="P793">
        <v>3711.5729999999999</v>
      </c>
      <c r="Q793">
        <v>3711.5729999999999</v>
      </c>
      <c r="R793">
        <v>2825.54</v>
      </c>
      <c r="S793">
        <v>1709.23</v>
      </c>
      <c r="T793">
        <v>2928.9</v>
      </c>
      <c r="U793">
        <v>2098.96</v>
      </c>
      <c r="V793">
        <v>1559.84</v>
      </c>
      <c r="W793">
        <v>847.08999999999992</v>
      </c>
      <c r="X793">
        <v>0</v>
      </c>
      <c r="Y793">
        <v>0</v>
      </c>
      <c r="Z793">
        <v>0</v>
      </c>
      <c r="AA793">
        <v>0</v>
      </c>
      <c r="AB793">
        <v>0</v>
      </c>
      <c r="AC793" s="295">
        <v>0</v>
      </c>
      <c r="AD793">
        <f>SUMPRODUCT(DB_STProjectAcct[[#This Row],[Plan01]:[Plan12]],$F$14:$Q$14)/valUnits2</f>
        <v>19.169415000000001</v>
      </c>
      <c r="AE793">
        <f>SUMPRODUCT(DB_STProjectAcct[[#This Row],[Act01]:[Act12]],$R$14:$AC$14)/valUnits2</f>
        <v>11.969560000000001</v>
      </c>
      <c r="AF793">
        <f>DB_STProjectAcct[[#This Row],[Actual]]-DB_STProjectAcct[[#This Row],[Plan]]</f>
        <v>-7.1998549999999994</v>
      </c>
      <c r="AG793">
        <f>IF(DB_STProjectAcct[[#This Row],[Plan]]&lt;&gt;0,DB_STProjectAcct[[#This Row],[Actual]]/DB_STProjectAcct[[#This Row],[Plan]],1.000011000011)</f>
        <v>0.62440924775221363</v>
      </c>
    </row>
    <row r="794" spans="1:33" hidden="1" x14ac:dyDescent="0.2">
      <c r="A794" t="s">
        <v>787</v>
      </c>
      <c r="B794" t="s">
        <v>348</v>
      </c>
      <c r="C794" t="s">
        <v>522</v>
      </c>
      <c r="D794" t="s">
        <v>522</v>
      </c>
      <c r="E794" t="s">
        <v>144</v>
      </c>
      <c r="AC794" s="297"/>
      <c r="AD794">
        <f>SUMPRODUCT(DB_STProjectAcct[[#This Row],[Plan01]:[Plan12]],$F$14:$Q$14)/valUnits2</f>
        <v>0</v>
      </c>
      <c r="AE794">
        <f>SUMPRODUCT(DB_STProjectAcct[[#This Row],[Act01]:[Act12]],$R$14:$AC$14)/valUnits2</f>
        <v>0</v>
      </c>
      <c r="AF794">
        <f>DB_STProjectAcct[[#This Row],[Actual]]-DB_STProjectAcct[[#This Row],[Plan]]</f>
        <v>0</v>
      </c>
      <c r="AG794">
        <f>IF(DB_STProjectAcct[[#This Row],[Plan]]&lt;&gt;0,DB_STProjectAcct[[#This Row],[Actual]]/DB_STProjectAcct[[#This Row],[Plan]],1.000011000011)</f>
        <v>1.0000110000110001</v>
      </c>
    </row>
    <row r="795" spans="1:33" hidden="1" x14ac:dyDescent="0.2">
      <c r="A795" t="s">
        <v>788</v>
      </c>
      <c r="B795" t="s">
        <v>348</v>
      </c>
      <c r="C795" t="s">
        <v>522</v>
      </c>
      <c r="D795" t="s">
        <v>522</v>
      </c>
      <c r="E795" t="s">
        <v>142</v>
      </c>
      <c r="F795">
        <v>191065.07699999999</v>
      </c>
      <c r="G795">
        <v>603208.45699999994</v>
      </c>
      <c r="H795">
        <v>478575.00400000007</v>
      </c>
      <c r="I795">
        <v>460236.57399999996</v>
      </c>
      <c r="J795">
        <v>306415.21100000007</v>
      </c>
      <c r="K795">
        <v>289812.31400000001</v>
      </c>
      <c r="L795">
        <v>325984.59599999996</v>
      </c>
      <c r="M795">
        <v>283902.44700000004</v>
      </c>
      <c r="N795">
        <v>286565.902</v>
      </c>
      <c r="O795">
        <v>282637.527</v>
      </c>
      <c r="P795">
        <v>284986.23199999996</v>
      </c>
      <c r="Q795">
        <v>293282.73099999997</v>
      </c>
      <c r="R795">
        <v>194029.87999999989</v>
      </c>
      <c r="S795">
        <v>620352.88</v>
      </c>
      <c r="T795">
        <v>478230.75999999989</v>
      </c>
      <c r="U795">
        <v>455357.25999999995</v>
      </c>
      <c r="V795">
        <v>306443.15000000002</v>
      </c>
      <c r="W795">
        <v>456399.53</v>
      </c>
      <c r="X795">
        <v>37226.519999999997</v>
      </c>
      <c r="Y795">
        <v>0</v>
      </c>
      <c r="Z795">
        <v>0</v>
      </c>
      <c r="AA795">
        <v>0</v>
      </c>
      <c r="AB795">
        <v>0</v>
      </c>
      <c r="AC795" s="295">
        <v>0</v>
      </c>
      <c r="AD795">
        <f>SUMPRODUCT(DB_STProjectAcct[[#This Row],[Plan01]:[Plan12]],$F$14:$Q$14)/valUnits2</f>
        <v>2329.312637</v>
      </c>
      <c r="AE795">
        <f>SUMPRODUCT(DB_STProjectAcct[[#This Row],[Act01]:[Act12]],$R$14:$AC$14)/valUnits2</f>
        <v>2510.8134599999998</v>
      </c>
      <c r="AF795">
        <f>DB_STProjectAcct[[#This Row],[Actual]]-DB_STProjectAcct[[#This Row],[Plan]]</f>
        <v>181.50082299999985</v>
      </c>
      <c r="AG795">
        <f>IF(DB_STProjectAcct[[#This Row],[Plan]]&lt;&gt;0,DB_STProjectAcct[[#This Row],[Actual]]/DB_STProjectAcct[[#This Row],[Plan]],1.000011000011)</f>
        <v>1.0779203358608662</v>
      </c>
    </row>
    <row r="796" spans="1:33" hidden="1" x14ac:dyDescent="0.2">
      <c r="A796" t="s">
        <v>789</v>
      </c>
      <c r="B796" t="s">
        <v>348</v>
      </c>
      <c r="C796" t="s">
        <v>522</v>
      </c>
      <c r="D796" t="s">
        <v>522</v>
      </c>
      <c r="E796" t="s">
        <v>140</v>
      </c>
      <c r="F796">
        <v>31046.427000000003</v>
      </c>
      <c r="G796">
        <v>38605.048000000003</v>
      </c>
      <c r="H796">
        <v>42532.605999999992</v>
      </c>
      <c r="I796">
        <v>33614.206999999995</v>
      </c>
      <c r="J796">
        <v>63574.344999999979</v>
      </c>
      <c r="K796">
        <v>63599.339</v>
      </c>
      <c r="L796">
        <v>62580.010999999991</v>
      </c>
      <c r="M796">
        <v>62580.010999999999</v>
      </c>
      <c r="N796">
        <v>62580.010999999991</v>
      </c>
      <c r="O796">
        <v>62580.010999999991</v>
      </c>
      <c r="P796">
        <v>62580.010999999999</v>
      </c>
      <c r="Q796">
        <v>65049.093000000001</v>
      </c>
      <c r="R796">
        <v>31104.199999999997</v>
      </c>
      <c r="S796">
        <v>39013.730000000003</v>
      </c>
      <c r="T796">
        <v>42405.250000000015</v>
      </c>
      <c r="U796">
        <v>33293.179999999993</v>
      </c>
      <c r="V796">
        <v>63418.440000000017</v>
      </c>
      <c r="W796">
        <v>50489.740000000013</v>
      </c>
      <c r="X796">
        <v>0</v>
      </c>
      <c r="Y796">
        <v>0</v>
      </c>
      <c r="Z796">
        <v>0</v>
      </c>
      <c r="AA796">
        <v>0</v>
      </c>
      <c r="AB796">
        <v>0</v>
      </c>
      <c r="AC796" s="297">
        <v>0</v>
      </c>
      <c r="AD796">
        <f>SUMPRODUCT(DB_STProjectAcct[[#This Row],[Plan01]:[Plan12]],$F$14:$Q$14)/valUnits2</f>
        <v>272.97197199999994</v>
      </c>
      <c r="AE796">
        <f>SUMPRODUCT(DB_STProjectAcct[[#This Row],[Act01]:[Act12]],$R$14:$AC$14)/valUnits2</f>
        <v>259.72453999999999</v>
      </c>
      <c r="AF796">
        <f>DB_STProjectAcct[[#This Row],[Actual]]-DB_STProjectAcct[[#This Row],[Plan]]</f>
        <v>-13.247431999999947</v>
      </c>
      <c r="AG796">
        <f>IF(DB_STProjectAcct[[#This Row],[Plan]]&lt;&gt;0,DB_STProjectAcct[[#This Row],[Actual]]/DB_STProjectAcct[[#This Row],[Plan]],1.000011000011)</f>
        <v>0.95146962560683723</v>
      </c>
    </row>
    <row r="797" spans="1:33" hidden="1" x14ac:dyDescent="0.2">
      <c r="A797" t="s">
        <v>790</v>
      </c>
      <c r="B797" t="s">
        <v>348</v>
      </c>
      <c r="C797" t="s">
        <v>522</v>
      </c>
      <c r="D797" t="s">
        <v>522</v>
      </c>
      <c r="E797" t="s">
        <v>236</v>
      </c>
      <c r="F797">
        <v>31808.456000000002</v>
      </c>
      <c r="G797">
        <v>28418.538</v>
      </c>
      <c r="H797">
        <v>16105.201000000001</v>
      </c>
      <c r="I797">
        <v>16179.629000000001</v>
      </c>
      <c r="J797">
        <v>29351.016000000003</v>
      </c>
      <c r="K797">
        <v>88025.529999999984</v>
      </c>
      <c r="L797">
        <v>64888.598999999995</v>
      </c>
      <c r="M797">
        <v>11097.333999999999</v>
      </c>
      <c r="N797">
        <v>11097.333999999999</v>
      </c>
      <c r="O797">
        <v>11097.333999999999</v>
      </c>
      <c r="P797">
        <v>11097.333999999999</v>
      </c>
      <c r="Q797">
        <v>94863.013000000006</v>
      </c>
      <c r="R797">
        <v>17126.53</v>
      </c>
      <c r="S797">
        <v>12568.019999999999</v>
      </c>
      <c r="T797">
        <v>1101.6400000000001</v>
      </c>
      <c r="U797">
        <v>1178.7300000000002</v>
      </c>
      <c r="V797">
        <v>14167.44</v>
      </c>
      <c r="W797">
        <v>58274.79</v>
      </c>
      <c r="X797">
        <v>0</v>
      </c>
      <c r="Y797">
        <v>0</v>
      </c>
      <c r="Z797">
        <v>0</v>
      </c>
      <c r="AA797">
        <v>0</v>
      </c>
      <c r="AB797">
        <v>0</v>
      </c>
      <c r="AC797" s="295">
        <v>0</v>
      </c>
      <c r="AD797">
        <f>SUMPRODUCT(DB_STProjectAcct[[#This Row],[Plan01]:[Plan12]],$F$14:$Q$14)/valUnits2</f>
        <v>209.88837000000001</v>
      </c>
      <c r="AE797">
        <f>SUMPRODUCT(DB_STProjectAcct[[#This Row],[Act01]:[Act12]],$R$14:$AC$14)/valUnits2</f>
        <v>104.41714999999999</v>
      </c>
      <c r="AF797">
        <f>DB_STProjectAcct[[#This Row],[Actual]]-DB_STProjectAcct[[#This Row],[Plan]]</f>
        <v>-105.47122000000002</v>
      </c>
      <c r="AG797">
        <f>IF(DB_STProjectAcct[[#This Row],[Plan]]&lt;&gt;0,DB_STProjectAcct[[#This Row],[Actual]]/DB_STProjectAcct[[#This Row],[Plan]],1.000011000011)</f>
        <v>0.49748897473452192</v>
      </c>
    </row>
    <row r="798" spans="1:33" hidden="1" x14ac:dyDescent="0.2">
      <c r="A798" t="s">
        <v>791</v>
      </c>
      <c r="B798" t="s">
        <v>348</v>
      </c>
      <c r="C798" t="s">
        <v>522</v>
      </c>
      <c r="D798" t="s">
        <v>522</v>
      </c>
      <c r="E798" t="s">
        <v>237</v>
      </c>
      <c r="F798">
        <v>2780.2510000000002</v>
      </c>
      <c r="G798">
        <v>5854.9850000000006</v>
      </c>
      <c r="H798">
        <v>7144.1239999999998</v>
      </c>
      <c r="I798">
        <v>112.431</v>
      </c>
      <c r="J798">
        <v>1438.1309999999999</v>
      </c>
      <c r="K798">
        <v>65.917000000000002</v>
      </c>
      <c r="L798">
        <v>65.917000000000002</v>
      </c>
      <c r="M798">
        <v>65.917000000000002</v>
      </c>
      <c r="N798">
        <v>65.917000000000002</v>
      </c>
      <c r="O798">
        <v>65.917000000000002</v>
      </c>
      <c r="P798">
        <v>65.917000000000002</v>
      </c>
      <c r="Q798">
        <v>65.917000000000002</v>
      </c>
      <c r="R798">
        <v>2854.6000000000004</v>
      </c>
      <c r="S798">
        <v>6060.4900000000007</v>
      </c>
      <c r="T798">
        <v>7112.68</v>
      </c>
      <c r="U798">
        <v>110.33</v>
      </c>
      <c r="V798">
        <v>1440.0900000000001</v>
      </c>
      <c r="W798">
        <v>2159.6799999999998</v>
      </c>
      <c r="X798">
        <v>0</v>
      </c>
      <c r="Y798">
        <v>0</v>
      </c>
      <c r="Z798">
        <v>0</v>
      </c>
      <c r="AA798">
        <v>0</v>
      </c>
      <c r="AB798">
        <v>0</v>
      </c>
      <c r="AC798" s="297">
        <v>0</v>
      </c>
      <c r="AD798">
        <f>SUMPRODUCT(DB_STProjectAcct[[#This Row],[Plan01]:[Plan12]],$F$14:$Q$14)/valUnits2</f>
        <v>17.395839000000002</v>
      </c>
      <c r="AE798">
        <f>SUMPRODUCT(DB_STProjectAcct[[#This Row],[Act01]:[Act12]],$R$14:$AC$14)/valUnits2</f>
        <v>19.737870000000001</v>
      </c>
      <c r="AF798">
        <f>DB_STProjectAcct[[#This Row],[Actual]]-DB_STProjectAcct[[#This Row],[Plan]]</f>
        <v>2.3420309999999986</v>
      </c>
      <c r="AG798">
        <f>IF(DB_STProjectAcct[[#This Row],[Plan]]&lt;&gt;0,DB_STProjectAcct[[#This Row],[Actual]]/DB_STProjectAcct[[#This Row],[Plan]],1.000011000011)</f>
        <v>1.1346316782996209</v>
      </c>
    </row>
    <row r="799" spans="1:33" hidden="1" x14ac:dyDescent="0.2">
      <c r="A799" t="s">
        <v>792</v>
      </c>
      <c r="B799" t="s">
        <v>348</v>
      </c>
      <c r="C799" t="s">
        <v>522</v>
      </c>
      <c r="D799" t="s">
        <v>522</v>
      </c>
      <c r="E799" t="s">
        <v>141</v>
      </c>
      <c r="F799">
        <v>5258.0189999999993</v>
      </c>
      <c r="G799">
        <v>5703.2209999999995</v>
      </c>
      <c r="H799">
        <v>18070.011999999995</v>
      </c>
      <c r="I799">
        <v>4805.5959999999995</v>
      </c>
      <c r="J799">
        <v>43205.122999999992</v>
      </c>
      <c r="K799">
        <v>5349.8359999999993</v>
      </c>
      <c r="L799">
        <v>5572.4390000000012</v>
      </c>
      <c r="M799">
        <v>5572.4389999999994</v>
      </c>
      <c r="N799">
        <v>5572.4389999999994</v>
      </c>
      <c r="O799">
        <v>5572.4389999999994</v>
      </c>
      <c r="P799">
        <v>5572.4389999999994</v>
      </c>
      <c r="Q799">
        <v>5219.838999999999</v>
      </c>
      <c r="R799">
        <v>5307.2899999999991</v>
      </c>
      <c r="S799">
        <v>5788.8600000000006</v>
      </c>
      <c r="T799">
        <v>18047.410000000003</v>
      </c>
      <c r="U799">
        <v>4710.2900000000009</v>
      </c>
      <c r="V799">
        <v>43242.98</v>
      </c>
      <c r="W799">
        <v>4006.4300000000003</v>
      </c>
      <c r="X799">
        <v>0</v>
      </c>
      <c r="Y799">
        <v>0</v>
      </c>
      <c r="Z799">
        <v>0</v>
      </c>
      <c r="AA799">
        <v>0</v>
      </c>
      <c r="AB799">
        <v>0</v>
      </c>
      <c r="AC799" s="295">
        <v>0</v>
      </c>
      <c r="AD799">
        <f>SUMPRODUCT(DB_STProjectAcct[[#This Row],[Plan01]:[Plan12]],$F$14:$Q$14)/valUnits2</f>
        <v>82.391806999999986</v>
      </c>
      <c r="AE799">
        <f>SUMPRODUCT(DB_STProjectAcct[[#This Row],[Act01]:[Act12]],$R$14:$AC$14)/valUnits2</f>
        <v>81.103260000000006</v>
      </c>
      <c r="AF799">
        <f>DB_STProjectAcct[[#This Row],[Actual]]-DB_STProjectAcct[[#This Row],[Plan]]</f>
        <v>-1.2885469999999799</v>
      </c>
      <c r="AG799">
        <f>IF(DB_STProjectAcct[[#This Row],[Plan]]&lt;&gt;0,DB_STProjectAcct[[#This Row],[Actual]]/DB_STProjectAcct[[#This Row],[Plan]],1.000011000011)</f>
        <v>0.98436073868364149</v>
      </c>
    </row>
    <row r="800" spans="1:33" hidden="1" x14ac:dyDescent="0.2">
      <c r="A800" t="s">
        <v>793</v>
      </c>
      <c r="B800" t="s">
        <v>348</v>
      </c>
      <c r="C800" t="s">
        <v>523</v>
      </c>
      <c r="D800" t="s">
        <v>523</v>
      </c>
      <c r="E800" t="s">
        <v>143</v>
      </c>
      <c r="F800">
        <v>0</v>
      </c>
      <c r="G800">
        <v>119.262</v>
      </c>
      <c r="H800">
        <v>129.46700000000001</v>
      </c>
      <c r="I800">
        <v>0</v>
      </c>
      <c r="J800">
        <v>-129.821</v>
      </c>
      <c r="K800">
        <v>29.965000000000003</v>
      </c>
      <c r="L800">
        <v>29.965000000000003</v>
      </c>
      <c r="M800">
        <v>29.965000000000003</v>
      </c>
      <c r="N800">
        <v>29.965000000000003</v>
      </c>
      <c r="O800">
        <v>29.965000000000003</v>
      </c>
      <c r="P800">
        <v>29.965000000000003</v>
      </c>
      <c r="Q800">
        <v>29.965000000000003</v>
      </c>
      <c r="R800">
        <v>0</v>
      </c>
      <c r="S800">
        <v>117.54</v>
      </c>
      <c r="T800">
        <v>128.26</v>
      </c>
      <c r="U800">
        <v>0</v>
      </c>
      <c r="V800">
        <v>-128.26</v>
      </c>
      <c r="W800">
        <v>1290.32</v>
      </c>
      <c r="X800">
        <v>0</v>
      </c>
      <c r="Y800">
        <v>0</v>
      </c>
      <c r="Z800">
        <v>0</v>
      </c>
      <c r="AA800">
        <v>0</v>
      </c>
      <c r="AB800">
        <v>0</v>
      </c>
      <c r="AC800" s="297">
        <v>0</v>
      </c>
      <c r="AD800">
        <f>SUMPRODUCT(DB_STProjectAcct[[#This Row],[Plan01]:[Plan12]],$F$14:$Q$14)/valUnits2</f>
        <v>0.14887300000000001</v>
      </c>
      <c r="AE800">
        <f>SUMPRODUCT(DB_STProjectAcct[[#This Row],[Act01]:[Act12]],$R$14:$AC$14)/valUnits2</f>
        <v>1.4078599999999999</v>
      </c>
      <c r="AF800">
        <f>DB_STProjectAcct[[#This Row],[Actual]]-DB_STProjectAcct[[#This Row],[Plan]]</f>
        <v>1.2589869999999999</v>
      </c>
      <c r="AG800">
        <f>IF(DB_STProjectAcct[[#This Row],[Plan]]&lt;&gt;0,DB_STProjectAcct[[#This Row],[Actual]]/DB_STProjectAcct[[#This Row],[Plan]],1.000011000011)</f>
        <v>9.4567853136566047</v>
      </c>
    </row>
    <row r="801" spans="1:33" hidden="1" x14ac:dyDescent="0.2">
      <c r="A801" t="s">
        <v>794</v>
      </c>
      <c r="B801" t="s">
        <v>348</v>
      </c>
      <c r="C801" t="s">
        <v>523</v>
      </c>
      <c r="D801" t="s">
        <v>523</v>
      </c>
      <c r="E801" t="s">
        <v>235</v>
      </c>
      <c r="F801">
        <v>182.857</v>
      </c>
      <c r="G801">
        <v>92.765000000000015</v>
      </c>
      <c r="H801">
        <v>348.072</v>
      </c>
      <c r="I801">
        <v>587.23900000000003</v>
      </c>
      <c r="J801">
        <v>-214.60699999999997</v>
      </c>
      <c r="K801">
        <v>277.03999999999996</v>
      </c>
      <c r="L801">
        <v>277.03999999999996</v>
      </c>
      <c r="M801">
        <v>360.37299999999999</v>
      </c>
      <c r="N801">
        <v>277.03999999999996</v>
      </c>
      <c r="O801">
        <v>277.04000000000002</v>
      </c>
      <c r="P801">
        <v>277.03999999999996</v>
      </c>
      <c r="Q801">
        <v>277.03999999999996</v>
      </c>
      <c r="R801">
        <v>182.86</v>
      </c>
      <c r="S801">
        <v>94.67</v>
      </c>
      <c r="T801">
        <v>345.85999999999996</v>
      </c>
      <c r="U801">
        <v>583.93000000000006</v>
      </c>
      <c r="V801">
        <v>-214.66</v>
      </c>
      <c r="W801">
        <v>114.27</v>
      </c>
      <c r="X801">
        <v>0</v>
      </c>
      <c r="Y801">
        <v>0</v>
      </c>
      <c r="Z801">
        <v>0</v>
      </c>
      <c r="AA801">
        <v>0</v>
      </c>
      <c r="AB801">
        <v>0</v>
      </c>
      <c r="AC801" s="295">
        <v>0</v>
      </c>
      <c r="AD801">
        <f>SUMPRODUCT(DB_STProjectAcct[[#This Row],[Plan01]:[Plan12]],$F$14:$Q$14)/valUnits2</f>
        <v>1.273366</v>
      </c>
      <c r="AE801">
        <f>SUMPRODUCT(DB_STProjectAcct[[#This Row],[Act01]:[Act12]],$R$14:$AC$14)/valUnits2</f>
        <v>1.1069300000000002</v>
      </c>
      <c r="AF801">
        <f>DB_STProjectAcct[[#This Row],[Actual]]-DB_STProjectAcct[[#This Row],[Plan]]</f>
        <v>-0.16643599999999981</v>
      </c>
      <c r="AG801">
        <f>IF(DB_STProjectAcct[[#This Row],[Plan]]&lt;&gt;0,DB_STProjectAcct[[#This Row],[Actual]]/DB_STProjectAcct[[#This Row],[Plan]],1.000011000011)</f>
        <v>0.86929445265540328</v>
      </c>
    </row>
    <row r="802" spans="1:33" hidden="1" x14ac:dyDescent="0.2">
      <c r="A802" t="s">
        <v>795</v>
      </c>
      <c r="B802" t="s">
        <v>348</v>
      </c>
      <c r="C802" t="s">
        <v>523</v>
      </c>
      <c r="D802" t="s">
        <v>523</v>
      </c>
      <c r="E802" t="s">
        <v>144</v>
      </c>
      <c r="AC802" s="297"/>
      <c r="AD802">
        <f>SUMPRODUCT(DB_STProjectAcct[[#This Row],[Plan01]:[Plan12]],$F$14:$Q$14)/valUnits2</f>
        <v>0</v>
      </c>
      <c r="AE802">
        <f>SUMPRODUCT(DB_STProjectAcct[[#This Row],[Act01]:[Act12]],$R$14:$AC$14)/valUnits2</f>
        <v>0</v>
      </c>
      <c r="AF802">
        <f>DB_STProjectAcct[[#This Row],[Actual]]-DB_STProjectAcct[[#This Row],[Plan]]</f>
        <v>0</v>
      </c>
      <c r="AG802">
        <f>IF(DB_STProjectAcct[[#This Row],[Plan]]&lt;&gt;0,DB_STProjectAcct[[#This Row],[Actual]]/DB_STProjectAcct[[#This Row],[Plan]],1.000011000011)</f>
        <v>1.0000110000110001</v>
      </c>
    </row>
    <row r="803" spans="1:33" hidden="1" x14ac:dyDescent="0.2">
      <c r="A803" t="s">
        <v>796</v>
      </c>
      <c r="B803" t="s">
        <v>348</v>
      </c>
      <c r="C803" t="s">
        <v>523</v>
      </c>
      <c r="D803" t="s">
        <v>523</v>
      </c>
      <c r="E803" t="s">
        <v>142</v>
      </c>
      <c r="AC803" s="295"/>
      <c r="AD803">
        <f>SUMPRODUCT(DB_STProjectAcct[[#This Row],[Plan01]:[Plan12]],$F$14:$Q$14)/valUnits2</f>
        <v>0</v>
      </c>
      <c r="AE803">
        <f>SUMPRODUCT(DB_STProjectAcct[[#This Row],[Act01]:[Act12]],$R$14:$AC$14)/valUnits2</f>
        <v>0</v>
      </c>
      <c r="AF803">
        <f>DB_STProjectAcct[[#This Row],[Actual]]-DB_STProjectAcct[[#This Row],[Plan]]</f>
        <v>0</v>
      </c>
      <c r="AG803">
        <f>IF(DB_STProjectAcct[[#This Row],[Plan]]&lt;&gt;0,DB_STProjectAcct[[#This Row],[Actual]]/DB_STProjectAcct[[#This Row],[Plan]],1.000011000011)</f>
        <v>1.0000110000110001</v>
      </c>
    </row>
    <row r="804" spans="1:33" hidden="1" x14ac:dyDescent="0.2">
      <c r="A804" t="s">
        <v>797</v>
      </c>
      <c r="B804" t="s">
        <v>348</v>
      </c>
      <c r="C804" t="s">
        <v>523</v>
      </c>
      <c r="D804" t="s">
        <v>523</v>
      </c>
      <c r="E804" t="s">
        <v>140</v>
      </c>
      <c r="F804">
        <v>2161.931</v>
      </c>
      <c r="G804">
        <v>3958.1059999999998</v>
      </c>
      <c r="H804">
        <v>11463.194000000003</v>
      </c>
      <c r="I804">
        <v>11635.811</v>
      </c>
      <c r="J804">
        <v>-8239.4670000000006</v>
      </c>
      <c r="K804">
        <v>14836.420999999997</v>
      </c>
      <c r="L804">
        <v>14448.064999999997</v>
      </c>
      <c r="M804">
        <v>14448.064999999997</v>
      </c>
      <c r="N804">
        <v>14448.064999999997</v>
      </c>
      <c r="O804">
        <v>14253.886999999997</v>
      </c>
      <c r="P804">
        <v>14253.886999999997</v>
      </c>
      <c r="Q804">
        <v>14253.886999999997</v>
      </c>
      <c r="R804">
        <v>2161.92</v>
      </c>
      <c r="S804">
        <v>3958.07</v>
      </c>
      <c r="T804">
        <v>11394.729999999998</v>
      </c>
      <c r="U804">
        <v>11538.49</v>
      </c>
      <c r="V804">
        <v>-8218.9</v>
      </c>
      <c r="W804">
        <v>3613.1700000000005</v>
      </c>
      <c r="X804">
        <v>0</v>
      </c>
      <c r="Y804">
        <v>0</v>
      </c>
      <c r="Z804">
        <v>0</v>
      </c>
      <c r="AA804">
        <v>0</v>
      </c>
      <c r="AB804">
        <v>0</v>
      </c>
      <c r="AC804" s="297">
        <v>0</v>
      </c>
      <c r="AD804">
        <f>SUMPRODUCT(DB_STProjectAcct[[#This Row],[Plan01]:[Plan12]],$F$14:$Q$14)/valUnits2</f>
        <v>35.815995999999998</v>
      </c>
      <c r="AE804">
        <f>SUMPRODUCT(DB_STProjectAcct[[#This Row],[Act01]:[Act12]],$R$14:$AC$14)/valUnits2</f>
        <v>24.447479999999999</v>
      </c>
      <c r="AF804">
        <f>DB_STProjectAcct[[#This Row],[Actual]]-DB_STProjectAcct[[#This Row],[Plan]]</f>
        <v>-11.368516</v>
      </c>
      <c r="AG804">
        <f>IF(DB_STProjectAcct[[#This Row],[Plan]]&lt;&gt;0,DB_STProjectAcct[[#This Row],[Actual]]/DB_STProjectAcct[[#This Row],[Plan]],1.000011000011)</f>
        <v>0.6825855129088132</v>
      </c>
    </row>
    <row r="805" spans="1:33" hidden="1" x14ac:dyDescent="0.2">
      <c r="A805" t="s">
        <v>798</v>
      </c>
      <c r="B805" t="s">
        <v>348</v>
      </c>
      <c r="C805" t="s">
        <v>523</v>
      </c>
      <c r="D805" t="s">
        <v>523</v>
      </c>
      <c r="E805" t="s">
        <v>236</v>
      </c>
      <c r="F805">
        <v>5227.201</v>
      </c>
      <c r="G805">
        <v>13046.939999999999</v>
      </c>
      <c r="H805">
        <v>20797.695</v>
      </c>
      <c r="I805">
        <v>9709.2190000000028</v>
      </c>
      <c r="J805">
        <v>16149.414000000001</v>
      </c>
      <c r="K805">
        <v>7672.4639999999999</v>
      </c>
      <c r="L805">
        <v>6264.4769999999999</v>
      </c>
      <c r="M805">
        <v>6264.4769999999999</v>
      </c>
      <c r="N805">
        <v>6264.4769999999999</v>
      </c>
      <c r="O805">
        <v>6264.4769999999999</v>
      </c>
      <c r="P805">
        <v>5025.0829999999996</v>
      </c>
      <c r="Q805">
        <v>5025.0829999999996</v>
      </c>
      <c r="R805">
        <v>202.11</v>
      </c>
      <c r="S805">
        <v>8012.57</v>
      </c>
      <c r="T805">
        <v>15665.09</v>
      </c>
      <c r="U805">
        <v>4703.71</v>
      </c>
      <c r="V805">
        <v>11178.289999999999</v>
      </c>
      <c r="W805">
        <v>332.43</v>
      </c>
      <c r="X805">
        <v>0</v>
      </c>
      <c r="Y805">
        <v>0</v>
      </c>
      <c r="Z805">
        <v>0</v>
      </c>
      <c r="AA805">
        <v>0</v>
      </c>
      <c r="AB805">
        <v>0</v>
      </c>
      <c r="AC805" s="295">
        <v>0</v>
      </c>
      <c r="AD805">
        <f>SUMPRODUCT(DB_STProjectAcct[[#This Row],[Plan01]:[Plan12]],$F$14:$Q$14)/valUnits2</f>
        <v>72.602932999999993</v>
      </c>
      <c r="AE805">
        <f>SUMPRODUCT(DB_STProjectAcct[[#This Row],[Act01]:[Act12]],$R$14:$AC$14)/valUnits2</f>
        <v>40.094199999999994</v>
      </c>
      <c r="AF805">
        <f>DB_STProjectAcct[[#This Row],[Actual]]-DB_STProjectAcct[[#This Row],[Plan]]</f>
        <v>-32.508732999999999</v>
      </c>
      <c r="AG805">
        <f>IF(DB_STProjectAcct[[#This Row],[Plan]]&lt;&gt;0,DB_STProjectAcct[[#This Row],[Actual]]/DB_STProjectAcct[[#This Row],[Plan]],1.000011000011)</f>
        <v>0.55223939782157283</v>
      </c>
    </row>
    <row r="806" spans="1:33" hidden="1" x14ac:dyDescent="0.2">
      <c r="A806" t="s">
        <v>799</v>
      </c>
      <c r="B806" t="s">
        <v>348</v>
      </c>
      <c r="C806" t="s">
        <v>523</v>
      </c>
      <c r="D806" t="s">
        <v>523</v>
      </c>
      <c r="E806" t="s">
        <v>237</v>
      </c>
      <c r="H806">
        <v>280.21800000000002</v>
      </c>
      <c r="I806">
        <v>14.098000000000001</v>
      </c>
      <c r="J806">
        <v>-270.19299999999998</v>
      </c>
      <c r="K806">
        <v>0</v>
      </c>
      <c r="T806">
        <v>278.39</v>
      </c>
      <c r="U806">
        <v>14.16</v>
      </c>
      <c r="V806">
        <v>-271.51</v>
      </c>
      <c r="W806">
        <v>0</v>
      </c>
      <c r="AC806" s="297"/>
      <c r="AD806">
        <f>SUMPRODUCT(DB_STProjectAcct[[#This Row],[Plan01]:[Plan12]],$F$14:$Q$14)/valUnits2</f>
        <v>2.4123000000000047E-2</v>
      </c>
      <c r="AE806">
        <f>SUMPRODUCT(DB_STProjectAcct[[#This Row],[Act01]:[Act12]],$R$14:$AC$14)/valUnits2</f>
        <v>2.104000000000002E-2</v>
      </c>
      <c r="AF806">
        <f>DB_STProjectAcct[[#This Row],[Actual]]-DB_STProjectAcct[[#This Row],[Plan]]</f>
        <v>-3.0830000000000267E-3</v>
      </c>
      <c r="AG806">
        <f>IF(DB_STProjectAcct[[#This Row],[Plan]]&lt;&gt;0,DB_STProjectAcct[[#This Row],[Actual]]/DB_STProjectAcct[[#This Row],[Plan]],1.000011000011)</f>
        <v>0.87219665879036523</v>
      </c>
    </row>
    <row r="807" spans="1:33" hidden="1" x14ac:dyDescent="0.2">
      <c r="A807" t="s">
        <v>800</v>
      </c>
      <c r="B807" t="s">
        <v>348</v>
      </c>
      <c r="C807" t="s">
        <v>523</v>
      </c>
      <c r="D807" t="s">
        <v>523</v>
      </c>
      <c r="E807" t="s">
        <v>141</v>
      </c>
      <c r="F807">
        <v>818.43399999999997</v>
      </c>
      <c r="G807">
        <v>1524.1789999999999</v>
      </c>
      <c r="H807">
        <v>16238.653000000002</v>
      </c>
      <c r="I807">
        <v>2231.4139999999998</v>
      </c>
      <c r="J807">
        <v>-16513.532999999999</v>
      </c>
      <c r="K807">
        <v>7397.0430000000006</v>
      </c>
      <c r="L807">
        <v>7397.0430000000006</v>
      </c>
      <c r="M807">
        <v>7397.0430000000006</v>
      </c>
      <c r="N807">
        <v>10741.050000000001</v>
      </c>
      <c r="O807">
        <v>17842.317999999999</v>
      </c>
      <c r="P807">
        <v>10227.352000000001</v>
      </c>
      <c r="Q807">
        <v>6883.3450000000003</v>
      </c>
      <c r="R807">
        <v>818.39</v>
      </c>
      <c r="S807">
        <v>1526.3600000000001</v>
      </c>
      <c r="T807">
        <v>16193.09</v>
      </c>
      <c r="U807">
        <v>2199.2200000000003</v>
      </c>
      <c r="V807">
        <v>-16425.310000000001</v>
      </c>
      <c r="W807">
        <v>579.75000000000011</v>
      </c>
      <c r="X807">
        <v>0</v>
      </c>
      <c r="Y807">
        <v>0</v>
      </c>
      <c r="Z807">
        <v>0</v>
      </c>
      <c r="AA807">
        <v>0</v>
      </c>
      <c r="AB807">
        <v>0</v>
      </c>
      <c r="AC807" s="295">
        <v>0</v>
      </c>
      <c r="AD807">
        <f>SUMPRODUCT(DB_STProjectAcct[[#This Row],[Plan01]:[Plan12]],$F$14:$Q$14)/valUnits2</f>
        <v>11.696190000000007</v>
      </c>
      <c r="AE807">
        <f>SUMPRODUCT(DB_STProjectAcct[[#This Row],[Act01]:[Act12]],$R$14:$AC$14)/valUnits2</f>
        <v>4.8914999999999997</v>
      </c>
      <c r="AF807">
        <f>DB_STProjectAcct[[#This Row],[Actual]]-DB_STProjectAcct[[#This Row],[Plan]]</f>
        <v>-6.804690000000007</v>
      </c>
      <c r="AG807">
        <f>IF(DB_STProjectAcct[[#This Row],[Plan]]&lt;&gt;0,DB_STProjectAcct[[#This Row],[Actual]]/DB_STProjectAcct[[#This Row],[Plan]],1.000011000011)</f>
        <v>0.41821311042313752</v>
      </c>
    </row>
    <row r="808" spans="1:33" hidden="1" x14ac:dyDescent="0.2">
      <c r="A808" t="s">
        <v>801</v>
      </c>
      <c r="B808" t="s">
        <v>349</v>
      </c>
      <c r="C808" t="s">
        <v>524</v>
      </c>
      <c r="D808" t="s">
        <v>524</v>
      </c>
      <c r="E808" t="s">
        <v>143</v>
      </c>
      <c r="F808">
        <v>28.82</v>
      </c>
      <c r="G808">
        <v>0</v>
      </c>
      <c r="H808">
        <v>0</v>
      </c>
      <c r="I808">
        <v>0</v>
      </c>
      <c r="J808">
        <v>3339.35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28.82</v>
      </c>
      <c r="S808">
        <v>0</v>
      </c>
      <c r="T808">
        <v>0</v>
      </c>
      <c r="U808">
        <v>0</v>
      </c>
      <c r="V808">
        <v>3392.06</v>
      </c>
      <c r="W808">
        <v>1024.75</v>
      </c>
      <c r="X808">
        <v>0</v>
      </c>
      <c r="Y808">
        <v>0</v>
      </c>
      <c r="Z808">
        <v>0</v>
      </c>
      <c r="AA808">
        <v>0</v>
      </c>
      <c r="AB808">
        <v>0</v>
      </c>
      <c r="AC808" s="297">
        <v>0</v>
      </c>
      <c r="AD808">
        <f>SUMPRODUCT(DB_STProjectAcct[[#This Row],[Plan01]:[Plan12]],$F$14:$Q$14)/valUnits2</f>
        <v>3.3681700000000001</v>
      </c>
      <c r="AE808">
        <f>SUMPRODUCT(DB_STProjectAcct[[#This Row],[Act01]:[Act12]],$R$14:$AC$14)/valUnits2</f>
        <v>4.4456300000000004</v>
      </c>
      <c r="AF808">
        <f>DB_STProjectAcct[[#This Row],[Actual]]-DB_STProjectAcct[[#This Row],[Plan]]</f>
        <v>1.0774600000000003</v>
      </c>
      <c r="AG808">
        <f>IF(DB_STProjectAcct[[#This Row],[Plan]]&lt;&gt;0,DB_STProjectAcct[[#This Row],[Actual]]/DB_STProjectAcct[[#This Row],[Plan]],1.000011000011)</f>
        <v>1.3198947796577964</v>
      </c>
    </row>
    <row r="809" spans="1:33" hidden="1" x14ac:dyDescent="0.2">
      <c r="A809" t="s">
        <v>802</v>
      </c>
      <c r="B809" t="s">
        <v>349</v>
      </c>
      <c r="C809" t="s">
        <v>524</v>
      </c>
      <c r="D809" t="s">
        <v>524</v>
      </c>
      <c r="E809" t="s">
        <v>235</v>
      </c>
      <c r="F809">
        <v>3857.7779999999998</v>
      </c>
      <c r="G809">
        <v>3108.18</v>
      </c>
      <c r="H809">
        <v>10443.578000000001</v>
      </c>
      <c r="I809">
        <v>1349.4879999999996</v>
      </c>
      <c r="J809">
        <v>1035.02</v>
      </c>
      <c r="K809">
        <v>95.903999999999996</v>
      </c>
      <c r="M809">
        <v>95.903999999999996</v>
      </c>
      <c r="N809">
        <v>95.903999999999996</v>
      </c>
      <c r="O809">
        <v>95.903999999999996</v>
      </c>
      <c r="P809">
        <v>95.903999999999996</v>
      </c>
      <c r="Q809">
        <v>95.903999999999996</v>
      </c>
      <c r="R809">
        <v>3858.94</v>
      </c>
      <c r="S809">
        <v>3108.1800000000003</v>
      </c>
      <c r="T809">
        <v>10441.69</v>
      </c>
      <c r="U809">
        <v>1349.78</v>
      </c>
      <c r="V809">
        <v>1035.02</v>
      </c>
      <c r="W809">
        <v>1220.3899999999996</v>
      </c>
      <c r="Y809">
        <v>0</v>
      </c>
      <c r="Z809">
        <v>0</v>
      </c>
      <c r="AA809">
        <v>0</v>
      </c>
      <c r="AB809">
        <v>0</v>
      </c>
      <c r="AC809" s="295">
        <v>0</v>
      </c>
      <c r="AD809">
        <f>SUMPRODUCT(DB_STProjectAcct[[#This Row],[Plan01]:[Plan12]],$F$14:$Q$14)/valUnits2</f>
        <v>19.889948</v>
      </c>
      <c r="AE809">
        <f>SUMPRODUCT(DB_STProjectAcct[[#This Row],[Act01]:[Act12]],$R$14:$AC$14)/valUnits2</f>
        <v>21.013999999999999</v>
      </c>
      <c r="AF809">
        <f>DB_STProjectAcct[[#This Row],[Actual]]-DB_STProjectAcct[[#This Row],[Plan]]</f>
        <v>1.1240519999999989</v>
      </c>
      <c r="AG809">
        <f>IF(DB_STProjectAcct[[#This Row],[Plan]]&lt;&gt;0,DB_STProjectAcct[[#This Row],[Actual]]/DB_STProjectAcct[[#This Row],[Plan]],1.000011000011)</f>
        <v>1.0565135715789704</v>
      </c>
    </row>
    <row r="810" spans="1:33" hidden="1" x14ac:dyDescent="0.2">
      <c r="A810" t="s">
        <v>803</v>
      </c>
      <c r="B810" t="s">
        <v>349</v>
      </c>
      <c r="C810" t="s">
        <v>524</v>
      </c>
      <c r="D810" t="s">
        <v>524</v>
      </c>
      <c r="E810" t="s">
        <v>144</v>
      </c>
      <c r="AC810" s="297"/>
      <c r="AD810">
        <f>SUMPRODUCT(DB_STProjectAcct[[#This Row],[Plan01]:[Plan12]],$F$14:$Q$14)/valUnits2</f>
        <v>0</v>
      </c>
      <c r="AE810">
        <f>SUMPRODUCT(DB_STProjectAcct[[#This Row],[Act01]:[Act12]],$R$14:$AC$14)/valUnits2</f>
        <v>0</v>
      </c>
      <c r="AF810">
        <f>DB_STProjectAcct[[#This Row],[Actual]]-DB_STProjectAcct[[#This Row],[Plan]]</f>
        <v>0</v>
      </c>
      <c r="AG810">
        <f>IF(DB_STProjectAcct[[#This Row],[Plan]]&lt;&gt;0,DB_STProjectAcct[[#This Row],[Actual]]/DB_STProjectAcct[[#This Row],[Plan]],1.000011000011)</f>
        <v>1.0000110000110001</v>
      </c>
    </row>
    <row r="811" spans="1:33" hidden="1" x14ac:dyDescent="0.2">
      <c r="A811" t="s">
        <v>804</v>
      </c>
      <c r="B811" t="s">
        <v>349</v>
      </c>
      <c r="C811" t="s">
        <v>524</v>
      </c>
      <c r="D811" t="s">
        <v>524</v>
      </c>
      <c r="E811" t="s">
        <v>142</v>
      </c>
      <c r="F811">
        <v>31409.711000000003</v>
      </c>
      <c r="G811">
        <v>292598.36300000007</v>
      </c>
      <c r="H811">
        <v>17872.299999999996</v>
      </c>
      <c r="I811">
        <v>203461.70299999998</v>
      </c>
      <c r="J811">
        <v>166575.97700000001</v>
      </c>
      <c r="K811">
        <v>105255.745</v>
      </c>
      <c r="L811">
        <v>74787.756000000008</v>
      </c>
      <c r="M811">
        <v>74685.457000000009</v>
      </c>
      <c r="N811">
        <v>76603.551999999996</v>
      </c>
      <c r="O811">
        <v>75554.993000000002</v>
      </c>
      <c r="P811">
        <v>74404.135999999999</v>
      </c>
      <c r="Q811">
        <v>74404.136000000013</v>
      </c>
      <c r="R811">
        <v>31689.699999999993</v>
      </c>
      <c r="S811">
        <v>292944.27</v>
      </c>
      <c r="T811">
        <v>18307.919999999991</v>
      </c>
      <c r="U811">
        <v>203558.53000000003</v>
      </c>
      <c r="V811">
        <v>166804.5</v>
      </c>
      <c r="W811">
        <v>789733.0900000002</v>
      </c>
      <c r="X811">
        <v>0</v>
      </c>
      <c r="Y811">
        <v>0</v>
      </c>
      <c r="Z811">
        <v>0</v>
      </c>
      <c r="AA811">
        <v>0</v>
      </c>
      <c r="AB811">
        <v>0</v>
      </c>
      <c r="AC811" s="295">
        <v>0</v>
      </c>
      <c r="AD811">
        <f>SUMPRODUCT(DB_STProjectAcct[[#This Row],[Plan01]:[Plan12]],$F$14:$Q$14)/valUnits2</f>
        <v>817.17379900000003</v>
      </c>
      <c r="AE811">
        <f>SUMPRODUCT(DB_STProjectAcct[[#This Row],[Act01]:[Act12]],$R$14:$AC$14)/valUnits2</f>
        <v>1503.0380100000002</v>
      </c>
      <c r="AF811">
        <f>DB_STProjectAcct[[#This Row],[Actual]]-DB_STProjectAcct[[#This Row],[Plan]]</f>
        <v>685.86421100000018</v>
      </c>
      <c r="AG811">
        <f>IF(DB_STProjectAcct[[#This Row],[Plan]]&lt;&gt;0,DB_STProjectAcct[[#This Row],[Actual]]/DB_STProjectAcct[[#This Row],[Plan]],1.000011000011)</f>
        <v>1.8393125328287725</v>
      </c>
    </row>
    <row r="812" spans="1:33" hidden="1" x14ac:dyDescent="0.2">
      <c r="A812" t="s">
        <v>805</v>
      </c>
      <c r="B812" t="s">
        <v>349</v>
      </c>
      <c r="C812" t="s">
        <v>524</v>
      </c>
      <c r="D812" t="s">
        <v>524</v>
      </c>
      <c r="E812" t="s">
        <v>140</v>
      </c>
      <c r="F812">
        <v>22620.618999999999</v>
      </c>
      <c r="G812">
        <v>27862.421999999999</v>
      </c>
      <c r="H812">
        <v>31524.772000000001</v>
      </c>
      <c r="I812">
        <v>44284.564999999995</v>
      </c>
      <c r="J812">
        <v>33020.970999999998</v>
      </c>
      <c r="K812">
        <v>40049.931000000011</v>
      </c>
      <c r="L812">
        <v>34546.292000000001</v>
      </c>
      <c r="M812">
        <v>34546.292000000001</v>
      </c>
      <c r="N812">
        <v>34546.292000000001</v>
      </c>
      <c r="O812">
        <v>34546.292000000009</v>
      </c>
      <c r="P812">
        <v>34546.292000000009</v>
      </c>
      <c r="Q812">
        <v>34549.292000000001</v>
      </c>
      <c r="R812">
        <v>20751.020000000004</v>
      </c>
      <c r="S812">
        <v>26040.620000000003</v>
      </c>
      <c r="T812">
        <v>29617.84</v>
      </c>
      <c r="U812">
        <v>42438.560000000005</v>
      </c>
      <c r="V812">
        <v>31184.190000000002</v>
      </c>
      <c r="W812">
        <v>44946.910000000011</v>
      </c>
      <c r="X812">
        <v>0</v>
      </c>
      <c r="Y812">
        <v>0</v>
      </c>
      <c r="Z812">
        <v>0</v>
      </c>
      <c r="AA812">
        <v>0</v>
      </c>
      <c r="AB812">
        <v>0</v>
      </c>
      <c r="AC812" s="297">
        <v>0</v>
      </c>
      <c r="AD812">
        <f>SUMPRODUCT(DB_STProjectAcct[[#This Row],[Plan01]:[Plan12]],$F$14:$Q$14)/valUnits2</f>
        <v>199.36328</v>
      </c>
      <c r="AE812">
        <f>SUMPRODUCT(DB_STProjectAcct[[#This Row],[Act01]:[Act12]],$R$14:$AC$14)/valUnits2</f>
        <v>194.97914</v>
      </c>
      <c r="AF812">
        <f>DB_STProjectAcct[[#This Row],[Actual]]-DB_STProjectAcct[[#This Row],[Plan]]</f>
        <v>-4.3841400000000021</v>
      </c>
      <c r="AG812">
        <f>IF(DB_STProjectAcct[[#This Row],[Plan]]&lt;&gt;0,DB_STProjectAcct[[#This Row],[Actual]]/DB_STProjectAcct[[#This Row],[Plan]],1.000011000011)</f>
        <v>0.9780092903768437</v>
      </c>
    </row>
    <row r="813" spans="1:33" hidden="1" x14ac:dyDescent="0.2">
      <c r="A813" t="s">
        <v>806</v>
      </c>
      <c r="B813" t="s">
        <v>349</v>
      </c>
      <c r="C813" t="s">
        <v>524</v>
      </c>
      <c r="D813" t="s">
        <v>524</v>
      </c>
      <c r="E813" t="s">
        <v>236</v>
      </c>
      <c r="F813">
        <v>1887.25</v>
      </c>
      <c r="G813">
        <v>1766.37</v>
      </c>
      <c r="H813">
        <v>3880.3830000000003</v>
      </c>
      <c r="I813">
        <v>37546.993000000002</v>
      </c>
      <c r="J813">
        <v>2695.67</v>
      </c>
      <c r="K813">
        <v>48030.129000000001</v>
      </c>
      <c r="L813">
        <v>34302.089</v>
      </c>
      <c r="M813">
        <v>33678.089</v>
      </c>
      <c r="N813">
        <v>33679.089</v>
      </c>
      <c r="O813">
        <v>49533.089</v>
      </c>
      <c r="P813">
        <v>33681.089</v>
      </c>
      <c r="Q813">
        <v>33682.089</v>
      </c>
      <c r="R813">
        <v>1438.38</v>
      </c>
      <c r="S813">
        <v>1316.37</v>
      </c>
      <c r="T813">
        <v>3437.06</v>
      </c>
      <c r="U813">
        <v>37080.01</v>
      </c>
      <c r="V813">
        <v>2245.67</v>
      </c>
      <c r="W813">
        <v>-1684.94</v>
      </c>
      <c r="X813">
        <v>0</v>
      </c>
      <c r="Y813">
        <v>0</v>
      </c>
      <c r="Z813">
        <v>0</v>
      </c>
      <c r="AA813">
        <v>0</v>
      </c>
      <c r="AB813">
        <v>0</v>
      </c>
      <c r="AC813" s="295">
        <v>0</v>
      </c>
      <c r="AD813">
        <f>SUMPRODUCT(DB_STProjectAcct[[#This Row],[Plan01]:[Plan12]],$F$14:$Q$14)/valUnits2</f>
        <v>95.806794999999994</v>
      </c>
      <c r="AE813">
        <f>SUMPRODUCT(DB_STProjectAcct[[#This Row],[Act01]:[Act12]],$R$14:$AC$14)/valUnits2</f>
        <v>43.832549999999998</v>
      </c>
      <c r="AF813">
        <f>DB_STProjectAcct[[#This Row],[Actual]]-DB_STProjectAcct[[#This Row],[Plan]]</f>
        <v>-51.974244999999996</v>
      </c>
      <c r="AG813">
        <f>IF(DB_STProjectAcct[[#This Row],[Plan]]&lt;&gt;0,DB_STProjectAcct[[#This Row],[Actual]]/DB_STProjectAcct[[#This Row],[Plan]],1.000011000011)</f>
        <v>0.45750982485114966</v>
      </c>
    </row>
    <row r="814" spans="1:33" hidden="1" x14ac:dyDescent="0.2">
      <c r="A814" t="s">
        <v>807</v>
      </c>
      <c r="B814" t="s">
        <v>349</v>
      </c>
      <c r="C814" t="s">
        <v>524</v>
      </c>
      <c r="D814" t="s">
        <v>524</v>
      </c>
      <c r="E814" t="s">
        <v>237</v>
      </c>
      <c r="F814">
        <v>1071.443</v>
      </c>
      <c r="H814">
        <v>2318.4030000000002</v>
      </c>
      <c r="I814">
        <v>302.78500000000003</v>
      </c>
      <c r="J814">
        <v>623.16300000000001</v>
      </c>
      <c r="K814">
        <v>0</v>
      </c>
      <c r="R814">
        <v>1067.8599999999999</v>
      </c>
      <c r="T814">
        <v>2328.7600000000002</v>
      </c>
      <c r="U814">
        <v>300.18000000000006</v>
      </c>
      <c r="V814">
        <v>627.27999999999986</v>
      </c>
      <c r="W814">
        <v>-318.82</v>
      </c>
      <c r="AC814" s="297"/>
      <c r="AD814">
        <f>SUMPRODUCT(DB_STProjectAcct[[#This Row],[Plan01]:[Plan12]],$F$14:$Q$14)/valUnits2</f>
        <v>4.3157939999999995</v>
      </c>
      <c r="AE814">
        <f>SUMPRODUCT(DB_STProjectAcct[[#This Row],[Act01]:[Act12]],$R$14:$AC$14)/valUnits2</f>
        <v>4.0052599999999998</v>
      </c>
      <c r="AF814">
        <f>DB_STProjectAcct[[#This Row],[Actual]]-DB_STProjectAcct[[#This Row],[Plan]]</f>
        <v>-0.31053399999999964</v>
      </c>
      <c r="AG814">
        <f>IF(DB_STProjectAcct[[#This Row],[Plan]]&lt;&gt;0,DB_STProjectAcct[[#This Row],[Actual]]/DB_STProjectAcct[[#This Row],[Plan]],1.000011000011)</f>
        <v>0.92804707546282339</v>
      </c>
    </row>
    <row r="815" spans="1:33" hidden="1" x14ac:dyDescent="0.2">
      <c r="A815" t="s">
        <v>808</v>
      </c>
      <c r="B815" t="s">
        <v>349</v>
      </c>
      <c r="C815" t="s">
        <v>524</v>
      </c>
      <c r="D815" t="s">
        <v>524</v>
      </c>
      <c r="E815" t="s">
        <v>141</v>
      </c>
      <c r="F815">
        <v>7866.949999999998</v>
      </c>
      <c r="G815">
        <v>4829.6950000000006</v>
      </c>
      <c r="H815">
        <v>15973.321</v>
      </c>
      <c r="I815">
        <v>3019.9300000000003</v>
      </c>
      <c r="J815">
        <v>24364.282999999999</v>
      </c>
      <c r="K815">
        <v>6910.64</v>
      </c>
      <c r="L815">
        <v>8539.4639999999999</v>
      </c>
      <c r="M815">
        <v>1927.6110000000001</v>
      </c>
      <c r="N815">
        <v>177.68200000000002</v>
      </c>
      <c r="O815">
        <v>5177.6819999999998</v>
      </c>
      <c r="P815">
        <v>177.68199999999999</v>
      </c>
      <c r="Q815">
        <v>177.68199999999999</v>
      </c>
      <c r="R815">
        <v>7795.0199999999986</v>
      </c>
      <c r="S815">
        <v>4842.97</v>
      </c>
      <c r="T815">
        <v>15970.76</v>
      </c>
      <c r="U815">
        <v>3022.56</v>
      </c>
      <c r="V815">
        <v>24393.059999999998</v>
      </c>
      <c r="W815">
        <v>11562.099999999999</v>
      </c>
      <c r="X815">
        <v>0</v>
      </c>
      <c r="Y815">
        <v>0</v>
      </c>
      <c r="Z815">
        <v>0</v>
      </c>
      <c r="AA815">
        <v>0</v>
      </c>
      <c r="AB815">
        <v>0</v>
      </c>
      <c r="AC815" s="295">
        <v>0</v>
      </c>
      <c r="AD815">
        <f>SUMPRODUCT(DB_STProjectAcct[[#This Row],[Plan01]:[Plan12]],$F$14:$Q$14)/valUnits2</f>
        <v>62.964819000000006</v>
      </c>
      <c r="AE815">
        <f>SUMPRODUCT(DB_STProjectAcct[[#This Row],[Act01]:[Act12]],$R$14:$AC$14)/valUnits2</f>
        <v>67.586470000000006</v>
      </c>
      <c r="AF815">
        <f>DB_STProjectAcct[[#This Row],[Actual]]-DB_STProjectAcct[[#This Row],[Plan]]</f>
        <v>4.621651</v>
      </c>
      <c r="AG815">
        <f>IF(DB_STProjectAcct[[#This Row],[Plan]]&lt;&gt;0,DB_STProjectAcct[[#This Row],[Actual]]/DB_STProjectAcct[[#This Row],[Plan]],1.000011000011)</f>
        <v>1.0734005286348873</v>
      </c>
    </row>
    <row r="816" spans="1:33" hidden="1" x14ac:dyDescent="0.2">
      <c r="A816" t="s">
        <v>809</v>
      </c>
      <c r="B816" t="s">
        <v>349</v>
      </c>
      <c r="C816" t="s">
        <v>525</v>
      </c>
      <c r="D816" t="s">
        <v>525</v>
      </c>
      <c r="E816" t="s">
        <v>143</v>
      </c>
      <c r="F816">
        <v>44.837000000000003</v>
      </c>
      <c r="G816">
        <v>30.777999999999999</v>
      </c>
      <c r="H816">
        <v>697.37900000000002</v>
      </c>
      <c r="I816">
        <v>1368.8489999999999</v>
      </c>
      <c r="J816">
        <v>1087.6949999999999</v>
      </c>
      <c r="K816">
        <v>0</v>
      </c>
      <c r="R816">
        <v>20.43</v>
      </c>
      <c r="S816">
        <v>31.62</v>
      </c>
      <c r="T816">
        <v>710.83999999999992</v>
      </c>
      <c r="U816">
        <v>1343.21</v>
      </c>
      <c r="V816">
        <v>1062.05</v>
      </c>
      <c r="W816">
        <v>903.19</v>
      </c>
      <c r="AC816" s="297"/>
      <c r="AD816">
        <f>SUMPRODUCT(DB_STProjectAcct[[#This Row],[Plan01]:[Plan12]],$F$14:$Q$14)/valUnits2</f>
        <v>3.2295379999999994</v>
      </c>
      <c r="AE816">
        <f>SUMPRODUCT(DB_STProjectAcct[[#This Row],[Act01]:[Act12]],$R$14:$AC$14)/valUnits2</f>
        <v>4.0713399999999993</v>
      </c>
      <c r="AF816">
        <f>DB_STProjectAcct[[#This Row],[Actual]]-DB_STProjectAcct[[#This Row],[Plan]]</f>
        <v>0.84180199999999994</v>
      </c>
      <c r="AG816">
        <f>IF(DB_STProjectAcct[[#This Row],[Plan]]&lt;&gt;0,DB_STProjectAcct[[#This Row],[Actual]]/DB_STProjectAcct[[#This Row],[Plan]],1.000011000011)</f>
        <v>1.260657097083236</v>
      </c>
    </row>
    <row r="817" spans="1:33" hidden="1" x14ac:dyDescent="0.2">
      <c r="A817" t="s">
        <v>810</v>
      </c>
      <c r="B817" t="s">
        <v>349</v>
      </c>
      <c r="C817" t="s">
        <v>525</v>
      </c>
      <c r="D817" t="s">
        <v>525</v>
      </c>
      <c r="E817" t="s">
        <v>235</v>
      </c>
      <c r="F817">
        <v>1716.2380000000001</v>
      </c>
      <c r="G817">
        <v>465.49</v>
      </c>
      <c r="H817">
        <v>1647.1</v>
      </c>
      <c r="I817">
        <v>590.01900000000001</v>
      </c>
      <c r="J817">
        <v>465.37799999999999</v>
      </c>
      <c r="K817">
        <v>0</v>
      </c>
      <c r="R817">
        <v>1730.1100000000001</v>
      </c>
      <c r="S817">
        <v>478.09999999999997</v>
      </c>
      <c r="T817">
        <v>1675.8600000000001</v>
      </c>
      <c r="U817">
        <v>586.79999999999995</v>
      </c>
      <c r="V817">
        <v>508.21999999999997</v>
      </c>
      <c r="W817">
        <v>703.87</v>
      </c>
      <c r="AC817" s="295"/>
      <c r="AD817">
        <f>SUMPRODUCT(DB_STProjectAcct[[#This Row],[Plan01]:[Plan12]],$F$14:$Q$14)/valUnits2</f>
        <v>4.8842249999999998</v>
      </c>
      <c r="AE817">
        <f>SUMPRODUCT(DB_STProjectAcct[[#This Row],[Act01]:[Act12]],$R$14:$AC$14)/valUnits2</f>
        <v>5.6829600000000005</v>
      </c>
      <c r="AF817">
        <f>DB_STProjectAcct[[#This Row],[Actual]]-DB_STProjectAcct[[#This Row],[Plan]]</f>
        <v>0.79873500000000064</v>
      </c>
      <c r="AG817">
        <f>IF(DB_STProjectAcct[[#This Row],[Plan]]&lt;&gt;0,DB_STProjectAcct[[#This Row],[Actual]]/DB_STProjectAcct[[#This Row],[Plan]],1.000011000011)</f>
        <v>1.1635336209941189</v>
      </c>
    </row>
    <row r="818" spans="1:33" hidden="1" x14ac:dyDescent="0.2">
      <c r="A818" t="s">
        <v>811</v>
      </c>
      <c r="B818" t="s">
        <v>349</v>
      </c>
      <c r="C818" t="s">
        <v>525</v>
      </c>
      <c r="D818" t="s">
        <v>525</v>
      </c>
      <c r="E818" t="s">
        <v>144</v>
      </c>
      <c r="AC818" s="297"/>
      <c r="AD818">
        <f>SUMPRODUCT(DB_STProjectAcct[[#This Row],[Plan01]:[Plan12]],$F$14:$Q$14)/valUnits2</f>
        <v>0</v>
      </c>
      <c r="AE818">
        <f>SUMPRODUCT(DB_STProjectAcct[[#This Row],[Act01]:[Act12]],$R$14:$AC$14)/valUnits2</f>
        <v>0</v>
      </c>
      <c r="AF818">
        <f>DB_STProjectAcct[[#This Row],[Actual]]-DB_STProjectAcct[[#This Row],[Plan]]</f>
        <v>0</v>
      </c>
      <c r="AG818">
        <f>IF(DB_STProjectAcct[[#This Row],[Plan]]&lt;&gt;0,DB_STProjectAcct[[#This Row],[Actual]]/DB_STProjectAcct[[#This Row],[Plan]],1.000011000011)</f>
        <v>1.0000110000110001</v>
      </c>
    </row>
    <row r="819" spans="1:33" hidden="1" x14ac:dyDescent="0.2">
      <c r="A819" t="s">
        <v>812</v>
      </c>
      <c r="B819" t="s">
        <v>349</v>
      </c>
      <c r="C819" t="s">
        <v>525</v>
      </c>
      <c r="D819" t="s">
        <v>525</v>
      </c>
      <c r="E819" t="s">
        <v>142</v>
      </c>
      <c r="F819">
        <v>160239.28300000002</v>
      </c>
      <c r="G819">
        <v>-3.4000000003430841E-2</v>
      </c>
      <c r="H819">
        <v>167426.10500000007</v>
      </c>
      <c r="I819">
        <v>169930.90900000001</v>
      </c>
      <c r="J819">
        <v>27674.886999999992</v>
      </c>
      <c r="K819">
        <v>90653.274999999994</v>
      </c>
      <c r="R819">
        <v>155725.97</v>
      </c>
      <c r="S819">
        <v>-4.0000000016334525E-2</v>
      </c>
      <c r="T819">
        <v>170729.98999999996</v>
      </c>
      <c r="U819">
        <v>169957.84</v>
      </c>
      <c r="V819">
        <v>27339.400000000012</v>
      </c>
      <c r="W819">
        <v>52030.77</v>
      </c>
      <c r="AC819" s="295"/>
      <c r="AD819">
        <f>SUMPRODUCT(DB_STProjectAcct[[#This Row],[Plan01]:[Plan12]],$F$14:$Q$14)/valUnits2</f>
        <v>615.92442500000004</v>
      </c>
      <c r="AE819">
        <f>SUMPRODUCT(DB_STProjectAcct[[#This Row],[Act01]:[Act12]],$R$14:$AC$14)/valUnits2</f>
        <v>575.78392999999994</v>
      </c>
      <c r="AF819">
        <f>DB_STProjectAcct[[#This Row],[Actual]]-DB_STProjectAcct[[#This Row],[Plan]]</f>
        <v>-40.140495000000101</v>
      </c>
      <c r="AG819">
        <f>IF(DB_STProjectAcct[[#This Row],[Plan]]&lt;&gt;0,DB_STProjectAcct[[#This Row],[Actual]]/DB_STProjectAcct[[#This Row],[Plan]],1.000011000011)</f>
        <v>0.93482886313527813</v>
      </c>
    </row>
    <row r="820" spans="1:33" hidden="1" x14ac:dyDescent="0.2">
      <c r="A820" t="s">
        <v>813</v>
      </c>
      <c r="B820" t="s">
        <v>349</v>
      </c>
      <c r="C820" t="s">
        <v>525</v>
      </c>
      <c r="D820" t="s">
        <v>525</v>
      </c>
      <c r="E820" t="s">
        <v>140</v>
      </c>
      <c r="F820">
        <v>2543.8809999999999</v>
      </c>
      <c r="G820">
        <v>3442.6279999999997</v>
      </c>
      <c r="H820">
        <v>3720.66</v>
      </c>
      <c r="I820">
        <v>6953.2730000000001</v>
      </c>
      <c r="J820">
        <v>11384.447999999999</v>
      </c>
      <c r="K820">
        <v>0</v>
      </c>
      <c r="R820">
        <v>2506.2600000000002</v>
      </c>
      <c r="S820">
        <v>3514.82</v>
      </c>
      <c r="T820">
        <v>3787.9599999999996</v>
      </c>
      <c r="U820">
        <v>6932.119999999999</v>
      </c>
      <c r="V820">
        <v>11408.279999999999</v>
      </c>
      <c r="W820">
        <v>6775.4400000000005</v>
      </c>
      <c r="AC820" s="297"/>
      <c r="AD820">
        <f>SUMPRODUCT(DB_STProjectAcct[[#This Row],[Plan01]:[Plan12]],$F$14:$Q$14)/valUnits2</f>
        <v>28.044889999999999</v>
      </c>
      <c r="AE820">
        <f>SUMPRODUCT(DB_STProjectAcct[[#This Row],[Act01]:[Act12]],$R$14:$AC$14)/valUnits2</f>
        <v>34.924879999999995</v>
      </c>
      <c r="AF820">
        <f>DB_STProjectAcct[[#This Row],[Actual]]-DB_STProjectAcct[[#This Row],[Plan]]</f>
        <v>6.8799899999999958</v>
      </c>
      <c r="AG820">
        <f>IF(DB_STProjectAcct[[#This Row],[Plan]]&lt;&gt;0,DB_STProjectAcct[[#This Row],[Actual]]/DB_STProjectAcct[[#This Row],[Plan]],1.000011000011)</f>
        <v>1.2453206270375814</v>
      </c>
    </row>
    <row r="821" spans="1:33" hidden="1" x14ac:dyDescent="0.2">
      <c r="A821" t="s">
        <v>814</v>
      </c>
      <c r="B821" t="s">
        <v>349</v>
      </c>
      <c r="C821" t="s">
        <v>525</v>
      </c>
      <c r="D821" t="s">
        <v>525</v>
      </c>
      <c r="E821" t="s">
        <v>236</v>
      </c>
      <c r="F821">
        <v>201.63199999999998</v>
      </c>
      <c r="G821">
        <v>64.820999999999998</v>
      </c>
      <c r="H821">
        <v>70301.468999999997</v>
      </c>
      <c r="I821">
        <v>4250.54</v>
      </c>
      <c r="J821">
        <v>0</v>
      </c>
      <c r="K821">
        <v>0</v>
      </c>
      <c r="R821">
        <v>200.25</v>
      </c>
      <c r="S821">
        <v>66.67</v>
      </c>
      <c r="T821">
        <v>71633.17</v>
      </c>
      <c r="U821">
        <v>4233.63</v>
      </c>
      <c r="V821">
        <v>0</v>
      </c>
      <c r="W821">
        <v>43554.67</v>
      </c>
      <c r="AC821" s="295"/>
      <c r="AD821">
        <f>SUMPRODUCT(DB_STProjectAcct[[#This Row],[Plan01]:[Plan12]],$F$14:$Q$14)/valUnits2</f>
        <v>74.818461999999982</v>
      </c>
      <c r="AE821">
        <f>SUMPRODUCT(DB_STProjectAcct[[#This Row],[Act01]:[Act12]],$R$14:$AC$14)/valUnits2</f>
        <v>119.68839</v>
      </c>
      <c r="AF821">
        <f>DB_STProjectAcct[[#This Row],[Actual]]-DB_STProjectAcct[[#This Row],[Plan]]</f>
        <v>44.869928000000016</v>
      </c>
      <c r="AG821">
        <f>IF(DB_STProjectAcct[[#This Row],[Plan]]&lt;&gt;0,DB_STProjectAcct[[#This Row],[Actual]]/DB_STProjectAcct[[#This Row],[Plan]],1.000011000011)</f>
        <v>1.5997173264534632</v>
      </c>
    </row>
    <row r="822" spans="1:33" hidden="1" x14ac:dyDescent="0.2">
      <c r="A822" t="s">
        <v>815</v>
      </c>
      <c r="B822" t="s">
        <v>349</v>
      </c>
      <c r="C822" t="s">
        <v>525</v>
      </c>
      <c r="D822" t="s">
        <v>525</v>
      </c>
      <c r="E822" t="s">
        <v>237</v>
      </c>
      <c r="G822">
        <v>435.98099999999999</v>
      </c>
      <c r="H822">
        <v>90.444000000000003</v>
      </c>
      <c r="J822">
        <v>26.529</v>
      </c>
      <c r="K822">
        <v>0</v>
      </c>
      <c r="S822">
        <v>450.23</v>
      </c>
      <c r="T822">
        <v>91.09</v>
      </c>
      <c r="V822">
        <v>26.53</v>
      </c>
      <c r="W822">
        <v>126.32</v>
      </c>
      <c r="AC822" s="297"/>
      <c r="AD822">
        <f>SUMPRODUCT(DB_STProjectAcct[[#This Row],[Plan01]:[Plan12]],$F$14:$Q$14)/valUnits2</f>
        <v>0.55295399999999995</v>
      </c>
      <c r="AE822">
        <f>SUMPRODUCT(DB_STProjectAcct[[#This Row],[Act01]:[Act12]],$R$14:$AC$14)/valUnits2</f>
        <v>0.69417000000000006</v>
      </c>
      <c r="AF822">
        <f>DB_STProjectAcct[[#This Row],[Actual]]-DB_STProjectAcct[[#This Row],[Plan]]</f>
        <v>0.14121600000000012</v>
      </c>
      <c r="AG822">
        <f>IF(DB_STProjectAcct[[#This Row],[Plan]]&lt;&gt;0,DB_STProjectAcct[[#This Row],[Actual]]/DB_STProjectAcct[[#This Row],[Plan]],1.000011000011)</f>
        <v>1.2553847155459588</v>
      </c>
    </row>
    <row r="823" spans="1:33" hidden="1" x14ac:dyDescent="0.2">
      <c r="A823" t="s">
        <v>816</v>
      </c>
      <c r="B823" t="s">
        <v>349</v>
      </c>
      <c r="C823" t="s">
        <v>525</v>
      </c>
      <c r="D823" t="s">
        <v>525</v>
      </c>
      <c r="E823" t="s">
        <v>141</v>
      </c>
      <c r="F823">
        <v>1669.7279999999998</v>
      </c>
      <c r="G823">
        <v>1724.2739999999999</v>
      </c>
      <c r="H823">
        <v>3062.7860000000001</v>
      </c>
      <c r="I823">
        <v>3019.6150000000002</v>
      </c>
      <c r="J823">
        <v>943.04200000000003</v>
      </c>
      <c r="K823">
        <v>0</v>
      </c>
      <c r="R823">
        <v>1622.73</v>
      </c>
      <c r="S823">
        <v>1771.6200000000001</v>
      </c>
      <c r="T823">
        <v>3099.3099999999995</v>
      </c>
      <c r="U823">
        <v>3004.8399999999997</v>
      </c>
      <c r="V823">
        <v>940.53</v>
      </c>
      <c r="W823">
        <v>1946.0399999999997</v>
      </c>
      <c r="AC823" s="295"/>
      <c r="AD823">
        <f>SUMPRODUCT(DB_STProjectAcct[[#This Row],[Plan01]:[Plan12]],$F$14:$Q$14)/valUnits2</f>
        <v>10.419445</v>
      </c>
      <c r="AE823">
        <f>SUMPRODUCT(DB_STProjectAcct[[#This Row],[Act01]:[Act12]],$R$14:$AC$14)/valUnits2</f>
        <v>12.385069999999999</v>
      </c>
      <c r="AF823">
        <f>DB_STProjectAcct[[#This Row],[Actual]]-DB_STProjectAcct[[#This Row],[Plan]]</f>
        <v>1.9656249999999993</v>
      </c>
      <c r="AG823">
        <f>IF(DB_STProjectAcct[[#This Row],[Plan]]&lt;&gt;0,DB_STProjectAcct[[#This Row],[Actual]]/DB_STProjectAcct[[#This Row],[Plan]],1.000011000011)</f>
        <v>1.188649683356455</v>
      </c>
    </row>
    <row r="824" spans="1:33" hidden="1" x14ac:dyDescent="0.2">
      <c r="A824" t="s">
        <v>817</v>
      </c>
      <c r="B824" t="s">
        <v>350</v>
      </c>
      <c r="C824" t="s">
        <v>526</v>
      </c>
      <c r="D824" t="s">
        <v>526</v>
      </c>
      <c r="E824" t="s">
        <v>143</v>
      </c>
      <c r="F824">
        <v>2623.5860000000002</v>
      </c>
      <c r="G824">
        <v>36.33</v>
      </c>
      <c r="H824">
        <v>5673.7969999999996</v>
      </c>
      <c r="I824">
        <v>730.17100000000005</v>
      </c>
      <c r="J824">
        <v>1112.2879999999998</v>
      </c>
      <c r="K824">
        <v>0</v>
      </c>
      <c r="R824">
        <v>2572.29</v>
      </c>
      <c r="S824">
        <v>36.33</v>
      </c>
      <c r="T824">
        <v>5644.35</v>
      </c>
      <c r="U824">
        <v>390.20999999999981</v>
      </c>
      <c r="V824">
        <v>1328.1000000000001</v>
      </c>
      <c r="W824">
        <v>48.38</v>
      </c>
      <c r="AC824" s="297"/>
      <c r="AD824">
        <f>SUMPRODUCT(DB_STProjectAcct[[#This Row],[Plan01]:[Plan12]],$F$14:$Q$14)/valUnits2</f>
        <v>10.176172000000001</v>
      </c>
      <c r="AE824">
        <f>SUMPRODUCT(DB_STProjectAcct[[#This Row],[Act01]:[Act12]],$R$14:$AC$14)/valUnits2</f>
        <v>10.01966</v>
      </c>
      <c r="AF824">
        <f>DB_STProjectAcct[[#This Row],[Actual]]-DB_STProjectAcct[[#This Row],[Plan]]</f>
        <v>-0.15651200000000109</v>
      </c>
      <c r="AG824">
        <f>IF(DB_STProjectAcct[[#This Row],[Plan]]&lt;&gt;0,DB_STProjectAcct[[#This Row],[Actual]]/DB_STProjectAcct[[#This Row],[Plan]],1.000011000011)</f>
        <v>0.98461975682014802</v>
      </c>
    </row>
    <row r="825" spans="1:33" hidden="1" x14ac:dyDescent="0.2">
      <c r="A825" t="s">
        <v>818</v>
      </c>
      <c r="B825" t="s">
        <v>350</v>
      </c>
      <c r="C825" t="s">
        <v>526</v>
      </c>
      <c r="D825" t="s">
        <v>526</v>
      </c>
      <c r="E825" t="s">
        <v>235</v>
      </c>
      <c r="F825">
        <v>1913.0809999999999</v>
      </c>
      <c r="G825">
        <v>6004.7489999999998</v>
      </c>
      <c r="H825">
        <v>1231.4969999999998</v>
      </c>
      <c r="I825">
        <v>6873.5729999999994</v>
      </c>
      <c r="J825">
        <v>-232.70400000000004</v>
      </c>
      <c r="K825">
        <v>250</v>
      </c>
      <c r="L825">
        <v>250</v>
      </c>
      <c r="M825">
        <v>250</v>
      </c>
      <c r="N825">
        <v>250</v>
      </c>
      <c r="O825">
        <v>250</v>
      </c>
      <c r="P825">
        <v>250</v>
      </c>
      <c r="Q825">
        <v>250</v>
      </c>
      <c r="R825">
        <v>1808.78</v>
      </c>
      <c r="S825">
        <v>5901.03</v>
      </c>
      <c r="T825">
        <v>1183.69</v>
      </c>
      <c r="U825">
        <v>6840.54</v>
      </c>
      <c r="V825">
        <v>-487.59999999999997</v>
      </c>
      <c r="W825">
        <v>195.04000000000002</v>
      </c>
      <c r="X825">
        <v>0</v>
      </c>
      <c r="Y825">
        <v>0</v>
      </c>
      <c r="Z825">
        <v>0</v>
      </c>
      <c r="AA825">
        <v>0</v>
      </c>
      <c r="AB825">
        <v>0</v>
      </c>
      <c r="AC825" s="295">
        <v>0</v>
      </c>
      <c r="AD825">
        <f>SUMPRODUCT(DB_STProjectAcct[[#This Row],[Plan01]:[Plan12]],$F$14:$Q$14)/valUnits2</f>
        <v>16.040195999999998</v>
      </c>
      <c r="AE825">
        <f>SUMPRODUCT(DB_STProjectAcct[[#This Row],[Act01]:[Act12]],$R$14:$AC$14)/valUnits2</f>
        <v>15.441480000000002</v>
      </c>
      <c r="AF825">
        <f>DB_STProjectAcct[[#This Row],[Actual]]-DB_STProjectAcct[[#This Row],[Plan]]</f>
        <v>-0.59871599999999603</v>
      </c>
      <c r="AG825">
        <f>IF(DB_STProjectAcct[[#This Row],[Plan]]&lt;&gt;0,DB_STProjectAcct[[#This Row],[Actual]]/DB_STProjectAcct[[#This Row],[Plan]],1.000011000011)</f>
        <v>0.96267402218775899</v>
      </c>
    </row>
    <row r="826" spans="1:33" hidden="1" x14ac:dyDescent="0.2">
      <c r="A826" t="s">
        <v>819</v>
      </c>
      <c r="B826" t="s">
        <v>350</v>
      </c>
      <c r="C826" t="s">
        <v>526</v>
      </c>
      <c r="D826" t="s">
        <v>526</v>
      </c>
      <c r="E826" t="s">
        <v>144</v>
      </c>
      <c r="AC826" s="297"/>
      <c r="AD826">
        <f>SUMPRODUCT(DB_STProjectAcct[[#This Row],[Plan01]:[Plan12]],$F$14:$Q$14)/valUnits2</f>
        <v>0</v>
      </c>
      <c r="AE826">
        <f>SUMPRODUCT(DB_STProjectAcct[[#This Row],[Act01]:[Act12]],$R$14:$AC$14)/valUnits2</f>
        <v>0</v>
      </c>
      <c r="AF826">
        <f>DB_STProjectAcct[[#This Row],[Actual]]-DB_STProjectAcct[[#This Row],[Plan]]</f>
        <v>0</v>
      </c>
      <c r="AG826">
        <f>IF(DB_STProjectAcct[[#This Row],[Plan]]&lt;&gt;0,DB_STProjectAcct[[#This Row],[Actual]]/DB_STProjectAcct[[#This Row],[Plan]],1.000011000011)</f>
        <v>1.0000110000110001</v>
      </c>
    </row>
    <row r="827" spans="1:33" hidden="1" x14ac:dyDescent="0.2">
      <c r="A827" t="s">
        <v>820</v>
      </c>
      <c r="B827" t="s">
        <v>350</v>
      </c>
      <c r="C827" t="s">
        <v>526</v>
      </c>
      <c r="D827" t="s">
        <v>526</v>
      </c>
      <c r="E827" t="s">
        <v>142</v>
      </c>
      <c r="AC827" s="295"/>
      <c r="AD827">
        <f>SUMPRODUCT(DB_STProjectAcct[[#This Row],[Plan01]:[Plan12]],$F$14:$Q$14)/valUnits2</f>
        <v>0</v>
      </c>
      <c r="AE827">
        <f>SUMPRODUCT(DB_STProjectAcct[[#This Row],[Act01]:[Act12]],$R$14:$AC$14)/valUnits2</f>
        <v>0</v>
      </c>
      <c r="AF827">
        <f>DB_STProjectAcct[[#This Row],[Actual]]-DB_STProjectAcct[[#This Row],[Plan]]</f>
        <v>0</v>
      </c>
      <c r="AG827">
        <f>IF(DB_STProjectAcct[[#This Row],[Plan]]&lt;&gt;0,DB_STProjectAcct[[#This Row],[Actual]]/DB_STProjectAcct[[#This Row],[Plan]],1.000011000011)</f>
        <v>1.0000110000110001</v>
      </c>
    </row>
    <row r="828" spans="1:33" hidden="1" x14ac:dyDescent="0.2">
      <c r="A828" t="s">
        <v>821</v>
      </c>
      <c r="B828" t="s">
        <v>350</v>
      </c>
      <c r="C828" t="s">
        <v>526</v>
      </c>
      <c r="D828" t="s">
        <v>526</v>
      </c>
      <c r="E828" t="s">
        <v>140</v>
      </c>
      <c r="F828">
        <v>2220.174</v>
      </c>
      <c r="G828">
        <v>38130.234000000011</v>
      </c>
      <c r="H828">
        <v>25091.639000000003</v>
      </c>
      <c r="I828">
        <v>28103.024999999994</v>
      </c>
      <c r="J828">
        <v>13376.073999999997</v>
      </c>
      <c r="K828">
        <v>17118.282000000003</v>
      </c>
      <c r="L828">
        <v>17118.281999999999</v>
      </c>
      <c r="M828">
        <v>17118.282000000003</v>
      </c>
      <c r="N828">
        <v>17014.231000000003</v>
      </c>
      <c r="O828">
        <v>11316.594999999999</v>
      </c>
      <c r="P828">
        <v>10541.463999999998</v>
      </c>
      <c r="Q828">
        <v>10541.464000000002</v>
      </c>
      <c r="R828">
        <v>2033.4499999999998</v>
      </c>
      <c r="S828">
        <v>37970.569999999985</v>
      </c>
      <c r="T828">
        <v>24384.43</v>
      </c>
      <c r="U828">
        <v>27267.230000000003</v>
      </c>
      <c r="V828">
        <v>12575.16</v>
      </c>
      <c r="W828">
        <v>8484.8999999999978</v>
      </c>
      <c r="X828">
        <v>0</v>
      </c>
      <c r="Y828">
        <v>0</v>
      </c>
      <c r="Z828">
        <v>0</v>
      </c>
      <c r="AA828">
        <v>0</v>
      </c>
      <c r="AB828">
        <v>0</v>
      </c>
      <c r="AC828" s="297">
        <v>0</v>
      </c>
      <c r="AD828">
        <f>SUMPRODUCT(DB_STProjectAcct[[#This Row],[Plan01]:[Plan12]],$F$14:$Q$14)/valUnits2</f>
        <v>124.03942800000002</v>
      </c>
      <c r="AE828">
        <f>SUMPRODUCT(DB_STProjectAcct[[#This Row],[Act01]:[Act12]],$R$14:$AC$14)/valUnits2</f>
        <v>112.71574</v>
      </c>
      <c r="AF828">
        <f>DB_STProjectAcct[[#This Row],[Actual]]-DB_STProjectAcct[[#This Row],[Plan]]</f>
        <v>-11.323688000000018</v>
      </c>
      <c r="AG828">
        <f>IF(DB_STProjectAcct[[#This Row],[Plan]]&lt;&gt;0,DB_STProjectAcct[[#This Row],[Actual]]/DB_STProjectAcct[[#This Row],[Plan]],1.000011000011)</f>
        <v>0.9087089630887365</v>
      </c>
    </row>
    <row r="829" spans="1:33" hidden="1" x14ac:dyDescent="0.2">
      <c r="A829" t="s">
        <v>822</v>
      </c>
      <c r="B829" t="s">
        <v>350</v>
      </c>
      <c r="C829" t="s">
        <v>526</v>
      </c>
      <c r="D829" t="s">
        <v>526</v>
      </c>
      <c r="E829" t="s">
        <v>236</v>
      </c>
      <c r="F829">
        <v>873.92200000000003</v>
      </c>
      <c r="G829">
        <v>1075</v>
      </c>
      <c r="H829">
        <v>1075</v>
      </c>
      <c r="I829">
        <v>1173.21</v>
      </c>
      <c r="J829">
        <v>1335</v>
      </c>
      <c r="K829">
        <v>1075</v>
      </c>
      <c r="L829">
        <v>1075</v>
      </c>
      <c r="M829">
        <v>1075</v>
      </c>
      <c r="N829">
        <v>1075</v>
      </c>
      <c r="O829">
        <v>1075</v>
      </c>
      <c r="P829">
        <v>1075</v>
      </c>
      <c r="Q829">
        <v>1075</v>
      </c>
      <c r="R829">
        <v>-202.13</v>
      </c>
      <c r="S829">
        <v>0</v>
      </c>
      <c r="T829">
        <v>0</v>
      </c>
      <c r="U829">
        <v>98.210000000000008</v>
      </c>
      <c r="V829">
        <v>260</v>
      </c>
      <c r="W829">
        <v>250.16</v>
      </c>
      <c r="X829">
        <v>0</v>
      </c>
      <c r="Y829">
        <v>0</v>
      </c>
      <c r="Z829">
        <v>0</v>
      </c>
      <c r="AA829">
        <v>0</v>
      </c>
      <c r="AB829">
        <v>0</v>
      </c>
      <c r="AC829" s="295">
        <v>0</v>
      </c>
      <c r="AD829">
        <f>SUMPRODUCT(DB_STProjectAcct[[#This Row],[Plan01]:[Plan12]],$F$14:$Q$14)/valUnits2</f>
        <v>6.607132</v>
      </c>
      <c r="AE829">
        <f>SUMPRODUCT(DB_STProjectAcct[[#This Row],[Act01]:[Act12]],$R$14:$AC$14)/valUnits2</f>
        <v>0.40623999999999999</v>
      </c>
      <c r="AF829">
        <f>DB_STProjectAcct[[#This Row],[Actual]]-DB_STProjectAcct[[#This Row],[Plan]]</f>
        <v>-6.2008919999999996</v>
      </c>
      <c r="AG829">
        <f>IF(DB_STProjectAcct[[#This Row],[Plan]]&lt;&gt;0,DB_STProjectAcct[[#This Row],[Actual]]/DB_STProjectAcct[[#This Row],[Plan]],1.000011000011)</f>
        <v>6.1485074007905392E-2</v>
      </c>
    </row>
    <row r="830" spans="1:33" hidden="1" x14ac:dyDescent="0.2">
      <c r="A830" t="s">
        <v>823</v>
      </c>
      <c r="B830" t="s">
        <v>350</v>
      </c>
      <c r="C830" t="s">
        <v>526</v>
      </c>
      <c r="D830" t="s">
        <v>526</v>
      </c>
      <c r="E830" t="s">
        <v>237</v>
      </c>
      <c r="G830">
        <v>526.69100000000003</v>
      </c>
      <c r="H830">
        <v>0</v>
      </c>
      <c r="I830">
        <v>-159.91</v>
      </c>
      <c r="J830">
        <v>0</v>
      </c>
      <c r="K830">
        <v>0</v>
      </c>
      <c r="S830">
        <v>524.9899999999999</v>
      </c>
      <c r="T830">
        <v>0</v>
      </c>
      <c r="U830">
        <v>-159.91</v>
      </c>
      <c r="V830">
        <v>0</v>
      </c>
      <c r="W830">
        <v>148.63999999999999</v>
      </c>
      <c r="AC830" s="297"/>
      <c r="AD830">
        <f>SUMPRODUCT(DB_STProjectAcct[[#This Row],[Plan01]:[Plan12]],$F$14:$Q$14)/valUnits2</f>
        <v>0.36678100000000008</v>
      </c>
      <c r="AE830">
        <f>SUMPRODUCT(DB_STProjectAcct[[#This Row],[Act01]:[Act12]],$R$14:$AC$14)/valUnits2</f>
        <v>0.51371999999999995</v>
      </c>
      <c r="AF830">
        <f>DB_STProjectAcct[[#This Row],[Actual]]-DB_STProjectAcct[[#This Row],[Plan]]</f>
        <v>0.14693899999999988</v>
      </c>
      <c r="AG830">
        <f>IF(DB_STProjectAcct[[#This Row],[Plan]]&lt;&gt;0,DB_STProjectAcct[[#This Row],[Actual]]/DB_STProjectAcct[[#This Row],[Plan]],1.000011000011)</f>
        <v>1.400617807356433</v>
      </c>
    </row>
    <row r="831" spans="1:33" hidden="1" x14ac:dyDescent="0.2">
      <c r="A831" t="s">
        <v>824</v>
      </c>
      <c r="B831" t="s">
        <v>350</v>
      </c>
      <c r="C831" t="s">
        <v>526</v>
      </c>
      <c r="D831" t="s">
        <v>526</v>
      </c>
      <c r="E831" t="s">
        <v>141</v>
      </c>
      <c r="F831">
        <v>14.7</v>
      </c>
      <c r="G831">
        <v>653.6350000000001</v>
      </c>
      <c r="H831">
        <v>821.49400000000014</v>
      </c>
      <c r="I831">
        <v>115.51300000000001</v>
      </c>
      <c r="J831">
        <v>273.6699999999999</v>
      </c>
      <c r="K831">
        <v>534.71100000000001</v>
      </c>
      <c r="L831">
        <v>534.71100000000001</v>
      </c>
      <c r="M831">
        <v>534.71100000000001</v>
      </c>
      <c r="N831">
        <v>534.71100000000001</v>
      </c>
      <c r="O831">
        <v>534.71100000000001</v>
      </c>
      <c r="P831">
        <v>534.71100000000001</v>
      </c>
      <c r="Q831">
        <v>534.71100000000001</v>
      </c>
      <c r="R831">
        <v>14.54</v>
      </c>
      <c r="S831">
        <v>659.33999999999992</v>
      </c>
      <c r="T831">
        <v>821.29</v>
      </c>
      <c r="U831">
        <v>113.63999999999999</v>
      </c>
      <c r="V831">
        <v>274.27999999999992</v>
      </c>
      <c r="W831">
        <v>2619.75</v>
      </c>
      <c r="X831">
        <v>0</v>
      </c>
      <c r="Y831">
        <v>0</v>
      </c>
      <c r="Z831">
        <v>0</v>
      </c>
      <c r="AA831">
        <v>0</v>
      </c>
      <c r="AB831">
        <v>0</v>
      </c>
      <c r="AC831" s="295">
        <v>0</v>
      </c>
      <c r="AD831">
        <f>SUMPRODUCT(DB_STProjectAcct[[#This Row],[Plan01]:[Plan12]],$F$14:$Q$14)/valUnits2</f>
        <v>2.4137230000000001</v>
      </c>
      <c r="AE831">
        <f>SUMPRODUCT(DB_STProjectAcct[[#This Row],[Act01]:[Act12]],$R$14:$AC$14)/valUnits2</f>
        <v>4.50284</v>
      </c>
      <c r="AF831">
        <f>DB_STProjectAcct[[#This Row],[Actual]]-DB_STProjectAcct[[#This Row],[Plan]]</f>
        <v>2.0891169999999999</v>
      </c>
      <c r="AG831">
        <f>IF(DB_STProjectAcct[[#This Row],[Plan]]&lt;&gt;0,DB_STProjectAcct[[#This Row],[Actual]]/DB_STProjectAcct[[#This Row],[Plan]],1.000011000011)</f>
        <v>1.865516465642495</v>
      </c>
    </row>
    <row r="832" spans="1:33" hidden="1" x14ac:dyDescent="0.2">
      <c r="A832" t="s">
        <v>825</v>
      </c>
      <c r="B832" t="s">
        <v>350</v>
      </c>
      <c r="C832" t="s">
        <v>527</v>
      </c>
      <c r="D832" t="s">
        <v>527</v>
      </c>
      <c r="E832" t="s">
        <v>143</v>
      </c>
      <c r="G832">
        <v>93740.099999999991</v>
      </c>
      <c r="H832">
        <v>49924.84</v>
      </c>
      <c r="I832">
        <v>-130542.99</v>
      </c>
      <c r="J832">
        <v>-1026.7660000000005</v>
      </c>
      <c r="K832">
        <v>0</v>
      </c>
      <c r="S832">
        <v>93731.200000000012</v>
      </c>
      <c r="T832">
        <v>48402.969999999994</v>
      </c>
      <c r="U832">
        <v>-129617.86</v>
      </c>
      <c r="V832">
        <v>-193.35</v>
      </c>
      <c r="W832">
        <v>-47.319999999999993</v>
      </c>
      <c r="AC832" s="297"/>
      <c r="AD832">
        <f>SUMPRODUCT(DB_STProjectAcct[[#This Row],[Plan01]:[Plan12]],$F$14:$Q$14)/valUnits2</f>
        <v>12.095183999999998</v>
      </c>
      <c r="AE832">
        <f>SUMPRODUCT(DB_STProjectAcct[[#This Row],[Act01]:[Act12]],$R$14:$AC$14)/valUnits2</f>
        <v>12.275640000000012</v>
      </c>
      <c r="AF832">
        <f>DB_STProjectAcct[[#This Row],[Actual]]-DB_STProjectAcct[[#This Row],[Plan]]</f>
        <v>0.18045600000001372</v>
      </c>
      <c r="AG832">
        <f>IF(DB_STProjectAcct[[#This Row],[Plan]]&lt;&gt;0,DB_STProjectAcct[[#This Row],[Actual]]/DB_STProjectAcct[[#This Row],[Plan]],1.000011000011)</f>
        <v>1.0149196572784684</v>
      </c>
    </row>
    <row r="833" spans="1:33" hidden="1" x14ac:dyDescent="0.2">
      <c r="A833" t="s">
        <v>826</v>
      </c>
      <c r="B833" t="s">
        <v>350</v>
      </c>
      <c r="C833" t="s">
        <v>527</v>
      </c>
      <c r="D833" t="s">
        <v>527</v>
      </c>
      <c r="E833" t="s">
        <v>235</v>
      </c>
      <c r="G833">
        <v>49.59</v>
      </c>
      <c r="H833">
        <v>807.64</v>
      </c>
      <c r="I833">
        <v>1539.345</v>
      </c>
      <c r="J833">
        <v>-1818.83</v>
      </c>
      <c r="K833">
        <v>0</v>
      </c>
      <c r="S833">
        <v>58.49</v>
      </c>
      <c r="T833">
        <v>2574.0699999999997</v>
      </c>
      <c r="U833">
        <v>424.71000000000004</v>
      </c>
      <c r="V833">
        <v>-2489.44</v>
      </c>
      <c r="W833">
        <v>-61.34</v>
      </c>
      <c r="AC833" s="295"/>
      <c r="AD833">
        <f>SUMPRODUCT(DB_STProjectAcct[[#This Row],[Plan01]:[Plan12]],$F$14:$Q$14)/valUnits2</f>
        <v>0.57774499999999984</v>
      </c>
      <c r="AE833">
        <f>SUMPRODUCT(DB_STProjectAcct[[#This Row],[Act01]:[Act12]],$R$14:$AC$14)/valUnits2</f>
        <v>0.50648999999999944</v>
      </c>
      <c r="AF833">
        <f>DB_STProjectAcct[[#This Row],[Actual]]-DB_STProjectAcct[[#This Row],[Plan]]</f>
        <v>-7.1255000000000401E-2</v>
      </c>
      <c r="AG833">
        <f>IF(DB_STProjectAcct[[#This Row],[Plan]]&lt;&gt;0,DB_STProjectAcct[[#This Row],[Actual]]/DB_STProjectAcct[[#This Row],[Plan]],1.000011000011)</f>
        <v>0.87666704168794118</v>
      </c>
    </row>
    <row r="834" spans="1:33" hidden="1" x14ac:dyDescent="0.2">
      <c r="A834" t="s">
        <v>827</v>
      </c>
      <c r="B834" t="s">
        <v>350</v>
      </c>
      <c r="C834" t="s">
        <v>527</v>
      </c>
      <c r="D834" t="s">
        <v>527</v>
      </c>
      <c r="E834" t="s">
        <v>144</v>
      </c>
      <c r="AC834" s="297"/>
      <c r="AD834">
        <f>SUMPRODUCT(DB_STProjectAcct[[#This Row],[Plan01]:[Plan12]],$F$14:$Q$14)/valUnits2</f>
        <v>0</v>
      </c>
      <c r="AE834">
        <f>SUMPRODUCT(DB_STProjectAcct[[#This Row],[Act01]:[Act12]],$R$14:$AC$14)/valUnits2</f>
        <v>0</v>
      </c>
      <c r="AF834">
        <f>DB_STProjectAcct[[#This Row],[Actual]]-DB_STProjectAcct[[#This Row],[Plan]]</f>
        <v>0</v>
      </c>
      <c r="AG834">
        <f>IF(DB_STProjectAcct[[#This Row],[Plan]]&lt;&gt;0,DB_STProjectAcct[[#This Row],[Actual]]/DB_STProjectAcct[[#This Row],[Plan]],1.000011000011)</f>
        <v>1.0000110000110001</v>
      </c>
    </row>
    <row r="835" spans="1:33" hidden="1" x14ac:dyDescent="0.2">
      <c r="A835" t="s">
        <v>828</v>
      </c>
      <c r="B835" t="s">
        <v>350</v>
      </c>
      <c r="C835" t="s">
        <v>527</v>
      </c>
      <c r="D835" t="s">
        <v>527</v>
      </c>
      <c r="E835" t="s">
        <v>142</v>
      </c>
      <c r="AC835" s="295"/>
      <c r="AD835">
        <f>SUMPRODUCT(DB_STProjectAcct[[#This Row],[Plan01]:[Plan12]],$F$14:$Q$14)/valUnits2</f>
        <v>0</v>
      </c>
      <c r="AE835">
        <f>SUMPRODUCT(DB_STProjectAcct[[#This Row],[Act01]:[Act12]],$R$14:$AC$14)/valUnits2</f>
        <v>0</v>
      </c>
      <c r="AF835">
        <f>DB_STProjectAcct[[#This Row],[Actual]]-DB_STProjectAcct[[#This Row],[Plan]]</f>
        <v>0</v>
      </c>
      <c r="AG835">
        <f>IF(DB_STProjectAcct[[#This Row],[Plan]]&lt;&gt;0,DB_STProjectAcct[[#This Row],[Actual]]/DB_STProjectAcct[[#This Row],[Plan]],1.000011000011)</f>
        <v>1.0000110000110001</v>
      </c>
    </row>
    <row r="836" spans="1:33" hidden="1" x14ac:dyDescent="0.2">
      <c r="A836" t="s">
        <v>829</v>
      </c>
      <c r="B836" t="s">
        <v>350</v>
      </c>
      <c r="C836" t="s">
        <v>527</v>
      </c>
      <c r="D836" t="s">
        <v>527</v>
      </c>
      <c r="E836" t="s">
        <v>140</v>
      </c>
      <c r="F836">
        <v>0</v>
      </c>
      <c r="G836">
        <v>8667.7099999999991</v>
      </c>
      <c r="H836">
        <v>10927.69</v>
      </c>
      <c r="I836">
        <v>-17916.911</v>
      </c>
      <c r="J836">
        <v>2447.41</v>
      </c>
      <c r="K836">
        <v>5609.5989999999993</v>
      </c>
      <c r="L836">
        <v>5609.5990000000002</v>
      </c>
      <c r="M836">
        <v>5609.5990000000002</v>
      </c>
      <c r="N836">
        <v>5609.5990000000002</v>
      </c>
      <c r="O836">
        <v>5609.5990000000002</v>
      </c>
      <c r="P836">
        <v>5609.5990000000011</v>
      </c>
      <c r="Q836">
        <v>5609.5990000000011</v>
      </c>
      <c r="R836">
        <v>0</v>
      </c>
      <c r="S836">
        <v>8667.7099999999991</v>
      </c>
      <c r="T836">
        <v>10927.69</v>
      </c>
      <c r="U836">
        <v>-17917.100000000002</v>
      </c>
      <c r="V836">
        <v>2447.41</v>
      </c>
      <c r="W836">
        <v>-190.64999999999998</v>
      </c>
      <c r="X836">
        <v>0</v>
      </c>
      <c r="Y836">
        <v>0</v>
      </c>
      <c r="Z836">
        <v>0</v>
      </c>
      <c r="AA836">
        <v>0</v>
      </c>
      <c r="AB836">
        <v>0</v>
      </c>
      <c r="AC836" s="297">
        <v>0</v>
      </c>
      <c r="AD836">
        <f>SUMPRODUCT(DB_STProjectAcct[[#This Row],[Plan01]:[Plan12]],$F$14:$Q$14)/valUnits2</f>
        <v>9.7354979999999998</v>
      </c>
      <c r="AE836">
        <f>SUMPRODUCT(DB_STProjectAcct[[#This Row],[Act01]:[Act12]],$R$14:$AC$14)/valUnits2</f>
        <v>3.9350599999999991</v>
      </c>
      <c r="AF836">
        <f>DB_STProjectAcct[[#This Row],[Actual]]-DB_STProjectAcct[[#This Row],[Plan]]</f>
        <v>-5.8004380000000006</v>
      </c>
      <c r="AG836">
        <f>IF(DB_STProjectAcct[[#This Row],[Plan]]&lt;&gt;0,DB_STProjectAcct[[#This Row],[Actual]]/DB_STProjectAcct[[#This Row],[Plan]],1.000011000011)</f>
        <v>0.40419709397505904</v>
      </c>
    </row>
    <row r="837" spans="1:33" hidden="1" x14ac:dyDescent="0.2">
      <c r="A837" t="s">
        <v>830</v>
      </c>
      <c r="B837" t="s">
        <v>350</v>
      </c>
      <c r="C837" t="s">
        <v>527</v>
      </c>
      <c r="D837" t="s">
        <v>527</v>
      </c>
      <c r="E837" t="s">
        <v>236</v>
      </c>
      <c r="F837">
        <v>1177.9369999999999</v>
      </c>
      <c r="G837">
        <v>1178.077</v>
      </c>
      <c r="H837">
        <v>2729.9070000000002</v>
      </c>
      <c r="I837">
        <v>7.976999999999844</v>
      </c>
      <c r="J837">
        <v>1012.0769999999999</v>
      </c>
      <c r="K837">
        <v>1166.6669999999999</v>
      </c>
      <c r="L837">
        <v>1166.6669999999999</v>
      </c>
      <c r="M837">
        <v>1166.6669999999999</v>
      </c>
      <c r="N837">
        <v>1166.6669999999999</v>
      </c>
      <c r="O837">
        <v>1166.6669999999999</v>
      </c>
      <c r="P837">
        <v>1166.6669999999999</v>
      </c>
      <c r="Q837">
        <v>1166.6669999999999</v>
      </c>
      <c r="R837">
        <v>11.27</v>
      </c>
      <c r="S837">
        <v>11.41</v>
      </c>
      <c r="T837">
        <v>1563.24</v>
      </c>
      <c r="U837">
        <v>-1158.69</v>
      </c>
      <c r="V837">
        <v>-154.58999999999997</v>
      </c>
      <c r="W837">
        <v>263.04999999999995</v>
      </c>
      <c r="X837">
        <v>0</v>
      </c>
      <c r="Y837">
        <v>0</v>
      </c>
      <c r="Z837">
        <v>0</v>
      </c>
      <c r="AA837">
        <v>0</v>
      </c>
      <c r="AB837">
        <v>0</v>
      </c>
      <c r="AC837" s="295">
        <v>0</v>
      </c>
      <c r="AD837">
        <f>SUMPRODUCT(DB_STProjectAcct[[#This Row],[Plan01]:[Plan12]],$F$14:$Q$14)/valUnits2</f>
        <v>7.2726419999999994</v>
      </c>
      <c r="AE837">
        <f>SUMPRODUCT(DB_STProjectAcct[[#This Row],[Act01]:[Act12]],$R$14:$AC$14)/valUnits2</f>
        <v>0.53569</v>
      </c>
      <c r="AF837">
        <f>DB_STProjectAcct[[#This Row],[Actual]]-DB_STProjectAcct[[#This Row],[Plan]]</f>
        <v>-6.7369519999999996</v>
      </c>
      <c r="AG837">
        <f>IF(DB_STProjectAcct[[#This Row],[Plan]]&lt;&gt;0,DB_STProjectAcct[[#This Row],[Actual]]/DB_STProjectAcct[[#This Row],[Plan]],1.000011000011)</f>
        <v>7.3658238642848095E-2</v>
      </c>
    </row>
    <row r="838" spans="1:33" hidden="1" x14ac:dyDescent="0.2">
      <c r="A838" t="s">
        <v>831</v>
      </c>
      <c r="B838" t="s">
        <v>350</v>
      </c>
      <c r="C838" t="s">
        <v>527</v>
      </c>
      <c r="D838" t="s">
        <v>527</v>
      </c>
      <c r="E838" t="s">
        <v>237</v>
      </c>
      <c r="G838">
        <v>16.53</v>
      </c>
      <c r="H838">
        <v>12860.33</v>
      </c>
      <c r="I838">
        <v>-12237.110000000002</v>
      </c>
      <c r="J838">
        <v>10246.359999999999</v>
      </c>
      <c r="K838">
        <v>0</v>
      </c>
      <c r="S838">
        <v>16.53</v>
      </c>
      <c r="T838">
        <v>12860.33</v>
      </c>
      <c r="U838">
        <v>-12237.11</v>
      </c>
      <c r="V838">
        <v>10246.36</v>
      </c>
      <c r="W838">
        <v>-312.21999999999991</v>
      </c>
      <c r="AC838" s="297"/>
      <c r="AD838">
        <f>SUMPRODUCT(DB_STProjectAcct[[#This Row],[Plan01]:[Plan12]],$F$14:$Q$14)/valUnits2</f>
        <v>10.886109999999997</v>
      </c>
      <c r="AE838">
        <f>SUMPRODUCT(DB_STProjectAcct[[#This Row],[Act01]:[Act12]],$R$14:$AC$14)/valUnits2</f>
        <v>10.57389</v>
      </c>
      <c r="AF838">
        <f>DB_STProjectAcct[[#This Row],[Actual]]-DB_STProjectAcct[[#This Row],[Plan]]</f>
        <v>-0.31221999999999639</v>
      </c>
      <c r="AG838">
        <f>IF(DB_STProjectAcct[[#This Row],[Plan]]&lt;&gt;0,DB_STProjectAcct[[#This Row],[Actual]]/DB_STProjectAcct[[#This Row],[Plan]],1.000011000011)</f>
        <v>0.97131941529159671</v>
      </c>
    </row>
    <row r="839" spans="1:33" hidden="1" x14ac:dyDescent="0.2">
      <c r="A839" t="s">
        <v>832</v>
      </c>
      <c r="B839" t="s">
        <v>350</v>
      </c>
      <c r="C839" t="s">
        <v>527</v>
      </c>
      <c r="D839" t="s">
        <v>527</v>
      </c>
      <c r="E839" t="s">
        <v>141</v>
      </c>
      <c r="F839">
        <v>16.41</v>
      </c>
      <c r="G839">
        <v>593.12</v>
      </c>
      <c r="H839">
        <v>3053.886</v>
      </c>
      <c r="I839">
        <v>2602.3159999999998</v>
      </c>
      <c r="J839">
        <v>2425.768</v>
      </c>
      <c r="K839">
        <v>0</v>
      </c>
      <c r="R839">
        <v>16.41</v>
      </c>
      <c r="S839">
        <v>593.11999999999989</v>
      </c>
      <c r="T839">
        <v>3053.95</v>
      </c>
      <c r="U839">
        <v>2601.8799999999997</v>
      </c>
      <c r="V839">
        <v>2426.63</v>
      </c>
      <c r="W839">
        <v>-1064.7900000000002</v>
      </c>
      <c r="AC839" s="295"/>
      <c r="AD839">
        <f>SUMPRODUCT(DB_STProjectAcct[[#This Row],[Plan01]:[Plan12]],$F$14:$Q$14)/valUnits2</f>
        <v>8.6914999999999996</v>
      </c>
      <c r="AE839">
        <f>SUMPRODUCT(DB_STProjectAcct[[#This Row],[Act01]:[Act12]],$R$14:$AC$14)/valUnits2</f>
        <v>7.6271999999999984</v>
      </c>
      <c r="AF839">
        <f>DB_STProjectAcct[[#This Row],[Actual]]-DB_STProjectAcct[[#This Row],[Plan]]</f>
        <v>-1.0643000000000011</v>
      </c>
      <c r="AG839">
        <f>IF(DB_STProjectAcct[[#This Row],[Plan]]&lt;&gt;0,DB_STProjectAcct[[#This Row],[Actual]]/DB_STProjectAcct[[#This Row],[Plan]],1.000011000011)</f>
        <v>0.87754702870620704</v>
      </c>
    </row>
    <row r="840" spans="1:33" hidden="1" x14ac:dyDescent="0.2">
      <c r="A840" t="s">
        <v>833</v>
      </c>
      <c r="B840" t="s">
        <v>350</v>
      </c>
      <c r="C840" t="s">
        <v>528</v>
      </c>
      <c r="D840" t="s">
        <v>528</v>
      </c>
      <c r="E840" t="s">
        <v>143</v>
      </c>
      <c r="AC840" s="297"/>
      <c r="AD840">
        <f>SUMPRODUCT(DB_STProjectAcct[[#This Row],[Plan01]:[Plan12]],$F$14:$Q$14)/valUnits2</f>
        <v>0</v>
      </c>
      <c r="AE840">
        <f>SUMPRODUCT(DB_STProjectAcct[[#This Row],[Act01]:[Act12]],$R$14:$AC$14)/valUnits2</f>
        <v>0</v>
      </c>
      <c r="AF840">
        <f>DB_STProjectAcct[[#This Row],[Actual]]-DB_STProjectAcct[[#This Row],[Plan]]</f>
        <v>0</v>
      </c>
      <c r="AG840">
        <f>IF(DB_STProjectAcct[[#This Row],[Plan]]&lt;&gt;0,DB_STProjectAcct[[#This Row],[Actual]]/DB_STProjectAcct[[#This Row],[Plan]],1.000011000011)</f>
        <v>1.0000110000110001</v>
      </c>
    </row>
    <row r="841" spans="1:33" hidden="1" x14ac:dyDescent="0.2">
      <c r="A841" t="s">
        <v>834</v>
      </c>
      <c r="B841" t="s">
        <v>350</v>
      </c>
      <c r="C841" t="s">
        <v>528</v>
      </c>
      <c r="D841" t="s">
        <v>528</v>
      </c>
      <c r="E841" t="s">
        <v>235</v>
      </c>
      <c r="F841">
        <v>0</v>
      </c>
      <c r="G841">
        <v>0</v>
      </c>
      <c r="H841">
        <v>19.739999999999998</v>
      </c>
      <c r="I841">
        <v>51.7</v>
      </c>
      <c r="J841">
        <v>69.548000000000002</v>
      </c>
      <c r="K841">
        <v>0</v>
      </c>
      <c r="R841">
        <v>0</v>
      </c>
      <c r="S841">
        <v>0</v>
      </c>
      <c r="T841">
        <v>19.739999999999998</v>
      </c>
      <c r="U841">
        <v>51.7</v>
      </c>
      <c r="V841">
        <v>68.98</v>
      </c>
      <c r="W841">
        <v>13.55</v>
      </c>
      <c r="AC841" s="295"/>
      <c r="AD841">
        <f>SUMPRODUCT(DB_STProjectAcct[[#This Row],[Plan01]:[Plan12]],$F$14:$Q$14)/valUnits2</f>
        <v>0.140988</v>
      </c>
      <c r="AE841">
        <f>SUMPRODUCT(DB_STProjectAcct[[#This Row],[Act01]:[Act12]],$R$14:$AC$14)/valUnits2</f>
        <v>0.15397000000000002</v>
      </c>
      <c r="AF841">
        <f>DB_STProjectAcct[[#This Row],[Actual]]-DB_STProjectAcct[[#This Row],[Plan]]</f>
        <v>1.2982000000000021E-2</v>
      </c>
      <c r="AG841">
        <f>IF(DB_STProjectAcct[[#This Row],[Plan]]&lt;&gt;0,DB_STProjectAcct[[#This Row],[Actual]]/DB_STProjectAcct[[#This Row],[Plan]],1.000011000011)</f>
        <v>1.0920787584758989</v>
      </c>
    </row>
    <row r="842" spans="1:33" hidden="1" x14ac:dyDescent="0.2">
      <c r="A842" t="s">
        <v>835</v>
      </c>
      <c r="B842" t="s">
        <v>350</v>
      </c>
      <c r="C842" t="s">
        <v>528</v>
      </c>
      <c r="D842" t="s">
        <v>528</v>
      </c>
      <c r="E842" t="s">
        <v>144</v>
      </c>
      <c r="AC842" s="297"/>
      <c r="AD842">
        <f>SUMPRODUCT(DB_STProjectAcct[[#This Row],[Plan01]:[Plan12]],$F$14:$Q$14)/valUnits2</f>
        <v>0</v>
      </c>
      <c r="AE842">
        <f>SUMPRODUCT(DB_STProjectAcct[[#This Row],[Act01]:[Act12]],$R$14:$AC$14)/valUnits2</f>
        <v>0</v>
      </c>
      <c r="AF842">
        <f>DB_STProjectAcct[[#This Row],[Actual]]-DB_STProjectAcct[[#This Row],[Plan]]</f>
        <v>0</v>
      </c>
      <c r="AG842">
        <f>IF(DB_STProjectAcct[[#This Row],[Plan]]&lt;&gt;0,DB_STProjectAcct[[#This Row],[Actual]]/DB_STProjectAcct[[#This Row],[Plan]],1.000011000011)</f>
        <v>1.0000110000110001</v>
      </c>
    </row>
    <row r="843" spans="1:33" hidden="1" x14ac:dyDescent="0.2">
      <c r="A843" t="s">
        <v>836</v>
      </c>
      <c r="B843" t="s">
        <v>350</v>
      </c>
      <c r="C843" t="s">
        <v>528</v>
      </c>
      <c r="D843" t="s">
        <v>528</v>
      </c>
      <c r="E843" t="s">
        <v>142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 s="295">
        <v>0</v>
      </c>
      <c r="AD843">
        <f>SUMPRODUCT(DB_STProjectAcct[[#This Row],[Plan01]:[Plan12]],$F$14:$Q$14)/valUnits2</f>
        <v>0</v>
      </c>
      <c r="AE843">
        <f>SUMPRODUCT(DB_STProjectAcct[[#This Row],[Act01]:[Act12]],$R$14:$AC$14)/valUnits2</f>
        <v>0</v>
      </c>
      <c r="AF843">
        <f>DB_STProjectAcct[[#This Row],[Actual]]-DB_STProjectAcct[[#This Row],[Plan]]</f>
        <v>0</v>
      </c>
      <c r="AG843">
        <f>IF(DB_STProjectAcct[[#This Row],[Plan]]&lt;&gt;0,DB_STProjectAcct[[#This Row],[Actual]]/DB_STProjectAcct[[#This Row],[Plan]],1.000011000011)</f>
        <v>1.0000110000110001</v>
      </c>
    </row>
    <row r="844" spans="1:33" hidden="1" x14ac:dyDescent="0.2">
      <c r="A844" t="s">
        <v>837</v>
      </c>
      <c r="B844" t="s">
        <v>350</v>
      </c>
      <c r="C844" t="s">
        <v>528</v>
      </c>
      <c r="D844" t="s">
        <v>528</v>
      </c>
      <c r="E844" t="s">
        <v>140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83.1</v>
      </c>
      <c r="AC844" s="297"/>
      <c r="AD844">
        <f>SUMPRODUCT(DB_STProjectAcct[[#This Row],[Plan01]:[Plan12]],$F$14:$Q$14)/valUnits2</f>
        <v>0</v>
      </c>
      <c r="AE844">
        <f>SUMPRODUCT(DB_STProjectAcct[[#This Row],[Act01]:[Act12]],$R$14:$AC$14)/valUnits2</f>
        <v>8.3099999999999993E-2</v>
      </c>
      <c r="AF844">
        <f>DB_STProjectAcct[[#This Row],[Actual]]-DB_STProjectAcct[[#This Row],[Plan]]</f>
        <v>8.3099999999999993E-2</v>
      </c>
      <c r="AG844">
        <f>IF(DB_STProjectAcct[[#This Row],[Plan]]&lt;&gt;0,DB_STProjectAcct[[#This Row],[Actual]]/DB_STProjectAcct[[#This Row],[Plan]],1.000011000011)</f>
        <v>1.0000110000110001</v>
      </c>
    </row>
    <row r="845" spans="1:33" hidden="1" x14ac:dyDescent="0.2">
      <c r="A845" t="s">
        <v>838</v>
      </c>
      <c r="B845" t="s">
        <v>350</v>
      </c>
      <c r="C845" t="s">
        <v>528</v>
      </c>
      <c r="D845" t="s">
        <v>528</v>
      </c>
      <c r="E845" t="s">
        <v>236</v>
      </c>
      <c r="F845">
        <v>0</v>
      </c>
      <c r="I845">
        <v>0</v>
      </c>
      <c r="L845">
        <v>0</v>
      </c>
      <c r="O845">
        <v>0</v>
      </c>
      <c r="R845">
        <v>0</v>
      </c>
      <c r="U845">
        <v>0</v>
      </c>
      <c r="X845">
        <v>0</v>
      </c>
      <c r="AA845">
        <v>0</v>
      </c>
      <c r="AC845" s="295"/>
      <c r="AD845">
        <f>SUMPRODUCT(DB_STProjectAcct[[#This Row],[Plan01]:[Plan12]],$F$14:$Q$14)/valUnits2</f>
        <v>0</v>
      </c>
      <c r="AE845">
        <f>SUMPRODUCT(DB_STProjectAcct[[#This Row],[Act01]:[Act12]],$R$14:$AC$14)/valUnits2</f>
        <v>0</v>
      </c>
      <c r="AF845">
        <f>DB_STProjectAcct[[#This Row],[Actual]]-DB_STProjectAcct[[#This Row],[Plan]]</f>
        <v>0</v>
      </c>
      <c r="AG845">
        <f>IF(DB_STProjectAcct[[#This Row],[Plan]]&lt;&gt;0,DB_STProjectAcct[[#This Row],[Actual]]/DB_STProjectAcct[[#This Row],[Plan]],1.000011000011)</f>
        <v>1.0000110000110001</v>
      </c>
    </row>
    <row r="846" spans="1:33" hidden="1" x14ac:dyDescent="0.2">
      <c r="A846" t="s">
        <v>839</v>
      </c>
      <c r="B846" t="s">
        <v>350</v>
      </c>
      <c r="C846" t="s">
        <v>528</v>
      </c>
      <c r="D846" t="s">
        <v>528</v>
      </c>
      <c r="E846" t="s">
        <v>237</v>
      </c>
      <c r="K846">
        <v>0</v>
      </c>
      <c r="W846">
        <v>0</v>
      </c>
      <c r="AC846" s="297"/>
      <c r="AD846">
        <f>SUMPRODUCT(DB_STProjectAcct[[#This Row],[Plan01]:[Plan12]],$F$14:$Q$14)/valUnits2</f>
        <v>0</v>
      </c>
      <c r="AE846">
        <f>SUMPRODUCT(DB_STProjectAcct[[#This Row],[Act01]:[Act12]],$R$14:$AC$14)/valUnits2</f>
        <v>0</v>
      </c>
      <c r="AF846">
        <f>DB_STProjectAcct[[#This Row],[Actual]]-DB_STProjectAcct[[#This Row],[Plan]]</f>
        <v>0</v>
      </c>
      <c r="AG846">
        <f>IF(DB_STProjectAcct[[#This Row],[Plan]]&lt;&gt;0,DB_STProjectAcct[[#This Row],[Actual]]/DB_STProjectAcct[[#This Row],[Plan]],1.000011000011)</f>
        <v>1.0000110000110001</v>
      </c>
    </row>
    <row r="847" spans="1:33" hidden="1" x14ac:dyDescent="0.2">
      <c r="A847" t="s">
        <v>840</v>
      </c>
      <c r="B847" t="s">
        <v>350</v>
      </c>
      <c r="C847" t="s">
        <v>528</v>
      </c>
      <c r="D847" t="s">
        <v>528</v>
      </c>
      <c r="E847" t="s">
        <v>141</v>
      </c>
      <c r="F847">
        <v>362.40800000000002</v>
      </c>
      <c r="G847">
        <v>371.08700000000005</v>
      </c>
      <c r="H847">
        <v>1446.9960000000001</v>
      </c>
      <c r="I847">
        <v>295.89</v>
      </c>
      <c r="J847">
        <v>229.041</v>
      </c>
      <c r="K847">
        <v>295.84000000000003</v>
      </c>
      <c r="L847">
        <v>295.84000000000003</v>
      </c>
      <c r="M847">
        <v>295.84000000000003</v>
      </c>
      <c r="N847">
        <v>295.83999999999997</v>
      </c>
      <c r="O847">
        <v>295.84000000000003</v>
      </c>
      <c r="P847">
        <v>295.83999999999997</v>
      </c>
      <c r="Q847">
        <v>295.84000000000003</v>
      </c>
      <c r="R847">
        <v>362.42</v>
      </c>
      <c r="S847">
        <v>369.39</v>
      </c>
      <c r="T847">
        <v>1439.32</v>
      </c>
      <c r="U847">
        <v>295.89</v>
      </c>
      <c r="V847">
        <v>228.67</v>
      </c>
      <c r="W847">
        <v>515.65000000000009</v>
      </c>
      <c r="X847">
        <v>0</v>
      </c>
      <c r="Y847">
        <v>0</v>
      </c>
      <c r="Z847">
        <v>0</v>
      </c>
      <c r="AA847">
        <v>0</v>
      </c>
      <c r="AB847">
        <v>0</v>
      </c>
      <c r="AC847" s="295">
        <v>0</v>
      </c>
      <c r="AD847">
        <f>SUMPRODUCT(DB_STProjectAcct[[#This Row],[Plan01]:[Plan12]],$F$14:$Q$14)/valUnits2</f>
        <v>3.0012620000000001</v>
      </c>
      <c r="AE847">
        <f>SUMPRODUCT(DB_STProjectAcct[[#This Row],[Act01]:[Act12]],$R$14:$AC$14)/valUnits2</f>
        <v>3.2113400000000003</v>
      </c>
      <c r="AF847">
        <f>DB_STProjectAcct[[#This Row],[Actual]]-DB_STProjectAcct[[#This Row],[Plan]]</f>
        <v>0.21007800000000021</v>
      </c>
      <c r="AG847">
        <f>IF(DB_STProjectAcct[[#This Row],[Plan]]&lt;&gt;0,DB_STProjectAcct[[#This Row],[Actual]]/DB_STProjectAcct[[#This Row],[Plan]],1.000011000011)</f>
        <v>1.0699965547826216</v>
      </c>
    </row>
  </sheetData>
  <mergeCells count="1">
    <mergeCell ref="AO2:AP2"/>
  </mergeCells>
  <conditionalFormatting sqref="AJ3:AJ10">
    <cfRule type="iconSet" priority="1">
      <iconSet showValue="0" reverse="1">
        <cfvo type="percent" val="0"/>
        <cfvo type="num" val="0.2"/>
        <cfvo type="num" val="0.5"/>
      </iconSet>
    </cfRule>
  </conditionalFormatting>
  <conditionalFormatting sqref="AP3:AP10">
    <cfRule type="cellIs" dxfId="17" priority="242" stopIfTrue="1" operator="equal">
      <formula>0</formula>
    </cfRule>
    <cfRule type="dataBar" priority="243">
      <dataBar>
        <cfvo type="num" val="0"/>
        <cfvo type="num" val="$AI$1"/>
        <color rgb="FFFF0000"/>
      </dataBar>
    </cfRule>
  </conditionalFormatting>
  <conditionalFormatting sqref="AO3:AO10">
    <cfRule type="containsBlanks" dxfId="16" priority="244" stopIfTrue="1">
      <formula>LEN(TRIM(AO3))=0</formula>
    </cfRule>
    <cfRule type="cellIs" dxfId="15" priority="245" stopIfTrue="1" operator="equal">
      <formula>0</formula>
    </cfRule>
    <cfRule type="dataBar" priority="246">
      <dataBar>
        <cfvo type="num" val="-$AI$1"/>
        <cfvo type="num" val="0"/>
        <color theme="0"/>
      </dataBar>
      <extLst>
        <ext xmlns:x14="http://schemas.microsoft.com/office/spreadsheetml/2009/9/main" uri="{B025F937-C7B1-47D3-B67F-A62EFF666E3E}">
          <x14:id>{83B365B1-B089-4EEA-833E-5BC01B968B1E}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B365B1-B089-4EEA-833E-5BC01B968B1E}">
            <x14:dataBar minLength="0" maxLength="100" gradient="0" negativeBarColorSameAsPositive="1" axisPosition="none">
              <x14:cfvo type="num">
                <xm:f>-$AI$1</xm:f>
              </x14:cfvo>
              <x14:cfvo type="num">
                <xm:f>0</xm:f>
              </x14:cfvo>
            </x14:dataBar>
          </x14:cfRule>
          <xm:sqref>AO3:AO10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N3000"/>
  <sheetViews>
    <sheetView workbookViewId="0">
      <selection activeCell="B6" sqref="B6:AK1416"/>
    </sheetView>
  </sheetViews>
  <sheetFormatPr defaultRowHeight="12.75" x14ac:dyDescent="0.2"/>
  <cols>
    <col min="2" max="3" width="18.42578125" customWidth="1"/>
    <col min="4" max="6" width="11" customWidth="1"/>
    <col min="7" max="7" width="12" customWidth="1"/>
    <col min="8" max="8" width="11" bestFit="1" customWidth="1"/>
    <col min="9" max="9" width="12" bestFit="1" customWidth="1"/>
    <col min="10" max="10" width="12" customWidth="1"/>
    <col min="11" max="11" width="11" bestFit="1" customWidth="1"/>
    <col min="12" max="12" width="12" bestFit="1" customWidth="1"/>
    <col min="13" max="13" width="11" customWidth="1"/>
    <col min="14" max="14" width="11" bestFit="1" customWidth="1"/>
    <col min="15" max="15" width="12" bestFit="1" customWidth="1"/>
    <col min="16" max="18" width="10" customWidth="1"/>
    <col min="19" max="19" width="11" customWidth="1"/>
    <col min="20" max="20" width="10" customWidth="1"/>
    <col min="21" max="21" width="12.42578125" customWidth="1"/>
    <col min="22" max="22" width="9" customWidth="1"/>
    <col min="23" max="24" width="8.140625" customWidth="1"/>
    <col min="25" max="27" width="8.140625" bestFit="1" customWidth="1"/>
    <col min="28" max="28" width="12.140625" customWidth="1"/>
    <col min="29" max="29" width="11.42578125" customWidth="1"/>
    <col min="30" max="30" width="19.140625" customWidth="1"/>
    <col min="31" max="31" width="12" style="34" customWidth="1"/>
    <col min="32" max="33" width="12.42578125" style="34" customWidth="1"/>
    <col min="34" max="34" width="12.5703125" style="34" customWidth="1"/>
    <col min="35" max="35" width="12" style="34" customWidth="1"/>
    <col min="36" max="37" width="13.140625" style="34" customWidth="1"/>
    <col min="38" max="40" width="10" style="34" customWidth="1"/>
  </cols>
  <sheetData>
    <row r="1" spans="1:37" x14ac:dyDescent="0.2">
      <c r="A1" t="s">
        <v>147</v>
      </c>
      <c r="B1">
        <v>1</v>
      </c>
    </row>
    <row r="3" spans="1:37" x14ac:dyDescent="0.2">
      <c r="P3">
        <f>Selections!$G$9</f>
        <v>1</v>
      </c>
      <c r="Q3">
        <f>Selections!$G$10</f>
        <v>1</v>
      </c>
      <c r="R3">
        <f>Selections!$G$11</f>
        <v>1</v>
      </c>
      <c r="S3">
        <f>Selections!$G$12</f>
        <v>1</v>
      </c>
      <c r="T3">
        <f>Selections!$G$13</f>
        <v>1</v>
      </c>
      <c r="U3">
        <f>Selections!$G$14</f>
        <v>1</v>
      </c>
      <c r="V3">
        <f>Selections!$G$15</f>
        <v>0</v>
      </c>
      <c r="W3">
        <f>Selections!$G$16</f>
        <v>0</v>
      </c>
      <c r="X3">
        <f>Selections!$G$17</f>
        <v>0</v>
      </c>
      <c r="Y3">
        <f>Selections!$G$18</f>
        <v>0</v>
      </c>
      <c r="Z3">
        <f>Selections!$G$19</f>
        <v>0</v>
      </c>
      <c r="AA3">
        <f>Selections!$G$20</f>
        <v>0</v>
      </c>
      <c r="AB3">
        <v>28</v>
      </c>
      <c r="AC3">
        <v>29</v>
      </c>
      <c r="AD3">
        <v>30</v>
      </c>
      <c r="AE3">
        <v>31</v>
      </c>
      <c r="AF3">
        <v>32</v>
      </c>
      <c r="AG3">
        <v>33</v>
      </c>
      <c r="AH3">
        <v>34</v>
      </c>
      <c r="AI3">
        <v>35</v>
      </c>
      <c r="AJ3">
        <v>36</v>
      </c>
      <c r="AK3">
        <v>37</v>
      </c>
    </row>
    <row r="4" spans="1:37" x14ac:dyDescent="0.2">
      <c r="D4">
        <f>Selections!$F$9</f>
        <v>1</v>
      </c>
      <c r="E4">
        <f>Selections!$F$10</f>
        <v>1</v>
      </c>
      <c r="F4">
        <f>Selections!$F$11</f>
        <v>1</v>
      </c>
      <c r="G4">
        <f>Selections!$F$12</f>
        <v>1</v>
      </c>
      <c r="H4">
        <f>Selections!$F$13</f>
        <v>1</v>
      </c>
      <c r="I4">
        <f>Selections!$F$14</f>
        <v>1</v>
      </c>
      <c r="J4">
        <f>Selections!$F$15</f>
        <v>0</v>
      </c>
      <c r="K4">
        <f>Selections!$F$16</f>
        <v>0</v>
      </c>
      <c r="L4">
        <f>Selections!$F$17</f>
        <v>0</v>
      </c>
      <c r="M4">
        <f>Selections!$F$18</f>
        <v>0</v>
      </c>
      <c r="N4">
        <f>Selections!$F$19</f>
        <v>0</v>
      </c>
      <c r="O4">
        <f>Selections!$F$20</f>
        <v>0</v>
      </c>
      <c r="P4">
        <f>Selections!$F$9</f>
        <v>1</v>
      </c>
      <c r="Q4">
        <f>Selections!$F$10</f>
        <v>1</v>
      </c>
      <c r="R4">
        <f>Selections!$F$11</f>
        <v>1</v>
      </c>
      <c r="S4">
        <f>Selections!$F$12</f>
        <v>1</v>
      </c>
      <c r="T4">
        <f>Selections!$F$13</f>
        <v>1</v>
      </c>
      <c r="U4">
        <f>Selections!$F$14</f>
        <v>1</v>
      </c>
      <c r="V4">
        <f>Selections!$F$15</f>
        <v>0</v>
      </c>
      <c r="W4">
        <f>Selections!$F$16</f>
        <v>0</v>
      </c>
      <c r="X4">
        <f>Selections!$F$17</f>
        <v>0</v>
      </c>
      <c r="Y4">
        <f>Selections!$F$18</f>
        <v>0</v>
      </c>
      <c r="Z4">
        <f>Selections!$F$19</f>
        <v>0</v>
      </c>
      <c r="AA4">
        <f>Selections!$F$20</f>
        <v>0</v>
      </c>
    </row>
    <row r="5" spans="1:37" x14ac:dyDescent="0.2">
      <c r="A5" t="s">
        <v>42</v>
      </c>
      <c r="B5" t="s">
        <v>243</v>
      </c>
      <c r="C5" t="s">
        <v>44</v>
      </c>
      <c r="D5" t="s">
        <v>45</v>
      </c>
      <c r="E5" t="s">
        <v>46</v>
      </c>
      <c r="F5" t="s">
        <v>47</v>
      </c>
      <c r="G5" t="s">
        <v>48</v>
      </c>
      <c r="H5" t="s">
        <v>49</v>
      </c>
      <c r="I5" t="s">
        <v>50</v>
      </c>
      <c r="J5" t="s">
        <v>51</v>
      </c>
      <c r="K5" t="s">
        <v>52</v>
      </c>
      <c r="L5" t="s">
        <v>53</v>
      </c>
      <c r="M5" t="s">
        <v>54</v>
      </c>
      <c r="N5" t="s">
        <v>55</v>
      </c>
      <c r="O5" t="s">
        <v>56</v>
      </c>
      <c r="P5" t="s">
        <v>57</v>
      </c>
      <c r="Q5" t="s">
        <v>58</v>
      </c>
      <c r="R5" t="s">
        <v>59</v>
      </c>
      <c r="S5" t="s">
        <v>60</v>
      </c>
      <c r="T5" t="s">
        <v>61</v>
      </c>
      <c r="U5" t="s">
        <v>62</v>
      </c>
      <c r="V5" t="s">
        <v>63</v>
      </c>
      <c r="W5" t="s">
        <v>64</v>
      </c>
      <c r="X5" t="s">
        <v>65</v>
      </c>
      <c r="Y5" t="s">
        <v>66</v>
      </c>
      <c r="Z5" t="s">
        <v>67</v>
      </c>
      <c r="AA5" t="s">
        <v>68</v>
      </c>
      <c r="AB5" t="s">
        <v>99</v>
      </c>
      <c r="AC5" t="s">
        <v>97</v>
      </c>
      <c r="AD5" t="s">
        <v>100</v>
      </c>
      <c r="AE5" s="34" t="s">
        <v>35</v>
      </c>
      <c r="AF5" s="34" t="s">
        <v>34</v>
      </c>
      <c r="AG5" s="34" t="s">
        <v>31</v>
      </c>
      <c r="AH5" s="34" t="s">
        <v>30</v>
      </c>
      <c r="AI5" s="34" t="s">
        <v>209</v>
      </c>
      <c r="AJ5" s="34" t="s">
        <v>210</v>
      </c>
      <c r="AK5" s="34" t="s">
        <v>211</v>
      </c>
    </row>
    <row r="6" spans="1:37" hidden="1" x14ac:dyDescent="0.2">
      <c r="A6">
        <f>SUBTOTAL(3,$B$6:B6)</f>
        <v>0</v>
      </c>
      <c r="B6" t="s">
        <v>965</v>
      </c>
      <c r="C6" t="s">
        <v>880</v>
      </c>
      <c r="F6">
        <v>-672.90200000000004</v>
      </c>
      <c r="R6">
        <v>-663.63</v>
      </c>
      <c r="AB6" s="164">
        <v>40817</v>
      </c>
      <c r="AC6" s="164">
        <v>40967</v>
      </c>
      <c r="AD6" s="164">
        <v>40999</v>
      </c>
      <c r="AE6" s="34">
        <f>SUMPRODUCT(DB_STProjectsSOF[[#This Row],[Plan01]:[Plan12]],$D$4:$O$4)/valUnits2</f>
        <v>-0.672902</v>
      </c>
      <c r="AF6" s="34">
        <f>SUMPRODUCT(DB_STProjectsSOF[[#This Row],[Act01]:[Act12]],$P$4:$AA$4)/valUnits2</f>
        <v>-0.66362999999999994</v>
      </c>
      <c r="AG6" s="34">
        <f>DB_STProjectsSOF[[#This Row],[Actual]]-DB_STProjectsSOF[[#This Row],[Plan]]</f>
        <v>9.272000000000058E-3</v>
      </c>
      <c r="AH6" s="34">
        <f>IF(DB_STProjectsSOF[[#This Row],[Plan]]&lt;&gt;0,DB_STProjectsSOF[[#This Row],[Actual]]/DB_STProjectsSOF[[#This Row],[Plan]],1.000011000011)</f>
        <v>0.98622087614541187</v>
      </c>
      <c r="AI6" s="34">
        <f>SUM(DB_STProjectsSOF[[#This Row],[Plan01]:[Plan12]])/valUnits2</f>
        <v>-0.672902</v>
      </c>
      <c r="AJ6" s="34">
        <f>SUMPRODUCT(DB_STProjectsSOF[[#This Row],[Act01]:[Act12]],$P$3:$AA$3)/valUnits2</f>
        <v>-0.66362999999999994</v>
      </c>
      <c r="AK6" s="34">
        <f>IF(DB_STProjectsSOF[[#This Row],[FY Plan]]&lt;&gt;0,DB_STProjectsSOF[[#This Row],[FY Actuals]]/DB_STProjectsSOF[[#This Row],[FY Plan]],1.000011000011)</f>
        <v>0.98622087614541187</v>
      </c>
    </row>
    <row r="7" spans="1:37" hidden="1" x14ac:dyDescent="0.2">
      <c r="A7">
        <f>SUBTOTAL(3,$B$6:B7)</f>
        <v>0</v>
      </c>
      <c r="B7" t="s">
        <v>969</v>
      </c>
      <c r="C7" t="s">
        <v>845</v>
      </c>
      <c r="H7">
        <v>151.71</v>
      </c>
      <c r="I7">
        <v>0</v>
      </c>
      <c r="T7">
        <v>152.69</v>
      </c>
      <c r="U7">
        <v>203.47</v>
      </c>
      <c r="AB7" s="164">
        <v>41275</v>
      </c>
      <c r="AC7" s="164">
        <v>41639</v>
      </c>
      <c r="AD7" s="164">
        <v>41729</v>
      </c>
      <c r="AE7" s="34">
        <f>SUMPRODUCT(DB_STProjectsSOF[[#This Row],[Plan01]:[Plan12]],$D$4:$O$4)/valUnits2</f>
        <v>0.15171000000000001</v>
      </c>
      <c r="AF7" s="34">
        <f>SUMPRODUCT(DB_STProjectsSOF[[#This Row],[Act01]:[Act12]],$P$4:$AA$4)/valUnits2</f>
        <v>0.35615999999999998</v>
      </c>
      <c r="AG7" s="34">
        <f>DB_STProjectsSOF[[#This Row],[Actual]]-DB_STProjectsSOF[[#This Row],[Plan]]</f>
        <v>0.20444999999999997</v>
      </c>
      <c r="AH7" s="34">
        <f>IF(DB_STProjectsSOF[[#This Row],[Plan]]&lt;&gt;0,DB_STProjectsSOF[[#This Row],[Actual]]/DB_STProjectsSOF[[#This Row],[Plan]],1.000011000011)</f>
        <v>2.3476369388965788</v>
      </c>
      <c r="AI7" s="34">
        <f>SUM(DB_STProjectsSOF[[#This Row],[Plan01]:[Plan12]])/valUnits2</f>
        <v>0.15171000000000001</v>
      </c>
      <c r="AJ7" s="34">
        <f>SUMPRODUCT(DB_STProjectsSOF[[#This Row],[Act01]:[Act12]],$P$3:$AA$3)/valUnits2</f>
        <v>0.35615999999999998</v>
      </c>
      <c r="AK7" s="34">
        <f>IF(DB_STProjectsSOF[[#This Row],[FY Plan]]&lt;&gt;0,DB_STProjectsSOF[[#This Row],[FY Actuals]]/DB_STProjectsSOF[[#This Row],[FY Plan]],1.000011000011)</f>
        <v>2.3476369388965788</v>
      </c>
    </row>
    <row r="8" spans="1:37" hidden="1" x14ac:dyDescent="0.2">
      <c r="A8">
        <f>SUBTOTAL(3,$B$6:B8)</f>
        <v>0</v>
      </c>
      <c r="B8" t="s">
        <v>969</v>
      </c>
      <c r="C8" t="s">
        <v>852</v>
      </c>
      <c r="D8">
        <v>-1037.548</v>
      </c>
      <c r="P8">
        <v>-1061.6500000000001</v>
      </c>
      <c r="AB8" s="164">
        <v>40909</v>
      </c>
      <c r="AC8" s="164">
        <v>41305</v>
      </c>
      <c r="AD8" s="164">
        <v>41305</v>
      </c>
      <c r="AE8" s="34">
        <f>SUMPRODUCT(DB_STProjectsSOF[[#This Row],[Plan01]:[Plan12]],$D$4:$O$4)/valUnits2</f>
        <v>-1.0375479999999999</v>
      </c>
      <c r="AF8" s="34">
        <f>SUMPRODUCT(DB_STProjectsSOF[[#This Row],[Act01]:[Act12]],$P$4:$AA$4)/valUnits2</f>
        <v>-1.06165</v>
      </c>
      <c r="AG8" s="34">
        <f>DB_STProjectsSOF[[#This Row],[Actual]]-DB_STProjectsSOF[[#This Row],[Plan]]</f>
        <v>-2.4102000000000068E-2</v>
      </c>
      <c r="AH8" s="34">
        <f>IF(DB_STProjectsSOF[[#This Row],[Plan]]&lt;&gt;0,DB_STProjectsSOF[[#This Row],[Actual]]/DB_STProjectsSOF[[#This Row],[Plan]],1.000011000011)</f>
        <v>1.0232297686468481</v>
      </c>
      <c r="AI8" s="34">
        <f>SUM(DB_STProjectsSOF[[#This Row],[Plan01]:[Plan12]])/valUnits2</f>
        <v>-1.0375479999999999</v>
      </c>
      <c r="AJ8" s="34">
        <f>SUMPRODUCT(DB_STProjectsSOF[[#This Row],[Act01]:[Act12]],$P$3:$AA$3)/valUnits2</f>
        <v>-1.06165</v>
      </c>
      <c r="AK8" s="34">
        <f>IF(DB_STProjectsSOF[[#This Row],[FY Plan]]&lt;&gt;0,DB_STProjectsSOF[[#This Row],[FY Actuals]]/DB_STProjectsSOF[[#This Row],[FY Plan]],1.000011000011)</f>
        <v>1.0232297686468481</v>
      </c>
    </row>
    <row r="9" spans="1:37" hidden="1" x14ac:dyDescent="0.2">
      <c r="A9">
        <f>SUBTOTAL(3,$B$6:B9)</f>
        <v>0</v>
      </c>
      <c r="B9" t="s">
        <v>969</v>
      </c>
      <c r="C9" t="s">
        <v>858</v>
      </c>
      <c r="D9">
        <v>15646.460000000001</v>
      </c>
      <c r="E9">
        <v>20950.909999999996</v>
      </c>
      <c r="F9">
        <v>35375.54</v>
      </c>
      <c r="G9">
        <v>62429.180000000008</v>
      </c>
      <c r="H9">
        <v>34982.340000000011</v>
      </c>
      <c r="I9">
        <v>42611.584000000003</v>
      </c>
      <c r="J9">
        <v>59278.25</v>
      </c>
      <c r="K9">
        <v>78334.497000000003</v>
      </c>
      <c r="L9">
        <v>40611.584000000003</v>
      </c>
      <c r="M9">
        <v>83558.915999999997</v>
      </c>
      <c r="N9">
        <v>40611.584000000003</v>
      </c>
      <c r="O9">
        <v>40611.584000000003</v>
      </c>
      <c r="P9">
        <v>15646.46</v>
      </c>
      <c r="Q9">
        <v>20979.52</v>
      </c>
      <c r="R9">
        <v>35375.539999999994</v>
      </c>
      <c r="S9">
        <v>62569.090000000018</v>
      </c>
      <c r="T9">
        <v>35107.18</v>
      </c>
      <c r="U9">
        <v>73810.910000000018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s="164">
        <v>41275</v>
      </c>
      <c r="AC9" s="164">
        <v>41639</v>
      </c>
      <c r="AD9" s="164">
        <v>41784</v>
      </c>
      <c r="AE9" s="34">
        <f>SUMPRODUCT(DB_STProjectsSOF[[#This Row],[Plan01]:[Plan12]],$D$4:$O$4)/valUnits2</f>
        <v>211.99601400000006</v>
      </c>
      <c r="AF9" s="34">
        <f>SUMPRODUCT(DB_STProjectsSOF[[#This Row],[Act01]:[Act12]],$P$4:$AA$4)/valUnits2</f>
        <v>243.48870000000002</v>
      </c>
      <c r="AG9" s="34">
        <f>DB_STProjectsSOF[[#This Row],[Actual]]-DB_STProjectsSOF[[#This Row],[Plan]]</f>
        <v>31.492685999999964</v>
      </c>
      <c r="AH9" s="34">
        <f>IF(DB_STProjectsSOF[[#This Row],[Plan]]&lt;&gt;0,DB_STProjectsSOF[[#This Row],[Actual]]/DB_STProjectsSOF[[#This Row],[Plan]],1.000011000011)</f>
        <v>1.1485531987408024</v>
      </c>
      <c r="AI9" s="34">
        <f>SUM(DB_STProjectsSOF[[#This Row],[Plan01]:[Plan12]])/valUnits2</f>
        <v>555.00242900000012</v>
      </c>
      <c r="AJ9" s="34">
        <f>SUMPRODUCT(DB_STProjectsSOF[[#This Row],[Act01]:[Act12]],$P$3:$AA$3)/valUnits2</f>
        <v>243.48870000000002</v>
      </c>
      <c r="AK9" s="34">
        <f>IF(DB_STProjectsSOF[[#This Row],[FY Plan]]&lt;&gt;0,DB_STProjectsSOF[[#This Row],[FY Actuals]]/DB_STProjectsSOF[[#This Row],[FY Plan]],1.000011000011)</f>
        <v>0.43871645830220318</v>
      </c>
    </row>
    <row r="10" spans="1:37" hidden="1" x14ac:dyDescent="0.2">
      <c r="A10">
        <f>SUBTOTAL(3,$B$6:B10)</f>
        <v>0</v>
      </c>
      <c r="B10" t="s">
        <v>969</v>
      </c>
      <c r="C10" t="s">
        <v>861</v>
      </c>
      <c r="F10">
        <v>0</v>
      </c>
      <c r="R10">
        <v>0</v>
      </c>
      <c r="AB10" s="164"/>
      <c r="AC10" s="164"/>
      <c r="AD10" s="164"/>
      <c r="AE10" s="34">
        <f>SUMPRODUCT(DB_STProjectsSOF[[#This Row],[Plan01]:[Plan12]],$D$4:$O$4)/valUnits2</f>
        <v>0</v>
      </c>
      <c r="AF10" s="34">
        <f>SUMPRODUCT(DB_STProjectsSOF[[#This Row],[Act01]:[Act12]],$P$4:$AA$4)/valUnits2</f>
        <v>0</v>
      </c>
      <c r="AG10" s="34">
        <f>DB_STProjectsSOF[[#This Row],[Actual]]-DB_STProjectsSOF[[#This Row],[Plan]]</f>
        <v>0</v>
      </c>
      <c r="AH10" s="34">
        <f>IF(DB_STProjectsSOF[[#This Row],[Plan]]&lt;&gt;0,DB_STProjectsSOF[[#This Row],[Actual]]/DB_STProjectsSOF[[#This Row],[Plan]],1.000011000011)</f>
        <v>1.0000110000110001</v>
      </c>
      <c r="AI10" s="34">
        <f>SUM(DB_STProjectsSOF[[#This Row],[Plan01]:[Plan12]])/valUnits2</f>
        <v>0</v>
      </c>
      <c r="AJ10" s="34">
        <f>SUMPRODUCT(DB_STProjectsSOF[[#This Row],[Act01]:[Act12]],$P$3:$AA$3)/valUnits2</f>
        <v>0</v>
      </c>
      <c r="AK10" s="34">
        <f>IF(DB_STProjectsSOF[[#This Row],[FY Plan]]&lt;&gt;0,DB_STProjectsSOF[[#This Row],[FY Actuals]]/DB_STProjectsSOF[[#This Row],[FY Plan]],1.000011000011)</f>
        <v>1.0000110000110001</v>
      </c>
    </row>
    <row r="11" spans="1:37" hidden="1" x14ac:dyDescent="0.2">
      <c r="A11">
        <f>SUBTOTAL(3,$B$6:B11)</f>
        <v>0</v>
      </c>
      <c r="B11" t="s">
        <v>969</v>
      </c>
      <c r="C11" t="s">
        <v>874</v>
      </c>
      <c r="D11">
        <v>1049.4290000000001</v>
      </c>
      <c r="E11">
        <v>1109.69</v>
      </c>
      <c r="F11">
        <v>1751.5749999999998</v>
      </c>
      <c r="G11">
        <v>1110.22</v>
      </c>
      <c r="H11">
        <v>1200.3710000000001</v>
      </c>
      <c r="I11">
        <v>0</v>
      </c>
      <c r="P11">
        <v>1033.9100000000001</v>
      </c>
      <c r="Q11">
        <v>1132.96</v>
      </c>
      <c r="R11">
        <v>1767.43</v>
      </c>
      <c r="S11">
        <v>1103.8899999999999</v>
      </c>
      <c r="T11">
        <v>1185.8200000000002</v>
      </c>
      <c r="U11">
        <v>1264.53</v>
      </c>
      <c r="AB11" s="164">
        <v>40879</v>
      </c>
      <c r="AC11" s="164">
        <v>43071</v>
      </c>
      <c r="AD11" s="164">
        <v>43161</v>
      </c>
      <c r="AE11" s="34">
        <f>SUMPRODUCT(DB_STProjectsSOF[[#This Row],[Plan01]:[Plan12]],$D$4:$O$4)/valUnits2</f>
        <v>6.221285</v>
      </c>
      <c r="AF11" s="34">
        <f>SUMPRODUCT(DB_STProjectsSOF[[#This Row],[Act01]:[Act12]],$P$4:$AA$4)/valUnits2</f>
        <v>7.4885399999999995</v>
      </c>
      <c r="AG11" s="34">
        <f>DB_STProjectsSOF[[#This Row],[Actual]]-DB_STProjectsSOF[[#This Row],[Plan]]</f>
        <v>1.2672549999999996</v>
      </c>
      <c r="AH11" s="34">
        <f>IF(DB_STProjectsSOF[[#This Row],[Plan]]&lt;&gt;0,DB_STProjectsSOF[[#This Row],[Actual]]/DB_STProjectsSOF[[#This Row],[Plan]],1.000011000011)</f>
        <v>1.203696663952865</v>
      </c>
      <c r="AI11" s="34">
        <f>SUM(DB_STProjectsSOF[[#This Row],[Plan01]:[Plan12]])/valUnits2</f>
        <v>6.221285</v>
      </c>
      <c r="AJ11" s="34">
        <f>SUMPRODUCT(DB_STProjectsSOF[[#This Row],[Act01]:[Act12]],$P$3:$AA$3)/valUnits2</f>
        <v>7.4885399999999995</v>
      </c>
      <c r="AK11" s="34">
        <f>IF(DB_STProjectsSOF[[#This Row],[FY Plan]]&lt;&gt;0,DB_STProjectsSOF[[#This Row],[FY Actuals]]/DB_STProjectsSOF[[#This Row],[FY Plan]],1.000011000011)</f>
        <v>1.203696663952865</v>
      </c>
    </row>
    <row r="12" spans="1:37" hidden="1" x14ac:dyDescent="0.2">
      <c r="A12">
        <f>SUBTOTAL(3,$B$6:B12)</f>
        <v>0</v>
      </c>
      <c r="B12" t="s">
        <v>969</v>
      </c>
      <c r="C12" t="s">
        <v>881</v>
      </c>
      <c r="F12">
        <v>0</v>
      </c>
      <c r="G12">
        <v>118744.27000000003</v>
      </c>
      <c r="H12">
        <v>10991.75</v>
      </c>
      <c r="I12">
        <v>84318.406999999992</v>
      </c>
      <c r="J12">
        <v>19495.204999999998</v>
      </c>
      <c r="K12">
        <v>11264.85</v>
      </c>
      <c r="L12">
        <v>84318.406999999992</v>
      </c>
      <c r="M12">
        <v>10131.85</v>
      </c>
      <c r="N12">
        <v>10131.85</v>
      </c>
      <c r="O12">
        <v>183564.59000000003</v>
      </c>
      <c r="R12">
        <v>0</v>
      </c>
      <c r="S12">
        <v>118744.31000000003</v>
      </c>
      <c r="T12">
        <v>10991.75</v>
      </c>
      <c r="U12">
        <v>53768.47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s="164">
        <v>41275</v>
      </c>
      <c r="AC12" s="164">
        <v>41639</v>
      </c>
      <c r="AD12" s="164">
        <v>41685</v>
      </c>
      <c r="AE12" s="34">
        <f>SUMPRODUCT(DB_STProjectsSOF[[#This Row],[Plan01]:[Plan12]],$D$4:$O$4)/valUnits2</f>
        <v>214.05442700000003</v>
      </c>
      <c r="AF12" s="34">
        <f>SUMPRODUCT(DB_STProjectsSOF[[#This Row],[Act01]:[Act12]],$P$4:$AA$4)/valUnits2</f>
        <v>183.50453000000002</v>
      </c>
      <c r="AG12" s="34">
        <f>DB_STProjectsSOF[[#This Row],[Actual]]-DB_STProjectsSOF[[#This Row],[Plan]]</f>
        <v>-30.549897000000016</v>
      </c>
      <c r="AH12" s="34">
        <f>IF(DB_STProjectsSOF[[#This Row],[Plan]]&lt;&gt;0,DB_STProjectsSOF[[#This Row],[Actual]]/DB_STProjectsSOF[[#This Row],[Plan]],1.000011000011)</f>
        <v>0.85727977025207702</v>
      </c>
      <c r="AI12" s="34">
        <f>SUM(DB_STProjectsSOF[[#This Row],[Plan01]:[Plan12]])/valUnits2</f>
        <v>532.96117900000002</v>
      </c>
      <c r="AJ12" s="34">
        <f>SUMPRODUCT(DB_STProjectsSOF[[#This Row],[Act01]:[Act12]],$P$3:$AA$3)/valUnits2</f>
        <v>183.50453000000002</v>
      </c>
      <c r="AK12" s="34">
        <f>IF(DB_STProjectsSOF[[#This Row],[FY Plan]]&lt;&gt;0,DB_STProjectsSOF[[#This Row],[FY Actuals]]/DB_STProjectsSOF[[#This Row],[FY Plan]],1.000011000011)</f>
        <v>0.34431125048227951</v>
      </c>
    </row>
    <row r="13" spans="1:37" hidden="1" x14ac:dyDescent="0.2">
      <c r="A13">
        <f>SUBTOTAL(3,$B$6:B13)</f>
        <v>0</v>
      </c>
      <c r="B13" t="s">
        <v>969</v>
      </c>
      <c r="C13" t="s">
        <v>884</v>
      </c>
      <c r="D13">
        <v>9927.57</v>
      </c>
      <c r="E13">
        <v>10151.709999999999</v>
      </c>
      <c r="F13">
        <v>10000</v>
      </c>
      <c r="G13">
        <v>10000</v>
      </c>
      <c r="H13">
        <v>9848.2900000000009</v>
      </c>
      <c r="I13">
        <v>10000</v>
      </c>
      <c r="J13">
        <v>10000</v>
      </c>
      <c r="K13">
        <v>10000</v>
      </c>
      <c r="L13">
        <v>10000</v>
      </c>
      <c r="M13">
        <v>10000</v>
      </c>
      <c r="N13">
        <v>10000</v>
      </c>
      <c r="O13">
        <v>10000</v>
      </c>
      <c r="P13">
        <v>-72.430000000000007</v>
      </c>
      <c r="Q13">
        <v>151.70999999999998</v>
      </c>
      <c r="R13">
        <v>0.98</v>
      </c>
      <c r="S13">
        <v>0</v>
      </c>
      <c r="T13">
        <v>-152.69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s="164">
        <v>40909</v>
      </c>
      <c r="AC13" s="164">
        <v>41274</v>
      </c>
      <c r="AD13" s="164">
        <v>41364</v>
      </c>
      <c r="AE13" s="34">
        <f>SUMPRODUCT(DB_STProjectsSOF[[#This Row],[Plan01]:[Plan12]],$D$4:$O$4)/valUnits2</f>
        <v>59.927570000000003</v>
      </c>
      <c r="AF13" s="34">
        <f>SUMPRODUCT(DB_STProjectsSOF[[#This Row],[Act01]:[Act12]],$P$4:$AA$4)/valUnits2</f>
        <v>-7.2430000000000022E-2</v>
      </c>
      <c r="AG13" s="34">
        <f>DB_STProjectsSOF[[#This Row],[Actual]]-DB_STProjectsSOF[[#This Row],[Plan]]</f>
        <v>-60</v>
      </c>
      <c r="AH13" s="34">
        <f>IF(DB_STProjectsSOF[[#This Row],[Plan]]&lt;&gt;0,DB_STProjectsSOF[[#This Row],[Actual]]/DB_STProjectsSOF[[#This Row],[Plan]],1.000011000011)</f>
        <v>-1.2086256792991942E-3</v>
      </c>
      <c r="AI13" s="34">
        <f>SUM(DB_STProjectsSOF[[#This Row],[Plan01]:[Plan12]])/valUnits2</f>
        <v>119.92757</v>
      </c>
      <c r="AJ13" s="34">
        <f>SUMPRODUCT(DB_STProjectsSOF[[#This Row],[Act01]:[Act12]],$P$3:$AA$3)/valUnits2</f>
        <v>-7.2430000000000022E-2</v>
      </c>
      <c r="AK13" s="34">
        <f>IF(DB_STProjectsSOF[[#This Row],[FY Plan]]&lt;&gt;0,DB_STProjectsSOF[[#This Row],[FY Actuals]]/DB_STProjectsSOF[[#This Row],[FY Plan]],1.000011000011)</f>
        <v>-6.0394786619957384E-4</v>
      </c>
    </row>
    <row r="14" spans="1:37" hidden="1" x14ac:dyDescent="0.2">
      <c r="A14">
        <f>SUBTOTAL(3,$B$6:B14)</f>
        <v>0</v>
      </c>
      <c r="B14" t="s">
        <v>969</v>
      </c>
      <c r="C14" t="s">
        <v>898</v>
      </c>
      <c r="D14">
        <v>-197.101</v>
      </c>
      <c r="E14">
        <v>-108.33</v>
      </c>
      <c r="P14">
        <v>-204.70000000000002</v>
      </c>
      <c r="Q14">
        <v>-115.53</v>
      </c>
      <c r="AB14" s="164">
        <v>40909</v>
      </c>
      <c r="AC14" s="164">
        <v>41274</v>
      </c>
      <c r="AD14" s="164">
        <v>41305</v>
      </c>
      <c r="AE14" s="34">
        <f>SUMPRODUCT(DB_STProjectsSOF[[#This Row],[Plan01]:[Plan12]],$D$4:$O$4)/valUnits2</f>
        <v>-0.30543100000000001</v>
      </c>
      <c r="AF14" s="34">
        <f>SUMPRODUCT(DB_STProjectsSOF[[#This Row],[Act01]:[Act12]],$P$4:$AA$4)/valUnits2</f>
        <v>-0.32023000000000001</v>
      </c>
      <c r="AG14" s="34">
        <f>DB_STProjectsSOF[[#This Row],[Actual]]-DB_STProjectsSOF[[#This Row],[Plan]]</f>
        <v>-1.4799000000000007E-2</v>
      </c>
      <c r="AH14" s="34">
        <f>IF(DB_STProjectsSOF[[#This Row],[Plan]]&lt;&gt;0,DB_STProjectsSOF[[#This Row],[Actual]]/DB_STProjectsSOF[[#This Row],[Plan]],1.000011000011)</f>
        <v>1.0484528420494319</v>
      </c>
      <c r="AI14" s="34">
        <f>SUM(DB_STProjectsSOF[[#This Row],[Plan01]:[Plan12]])/valUnits2</f>
        <v>-0.30543100000000001</v>
      </c>
      <c r="AJ14" s="34">
        <f>SUMPRODUCT(DB_STProjectsSOF[[#This Row],[Act01]:[Act12]],$P$3:$AA$3)/valUnits2</f>
        <v>-0.32023000000000001</v>
      </c>
      <c r="AK14" s="34">
        <f>IF(DB_STProjectsSOF[[#This Row],[FY Plan]]&lt;&gt;0,DB_STProjectsSOF[[#This Row],[FY Actuals]]/DB_STProjectsSOF[[#This Row],[FY Plan]],1.000011000011)</f>
        <v>1.0484528420494319</v>
      </c>
    </row>
    <row r="15" spans="1:37" hidden="1" x14ac:dyDescent="0.2">
      <c r="A15">
        <f>SUBTOTAL(3,$B$6:B15)</f>
        <v>0</v>
      </c>
      <c r="B15" t="s">
        <v>969</v>
      </c>
      <c r="C15" t="s">
        <v>903</v>
      </c>
      <c r="G15">
        <v>3529.5939999999996</v>
      </c>
      <c r="H15">
        <v>13558.859</v>
      </c>
      <c r="I15">
        <v>1565.962</v>
      </c>
      <c r="J15">
        <v>1163.0519999999999</v>
      </c>
      <c r="K15">
        <v>1997.4759999999999</v>
      </c>
      <c r="L15">
        <v>961.59799999999996</v>
      </c>
      <c r="M15">
        <v>8804.2480000000014</v>
      </c>
      <c r="N15">
        <v>8094.7259999999997</v>
      </c>
      <c r="O15">
        <v>8083.1230000000005</v>
      </c>
      <c r="S15">
        <v>3490.79</v>
      </c>
      <c r="T15">
        <v>13713.250000000002</v>
      </c>
      <c r="U15">
        <v>1776.06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s="164">
        <v>41275</v>
      </c>
      <c r="AC15" s="164">
        <v>41639</v>
      </c>
      <c r="AD15" s="164">
        <v>41670</v>
      </c>
      <c r="AE15" s="34">
        <f>SUMPRODUCT(DB_STProjectsSOF[[#This Row],[Plan01]:[Plan12]],$D$4:$O$4)/valUnits2</f>
        <v>18.654415</v>
      </c>
      <c r="AF15" s="34">
        <f>SUMPRODUCT(DB_STProjectsSOF[[#This Row],[Act01]:[Act12]],$P$4:$AA$4)/valUnits2</f>
        <v>18.980100000000004</v>
      </c>
      <c r="AG15" s="34">
        <f>DB_STProjectsSOF[[#This Row],[Actual]]-DB_STProjectsSOF[[#This Row],[Plan]]</f>
        <v>0.32568500000000355</v>
      </c>
      <c r="AH15" s="34">
        <f>IF(DB_STProjectsSOF[[#This Row],[Plan]]&lt;&gt;0,DB_STProjectsSOF[[#This Row],[Actual]]/DB_STProjectsSOF[[#This Row],[Plan]],1.000011000011)</f>
        <v>1.0174588696563256</v>
      </c>
      <c r="AI15" s="34">
        <f>SUM(DB_STProjectsSOF[[#This Row],[Plan01]:[Plan12]])/valUnits2</f>
        <v>47.758637999999998</v>
      </c>
      <c r="AJ15" s="34">
        <f>SUMPRODUCT(DB_STProjectsSOF[[#This Row],[Act01]:[Act12]],$P$3:$AA$3)/valUnits2</f>
        <v>18.980100000000004</v>
      </c>
      <c r="AK15" s="34">
        <f>IF(DB_STProjectsSOF[[#This Row],[FY Plan]]&lt;&gt;0,DB_STProjectsSOF[[#This Row],[FY Actuals]]/DB_STProjectsSOF[[#This Row],[FY Plan]],1.000011000011)</f>
        <v>0.39741711227192039</v>
      </c>
    </row>
    <row r="16" spans="1:37" hidden="1" x14ac:dyDescent="0.2">
      <c r="A16">
        <f>SUBTOTAL(3,$B$6:B16)</f>
        <v>0</v>
      </c>
      <c r="B16" t="s">
        <v>969</v>
      </c>
      <c r="C16" t="s">
        <v>905</v>
      </c>
      <c r="D16">
        <v>3600.1500000000005</v>
      </c>
      <c r="E16">
        <v>9.6999999999999993</v>
      </c>
      <c r="F16">
        <v>-3497.0600000000004</v>
      </c>
      <c r="G16">
        <v>281.51</v>
      </c>
      <c r="H16">
        <v>-4178.2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3600.1500000000005</v>
      </c>
      <c r="Q16">
        <v>-18.91</v>
      </c>
      <c r="R16">
        <v>-3497.0600000000004</v>
      </c>
      <c r="S16">
        <v>281.51</v>
      </c>
      <c r="T16">
        <v>-4178.1999999999989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s="164">
        <v>40909</v>
      </c>
      <c r="AC16" s="164">
        <v>41274</v>
      </c>
      <c r="AD16" s="164">
        <v>41364</v>
      </c>
      <c r="AE16" s="34">
        <f>SUMPRODUCT(DB_STProjectsSOF[[#This Row],[Plan01]:[Plan12]],$D$4:$O$4)/valUnits2</f>
        <v>-3.7838999999999996</v>
      </c>
      <c r="AF16" s="34">
        <f>SUMPRODUCT(DB_STProjectsSOF[[#This Row],[Act01]:[Act12]],$P$4:$AA$4)/valUnits2</f>
        <v>-3.8125099999999983</v>
      </c>
      <c r="AG16" s="34">
        <f>DB_STProjectsSOF[[#This Row],[Actual]]-DB_STProjectsSOF[[#This Row],[Plan]]</f>
        <v>-2.8609999999998692E-2</v>
      </c>
      <c r="AH16" s="34">
        <f>IF(DB_STProjectsSOF[[#This Row],[Plan]]&lt;&gt;0,DB_STProjectsSOF[[#This Row],[Actual]]/DB_STProjectsSOF[[#This Row],[Plan]],1.000011000011)</f>
        <v>1.0075609820555509</v>
      </c>
      <c r="AI16" s="34">
        <f>SUM(DB_STProjectsSOF[[#This Row],[Plan01]:[Plan12]])/valUnits2</f>
        <v>-3.7838999999999996</v>
      </c>
      <c r="AJ16" s="34">
        <f>SUMPRODUCT(DB_STProjectsSOF[[#This Row],[Act01]:[Act12]],$P$3:$AA$3)/valUnits2</f>
        <v>-3.8125099999999983</v>
      </c>
      <c r="AK16" s="34">
        <f>IF(DB_STProjectsSOF[[#This Row],[FY Plan]]&lt;&gt;0,DB_STProjectsSOF[[#This Row],[FY Actuals]]/DB_STProjectsSOF[[#This Row],[FY Plan]],1.000011000011)</f>
        <v>1.0075609820555509</v>
      </c>
    </row>
    <row r="17" spans="1:37" hidden="1" x14ac:dyDescent="0.2">
      <c r="A17">
        <f>SUBTOTAL(3,$B$6:B17)</f>
        <v>0</v>
      </c>
      <c r="B17" t="s">
        <v>969</v>
      </c>
      <c r="C17" t="s">
        <v>912</v>
      </c>
      <c r="D17">
        <v>5207.9000000000005</v>
      </c>
      <c r="E17">
        <v>-3143.1300000000015</v>
      </c>
      <c r="G17">
        <v>-4329.43</v>
      </c>
      <c r="P17">
        <v>5207.8999999999996</v>
      </c>
      <c r="Q17">
        <v>-3143.130000000001</v>
      </c>
      <c r="S17">
        <v>-4329.43</v>
      </c>
      <c r="AB17" s="164">
        <v>40909</v>
      </c>
      <c r="AC17" s="164">
        <v>41274</v>
      </c>
      <c r="AD17" s="164">
        <v>41320</v>
      </c>
      <c r="AE17" s="34">
        <f>SUMPRODUCT(DB_STProjectsSOF[[#This Row],[Plan01]:[Plan12]],$D$4:$O$4)/valUnits2</f>
        <v>-2.264660000000001</v>
      </c>
      <c r="AF17" s="34">
        <f>SUMPRODUCT(DB_STProjectsSOF[[#This Row],[Act01]:[Act12]],$P$4:$AA$4)/valUnits2</f>
        <v>-2.2646600000000019</v>
      </c>
      <c r="AG17" s="34">
        <f>DB_STProjectsSOF[[#This Row],[Actual]]-DB_STProjectsSOF[[#This Row],[Plan]]</f>
        <v>0</v>
      </c>
      <c r="AH17" s="34">
        <f>IF(DB_STProjectsSOF[[#This Row],[Plan]]&lt;&gt;0,DB_STProjectsSOF[[#This Row],[Actual]]/DB_STProjectsSOF[[#This Row],[Plan]],1.000011000011)</f>
        <v>1.0000000000000004</v>
      </c>
      <c r="AI17" s="34">
        <f>SUM(DB_STProjectsSOF[[#This Row],[Plan01]:[Plan12]])/valUnits2</f>
        <v>-2.264660000000001</v>
      </c>
      <c r="AJ17" s="34">
        <f>SUMPRODUCT(DB_STProjectsSOF[[#This Row],[Act01]:[Act12]],$P$3:$AA$3)/valUnits2</f>
        <v>-2.2646600000000019</v>
      </c>
      <c r="AK17" s="34">
        <f>IF(DB_STProjectsSOF[[#This Row],[FY Plan]]&lt;&gt;0,DB_STProjectsSOF[[#This Row],[FY Actuals]]/DB_STProjectsSOF[[#This Row],[FY Plan]],1.000011000011)</f>
        <v>1.0000000000000004</v>
      </c>
    </row>
    <row r="18" spans="1:37" hidden="1" x14ac:dyDescent="0.2">
      <c r="A18">
        <f>SUBTOTAL(3,$B$6:B18)</f>
        <v>0</v>
      </c>
      <c r="B18" t="s">
        <v>969</v>
      </c>
      <c r="C18" t="s">
        <v>915</v>
      </c>
      <c r="D18">
        <v>44.030999999999999</v>
      </c>
      <c r="E18">
        <v>282.55900000000003</v>
      </c>
      <c r="F18">
        <v>150.916</v>
      </c>
      <c r="G18">
        <v>548.61</v>
      </c>
      <c r="H18">
        <v>178.56200000000001</v>
      </c>
      <c r="I18">
        <v>0</v>
      </c>
      <c r="J18">
        <v>0</v>
      </c>
      <c r="M18">
        <v>0</v>
      </c>
      <c r="P18">
        <v>44.09</v>
      </c>
      <c r="Q18">
        <v>288.7</v>
      </c>
      <c r="R18">
        <v>148.79999999999998</v>
      </c>
      <c r="S18">
        <v>533.91000000000008</v>
      </c>
      <c r="T18">
        <v>181.87</v>
      </c>
      <c r="U18">
        <v>235.57</v>
      </c>
      <c r="V18">
        <v>0</v>
      </c>
      <c r="Y18">
        <v>0</v>
      </c>
      <c r="AB18" s="164">
        <v>41061</v>
      </c>
      <c r="AC18" s="164">
        <v>42155</v>
      </c>
      <c r="AD18" s="164">
        <v>42185</v>
      </c>
      <c r="AE18" s="34">
        <f>SUMPRODUCT(DB_STProjectsSOF[[#This Row],[Plan01]:[Plan12]],$D$4:$O$4)/valUnits2</f>
        <v>1.2046779999999999</v>
      </c>
      <c r="AF18" s="34">
        <f>SUMPRODUCT(DB_STProjectsSOF[[#This Row],[Act01]:[Act12]],$P$4:$AA$4)/valUnits2</f>
        <v>1.4329399999999999</v>
      </c>
      <c r="AG18" s="34">
        <f>DB_STProjectsSOF[[#This Row],[Actual]]-DB_STProjectsSOF[[#This Row],[Plan]]</f>
        <v>0.22826199999999996</v>
      </c>
      <c r="AH18" s="34">
        <f>IF(DB_STProjectsSOF[[#This Row],[Plan]]&lt;&gt;0,DB_STProjectsSOF[[#This Row],[Actual]]/DB_STProjectsSOF[[#This Row],[Plan]],1.000011000011)</f>
        <v>1.1894796783870876</v>
      </c>
      <c r="AI18" s="34">
        <f>SUM(DB_STProjectsSOF[[#This Row],[Plan01]:[Plan12]])/valUnits2</f>
        <v>1.2046779999999999</v>
      </c>
      <c r="AJ18" s="34">
        <f>SUMPRODUCT(DB_STProjectsSOF[[#This Row],[Act01]:[Act12]],$P$3:$AA$3)/valUnits2</f>
        <v>1.4329399999999999</v>
      </c>
      <c r="AK18" s="34">
        <f>IF(DB_STProjectsSOF[[#This Row],[FY Plan]]&lt;&gt;0,DB_STProjectsSOF[[#This Row],[FY Actuals]]/DB_STProjectsSOF[[#This Row],[FY Plan]],1.000011000011)</f>
        <v>1.1894796783870876</v>
      </c>
    </row>
    <row r="19" spans="1:37" hidden="1" x14ac:dyDescent="0.2">
      <c r="A19">
        <f>SUBTOTAL(3,$B$6:B19)</f>
        <v>0</v>
      </c>
      <c r="B19" t="s">
        <v>969</v>
      </c>
      <c r="C19" t="s">
        <v>363</v>
      </c>
      <c r="I19">
        <v>0</v>
      </c>
      <c r="U19">
        <v>2877.3</v>
      </c>
      <c r="AB19" s="164">
        <v>41128</v>
      </c>
      <c r="AC19" s="164">
        <v>41492</v>
      </c>
      <c r="AD19" s="164">
        <v>41572</v>
      </c>
      <c r="AE19" s="34">
        <f>SUMPRODUCT(DB_STProjectsSOF[[#This Row],[Plan01]:[Plan12]],$D$4:$O$4)/valUnits2</f>
        <v>0</v>
      </c>
      <c r="AF19" s="34">
        <f>SUMPRODUCT(DB_STProjectsSOF[[#This Row],[Act01]:[Act12]],$P$4:$AA$4)/valUnits2</f>
        <v>2.8773</v>
      </c>
      <c r="AG19" s="34">
        <f>DB_STProjectsSOF[[#This Row],[Actual]]-DB_STProjectsSOF[[#This Row],[Plan]]</f>
        <v>2.8773</v>
      </c>
      <c r="AH19" s="34">
        <f>IF(DB_STProjectsSOF[[#This Row],[Plan]]&lt;&gt;0,DB_STProjectsSOF[[#This Row],[Actual]]/DB_STProjectsSOF[[#This Row],[Plan]],1.000011000011)</f>
        <v>1.0000110000110001</v>
      </c>
      <c r="AI19" s="34">
        <f>SUM(DB_STProjectsSOF[[#This Row],[Plan01]:[Plan12]])/valUnits2</f>
        <v>0</v>
      </c>
      <c r="AJ19" s="34">
        <f>SUMPRODUCT(DB_STProjectsSOF[[#This Row],[Act01]:[Act12]],$P$3:$AA$3)/valUnits2</f>
        <v>2.8773</v>
      </c>
      <c r="AK19" s="34">
        <f>IF(DB_STProjectsSOF[[#This Row],[FY Plan]]&lt;&gt;0,DB_STProjectsSOF[[#This Row],[FY Actuals]]/DB_STProjectsSOF[[#This Row],[FY Plan]],1.000011000011)</f>
        <v>1.0000110000110001</v>
      </c>
    </row>
    <row r="20" spans="1:37" hidden="1" x14ac:dyDescent="0.2">
      <c r="A20">
        <f>SUBTOTAL(3,$B$6:B20)</f>
        <v>0</v>
      </c>
      <c r="B20" t="s">
        <v>969</v>
      </c>
      <c r="C20" t="s">
        <v>919</v>
      </c>
      <c r="D20">
        <v>25622.02900000001</v>
      </c>
      <c r="E20">
        <v>463902.80300000001</v>
      </c>
      <c r="F20">
        <v>18816.313000000002</v>
      </c>
      <c r="G20">
        <v>50643.179999999986</v>
      </c>
      <c r="H20">
        <v>783574.40199999977</v>
      </c>
      <c r="I20">
        <v>245125.13799999998</v>
      </c>
      <c r="J20">
        <v>727505.22499999986</v>
      </c>
      <c r="K20">
        <v>325491.22699999996</v>
      </c>
      <c r="L20">
        <v>565132.76899999997</v>
      </c>
      <c r="M20">
        <v>559049.55699999991</v>
      </c>
      <c r="N20">
        <v>497095.06299999997</v>
      </c>
      <c r="O20">
        <v>598075.69099999988</v>
      </c>
      <c r="P20">
        <v>25032.760000000002</v>
      </c>
      <c r="Q20">
        <v>477954.30999999994</v>
      </c>
      <c r="R20">
        <v>18997.530000000053</v>
      </c>
      <c r="S20">
        <v>50225.869999999988</v>
      </c>
      <c r="T20">
        <v>781528.41000000015</v>
      </c>
      <c r="U20">
        <v>188853.49999999994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s="164">
        <v>40878</v>
      </c>
      <c r="AC20" s="164">
        <v>42794</v>
      </c>
      <c r="AD20" s="164">
        <v>42978</v>
      </c>
      <c r="AE20" s="34">
        <f>SUMPRODUCT(DB_STProjectsSOF[[#This Row],[Plan01]:[Plan12]],$D$4:$O$4)/valUnits2</f>
        <v>1587.683865</v>
      </c>
      <c r="AF20" s="34">
        <f>SUMPRODUCT(DB_STProjectsSOF[[#This Row],[Act01]:[Act12]],$P$4:$AA$4)/valUnits2</f>
        <v>1542.59238</v>
      </c>
      <c r="AG20" s="34">
        <f>DB_STProjectsSOF[[#This Row],[Actual]]-DB_STProjectsSOF[[#This Row],[Plan]]</f>
        <v>-45.091484999999921</v>
      </c>
      <c r="AH20" s="34">
        <f>IF(DB_STProjectsSOF[[#This Row],[Plan]]&lt;&gt;0,DB_STProjectsSOF[[#This Row],[Actual]]/DB_STProjectsSOF[[#This Row],[Plan]],1.000011000011)</f>
        <v>0.97159920435419933</v>
      </c>
      <c r="AI20" s="34">
        <f>SUM(DB_STProjectsSOF[[#This Row],[Plan01]:[Plan12]])/valUnits2</f>
        <v>4860.0333969999992</v>
      </c>
      <c r="AJ20" s="34">
        <f>SUMPRODUCT(DB_STProjectsSOF[[#This Row],[Act01]:[Act12]],$P$3:$AA$3)/valUnits2</f>
        <v>1542.59238</v>
      </c>
      <c r="AK20" s="34">
        <f>IF(DB_STProjectsSOF[[#This Row],[FY Plan]]&lt;&gt;0,DB_STProjectsSOF[[#This Row],[FY Actuals]]/DB_STProjectsSOF[[#This Row],[FY Plan]],1.000011000011)</f>
        <v>0.31740365836831724</v>
      </c>
    </row>
    <row r="21" spans="1:37" hidden="1" x14ac:dyDescent="0.2">
      <c r="A21">
        <f>SUBTOTAL(3,$B$6:B21)</f>
        <v>0</v>
      </c>
      <c r="B21" t="s">
        <v>969</v>
      </c>
      <c r="C21" t="s">
        <v>927</v>
      </c>
      <c r="D21">
        <v>5903.8399999999992</v>
      </c>
      <c r="E21">
        <v>21496.269999999993</v>
      </c>
      <c r="F21">
        <v>10777.390000000001</v>
      </c>
      <c r="G21">
        <v>2726.570000000002</v>
      </c>
      <c r="H21">
        <v>11762.680000000002</v>
      </c>
      <c r="I21">
        <v>28148.582999999999</v>
      </c>
      <c r="J21">
        <v>28148.582999999999</v>
      </c>
      <c r="K21">
        <v>28148.582999999999</v>
      </c>
      <c r="L21">
        <v>28148.582999999999</v>
      </c>
      <c r="M21">
        <v>28148.582999999999</v>
      </c>
      <c r="N21">
        <v>28148.582999999999</v>
      </c>
      <c r="O21">
        <v>28148.582999999999</v>
      </c>
      <c r="P21">
        <v>5903.84</v>
      </c>
      <c r="Q21">
        <v>21496.27</v>
      </c>
      <c r="R21">
        <v>10777.39</v>
      </c>
      <c r="S21">
        <v>2726.5700000000015</v>
      </c>
      <c r="T21">
        <v>11762.68</v>
      </c>
      <c r="U21">
        <v>13361.76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s="164">
        <v>40817</v>
      </c>
      <c r="AC21" s="164">
        <v>42052</v>
      </c>
      <c r="AD21" s="164">
        <v>42141</v>
      </c>
      <c r="AE21" s="34">
        <f>SUMPRODUCT(DB_STProjectsSOF[[#This Row],[Plan01]:[Plan12]],$D$4:$O$4)/valUnits2</f>
        <v>80.815332999999981</v>
      </c>
      <c r="AF21" s="34">
        <f>SUMPRODUCT(DB_STProjectsSOF[[#This Row],[Act01]:[Act12]],$P$4:$AA$4)/valUnits2</f>
        <v>66.028509999999997</v>
      </c>
      <c r="AG21" s="34">
        <f>DB_STProjectsSOF[[#This Row],[Actual]]-DB_STProjectsSOF[[#This Row],[Plan]]</f>
        <v>-14.786822999999984</v>
      </c>
      <c r="AH21" s="34">
        <f>IF(DB_STProjectsSOF[[#This Row],[Plan]]&lt;&gt;0,DB_STProjectsSOF[[#This Row],[Actual]]/DB_STProjectsSOF[[#This Row],[Plan]],1.000011000011)</f>
        <v>0.81702948622385818</v>
      </c>
      <c r="AI21" s="34">
        <f>SUM(DB_STProjectsSOF[[#This Row],[Plan01]:[Plan12]])/valUnits2</f>
        <v>249.70683099999994</v>
      </c>
      <c r="AJ21" s="34">
        <f>SUMPRODUCT(DB_STProjectsSOF[[#This Row],[Act01]:[Act12]],$P$3:$AA$3)/valUnits2</f>
        <v>66.028509999999997</v>
      </c>
      <c r="AK21" s="34">
        <f>IF(DB_STProjectsSOF[[#This Row],[FY Plan]]&lt;&gt;0,DB_STProjectsSOF[[#This Row],[FY Actuals]]/DB_STProjectsSOF[[#This Row],[FY Plan]],1.000011000011)</f>
        <v>0.26442412382382929</v>
      </c>
    </row>
    <row r="22" spans="1:37" hidden="1" x14ac:dyDescent="0.2">
      <c r="A22">
        <f>SUBTOTAL(3,$B$6:B22)</f>
        <v>0</v>
      </c>
      <c r="B22" t="s">
        <v>992</v>
      </c>
      <c r="C22" t="s">
        <v>858</v>
      </c>
      <c r="D22">
        <v>2044.96</v>
      </c>
      <c r="E22">
        <v>1989.95</v>
      </c>
      <c r="F22">
        <v>2607.0700000000002</v>
      </c>
      <c r="G22">
        <v>8851.840000000002</v>
      </c>
      <c r="H22">
        <v>4572.28</v>
      </c>
      <c r="I22">
        <v>2675.0010000000002</v>
      </c>
      <c r="J22">
        <v>2675.0010000000002</v>
      </c>
      <c r="K22">
        <v>3250.0010000000002</v>
      </c>
      <c r="L22">
        <v>2675.0009999999997</v>
      </c>
      <c r="M22">
        <v>2675.0010000000002</v>
      </c>
      <c r="N22">
        <v>2675.0010000000002</v>
      </c>
      <c r="O22">
        <v>2675.0010000000002</v>
      </c>
      <c r="P22">
        <v>2044.96</v>
      </c>
      <c r="Q22">
        <v>1989.95</v>
      </c>
      <c r="R22">
        <v>2800.6800000000003</v>
      </c>
      <c r="S22">
        <v>8973.93</v>
      </c>
      <c r="T22">
        <v>5699.6800000000021</v>
      </c>
      <c r="U22">
        <v>12525.36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s="164">
        <v>41275</v>
      </c>
      <c r="AC22" s="164">
        <v>41639</v>
      </c>
      <c r="AD22" s="164">
        <v>41784</v>
      </c>
      <c r="AE22" s="34">
        <f>SUMPRODUCT(DB_STProjectsSOF[[#This Row],[Plan01]:[Plan12]],$D$4:$O$4)/valUnits2</f>
        <v>22.741101000000004</v>
      </c>
      <c r="AF22" s="34">
        <f>SUMPRODUCT(DB_STProjectsSOF[[#This Row],[Act01]:[Act12]],$P$4:$AA$4)/valUnits2</f>
        <v>34.034560000000006</v>
      </c>
      <c r="AG22" s="34">
        <f>DB_STProjectsSOF[[#This Row],[Actual]]-DB_STProjectsSOF[[#This Row],[Plan]]</f>
        <v>11.293459000000002</v>
      </c>
      <c r="AH22" s="34">
        <f>IF(DB_STProjectsSOF[[#This Row],[Plan]]&lt;&gt;0,DB_STProjectsSOF[[#This Row],[Actual]]/DB_STProjectsSOF[[#This Row],[Plan]],1.000011000011)</f>
        <v>1.4966100366028892</v>
      </c>
      <c r="AI22" s="34">
        <f>SUM(DB_STProjectsSOF[[#This Row],[Plan01]:[Plan12]])/valUnits2</f>
        <v>39.366107000000007</v>
      </c>
      <c r="AJ22" s="34">
        <f>SUMPRODUCT(DB_STProjectsSOF[[#This Row],[Act01]:[Act12]],$P$3:$AA$3)/valUnits2</f>
        <v>34.034560000000006</v>
      </c>
      <c r="AK22" s="34">
        <f>IF(DB_STProjectsSOF[[#This Row],[FY Plan]]&lt;&gt;0,DB_STProjectsSOF[[#This Row],[FY Actuals]]/DB_STProjectsSOF[[#This Row],[FY Plan]],1.000011000011)</f>
        <v>0.8645650432236035</v>
      </c>
    </row>
    <row r="23" spans="1:37" hidden="1" x14ac:dyDescent="0.2">
      <c r="A23">
        <f>SUBTOTAL(3,$B$6:B23)</f>
        <v>0</v>
      </c>
      <c r="B23" t="s">
        <v>992</v>
      </c>
      <c r="C23" t="s">
        <v>905</v>
      </c>
      <c r="D23">
        <v>0</v>
      </c>
      <c r="E23">
        <v>218.46</v>
      </c>
      <c r="F23">
        <v>0</v>
      </c>
      <c r="G23">
        <v>0</v>
      </c>
      <c r="H23">
        <v>-218.46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218.46</v>
      </c>
      <c r="R23">
        <v>0</v>
      </c>
      <c r="S23">
        <v>0</v>
      </c>
      <c r="T23">
        <v>-218.46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s="164">
        <v>40909</v>
      </c>
      <c r="AC23" s="164">
        <v>41274</v>
      </c>
      <c r="AD23" s="164">
        <v>41364</v>
      </c>
      <c r="AE23" s="34">
        <f>SUMPRODUCT(DB_STProjectsSOF[[#This Row],[Plan01]:[Plan12]],$D$4:$O$4)/valUnits2</f>
        <v>0</v>
      </c>
      <c r="AF23" s="34">
        <f>SUMPRODUCT(DB_STProjectsSOF[[#This Row],[Act01]:[Act12]],$P$4:$AA$4)/valUnits2</f>
        <v>0</v>
      </c>
      <c r="AG23" s="34">
        <f>DB_STProjectsSOF[[#This Row],[Actual]]-DB_STProjectsSOF[[#This Row],[Plan]]</f>
        <v>0</v>
      </c>
      <c r="AH23" s="34">
        <f>IF(DB_STProjectsSOF[[#This Row],[Plan]]&lt;&gt;0,DB_STProjectsSOF[[#This Row],[Actual]]/DB_STProjectsSOF[[#This Row],[Plan]],1.000011000011)</f>
        <v>1.0000110000110001</v>
      </c>
      <c r="AI23" s="34">
        <f>SUM(DB_STProjectsSOF[[#This Row],[Plan01]:[Plan12]])/valUnits2</f>
        <v>0</v>
      </c>
      <c r="AJ23" s="34">
        <f>SUMPRODUCT(DB_STProjectsSOF[[#This Row],[Act01]:[Act12]],$P$3:$AA$3)/valUnits2</f>
        <v>0</v>
      </c>
      <c r="AK23" s="34">
        <f>IF(DB_STProjectsSOF[[#This Row],[FY Plan]]&lt;&gt;0,DB_STProjectsSOF[[#This Row],[FY Actuals]]/DB_STProjectsSOF[[#This Row],[FY Plan]],1.000011000011)</f>
        <v>1.0000110000110001</v>
      </c>
    </row>
    <row r="24" spans="1:37" hidden="1" x14ac:dyDescent="0.2">
      <c r="A24">
        <f>SUBTOTAL(3,$B$6:B24)</f>
        <v>0</v>
      </c>
      <c r="B24" t="s">
        <v>997</v>
      </c>
      <c r="C24" t="s">
        <v>855</v>
      </c>
      <c r="G24">
        <v>89.18</v>
      </c>
      <c r="H24">
        <v>167.53900000000002</v>
      </c>
      <c r="I24">
        <v>0</v>
      </c>
      <c r="S24">
        <v>88.88</v>
      </c>
      <c r="T24">
        <v>167.62</v>
      </c>
      <c r="U24">
        <v>514.83999999999924</v>
      </c>
      <c r="AB24" s="164">
        <v>40817</v>
      </c>
      <c r="AC24" s="164">
        <v>41759</v>
      </c>
      <c r="AD24" s="164">
        <v>41820</v>
      </c>
      <c r="AE24" s="34">
        <f>SUMPRODUCT(DB_STProjectsSOF[[#This Row],[Plan01]:[Plan12]],$D$4:$O$4)/valUnits2</f>
        <v>0.25671900000000003</v>
      </c>
      <c r="AF24" s="34">
        <f>SUMPRODUCT(DB_STProjectsSOF[[#This Row],[Act01]:[Act12]],$P$4:$AA$4)/valUnits2</f>
        <v>0.77133999999999925</v>
      </c>
      <c r="AG24" s="34">
        <f>DB_STProjectsSOF[[#This Row],[Actual]]-DB_STProjectsSOF[[#This Row],[Plan]]</f>
        <v>0.51462099999999922</v>
      </c>
      <c r="AH24" s="34">
        <f>IF(DB_STProjectsSOF[[#This Row],[Plan]]&lt;&gt;0,DB_STProjectsSOF[[#This Row],[Actual]]/DB_STProjectsSOF[[#This Row],[Plan]],1.000011000011)</f>
        <v>3.0046081513249865</v>
      </c>
      <c r="AI24" s="34">
        <f>SUM(DB_STProjectsSOF[[#This Row],[Plan01]:[Plan12]])/valUnits2</f>
        <v>0.25671900000000003</v>
      </c>
      <c r="AJ24" s="34">
        <f>SUMPRODUCT(DB_STProjectsSOF[[#This Row],[Act01]:[Act12]],$P$3:$AA$3)/valUnits2</f>
        <v>0.77133999999999925</v>
      </c>
      <c r="AK24" s="34">
        <f>IF(DB_STProjectsSOF[[#This Row],[FY Plan]]&lt;&gt;0,DB_STProjectsSOF[[#This Row],[FY Actuals]]/DB_STProjectsSOF[[#This Row],[FY Plan]],1.000011000011)</f>
        <v>3.0046081513249865</v>
      </c>
    </row>
    <row r="25" spans="1:37" hidden="1" x14ac:dyDescent="0.2">
      <c r="A25">
        <f>SUBTOTAL(3,$B$6:B25)</f>
        <v>0</v>
      </c>
      <c r="B25" t="s">
        <v>997</v>
      </c>
      <c r="C25" t="s">
        <v>367</v>
      </c>
      <c r="D25">
        <v>1032.1539999999995</v>
      </c>
      <c r="E25">
        <v>61021.372000000003</v>
      </c>
      <c r="F25">
        <v>23637.035000000003</v>
      </c>
      <c r="G25">
        <v>18132.755000000005</v>
      </c>
      <c r="H25">
        <v>44354.952999999994</v>
      </c>
      <c r="I25">
        <v>746.44900000000007</v>
      </c>
      <c r="J25">
        <v>153.256</v>
      </c>
      <c r="M25">
        <v>0</v>
      </c>
      <c r="P25">
        <v>1013.3699999999998</v>
      </c>
      <c r="Q25">
        <v>62560.039999999994</v>
      </c>
      <c r="R25">
        <v>23985.889999999996</v>
      </c>
      <c r="S25">
        <v>18118.700000000004</v>
      </c>
      <c r="T25">
        <v>43875.02</v>
      </c>
      <c r="U25">
        <v>3688.5100000000011</v>
      </c>
      <c r="V25">
        <v>0</v>
      </c>
      <c r="Y25">
        <v>0</v>
      </c>
      <c r="AB25" s="164">
        <v>40817</v>
      </c>
      <c r="AC25" s="164">
        <v>41547</v>
      </c>
      <c r="AD25" s="164">
        <v>41670</v>
      </c>
      <c r="AE25" s="34">
        <f>SUMPRODUCT(DB_STProjectsSOF[[#This Row],[Plan01]:[Plan12]],$D$4:$O$4)/valUnits2</f>
        <v>148.92471800000001</v>
      </c>
      <c r="AF25" s="34">
        <f>SUMPRODUCT(DB_STProjectsSOF[[#This Row],[Act01]:[Act12]],$P$4:$AA$4)/valUnits2</f>
        <v>153.24153000000001</v>
      </c>
      <c r="AG25" s="34">
        <f>DB_STProjectsSOF[[#This Row],[Actual]]-DB_STProjectsSOF[[#This Row],[Plan]]</f>
        <v>4.3168119999999988</v>
      </c>
      <c r="AH25" s="34">
        <f>IF(DB_STProjectsSOF[[#This Row],[Plan]]&lt;&gt;0,DB_STProjectsSOF[[#This Row],[Actual]]/DB_STProjectsSOF[[#This Row],[Plan]],1.000011000011)</f>
        <v>1.0289865380171477</v>
      </c>
      <c r="AI25" s="34">
        <f>SUM(DB_STProjectsSOF[[#This Row],[Plan01]:[Plan12]])/valUnits2</f>
        <v>149.07797400000001</v>
      </c>
      <c r="AJ25" s="34">
        <f>SUMPRODUCT(DB_STProjectsSOF[[#This Row],[Act01]:[Act12]],$P$3:$AA$3)/valUnits2</f>
        <v>153.24153000000001</v>
      </c>
      <c r="AK25" s="34">
        <f>IF(DB_STProjectsSOF[[#This Row],[FY Plan]]&lt;&gt;0,DB_STProjectsSOF[[#This Row],[FY Actuals]]/DB_STProjectsSOF[[#This Row],[FY Plan]],1.000011000011)</f>
        <v>1.0279287133322592</v>
      </c>
    </row>
    <row r="26" spans="1:37" hidden="1" x14ac:dyDescent="0.2">
      <c r="A26">
        <f>SUBTOTAL(3,$B$6:B26)</f>
        <v>0</v>
      </c>
      <c r="B26" t="s">
        <v>997</v>
      </c>
      <c r="C26" t="s">
        <v>884</v>
      </c>
      <c r="D26">
        <v>1416.6669999999999</v>
      </c>
      <c r="E26">
        <v>1416.6669999999999</v>
      </c>
      <c r="F26">
        <v>1416.6669999999999</v>
      </c>
      <c r="G26">
        <v>1416.6669999999999</v>
      </c>
      <c r="H26">
        <v>1416.6669999999999</v>
      </c>
      <c r="I26">
        <v>1416.6669999999999</v>
      </c>
      <c r="J26">
        <v>1416.6669999999999</v>
      </c>
      <c r="K26">
        <v>1416.6669999999999</v>
      </c>
      <c r="L26">
        <v>1416.6669999999999</v>
      </c>
      <c r="M26">
        <v>1416.6669999999999</v>
      </c>
      <c r="N26">
        <v>1416.6669999999999</v>
      </c>
      <c r="O26">
        <v>1416.6669999999999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s="164">
        <v>40909</v>
      </c>
      <c r="AC26" s="164">
        <v>41274</v>
      </c>
      <c r="AD26" s="164">
        <v>41364</v>
      </c>
      <c r="AE26" s="34">
        <f>SUMPRODUCT(DB_STProjectsSOF[[#This Row],[Plan01]:[Plan12]],$D$4:$O$4)/valUnits2</f>
        <v>8.5000019999999985</v>
      </c>
      <c r="AF26" s="34">
        <f>SUMPRODUCT(DB_STProjectsSOF[[#This Row],[Act01]:[Act12]],$P$4:$AA$4)/valUnits2</f>
        <v>0</v>
      </c>
      <c r="AG26" s="34">
        <f>DB_STProjectsSOF[[#This Row],[Actual]]-DB_STProjectsSOF[[#This Row],[Plan]]</f>
        <v>-8.5000019999999985</v>
      </c>
      <c r="AH26" s="34">
        <f>IF(DB_STProjectsSOF[[#This Row],[Plan]]&lt;&gt;0,DB_STProjectsSOF[[#This Row],[Actual]]/DB_STProjectsSOF[[#This Row],[Plan]],1.000011000011)</f>
        <v>0</v>
      </c>
      <c r="AI26" s="34">
        <f>SUM(DB_STProjectsSOF[[#This Row],[Plan01]:[Plan12]])/valUnits2</f>
        <v>17.000003999999997</v>
      </c>
      <c r="AJ26" s="34">
        <f>SUMPRODUCT(DB_STProjectsSOF[[#This Row],[Act01]:[Act12]],$P$3:$AA$3)/valUnits2</f>
        <v>0</v>
      </c>
      <c r="AK26" s="34">
        <f>IF(DB_STProjectsSOF[[#This Row],[FY Plan]]&lt;&gt;0,DB_STProjectsSOF[[#This Row],[FY Actuals]]/DB_STProjectsSOF[[#This Row],[FY Plan]],1.000011000011)</f>
        <v>0</v>
      </c>
    </row>
    <row r="27" spans="1:37" hidden="1" x14ac:dyDescent="0.2">
      <c r="A27">
        <f>SUBTOTAL(3,$B$6:B27)</f>
        <v>0</v>
      </c>
      <c r="B27" t="s">
        <v>997</v>
      </c>
      <c r="C27" t="s">
        <v>889</v>
      </c>
      <c r="F27">
        <v>0</v>
      </c>
      <c r="R27">
        <v>0</v>
      </c>
      <c r="AB27" s="164"/>
      <c r="AC27" s="164"/>
      <c r="AD27" s="164"/>
      <c r="AE27" s="34">
        <f>SUMPRODUCT(DB_STProjectsSOF[[#This Row],[Plan01]:[Plan12]],$D$4:$O$4)/valUnits2</f>
        <v>0</v>
      </c>
      <c r="AF27" s="34">
        <f>SUMPRODUCT(DB_STProjectsSOF[[#This Row],[Act01]:[Act12]],$P$4:$AA$4)/valUnits2</f>
        <v>0</v>
      </c>
      <c r="AG27" s="34">
        <f>DB_STProjectsSOF[[#This Row],[Actual]]-DB_STProjectsSOF[[#This Row],[Plan]]</f>
        <v>0</v>
      </c>
      <c r="AH27" s="34">
        <f>IF(DB_STProjectsSOF[[#This Row],[Plan]]&lt;&gt;0,DB_STProjectsSOF[[#This Row],[Actual]]/DB_STProjectsSOF[[#This Row],[Plan]],1.000011000011)</f>
        <v>1.0000110000110001</v>
      </c>
      <c r="AI27" s="34">
        <f>SUM(DB_STProjectsSOF[[#This Row],[Plan01]:[Plan12]])/valUnits2</f>
        <v>0</v>
      </c>
      <c r="AJ27" s="34">
        <f>SUMPRODUCT(DB_STProjectsSOF[[#This Row],[Act01]:[Act12]],$P$3:$AA$3)/valUnits2</f>
        <v>0</v>
      </c>
      <c r="AK27" s="34">
        <f>IF(DB_STProjectsSOF[[#This Row],[FY Plan]]&lt;&gt;0,DB_STProjectsSOF[[#This Row],[FY Actuals]]/DB_STProjectsSOF[[#This Row],[FY Plan]],1.000011000011)</f>
        <v>1.0000110000110001</v>
      </c>
    </row>
    <row r="28" spans="1:37" hidden="1" x14ac:dyDescent="0.2">
      <c r="A28">
        <f>SUBTOTAL(3,$B$6:B28)</f>
        <v>0</v>
      </c>
      <c r="B28" t="s">
        <v>997</v>
      </c>
      <c r="C28" t="s">
        <v>910</v>
      </c>
      <c r="D28">
        <v>12264.900000000005</v>
      </c>
      <c r="E28">
        <v>2436.9799999999973</v>
      </c>
      <c r="F28">
        <v>5403.4299999999994</v>
      </c>
      <c r="H28">
        <v>-79532.280000000013</v>
      </c>
      <c r="P28">
        <v>12264.900000000001</v>
      </c>
      <c r="Q28">
        <v>2442.1199999999935</v>
      </c>
      <c r="R28">
        <v>5403.4299999999994</v>
      </c>
      <c r="T28">
        <v>-79532.27999999997</v>
      </c>
      <c r="AB28" s="164">
        <v>40817</v>
      </c>
      <c r="AC28" s="164">
        <v>41356</v>
      </c>
      <c r="AD28" s="164">
        <v>41425</v>
      </c>
      <c r="AE28" s="34">
        <f>SUMPRODUCT(DB_STProjectsSOF[[#This Row],[Plan01]:[Plan12]],$D$4:$O$4)/valUnits2</f>
        <v>-59.426970000000019</v>
      </c>
      <c r="AF28" s="34">
        <f>SUMPRODUCT(DB_STProjectsSOF[[#This Row],[Act01]:[Act12]],$P$4:$AA$4)/valUnits2</f>
        <v>-59.421829999999972</v>
      </c>
      <c r="AG28" s="34">
        <f>DB_STProjectsSOF[[#This Row],[Actual]]-DB_STProjectsSOF[[#This Row],[Plan]]</f>
        <v>5.1400000000469959E-3</v>
      </c>
      <c r="AH28" s="34">
        <f>IF(DB_STProjectsSOF[[#This Row],[Plan]]&lt;&gt;0,DB_STProjectsSOF[[#This Row],[Actual]]/DB_STProjectsSOF[[#This Row],[Plan]],1.000011000011)</f>
        <v>0.99991350728465467</v>
      </c>
      <c r="AI28" s="34">
        <f>SUM(DB_STProjectsSOF[[#This Row],[Plan01]:[Plan12]])/valUnits2</f>
        <v>-59.426970000000019</v>
      </c>
      <c r="AJ28" s="34">
        <f>SUMPRODUCT(DB_STProjectsSOF[[#This Row],[Act01]:[Act12]],$P$3:$AA$3)/valUnits2</f>
        <v>-59.421829999999972</v>
      </c>
      <c r="AK28" s="34">
        <f>IF(DB_STProjectsSOF[[#This Row],[FY Plan]]&lt;&gt;0,DB_STProjectsSOF[[#This Row],[FY Actuals]]/DB_STProjectsSOF[[#This Row],[FY Plan]],1.000011000011)</f>
        <v>0.99991350728465467</v>
      </c>
    </row>
    <row r="29" spans="1:37" hidden="1" x14ac:dyDescent="0.2">
      <c r="A29">
        <f>SUBTOTAL(3,$B$6:B29)</f>
        <v>0</v>
      </c>
      <c r="B29" t="s">
        <v>958</v>
      </c>
      <c r="C29" t="s">
        <v>855</v>
      </c>
      <c r="D29">
        <v>24151.307000000001</v>
      </c>
      <c r="E29">
        <v>29482.164000000001</v>
      </c>
      <c r="F29">
        <v>-67816.968999999997</v>
      </c>
      <c r="G29">
        <v>1124.8230000000005</v>
      </c>
      <c r="H29">
        <v>6690.7450000000017</v>
      </c>
      <c r="I29">
        <v>8756.8700000000008</v>
      </c>
      <c r="J29">
        <v>8756.8700000000008</v>
      </c>
      <c r="K29">
        <v>8756.8700000000008</v>
      </c>
      <c r="L29">
        <v>8756.8700000000008</v>
      </c>
      <c r="M29">
        <v>8756.8700000000008</v>
      </c>
      <c r="N29">
        <v>8756.8700000000008</v>
      </c>
      <c r="O29">
        <v>8756.8700000000008</v>
      </c>
      <c r="P29">
        <v>23736.45</v>
      </c>
      <c r="Q29">
        <v>30443.38</v>
      </c>
      <c r="R29">
        <v>-69249.810000000027</v>
      </c>
      <c r="S29">
        <v>1118.4100000000001</v>
      </c>
      <c r="T29">
        <v>6631.4299999999948</v>
      </c>
      <c r="U29">
        <v>2303.6999999999971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s="164">
        <v>40817</v>
      </c>
      <c r="AC29" s="164">
        <v>41759</v>
      </c>
      <c r="AD29" s="164">
        <v>41820</v>
      </c>
      <c r="AE29" s="34">
        <f>SUMPRODUCT(DB_STProjectsSOF[[#This Row],[Plan01]:[Plan12]],$D$4:$O$4)/valUnits2</f>
        <v>2.3889400000000105</v>
      </c>
      <c r="AF29" s="34">
        <f>SUMPRODUCT(DB_STProjectsSOF[[#This Row],[Act01]:[Act12]],$P$4:$AA$4)/valUnits2</f>
        <v>-5.0164400000000331</v>
      </c>
      <c r="AG29" s="34">
        <f>DB_STProjectsSOF[[#This Row],[Actual]]-DB_STProjectsSOF[[#This Row],[Plan]]</f>
        <v>-7.4053800000000436</v>
      </c>
      <c r="AH29" s="34">
        <f>IF(DB_STProjectsSOF[[#This Row],[Plan]]&lt;&gt;0,DB_STProjectsSOF[[#This Row],[Actual]]/DB_STProjectsSOF[[#This Row],[Plan]],1.000011000011)</f>
        <v>-2.0998601890378206</v>
      </c>
      <c r="AI29" s="34">
        <f>SUM(DB_STProjectsSOF[[#This Row],[Plan01]:[Plan12]])/valUnits2</f>
        <v>54.930160000000022</v>
      </c>
      <c r="AJ29" s="34">
        <f>SUMPRODUCT(DB_STProjectsSOF[[#This Row],[Act01]:[Act12]],$P$3:$AA$3)/valUnits2</f>
        <v>-5.0164400000000331</v>
      </c>
      <c r="AK29" s="34">
        <f>IF(DB_STProjectsSOF[[#This Row],[FY Plan]]&lt;&gt;0,DB_STProjectsSOF[[#This Row],[FY Actuals]]/DB_STProjectsSOF[[#This Row],[FY Plan]],1.000011000011)</f>
        <v>-9.1323964830978668E-2</v>
      </c>
    </row>
    <row r="30" spans="1:37" hidden="1" x14ac:dyDescent="0.2">
      <c r="A30">
        <f>SUBTOTAL(3,$B$6:B30)</f>
        <v>0</v>
      </c>
      <c r="B30" t="s">
        <v>958</v>
      </c>
      <c r="C30" t="s">
        <v>877</v>
      </c>
      <c r="D30">
        <v>59863.381000000023</v>
      </c>
      <c r="E30">
        <v>105317.46400000001</v>
      </c>
      <c r="F30">
        <v>59194.475999999995</v>
      </c>
      <c r="G30">
        <v>87446.015999999974</v>
      </c>
      <c r="H30">
        <v>8677.7809999999918</v>
      </c>
      <c r="I30">
        <v>95664.886999999988</v>
      </c>
      <c r="J30">
        <v>71351.975999999995</v>
      </c>
      <c r="K30">
        <v>70401.946000000011</v>
      </c>
      <c r="L30">
        <v>63596.39</v>
      </c>
      <c r="M30">
        <v>59808.366000000009</v>
      </c>
      <c r="N30">
        <v>63138.295000000006</v>
      </c>
      <c r="O30">
        <v>59808.366000000009</v>
      </c>
      <c r="P30">
        <v>58585.649999999972</v>
      </c>
      <c r="Q30">
        <v>108648.65000000002</v>
      </c>
      <c r="R30">
        <v>59734.469999999994</v>
      </c>
      <c r="S30">
        <v>87427.329999999987</v>
      </c>
      <c r="T30">
        <v>8582.1</v>
      </c>
      <c r="U30">
        <v>13236.52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s="164">
        <v>40817</v>
      </c>
      <c r="AC30" s="164">
        <v>41639</v>
      </c>
      <c r="AD30" s="164">
        <v>41729</v>
      </c>
      <c r="AE30" s="34">
        <f>SUMPRODUCT(DB_STProjectsSOF[[#This Row],[Plan01]:[Plan12]],$D$4:$O$4)/valUnits2</f>
        <v>416.16400500000003</v>
      </c>
      <c r="AF30" s="34">
        <f>SUMPRODUCT(DB_STProjectsSOF[[#This Row],[Act01]:[Act12]],$P$4:$AA$4)/valUnits2</f>
        <v>336.21472</v>
      </c>
      <c r="AG30" s="34">
        <f>DB_STProjectsSOF[[#This Row],[Actual]]-DB_STProjectsSOF[[#This Row],[Plan]]</f>
        <v>-79.949285000000032</v>
      </c>
      <c r="AH30" s="34">
        <f>IF(DB_STProjectsSOF[[#This Row],[Plan]]&lt;&gt;0,DB_STProjectsSOF[[#This Row],[Actual]]/DB_STProjectsSOF[[#This Row],[Plan]],1.000011000011)</f>
        <v>0.80788995674914266</v>
      </c>
      <c r="AI30" s="34">
        <f>SUM(DB_STProjectsSOF[[#This Row],[Plan01]:[Plan12]])/valUnits2</f>
        <v>804.26934400000016</v>
      </c>
      <c r="AJ30" s="34">
        <f>SUMPRODUCT(DB_STProjectsSOF[[#This Row],[Act01]:[Act12]],$P$3:$AA$3)/valUnits2</f>
        <v>336.21472</v>
      </c>
      <c r="AK30" s="34">
        <f>IF(DB_STProjectsSOF[[#This Row],[FY Plan]]&lt;&gt;0,DB_STProjectsSOF[[#This Row],[FY Actuals]]/DB_STProjectsSOF[[#This Row],[FY Plan]],1.000011000011)</f>
        <v>0.41803746780630735</v>
      </c>
    </row>
    <row r="31" spans="1:37" hidden="1" x14ac:dyDescent="0.2">
      <c r="A31">
        <f>SUBTOTAL(3,$B$6:B31)</f>
        <v>0</v>
      </c>
      <c r="B31" t="s">
        <v>988</v>
      </c>
      <c r="C31" t="s">
        <v>855</v>
      </c>
      <c r="D31">
        <v>104.922</v>
      </c>
      <c r="E31">
        <v>4279.8059999999996</v>
      </c>
      <c r="F31">
        <v>80491.197</v>
      </c>
      <c r="G31">
        <v>13574.230000000001</v>
      </c>
      <c r="H31">
        <v>25778.36</v>
      </c>
      <c r="I31">
        <v>14875.83</v>
      </c>
      <c r="J31">
        <v>14875.83</v>
      </c>
      <c r="K31">
        <v>14875.83</v>
      </c>
      <c r="L31">
        <v>14875.83</v>
      </c>
      <c r="M31">
        <v>14875.83</v>
      </c>
      <c r="N31">
        <v>14875.830000000002</v>
      </c>
      <c r="O31">
        <v>14875.83</v>
      </c>
      <c r="P31">
        <v>103.37</v>
      </c>
      <c r="Q31">
        <v>4351.2</v>
      </c>
      <c r="R31">
        <v>82050.569999999992</v>
      </c>
      <c r="S31">
        <v>13520.34</v>
      </c>
      <c r="T31">
        <v>25473.480000000003</v>
      </c>
      <c r="U31">
        <v>15027.320000000002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s="164">
        <v>40817</v>
      </c>
      <c r="AC31" s="164">
        <v>41759</v>
      </c>
      <c r="AD31" s="164">
        <v>41820</v>
      </c>
      <c r="AE31" s="34">
        <f>SUMPRODUCT(DB_STProjectsSOF[[#This Row],[Plan01]:[Plan12]],$D$4:$O$4)/valUnits2</f>
        <v>139.104345</v>
      </c>
      <c r="AF31" s="34">
        <f>SUMPRODUCT(DB_STProjectsSOF[[#This Row],[Act01]:[Act12]],$P$4:$AA$4)/valUnits2</f>
        <v>140.52627999999999</v>
      </c>
      <c r="AG31" s="34">
        <f>DB_STProjectsSOF[[#This Row],[Actual]]-DB_STProjectsSOF[[#This Row],[Plan]]</f>
        <v>1.4219349999999906</v>
      </c>
      <c r="AH31" s="34">
        <f>IF(DB_STProjectsSOF[[#This Row],[Plan]]&lt;&gt;0,DB_STProjectsSOF[[#This Row],[Actual]]/DB_STProjectsSOF[[#This Row],[Plan]],1.000011000011)</f>
        <v>1.0102220746591344</v>
      </c>
      <c r="AI31" s="34">
        <f>SUM(DB_STProjectsSOF[[#This Row],[Plan01]:[Plan12]])/valUnits2</f>
        <v>228.35932499999993</v>
      </c>
      <c r="AJ31" s="34">
        <f>SUMPRODUCT(DB_STProjectsSOF[[#This Row],[Act01]:[Act12]],$P$3:$AA$3)/valUnits2</f>
        <v>140.52627999999999</v>
      </c>
      <c r="AK31" s="34">
        <f>IF(DB_STProjectsSOF[[#This Row],[FY Plan]]&lt;&gt;0,DB_STProjectsSOF[[#This Row],[FY Actuals]]/DB_STProjectsSOF[[#This Row],[FY Plan]],1.000011000011)</f>
        <v>0.61537351277422125</v>
      </c>
    </row>
    <row r="32" spans="1:37" hidden="1" x14ac:dyDescent="0.2">
      <c r="A32">
        <f>SUBTOTAL(3,$B$6:B32)</f>
        <v>0</v>
      </c>
      <c r="B32" t="s">
        <v>988</v>
      </c>
      <c r="C32" t="s">
        <v>367</v>
      </c>
      <c r="D32">
        <v>877.58799999999997</v>
      </c>
      <c r="E32">
        <v>1553.616</v>
      </c>
      <c r="F32">
        <v>1956.9379999999999</v>
      </c>
      <c r="G32">
        <v>15593.886999999999</v>
      </c>
      <c r="H32">
        <v>29253.228999999999</v>
      </c>
      <c r="I32">
        <v>7383.8369999999995</v>
      </c>
      <c r="J32">
        <v>7347.5640000000003</v>
      </c>
      <c r="K32">
        <v>7226.7739999999994</v>
      </c>
      <c r="L32">
        <v>7338.9440000000004</v>
      </c>
      <c r="P32">
        <v>864.61</v>
      </c>
      <c r="Q32">
        <v>1572.42</v>
      </c>
      <c r="R32">
        <v>1981.0200000000002</v>
      </c>
      <c r="S32">
        <v>15330.48</v>
      </c>
      <c r="T32">
        <v>29324.7</v>
      </c>
      <c r="U32">
        <v>2158.2500000000023</v>
      </c>
      <c r="V32">
        <v>0</v>
      </c>
      <c r="W32">
        <v>0</v>
      </c>
      <c r="X32">
        <v>0</v>
      </c>
      <c r="AB32" s="164">
        <v>40817</v>
      </c>
      <c r="AC32" s="164">
        <v>41547</v>
      </c>
      <c r="AD32" s="164">
        <v>41670</v>
      </c>
      <c r="AE32" s="34">
        <f>SUMPRODUCT(DB_STProjectsSOF[[#This Row],[Plan01]:[Plan12]],$D$4:$O$4)/valUnits2</f>
        <v>56.619095000000002</v>
      </c>
      <c r="AF32" s="34">
        <f>SUMPRODUCT(DB_STProjectsSOF[[#This Row],[Act01]:[Act12]],$P$4:$AA$4)/valUnits2</f>
        <v>51.231479999999998</v>
      </c>
      <c r="AG32" s="34">
        <f>DB_STProjectsSOF[[#This Row],[Actual]]-DB_STProjectsSOF[[#This Row],[Plan]]</f>
        <v>-5.3876150000000038</v>
      </c>
      <c r="AH32" s="34">
        <f>IF(DB_STProjectsSOF[[#This Row],[Plan]]&lt;&gt;0,DB_STProjectsSOF[[#This Row],[Actual]]/DB_STProjectsSOF[[#This Row],[Plan]],1.000011000011)</f>
        <v>0.9048445581830652</v>
      </c>
      <c r="AI32" s="34">
        <f>SUM(DB_STProjectsSOF[[#This Row],[Plan01]:[Plan12]])/valUnits2</f>
        <v>78.532377000000011</v>
      </c>
      <c r="AJ32" s="34">
        <f>SUMPRODUCT(DB_STProjectsSOF[[#This Row],[Act01]:[Act12]],$P$3:$AA$3)/valUnits2</f>
        <v>51.231479999999998</v>
      </c>
      <c r="AK32" s="34">
        <f>IF(DB_STProjectsSOF[[#This Row],[FY Plan]]&lt;&gt;0,DB_STProjectsSOF[[#This Row],[FY Actuals]]/DB_STProjectsSOF[[#This Row],[FY Plan]],1.000011000011)</f>
        <v>0.65236125477266516</v>
      </c>
    </row>
    <row r="33" spans="1:37" hidden="1" x14ac:dyDescent="0.2">
      <c r="A33">
        <f>SUBTOTAL(3,$B$6:B33)</f>
        <v>0</v>
      </c>
      <c r="B33" t="s">
        <v>988</v>
      </c>
      <c r="C33" t="s">
        <v>874</v>
      </c>
      <c r="D33">
        <v>3582.0419999999976</v>
      </c>
      <c r="E33">
        <v>176842.56200000001</v>
      </c>
      <c r="F33">
        <v>3032.2859999999955</v>
      </c>
      <c r="G33">
        <v>177271.78199999992</v>
      </c>
      <c r="H33">
        <v>5485.8970000000054</v>
      </c>
      <c r="I33">
        <v>66269.689000000013</v>
      </c>
      <c r="J33">
        <v>93458.718999999954</v>
      </c>
      <c r="K33">
        <v>67004.865999999995</v>
      </c>
      <c r="L33">
        <v>66659.427999999985</v>
      </c>
      <c r="M33">
        <v>73664.043999999994</v>
      </c>
      <c r="N33">
        <v>61834.857000000004</v>
      </c>
      <c r="O33">
        <v>68002.844999999987</v>
      </c>
      <c r="P33">
        <v>3516.5800000000004</v>
      </c>
      <c r="Q33">
        <v>182379.26</v>
      </c>
      <c r="R33">
        <v>3065.1599999999935</v>
      </c>
      <c r="S33">
        <v>176671.47999999995</v>
      </c>
      <c r="T33">
        <v>5466.9000000000005</v>
      </c>
      <c r="U33">
        <v>3328.1400000000149</v>
      </c>
      <c r="V33">
        <v>53578.559999999998</v>
      </c>
      <c r="W33">
        <v>0</v>
      </c>
      <c r="X33">
        <v>0</v>
      </c>
      <c r="Y33">
        <v>0</v>
      </c>
      <c r="Z33">
        <v>0</v>
      </c>
      <c r="AA33">
        <v>0</v>
      </c>
      <c r="AB33" s="164">
        <v>40879</v>
      </c>
      <c r="AC33" s="164">
        <v>43071</v>
      </c>
      <c r="AD33" s="164">
        <v>43161</v>
      </c>
      <c r="AE33" s="34">
        <f>SUMPRODUCT(DB_STProjectsSOF[[#This Row],[Plan01]:[Plan12]],$D$4:$O$4)/valUnits2</f>
        <v>432.4842579999999</v>
      </c>
      <c r="AF33" s="34">
        <f>SUMPRODUCT(DB_STProjectsSOF[[#This Row],[Act01]:[Act12]],$P$4:$AA$4)/valUnits2</f>
        <v>374.42752000000002</v>
      </c>
      <c r="AG33" s="34">
        <f>DB_STProjectsSOF[[#This Row],[Actual]]-DB_STProjectsSOF[[#This Row],[Plan]]</f>
        <v>-58.056737999999882</v>
      </c>
      <c r="AH33" s="34">
        <f>IF(DB_STProjectsSOF[[#This Row],[Plan]]&lt;&gt;0,DB_STProjectsSOF[[#This Row],[Actual]]/DB_STProjectsSOF[[#This Row],[Plan]],1.000011000011)</f>
        <v>0.86575988160013007</v>
      </c>
      <c r="AI33" s="34">
        <f>SUM(DB_STProjectsSOF[[#This Row],[Plan01]:[Plan12]])/valUnits2</f>
        <v>863.10901699999977</v>
      </c>
      <c r="AJ33" s="34">
        <f>SUMPRODUCT(DB_STProjectsSOF[[#This Row],[Act01]:[Act12]],$P$3:$AA$3)/valUnits2</f>
        <v>374.42752000000002</v>
      </c>
      <c r="AK33" s="34">
        <f>IF(DB_STProjectsSOF[[#This Row],[FY Plan]]&lt;&gt;0,DB_STProjectsSOF[[#This Row],[FY Actuals]]/DB_STProjectsSOF[[#This Row],[FY Plan]],1.000011000011)</f>
        <v>0.43381254583741663</v>
      </c>
    </row>
    <row r="34" spans="1:37" hidden="1" x14ac:dyDescent="0.2">
      <c r="A34">
        <f>SUBTOTAL(3,$B$6:B34)</f>
        <v>0</v>
      </c>
      <c r="B34" t="s">
        <v>988</v>
      </c>
      <c r="C34" t="s">
        <v>877</v>
      </c>
      <c r="D34">
        <v>536.52300000000002</v>
      </c>
      <c r="E34">
        <v>533.99300000000005</v>
      </c>
      <c r="F34">
        <v>777.80500000000006</v>
      </c>
      <c r="H34">
        <v>0</v>
      </c>
      <c r="P34">
        <v>528.59</v>
      </c>
      <c r="Q34">
        <v>545.19000000000005</v>
      </c>
      <c r="R34">
        <v>784.76</v>
      </c>
      <c r="T34">
        <v>0</v>
      </c>
      <c r="AB34" s="164">
        <v>40817</v>
      </c>
      <c r="AC34" s="164">
        <v>41639</v>
      </c>
      <c r="AD34" s="164">
        <v>41729</v>
      </c>
      <c r="AE34" s="34">
        <f>SUMPRODUCT(DB_STProjectsSOF[[#This Row],[Plan01]:[Plan12]],$D$4:$O$4)/valUnits2</f>
        <v>1.8483210000000001</v>
      </c>
      <c r="AF34" s="34">
        <f>SUMPRODUCT(DB_STProjectsSOF[[#This Row],[Act01]:[Act12]],$P$4:$AA$4)/valUnits2</f>
        <v>1.8585400000000001</v>
      </c>
      <c r="AG34" s="34">
        <f>DB_STProjectsSOF[[#This Row],[Actual]]-DB_STProjectsSOF[[#This Row],[Plan]]</f>
        <v>1.0218999999999978E-2</v>
      </c>
      <c r="AH34" s="34">
        <f>IF(DB_STProjectsSOF[[#This Row],[Plan]]&lt;&gt;0,DB_STProjectsSOF[[#This Row],[Actual]]/DB_STProjectsSOF[[#This Row],[Plan]],1.000011000011)</f>
        <v>1.0055288015447532</v>
      </c>
      <c r="AI34" s="34">
        <f>SUM(DB_STProjectsSOF[[#This Row],[Plan01]:[Plan12]])/valUnits2</f>
        <v>1.8483210000000001</v>
      </c>
      <c r="AJ34" s="34">
        <f>SUMPRODUCT(DB_STProjectsSOF[[#This Row],[Act01]:[Act12]],$P$3:$AA$3)/valUnits2</f>
        <v>1.8585400000000001</v>
      </c>
      <c r="AK34" s="34">
        <f>IF(DB_STProjectsSOF[[#This Row],[FY Plan]]&lt;&gt;0,DB_STProjectsSOF[[#This Row],[FY Actuals]]/DB_STProjectsSOF[[#This Row],[FY Plan]],1.000011000011)</f>
        <v>1.0055288015447532</v>
      </c>
    </row>
    <row r="35" spans="1:37" hidden="1" x14ac:dyDescent="0.2">
      <c r="A35">
        <f>SUBTOTAL(3,$B$6:B35)</f>
        <v>0</v>
      </c>
      <c r="B35" t="s">
        <v>988</v>
      </c>
      <c r="C35" t="s">
        <v>882</v>
      </c>
      <c r="D35">
        <v>15815.819000000001</v>
      </c>
      <c r="E35">
        <v>8397.732</v>
      </c>
      <c r="F35">
        <v>4060.2590000000068</v>
      </c>
      <c r="G35">
        <v>15888.638000000001</v>
      </c>
      <c r="H35">
        <v>109945.58400000006</v>
      </c>
      <c r="I35">
        <v>24296.65500000001</v>
      </c>
      <c r="J35">
        <v>33011.420999999988</v>
      </c>
      <c r="K35">
        <v>25532.191000000003</v>
      </c>
      <c r="L35">
        <v>25022.501000000007</v>
      </c>
      <c r="M35">
        <v>30657.286000000004</v>
      </c>
      <c r="N35">
        <v>33301.520999999986</v>
      </c>
      <c r="O35">
        <v>20042.27900000001</v>
      </c>
      <c r="P35">
        <v>15956.909999999996</v>
      </c>
      <c r="Q35">
        <v>8602.7200000000012</v>
      </c>
      <c r="R35">
        <v>4097.2</v>
      </c>
      <c r="S35">
        <v>15737.75</v>
      </c>
      <c r="T35">
        <v>109732.69000000002</v>
      </c>
      <c r="U35">
        <v>15682.210000000003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s="164">
        <v>40817</v>
      </c>
      <c r="AC35" s="164">
        <v>41913</v>
      </c>
      <c r="AD35" s="164">
        <v>42005</v>
      </c>
      <c r="AE35" s="34">
        <f>SUMPRODUCT(DB_STProjectsSOF[[#This Row],[Plan01]:[Plan12]],$D$4:$O$4)/valUnits2</f>
        <v>178.40468700000005</v>
      </c>
      <c r="AF35" s="34">
        <f>SUMPRODUCT(DB_STProjectsSOF[[#This Row],[Act01]:[Act12]],$P$4:$AA$4)/valUnits2</f>
        <v>169.80948000000001</v>
      </c>
      <c r="AG35" s="34">
        <f>DB_STProjectsSOF[[#This Row],[Actual]]-DB_STProjectsSOF[[#This Row],[Plan]]</f>
        <v>-8.5952070000000447</v>
      </c>
      <c r="AH35" s="34">
        <f>IF(DB_STProjectsSOF[[#This Row],[Plan]]&lt;&gt;0,DB_STProjectsSOF[[#This Row],[Actual]]/DB_STProjectsSOF[[#This Row],[Plan]],1.000011000011)</f>
        <v>0.95182185432157373</v>
      </c>
      <c r="AI35" s="34">
        <f>SUM(DB_STProjectsSOF[[#This Row],[Plan01]:[Plan12]])/valUnits2</f>
        <v>345.97188600000004</v>
      </c>
      <c r="AJ35" s="34">
        <f>SUMPRODUCT(DB_STProjectsSOF[[#This Row],[Act01]:[Act12]],$P$3:$AA$3)/valUnits2</f>
        <v>169.80948000000001</v>
      </c>
      <c r="AK35" s="34">
        <f>IF(DB_STProjectsSOF[[#This Row],[FY Plan]]&lt;&gt;0,DB_STProjectsSOF[[#This Row],[FY Actuals]]/DB_STProjectsSOF[[#This Row],[FY Plan]],1.000011000011)</f>
        <v>0.4908187250798754</v>
      </c>
    </row>
    <row r="36" spans="1:37" hidden="1" x14ac:dyDescent="0.2">
      <c r="A36">
        <f>SUBTOTAL(3,$B$6:B36)</f>
        <v>0</v>
      </c>
      <c r="B36" t="s">
        <v>988</v>
      </c>
      <c r="C36" t="s">
        <v>886</v>
      </c>
      <c r="D36">
        <v>6272.8189999999995</v>
      </c>
      <c r="E36">
        <v>-3296.5239999999999</v>
      </c>
      <c r="P36">
        <v>6208.16</v>
      </c>
      <c r="Q36">
        <v>-3324.29</v>
      </c>
      <c r="AB36" s="164">
        <v>40909</v>
      </c>
      <c r="AC36" s="164">
        <v>41274</v>
      </c>
      <c r="AD36" s="164">
        <v>41305</v>
      </c>
      <c r="AE36" s="34">
        <f>SUMPRODUCT(DB_STProjectsSOF[[#This Row],[Plan01]:[Plan12]],$D$4:$O$4)/valUnits2</f>
        <v>2.9762949999999995</v>
      </c>
      <c r="AF36" s="34">
        <f>SUMPRODUCT(DB_STProjectsSOF[[#This Row],[Act01]:[Act12]],$P$4:$AA$4)/valUnits2</f>
        <v>2.8838699999999999</v>
      </c>
      <c r="AG36" s="34">
        <f>DB_STProjectsSOF[[#This Row],[Actual]]-DB_STProjectsSOF[[#This Row],[Plan]]</f>
        <v>-9.2424999999999535E-2</v>
      </c>
      <c r="AH36" s="34">
        <f>IF(DB_STProjectsSOF[[#This Row],[Plan]]&lt;&gt;0,DB_STProjectsSOF[[#This Row],[Actual]]/DB_STProjectsSOF[[#This Row],[Plan]],1.000011000011)</f>
        <v>0.96894629060627402</v>
      </c>
      <c r="AI36" s="34">
        <f>SUM(DB_STProjectsSOF[[#This Row],[Plan01]:[Plan12]])/valUnits2</f>
        <v>2.9762949999999995</v>
      </c>
      <c r="AJ36" s="34">
        <f>SUMPRODUCT(DB_STProjectsSOF[[#This Row],[Act01]:[Act12]],$P$3:$AA$3)/valUnits2</f>
        <v>2.8838699999999999</v>
      </c>
      <c r="AK36" s="34">
        <f>IF(DB_STProjectsSOF[[#This Row],[FY Plan]]&lt;&gt;0,DB_STProjectsSOF[[#This Row],[FY Actuals]]/DB_STProjectsSOF[[#This Row],[FY Plan]],1.000011000011)</f>
        <v>0.96894629060627402</v>
      </c>
    </row>
    <row r="37" spans="1:37" hidden="1" x14ac:dyDescent="0.2">
      <c r="A37">
        <f>SUBTOTAL(3,$B$6:B37)</f>
        <v>0</v>
      </c>
      <c r="B37" t="s">
        <v>988</v>
      </c>
      <c r="C37" t="s">
        <v>890</v>
      </c>
      <c r="D37">
        <v>1652.0629999999999</v>
      </c>
      <c r="E37">
        <v>1579.171</v>
      </c>
      <c r="F37">
        <v>49885.458000000013</v>
      </c>
      <c r="G37">
        <v>169143.11100000003</v>
      </c>
      <c r="H37">
        <v>3229.6700000000005</v>
      </c>
      <c r="I37">
        <v>39276.385000000009</v>
      </c>
      <c r="J37">
        <v>36981.004999999997</v>
      </c>
      <c r="K37">
        <v>40456.140000000007</v>
      </c>
      <c r="L37">
        <v>39276.385000000002</v>
      </c>
      <c r="M37">
        <v>34696.515000000007</v>
      </c>
      <c r="N37">
        <v>76891.440000000031</v>
      </c>
      <c r="O37">
        <v>34696.514999999992</v>
      </c>
      <c r="P37">
        <v>1656.5900000000006</v>
      </c>
      <c r="Q37">
        <v>1615.7399999999993</v>
      </c>
      <c r="R37">
        <v>49802.930000000008</v>
      </c>
      <c r="S37">
        <v>167006.68999999994</v>
      </c>
      <c r="T37">
        <v>3277.8299999999958</v>
      </c>
      <c r="U37">
        <v>3889.5999999999967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s="164">
        <v>40817</v>
      </c>
      <c r="AC37" s="164">
        <v>41639</v>
      </c>
      <c r="AD37" s="164">
        <v>41639</v>
      </c>
      <c r="AE37" s="34">
        <f>SUMPRODUCT(DB_STProjectsSOF[[#This Row],[Plan01]:[Plan12]],$D$4:$O$4)/valUnits2</f>
        <v>264.76585800000009</v>
      </c>
      <c r="AF37" s="34">
        <f>SUMPRODUCT(DB_STProjectsSOF[[#This Row],[Act01]:[Act12]],$P$4:$AA$4)/valUnits2</f>
        <v>227.24937999999995</v>
      </c>
      <c r="AG37" s="34">
        <f>DB_STProjectsSOF[[#This Row],[Actual]]-DB_STProjectsSOF[[#This Row],[Plan]]</f>
        <v>-37.516478000000149</v>
      </c>
      <c r="AH37" s="34">
        <f>IF(DB_STProjectsSOF[[#This Row],[Plan]]&lt;&gt;0,DB_STProjectsSOF[[#This Row],[Actual]]/DB_STProjectsSOF[[#This Row],[Plan]],1.000011000011)</f>
        <v>0.85830318801905292</v>
      </c>
      <c r="AI37" s="34">
        <f>SUM(DB_STProjectsSOF[[#This Row],[Plan01]:[Plan12]])/valUnits2</f>
        <v>527.76385800000014</v>
      </c>
      <c r="AJ37" s="34">
        <f>SUMPRODUCT(DB_STProjectsSOF[[#This Row],[Act01]:[Act12]],$P$3:$AA$3)/valUnits2</f>
        <v>227.24937999999995</v>
      </c>
      <c r="AK37" s="34">
        <f>IF(DB_STProjectsSOF[[#This Row],[FY Plan]]&lt;&gt;0,DB_STProjectsSOF[[#This Row],[FY Actuals]]/DB_STProjectsSOF[[#This Row],[FY Plan]],1.000011000011)</f>
        <v>0.43058912912524577</v>
      </c>
    </row>
    <row r="38" spans="1:37" hidden="1" x14ac:dyDescent="0.2">
      <c r="A38">
        <f>SUBTOTAL(3,$B$6:B38)</f>
        <v>0</v>
      </c>
      <c r="B38" t="s">
        <v>988</v>
      </c>
      <c r="C38" t="s">
        <v>892</v>
      </c>
      <c r="D38">
        <v>5376.0830000000005</v>
      </c>
      <c r="E38">
        <v>4652.4819999999991</v>
      </c>
      <c r="F38">
        <v>18096.315000000002</v>
      </c>
      <c r="G38">
        <v>6621.1710000000003</v>
      </c>
      <c r="H38">
        <v>13775.653</v>
      </c>
      <c r="I38">
        <v>8212.83</v>
      </c>
      <c r="J38">
        <v>9836.7749999999978</v>
      </c>
      <c r="K38">
        <v>8579.4689999999991</v>
      </c>
      <c r="L38">
        <v>12971.638000000001</v>
      </c>
      <c r="M38">
        <v>6193.9000000000005</v>
      </c>
      <c r="N38">
        <v>6250.5070000000005</v>
      </c>
      <c r="O38">
        <v>6193.9000000000005</v>
      </c>
      <c r="P38">
        <v>791.92999999999984</v>
      </c>
      <c r="Q38">
        <v>234.9500000000001</v>
      </c>
      <c r="R38">
        <v>9104.0099999999984</v>
      </c>
      <c r="S38">
        <v>235.13999999999984</v>
      </c>
      <c r="T38">
        <v>1051.0000000000002</v>
      </c>
      <c r="U38">
        <v>29124.48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s="164">
        <v>40817</v>
      </c>
      <c r="AC38" s="164">
        <v>41639</v>
      </c>
      <c r="AD38" s="164">
        <v>3</v>
      </c>
      <c r="AE38" s="34">
        <f>SUMPRODUCT(DB_STProjectsSOF[[#This Row],[Plan01]:[Plan12]],$D$4:$O$4)/valUnits2</f>
        <v>56.734533999999996</v>
      </c>
      <c r="AF38" s="34">
        <f>SUMPRODUCT(DB_STProjectsSOF[[#This Row],[Act01]:[Act12]],$P$4:$AA$4)/valUnits2</f>
        <v>40.541509999999995</v>
      </c>
      <c r="AG38" s="34">
        <f>DB_STProjectsSOF[[#This Row],[Actual]]-DB_STProjectsSOF[[#This Row],[Plan]]</f>
        <v>-16.193024000000001</v>
      </c>
      <c r="AH38" s="34">
        <f>IF(DB_STProjectsSOF[[#This Row],[Plan]]&lt;&gt;0,DB_STProjectsSOF[[#This Row],[Actual]]/DB_STProjectsSOF[[#This Row],[Plan]],1.000011000011)</f>
        <v>0.7145825856258905</v>
      </c>
      <c r="AI38" s="34">
        <f>SUM(DB_STProjectsSOF[[#This Row],[Plan01]:[Plan12]])/valUnits2</f>
        <v>106.76072299999998</v>
      </c>
      <c r="AJ38" s="34">
        <f>SUMPRODUCT(DB_STProjectsSOF[[#This Row],[Act01]:[Act12]],$P$3:$AA$3)/valUnits2</f>
        <v>40.541509999999995</v>
      </c>
      <c r="AK38" s="34">
        <f>IF(DB_STProjectsSOF[[#This Row],[FY Plan]]&lt;&gt;0,DB_STProjectsSOF[[#This Row],[FY Actuals]]/DB_STProjectsSOF[[#This Row],[FY Plan]],1.000011000011)</f>
        <v>0.37974180823035453</v>
      </c>
    </row>
    <row r="39" spans="1:37" hidden="1" x14ac:dyDescent="0.2">
      <c r="A39">
        <f>SUBTOTAL(3,$B$6:B39)</f>
        <v>0</v>
      </c>
      <c r="B39" t="s">
        <v>988</v>
      </c>
      <c r="C39" t="s">
        <v>896</v>
      </c>
      <c r="D39">
        <v>35875.718999999997</v>
      </c>
      <c r="E39">
        <v>-29164.635999999995</v>
      </c>
      <c r="F39">
        <v>138911.916</v>
      </c>
      <c r="G39">
        <v>69921.356000000014</v>
      </c>
      <c r="H39">
        <v>62340.483999999989</v>
      </c>
      <c r="I39">
        <v>43275.436999999991</v>
      </c>
      <c r="J39">
        <v>49523.081999999988</v>
      </c>
      <c r="K39">
        <v>49523.081999999988</v>
      </c>
      <c r="L39">
        <v>49523.08199999998</v>
      </c>
      <c r="M39">
        <v>46059.184000000001</v>
      </c>
      <c r="N39">
        <v>46059.183999999994</v>
      </c>
      <c r="O39">
        <v>46059.183999999994</v>
      </c>
      <c r="P39">
        <v>35875.589999999997</v>
      </c>
      <c r="Q39">
        <v>-28671.71</v>
      </c>
      <c r="R39">
        <v>137910.50999999998</v>
      </c>
      <c r="S39">
        <v>70258.170000000013</v>
      </c>
      <c r="T39">
        <v>62596.359999999993</v>
      </c>
      <c r="U39">
        <v>3955.0900000000024</v>
      </c>
      <c r="V39">
        <v>757</v>
      </c>
      <c r="W39">
        <v>0</v>
      </c>
      <c r="X39">
        <v>0</v>
      </c>
      <c r="Y39">
        <v>0</v>
      </c>
      <c r="Z39">
        <v>0</v>
      </c>
      <c r="AA39">
        <v>0</v>
      </c>
      <c r="AB39" s="164">
        <v>40817</v>
      </c>
      <c r="AC39" s="164">
        <v>41639</v>
      </c>
      <c r="AD39" s="164">
        <v>41820</v>
      </c>
      <c r="AE39" s="34">
        <f>SUMPRODUCT(DB_STProjectsSOF[[#This Row],[Plan01]:[Plan12]],$D$4:$O$4)/valUnits2</f>
        <v>321.16027600000001</v>
      </c>
      <c r="AF39" s="34">
        <f>SUMPRODUCT(DB_STProjectsSOF[[#This Row],[Act01]:[Act12]],$P$4:$AA$4)/valUnits2</f>
        <v>281.92401000000001</v>
      </c>
      <c r="AG39" s="34">
        <f>DB_STProjectsSOF[[#This Row],[Actual]]-DB_STProjectsSOF[[#This Row],[Plan]]</f>
        <v>-39.236266000000001</v>
      </c>
      <c r="AH39" s="34">
        <f>IF(DB_STProjectsSOF[[#This Row],[Plan]]&lt;&gt;0,DB_STProjectsSOF[[#This Row],[Actual]]/DB_STProjectsSOF[[#This Row],[Plan]],1.000011000011)</f>
        <v>0.87782964167087718</v>
      </c>
      <c r="AI39" s="34">
        <f>SUM(DB_STProjectsSOF[[#This Row],[Plan01]:[Plan12]])/valUnits2</f>
        <v>607.90707399999997</v>
      </c>
      <c r="AJ39" s="34">
        <f>SUMPRODUCT(DB_STProjectsSOF[[#This Row],[Act01]:[Act12]],$P$3:$AA$3)/valUnits2</f>
        <v>281.92401000000001</v>
      </c>
      <c r="AK39" s="34">
        <f>IF(DB_STProjectsSOF[[#This Row],[FY Plan]]&lt;&gt;0,DB_STProjectsSOF[[#This Row],[FY Actuals]]/DB_STProjectsSOF[[#This Row],[FY Plan]],1.000011000011)</f>
        <v>0.46376168670805767</v>
      </c>
    </row>
    <row r="40" spans="1:37" hidden="1" x14ac:dyDescent="0.2">
      <c r="A40">
        <f>SUBTOTAL(3,$B$6:B40)</f>
        <v>0</v>
      </c>
      <c r="B40" t="s">
        <v>988</v>
      </c>
      <c r="C40" t="s">
        <v>899</v>
      </c>
      <c r="D40">
        <v>-12.531000000000001</v>
      </c>
      <c r="E40">
        <v>2.5430000000000001</v>
      </c>
      <c r="G40">
        <v>252.79300000000001</v>
      </c>
      <c r="H40">
        <v>816.20299999999997</v>
      </c>
      <c r="P40">
        <v>-12.53</v>
      </c>
      <c r="Q40">
        <v>2.54</v>
      </c>
      <c r="S40">
        <v>254.21</v>
      </c>
      <c r="T40">
        <v>820.17</v>
      </c>
      <c r="AB40" s="164">
        <v>40909</v>
      </c>
      <c r="AC40" s="164">
        <v>41639</v>
      </c>
      <c r="AD40" s="164">
        <v>41729</v>
      </c>
      <c r="AE40" s="34">
        <f>SUMPRODUCT(DB_STProjectsSOF[[#This Row],[Plan01]:[Plan12]],$D$4:$O$4)/valUnits2</f>
        <v>1.0590079999999999</v>
      </c>
      <c r="AF40" s="34">
        <f>SUMPRODUCT(DB_STProjectsSOF[[#This Row],[Act01]:[Act12]],$P$4:$AA$4)/valUnits2</f>
        <v>1.0643899999999999</v>
      </c>
      <c r="AG40" s="34">
        <f>DB_STProjectsSOF[[#This Row],[Actual]]-DB_STProjectsSOF[[#This Row],[Plan]]</f>
        <v>5.3819999999999979E-3</v>
      </c>
      <c r="AH40" s="34">
        <f>IF(DB_STProjectsSOF[[#This Row],[Plan]]&lt;&gt;0,DB_STProjectsSOF[[#This Row],[Actual]]/DB_STProjectsSOF[[#This Row],[Plan]],1.000011000011)</f>
        <v>1.0050821145827038</v>
      </c>
      <c r="AI40" s="34">
        <f>SUM(DB_STProjectsSOF[[#This Row],[Plan01]:[Plan12]])/valUnits2</f>
        <v>1.0590079999999999</v>
      </c>
      <c r="AJ40" s="34">
        <f>SUMPRODUCT(DB_STProjectsSOF[[#This Row],[Act01]:[Act12]],$P$3:$AA$3)/valUnits2</f>
        <v>1.0643899999999999</v>
      </c>
      <c r="AK40" s="34">
        <f>IF(DB_STProjectsSOF[[#This Row],[FY Plan]]&lt;&gt;0,DB_STProjectsSOF[[#This Row],[FY Actuals]]/DB_STProjectsSOF[[#This Row],[FY Plan]],1.000011000011)</f>
        <v>1.0050821145827038</v>
      </c>
    </row>
    <row r="41" spans="1:37" hidden="1" x14ac:dyDescent="0.2">
      <c r="A41">
        <f>SUBTOTAL(3,$B$6:B41)</f>
        <v>0</v>
      </c>
      <c r="B41" t="s">
        <v>982</v>
      </c>
      <c r="C41" t="s">
        <v>847</v>
      </c>
      <c r="H41">
        <v>9318.1869999999999</v>
      </c>
      <c r="I41">
        <v>0</v>
      </c>
      <c r="T41">
        <v>9526.64</v>
      </c>
      <c r="U41">
        <v>261.21999999999969</v>
      </c>
      <c r="AB41" s="164">
        <v>41334</v>
      </c>
      <c r="AC41" s="164">
        <v>41698</v>
      </c>
      <c r="AD41" s="164">
        <v>41759</v>
      </c>
      <c r="AE41" s="34">
        <f>SUMPRODUCT(DB_STProjectsSOF[[#This Row],[Plan01]:[Plan12]],$D$4:$O$4)/valUnits2</f>
        <v>9.318187</v>
      </c>
      <c r="AF41" s="34">
        <f>SUMPRODUCT(DB_STProjectsSOF[[#This Row],[Act01]:[Act12]],$P$4:$AA$4)/valUnits2</f>
        <v>9.7878599999999985</v>
      </c>
      <c r="AG41" s="34">
        <f>DB_STProjectsSOF[[#This Row],[Actual]]-DB_STProjectsSOF[[#This Row],[Plan]]</f>
        <v>0.46967299999999845</v>
      </c>
      <c r="AH41" s="34">
        <f>IF(DB_STProjectsSOF[[#This Row],[Plan]]&lt;&gt;0,DB_STProjectsSOF[[#This Row],[Actual]]/DB_STProjectsSOF[[#This Row],[Plan]],1.000011000011)</f>
        <v>1.050403903677829</v>
      </c>
      <c r="AI41" s="34">
        <f>SUM(DB_STProjectsSOF[[#This Row],[Plan01]:[Plan12]])/valUnits2</f>
        <v>9.318187</v>
      </c>
      <c r="AJ41" s="34">
        <f>SUMPRODUCT(DB_STProjectsSOF[[#This Row],[Act01]:[Act12]],$P$3:$AA$3)/valUnits2</f>
        <v>9.7878599999999985</v>
      </c>
      <c r="AK41" s="34">
        <f>IF(DB_STProjectsSOF[[#This Row],[FY Plan]]&lt;&gt;0,DB_STProjectsSOF[[#This Row],[FY Actuals]]/DB_STProjectsSOF[[#This Row],[FY Plan]],1.000011000011)</f>
        <v>1.050403903677829</v>
      </c>
    </row>
    <row r="42" spans="1:37" hidden="1" x14ac:dyDescent="0.2">
      <c r="A42">
        <f>SUBTOTAL(3,$B$6:B42)</f>
        <v>0</v>
      </c>
      <c r="B42" t="s">
        <v>982</v>
      </c>
      <c r="C42" t="s">
        <v>849</v>
      </c>
      <c r="I42">
        <v>0</v>
      </c>
      <c r="U42">
        <v>2522.2399999999998</v>
      </c>
      <c r="AB42" s="164">
        <v>41153</v>
      </c>
      <c r="AC42" s="164">
        <v>41364</v>
      </c>
      <c r="AD42" s="164">
        <v>41424</v>
      </c>
      <c r="AE42" s="34">
        <f>SUMPRODUCT(DB_STProjectsSOF[[#This Row],[Plan01]:[Plan12]],$D$4:$O$4)/valUnits2</f>
        <v>0</v>
      </c>
      <c r="AF42" s="34">
        <f>SUMPRODUCT(DB_STProjectsSOF[[#This Row],[Act01]:[Act12]],$P$4:$AA$4)/valUnits2</f>
        <v>2.5222399999999996</v>
      </c>
      <c r="AG42" s="34">
        <f>DB_STProjectsSOF[[#This Row],[Actual]]-DB_STProjectsSOF[[#This Row],[Plan]]</f>
        <v>2.5222399999999996</v>
      </c>
      <c r="AH42" s="34">
        <f>IF(DB_STProjectsSOF[[#This Row],[Plan]]&lt;&gt;0,DB_STProjectsSOF[[#This Row],[Actual]]/DB_STProjectsSOF[[#This Row],[Plan]],1.000011000011)</f>
        <v>1.0000110000110001</v>
      </c>
      <c r="AI42" s="34">
        <f>SUM(DB_STProjectsSOF[[#This Row],[Plan01]:[Plan12]])/valUnits2</f>
        <v>0</v>
      </c>
      <c r="AJ42" s="34">
        <f>SUMPRODUCT(DB_STProjectsSOF[[#This Row],[Act01]:[Act12]],$P$3:$AA$3)/valUnits2</f>
        <v>2.5222399999999996</v>
      </c>
      <c r="AK42" s="34">
        <f>IF(DB_STProjectsSOF[[#This Row],[FY Plan]]&lt;&gt;0,DB_STProjectsSOF[[#This Row],[FY Actuals]]/DB_STProjectsSOF[[#This Row],[FY Plan]],1.000011000011)</f>
        <v>1.0000110000110001</v>
      </c>
    </row>
    <row r="43" spans="1:37" hidden="1" x14ac:dyDescent="0.2">
      <c r="A43">
        <f>SUBTOTAL(3,$B$6:B43)</f>
        <v>0</v>
      </c>
      <c r="B43" t="s">
        <v>982</v>
      </c>
      <c r="C43" t="s">
        <v>858</v>
      </c>
      <c r="D43">
        <v>9289.7800000000007</v>
      </c>
      <c r="E43">
        <v>12542.31</v>
      </c>
      <c r="F43">
        <v>20923.069999999996</v>
      </c>
      <c r="G43">
        <v>18624.579999999994</v>
      </c>
      <c r="H43">
        <v>26249.159999999993</v>
      </c>
      <c r="I43">
        <v>49941.251000000004</v>
      </c>
      <c r="J43">
        <v>81607.917000000001</v>
      </c>
      <c r="K43">
        <v>52426.001000000004</v>
      </c>
      <c r="L43">
        <v>76327.081000000006</v>
      </c>
      <c r="M43">
        <v>59660.417000000001</v>
      </c>
      <c r="N43">
        <v>40993.751000000004</v>
      </c>
      <c r="O43">
        <v>40993.751000000004</v>
      </c>
      <c r="P43">
        <v>9289.7799999999988</v>
      </c>
      <c r="Q43">
        <v>12542.310000000003</v>
      </c>
      <c r="R43">
        <v>20923.069999999996</v>
      </c>
      <c r="S43">
        <v>18678.289999999997</v>
      </c>
      <c r="T43">
        <v>26309.48</v>
      </c>
      <c r="U43">
        <v>67009.650000000009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s="164">
        <v>41275</v>
      </c>
      <c r="AC43" s="164">
        <v>41639</v>
      </c>
      <c r="AD43" s="164">
        <v>41784</v>
      </c>
      <c r="AE43" s="34">
        <f>SUMPRODUCT(DB_STProjectsSOF[[#This Row],[Plan01]:[Plan12]],$D$4:$O$4)/valUnits2</f>
        <v>137.57015099999998</v>
      </c>
      <c r="AF43" s="34">
        <f>SUMPRODUCT(DB_STProjectsSOF[[#This Row],[Act01]:[Act12]],$P$4:$AA$4)/valUnits2</f>
        <v>154.75258000000002</v>
      </c>
      <c r="AG43" s="34">
        <f>DB_STProjectsSOF[[#This Row],[Actual]]-DB_STProjectsSOF[[#This Row],[Plan]]</f>
        <v>17.182429000000042</v>
      </c>
      <c r="AH43" s="34">
        <f>IF(DB_STProjectsSOF[[#This Row],[Plan]]&lt;&gt;0,DB_STProjectsSOF[[#This Row],[Actual]]/DB_STProjectsSOF[[#This Row],[Plan]],1.000011000011)</f>
        <v>1.1248993976898378</v>
      </c>
      <c r="AI43" s="34">
        <f>SUM(DB_STProjectsSOF[[#This Row],[Plan01]:[Plan12]])/valUnits2</f>
        <v>489.57906899999995</v>
      </c>
      <c r="AJ43" s="34">
        <f>SUMPRODUCT(DB_STProjectsSOF[[#This Row],[Act01]:[Act12]],$P$3:$AA$3)/valUnits2</f>
        <v>154.75258000000002</v>
      </c>
      <c r="AK43" s="34">
        <f>IF(DB_STProjectsSOF[[#This Row],[FY Plan]]&lt;&gt;0,DB_STProjectsSOF[[#This Row],[FY Actuals]]/DB_STProjectsSOF[[#This Row],[FY Plan]],1.000011000011)</f>
        <v>0.31609312938172207</v>
      </c>
    </row>
    <row r="44" spans="1:37" hidden="1" x14ac:dyDescent="0.2">
      <c r="A44">
        <f>SUBTOTAL(3,$B$6:B44)</f>
        <v>0</v>
      </c>
      <c r="B44" t="s">
        <v>982</v>
      </c>
      <c r="C44" t="s">
        <v>878</v>
      </c>
      <c r="D44">
        <v>4607.6589999999997</v>
      </c>
      <c r="E44">
        <v>9286.8230000000003</v>
      </c>
      <c r="F44">
        <v>11150.308000000001</v>
      </c>
      <c r="G44">
        <v>11737.119000000001</v>
      </c>
      <c r="H44">
        <v>11737.119000000001</v>
      </c>
      <c r="I44">
        <v>11737.119000000001</v>
      </c>
      <c r="J44">
        <v>11737.119000000001</v>
      </c>
      <c r="K44">
        <v>11737.119000000001</v>
      </c>
      <c r="L44">
        <v>11737.119000000001</v>
      </c>
      <c r="M44">
        <v>11737.119000000001</v>
      </c>
      <c r="N44">
        <v>11737.119000000001</v>
      </c>
      <c r="O44">
        <v>11737.119000000001</v>
      </c>
      <c r="P44">
        <v>4690.1800000000021</v>
      </c>
      <c r="Q44">
        <v>9261.7599999999984</v>
      </c>
      <c r="R44">
        <v>-695.09999999999991</v>
      </c>
      <c r="S44">
        <v>0</v>
      </c>
      <c r="T44">
        <v>0</v>
      </c>
      <c r="U44">
        <v>4060.4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s="164">
        <v>40969</v>
      </c>
      <c r="AC44" s="164">
        <v>41333</v>
      </c>
      <c r="AD44" s="164">
        <v>41364</v>
      </c>
      <c r="AE44" s="34">
        <f>SUMPRODUCT(DB_STProjectsSOF[[#This Row],[Plan01]:[Plan12]],$D$4:$O$4)/valUnits2</f>
        <v>60.256146999999999</v>
      </c>
      <c r="AF44" s="34">
        <f>SUMPRODUCT(DB_STProjectsSOF[[#This Row],[Act01]:[Act12]],$P$4:$AA$4)/valUnits2</f>
        <v>17.317240000000002</v>
      </c>
      <c r="AG44" s="34">
        <f>DB_STProjectsSOF[[#This Row],[Actual]]-DB_STProjectsSOF[[#This Row],[Plan]]</f>
        <v>-42.938907</v>
      </c>
      <c r="AH44" s="34">
        <f>IF(DB_STProjectsSOF[[#This Row],[Plan]]&lt;&gt;0,DB_STProjectsSOF[[#This Row],[Actual]]/DB_STProjectsSOF[[#This Row],[Plan]],1.000011000011)</f>
        <v>0.28739374922196737</v>
      </c>
      <c r="AI44" s="34">
        <f>SUM(DB_STProjectsSOF[[#This Row],[Plan01]:[Plan12]])/valUnits2</f>
        <v>130.67886100000004</v>
      </c>
      <c r="AJ44" s="34">
        <f>SUMPRODUCT(DB_STProjectsSOF[[#This Row],[Act01]:[Act12]],$P$3:$AA$3)/valUnits2</f>
        <v>17.317240000000002</v>
      </c>
      <c r="AK44" s="34">
        <f>IF(DB_STProjectsSOF[[#This Row],[FY Plan]]&lt;&gt;0,DB_STProjectsSOF[[#This Row],[FY Actuals]]/DB_STProjectsSOF[[#This Row],[FY Plan]],1.000011000011)</f>
        <v>0.13251753089583476</v>
      </c>
    </row>
    <row r="45" spans="1:37" hidden="1" x14ac:dyDescent="0.2">
      <c r="A45">
        <f>SUBTOTAL(3,$B$6:B45)</f>
        <v>0</v>
      </c>
      <c r="B45" t="s">
        <v>982</v>
      </c>
      <c r="C45" t="s">
        <v>880</v>
      </c>
      <c r="F45">
        <v>2413.0659999999998</v>
      </c>
      <c r="R45">
        <v>2383.13</v>
      </c>
      <c r="AB45" s="164">
        <v>40817</v>
      </c>
      <c r="AC45" s="164">
        <v>40967</v>
      </c>
      <c r="AD45" s="164">
        <v>40999</v>
      </c>
      <c r="AE45" s="34">
        <f>SUMPRODUCT(DB_STProjectsSOF[[#This Row],[Plan01]:[Plan12]],$D$4:$O$4)/valUnits2</f>
        <v>2.4130659999999997</v>
      </c>
      <c r="AF45" s="34">
        <f>SUMPRODUCT(DB_STProjectsSOF[[#This Row],[Act01]:[Act12]],$P$4:$AA$4)/valUnits2</f>
        <v>2.38313</v>
      </c>
      <c r="AG45" s="34">
        <f>DB_STProjectsSOF[[#This Row],[Actual]]-DB_STProjectsSOF[[#This Row],[Plan]]</f>
        <v>-2.9935999999999741E-2</v>
      </c>
      <c r="AH45" s="34">
        <f>IF(DB_STProjectsSOF[[#This Row],[Plan]]&lt;&gt;0,DB_STProjectsSOF[[#This Row],[Actual]]/DB_STProjectsSOF[[#This Row],[Plan]],1.000011000011)</f>
        <v>0.98759420587750202</v>
      </c>
      <c r="AI45" s="34">
        <f>SUM(DB_STProjectsSOF[[#This Row],[Plan01]:[Plan12]])/valUnits2</f>
        <v>2.4130659999999997</v>
      </c>
      <c r="AJ45" s="34">
        <f>SUMPRODUCT(DB_STProjectsSOF[[#This Row],[Act01]:[Act12]],$P$3:$AA$3)/valUnits2</f>
        <v>2.38313</v>
      </c>
      <c r="AK45" s="34">
        <f>IF(DB_STProjectsSOF[[#This Row],[FY Plan]]&lt;&gt;0,DB_STProjectsSOF[[#This Row],[FY Actuals]]/DB_STProjectsSOF[[#This Row],[FY Plan]],1.000011000011)</f>
        <v>0.98759420587750202</v>
      </c>
    </row>
    <row r="46" spans="1:37" hidden="1" x14ac:dyDescent="0.2">
      <c r="A46">
        <f>SUBTOTAL(3,$B$6:B46)</f>
        <v>0</v>
      </c>
      <c r="B46" t="s">
        <v>982</v>
      </c>
      <c r="C46" t="s">
        <v>884</v>
      </c>
      <c r="D46">
        <v>3583.3330000000001</v>
      </c>
      <c r="E46">
        <v>3583.3330000000001</v>
      </c>
      <c r="F46">
        <v>3583.3330000000001</v>
      </c>
      <c r="G46">
        <v>3583.3330000000001</v>
      </c>
      <c r="H46">
        <v>3583.3330000000001</v>
      </c>
      <c r="I46">
        <v>3583.3330000000001</v>
      </c>
      <c r="J46">
        <v>3583.3330000000001</v>
      </c>
      <c r="K46">
        <v>3583.3330000000001</v>
      </c>
      <c r="L46">
        <v>3583.3330000000001</v>
      </c>
      <c r="M46">
        <v>3583.3330000000001</v>
      </c>
      <c r="N46">
        <v>3583.3330000000001</v>
      </c>
      <c r="O46">
        <v>3583.3330000000001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s="164">
        <v>40909</v>
      </c>
      <c r="AC46" s="164">
        <v>41274</v>
      </c>
      <c r="AD46" s="164">
        <v>41364</v>
      </c>
      <c r="AE46" s="34">
        <f>SUMPRODUCT(DB_STProjectsSOF[[#This Row],[Plan01]:[Plan12]],$D$4:$O$4)/valUnits2</f>
        <v>21.499997999999998</v>
      </c>
      <c r="AF46" s="34">
        <f>SUMPRODUCT(DB_STProjectsSOF[[#This Row],[Act01]:[Act12]],$P$4:$AA$4)/valUnits2</f>
        <v>0</v>
      </c>
      <c r="AG46" s="34">
        <f>DB_STProjectsSOF[[#This Row],[Actual]]-DB_STProjectsSOF[[#This Row],[Plan]]</f>
        <v>-21.499997999999998</v>
      </c>
      <c r="AH46" s="34">
        <f>IF(DB_STProjectsSOF[[#This Row],[Plan]]&lt;&gt;0,DB_STProjectsSOF[[#This Row],[Actual]]/DB_STProjectsSOF[[#This Row],[Plan]],1.000011000011)</f>
        <v>0</v>
      </c>
      <c r="AI46" s="34">
        <f>SUM(DB_STProjectsSOF[[#This Row],[Plan01]:[Plan12]])/valUnits2</f>
        <v>42.999995999999989</v>
      </c>
      <c r="AJ46" s="34">
        <f>SUMPRODUCT(DB_STProjectsSOF[[#This Row],[Act01]:[Act12]],$P$3:$AA$3)/valUnits2</f>
        <v>0</v>
      </c>
      <c r="AK46" s="34">
        <f>IF(DB_STProjectsSOF[[#This Row],[FY Plan]]&lt;&gt;0,DB_STProjectsSOF[[#This Row],[FY Actuals]]/DB_STProjectsSOF[[#This Row],[FY Plan]],1.000011000011)</f>
        <v>0</v>
      </c>
    </row>
    <row r="47" spans="1:37" hidden="1" x14ac:dyDescent="0.2">
      <c r="A47">
        <f>SUBTOTAL(3,$B$6:B47)</f>
        <v>0</v>
      </c>
      <c r="B47" t="s">
        <v>982</v>
      </c>
      <c r="C47" t="s">
        <v>905</v>
      </c>
      <c r="D47">
        <v>878.56000000000006</v>
      </c>
      <c r="E47">
        <v>379.1</v>
      </c>
      <c r="F47">
        <v>664.37</v>
      </c>
      <c r="G47">
        <v>281.5</v>
      </c>
      <c r="H47">
        <v>-1741.9099999999999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878.56</v>
      </c>
      <c r="Q47">
        <v>379.1</v>
      </c>
      <c r="R47">
        <v>664.37</v>
      </c>
      <c r="S47">
        <v>281.5</v>
      </c>
      <c r="T47">
        <v>-1741.9099999999999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s="164">
        <v>40909</v>
      </c>
      <c r="AC47" s="164">
        <v>41274</v>
      </c>
      <c r="AD47" s="164">
        <v>41364</v>
      </c>
      <c r="AE47" s="34">
        <f>SUMPRODUCT(DB_STProjectsSOF[[#This Row],[Plan01]:[Plan12]],$D$4:$O$4)/valUnits2</f>
        <v>0.46162000000000036</v>
      </c>
      <c r="AF47" s="34">
        <f>SUMPRODUCT(DB_STProjectsSOF[[#This Row],[Act01]:[Act12]],$P$4:$AA$4)/valUnits2</f>
        <v>0.46161999999999986</v>
      </c>
      <c r="AG47" s="34">
        <f>DB_STProjectsSOF[[#This Row],[Actual]]-DB_STProjectsSOF[[#This Row],[Plan]]</f>
        <v>-4.9960036108132044E-16</v>
      </c>
      <c r="AH47" s="34">
        <f>IF(DB_STProjectsSOF[[#This Row],[Plan]]&lt;&gt;0,DB_STProjectsSOF[[#This Row],[Actual]]/DB_STProjectsSOF[[#This Row],[Plan]],1.000011000011)</f>
        <v>0.99999999999999889</v>
      </c>
      <c r="AI47" s="34">
        <f>SUM(DB_STProjectsSOF[[#This Row],[Plan01]:[Plan12]])/valUnits2</f>
        <v>0.46162000000000036</v>
      </c>
      <c r="AJ47" s="34">
        <f>SUMPRODUCT(DB_STProjectsSOF[[#This Row],[Act01]:[Act12]],$P$3:$AA$3)/valUnits2</f>
        <v>0.46161999999999986</v>
      </c>
      <c r="AK47" s="34">
        <f>IF(DB_STProjectsSOF[[#This Row],[FY Plan]]&lt;&gt;0,DB_STProjectsSOF[[#This Row],[FY Actuals]]/DB_STProjectsSOF[[#This Row],[FY Plan]],1.000011000011)</f>
        <v>0.99999999999999889</v>
      </c>
    </row>
    <row r="48" spans="1:37" hidden="1" x14ac:dyDescent="0.2">
      <c r="A48">
        <f>SUBTOTAL(3,$B$6:B48)</f>
        <v>0</v>
      </c>
      <c r="B48" t="s">
        <v>982</v>
      </c>
      <c r="C48" t="s">
        <v>915</v>
      </c>
      <c r="D48">
        <v>836.10100000000023</v>
      </c>
      <c r="E48">
        <v>873.02199999999891</v>
      </c>
      <c r="F48">
        <v>18501.332999999999</v>
      </c>
      <c r="G48">
        <v>826.87599999999895</v>
      </c>
      <c r="H48">
        <v>747.12899999999979</v>
      </c>
      <c r="I48">
        <v>7672.5240000000013</v>
      </c>
      <c r="J48">
        <v>8417.6970000000001</v>
      </c>
      <c r="K48">
        <v>9825.1029999999973</v>
      </c>
      <c r="L48">
        <v>8540.9849999999969</v>
      </c>
      <c r="M48">
        <v>8356.2069999999985</v>
      </c>
      <c r="N48">
        <v>8193.5389999999989</v>
      </c>
      <c r="O48">
        <v>7732.37</v>
      </c>
      <c r="P48">
        <v>840.48000000000047</v>
      </c>
      <c r="Q48">
        <v>894.10000000000161</v>
      </c>
      <c r="R48">
        <v>18327.32</v>
      </c>
      <c r="S48">
        <v>812.45000000000027</v>
      </c>
      <c r="T48">
        <v>755.46000000000163</v>
      </c>
      <c r="U48">
        <v>8135.7799999999988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s="164">
        <v>41061</v>
      </c>
      <c r="AC48" s="164">
        <v>42155</v>
      </c>
      <c r="AD48" s="164">
        <v>42185</v>
      </c>
      <c r="AE48" s="34">
        <f>SUMPRODUCT(DB_STProjectsSOF[[#This Row],[Plan01]:[Plan12]],$D$4:$O$4)/valUnits2</f>
        <v>29.456985</v>
      </c>
      <c r="AF48" s="34">
        <f>SUMPRODUCT(DB_STProjectsSOF[[#This Row],[Act01]:[Act12]],$P$4:$AA$4)/valUnits2</f>
        <v>29.765590000000003</v>
      </c>
      <c r="AG48" s="34">
        <f>DB_STProjectsSOF[[#This Row],[Actual]]-DB_STProjectsSOF[[#This Row],[Plan]]</f>
        <v>0.30860500000000357</v>
      </c>
      <c r="AH48" s="34">
        <f>IF(DB_STProjectsSOF[[#This Row],[Plan]]&lt;&gt;0,DB_STProjectsSOF[[#This Row],[Actual]]/DB_STProjectsSOF[[#This Row],[Plan]],1.000011000011)</f>
        <v>1.010476462543604</v>
      </c>
      <c r="AI48" s="34">
        <f>SUM(DB_STProjectsSOF[[#This Row],[Plan01]:[Plan12]])/valUnits2</f>
        <v>80.522885999999986</v>
      </c>
      <c r="AJ48" s="34">
        <f>SUMPRODUCT(DB_STProjectsSOF[[#This Row],[Act01]:[Act12]],$P$3:$AA$3)/valUnits2</f>
        <v>29.765590000000003</v>
      </c>
      <c r="AK48" s="34">
        <f>IF(DB_STProjectsSOF[[#This Row],[FY Plan]]&lt;&gt;0,DB_STProjectsSOF[[#This Row],[FY Actuals]]/DB_STProjectsSOF[[#This Row],[FY Plan]],1.000011000011)</f>
        <v>0.36965379010384708</v>
      </c>
    </row>
    <row r="49" spans="1:37" hidden="1" x14ac:dyDescent="0.2">
      <c r="A49">
        <f>SUBTOTAL(3,$B$6:B49)</f>
        <v>0</v>
      </c>
      <c r="B49" t="s">
        <v>982</v>
      </c>
      <c r="C49" t="s">
        <v>927</v>
      </c>
      <c r="D49">
        <v>421561.88</v>
      </c>
      <c r="E49">
        <v>77134.140000000014</v>
      </c>
      <c r="F49">
        <v>51545.089999999982</v>
      </c>
      <c r="G49">
        <v>84373.52</v>
      </c>
      <c r="H49">
        <v>301200.41000000003</v>
      </c>
      <c r="I49">
        <v>252451.99900000001</v>
      </c>
      <c r="J49">
        <v>144687.666</v>
      </c>
      <c r="K49">
        <v>144687.666</v>
      </c>
      <c r="L49">
        <v>144687.666</v>
      </c>
      <c r="M49">
        <v>144687.666</v>
      </c>
      <c r="N49">
        <v>144687.666</v>
      </c>
      <c r="O49">
        <v>144687.666</v>
      </c>
      <c r="P49">
        <v>421561.88000000006</v>
      </c>
      <c r="Q49">
        <v>77197.39</v>
      </c>
      <c r="R49">
        <v>51545.090000000011</v>
      </c>
      <c r="S49">
        <v>84373.520000000033</v>
      </c>
      <c r="T49">
        <v>301200.41000000003</v>
      </c>
      <c r="U49">
        <v>136076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s="164">
        <v>40817</v>
      </c>
      <c r="AC49" s="164">
        <v>42052</v>
      </c>
      <c r="AD49" s="164">
        <v>42141</v>
      </c>
      <c r="AE49" s="34">
        <f>SUMPRODUCT(DB_STProjectsSOF[[#This Row],[Plan01]:[Plan12]],$D$4:$O$4)/valUnits2</f>
        <v>1188.2670390000001</v>
      </c>
      <c r="AF49" s="34">
        <f>SUMPRODUCT(DB_STProjectsSOF[[#This Row],[Act01]:[Act12]],$P$4:$AA$4)/valUnits2</f>
        <v>1071.9542900000001</v>
      </c>
      <c r="AG49" s="34">
        <f>DB_STProjectsSOF[[#This Row],[Actual]]-DB_STProjectsSOF[[#This Row],[Plan]]</f>
        <v>-116.31274899999994</v>
      </c>
      <c r="AH49" s="34">
        <f>IF(DB_STProjectsSOF[[#This Row],[Plan]]&lt;&gt;0,DB_STProjectsSOF[[#This Row],[Actual]]/DB_STProjectsSOF[[#This Row],[Plan]],1.000011000011)</f>
        <v>0.90211564809717837</v>
      </c>
      <c r="AI49" s="34">
        <f>SUM(DB_STProjectsSOF[[#This Row],[Plan01]:[Plan12]])/valUnits2</f>
        <v>2056.3930350000001</v>
      </c>
      <c r="AJ49" s="34">
        <f>SUMPRODUCT(DB_STProjectsSOF[[#This Row],[Act01]:[Act12]],$P$3:$AA$3)/valUnits2</f>
        <v>1071.9542900000001</v>
      </c>
      <c r="AK49" s="34">
        <f>IF(DB_STProjectsSOF[[#This Row],[FY Plan]]&lt;&gt;0,DB_STProjectsSOF[[#This Row],[FY Actuals]]/DB_STProjectsSOF[[#This Row],[FY Plan]],1.000011000011)</f>
        <v>0.52127889550063566</v>
      </c>
    </row>
    <row r="50" spans="1:37" hidden="1" x14ac:dyDescent="0.2">
      <c r="A50">
        <f>SUBTOTAL(3,$B$6:B50)</f>
        <v>0</v>
      </c>
      <c r="B50" t="s">
        <v>972</v>
      </c>
      <c r="C50" t="s">
        <v>858</v>
      </c>
      <c r="D50">
        <v>0</v>
      </c>
      <c r="E50">
        <v>0</v>
      </c>
      <c r="F50">
        <v>0</v>
      </c>
      <c r="G50">
        <v>0</v>
      </c>
      <c r="H50">
        <v>114.91</v>
      </c>
      <c r="I50">
        <v>350</v>
      </c>
      <c r="J50">
        <v>350</v>
      </c>
      <c r="K50">
        <v>350</v>
      </c>
      <c r="L50">
        <v>350</v>
      </c>
      <c r="M50">
        <v>350</v>
      </c>
      <c r="N50">
        <v>350</v>
      </c>
      <c r="O50">
        <v>350</v>
      </c>
      <c r="P50">
        <v>0</v>
      </c>
      <c r="Q50">
        <v>0</v>
      </c>
      <c r="R50">
        <v>0</v>
      </c>
      <c r="S50">
        <v>0</v>
      </c>
      <c r="T50">
        <v>114.91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s="164">
        <v>41275</v>
      </c>
      <c r="AC50" s="164">
        <v>41639</v>
      </c>
      <c r="AD50" s="164">
        <v>41784</v>
      </c>
      <c r="AE50" s="34">
        <f>SUMPRODUCT(DB_STProjectsSOF[[#This Row],[Plan01]:[Plan12]],$D$4:$O$4)/valUnits2</f>
        <v>0.46490999999999999</v>
      </c>
      <c r="AF50" s="34">
        <f>SUMPRODUCT(DB_STProjectsSOF[[#This Row],[Act01]:[Act12]],$P$4:$AA$4)/valUnits2</f>
        <v>0.11491</v>
      </c>
      <c r="AG50" s="34">
        <f>DB_STProjectsSOF[[#This Row],[Actual]]-DB_STProjectsSOF[[#This Row],[Plan]]</f>
        <v>-0.35</v>
      </c>
      <c r="AH50" s="34">
        <f>IF(DB_STProjectsSOF[[#This Row],[Plan]]&lt;&gt;0,DB_STProjectsSOF[[#This Row],[Actual]]/DB_STProjectsSOF[[#This Row],[Plan]],1.000011000011)</f>
        <v>0.24716611817340992</v>
      </c>
      <c r="AI50" s="34">
        <f>SUM(DB_STProjectsSOF[[#This Row],[Plan01]:[Plan12]])/valUnits2</f>
        <v>2.5649099999999998</v>
      </c>
      <c r="AJ50" s="34">
        <f>SUMPRODUCT(DB_STProjectsSOF[[#This Row],[Act01]:[Act12]],$P$3:$AA$3)/valUnits2</f>
        <v>0.11491</v>
      </c>
      <c r="AK50" s="34">
        <f>IF(DB_STProjectsSOF[[#This Row],[FY Plan]]&lt;&gt;0,DB_STProjectsSOF[[#This Row],[FY Actuals]]/DB_STProjectsSOF[[#This Row],[FY Plan]],1.000011000011)</f>
        <v>4.4800792230526611E-2</v>
      </c>
    </row>
    <row r="51" spans="1:37" hidden="1" x14ac:dyDescent="0.2">
      <c r="A51">
        <f>SUBTOTAL(3,$B$6:B51)</f>
        <v>0</v>
      </c>
      <c r="B51" t="s">
        <v>986</v>
      </c>
      <c r="C51" t="s">
        <v>841</v>
      </c>
      <c r="D51">
        <v>242.49</v>
      </c>
      <c r="E51">
        <v>3022.9</v>
      </c>
      <c r="F51">
        <v>2635.7200000000003</v>
      </c>
      <c r="G51">
        <v>1532.2499999999998</v>
      </c>
      <c r="H51">
        <v>1635.31</v>
      </c>
      <c r="P51">
        <v>242.49</v>
      </c>
      <c r="Q51">
        <v>3022.9</v>
      </c>
      <c r="R51">
        <v>2635.7200000000003</v>
      </c>
      <c r="S51">
        <v>1532.2499999999998</v>
      </c>
      <c r="T51">
        <v>1635.31</v>
      </c>
      <c r="AB51" s="164">
        <v>40817</v>
      </c>
      <c r="AC51" s="164">
        <v>41364</v>
      </c>
      <c r="AD51" s="164">
        <v>41394</v>
      </c>
      <c r="AE51" s="34">
        <f>SUMPRODUCT(DB_STProjectsSOF[[#This Row],[Plan01]:[Plan12]],$D$4:$O$4)/valUnits2</f>
        <v>9.0686700000000009</v>
      </c>
      <c r="AF51" s="34">
        <f>SUMPRODUCT(DB_STProjectsSOF[[#This Row],[Act01]:[Act12]],$P$4:$AA$4)/valUnits2</f>
        <v>9.0686700000000009</v>
      </c>
      <c r="AG51" s="34">
        <f>DB_STProjectsSOF[[#This Row],[Actual]]-DB_STProjectsSOF[[#This Row],[Plan]]</f>
        <v>0</v>
      </c>
      <c r="AH51" s="34">
        <f>IF(DB_STProjectsSOF[[#This Row],[Plan]]&lt;&gt;0,DB_STProjectsSOF[[#This Row],[Actual]]/DB_STProjectsSOF[[#This Row],[Plan]],1.000011000011)</f>
        <v>1</v>
      </c>
      <c r="AI51" s="34">
        <f>SUM(DB_STProjectsSOF[[#This Row],[Plan01]:[Plan12]])/valUnits2</f>
        <v>9.0686700000000009</v>
      </c>
      <c r="AJ51" s="34">
        <f>SUMPRODUCT(DB_STProjectsSOF[[#This Row],[Act01]:[Act12]],$P$3:$AA$3)/valUnits2</f>
        <v>9.0686700000000009</v>
      </c>
      <c r="AK51" s="34">
        <f>IF(DB_STProjectsSOF[[#This Row],[FY Plan]]&lt;&gt;0,DB_STProjectsSOF[[#This Row],[FY Actuals]]/DB_STProjectsSOF[[#This Row],[FY Plan]],1.000011000011)</f>
        <v>1</v>
      </c>
    </row>
    <row r="52" spans="1:37" hidden="1" x14ac:dyDescent="0.2">
      <c r="A52">
        <f>SUBTOTAL(3,$B$6:B52)</f>
        <v>0</v>
      </c>
      <c r="B52" t="s">
        <v>986</v>
      </c>
      <c r="C52" t="s">
        <v>858</v>
      </c>
      <c r="D52">
        <v>8409.89</v>
      </c>
      <c r="E52">
        <v>10451.390000000001</v>
      </c>
      <c r="F52">
        <v>14874.890000000003</v>
      </c>
      <c r="G52">
        <v>21709.649999999998</v>
      </c>
      <c r="H52">
        <v>16403.12</v>
      </c>
      <c r="I52">
        <v>45556.940999999999</v>
      </c>
      <c r="J52">
        <v>70823.607000000004</v>
      </c>
      <c r="K52">
        <v>49038.190999999999</v>
      </c>
      <c r="L52">
        <v>47156.940999999999</v>
      </c>
      <c r="M52">
        <v>83535.987999999998</v>
      </c>
      <c r="N52">
        <v>43556.940999999999</v>
      </c>
      <c r="O52">
        <v>87092.271000000008</v>
      </c>
      <c r="P52">
        <v>8409.89</v>
      </c>
      <c r="Q52">
        <v>10451.390000000001</v>
      </c>
      <c r="R52">
        <v>14874.890000000007</v>
      </c>
      <c r="S52">
        <v>21763.360000000004</v>
      </c>
      <c r="T52">
        <v>16463.439999999999</v>
      </c>
      <c r="U52">
        <v>62406.180000000015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s="164">
        <v>41275</v>
      </c>
      <c r="AC52" s="164">
        <v>41639</v>
      </c>
      <c r="AD52" s="164">
        <v>41784</v>
      </c>
      <c r="AE52" s="34">
        <f>SUMPRODUCT(DB_STProjectsSOF[[#This Row],[Plan01]:[Plan12]],$D$4:$O$4)/valUnits2</f>
        <v>117.40588099999999</v>
      </c>
      <c r="AF52" s="34">
        <f>SUMPRODUCT(DB_STProjectsSOF[[#This Row],[Act01]:[Act12]],$P$4:$AA$4)/valUnits2</f>
        <v>134.36915000000002</v>
      </c>
      <c r="AG52" s="34">
        <f>DB_STProjectsSOF[[#This Row],[Actual]]-DB_STProjectsSOF[[#This Row],[Plan]]</f>
        <v>16.963269000000025</v>
      </c>
      <c r="AH52" s="34">
        <f>IF(DB_STProjectsSOF[[#This Row],[Plan]]&lt;&gt;0,DB_STProjectsSOF[[#This Row],[Actual]]/DB_STProjectsSOF[[#This Row],[Plan]],1.000011000011)</f>
        <v>1.1444839803212246</v>
      </c>
      <c r="AI52" s="34">
        <f>SUM(DB_STProjectsSOF[[#This Row],[Plan01]:[Plan12]])/valUnits2</f>
        <v>498.60982000000001</v>
      </c>
      <c r="AJ52" s="34">
        <f>SUMPRODUCT(DB_STProjectsSOF[[#This Row],[Act01]:[Act12]],$P$3:$AA$3)/valUnits2</f>
        <v>134.36915000000002</v>
      </c>
      <c r="AK52" s="34">
        <f>IF(DB_STProjectsSOF[[#This Row],[FY Plan]]&lt;&gt;0,DB_STProjectsSOF[[#This Row],[FY Actuals]]/DB_STProjectsSOF[[#This Row],[FY Plan]],1.000011000011)</f>
        <v>0.26948757246698435</v>
      </c>
    </row>
    <row r="53" spans="1:37" hidden="1" x14ac:dyDescent="0.2">
      <c r="A53">
        <f>SUBTOTAL(3,$B$6:B53)</f>
        <v>0</v>
      </c>
      <c r="B53" t="s">
        <v>986</v>
      </c>
      <c r="C53" t="s">
        <v>905</v>
      </c>
      <c r="D53">
        <v>1378.1100000000001</v>
      </c>
      <c r="E53">
        <v>0</v>
      </c>
      <c r="F53">
        <v>2268.04</v>
      </c>
      <c r="G53">
        <v>281.51</v>
      </c>
      <c r="H53">
        <v>-3271.72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1378.1100000000001</v>
      </c>
      <c r="Q53">
        <v>0</v>
      </c>
      <c r="R53">
        <v>2268.04</v>
      </c>
      <c r="S53">
        <v>281.51</v>
      </c>
      <c r="T53">
        <v>-3271.72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s="164">
        <v>40909</v>
      </c>
      <c r="AC53" s="164">
        <v>41274</v>
      </c>
      <c r="AD53" s="164">
        <v>41364</v>
      </c>
      <c r="AE53" s="34">
        <f>SUMPRODUCT(DB_STProjectsSOF[[#This Row],[Plan01]:[Plan12]],$D$4:$O$4)/valUnits2</f>
        <v>0.65594000000000008</v>
      </c>
      <c r="AF53" s="34">
        <f>SUMPRODUCT(DB_STProjectsSOF[[#This Row],[Act01]:[Act12]],$P$4:$AA$4)/valUnits2</f>
        <v>0.65594000000000008</v>
      </c>
      <c r="AG53" s="34">
        <f>DB_STProjectsSOF[[#This Row],[Actual]]-DB_STProjectsSOF[[#This Row],[Plan]]</f>
        <v>0</v>
      </c>
      <c r="AH53" s="34">
        <f>IF(DB_STProjectsSOF[[#This Row],[Plan]]&lt;&gt;0,DB_STProjectsSOF[[#This Row],[Actual]]/DB_STProjectsSOF[[#This Row],[Plan]],1.000011000011)</f>
        <v>1</v>
      </c>
      <c r="AI53" s="34">
        <f>SUM(DB_STProjectsSOF[[#This Row],[Plan01]:[Plan12]])/valUnits2</f>
        <v>0.65594000000000008</v>
      </c>
      <c r="AJ53" s="34">
        <f>SUMPRODUCT(DB_STProjectsSOF[[#This Row],[Act01]:[Act12]],$P$3:$AA$3)/valUnits2</f>
        <v>0.65594000000000008</v>
      </c>
      <c r="AK53" s="34">
        <f>IF(DB_STProjectsSOF[[#This Row],[FY Plan]]&lt;&gt;0,DB_STProjectsSOF[[#This Row],[FY Actuals]]/DB_STProjectsSOF[[#This Row],[FY Plan]],1.000011000011)</f>
        <v>1</v>
      </c>
    </row>
    <row r="54" spans="1:37" hidden="1" x14ac:dyDescent="0.2">
      <c r="A54">
        <f>SUBTOTAL(3,$B$6:B54)</f>
        <v>0</v>
      </c>
      <c r="B54" t="s">
        <v>986</v>
      </c>
      <c r="C54" t="s">
        <v>927</v>
      </c>
      <c r="D54">
        <v>1903.01</v>
      </c>
      <c r="E54">
        <v>2075.96</v>
      </c>
      <c r="F54">
        <v>1963.66</v>
      </c>
      <c r="G54">
        <v>1983.36</v>
      </c>
      <c r="H54">
        <v>2249.69</v>
      </c>
      <c r="I54">
        <v>0</v>
      </c>
      <c r="P54">
        <v>1903.01</v>
      </c>
      <c r="Q54">
        <v>2075.96</v>
      </c>
      <c r="R54">
        <v>1963.66</v>
      </c>
      <c r="S54">
        <v>1983.36</v>
      </c>
      <c r="T54">
        <v>2249.69</v>
      </c>
      <c r="U54">
        <v>3200.6400000000003</v>
      </c>
      <c r="AB54" s="164">
        <v>40817</v>
      </c>
      <c r="AC54" s="164">
        <v>42052</v>
      </c>
      <c r="AD54" s="164">
        <v>42141</v>
      </c>
      <c r="AE54" s="34">
        <f>SUMPRODUCT(DB_STProjectsSOF[[#This Row],[Plan01]:[Plan12]],$D$4:$O$4)/valUnits2</f>
        <v>10.17568</v>
      </c>
      <c r="AF54" s="34">
        <f>SUMPRODUCT(DB_STProjectsSOF[[#This Row],[Act01]:[Act12]],$P$4:$AA$4)/valUnits2</f>
        <v>13.37632</v>
      </c>
      <c r="AG54" s="34">
        <f>DB_STProjectsSOF[[#This Row],[Actual]]-DB_STProjectsSOF[[#This Row],[Plan]]</f>
        <v>3.2006399999999999</v>
      </c>
      <c r="AH54" s="34">
        <f>IF(DB_STProjectsSOF[[#This Row],[Plan]]&lt;&gt;0,DB_STProjectsSOF[[#This Row],[Actual]]/DB_STProjectsSOF[[#This Row],[Plan]],1.000011000011)</f>
        <v>1.3145381930249378</v>
      </c>
      <c r="AI54" s="34">
        <f>SUM(DB_STProjectsSOF[[#This Row],[Plan01]:[Plan12]])/valUnits2</f>
        <v>10.17568</v>
      </c>
      <c r="AJ54" s="34">
        <f>SUMPRODUCT(DB_STProjectsSOF[[#This Row],[Act01]:[Act12]],$P$3:$AA$3)/valUnits2</f>
        <v>13.37632</v>
      </c>
      <c r="AK54" s="34">
        <f>IF(DB_STProjectsSOF[[#This Row],[FY Plan]]&lt;&gt;0,DB_STProjectsSOF[[#This Row],[FY Actuals]]/DB_STProjectsSOF[[#This Row],[FY Plan]],1.000011000011)</f>
        <v>1.3145381930249378</v>
      </c>
    </row>
    <row r="55" spans="1:37" hidden="1" x14ac:dyDescent="0.2">
      <c r="A55">
        <f>SUBTOTAL(3,$B$6:B55)</f>
        <v>0</v>
      </c>
      <c r="B55" t="s">
        <v>998</v>
      </c>
      <c r="C55" t="s">
        <v>842</v>
      </c>
      <c r="G55">
        <v>738.07400000000007</v>
      </c>
      <c r="H55">
        <v>577.58100000000002</v>
      </c>
      <c r="I55">
        <v>0</v>
      </c>
      <c r="J55">
        <v>0</v>
      </c>
      <c r="S55">
        <v>734.22</v>
      </c>
      <c r="T55">
        <v>570.83000000000004</v>
      </c>
      <c r="U55">
        <v>654.99</v>
      </c>
      <c r="V55">
        <v>3097</v>
      </c>
      <c r="AB55" s="164">
        <v>41214</v>
      </c>
      <c r="AC55" s="164">
        <v>42308</v>
      </c>
      <c r="AD55" s="164">
        <v>42389</v>
      </c>
      <c r="AE55" s="34">
        <f>SUMPRODUCT(DB_STProjectsSOF[[#This Row],[Plan01]:[Plan12]],$D$4:$O$4)/valUnits2</f>
        <v>1.3156550000000002</v>
      </c>
      <c r="AF55" s="34">
        <f>SUMPRODUCT(DB_STProjectsSOF[[#This Row],[Act01]:[Act12]],$P$4:$AA$4)/valUnits2</f>
        <v>1.9600400000000002</v>
      </c>
      <c r="AG55" s="34">
        <f>DB_STProjectsSOF[[#This Row],[Actual]]-DB_STProjectsSOF[[#This Row],[Plan]]</f>
        <v>0.64438499999999999</v>
      </c>
      <c r="AH55" s="34">
        <f>IF(DB_STProjectsSOF[[#This Row],[Plan]]&lt;&gt;0,DB_STProjectsSOF[[#This Row],[Actual]]/DB_STProjectsSOF[[#This Row],[Plan]],1.000011000011)</f>
        <v>1.4897826557874214</v>
      </c>
      <c r="AI55" s="34">
        <f>SUM(DB_STProjectsSOF[[#This Row],[Plan01]:[Plan12]])/valUnits2</f>
        <v>1.3156550000000002</v>
      </c>
      <c r="AJ55" s="34">
        <f>SUMPRODUCT(DB_STProjectsSOF[[#This Row],[Act01]:[Act12]],$P$3:$AA$3)/valUnits2</f>
        <v>1.9600400000000002</v>
      </c>
      <c r="AK55" s="34">
        <f>IF(DB_STProjectsSOF[[#This Row],[FY Plan]]&lt;&gt;0,DB_STProjectsSOF[[#This Row],[FY Actuals]]/DB_STProjectsSOF[[#This Row],[FY Plan]],1.000011000011)</f>
        <v>1.4897826557874214</v>
      </c>
    </row>
    <row r="56" spans="1:37" hidden="1" x14ac:dyDescent="0.2">
      <c r="A56">
        <f>SUBTOTAL(3,$B$6:B56)</f>
        <v>0</v>
      </c>
      <c r="B56" t="s">
        <v>998</v>
      </c>
      <c r="C56" t="s">
        <v>853</v>
      </c>
      <c r="I56">
        <v>0</v>
      </c>
      <c r="U56">
        <v>114.30000000000001</v>
      </c>
      <c r="AB56" s="164">
        <v>41275</v>
      </c>
      <c r="AC56" s="164">
        <v>41639</v>
      </c>
      <c r="AD56" s="164">
        <v>41669</v>
      </c>
      <c r="AE56" s="34">
        <f>SUMPRODUCT(DB_STProjectsSOF[[#This Row],[Plan01]:[Plan12]],$D$4:$O$4)/valUnits2</f>
        <v>0</v>
      </c>
      <c r="AF56" s="34">
        <f>SUMPRODUCT(DB_STProjectsSOF[[#This Row],[Act01]:[Act12]],$P$4:$AA$4)/valUnits2</f>
        <v>0.11430000000000001</v>
      </c>
      <c r="AG56" s="34">
        <f>DB_STProjectsSOF[[#This Row],[Actual]]-DB_STProjectsSOF[[#This Row],[Plan]]</f>
        <v>0.11430000000000001</v>
      </c>
      <c r="AH56" s="34">
        <f>IF(DB_STProjectsSOF[[#This Row],[Plan]]&lt;&gt;0,DB_STProjectsSOF[[#This Row],[Actual]]/DB_STProjectsSOF[[#This Row],[Plan]],1.000011000011)</f>
        <v>1.0000110000110001</v>
      </c>
      <c r="AI56" s="34">
        <f>SUM(DB_STProjectsSOF[[#This Row],[Plan01]:[Plan12]])/valUnits2</f>
        <v>0</v>
      </c>
      <c r="AJ56" s="34">
        <f>SUMPRODUCT(DB_STProjectsSOF[[#This Row],[Act01]:[Act12]],$P$3:$AA$3)/valUnits2</f>
        <v>0.11430000000000001</v>
      </c>
      <c r="AK56" s="34">
        <f>IF(DB_STProjectsSOF[[#This Row],[FY Plan]]&lt;&gt;0,DB_STProjectsSOF[[#This Row],[FY Actuals]]/DB_STProjectsSOF[[#This Row],[FY Plan]],1.000011000011)</f>
        <v>1.0000110000110001</v>
      </c>
    </row>
    <row r="57" spans="1:37" hidden="1" x14ac:dyDescent="0.2">
      <c r="A57">
        <f>SUBTOTAL(3,$B$6:B57)</f>
        <v>0</v>
      </c>
      <c r="B57" t="s">
        <v>998</v>
      </c>
      <c r="C57" t="s">
        <v>855</v>
      </c>
      <c r="E57">
        <v>0</v>
      </c>
      <c r="F57">
        <v>0</v>
      </c>
      <c r="G57">
        <v>0</v>
      </c>
      <c r="H57">
        <v>0</v>
      </c>
      <c r="I57">
        <v>83.475999999999999</v>
      </c>
      <c r="J57">
        <v>83.475999999999999</v>
      </c>
      <c r="K57">
        <v>83.475999999999999</v>
      </c>
      <c r="L57">
        <v>83.475999999999999</v>
      </c>
      <c r="M57">
        <v>83.475999999999999</v>
      </c>
      <c r="N57">
        <v>83.475999999999999</v>
      </c>
      <c r="O57">
        <v>83.475999999999999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s="164">
        <v>40817</v>
      </c>
      <c r="AC57" s="164">
        <v>41759</v>
      </c>
      <c r="AD57" s="164">
        <v>41820</v>
      </c>
      <c r="AE57" s="34">
        <f>SUMPRODUCT(DB_STProjectsSOF[[#This Row],[Plan01]:[Plan12]],$D$4:$O$4)/valUnits2</f>
        <v>8.3475999999999995E-2</v>
      </c>
      <c r="AF57" s="34">
        <f>SUMPRODUCT(DB_STProjectsSOF[[#This Row],[Act01]:[Act12]],$P$4:$AA$4)/valUnits2</f>
        <v>0</v>
      </c>
      <c r="AG57" s="34">
        <f>DB_STProjectsSOF[[#This Row],[Actual]]-DB_STProjectsSOF[[#This Row],[Plan]]</f>
        <v>-8.3475999999999995E-2</v>
      </c>
      <c r="AH57" s="34">
        <f>IF(DB_STProjectsSOF[[#This Row],[Plan]]&lt;&gt;0,DB_STProjectsSOF[[#This Row],[Actual]]/DB_STProjectsSOF[[#This Row],[Plan]],1.000011000011)</f>
        <v>0</v>
      </c>
      <c r="AI57" s="34">
        <f>SUM(DB_STProjectsSOF[[#This Row],[Plan01]:[Plan12]])/valUnits2</f>
        <v>0.58433199999999996</v>
      </c>
      <c r="AJ57" s="34">
        <f>SUMPRODUCT(DB_STProjectsSOF[[#This Row],[Act01]:[Act12]],$P$3:$AA$3)/valUnits2</f>
        <v>0</v>
      </c>
      <c r="AK57" s="34">
        <f>IF(DB_STProjectsSOF[[#This Row],[FY Plan]]&lt;&gt;0,DB_STProjectsSOF[[#This Row],[FY Actuals]]/DB_STProjectsSOF[[#This Row],[FY Plan]],1.000011000011)</f>
        <v>0</v>
      </c>
    </row>
    <row r="58" spans="1:37" hidden="1" x14ac:dyDescent="0.2">
      <c r="A58">
        <f>SUBTOTAL(3,$B$6:B58)</f>
        <v>0</v>
      </c>
      <c r="B58" t="s">
        <v>998</v>
      </c>
      <c r="C58" t="s">
        <v>856</v>
      </c>
      <c r="D58">
        <v>3115</v>
      </c>
      <c r="E58">
        <v>4194.2800000000007</v>
      </c>
      <c r="F58">
        <v>3977.125</v>
      </c>
      <c r="G58">
        <v>4253.5309999999999</v>
      </c>
      <c r="H58">
        <v>3771.3410000000003</v>
      </c>
      <c r="I58">
        <v>3115</v>
      </c>
      <c r="J58">
        <v>3115</v>
      </c>
      <c r="K58">
        <v>3115</v>
      </c>
      <c r="L58">
        <v>3115</v>
      </c>
      <c r="M58">
        <v>3115</v>
      </c>
      <c r="N58">
        <v>3115</v>
      </c>
      <c r="O58">
        <v>3115</v>
      </c>
      <c r="P58">
        <v>0</v>
      </c>
      <c r="Q58">
        <v>1079.28</v>
      </c>
      <c r="R58">
        <v>861.25</v>
      </c>
      <c r="S58">
        <v>1121.6300000000001</v>
      </c>
      <c r="T58">
        <v>655.88000000000011</v>
      </c>
      <c r="U58">
        <v>657.1400000000001</v>
      </c>
      <c r="V58">
        <v>3098</v>
      </c>
      <c r="W58">
        <v>0</v>
      </c>
      <c r="X58">
        <v>0</v>
      </c>
      <c r="Y58">
        <v>0</v>
      </c>
      <c r="Z58">
        <v>0</v>
      </c>
      <c r="AA58">
        <v>0</v>
      </c>
      <c r="AB58" s="164">
        <v>40817</v>
      </c>
      <c r="AC58" s="164">
        <v>42338</v>
      </c>
      <c r="AD58" s="164">
        <v>42490</v>
      </c>
      <c r="AE58" s="34">
        <f>SUMPRODUCT(DB_STProjectsSOF[[#This Row],[Plan01]:[Plan12]],$D$4:$O$4)/valUnits2</f>
        <v>22.426277000000002</v>
      </c>
      <c r="AF58" s="34">
        <f>SUMPRODUCT(DB_STProjectsSOF[[#This Row],[Act01]:[Act12]],$P$4:$AA$4)/valUnits2</f>
        <v>4.3751800000000003</v>
      </c>
      <c r="AG58" s="34">
        <f>DB_STProjectsSOF[[#This Row],[Actual]]-DB_STProjectsSOF[[#This Row],[Plan]]</f>
        <v>-18.051097000000002</v>
      </c>
      <c r="AH58" s="34">
        <f>IF(DB_STProjectsSOF[[#This Row],[Plan]]&lt;&gt;0,DB_STProjectsSOF[[#This Row],[Actual]]/DB_STProjectsSOF[[#This Row],[Plan]],1.000011000011)</f>
        <v>0.19509167749956891</v>
      </c>
      <c r="AI58" s="34">
        <f>SUM(DB_STProjectsSOF[[#This Row],[Plan01]:[Plan12]])/valUnits2</f>
        <v>41.116277000000004</v>
      </c>
      <c r="AJ58" s="34">
        <f>SUMPRODUCT(DB_STProjectsSOF[[#This Row],[Act01]:[Act12]],$P$3:$AA$3)/valUnits2</f>
        <v>4.3751800000000003</v>
      </c>
      <c r="AK58" s="34">
        <f>IF(DB_STProjectsSOF[[#This Row],[FY Plan]]&lt;&gt;0,DB_STProjectsSOF[[#This Row],[FY Actuals]]/DB_STProjectsSOF[[#This Row],[FY Plan]],1.000011000011)</f>
        <v>0.10640992617108791</v>
      </c>
    </row>
    <row r="59" spans="1:37" hidden="1" x14ac:dyDescent="0.2">
      <c r="A59">
        <f>SUBTOTAL(3,$B$6:B59)</f>
        <v>0</v>
      </c>
      <c r="B59" t="s">
        <v>998</v>
      </c>
      <c r="C59" t="s">
        <v>858</v>
      </c>
      <c r="D59">
        <v>24075.5</v>
      </c>
      <c r="E59">
        <v>7633.55</v>
      </c>
      <c r="F59">
        <v>-19528.5</v>
      </c>
      <c r="G59">
        <v>5622.11</v>
      </c>
      <c r="H59">
        <v>3470.76</v>
      </c>
      <c r="I59">
        <v>2401.951</v>
      </c>
      <c r="J59">
        <v>2401.951</v>
      </c>
      <c r="K59">
        <v>2401.951</v>
      </c>
      <c r="L59">
        <v>2401.951</v>
      </c>
      <c r="M59">
        <v>2401.951</v>
      </c>
      <c r="N59">
        <v>2401.951</v>
      </c>
      <c r="O59">
        <v>2401.951</v>
      </c>
      <c r="P59">
        <v>24075.5</v>
      </c>
      <c r="Q59">
        <v>7633.5499999999993</v>
      </c>
      <c r="R59">
        <v>-19528.5</v>
      </c>
      <c r="S59">
        <v>5622.1100000000006</v>
      </c>
      <c r="T59">
        <v>3470.76</v>
      </c>
      <c r="U59">
        <v>3477.57</v>
      </c>
      <c r="V59">
        <v>16391</v>
      </c>
      <c r="W59">
        <v>0</v>
      </c>
      <c r="X59">
        <v>0</v>
      </c>
      <c r="Y59">
        <v>0</v>
      </c>
      <c r="Z59">
        <v>0</v>
      </c>
      <c r="AA59">
        <v>0</v>
      </c>
      <c r="AB59" s="164">
        <v>41275</v>
      </c>
      <c r="AC59" s="164">
        <v>41639</v>
      </c>
      <c r="AD59" s="164">
        <v>41784</v>
      </c>
      <c r="AE59" s="34">
        <f>SUMPRODUCT(DB_STProjectsSOF[[#This Row],[Plan01]:[Plan12]],$D$4:$O$4)/valUnits2</f>
        <v>23.675370999999998</v>
      </c>
      <c r="AF59" s="34">
        <f>SUMPRODUCT(DB_STProjectsSOF[[#This Row],[Act01]:[Act12]],$P$4:$AA$4)/valUnits2</f>
        <v>24.750989999999998</v>
      </c>
      <c r="AG59" s="34">
        <f>DB_STProjectsSOF[[#This Row],[Actual]]-DB_STProjectsSOF[[#This Row],[Plan]]</f>
        <v>1.0756189999999997</v>
      </c>
      <c r="AH59" s="34">
        <f>IF(DB_STProjectsSOF[[#This Row],[Plan]]&lt;&gt;0,DB_STProjectsSOF[[#This Row],[Actual]]/DB_STProjectsSOF[[#This Row],[Plan]],1.000011000011)</f>
        <v>1.0454319807702275</v>
      </c>
      <c r="AI59" s="34">
        <f>SUM(DB_STProjectsSOF[[#This Row],[Plan01]:[Plan12]])/valUnits2</f>
        <v>38.087077000000008</v>
      </c>
      <c r="AJ59" s="34">
        <f>SUMPRODUCT(DB_STProjectsSOF[[#This Row],[Act01]:[Act12]],$P$3:$AA$3)/valUnits2</f>
        <v>24.750989999999998</v>
      </c>
      <c r="AK59" s="34">
        <f>IF(DB_STProjectsSOF[[#This Row],[FY Plan]]&lt;&gt;0,DB_STProjectsSOF[[#This Row],[FY Actuals]]/DB_STProjectsSOF[[#This Row],[FY Plan]],1.000011000011)</f>
        <v>0.64985270463259737</v>
      </c>
    </row>
    <row r="60" spans="1:37" hidden="1" x14ac:dyDescent="0.2">
      <c r="A60">
        <f>SUBTOTAL(3,$B$6:B60)</f>
        <v>0</v>
      </c>
      <c r="B60" t="s">
        <v>998</v>
      </c>
      <c r="C60" t="s">
        <v>866</v>
      </c>
      <c r="E60">
        <v>5625.29</v>
      </c>
      <c r="F60">
        <v>2965</v>
      </c>
      <c r="G60">
        <v>-2572.42</v>
      </c>
      <c r="H60">
        <v>1834.44</v>
      </c>
      <c r="I60">
        <v>0</v>
      </c>
      <c r="J60">
        <v>0</v>
      </c>
      <c r="Q60">
        <v>5625.29</v>
      </c>
      <c r="R60">
        <v>2965</v>
      </c>
      <c r="S60">
        <v>-2572.42</v>
      </c>
      <c r="T60">
        <v>1834.44</v>
      </c>
      <c r="U60">
        <v>2095.46</v>
      </c>
      <c r="V60">
        <v>5576</v>
      </c>
      <c r="AB60" s="164">
        <v>41275</v>
      </c>
      <c r="AC60" s="164">
        <v>41639</v>
      </c>
      <c r="AD60" s="164">
        <v>41760</v>
      </c>
      <c r="AE60" s="34">
        <f>SUMPRODUCT(DB_STProjectsSOF[[#This Row],[Plan01]:[Plan12]],$D$4:$O$4)/valUnits2</f>
        <v>7.852310000000001</v>
      </c>
      <c r="AF60" s="34">
        <f>SUMPRODUCT(DB_STProjectsSOF[[#This Row],[Act01]:[Act12]],$P$4:$AA$4)/valUnits2</f>
        <v>9.9477700000000002</v>
      </c>
      <c r="AG60" s="34">
        <f>DB_STProjectsSOF[[#This Row],[Actual]]-DB_STProjectsSOF[[#This Row],[Plan]]</f>
        <v>2.0954599999999992</v>
      </c>
      <c r="AH60" s="34">
        <f>IF(DB_STProjectsSOF[[#This Row],[Plan]]&lt;&gt;0,DB_STProjectsSOF[[#This Row],[Actual]]/DB_STProjectsSOF[[#This Row],[Plan]],1.000011000011)</f>
        <v>1.2668590516675984</v>
      </c>
      <c r="AI60" s="34">
        <f>SUM(DB_STProjectsSOF[[#This Row],[Plan01]:[Plan12]])/valUnits2</f>
        <v>7.852310000000001</v>
      </c>
      <c r="AJ60" s="34">
        <f>SUMPRODUCT(DB_STProjectsSOF[[#This Row],[Act01]:[Act12]],$P$3:$AA$3)/valUnits2</f>
        <v>9.9477700000000002</v>
      </c>
      <c r="AK60" s="34">
        <f>IF(DB_STProjectsSOF[[#This Row],[FY Plan]]&lt;&gt;0,DB_STProjectsSOF[[#This Row],[FY Actuals]]/DB_STProjectsSOF[[#This Row],[FY Plan]],1.000011000011)</f>
        <v>1.2668590516675984</v>
      </c>
    </row>
    <row r="61" spans="1:37" hidden="1" x14ac:dyDescent="0.2">
      <c r="A61">
        <f>SUBTOTAL(3,$B$6:B61)</f>
        <v>0</v>
      </c>
      <c r="B61" t="s">
        <v>998</v>
      </c>
      <c r="C61" t="s">
        <v>867</v>
      </c>
      <c r="I61">
        <v>0</v>
      </c>
      <c r="U61">
        <v>3.35</v>
      </c>
      <c r="AB61" s="164">
        <v>41365</v>
      </c>
      <c r="AC61" s="164">
        <v>41639</v>
      </c>
      <c r="AD61" s="164">
        <v>41670</v>
      </c>
      <c r="AE61" s="34">
        <f>SUMPRODUCT(DB_STProjectsSOF[[#This Row],[Plan01]:[Plan12]],$D$4:$O$4)/valUnits2</f>
        <v>0</v>
      </c>
      <c r="AF61" s="34">
        <f>SUMPRODUCT(DB_STProjectsSOF[[#This Row],[Act01]:[Act12]],$P$4:$AA$4)/valUnits2</f>
        <v>3.3500000000000001E-3</v>
      </c>
      <c r="AG61" s="34">
        <f>DB_STProjectsSOF[[#This Row],[Actual]]-DB_STProjectsSOF[[#This Row],[Plan]]</f>
        <v>3.3500000000000001E-3</v>
      </c>
      <c r="AH61" s="34">
        <f>IF(DB_STProjectsSOF[[#This Row],[Plan]]&lt;&gt;0,DB_STProjectsSOF[[#This Row],[Actual]]/DB_STProjectsSOF[[#This Row],[Plan]],1.000011000011)</f>
        <v>1.0000110000110001</v>
      </c>
      <c r="AI61" s="34">
        <f>SUM(DB_STProjectsSOF[[#This Row],[Plan01]:[Plan12]])/valUnits2</f>
        <v>0</v>
      </c>
      <c r="AJ61" s="34">
        <f>SUMPRODUCT(DB_STProjectsSOF[[#This Row],[Act01]:[Act12]],$P$3:$AA$3)/valUnits2</f>
        <v>3.3500000000000001E-3</v>
      </c>
      <c r="AK61" s="34">
        <f>IF(DB_STProjectsSOF[[#This Row],[FY Plan]]&lt;&gt;0,DB_STProjectsSOF[[#This Row],[FY Actuals]]/DB_STProjectsSOF[[#This Row],[FY Plan]],1.000011000011)</f>
        <v>1.0000110000110001</v>
      </c>
    </row>
    <row r="62" spans="1:37" hidden="1" x14ac:dyDescent="0.2">
      <c r="A62">
        <f>SUBTOTAL(3,$B$6:B62)</f>
        <v>0</v>
      </c>
      <c r="B62" t="s">
        <v>998</v>
      </c>
      <c r="C62" t="s">
        <v>869</v>
      </c>
      <c r="D62">
        <v>0</v>
      </c>
      <c r="E62">
        <v>3000.4</v>
      </c>
      <c r="F62">
        <v>2398.7199999999998</v>
      </c>
      <c r="G62">
        <v>2967.41</v>
      </c>
      <c r="H62">
        <v>1827.63</v>
      </c>
      <c r="I62">
        <v>1506</v>
      </c>
      <c r="J62">
        <v>1506</v>
      </c>
      <c r="K62">
        <v>1506</v>
      </c>
      <c r="L62">
        <v>1506</v>
      </c>
      <c r="M62">
        <v>1506</v>
      </c>
      <c r="N62">
        <v>1506</v>
      </c>
      <c r="O62">
        <v>1506</v>
      </c>
      <c r="P62">
        <v>0</v>
      </c>
      <c r="Q62">
        <v>3000.4</v>
      </c>
      <c r="R62">
        <v>2398.7199999999998</v>
      </c>
      <c r="S62">
        <v>2967.41</v>
      </c>
      <c r="T62">
        <v>1827.63</v>
      </c>
      <c r="U62">
        <v>1830.82</v>
      </c>
      <c r="V62">
        <v>8630</v>
      </c>
      <c r="W62">
        <v>0</v>
      </c>
      <c r="X62">
        <v>0</v>
      </c>
      <c r="Y62">
        <v>0</v>
      </c>
      <c r="Z62">
        <v>0</v>
      </c>
      <c r="AA62">
        <v>0</v>
      </c>
      <c r="AB62" s="164">
        <v>40817</v>
      </c>
      <c r="AC62" s="164">
        <v>42155</v>
      </c>
      <c r="AD62" s="164">
        <v>42217</v>
      </c>
      <c r="AE62" s="34">
        <f>SUMPRODUCT(DB_STProjectsSOF[[#This Row],[Plan01]:[Plan12]],$D$4:$O$4)/valUnits2</f>
        <v>11.70016</v>
      </c>
      <c r="AF62" s="34">
        <f>SUMPRODUCT(DB_STProjectsSOF[[#This Row],[Act01]:[Act12]],$P$4:$AA$4)/valUnits2</f>
        <v>12.024979999999999</v>
      </c>
      <c r="AG62" s="34">
        <f>DB_STProjectsSOF[[#This Row],[Actual]]-DB_STProjectsSOF[[#This Row],[Plan]]</f>
        <v>0.324819999999999</v>
      </c>
      <c r="AH62" s="34">
        <f>IF(DB_STProjectsSOF[[#This Row],[Plan]]&lt;&gt;0,DB_STProjectsSOF[[#This Row],[Actual]]/DB_STProjectsSOF[[#This Row],[Plan]],1.000011000011)</f>
        <v>1.0277620135109262</v>
      </c>
      <c r="AI62" s="34">
        <f>SUM(DB_STProjectsSOF[[#This Row],[Plan01]:[Plan12]])/valUnits2</f>
        <v>20.736159999999998</v>
      </c>
      <c r="AJ62" s="34">
        <f>SUMPRODUCT(DB_STProjectsSOF[[#This Row],[Act01]:[Act12]],$P$3:$AA$3)/valUnits2</f>
        <v>12.024979999999999</v>
      </c>
      <c r="AK62" s="34">
        <f>IF(DB_STProjectsSOF[[#This Row],[FY Plan]]&lt;&gt;0,DB_STProjectsSOF[[#This Row],[FY Actuals]]/DB_STProjectsSOF[[#This Row],[FY Plan]],1.000011000011)</f>
        <v>0.57990389734647108</v>
      </c>
    </row>
    <row r="63" spans="1:37" hidden="1" x14ac:dyDescent="0.2">
      <c r="A63">
        <f>SUBTOTAL(3,$B$6:B63)</f>
        <v>0</v>
      </c>
      <c r="B63" t="s">
        <v>998</v>
      </c>
      <c r="C63" t="s">
        <v>874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s="164">
        <v>40879</v>
      </c>
      <c r="AC63" s="164">
        <v>43071</v>
      </c>
      <c r="AD63" s="164">
        <v>43161</v>
      </c>
      <c r="AE63" s="34">
        <f>SUMPRODUCT(DB_STProjectsSOF[[#This Row],[Plan01]:[Plan12]],$D$4:$O$4)/valUnits2</f>
        <v>0</v>
      </c>
      <c r="AF63" s="34">
        <f>SUMPRODUCT(DB_STProjectsSOF[[#This Row],[Act01]:[Act12]],$P$4:$AA$4)/valUnits2</f>
        <v>0</v>
      </c>
      <c r="AG63" s="34">
        <f>DB_STProjectsSOF[[#This Row],[Actual]]-DB_STProjectsSOF[[#This Row],[Plan]]</f>
        <v>0</v>
      </c>
      <c r="AH63" s="34">
        <f>IF(DB_STProjectsSOF[[#This Row],[Plan]]&lt;&gt;0,DB_STProjectsSOF[[#This Row],[Actual]]/DB_STProjectsSOF[[#This Row],[Plan]],1.000011000011)</f>
        <v>1.0000110000110001</v>
      </c>
      <c r="AI63" s="34">
        <f>SUM(DB_STProjectsSOF[[#This Row],[Plan01]:[Plan12]])/valUnits2</f>
        <v>0</v>
      </c>
      <c r="AJ63" s="34">
        <f>SUMPRODUCT(DB_STProjectsSOF[[#This Row],[Act01]:[Act12]],$P$3:$AA$3)/valUnits2</f>
        <v>0</v>
      </c>
      <c r="AK63" s="34">
        <f>IF(DB_STProjectsSOF[[#This Row],[FY Plan]]&lt;&gt;0,DB_STProjectsSOF[[#This Row],[FY Actuals]]/DB_STProjectsSOF[[#This Row],[FY Plan]],1.000011000011)</f>
        <v>1.0000110000110001</v>
      </c>
    </row>
    <row r="64" spans="1:37" hidden="1" x14ac:dyDescent="0.2">
      <c r="A64">
        <f>SUBTOTAL(3,$B$6:B64)</f>
        <v>0</v>
      </c>
      <c r="B64" t="s">
        <v>998</v>
      </c>
      <c r="C64" t="s">
        <v>362</v>
      </c>
      <c r="G64">
        <v>0</v>
      </c>
      <c r="H64">
        <v>6.5730000000000004</v>
      </c>
      <c r="I64">
        <v>0</v>
      </c>
      <c r="S64">
        <v>0</v>
      </c>
      <c r="T64">
        <v>6.68</v>
      </c>
      <c r="U64">
        <v>0</v>
      </c>
      <c r="AB64" s="164">
        <v>40909</v>
      </c>
      <c r="AC64" s="164">
        <v>41486</v>
      </c>
      <c r="AD64" s="164">
        <v>41670</v>
      </c>
      <c r="AE64" s="34">
        <f>SUMPRODUCT(DB_STProjectsSOF[[#This Row],[Plan01]:[Plan12]],$D$4:$O$4)/valUnits2</f>
        <v>6.5730000000000007E-3</v>
      </c>
      <c r="AF64" s="34">
        <f>SUMPRODUCT(DB_STProjectsSOF[[#This Row],[Act01]:[Act12]],$P$4:$AA$4)/valUnits2</f>
        <v>6.6799999999999993E-3</v>
      </c>
      <c r="AG64" s="34">
        <f>DB_STProjectsSOF[[#This Row],[Actual]]-DB_STProjectsSOF[[#This Row],[Plan]]</f>
        <v>1.0699999999999859E-4</v>
      </c>
      <c r="AH64" s="34">
        <f>IF(DB_STProjectsSOF[[#This Row],[Plan]]&lt;&gt;0,DB_STProjectsSOF[[#This Row],[Actual]]/DB_STProjectsSOF[[#This Row],[Plan]],1.000011000011)</f>
        <v>1.016278715959227</v>
      </c>
      <c r="AI64" s="34">
        <f>SUM(DB_STProjectsSOF[[#This Row],[Plan01]:[Plan12]])/valUnits2</f>
        <v>6.5730000000000007E-3</v>
      </c>
      <c r="AJ64" s="34">
        <f>SUMPRODUCT(DB_STProjectsSOF[[#This Row],[Act01]:[Act12]],$P$3:$AA$3)/valUnits2</f>
        <v>6.6799999999999993E-3</v>
      </c>
      <c r="AK64" s="34">
        <f>IF(DB_STProjectsSOF[[#This Row],[FY Plan]]&lt;&gt;0,DB_STProjectsSOF[[#This Row],[FY Actuals]]/DB_STProjectsSOF[[#This Row],[FY Plan]],1.000011000011)</f>
        <v>1.016278715959227</v>
      </c>
    </row>
    <row r="65" spans="1:37" hidden="1" x14ac:dyDescent="0.2">
      <c r="A65">
        <f>SUBTOTAL(3,$B$6:B65)</f>
        <v>0</v>
      </c>
      <c r="B65" t="s">
        <v>998</v>
      </c>
      <c r="C65" t="s">
        <v>877</v>
      </c>
      <c r="D65">
        <v>0</v>
      </c>
      <c r="E65">
        <v>417.60300000000001</v>
      </c>
      <c r="F65">
        <v>337.02100000000002</v>
      </c>
      <c r="G65">
        <v>426.28100000000001</v>
      </c>
      <c r="H65">
        <v>260.74599999999998</v>
      </c>
      <c r="I65">
        <v>414.19200000000001</v>
      </c>
      <c r="J65">
        <v>414.19200000000001</v>
      </c>
      <c r="K65">
        <v>414.19200000000001</v>
      </c>
      <c r="L65">
        <v>414.19200000000001</v>
      </c>
      <c r="M65">
        <v>414.19200000000001</v>
      </c>
      <c r="N65">
        <v>414.19200000000001</v>
      </c>
      <c r="O65">
        <v>414.19200000000001</v>
      </c>
      <c r="P65">
        <v>0</v>
      </c>
      <c r="Q65">
        <v>425.82</v>
      </c>
      <c r="R65">
        <v>339.43</v>
      </c>
      <c r="S65">
        <v>423.95000000000005</v>
      </c>
      <c r="T65">
        <v>258.25</v>
      </c>
      <c r="U65">
        <v>259.32</v>
      </c>
      <c r="V65">
        <v>1222</v>
      </c>
      <c r="W65">
        <v>0</v>
      </c>
      <c r="X65">
        <v>0</v>
      </c>
      <c r="Y65">
        <v>0</v>
      </c>
      <c r="Z65">
        <v>0</v>
      </c>
      <c r="AA65">
        <v>0</v>
      </c>
      <c r="AB65" s="164">
        <v>40817</v>
      </c>
      <c r="AC65" s="164">
        <v>41639</v>
      </c>
      <c r="AD65" s="164">
        <v>41729</v>
      </c>
      <c r="AE65" s="34">
        <f>SUMPRODUCT(DB_STProjectsSOF[[#This Row],[Plan01]:[Plan12]],$D$4:$O$4)/valUnits2</f>
        <v>1.8558429999999999</v>
      </c>
      <c r="AF65" s="34">
        <f>SUMPRODUCT(DB_STProjectsSOF[[#This Row],[Act01]:[Act12]],$P$4:$AA$4)/valUnits2</f>
        <v>1.7067699999999999</v>
      </c>
      <c r="AG65" s="34">
        <f>DB_STProjectsSOF[[#This Row],[Actual]]-DB_STProjectsSOF[[#This Row],[Plan]]</f>
        <v>-0.14907300000000001</v>
      </c>
      <c r="AH65" s="34">
        <f>IF(DB_STProjectsSOF[[#This Row],[Plan]]&lt;&gt;0,DB_STProjectsSOF[[#This Row],[Actual]]/DB_STProjectsSOF[[#This Row],[Plan]],1.000011000011)</f>
        <v>0.91967370084646172</v>
      </c>
      <c r="AI65" s="34">
        <f>SUM(DB_STProjectsSOF[[#This Row],[Plan01]:[Plan12]])/valUnits2</f>
        <v>4.3409949999999995</v>
      </c>
      <c r="AJ65" s="34">
        <f>SUMPRODUCT(DB_STProjectsSOF[[#This Row],[Act01]:[Act12]],$P$3:$AA$3)/valUnits2</f>
        <v>1.7067699999999999</v>
      </c>
      <c r="AK65" s="34">
        <f>IF(DB_STProjectsSOF[[#This Row],[FY Plan]]&lt;&gt;0,DB_STProjectsSOF[[#This Row],[FY Actuals]]/DB_STProjectsSOF[[#This Row],[FY Plan]],1.000011000011)</f>
        <v>0.39317483664459418</v>
      </c>
    </row>
    <row r="66" spans="1:37" hidden="1" x14ac:dyDescent="0.2">
      <c r="A66">
        <f>SUBTOTAL(3,$B$6:B66)</f>
        <v>0</v>
      </c>
      <c r="B66" t="s">
        <v>998</v>
      </c>
      <c r="C66" t="s">
        <v>885</v>
      </c>
      <c r="E66">
        <v>1087.171</v>
      </c>
      <c r="F66">
        <v>564.91800000000001</v>
      </c>
      <c r="G66">
        <v>1115.8709999999999</v>
      </c>
      <c r="H66">
        <v>568.17200000000003</v>
      </c>
      <c r="I66">
        <v>0</v>
      </c>
      <c r="J66">
        <v>0</v>
      </c>
      <c r="Q66">
        <v>1079.28</v>
      </c>
      <c r="R66">
        <v>561.25</v>
      </c>
      <c r="S66">
        <v>1121.51</v>
      </c>
      <c r="T66">
        <v>570.87</v>
      </c>
      <c r="U66">
        <v>654.99</v>
      </c>
      <c r="V66">
        <v>3097</v>
      </c>
      <c r="AB66" s="164">
        <v>40817</v>
      </c>
      <c r="AC66" s="164">
        <v>41639</v>
      </c>
      <c r="AD66" s="164">
        <v>41820</v>
      </c>
      <c r="AE66" s="34">
        <f>SUMPRODUCT(DB_STProjectsSOF[[#This Row],[Plan01]:[Plan12]],$D$4:$O$4)/valUnits2</f>
        <v>3.3361320000000001</v>
      </c>
      <c r="AF66" s="34">
        <f>SUMPRODUCT(DB_STProjectsSOF[[#This Row],[Act01]:[Act12]],$P$4:$AA$4)/valUnits2</f>
        <v>3.9878999999999998</v>
      </c>
      <c r="AG66" s="34">
        <f>DB_STProjectsSOF[[#This Row],[Actual]]-DB_STProjectsSOF[[#This Row],[Plan]]</f>
        <v>0.65176799999999968</v>
      </c>
      <c r="AH66" s="34">
        <f>IF(DB_STProjectsSOF[[#This Row],[Plan]]&lt;&gt;0,DB_STProjectsSOF[[#This Row],[Actual]]/DB_STProjectsSOF[[#This Row],[Plan]],1.000011000011)</f>
        <v>1.1953663703954158</v>
      </c>
      <c r="AI66" s="34">
        <f>SUM(DB_STProjectsSOF[[#This Row],[Plan01]:[Plan12]])/valUnits2</f>
        <v>3.3361320000000001</v>
      </c>
      <c r="AJ66" s="34">
        <f>SUMPRODUCT(DB_STProjectsSOF[[#This Row],[Act01]:[Act12]],$P$3:$AA$3)/valUnits2</f>
        <v>3.9878999999999998</v>
      </c>
      <c r="AK66" s="34">
        <f>IF(DB_STProjectsSOF[[#This Row],[FY Plan]]&lt;&gt;0,DB_STProjectsSOF[[#This Row],[FY Actuals]]/DB_STProjectsSOF[[#This Row],[FY Plan]],1.000011000011)</f>
        <v>1.1953663703954158</v>
      </c>
    </row>
    <row r="67" spans="1:37" hidden="1" x14ac:dyDescent="0.2">
      <c r="A67">
        <f>SUBTOTAL(3,$B$6:B67)</f>
        <v>0</v>
      </c>
      <c r="B67" t="s">
        <v>998</v>
      </c>
      <c r="C67" t="s">
        <v>892</v>
      </c>
      <c r="E67">
        <v>1058.454</v>
      </c>
      <c r="F67">
        <v>855.1389999999999</v>
      </c>
      <c r="G67">
        <v>1129.8340000000001</v>
      </c>
      <c r="H67">
        <v>355.36</v>
      </c>
      <c r="I67">
        <v>0</v>
      </c>
      <c r="Q67">
        <v>1079.28</v>
      </c>
      <c r="R67">
        <v>861.25</v>
      </c>
      <c r="S67">
        <v>1121.97</v>
      </c>
      <c r="T67">
        <v>357.13</v>
      </c>
      <c r="U67">
        <v>8.77</v>
      </c>
      <c r="AB67" s="164">
        <v>40817</v>
      </c>
      <c r="AC67" s="164">
        <v>41639</v>
      </c>
      <c r="AD67" s="164">
        <v>3</v>
      </c>
      <c r="AE67" s="34">
        <f>SUMPRODUCT(DB_STProjectsSOF[[#This Row],[Plan01]:[Plan12]],$D$4:$O$4)/valUnits2</f>
        <v>3.398787</v>
      </c>
      <c r="AF67" s="34">
        <f>SUMPRODUCT(DB_STProjectsSOF[[#This Row],[Act01]:[Act12]],$P$4:$AA$4)/valUnits2</f>
        <v>3.4283999999999999</v>
      </c>
      <c r="AG67" s="34">
        <f>DB_STProjectsSOF[[#This Row],[Actual]]-DB_STProjectsSOF[[#This Row],[Plan]]</f>
        <v>2.9612999999999889E-2</v>
      </c>
      <c r="AH67" s="34">
        <f>IF(DB_STProjectsSOF[[#This Row],[Plan]]&lt;&gt;0,DB_STProjectsSOF[[#This Row],[Actual]]/DB_STProjectsSOF[[#This Row],[Plan]],1.000011000011)</f>
        <v>1.0087128143069866</v>
      </c>
      <c r="AI67" s="34">
        <f>SUM(DB_STProjectsSOF[[#This Row],[Plan01]:[Plan12]])/valUnits2</f>
        <v>3.398787</v>
      </c>
      <c r="AJ67" s="34">
        <f>SUMPRODUCT(DB_STProjectsSOF[[#This Row],[Act01]:[Act12]],$P$3:$AA$3)/valUnits2</f>
        <v>3.4283999999999999</v>
      </c>
      <c r="AK67" s="34">
        <f>IF(DB_STProjectsSOF[[#This Row],[FY Plan]]&lt;&gt;0,DB_STProjectsSOF[[#This Row],[FY Actuals]]/DB_STProjectsSOF[[#This Row],[FY Plan]],1.000011000011)</f>
        <v>1.0087128143069866</v>
      </c>
    </row>
    <row r="68" spans="1:37" hidden="1" x14ac:dyDescent="0.2">
      <c r="A68">
        <f>SUBTOTAL(3,$B$6:B68)</f>
        <v>0</v>
      </c>
      <c r="B68" t="s">
        <v>998</v>
      </c>
      <c r="C68" t="s">
        <v>896</v>
      </c>
      <c r="E68">
        <v>2174.3409999999999</v>
      </c>
      <c r="F68">
        <v>1129.847</v>
      </c>
      <c r="G68">
        <v>2130.5540000000001</v>
      </c>
      <c r="H68">
        <v>1687.454</v>
      </c>
      <c r="I68">
        <v>0</v>
      </c>
      <c r="J68">
        <v>0</v>
      </c>
      <c r="Q68">
        <v>2158.56</v>
      </c>
      <c r="R68">
        <v>1122.5</v>
      </c>
      <c r="S68">
        <v>2141.6200000000003</v>
      </c>
      <c r="T68">
        <v>1695.4399999999998</v>
      </c>
      <c r="U68">
        <v>1964.98</v>
      </c>
      <c r="V68">
        <v>9292</v>
      </c>
      <c r="AB68" s="164">
        <v>40817</v>
      </c>
      <c r="AC68" s="164">
        <v>41639</v>
      </c>
      <c r="AD68" s="164">
        <v>41820</v>
      </c>
      <c r="AE68" s="34">
        <f>SUMPRODUCT(DB_STProjectsSOF[[#This Row],[Plan01]:[Plan12]],$D$4:$O$4)/valUnits2</f>
        <v>7.1221959999999997</v>
      </c>
      <c r="AF68" s="34">
        <f>SUMPRODUCT(DB_STProjectsSOF[[#This Row],[Act01]:[Act12]],$P$4:$AA$4)/valUnits2</f>
        <v>9.0831</v>
      </c>
      <c r="AG68" s="34">
        <f>DB_STProjectsSOF[[#This Row],[Actual]]-DB_STProjectsSOF[[#This Row],[Plan]]</f>
        <v>1.9609040000000002</v>
      </c>
      <c r="AH68" s="34">
        <f>IF(DB_STProjectsSOF[[#This Row],[Plan]]&lt;&gt;0,DB_STProjectsSOF[[#This Row],[Actual]]/DB_STProjectsSOF[[#This Row],[Plan]],1.000011000011)</f>
        <v>1.2753229481468917</v>
      </c>
      <c r="AI68" s="34">
        <f>SUM(DB_STProjectsSOF[[#This Row],[Plan01]:[Plan12]])/valUnits2</f>
        <v>7.1221959999999997</v>
      </c>
      <c r="AJ68" s="34">
        <f>SUMPRODUCT(DB_STProjectsSOF[[#This Row],[Act01]:[Act12]],$P$3:$AA$3)/valUnits2</f>
        <v>9.0831</v>
      </c>
      <c r="AK68" s="34">
        <f>IF(DB_STProjectsSOF[[#This Row],[FY Plan]]&lt;&gt;0,DB_STProjectsSOF[[#This Row],[FY Actuals]]/DB_STProjectsSOF[[#This Row],[FY Plan]],1.000011000011)</f>
        <v>1.2753229481468917</v>
      </c>
    </row>
    <row r="69" spans="1:37" hidden="1" x14ac:dyDescent="0.2">
      <c r="A69">
        <f>SUBTOTAL(3,$B$6:B69)</f>
        <v>0</v>
      </c>
      <c r="B69" t="s">
        <v>998</v>
      </c>
      <c r="C69" t="s">
        <v>905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s="164">
        <v>40909</v>
      </c>
      <c r="AC69" s="164">
        <v>41274</v>
      </c>
      <c r="AD69" s="164">
        <v>41364</v>
      </c>
      <c r="AE69" s="34">
        <f>SUMPRODUCT(DB_STProjectsSOF[[#This Row],[Plan01]:[Plan12]],$D$4:$O$4)/valUnits2</f>
        <v>0</v>
      </c>
      <c r="AF69" s="34">
        <f>SUMPRODUCT(DB_STProjectsSOF[[#This Row],[Act01]:[Act12]],$P$4:$AA$4)/valUnits2</f>
        <v>0</v>
      </c>
      <c r="AG69" s="34">
        <f>DB_STProjectsSOF[[#This Row],[Actual]]-DB_STProjectsSOF[[#This Row],[Plan]]</f>
        <v>0</v>
      </c>
      <c r="AH69" s="34">
        <f>IF(DB_STProjectsSOF[[#This Row],[Plan]]&lt;&gt;0,DB_STProjectsSOF[[#This Row],[Actual]]/DB_STProjectsSOF[[#This Row],[Plan]],1.000011000011)</f>
        <v>1.0000110000110001</v>
      </c>
      <c r="AI69" s="34">
        <f>SUM(DB_STProjectsSOF[[#This Row],[Plan01]:[Plan12]])/valUnits2</f>
        <v>0</v>
      </c>
      <c r="AJ69" s="34">
        <f>SUMPRODUCT(DB_STProjectsSOF[[#This Row],[Act01]:[Act12]],$P$3:$AA$3)/valUnits2</f>
        <v>0</v>
      </c>
      <c r="AK69" s="34">
        <f>IF(DB_STProjectsSOF[[#This Row],[FY Plan]]&lt;&gt;0,DB_STProjectsSOF[[#This Row],[FY Actuals]]/DB_STProjectsSOF[[#This Row],[FY Plan]],1.000011000011)</f>
        <v>1.0000110000110001</v>
      </c>
    </row>
    <row r="70" spans="1:37" hidden="1" x14ac:dyDescent="0.2">
      <c r="A70">
        <f>SUBTOTAL(3,$B$6:B70)</f>
        <v>0</v>
      </c>
      <c r="B70" t="s">
        <v>998</v>
      </c>
      <c r="C70" t="s">
        <v>912</v>
      </c>
      <c r="E70">
        <v>-1922.61</v>
      </c>
      <c r="Q70">
        <v>-1922.61</v>
      </c>
      <c r="AB70" s="164">
        <v>40909</v>
      </c>
      <c r="AC70" s="164">
        <v>41274</v>
      </c>
      <c r="AD70" s="164">
        <v>41320</v>
      </c>
      <c r="AE70" s="34">
        <f>SUMPRODUCT(DB_STProjectsSOF[[#This Row],[Plan01]:[Plan12]],$D$4:$O$4)/valUnits2</f>
        <v>-1.9226099999999999</v>
      </c>
      <c r="AF70" s="34">
        <f>SUMPRODUCT(DB_STProjectsSOF[[#This Row],[Act01]:[Act12]],$P$4:$AA$4)/valUnits2</f>
        <v>-1.9226099999999999</v>
      </c>
      <c r="AG70" s="34">
        <f>DB_STProjectsSOF[[#This Row],[Actual]]-DB_STProjectsSOF[[#This Row],[Plan]]</f>
        <v>0</v>
      </c>
      <c r="AH70" s="34">
        <f>IF(DB_STProjectsSOF[[#This Row],[Plan]]&lt;&gt;0,DB_STProjectsSOF[[#This Row],[Actual]]/DB_STProjectsSOF[[#This Row],[Plan]],1.000011000011)</f>
        <v>1</v>
      </c>
      <c r="AI70" s="34">
        <f>SUM(DB_STProjectsSOF[[#This Row],[Plan01]:[Plan12]])/valUnits2</f>
        <v>-1.9226099999999999</v>
      </c>
      <c r="AJ70" s="34">
        <f>SUMPRODUCT(DB_STProjectsSOF[[#This Row],[Act01]:[Act12]],$P$3:$AA$3)/valUnits2</f>
        <v>-1.9226099999999999</v>
      </c>
      <c r="AK70" s="34">
        <f>IF(DB_STProjectsSOF[[#This Row],[FY Plan]]&lt;&gt;0,DB_STProjectsSOF[[#This Row],[FY Actuals]]/DB_STProjectsSOF[[#This Row],[FY Plan]],1.000011000011)</f>
        <v>1</v>
      </c>
    </row>
    <row r="71" spans="1:37" hidden="1" x14ac:dyDescent="0.2">
      <c r="A71">
        <f>SUBTOTAL(3,$B$6:B71)</f>
        <v>0</v>
      </c>
      <c r="B71" t="s">
        <v>998</v>
      </c>
      <c r="C71" t="s">
        <v>919</v>
      </c>
      <c r="D71">
        <v>0</v>
      </c>
      <c r="E71">
        <v>662.97500000000002</v>
      </c>
      <c r="F71">
        <v>534.70399999999995</v>
      </c>
      <c r="G71">
        <v>665.68600000000004</v>
      </c>
      <c r="H71">
        <v>406.44099999999997</v>
      </c>
      <c r="I71">
        <v>552.30799999999999</v>
      </c>
      <c r="J71">
        <v>552.30799999999999</v>
      </c>
      <c r="K71">
        <v>552.30799999999999</v>
      </c>
      <c r="L71">
        <v>552.30799999999999</v>
      </c>
      <c r="M71">
        <v>552.30799999999999</v>
      </c>
      <c r="N71">
        <v>552.30799999999999</v>
      </c>
      <c r="O71">
        <v>552.30799999999999</v>
      </c>
      <c r="P71">
        <v>0</v>
      </c>
      <c r="Q71">
        <v>676.02</v>
      </c>
      <c r="R71">
        <v>538.53</v>
      </c>
      <c r="S71">
        <v>661.36999999999989</v>
      </c>
      <c r="T71">
        <v>402.58000000000004</v>
      </c>
      <c r="U71">
        <v>402.24</v>
      </c>
      <c r="V71">
        <v>1895</v>
      </c>
      <c r="W71">
        <v>0</v>
      </c>
      <c r="X71">
        <v>0</v>
      </c>
      <c r="Y71">
        <v>0</v>
      </c>
      <c r="Z71">
        <v>0</v>
      </c>
      <c r="AA71">
        <v>0</v>
      </c>
      <c r="AB71" s="164">
        <v>40878</v>
      </c>
      <c r="AC71" s="164">
        <v>42794</v>
      </c>
      <c r="AD71" s="164">
        <v>42978</v>
      </c>
      <c r="AE71" s="34">
        <f>SUMPRODUCT(DB_STProjectsSOF[[#This Row],[Plan01]:[Plan12]],$D$4:$O$4)/valUnits2</f>
        <v>2.822114</v>
      </c>
      <c r="AF71" s="34">
        <f>SUMPRODUCT(DB_STProjectsSOF[[#This Row],[Act01]:[Act12]],$P$4:$AA$4)/valUnits2</f>
        <v>2.6807399999999997</v>
      </c>
      <c r="AG71" s="34">
        <f>DB_STProjectsSOF[[#This Row],[Actual]]-DB_STProjectsSOF[[#This Row],[Plan]]</f>
        <v>-0.14137400000000033</v>
      </c>
      <c r="AH71" s="34">
        <f>IF(DB_STProjectsSOF[[#This Row],[Plan]]&lt;&gt;0,DB_STProjectsSOF[[#This Row],[Actual]]/DB_STProjectsSOF[[#This Row],[Plan]],1.000011000011)</f>
        <v>0.94990492942524629</v>
      </c>
      <c r="AI71" s="34">
        <f>SUM(DB_STProjectsSOF[[#This Row],[Plan01]:[Plan12]])/valUnits2</f>
        <v>6.1359620000000001</v>
      </c>
      <c r="AJ71" s="34">
        <f>SUMPRODUCT(DB_STProjectsSOF[[#This Row],[Act01]:[Act12]],$P$3:$AA$3)/valUnits2</f>
        <v>2.6807399999999997</v>
      </c>
      <c r="AK71" s="34">
        <f>IF(DB_STProjectsSOF[[#This Row],[FY Plan]]&lt;&gt;0,DB_STProjectsSOF[[#This Row],[FY Actuals]]/DB_STProjectsSOF[[#This Row],[FY Plan]],1.000011000011)</f>
        <v>0.43688992858821479</v>
      </c>
    </row>
    <row r="72" spans="1:37" hidden="1" x14ac:dyDescent="0.2">
      <c r="A72">
        <f>SUBTOTAL(3,$B$6:B72)</f>
        <v>0</v>
      </c>
      <c r="B72" t="s">
        <v>998</v>
      </c>
      <c r="C72" t="s">
        <v>927</v>
      </c>
      <c r="D72">
        <v>0</v>
      </c>
      <c r="E72">
        <v>2054.94</v>
      </c>
      <c r="F72">
        <v>1649.31</v>
      </c>
      <c r="G72">
        <v>2068.59</v>
      </c>
      <c r="H72">
        <v>1255.8500000000001</v>
      </c>
      <c r="I72">
        <v>4647.4380000000001</v>
      </c>
      <c r="J72">
        <v>4647.4380000000001</v>
      </c>
      <c r="K72">
        <v>4647.4380000000001</v>
      </c>
      <c r="L72">
        <v>4647.4380000000001</v>
      </c>
      <c r="M72">
        <v>4647.4380000000001</v>
      </c>
      <c r="N72">
        <v>4647.4380000000001</v>
      </c>
      <c r="O72">
        <v>4647.4380000000001</v>
      </c>
      <c r="P72">
        <v>0</v>
      </c>
      <c r="Q72">
        <v>2054.94</v>
      </c>
      <c r="R72">
        <v>1649.31</v>
      </c>
      <c r="S72">
        <v>2068.59</v>
      </c>
      <c r="T72">
        <v>1255.8500000000001</v>
      </c>
      <c r="U72">
        <v>1259</v>
      </c>
      <c r="V72">
        <v>5935</v>
      </c>
      <c r="W72">
        <v>0</v>
      </c>
      <c r="X72">
        <v>0</v>
      </c>
      <c r="Y72">
        <v>0</v>
      </c>
      <c r="Z72">
        <v>0</v>
      </c>
      <c r="AA72">
        <v>0</v>
      </c>
      <c r="AB72" s="164">
        <v>40817</v>
      </c>
      <c r="AC72" s="164">
        <v>42052</v>
      </c>
      <c r="AD72" s="164">
        <v>42141</v>
      </c>
      <c r="AE72" s="34">
        <f>SUMPRODUCT(DB_STProjectsSOF[[#This Row],[Plan01]:[Plan12]],$D$4:$O$4)/valUnits2</f>
        <v>11.676128</v>
      </c>
      <c r="AF72" s="34">
        <f>SUMPRODUCT(DB_STProjectsSOF[[#This Row],[Act01]:[Act12]],$P$4:$AA$4)/valUnits2</f>
        <v>8.2876900000000013</v>
      </c>
      <c r="AG72" s="34">
        <f>DB_STProjectsSOF[[#This Row],[Actual]]-DB_STProjectsSOF[[#This Row],[Plan]]</f>
        <v>-3.388437999999999</v>
      </c>
      <c r="AH72" s="34">
        <f>IF(DB_STProjectsSOF[[#This Row],[Plan]]&lt;&gt;0,DB_STProjectsSOF[[#This Row],[Actual]]/DB_STProjectsSOF[[#This Row],[Plan]],1.000011000011)</f>
        <v>0.7097978028332681</v>
      </c>
      <c r="AI72" s="34">
        <f>SUM(DB_STProjectsSOF[[#This Row],[Plan01]:[Plan12]])/valUnits2</f>
        <v>39.560756000000012</v>
      </c>
      <c r="AJ72" s="34">
        <f>SUMPRODUCT(DB_STProjectsSOF[[#This Row],[Act01]:[Act12]],$P$3:$AA$3)/valUnits2</f>
        <v>8.2876900000000013</v>
      </c>
      <c r="AK72" s="34">
        <f>IF(DB_STProjectsSOF[[#This Row],[FY Plan]]&lt;&gt;0,DB_STProjectsSOF[[#This Row],[FY Actuals]]/DB_STProjectsSOF[[#This Row],[FY Plan]],1.000011000011)</f>
        <v>0.20949271040219755</v>
      </c>
    </row>
    <row r="73" spans="1:37" hidden="1" x14ac:dyDescent="0.2">
      <c r="A73">
        <f>SUBTOTAL(3,$B$6:B73)</f>
        <v>0</v>
      </c>
      <c r="B73" t="s">
        <v>998</v>
      </c>
      <c r="C73" t="s">
        <v>928</v>
      </c>
      <c r="D73">
        <v>0</v>
      </c>
      <c r="E73">
        <v>412.798</v>
      </c>
      <c r="F73">
        <v>333.05100000000004</v>
      </c>
      <c r="G73">
        <v>423.30800000000005</v>
      </c>
      <c r="I73">
        <v>0</v>
      </c>
      <c r="P73">
        <v>0</v>
      </c>
      <c r="Q73">
        <v>420.92</v>
      </c>
      <c r="R73">
        <v>335.43</v>
      </c>
      <c r="S73">
        <v>421.32</v>
      </c>
      <c r="U73">
        <v>-1177.67</v>
      </c>
      <c r="AB73" s="164">
        <v>40817</v>
      </c>
      <c r="AC73" s="164">
        <v>41305</v>
      </c>
      <c r="AD73" s="164">
        <v>41394</v>
      </c>
      <c r="AE73" s="34">
        <f>SUMPRODUCT(DB_STProjectsSOF[[#This Row],[Plan01]:[Plan12]],$D$4:$O$4)/valUnits2</f>
        <v>1.1691570000000002</v>
      </c>
      <c r="AF73" s="34">
        <f>SUMPRODUCT(DB_STProjectsSOF[[#This Row],[Act01]:[Act12]],$P$4:$AA$4)/valUnits2</f>
        <v>0</v>
      </c>
      <c r="AG73" s="34">
        <f>DB_STProjectsSOF[[#This Row],[Actual]]-DB_STProjectsSOF[[#This Row],[Plan]]</f>
        <v>-1.1691570000000002</v>
      </c>
      <c r="AH73" s="34">
        <f>IF(DB_STProjectsSOF[[#This Row],[Plan]]&lt;&gt;0,DB_STProjectsSOF[[#This Row],[Actual]]/DB_STProjectsSOF[[#This Row],[Plan]],1.000011000011)</f>
        <v>0</v>
      </c>
      <c r="AI73" s="34">
        <f>SUM(DB_STProjectsSOF[[#This Row],[Plan01]:[Plan12]])/valUnits2</f>
        <v>1.1691570000000002</v>
      </c>
      <c r="AJ73" s="34">
        <f>SUMPRODUCT(DB_STProjectsSOF[[#This Row],[Act01]:[Act12]],$P$3:$AA$3)/valUnits2</f>
        <v>0</v>
      </c>
      <c r="AK73" s="34">
        <f>IF(DB_STProjectsSOF[[#This Row],[FY Plan]]&lt;&gt;0,DB_STProjectsSOF[[#This Row],[FY Actuals]]/DB_STProjectsSOF[[#This Row],[FY Plan]],1.000011000011)</f>
        <v>0</v>
      </c>
    </row>
    <row r="74" spans="1:37" hidden="1" x14ac:dyDescent="0.2">
      <c r="A74">
        <f>SUBTOTAL(3,$B$6:B74)</f>
        <v>0</v>
      </c>
      <c r="B74" t="s">
        <v>998</v>
      </c>
      <c r="C74" t="s">
        <v>929</v>
      </c>
      <c r="E74">
        <v>88.061000000000007</v>
      </c>
      <c r="Q74">
        <v>87.97</v>
      </c>
      <c r="AB74" s="164">
        <v>41214</v>
      </c>
      <c r="AC74" s="164">
        <v>41379</v>
      </c>
      <c r="AD74" s="164">
        <v>41409</v>
      </c>
      <c r="AE74" s="34">
        <f>SUMPRODUCT(DB_STProjectsSOF[[#This Row],[Plan01]:[Plan12]],$D$4:$O$4)/valUnits2</f>
        <v>8.8061E-2</v>
      </c>
      <c r="AF74" s="34">
        <f>SUMPRODUCT(DB_STProjectsSOF[[#This Row],[Act01]:[Act12]],$P$4:$AA$4)/valUnits2</f>
        <v>8.7969999999999993E-2</v>
      </c>
      <c r="AG74" s="34">
        <f>DB_STProjectsSOF[[#This Row],[Actual]]-DB_STProjectsSOF[[#This Row],[Plan]]</f>
        <v>-9.1000000000007741E-5</v>
      </c>
      <c r="AH74" s="34">
        <f>IF(DB_STProjectsSOF[[#This Row],[Plan]]&lt;&gt;0,DB_STProjectsSOF[[#This Row],[Actual]]/DB_STProjectsSOF[[#This Row],[Plan]],1.000011000011)</f>
        <v>0.99896662540738801</v>
      </c>
      <c r="AI74" s="34">
        <f>SUM(DB_STProjectsSOF[[#This Row],[Plan01]:[Plan12]])/valUnits2</f>
        <v>8.8061E-2</v>
      </c>
      <c r="AJ74" s="34">
        <f>SUMPRODUCT(DB_STProjectsSOF[[#This Row],[Act01]:[Act12]],$P$3:$AA$3)/valUnits2</f>
        <v>8.7969999999999993E-2</v>
      </c>
      <c r="AK74" s="34">
        <f>IF(DB_STProjectsSOF[[#This Row],[FY Plan]]&lt;&gt;0,DB_STProjectsSOF[[#This Row],[FY Actuals]]/DB_STProjectsSOF[[#This Row],[FY Plan]],1.000011000011)</f>
        <v>0.99896662540738801</v>
      </c>
    </row>
    <row r="75" spans="1:37" hidden="1" x14ac:dyDescent="0.2">
      <c r="A75">
        <f>SUBTOTAL(3,$B$6:B75)</f>
        <v>0</v>
      </c>
      <c r="B75" t="s">
        <v>998</v>
      </c>
      <c r="C75" t="s">
        <v>935</v>
      </c>
      <c r="D75">
        <v>0</v>
      </c>
      <c r="E75">
        <v>1265.8920000000001</v>
      </c>
      <c r="F75">
        <v>1049.48</v>
      </c>
      <c r="G75">
        <v>1314.95</v>
      </c>
      <c r="H75">
        <v>787.39100000000008</v>
      </c>
      <c r="I75">
        <v>1383.3110000000001</v>
      </c>
      <c r="J75">
        <v>1383.3110000000001</v>
      </c>
      <c r="K75">
        <v>1383.3110000000001</v>
      </c>
      <c r="L75">
        <v>1383.3110000000001</v>
      </c>
      <c r="M75">
        <v>1383.3110000000001</v>
      </c>
      <c r="N75">
        <v>1383.3110000000001</v>
      </c>
      <c r="O75">
        <v>1383.3110000000001</v>
      </c>
      <c r="P75">
        <v>0</v>
      </c>
      <c r="Q75">
        <v>1309.98</v>
      </c>
      <c r="R75">
        <v>1045.21</v>
      </c>
      <c r="S75">
        <v>1295.21</v>
      </c>
      <c r="T75">
        <v>788.23</v>
      </c>
      <c r="U75">
        <v>788.65000000000009</v>
      </c>
      <c r="V75">
        <v>3717</v>
      </c>
      <c r="W75">
        <v>0</v>
      </c>
      <c r="X75">
        <v>0</v>
      </c>
      <c r="Y75">
        <v>0</v>
      </c>
      <c r="Z75">
        <v>0</v>
      </c>
      <c r="AA75">
        <v>0</v>
      </c>
      <c r="AB75" s="164">
        <v>41000</v>
      </c>
      <c r="AC75" s="164">
        <v>42094</v>
      </c>
      <c r="AD75" s="164">
        <v>42124</v>
      </c>
      <c r="AE75" s="34">
        <f>SUMPRODUCT(DB_STProjectsSOF[[#This Row],[Plan01]:[Plan12]],$D$4:$O$4)/valUnits2</f>
        <v>5.8010239999999991</v>
      </c>
      <c r="AF75" s="34">
        <f>SUMPRODUCT(DB_STProjectsSOF[[#This Row],[Act01]:[Act12]],$P$4:$AA$4)/valUnits2</f>
        <v>5.2272800000000004</v>
      </c>
      <c r="AG75" s="34">
        <f>DB_STProjectsSOF[[#This Row],[Actual]]-DB_STProjectsSOF[[#This Row],[Plan]]</f>
        <v>-0.5737439999999987</v>
      </c>
      <c r="AH75" s="34">
        <f>IF(DB_STProjectsSOF[[#This Row],[Plan]]&lt;&gt;0,DB_STProjectsSOF[[#This Row],[Actual]]/DB_STProjectsSOF[[#This Row],[Plan]],1.000011000011)</f>
        <v>0.90109608234684102</v>
      </c>
      <c r="AI75" s="34">
        <f>SUM(DB_STProjectsSOF[[#This Row],[Plan01]:[Plan12]])/valUnits2</f>
        <v>14.100889999999998</v>
      </c>
      <c r="AJ75" s="34">
        <f>SUMPRODUCT(DB_STProjectsSOF[[#This Row],[Act01]:[Act12]],$P$3:$AA$3)/valUnits2</f>
        <v>5.2272800000000004</v>
      </c>
      <c r="AK75" s="34">
        <f>IF(DB_STProjectsSOF[[#This Row],[FY Plan]]&lt;&gt;0,DB_STProjectsSOF[[#This Row],[FY Actuals]]/DB_STProjectsSOF[[#This Row],[FY Plan]],1.000011000011)</f>
        <v>0.37070567886140526</v>
      </c>
    </row>
    <row r="76" spans="1:37" hidden="1" x14ac:dyDescent="0.2">
      <c r="A76">
        <f>SUBTOTAL(3,$B$6:B76)</f>
        <v>0</v>
      </c>
      <c r="B76" t="s">
        <v>975</v>
      </c>
      <c r="C76" t="s">
        <v>841</v>
      </c>
      <c r="D76">
        <v>0</v>
      </c>
      <c r="E76">
        <v>0</v>
      </c>
      <c r="F76">
        <v>0</v>
      </c>
      <c r="I76">
        <v>0</v>
      </c>
      <c r="P76">
        <v>0</v>
      </c>
      <c r="Q76">
        <v>0</v>
      </c>
      <c r="R76">
        <v>0</v>
      </c>
      <c r="U76">
        <v>610.80999999999995</v>
      </c>
      <c r="AB76" s="164">
        <v>40817</v>
      </c>
      <c r="AC76" s="164">
        <v>41364</v>
      </c>
      <c r="AD76" s="164">
        <v>41394</v>
      </c>
      <c r="AE76" s="34">
        <f>SUMPRODUCT(DB_STProjectsSOF[[#This Row],[Plan01]:[Plan12]],$D$4:$O$4)/valUnits2</f>
        <v>0</v>
      </c>
      <c r="AF76" s="34">
        <f>SUMPRODUCT(DB_STProjectsSOF[[#This Row],[Act01]:[Act12]],$P$4:$AA$4)/valUnits2</f>
        <v>0.61080999999999996</v>
      </c>
      <c r="AG76" s="34">
        <f>DB_STProjectsSOF[[#This Row],[Actual]]-DB_STProjectsSOF[[#This Row],[Plan]]</f>
        <v>0.61080999999999996</v>
      </c>
      <c r="AH76" s="34">
        <f>IF(DB_STProjectsSOF[[#This Row],[Plan]]&lt;&gt;0,DB_STProjectsSOF[[#This Row],[Actual]]/DB_STProjectsSOF[[#This Row],[Plan]],1.000011000011)</f>
        <v>1.0000110000110001</v>
      </c>
      <c r="AI76" s="34">
        <f>SUM(DB_STProjectsSOF[[#This Row],[Plan01]:[Plan12]])/valUnits2</f>
        <v>0</v>
      </c>
      <c r="AJ76" s="34">
        <f>SUMPRODUCT(DB_STProjectsSOF[[#This Row],[Act01]:[Act12]],$P$3:$AA$3)/valUnits2</f>
        <v>0.61080999999999996</v>
      </c>
      <c r="AK76" s="34">
        <f>IF(DB_STProjectsSOF[[#This Row],[FY Plan]]&lt;&gt;0,DB_STProjectsSOF[[#This Row],[FY Actuals]]/DB_STProjectsSOF[[#This Row],[FY Plan]],1.000011000011)</f>
        <v>1.0000110000110001</v>
      </c>
    </row>
    <row r="77" spans="1:37" hidden="1" x14ac:dyDescent="0.2">
      <c r="A77">
        <f>SUBTOTAL(3,$B$6:B77)</f>
        <v>0</v>
      </c>
      <c r="B77" t="s">
        <v>975</v>
      </c>
      <c r="C77" t="s">
        <v>842</v>
      </c>
      <c r="D77">
        <v>0</v>
      </c>
      <c r="E77">
        <v>0</v>
      </c>
      <c r="F77">
        <v>0</v>
      </c>
      <c r="G77">
        <v>3977.2450000000003</v>
      </c>
      <c r="H77">
        <v>3472.5899999999997</v>
      </c>
      <c r="I77">
        <v>3933.8810000000003</v>
      </c>
      <c r="J77">
        <v>3933.8810000000003</v>
      </c>
      <c r="K77">
        <v>3933.8810000000003</v>
      </c>
      <c r="L77">
        <v>3933.8810000000003</v>
      </c>
      <c r="M77">
        <v>3933.8810000000003</v>
      </c>
      <c r="N77">
        <v>3933.8810000000003</v>
      </c>
      <c r="O77">
        <v>3933.8810000000003</v>
      </c>
      <c r="P77">
        <v>0</v>
      </c>
      <c r="Q77">
        <v>0</v>
      </c>
      <c r="R77">
        <v>0</v>
      </c>
      <c r="S77">
        <v>4026.5000000000005</v>
      </c>
      <c r="T77">
        <v>3485.9999999999995</v>
      </c>
      <c r="U77">
        <v>1529.52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s="164">
        <v>41214</v>
      </c>
      <c r="AC77" s="164">
        <v>42308</v>
      </c>
      <c r="AD77" s="164">
        <v>42389</v>
      </c>
      <c r="AE77" s="34">
        <f>SUMPRODUCT(DB_STProjectsSOF[[#This Row],[Plan01]:[Plan12]],$D$4:$O$4)/valUnits2</f>
        <v>11.383716</v>
      </c>
      <c r="AF77" s="34">
        <f>SUMPRODUCT(DB_STProjectsSOF[[#This Row],[Act01]:[Act12]],$P$4:$AA$4)/valUnits2</f>
        <v>9.0420200000000008</v>
      </c>
      <c r="AG77" s="34">
        <f>DB_STProjectsSOF[[#This Row],[Actual]]-DB_STProjectsSOF[[#This Row],[Plan]]</f>
        <v>-2.3416959999999989</v>
      </c>
      <c r="AH77" s="34">
        <f>IF(DB_STProjectsSOF[[#This Row],[Plan]]&lt;&gt;0,DB_STProjectsSOF[[#This Row],[Actual]]/DB_STProjectsSOF[[#This Row],[Plan]],1.000011000011)</f>
        <v>0.79429423573110935</v>
      </c>
      <c r="AI77" s="34">
        <f>SUM(DB_STProjectsSOF[[#This Row],[Plan01]:[Plan12]])/valUnits2</f>
        <v>34.987002000000011</v>
      </c>
      <c r="AJ77" s="34">
        <f>SUMPRODUCT(DB_STProjectsSOF[[#This Row],[Act01]:[Act12]],$P$3:$AA$3)/valUnits2</f>
        <v>9.0420200000000008</v>
      </c>
      <c r="AK77" s="34">
        <f>IF(DB_STProjectsSOF[[#This Row],[FY Plan]]&lt;&gt;0,DB_STProjectsSOF[[#This Row],[FY Actuals]]/DB_STProjectsSOF[[#This Row],[FY Plan]],1.000011000011)</f>
        <v>0.25843940558267892</v>
      </c>
    </row>
    <row r="78" spans="1:37" hidden="1" x14ac:dyDescent="0.2">
      <c r="A78">
        <f>SUBTOTAL(3,$B$6:B78)</f>
        <v>0</v>
      </c>
      <c r="B78" t="s">
        <v>975</v>
      </c>
      <c r="C78" t="s">
        <v>843</v>
      </c>
      <c r="G78">
        <v>5758.6000000000013</v>
      </c>
      <c r="H78">
        <v>3681.4029999999998</v>
      </c>
      <c r="I78">
        <v>1187.6579999999999</v>
      </c>
      <c r="J78">
        <v>1187.6579999999999</v>
      </c>
      <c r="K78">
        <v>1187.6579999999999</v>
      </c>
      <c r="L78">
        <v>1187.6579999999999</v>
      </c>
      <c r="M78">
        <v>1187.6579999999999</v>
      </c>
      <c r="N78">
        <v>1187.6579999999999</v>
      </c>
      <c r="O78">
        <v>1187.6579999999999</v>
      </c>
      <c r="S78">
        <v>5772.5800000000008</v>
      </c>
      <c r="T78">
        <v>3674.64</v>
      </c>
      <c r="U78">
        <v>3447.5800000000004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s="164">
        <v>41275</v>
      </c>
      <c r="AC78" s="164">
        <v>42369</v>
      </c>
      <c r="AD78" s="164">
        <v>42492</v>
      </c>
      <c r="AE78" s="34">
        <f>SUMPRODUCT(DB_STProjectsSOF[[#This Row],[Plan01]:[Plan12]],$D$4:$O$4)/valUnits2</f>
        <v>10.627661</v>
      </c>
      <c r="AF78" s="34">
        <f>SUMPRODUCT(DB_STProjectsSOF[[#This Row],[Act01]:[Act12]],$P$4:$AA$4)/valUnits2</f>
        <v>12.894800000000002</v>
      </c>
      <c r="AG78" s="34">
        <f>DB_STProjectsSOF[[#This Row],[Actual]]-DB_STProjectsSOF[[#This Row],[Plan]]</f>
        <v>2.267139000000002</v>
      </c>
      <c r="AH78" s="34">
        <f>IF(DB_STProjectsSOF[[#This Row],[Plan]]&lt;&gt;0,DB_STProjectsSOF[[#This Row],[Actual]]/DB_STProjectsSOF[[#This Row],[Plan]],1.000011000011)</f>
        <v>1.2133243617763121</v>
      </c>
      <c r="AI78" s="34">
        <f>SUM(DB_STProjectsSOF[[#This Row],[Plan01]:[Plan12]])/valUnits2</f>
        <v>17.753608999999997</v>
      </c>
      <c r="AJ78" s="34">
        <f>SUMPRODUCT(DB_STProjectsSOF[[#This Row],[Act01]:[Act12]],$P$3:$AA$3)/valUnits2</f>
        <v>12.894800000000002</v>
      </c>
      <c r="AK78" s="34">
        <f>IF(DB_STProjectsSOF[[#This Row],[FY Plan]]&lt;&gt;0,DB_STProjectsSOF[[#This Row],[FY Actuals]]/DB_STProjectsSOF[[#This Row],[FY Plan]],1.000011000011)</f>
        <v>0.7263199274018034</v>
      </c>
    </row>
    <row r="79" spans="1:37" hidden="1" x14ac:dyDescent="0.2">
      <c r="A79">
        <f>SUBTOTAL(3,$B$6:B79)</f>
        <v>0</v>
      </c>
      <c r="B79" t="s">
        <v>975</v>
      </c>
      <c r="C79" t="s">
        <v>357</v>
      </c>
      <c r="E79">
        <v>42.879999999999995</v>
      </c>
      <c r="F79">
        <v>45.81</v>
      </c>
      <c r="G79">
        <v>140.63</v>
      </c>
      <c r="H79">
        <v>179.33</v>
      </c>
      <c r="I79">
        <v>304.37200000000001</v>
      </c>
      <c r="Q79">
        <v>42.879999999999995</v>
      </c>
      <c r="R79">
        <v>45.81</v>
      </c>
      <c r="S79">
        <v>140.63</v>
      </c>
      <c r="T79">
        <v>179.75000000000003</v>
      </c>
      <c r="U79">
        <v>152.38</v>
      </c>
      <c r="AB79" s="164">
        <v>40817</v>
      </c>
      <c r="AC79" s="164">
        <v>41455</v>
      </c>
      <c r="AD79" s="164">
        <v>41517</v>
      </c>
      <c r="AE79" s="34">
        <f>SUMPRODUCT(DB_STProjectsSOF[[#This Row],[Plan01]:[Plan12]],$D$4:$O$4)/valUnits2</f>
        <v>0.71302199999999993</v>
      </c>
      <c r="AF79" s="34">
        <f>SUMPRODUCT(DB_STProjectsSOF[[#This Row],[Act01]:[Act12]],$P$4:$AA$4)/valUnits2</f>
        <v>0.56145</v>
      </c>
      <c r="AG79" s="34">
        <f>DB_STProjectsSOF[[#This Row],[Actual]]-DB_STProjectsSOF[[#This Row],[Plan]]</f>
        <v>-0.15157199999999993</v>
      </c>
      <c r="AH79" s="34">
        <f>IF(DB_STProjectsSOF[[#This Row],[Plan]]&lt;&gt;0,DB_STProjectsSOF[[#This Row],[Actual]]/DB_STProjectsSOF[[#This Row],[Plan]],1.000011000011)</f>
        <v>0.78742310896437984</v>
      </c>
      <c r="AI79" s="34">
        <f>SUM(DB_STProjectsSOF[[#This Row],[Plan01]:[Plan12]])/valUnits2</f>
        <v>0.71302199999999993</v>
      </c>
      <c r="AJ79" s="34">
        <f>SUMPRODUCT(DB_STProjectsSOF[[#This Row],[Act01]:[Act12]],$P$3:$AA$3)/valUnits2</f>
        <v>0.56145</v>
      </c>
      <c r="AK79" s="34">
        <f>IF(DB_STProjectsSOF[[#This Row],[FY Plan]]&lt;&gt;0,DB_STProjectsSOF[[#This Row],[FY Actuals]]/DB_STProjectsSOF[[#This Row],[FY Plan]],1.000011000011)</f>
        <v>0.78742310896437984</v>
      </c>
    </row>
    <row r="80" spans="1:37" hidden="1" x14ac:dyDescent="0.2">
      <c r="A80">
        <f>SUBTOTAL(3,$B$6:B80)</f>
        <v>0</v>
      </c>
      <c r="B80" t="s">
        <v>975</v>
      </c>
      <c r="C80" t="s">
        <v>846</v>
      </c>
      <c r="D80">
        <v>0</v>
      </c>
      <c r="E80">
        <v>0</v>
      </c>
      <c r="F80">
        <v>0</v>
      </c>
      <c r="G80">
        <v>206.8</v>
      </c>
      <c r="H80">
        <v>70.69</v>
      </c>
      <c r="I80">
        <v>73.546999999999997</v>
      </c>
      <c r="J80">
        <v>73.546999999999997</v>
      </c>
      <c r="K80">
        <v>73.546999999999997</v>
      </c>
      <c r="L80">
        <v>73.546999999999997</v>
      </c>
      <c r="M80">
        <v>73.546999999999997</v>
      </c>
      <c r="N80">
        <v>73.546999999999997</v>
      </c>
      <c r="O80">
        <v>73.546999999999997</v>
      </c>
      <c r="P80">
        <v>0</v>
      </c>
      <c r="Q80">
        <v>0</v>
      </c>
      <c r="R80">
        <v>0</v>
      </c>
      <c r="S80">
        <v>206.79999999999998</v>
      </c>
      <c r="T80">
        <v>71</v>
      </c>
      <c r="U80">
        <v>76.41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s="164">
        <v>40817</v>
      </c>
      <c r="AC80" s="164">
        <v>41599</v>
      </c>
      <c r="AD80" s="164">
        <v>41305</v>
      </c>
      <c r="AE80" s="34">
        <f>SUMPRODUCT(DB_STProjectsSOF[[#This Row],[Plan01]:[Plan12]],$D$4:$O$4)/valUnits2</f>
        <v>0.35103700000000004</v>
      </c>
      <c r="AF80" s="34">
        <f>SUMPRODUCT(DB_STProjectsSOF[[#This Row],[Act01]:[Act12]],$P$4:$AA$4)/valUnits2</f>
        <v>0.35420999999999991</v>
      </c>
      <c r="AG80" s="34">
        <f>DB_STProjectsSOF[[#This Row],[Actual]]-DB_STProjectsSOF[[#This Row],[Plan]]</f>
        <v>3.1729999999998704E-3</v>
      </c>
      <c r="AH80" s="34">
        <f>IF(DB_STProjectsSOF[[#This Row],[Plan]]&lt;&gt;0,DB_STProjectsSOF[[#This Row],[Actual]]/DB_STProjectsSOF[[#This Row],[Plan]],1.000011000011)</f>
        <v>1.0090389332178655</v>
      </c>
      <c r="AI80" s="34">
        <f>SUM(DB_STProjectsSOF[[#This Row],[Plan01]:[Plan12]])/valUnits2</f>
        <v>0.79231900000000022</v>
      </c>
      <c r="AJ80" s="34">
        <f>SUMPRODUCT(DB_STProjectsSOF[[#This Row],[Act01]:[Act12]],$P$3:$AA$3)/valUnits2</f>
        <v>0.35420999999999991</v>
      </c>
      <c r="AK80" s="34">
        <f>IF(DB_STProjectsSOF[[#This Row],[FY Plan]]&lt;&gt;0,DB_STProjectsSOF[[#This Row],[FY Actuals]]/DB_STProjectsSOF[[#This Row],[FY Plan]],1.000011000011)</f>
        <v>0.44705478475210086</v>
      </c>
    </row>
    <row r="81" spans="1:37" hidden="1" x14ac:dyDescent="0.2">
      <c r="A81">
        <f>SUBTOTAL(3,$B$6:B81)</f>
        <v>0</v>
      </c>
      <c r="B81" t="s">
        <v>975</v>
      </c>
      <c r="C81" t="s">
        <v>847</v>
      </c>
      <c r="H81">
        <v>997.62900000000002</v>
      </c>
      <c r="I81">
        <v>0</v>
      </c>
      <c r="T81">
        <v>1020.89</v>
      </c>
      <c r="U81">
        <v>105.59000000000005</v>
      </c>
      <c r="AB81" s="164">
        <v>41334</v>
      </c>
      <c r="AC81" s="164">
        <v>41698</v>
      </c>
      <c r="AD81" s="164">
        <v>41759</v>
      </c>
      <c r="AE81" s="34">
        <f>SUMPRODUCT(DB_STProjectsSOF[[#This Row],[Plan01]:[Plan12]],$D$4:$O$4)/valUnits2</f>
        <v>0.99762899999999999</v>
      </c>
      <c r="AF81" s="34">
        <f>SUMPRODUCT(DB_STProjectsSOF[[#This Row],[Act01]:[Act12]],$P$4:$AA$4)/valUnits2</f>
        <v>1.1264799999999999</v>
      </c>
      <c r="AG81" s="34">
        <f>DB_STProjectsSOF[[#This Row],[Actual]]-DB_STProjectsSOF[[#This Row],[Plan]]</f>
        <v>0.12885099999999994</v>
      </c>
      <c r="AH81" s="34">
        <f>IF(DB_STProjectsSOF[[#This Row],[Plan]]&lt;&gt;0,DB_STProjectsSOF[[#This Row],[Actual]]/DB_STProjectsSOF[[#This Row],[Plan]],1.000011000011)</f>
        <v>1.1291572317965897</v>
      </c>
      <c r="AI81" s="34">
        <f>SUM(DB_STProjectsSOF[[#This Row],[Plan01]:[Plan12]])/valUnits2</f>
        <v>0.99762899999999999</v>
      </c>
      <c r="AJ81" s="34">
        <f>SUMPRODUCT(DB_STProjectsSOF[[#This Row],[Act01]:[Act12]],$P$3:$AA$3)/valUnits2</f>
        <v>1.1264799999999999</v>
      </c>
      <c r="AK81" s="34">
        <f>IF(DB_STProjectsSOF[[#This Row],[FY Plan]]&lt;&gt;0,DB_STProjectsSOF[[#This Row],[FY Actuals]]/DB_STProjectsSOF[[#This Row],[FY Plan]],1.000011000011)</f>
        <v>1.1291572317965897</v>
      </c>
    </row>
    <row r="82" spans="1:37" hidden="1" x14ac:dyDescent="0.2">
      <c r="A82">
        <f>SUBTOTAL(3,$B$6:B82)</f>
        <v>0</v>
      </c>
      <c r="B82" t="s">
        <v>975</v>
      </c>
      <c r="C82" t="s">
        <v>849</v>
      </c>
      <c r="G82">
        <v>10.608000000000001</v>
      </c>
      <c r="H82">
        <v>19.908000000000001</v>
      </c>
      <c r="I82">
        <v>0</v>
      </c>
      <c r="S82">
        <v>10.27</v>
      </c>
      <c r="T82">
        <v>20.060000000000002</v>
      </c>
      <c r="U82">
        <v>2191.9499999999998</v>
      </c>
      <c r="AB82" s="164">
        <v>41153</v>
      </c>
      <c r="AC82" s="164">
        <v>41364</v>
      </c>
      <c r="AD82" s="164">
        <v>41424</v>
      </c>
      <c r="AE82" s="34">
        <f>SUMPRODUCT(DB_STProjectsSOF[[#This Row],[Plan01]:[Plan12]],$D$4:$O$4)/valUnits2</f>
        <v>3.0516000000000001E-2</v>
      </c>
      <c r="AF82" s="34">
        <f>SUMPRODUCT(DB_STProjectsSOF[[#This Row],[Act01]:[Act12]],$P$4:$AA$4)/valUnits2</f>
        <v>2.2222799999999996</v>
      </c>
      <c r="AG82" s="34">
        <f>DB_STProjectsSOF[[#This Row],[Actual]]-DB_STProjectsSOF[[#This Row],[Plan]]</f>
        <v>2.1917639999999996</v>
      </c>
      <c r="AH82" s="34">
        <f>IF(DB_STProjectsSOF[[#This Row],[Plan]]&lt;&gt;0,DB_STProjectsSOF[[#This Row],[Actual]]/DB_STProjectsSOF[[#This Row],[Plan]],1.000011000011)</f>
        <v>72.823436885568213</v>
      </c>
      <c r="AI82" s="34">
        <f>SUM(DB_STProjectsSOF[[#This Row],[Plan01]:[Plan12]])/valUnits2</f>
        <v>3.0516000000000001E-2</v>
      </c>
      <c r="AJ82" s="34">
        <f>SUMPRODUCT(DB_STProjectsSOF[[#This Row],[Act01]:[Act12]],$P$3:$AA$3)/valUnits2</f>
        <v>2.2222799999999996</v>
      </c>
      <c r="AK82" s="34">
        <f>IF(DB_STProjectsSOF[[#This Row],[FY Plan]]&lt;&gt;0,DB_STProjectsSOF[[#This Row],[FY Actuals]]/DB_STProjectsSOF[[#This Row],[FY Plan]],1.000011000011)</f>
        <v>72.823436885568213</v>
      </c>
    </row>
    <row r="83" spans="1:37" hidden="1" x14ac:dyDescent="0.2">
      <c r="A83">
        <f>SUBTOTAL(3,$B$6:B83)</f>
        <v>0</v>
      </c>
      <c r="B83" t="s">
        <v>975</v>
      </c>
      <c r="C83" t="s">
        <v>366</v>
      </c>
      <c r="D83">
        <v>0</v>
      </c>
      <c r="E83">
        <v>0</v>
      </c>
      <c r="F83">
        <v>0</v>
      </c>
      <c r="G83">
        <v>524.0859999999999</v>
      </c>
      <c r="H83">
        <v>162.79200000000003</v>
      </c>
      <c r="I83">
        <v>0</v>
      </c>
      <c r="J83">
        <v>0</v>
      </c>
      <c r="K83">
        <v>0</v>
      </c>
      <c r="P83">
        <v>0</v>
      </c>
      <c r="Q83">
        <v>0</v>
      </c>
      <c r="R83">
        <v>0</v>
      </c>
      <c r="S83">
        <v>532.13999999999987</v>
      </c>
      <c r="T83">
        <v>164.34999999999997</v>
      </c>
      <c r="U83">
        <v>176.83</v>
      </c>
      <c r="V83">
        <v>0</v>
      </c>
      <c r="W83">
        <v>0</v>
      </c>
      <c r="AB83" s="164">
        <v>41153</v>
      </c>
      <c r="AC83" s="164">
        <v>41517</v>
      </c>
      <c r="AD83" s="164">
        <v>41567</v>
      </c>
      <c r="AE83" s="34">
        <f>SUMPRODUCT(DB_STProjectsSOF[[#This Row],[Plan01]:[Plan12]],$D$4:$O$4)/valUnits2</f>
        <v>0.68687799999999988</v>
      </c>
      <c r="AF83" s="34">
        <f>SUMPRODUCT(DB_STProjectsSOF[[#This Row],[Act01]:[Act12]],$P$4:$AA$4)/valUnits2</f>
        <v>0.87331999999999987</v>
      </c>
      <c r="AG83" s="34">
        <f>DB_STProjectsSOF[[#This Row],[Actual]]-DB_STProjectsSOF[[#This Row],[Plan]]</f>
        <v>0.186442</v>
      </c>
      <c r="AH83" s="34">
        <f>IF(DB_STProjectsSOF[[#This Row],[Plan]]&lt;&gt;0,DB_STProjectsSOF[[#This Row],[Actual]]/DB_STProjectsSOF[[#This Row],[Plan]],1.000011000011)</f>
        <v>1.2714339373222028</v>
      </c>
      <c r="AI83" s="34">
        <f>SUM(DB_STProjectsSOF[[#This Row],[Plan01]:[Plan12]])/valUnits2</f>
        <v>0.68687799999999988</v>
      </c>
      <c r="AJ83" s="34">
        <f>SUMPRODUCT(DB_STProjectsSOF[[#This Row],[Act01]:[Act12]],$P$3:$AA$3)/valUnits2</f>
        <v>0.87331999999999987</v>
      </c>
      <c r="AK83" s="34">
        <f>IF(DB_STProjectsSOF[[#This Row],[FY Plan]]&lt;&gt;0,DB_STProjectsSOF[[#This Row],[FY Actuals]]/DB_STProjectsSOF[[#This Row],[FY Plan]],1.000011000011)</f>
        <v>1.2714339373222028</v>
      </c>
    </row>
    <row r="84" spans="1:37" hidden="1" x14ac:dyDescent="0.2">
      <c r="A84">
        <f>SUBTOTAL(3,$B$6:B84)</f>
        <v>0</v>
      </c>
      <c r="B84" t="s">
        <v>975</v>
      </c>
      <c r="C84" t="s">
        <v>353</v>
      </c>
      <c r="F84">
        <v>0</v>
      </c>
      <c r="G84">
        <v>441.84699999999998</v>
      </c>
      <c r="H84">
        <v>861.21</v>
      </c>
      <c r="I84">
        <v>0</v>
      </c>
      <c r="R84">
        <v>0</v>
      </c>
      <c r="S84">
        <v>440.36</v>
      </c>
      <c r="T84">
        <v>860.59</v>
      </c>
      <c r="U84">
        <v>612.54</v>
      </c>
      <c r="AB84" s="164">
        <v>41214</v>
      </c>
      <c r="AC84" s="164">
        <v>41455</v>
      </c>
      <c r="AD84" s="164">
        <v>41532</v>
      </c>
      <c r="AE84" s="34">
        <f>SUMPRODUCT(DB_STProjectsSOF[[#This Row],[Plan01]:[Plan12]],$D$4:$O$4)/valUnits2</f>
        <v>1.3030569999999999</v>
      </c>
      <c r="AF84" s="34">
        <f>SUMPRODUCT(DB_STProjectsSOF[[#This Row],[Act01]:[Act12]],$P$4:$AA$4)/valUnits2</f>
        <v>1.9134899999999999</v>
      </c>
      <c r="AG84" s="34">
        <f>DB_STProjectsSOF[[#This Row],[Actual]]-DB_STProjectsSOF[[#This Row],[Plan]]</f>
        <v>0.610433</v>
      </c>
      <c r="AH84" s="34">
        <f>IF(DB_STProjectsSOF[[#This Row],[Plan]]&lt;&gt;0,DB_STProjectsSOF[[#This Row],[Actual]]/DB_STProjectsSOF[[#This Row],[Plan]],1.000011000011)</f>
        <v>1.4684622391806346</v>
      </c>
      <c r="AI84" s="34">
        <f>SUM(DB_STProjectsSOF[[#This Row],[Plan01]:[Plan12]])/valUnits2</f>
        <v>1.3030569999999999</v>
      </c>
      <c r="AJ84" s="34">
        <f>SUMPRODUCT(DB_STProjectsSOF[[#This Row],[Act01]:[Act12]],$P$3:$AA$3)/valUnits2</f>
        <v>1.9134899999999999</v>
      </c>
      <c r="AK84" s="34">
        <f>IF(DB_STProjectsSOF[[#This Row],[FY Plan]]&lt;&gt;0,DB_STProjectsSOF[[#This Row],[FY Actuals]]/DB_STProjectsSOF[[#This Row],[FY Plan]],1.000011000011)</f>
        <v>1.4684622391806346</v>
      </c>
    </row>
    <row r="85" spans="1:37" hidden="1" x14ac:dyDescent="0.2">
      <c r="A85">
        <f>SUBTOTAL(3,$B$6:B85)</f>
        <v>0</v>
      </c>
      <c r="B85" t="s">
        <v>975</v>
      </c>
      <c r="C85" t="s">
        <v>850</v>
      </c>
      <c r="D85">
        <v>0</v>
      </c>
      <c r="E85">
        <v>1013.033</v>
      </c>
      <c r="F85">
        <v>0</v>
      </c>
      <c r="G85">
        <v>2739.66</v>
      </c>
      <c r="H85">
        <v>1256.5450000000003</v>
      </c>
      <c r="I85">
        <v>383.29500000000002</v>
      </c>
      <c r="J85">
        <v>383.29500000000002</v>
      </c>
      <c r="K85">
        <v>383.29500000000002</v>
      </c>
      <c r="L85">
        <v>383.29500000000002</v>
      </c>
      <c r="M85">
        <v>383.29500000000002</v>
      </c>
      <c r="N85">
        <v>383.29500000000002</v>
      </c>
      <c r="O85">
        <v>383.29500000000002</v>
      </c>
      <c r="P85">
        <v>0</v>
      </c>
      <c r="Q85">
        <v>1013.0600000000001</v>
      </c>
      <c r="R85">
        <v>0</v>
      </c>
      <c r="S85">
        <v>2731.69</v>
      </c>
      <c r="T85">
        <v>1258.19</v>
      </c>
      <c r="U85">
        <v>-187.0199999999999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s="164">
        <v>40817</v>
      </c>
      <c r="AC85" s="164">
        <v>41639</v>
      </c>
      <c r="AD85" s="164">
        <v>41820</v>
      </c>
      <c r="AE85" s="34">
        <f>SUMPRODUCT(DB_STProjectsSOF[[#This Row],[Plan01]:[Plan12]],$D$4:$O$4)/valUnits2</f>
        <v>5.3925330000000002</v>
      </c>
      <c r="AF85" s="34">
        <f>SUMPRODUCT(DB_STProjectsSOF[[#This Row],[Act01]:[Act12]],$P$4:$AA$4)/valUnits2</f>
        <v>4.8159200000000011</v>
      </c>
      <c r="AG85" s="34">
        <f>DB_STProjectsSOF[[#This Row],[Actual]]-DB_STProjectsSOF[[#This Row],[Plan]]</f>
        <v>-0.57661299999999915</v>
      </c>
      <c r="AH85" s="34">
        <f>IF(DB_STProjectsSOF[[#This Row],[Plan]]&lt;&gt;0,DB_STProjectsSOF[[#This Row],[Actual]]/DB_STProjectsSOF[[#This Row],[Plan]],1.000011000011)</f>
        <v>0.89307195709326226</v>
      </c>
      <c r="AI85" s="34">
        <f>SUM(DB_STProjectsSOF[[#This Row],[Plan01]:[Plan12]])/valUnits2</f>
        <v>7.6923030000000008</v>
      </c>
      <c r="AJ85" s="34">
        <f>SUMPRODUCT(DB_STProjectsSOF[[#This Row],[Act01]:[Act12]],$P$3:$AA$3)/valUnits2</f>
        <v>4.8159200000000011</v>
      </c>
      <c r="AK85" s="34">
        <f>IF(DB_STProjectsSOF[[#This Row],[FY Plan]]&lt;&gt;0,DB_STProjectsSOF[[#This Row],[FY Actuals]]/DB_STProjectsSOF[[#This Row],[FY Plan]],1.000011000011)</f>
        <v>0.62606998190268903</v>
      </c>
    </row>
    <row r="86" spans="1:37" hidden="1" x14ac:dyDescent="0.2">
      <c r="A86">
        <f>SUBTOTAL(3,$B$6:B86)</f>
        <v>0</v>
      </c>
      <c r="B86" t="s">
        <v>975</v>
      </c>
      <c r="C86" t="s">
        <v>852</v>
      </c>
      <c r="D86">
        <v>851.36099999999999</v>
      </c>
      <c r="P86">
        <v>868.58</v>
      </c>
      <c r="AB86" s="164">
        <v>40909</v>
      </c>
      <c r="AC86" s="164">
        <v>41305</v>
      </c>
      <c r="AD86" s="164">
        <v>41305</v>
      </c>
      <c r="AE86" s="34">
        <f>SUMPRODUCT(DB_STProjectsSOF[[#This Row],[Plan01]:[Plan12]],$D$4:$O$4)/valUnits2</f>
        <v>0.85136100000000003</v>
      </c>
      <c r="AF86" s="34">
        <f>SUMPRODUCT(DB_STProjectsSOF[[#This Row],[Act01]:[Act12]],$P$4:$AA$4)/valUnits2</f>
        <v>0.86858000000000002</v>
      </c>
      <c r="AG86" s="34">
        <f>DB_STProjectsSOF[[#This Row],[Actual]]-DB_STProjectsSOF[[#This Row],[Plan]]</f>
        <v>1.7218999999999984E-2</v>
      </c>
      <c r="AH86" s="34">
        <f>IF(DB_STProjectsSOF[[#This Row],[Plan]]&lt;&gt;0,DB_STProjectsSOF[[#This Row],[Actual]]/DB_STProjectsSOF[[#This Row],[Plan]],1.000011000011)</f>
        <v>1.0202252628438464</v>
      </c>
      <c r="AI86" s="34">
        <f>SUM(DB_STProjectsSOF[[#This Row],[Plan01]:[Plan12]])/valUnits2</f>
        <v>0.85136100000000003</v>
      </c>
      <c r="AJ86" s="34">
        <f>SUMPRODUCT(DB_STProjectsSOF[[#This Row],[Act01]:[Act12]],$P$3:$AA$3)/valUnits2</f>
        <v>0.86858000000000002</v>
      </c>
      <c r="AK86" s="34">
        <f>IF(DB_STProjectsSOF[[#This Row],[FY Plan]]&lt;&gt;0,DB_STProjectsSOF[[#This Row],[FY Actuals]]/DB_STProjectsSOF[[#This Row],[FY Plan]],1.000011000011)</f>
        <v>1.0202252628438464</v>
      </c>
    </row>
    <row r="87" spans="1:37" hidden="1" x14ac:dyDescent="0.2">
      <c r="A87">
        <f>SUBTOTAL(3,$B$6:B87)</f>
        <v>0</v>
      </c>
      <c r="B87" t="s">
        <v>975</v>
      </c>
      <c r="C87" t="s">
        <v>853</v>
      </c>
      <c r="G87">
        <v>12.959</v>
      </c>
      <c r="H87">
        <v>24.884</v>
      </c>
      <c r="I87">
        <v>56.69</v>
      </c>
      <c r="J87">
        <v>56.69</v>
      </c>
      <c r="K87">
        <v>56.69</v>
      </c>
      <c r="L87">
        <v>56.69</v>
      </c>
      <c r="M87">
        <v>56.69</v>
      </c>
      <c r="N87">
        <v>56.69</v>
      </c>
      <c r="O87">
        <v>56.69</v>
      </c>
      <c r="S87">
        <v>12.79</v>
      </c>
      <c r="T87">
        <v>25.040000000000003</v>
      </c>
      <c r="U87">
        <v>17.77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s="164">
        <v>41275</v>
      </c>
      <c r="AC87" s="164">
        <v>41639</v>
      </c>
      <c r="AD87" s="164">
        <v>41669</v>
      </c>
      <c r="AE87" s="34">
        <f>SUMPRODUCT(DB_STProjectsSOF[[#This Row],[Plan01]:[Plan12]],$D$4:$O$4)/valUnits2</f>
        <v>9.4533000000000006E-2</v>
      </c>
      <c r="AF87" s="34">
        <f>SUMPRODUCT(DB_STProjectsSOF[[#This Row],[Act01]:[Act12]],$P$4:$AA$4)/valUnits2</f>
        <v>5.5599999999999997E-2</v>
      </c>
      <c r="AG87" s="34">
        <f>DB_STProjectsSOF[[#This Row],[Actual]]-DB_STProjectsSOF[[#This Row],[Plan]]</f>
        <v>-3.8933000000000009E-2</v>
      </c>
      <c r="AH87" s="34">
        <f>IF(DB_STProjectsSOF[[#This Row],[Plan]]&lt;&gt;0,DB_STProjectsSOF[[#This Row],[Actual]]/DB_STProjectsSOF[[#This Row],[Plan]],1.000011000011)</f>
        <v>0.58815440110860751</v>
      </c>
      <c r="AI87" s="34">
        <f>SUM(DB_STProjectsSOF[[#This Row],[Plan01]:[Plan12]])/valUnits2</f>
        <v>0.43467299999999998</v>
      </c>
      <c r="AJ87" s="34">
        <f>SUMPRODUCT(DB_STProjectsSOF[[#This Row],[Act01]:[Act12]],$P$3:$AA$3)/valUnits2</f>
        <v>5.5599999999999997E-2</v>
      </c>
      <c r="AK87" s="34">
        <f>IF(DB_STProjectsSOF[[#This Row],[FY Plan]]&lt;&gt;0,DB_STProjectsSOF[[#This Row],[FY Actuals]]/DB_STProjectsSOF[[#This Row],[FY Plan]],1.000011000011)</f>
        <v>0.12791224667738738</v>
      </c>
    </row>
    <row r="88" spans="1:37" hidden="1" x14ac:dyDescent="0.2">
      <c r="A88">
        <f>SUBTOTAL(3,$B$6:B88)</f>
        <v>0</v>
      </c>
      <c r="B88" t="s">
        <v>975</v>
      </c>
      <c r="C88" t="s">
        <v>854</v>
      </c>
      <c r="E88">
        <v>0</v>
      </c>
      <c r="F88">
        <v>0</v>
      </c>
      <c r="G88">
        <v>1698.0520000000001</v>
      </c>
      <c r="H88">
        <v>737.55</v>
      </c>
      <c r="I88">
        <v>1025.771</v>
      </c>
      <c r="J88">
        <v>1025.771</v>
      </c>
      <c r="K88">
        <v>1025.771</v>
      </c>
      <c r="L88">
        <v>1025.771</v>
      </c>
      <c r="M88">
        <v>1025.771</v>
      </c>
      <c r="N88">
        <v>1025.771</v>
      </c>
      <c r="O88">
        <v>1025.771</v>
      </c>
      <c r="Q88">
        <v>0</v>
      </c>
      <c r="R88">
        <v>0</v>
      </c>
      <c r="S88">
        <v>1704.15</v>
      </c>
      <c r="T88">
        <v>766.73</v>
      </c>
      <c r="U88">
        <v>693.51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s="164">
        <v>40923</v>
      </c>
      <c r="AC88" s="164">
        <v>41698</v>
      </c>
      <c r="AD88" s="164">
        <v>41759</v>
      </c>
      <c r="AE88" s="34">
        <f>SUMPRODUCT(DB_STProjectsSOF[[#This Row],[Plan01]:[Plan12]],$D$4:$O$4)/valUnits2</f>
        <v>3.4613729999999996</v>
      </c>
      <c r="AF88" s="34">
        <f>SUMPRODUCT(DB_STProjectsSOF[[#This Row],[Act01]:[Act12]],$P$4:$AA$4)/valUnits2</f>
        <v>3.1643900000000005</v>
      </c>
      <c r="AG88" s="34">
        <f>DB_STProjectsSOF[[#This Row],[Actual]]-DB_STProjectsSOF[[#This Row],[Plan]]</f>
        <v>-0.29698299999999911</v>
      </c>
      <c r="AH88" s="34">
        <f>IF(DB_STProjectsSOF[[#This Row],[Plan]]&lt;&gt;0,DB_STProjectsSOF[[#This Row],[Actual]]/DB_STProjectsSOF[[#This Row],[Plan]],1.000011000011)</f>
        <v>0.914200809909825</v>
      </c>
      <c r="AI88" s="34">
        <f>SUM(DB_STProjectsSOF[[#This Row],[Plan01]:[Plan12]])/valUnits2</f>
        <v>9.6159990000000004</v>
      </c>
      <c r="AJ88" s="34">
        <f>SUMPRODUCT(DB_STProjectsSOF[[#This Row],[Act01]:[Act12]],$P$3:$AA$3)/valUnits2</f>
        <v>3.1643900000000005</v>
      </c>
      <c r="AK88" s="34">
        <f>IF(DB_STProjectsSOF[[#This Row],[FY Plan]]&lt;&gt;0,DB_STProjectsSOF[[#This Row],[FY Actuals]]/DB_STProjectsSOF[[#This Row],[FY Plan]],1.000011000011)</f>
        <v>0.32907553338971857</v>
      </c>
    </row>
    <row r="89" spans="1:37" hidden="1" x14ac:dyDescent="0.2">
      <c r="A89">
        <f>SUBTOTAL(3,$B$6:B89)</f>
        <v>0</v>
      </c>
      <c r="B89" t="s">
        <v>975</v>
      </c>
      <c r="C89" t="s">
        <v>855</v>
      </c>
      <c r="D89">
        <v>8.7799999999999994</v>
      </c>
      <c r="E89">
        <v>457.41800000000001</v>
      </c>
      <c r="F89">
        <v>498.77499999999998</v>
      </c>
      <c r="G89">
        <v>4621.6659999999993</v>
      </c>
      <c r="H89">
        <v>3777.29</v>
      </c>
      <c r="I89">
        <v>1379.4970000000001</v>
      </c>
      <c r="J89">
        <v>1379.4970000000001</v>
      </c>
      <c r="K89">
        <v>1379.4970000000001</v>
      </c>
      <c r="L89">
        <v>1379.4970000000001</v>
      </c>
      <c r="M89">
        <v>1379.4970000000001</v>
      </c>
      <c r="N89">
        <v>1379.4970000000001</v>
      </c>
      <c r="O89">
        <v>1379.4970000000001</v>
      </c>
      <c r="P89">
        <v>8.65</v>
      </c>
      <c r="Q89">
        <v>467.01</v>
      </c>
      <c r="R89">
        <v>503.29000000000008</v>
      </c>
      <c r="S89">
        <v>4667.8399999999992</v>
      </c>
      <c r="T89">
        <v>3783.9100000000003</v>
      </c>
      <c r="U89">
        <v>1973.34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s="164">
        <v>40817</v>
      </c>
      <c r="AC89" s="164">
        <v>41759</v>
      </c>
      <c r="AD89" s="164">
        <v>41820</v>
      </c>
      <c r="AE89" s="34">
        <f>SUMPRODUCT(DB_STProjectsSOF[[#This Row],[Plan01]:[Plan12]],$D$4:$O$4)/valUnits2</f>
        <v>10.743425999999999</v>
      </c>
      <c r="AF89" s="34">
        <f>SUMPRODUCT(DB_STProjectsSOF[[#This Row],[Act01]:[Act12]],$P$4:$AA$4)/valUnits2</f>
        <v>11.404039999999998</v>
      </c>
      <c r="AG89" s="34">
        <f>DB_STProjectsSOF[[#This Row],[Actual]]-DB_STProjectsSOF[[#This Row],[Plan]]</f>
        <v>0.66061399999999892</v>
      </c>
      <c r="AH89" s="34">
        <f>IF(DB_STProjectsSOF[[#This Row],[Plan]]&lt;&gt;0,DB_STProjectsSOF[[#This Row],[Actual]]/DB_STProjectsSOF[[#This Row],[Plan]],1.000011000011)</f>
        <v>1.0614900684381312</v>
      </c>
      <c r="AI89" s="34">
        <f>SUM(DB_STProjectsSOF[[#This Row],[Plan01]:[Plan12]])/valUnits2</f>
        <v>19.020407999999996</v>
      </c>
      <c r="AJ89" s="34">
        <f>SUMPRODUCT(DB_STProjectsSOF[[#This Row],[Act01]:[Act12]],$P$3:$AA$3)/valUnits2</f>
        <v>11.404039999999998</v>
      </c>
      <c r="AK89" s="34">
        <f>IF(DB_STProjectsSOF[[#This Row],[FY Plan]]&lt;&gt;0,DB_STProjectsSOF[[#This Row],[FY Actuals]]/DB_STProjectsSOF[[#This Row],[FY Plan]],1.000011000011)</f>
        <v>0.59956863175595398</v>
      </c>
    </row>
    <row r="90" spans="1:37" hidden="1" x14ac:dyDescent="0.2">
      <c r="A90">
        <f>SUBTOTAL(3,$B$6:B90)</f>
        <v>0</v>
      </c>
      <c r="B90" t="s">
        <v>975</v>
      </c>
      <c r="C90" t="s">
        <v>367</v>
      </c>
      <c r="D90">
        <v>0</v>
      </c>
      <c r="G90">
        <v>782.64699999999993</v>
      </c>
      <c r="H90">
        <v>1051.2529999999999</v>
      </c>
      <c r="I90">
        <v>0</v>
      </c>
      <c r="J90">
        <v>0</v>
      </c>
      <c r="M90">
        <v>0</v>
      </c>
      <c r="P90">
        <v>0</v>
      </c>
      <c r="S90">
        <v>781.95</v>
      </c>
      <c r="T90">
        <v>1050.52</v>
      </c>
      <c r="U90">
        <v>781.88000000000011</v>
      </c>
      <c r="V90">
        <v>0</v>
      </c>
      <c r="Y90">
        <v>0</v>
      </c>
      <c r="AB90" s="164">
        <v>40817</v>
      </c>
      <c r="AC90" s="164">
        <v>41547</v>
      </c>
      <c r="AD90" s="164">
        <v>41670</v>
      </c>
      <c r="AE90" s="34">
        <f>SUMPRODUCT(DB_STProjectsSOF[[#This Row],[Plan01]:[Plan12]],$D$4:$O$4)/valUnits2</f>
        <v>1.8338999999999999</v>
      </c>
      <c r="AF90" s="34">
        <f>SUMPRODUCT(DB_STProjectsSOF[[#This Row],[Act01]:[Act12]],$P$4:$AA$4)/valUnits2</f>
        <v>2.6143500000000004</v>
      </c>
      <c r="AG90" s="34">
        <f>DB_STProjectsSOF[[#This Row],[Actual]]-DB_STProjectsSOF[[#This Row],[Plan]]</f>
        <v>0.78045000000000053</v>
      </c>
      <c r="AH90" s="34">
        <f>IF(DB_STProjectsSOF[[#This Row],[Plan]]&lt;&gt;0,DB_STProjectsSOF[[#This Row],[Actual]]/DB_STProjectsSOF[[#This Row],[Plan]],1.000011000011)</f>
        <v>1.4255684606576153</v>
      </c>
      <c r="AI90" s="34">
        <f>SUM(DB_STProjectsSOF[[#This Row],[Plan01]:[Plan12]])/valUnits2</f>
        <v>1.8338999999999999</v>
      </c>
      <c r="AJ90" s="34">
        <f>SUMPRODUCT(DB_STProjectsSOF[[#This Row],[Act01]:[Act12]],$P$3:$AA$3)/valUnits2</f>
        <v>2.6143500000000004</v>
      </c>
      <c r="AK90" s="34">
        <f>IF(DB_STProjectsSOF[[#This Row],[FY Plan]]&lt;&gt;0,DB_STProjectsSOF[[#This Row],[FY Actuals]]/DB_STProjectsSOF[[#This Row],[FY Plan]],1.000011000011)</f>
        <v>1.4255684606576153</v>
      </c>
    </row>
    <row r="91" spans="1:37" hidden="1" x14ac:dyDescent="0.2">
      <c r="A91">
        <f>SUBTOTAL(3,$B$6:B91)</f>
        <v>0</v>
      </c>
      <c r="B91" t="s">
        <v>975</v>
      </c>
      <c r="C91" t="s">
        <v>856</v>
      </c>
      <c r="D91">
        <v>23056.646000000001</v>
      </c>
      <c r="E91">
        <v>22743.577000000001</v>
      </c>
      <c r="F91">
        <v>22132.974000000002</v>
      </c>
      <c r="G91">
        <v>62323.528999999988</v>
      </c>
      <c r="H91">
        <v>34777.758000000002</v>
      </c>
      <c r="I91">
        <v>18760.277000000002</v>
      </c>
      <c r="J91">
        <v>18760.277000000002</v>
      </c>
      <c r="K91">
        <v>18760.277000000002</v>
      </c>
      <c r="L91">
        <v>18760.277000000002</v>
      </c>
      <c r="M91">
        <v>18760.277000000002</v>
      </c>
      <c r="N91">
        <v>18760.277000000002</v>
      </c>
      <c r="O91">
        <v>18760.217000000001</v>
      </c>
      <c r="P91">
        <v>4062.16</v>
      </c>
      <c r="Q91">
        <v>3820.7200000000003</v>
      </c>
      <c r="R91">
        <v>3241.2200000000003</v>
      </c>
      <c r="S91">
        <v>41878.19000000001</v>
      </c>
      <c r="T91">
        <v>15572.46</v>
      </c>
      <c r="U91">
        <v>12570.01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s="164">
        <v>40817</v>
      </c>
      <c r="AC91" s="164">
        <v>42338</v>
      </c>
      <c r="AD91" s="164">
        <v>42490</v>
      </c>
      <c r="AE91" s="34">
        <f>SUMPRODUCT(DB_STProjectsSOF[[#This Row],[Plan01]:[Plan12]],$D$4:$O$4)/valUnits2</f>
        <v>183.79476099999999</v>
      </c>
      <c r="AF91" s="34">
        <f>SUMPRODUCT(DB_STProjectsSOF[[#This Row],[Act01]:[Act12]],$P$4:$AA$4)/valUnits2</f>
        <v>81.144759999999991</v>
      </c>
      <c r="AG91" s="34">
        <f>DB_STProjectsSOF[[#This Row],[Actual]]-DB_STProjectsSOF[[#This Row],[Plan]]</f>
        <v>-102.650001</v>
      </c>
      <c r="AH91" s="34">
        <f>IF(DB_STProjectsSOF[[#This Row],[Plan]]&lt;&gt;0,DB_STProjectsSOF[[#This Row],[Actual]]/DB_STProjectsSOF[[#This Row],[Plan]],1.000011000011)</f>
        <v>0.44149658868676889</v>
      </c>
      <c r="AI91" s="34">
        <f>SUM(DB_STProjectsSOF[[#This Row],[Plan01]:[Plan12]])/valUnits2</f>
        <v>296.35636299999999</v>
      </c>
      <c r="AJ91" s="34">
        <f>SUMPRODUCT(DB_STProjectsSOF[[#This Row],[Act01]:[Act12]],$P$3:$AA$3)/valUnits2</f>
        <v>81.144759999999991</v>
      </c>
      <c r="AK91" s="34">
        <f>IF(DB_STProjectsSOF[[#This Row],[FY Plan]]&lt;&gt;0,DB_STProjectsSOF[[#This Row],[FY Actuals]]/DB_STProjectsSOF[[#This Row],[FY Plan]],1.000011000011)</f>
        <v>0.27380805722737256</v>
      </c>
    </row>
    <row r="92" spans="1:37" hidden="1" x14ac:dyDescent="0.2">
      <c r="A92">
        <f>SUBTOTAL(3,$B$6:B92)</f>
        <v>0</v>
      </c>
      <c r="B92" t="s">
        <v>975</v>
      </c>
      <c r="C92" t="s">
        <v>857</v>
      </c>
      <c r="E92">
        <v>3648.64</v>
      </c>
      <c r="H92">
        <v>-3648.64</v>
      </c>
      <c r="Q92">
        <v>3648.6400000000003</v>
      </c>
      <c r="T92">
        <v>-3648.6400000000003</v>
      </c>
      <c r="AB92" s="164">
        <v>40909</v>
      </c>
      <c r="AC92" s="164">
        <v>41274</v>
      </c>
      <c r="AD92" s="164">
        <v>41364</v>
      </c>
      <c r="AE92" s="34">
        <f>SUMPRODUCT(DB_STProjectsSOF[[#This Row],[Plan01]:[Plan12]],$D$4:$O$4)/valUnits2</f>
        <v>0</v>
      </c>
      <c r="AF92" s="34">
        <f>SUMPRODUCT(DB_STProjectsSOF[[#This Row],[Act01]:[Act12]],$P$4:$AA$4)/valUnits2</f>
        <v>0</v>
      </c>
      <c r="AG92" s="34">
        <f>DB_STProjectsSOF[[#This Row],[Actual]]-DB_STProjectsSOF[[#This Row],[Plan]]</f>
        <v>0</v>
      </c>
      <c r="AH92" s="34">
        <f>IF(DB_STProjectsSOF[[#This Row],[Plan]]&lt;&gt;0,DB_STProjectsSOF[[#This Row],[Actual]]/DB_STProjectsSOF[[#This Row],[Plan]],1.000011000011)</f>
        <v>1.0000110000110001</v>
      </c>
      <c r="AI92" s="34">
        <f>SUM(DB_STProjectsSOF[[#This Row],[Plan01]:[Plan12]])/valUnits2</f>
        <v>0</v>
      </c>
      <c r="AJ92" s="34">
        <f>SUMPRODUCT(DB_STProjectsSOF[[#This Row],[Act01]:[Act12]],$P$3:$AA$3)/valUnits2</f>
        <v>0</v>
      </c>
      <c r="AK92" s="34">
        <f>IF(DB_STProjectsSOF[[#This Row],[FY Plan]]&lt;&gt;0,DB_STProjectsSOF[[#This Row],[FY Actuals]]/DB_STProjectsSOF[[#This Row],[FY Plan]],1.000011000011)</f>
        <v>1.0000110000110001</v>
      </c>
    </row>
    <row r="93" spans="1:37" hidden="1" x14ac:dyDescent="0.2">
      <c r="A93">
        <f>SUBTOTAL(3,$B$6:B93)</f>
        <v>0</v>
      </c>
      <c r="B93" t="s">
        <v>975</v>
      </c>
      <c r="C93" t="s">
        <v>858</v>
      </c>
      <c r="D93">
        <v>3034.7400000000002</v>
      </c>
      <c r="E93">
        <v>4630.33</v>
      </c>
      <c r="F93">
        <v>-79.610000000000042</v>
      </c>
      <c r="G93">
        <v>21084.33</v>
      </c>
      <c r="H93">
        <v>8631.7099999999991</v>
      </c>
      <c r="I93">
        <v>5609.4340000000002</v>
      </c>
      <c r="J93">
        <v>5609.4340000000002</v>
      </c>
      <c r="K93">
        <v>7009.4359999999997</v>
      </c>
      <c r="L93">
        <v>5609.4340000000002</v>
      </c>
      <c r="M93">
        <v>5609.4340000000002</v>
      </c>
      <c r="N93">
        <v>5609.4340000000002</v>
      </c>
      <c r="O93">
        <v>5609.4340000000002</v>
      </c>
      <c r="P93">
        <v>3034.7399999999993</v>
      </c>
      <c r="Q93">
        <v>4703.08</v>
      </c>
      <c r="R93">
        <v>-152.36000000000058</v>
      </c>
      <c r="S93">
        <v>21084.33</v>
      </c>
      <c r="T93">
        <v>8645.51</v>
      </c>
      <c r="U93">
        <v>7247.3300000000017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s="164">
        <v>41275</v>
      </c>
      <c r="AC93" s="164">
        <v>41639</v>
      </c>
      <c r="AD93" s="164">
        <v>41784</v>
      </c>
      <c r="AE93" s="34">
        <f>SUMPRODUCT(DB_STProjectsSOF[[#This Row],[Plan01]:[Plan12]],$D$4:$O$4)/valUnits2</f>
        <v>42.910934000000005</v>
      </c>
      <c r="AF93" s="34">
        <f>SUMPRODUCT(DB_STProjectsSOF[[#This Row],[Act01]:[Act12]],$P$4:$AA$4)/valUnits2</f>
        <v>44.562630000000006</v>
      </c>
      <c r="AG93" s="34">
        <f>DB_STProjectsSOF[[#This Row],[Actual]]-DB_STProjectsSOF[[#This Row],[Plan]]</f>
        <v>1.6516960000000012</v>
      </c>
      <c r="AH93" s="34">
        <f>IF(DB_STProjectsSOF[[#This Row],[Plan]]&lt;&gt;0,DB_STProjectsSOF[[#This Row],[Actual]]/DB_STProjectsSOF[[#This Row],[Plan]],1.000011000011)</f>
        <v>1.0384912619240587</v>
      </c>
      <c r="AI93" s="34">
        <f>SUM(DB_STProjectsSOF[[#This Row],[Plan01]:[Plan12]])/valUnits2</f>
        <v>77.96754</v>
      </c>
      <c r="AJ93" s="34">
        <f>SUMPRODUCT(DB_STProjectsSOF[[#This Row],[Act01]:[Act12]],$P$3:$AA$3)/valUnits2</f>
        <v>44.562630000000006</v>
      </c>
      <c r="AK93" s="34">
        <f>IF(DB_STProjectsSOF[[#This Row],[FY Plan]]&lt;&gt;0,DB_STProjectsSOF[[#This Row],[FY Actuals]]/DB_STProjectsSOF[[#This Row],[FY Plan]],1.000011000011)</f>
        <v>0.57155362346945926</v>
      </c>
    </row>
    <row r="94" spans="1:37" hidden="1" x14ac:dyDescent="0.2">
      <c r="A94">
        <f>SUBTOTAL(3,$B$6:B94)</f>
        <v>0</v>
      </c>
      <c r="B94" t="s">
        <v>975</v>
      </c>
      <c r="C94" t="s">
        <v>859</v>
      </c>
      <c r="D94">
        <v>1167.02</v>
      </c>
      <c r="E94">
        <v>1976.277</v>
      </c>
      <c r="F94">
        <v>2270.953</v>
      </c>
      <c r="G94">
        <v>4780.2919999999995</v>
      </c>
      <c r="H94">
        <v>4175.7380000000003</v>
      </c>
      <c r="I94">
        <v>2951.6419999999998</v>
      </c>
      <c r="J94">
        <v>2951.6420000000003</v>
      </c>
      <c r="K94">
        <v>2951.6419999999998</v>
      </c>
      <c r="L94">
        <v>2951.6419999999998</v>
      </c>
      <c r="M94">
        <v>2951.6420000000003</v>
      </c>
      <c r="N94">
        <v>2951.6420000000003</v>
      </c>
      <c r="O94">
        <v>2951.6419999999998</v>
      </c>
      <c r="P94">
        <v>1149.76</v>
      </c>
      <c r="Q94">
        <v>2017.7199999999998</v>
      </c>
      <c r="R94">
        <v>2291.5100000000002</v>
      </c>
      <c r="S94">
        <v>4807.51</v>
      </c>
      <c r="T94">
        <v>4143.6599999999989</v>
      </c>
      <c r="U94">
        <v>1475.3700000000001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s="164">
        <v>40909</v>
      </c>
      <c r="AC94" s="164">
        <v>42004</v>
      </c>
      <c r="AD94" s="164">
        <v>42094</v>
      </c>
      <c r="AE94" s="34">
        <f>SUMPRODUCT(DB_STProjectsSOF[[#This Row],[Plan01]:[Plan12]],$D$4:$O$4)/valUnits2</f>
        <v>17.321921999999997</v>
      </c>
      <c r="AF94" s="34">
        <f>SUMPRODUCT(DB_STProjectsSOF[[#This Row],[Act01]:[Act12]],$P$4:$AA$4)/valUnits2</f>
        <v>15.885530000000001</v>
      </c>
      <c r="AG94" s="34">
        <f>DB_STProjectsSOF[[#This Row],[Actual]]-DB_STProjectsSOF[[#This Row],[Plan]]</f>
        <v>-1.4363919999999961</v>
      </c>
      <c r="AH94" s="34">
        <f>IF(DB_STProjectsSOF[[#This Row],[Plan]]&lt;&gt;0,DB_STProjectsSOF[[#This Row],[Actual]]/DB_STProjectsSOF[[#This Row],[Plan]],1.000011000011)</f>
        <v>0.91707663849311893</v>
      </c>
      <c r="AI94" s="34">
        <f>SUM(DB_STProjectsSOF[[#This Row],[Plan01]:[Plan12]])/valUnits2</f>
        <v>35.031773999999999</v>
      </c>
      <c r="AJ94" s="34">
        <f>SUMPRODUCT(DB_STProjectsSOF[[#This Row],[Act01]:[Act12]],$P$3:$AA$3)/valUnits2</f>
        <v>15.885530000000001</v>
      </c>
      <c r="AK94" s="34">
        <f>IF(DB_STProjectsSOF[[#This Row],[FY Plan]]&lt;&gt;0,DB_STProjectsSOF[[#This Row],[FY Actuals]]/DB_STProjectsSOF[[#This Row],[FY Plan]],1.000011000011)</f>
        <v>0.4534606212063369</v>
      </c>
    </row>
    <row r="95" spans="1:37" hidden="1" x14ac:dyDescent="0.2">
      <c r="A95">
        <f>SUBTOTAL(3,$B$6:B95)</f>
        <v>0</v>
      </c>
      <c r="B95" t="s">
        <v>975</v>
      </c>
      <c r="C95" t="s">
        <v>860</v>
      </c>
      <c r="D95">
        <v>1582.33</v>
      </c>
      <c r="E95">
        <v>3188.49</v>
      </c>
      <c r="F95">
        <v>5448.89</v>
      </c>
      <c r="G95">
        <v>10632.730000000001</v>
      </c>
      <c r="H95">
        <v>3106.4700000000003</v>
      </c>
      <c r="I95">
        <v>1326.9739999999999</v>
      </c>
      <c r="J95">
        <v>1326.9739999999999</v>
      </c>
      <c r="K95">
        <v>1326.9739999999999</v>
      </c>
      <c r="L95">
        <v>1326.9739999999999</v>
      </c>
      <c r="M95">
        <v>0</v>
      </c>
      <c r="N95">
        <v>0</v>
      </c>
      <c r="O95">
        <v>0</v>
      </c>
      <c r="P95">
        <v>1582.33</v>
      </c>
      <c r="Q95">
        <v>3188.49</v>
      </c>
      <c r="R95">
        <v>5460.97</v>
      </c>
      <c r="S95">
        <v>10665.240000000002</v>
      </c>
      <c r="T95">
        <v>3113.65</v>
      </c>
      <c r="U95">
        <v>2608.77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s="164">
        <v>40969</v>
      </c>
      <c r="AC95" s="164">
        <v>42643</v>
      </c>
      <c r="AD95" s="164">
        <v>42704</v>
      </c>
      <c r="AE95" s="34">
        <f>SUMPRODUCT(DB_STProjectsSOF[[#This Row],[Plan01]:[Plan12]],$D$4:$O$4)/valUnits2</f>
        <v>25.285884000000003</v>
      </c>
      <c r="AF95" s="34">
        <f>SUMPRODUCT(DB_STProjectsSOF[[#This Row],[Act01]:[Act12]],$P$4:$AA$4)/valUnits2</f>
        <v>26.619450000000004</v>
      </c>
      <c r="AG95" s="34">
        <f>DB_STProjectsSOF[[#This Row],[Actual]]-DB_STProjectsSOF[[#This Row],[Plan]]</f>
        <v>1.3335660000000011</v>
      </c>
      <c r="AH95" s="34">
        <f>IF(DB_STProjectsSOF[[#This Row],[Plan]]&lt;&gt;0,DB_STProjectsSOF[[#This Row],[Actual]]/DB_STProjectsSOF[[#This Row],[Plan]],1.000011000011)</f>
        <v>1.0527395443244143</v>
      </c>
      <c r="AI95" s="34">
        <f>SUM(DB_STProjectsSOF[[#This Row],[Plan01]:[Plan12]])/valUnits2</f>
        <v>29.266805999999995</v>
      </c>
      <c r="AJ95" s="34">
        <f>SUMPRODUCT(DB_STProjectsSOF[[#This Row],[Act01]:[Act12]],$P$3:$AA$3)/valUnits2</f>
        <v>26.619450000000004</v>
      </c>
      <c r="AK95" s="34">
        <f>IF(DB_STProjectsSOF[[#This Row],[FY Plan]]&lt;&gt;0,DB_STProjectsSOF[[#This Row],[FY Actuals]]/DB_STProjectsSOF[[#This Row],[FY Plan]],1.000011000011)</f>
        <v>0.90954407529130465</v>
      </c>
    </row>
    <row r="96" spans="1:37" hidden="1" x14ac:dyDescent="0.2">
      <c r="A96">
        <f>SUBTOTAL(3,$B$6:B96)</f>
        <v>0</v>
      </c>
      <c r="B96" t="s">
        <v>975</v>
      </c>
      <c r="C96" t="s">
        <v>862</v>
      </c>
      <c r="G96">
        <v>1559.951</v>
      </c>
      <c r="H96">
        <v>1528.2239999999997</v>
      </c>
      <c r="I96">
        <v>692.03899999999999</v>
      </c>
      <c r="J96">
        <v>692.03899999999999</v>
      </c>
      <c r="K96">
        <v>692.03899999999999</v>
      </c>
      <c r="L96">
        <v>692.03899999999999</v>
      </c>
      <c r="M96">
        <v>692.03899999999999</v>
      </c>
      <c r="N96">
        <v>692.03899999999999</v>
      </c>
      <c r="O96">
        <v>692.03899999999999</v>
      </c>
      <c r="S96">
        <v>1572.9000000000005</v>
      </c>
      <c r="T96">
        <v>1525.36</v>
      </c>
      <c r="U96">
        <v>1459.8600000000001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s="164">
        <v>41275</v>
      </c>
      <c r="AC96" s="164">
        <v>41639</v>
      </c>
      <c r="AD96" s="164">
        <v>3</v>
      </c>
      <c r="AE96" s="34">
        <f>SUMPRODUCT(DB_STProjectsSOF[[#This Row],[Plan01]:[Plan12]],$D$4:$O$4)/valUnits2</f>
        <v>3.780214</v>
      </c>
      <c r="AF96" s="34">
        <f>SUMPRODUCT(DB_STProjectsSOF[[#This Row],[Act01]:[Act12]],$P$4:$AA$4)/valUnits2</f>
        <v>4.5581200000000006</v>
      </c>
      <c r="AG96" s="34">
        <f>DB_STProjectsSOF[[#This Row],[Actual]]-DB_STProjectsSOF[[#This Row],[Plan]]</f>
        <v>0.77790600000000065</v>
      </c>
      <c r="AH96" s="34">
        <f>IF(DB_STProjectsSOF[[#This Row],[Plan]]&lt;&gt;0,DB_STProjectsSOF[[#This Row],[Actual]]/DB_STProjectsSOF[[#This Row],[Plan]],1.000011000011)</f>
        <v>1.205783587913277</v>
      </c>
      <c r="AI96" s="34">
        <f>SUM(DB_STProjectsSOF[[#This Row],[Plan01]:[Plan12]])/valUnits2</f>
        <v>7.9324479999999982</v>
      </c>
      <c r="AJ96" s="34">
        <f>SUMPRODUCT(DB_STProjectsSOF[[#This Row],[Act01]:[Act12]],$P$3:$AA$3)/valUnits2</f>
        <v>4.5581200000000006</v>
      </c>
      <c r="AK96" s="34">
        <f>IF(DB_STProjectsSOF[[#This Row],[FY Plan]]&lt;&gt;0,DB_STProjectsSOF[[#This Row],[FY Actuals]]/DB_STProjectsSOF[[#This Row],[FY Plan]],1.000011000011)</f>
        <v>0.57461706650960731</v>
      </c>
    </row>
    <row r="97" spans="1:37" hidden="1" x14ac:dyDescent="0.2">
      <c r="A97">
        <f>SUBTOTAL(3,$B$6:B97)</f>
        <v>0</v>
      </c>
      <c r="B97" t="s">
        <v>975</v>
      </c>
      <c r="C97" t="s">
        <v>863</v>
      </c>
      <c r="G97">
        <v>777.83999999999992</v>
      </c>
      <c r="H97">
        <v>291.01</v>
      </c>
      <c r="S97">
        <v>777.8399999999998</v>
      </c>
      <c r="T97">
        <v>291.82999999999993</v>
      </c>
      <c r="AB97" s="164">
        <v>40817</v>
      </c>
      <c r="AC97" s="164">
        <v>41365</v>
      </c>
      <c r="AD97" s="164">
        <v>41730</v>
      </c>
      <c r="AE97" s="34">
        <f>SUMPRODUCT(DB_STProjectsSOF[[#This Row],[Plan01]:[Plan12]],$D$4:$O$4)/valUnits2</f>
        <v>1.0688499999999999</v>
      </c>
      <c r="AF97" s="34">
        <f>SUMPRODUCT(DB_STProjectsSOF[[#This Row],[Act01]:[Act12]],$P$4:$AA$4)/valUnits2</f>
        <v>1.0696699999999997</v>
      </c>
      <c r="AG97" s="34">
        <f>DB_STProjectsSOF[[#This Row],[Actual]]-DB_STProjectsSOF[[#This Row],[Plan]]</f>
        <v>8.1999999999982087E-4</v>
      </c>
      <c r="AH97" s="34">
        <f>IF(DB_STProjectsSOF[[#This Row],[Plan]]&lt;&gt;0,DB_STProjectsSOF[[#This Row],[Actual]]/DB_STProjectsSOF[[#This Row],[Plan]],1.000011000011)</f>
        <v>1.0007671796790942</v>
      </c>
      <c r="AI97" s="34">
        <f>SUM(DB_STProjectsSOF[[#This Row],[Plan01]:[Plan12]])/valUnits2</f>
        <v>1.0688499999999999</v>
      </c>
      <c r="AJ97" s="34">
        <f>SUMPRODUCT(DB_STProjectsSOF[[#This Row],[Act01]:[Act12]],$P$3:$AA$3)/valUnits2</f>
        <v>1.0696699999999997</v>
      </c>
      <c r="AK97" s="34">
        <f>IF(DB_STProjectsSOF[[#This Row],[FY Plan]]&lt;&gt;0,DB_STProjectsSOF[[#This Row],[FY Actuals]]/DB_STProjectsSOF[[#This Row],[FY Plan]],1.000011000011)</f>
        <v>1.0007671796790942</v>
      </c>
    </row>
    <row r="98" spans="1:37" hidden="1" x14ac:dyDescent="0.2">
      <c r="A98">
        <f>SUBTOTAL(3,$B$6:B98)</f>
        <v>0</v>
      </c>
      <c r="B98" t="s">
        <v>975</v>
      </c>
      <c r="C98" t="s">
        <v>865</v>
      </c>
      <c r="D98">
        <v>0</v>
      </c>
      <c r="E98">
        <v>0</v>
      </c>
      <c r="F98">
        <v>0</v>
      </c>
      <c r="G98">
        <v>122.04299999999999</v>
      </c>
      <c r="H98">
        <v>42.974999999999994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121.11000000000001</v>
      </c>
      <c r="T98">
        <v>43.2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s="164">
        <v>40817</v>
      </c>
      <c r="AC98" s="164">
        <v>41639</v>
      </c>
      <c r="AD98" s="164">
        <v>41820</v>
      </c>
      <c r="AE98" s="34">
        <f>SUMPRODUCT(DB_STProjectsSOF[[#This Row],[Plan01]:[Plan12]],$D$4:$O$4)/valUnits2</f>
        <v>0.16501799999999997</v>
      </c>
      <c r="AF98" s="34">
        <f>SUMPRODUCT(DB_STProjectsSOF[[#This Row],[Act01]:[Act12]],$P$4:$AA$4)/valUnits2</f>
        <v>0.16431000000000001</v>
      </c>
      <c r="AG98" s="34">
        <f>DB_STProjectsSOF[[#This Row],[Actual]]-DB_STProjectsSOF[[#This Row],[Plan]]</f>
        <v>-7.0799999999995866E-4</v>
      </c>
      <c r="AH98" s="34">
        <f>IF(DB_STProjectsSOF[[#This Row],[Plan]]&lt;&gt;0,DB_STProjectsSOF[[#This Row],[Actual]]/DB_STProjectsSOF[[#This Row],[Plan]],1.000011000011)</f>
        <v>0.99570955895720492</v>
      </c>
      <c r="AI98" s="34">
        <f>SUM(DB_STProjectsSOF[[#This Row],[Plan01]:[Plan12]])/valUnits2</f>
        <v>0.16501799999999997</v>
      </c>
      <c r="AJ98" s="34">
        <f>SUMPRODUCT(DB_STProjectsSOF[[#This Row],[Act01]:[Act12]],$P$3:$AA$3)/valUnits2</f>
        <v>0.16431000000000001</v>
      </c>
      <c r="AK98" s="34">
        <f>IF(DB_STProjectsSOF[[#This Row],[FY Plan]]&lt;&gt;0,DB_STProjectsSOF[[#This Row],[FY Actuals]]/DB_STProjectsSOF[[#This Row],[FY Plan]],1.000011000011)</f>
        <v>0.99570955895720492</v>
      </c>
    </row>
    <row r="99" spans="1:37" hidden="1" x14ac:dyDescent="0.2">
      <c r="A99">
        <f>SUBTOTAL(3,$B$6:B99)</f>
        <v>0</v>
      </c>
      <c r="B99" t="s">
        <v>975</v>
      </c>
      <c r="C99" t="s">
        <v>355</v>
      </c>
      <c r="G99">
        <v>84.13000000000001</v>
      </c>
      <c r="S99">
        <v>85.25</v>
      </c>
      <c r="AB99" s="164">
        <v>41275</v>
      </c>
      <c r="AC99" s="164">
        <v>41455</v>
      </c>
      <c r="AD99" s="164">
        <v>41547</v>
      </c>
      <c r="AE99" s="34">
        <f>SUMPRODUCT(DB_STProjectsSOF[[#This Row],[Plan01]:[Plan12]],$D$4:$O$4)/valUnits2</f>
        <v>8.413000000000001E-2</v>
      </c>
      <c r="AF99" s="34">
        <f>SUMPRODUCT(DB_STProjectsSOF[[#This Row],[Act01]:[Act12]],$P$4:$AA$4)/valUnits2</f>
        <v>8.5250000000000006E-2</v>
      </c>
      <c r="AG99" s="34">
        <f>DB_STProjectsSOF[[#This Row],[Actual]]-DB_STProjectsSOF[[#This Row],[Plan]]</f>
        <v>1.119999999999996E-3</v>
      </c>
      <c r="AH99" s="34">
        <f>IF(DB_STProjectsSOF[[#This Row],[Plan]]&lt;&gt;0,DB_STProjectsSOF[[#This Row],[Actual]]/DB_STProjectsSOF[[#This Row],[Plan]],1.000011000011)</f>
        <v>1.0133127302983478</v>
      </c>
      <c r="AI99" s="34">
        <f>SUM(DB_STProjectsSOF[[#This Row],[Plan01]:[Plan12]])/valUnits2</f>
        <v>8.413000000000001E-2</v>
      </c>
      <c r="AJ99" s="34">
        <f>SUMPRODUCT(DB_STProjectsSOF[[#This Row],[Act01]:[Act12]],$P$3:$AA$3)/valUnits2</f>
        <v>8.5250000000000006E-2</v>
      </c>
      <c r="AK99" s="34">
        <f>IF(DB_STProjectsSOF[[#This Row],[FY Plan]]&lt;&gt;0,DB_STProjectsSOF[[#This Row],[FY Actuals]]/DB_STProjectsSOF[[#This Row],[FY Plan]],1.000011000011)</f>
        <v>1.0133127302983478</v>
      </c>
    </row>
    <row r="100" spans="1:37" hidden="1" x14ac:dyDescent="0.2">
      <c r="A100">
        <f>SUBTOTAL(3,$B$6:B100)</f>
        <v>0</v>
      </c>
      <c r="B100" t="s">
        <v>975</v>
      </c>
      <c r="C100" t="s">
        <v>866</v>
      </c>
      <c r="D100">
        <v>11274.510000000002</v>
      </c>
      <c r="E100">
        <v>10237.98</v>
      </c>
      <c r="F100">
        <v>10369.32</v>
      </c>
      <c r="G100">
        <v>-19141.669999999995</v>
      </c>
      <c r="H100">
        <v>-15276.18</v>
      </c>
      <c r="I100">
        <v>21772.224999999999</v>
      </c>
      <c r="J100">
        <v>21772.224999999999</v>
      </c>
      <c r="K100">
        <v>21772.224999999999</v>
      </c>
      <c r="L100">
        <v>21772.224999999999</v>
      </c>
      <c r="P100">
        <v>11274.51</v>
      </c>
      <c r="Q100">
        <v>10237.980000000001</v>
      </c>
      <c r="R100">
        <v>10734.800000000001</v>
      </c>
      <c r="S100">
        <v>-19507.150000000001</v>
      </c>
      <c r="T100">
        <v>-15530.380000000003</v>
      </c>
      <c r="U100">
        <v>183.45999999999998</v>
      </c>
      <c r="V100">
        <v>789.59</v>
      </c>
      <c r="W100">
        <v>0</v>
      </c>
      <c r="X100">
        <v>0</v>
      </c>
      <c r="AB100" s="164">
        <v>41275</v>
      </c>
      <c r="AC100" s="164">
        <v>41639</v>
      </c>
      <c r="AD100" s="164">
        <v>41760</v>
      </c>
      <c r="AE100" s="34">
        <f>SUMPRODUCT(DB_STProjectsSOF[[#This Row],[Plan01]:[Plan12]],$D$4:$O$4)/valUnits2</f>
        <v>19.236185000000006</v>
      </c>
      <c r="AF100" s="34">
        <f>SUMPRODUCT(DB_STProjectsSOF[[#This Row],[Act01]:[Act12]],$P$4:$AA$4)/valUnits2</f>
        <v>-2.6067800000000032</v>
      </c>
      <c r="AG100" s="34">
        <f>DB_STProjectsSOF[[#This Row],[Actual]]-DB_STProjectsSOF[[#This Row],[Plan]]</f>
        <v>-21.84296500000001</v>
      </c>
      <c r="AH100" s="34">
        <f>IF(DB_STProjectsSOF[[#This Row],[Plan]]&lt;&gt;0,DB_STProjectsSOF[[#This Row],[Actual]]/DB_STProjectsSOF[[#This Row],[Plan]],1.000011000011)</f>
        <v>-0.13551439643567592</v>
      </c>
      <c r="AI100" s="34">
        <f>SUM(DB_STProjectsSOF[[#This Row],[Plan01]:[Plan12]])/valUnits2</f>
        <v>84.552859999999995</v>
      </c>
      <c r="AJ100" s="34">
        <f>SUMPRODUCT(DB_STProjectsSOF[[#This Row],[Act01]:[Act12]],$P$3:$AA$3)/valUnits2</f>
        <v>-2.6067800000000032</v>
      </c>
      <c r="AK100" s="34">
        <f>IF(DB_STProjectsSOF[[#This Row],[FY Plan]]&lt;&gt;0,DB_STProjectsSOF[[#This Row],[FY Actuals]]/DB_STProjectsSOF[[#This Row],[FY Plan]],1.000011000011)</f>
        <v>-3.0830181261757478E-2</v>
      </c>
    </row>
    <row r="101" spans="1:37" hidden="1" x14ac:dyDescent="0.2">
      <c r="A101">
        <f>SUBTOTAL(3,$B$6:B101)</f>
        <v>0</v>
      </c>
      <c r="B101" t="s">
        <v>975</v>
      </c>
      <c r="C101" t="s">
        <v>868</v>
      </c>
      <c r="G101">
        <v>52.31</v>
      </c>
      <c r="H101">
        <v>101.98999999999998</v>
      </c>
      <c r="I101">
        <v>0</v>
      </c>
      <c r="S101">
        <v>52.31</v>
      </c>
      <c r="T101">
        <v>102.27</v>
      </c>
      <c r="U101">
        <v>72.75</v>
      </c>
      <c r="AB101" s="164">
        <v>40817</v>
      </c>
      <c r="AC101" s="164">
        <v>41455</v>
      </c>
      <c r="AD101" s="164">
        <v>41639</v>
      </c>
      <c r="AE101" s="34">
        <f>SUMPRODUCT(DB_STProjectsSOF[[#This Row],[Plan01]:[Plan12]],$D$4:$O$4)/valUnits2</f>
        <v>0.15429999999999999</v>
      </c>
      <c r="AF101" s="34">
        <f>SUMPRODUCT(DB_STProjectsSOF[[#This Row],[Act01]:[Act12]],$P$4:$AA$4)/valUnits2</f>
        <v>0.22732999999999998</v>
      </c>
      <c r="AG101" s="34">
        <f>DB_STProjectsSOF[[#This Row],[Actual]]-DB_STProjectsSOF[[#This Row],[Plan]]</f>
        <v>7.3029999999999984E-2</v>
      </c>
      <c r="AH101" s="34">
        <f>IF(DB_STProjectsSOF[[#This Row],[Plan]]&lt;&gt;0,DB_STProjectsSOF[[#This Row],[Actual]]/DB_STProjectsSOF[[#This Row],[Plan]],1.000011000011)</f>
        <v>1.4732987686325338</v>
      </c>
      <c r="AI101" s="34">
        <f>SUM(DB_STProjectsSOF[[#This Row],[Plan01]:[Plan12]])/valUnits2</f>
        <v>0.15429999999999999</v>
      </c>
      <c r="AJ101" s="34">
        <f>SUMPRODUCT(DB_STProjectsSOF[[#This Row],[Act01]:[Act12]],$P$3:$AA$3)/valUnits2</f>
        <v>0.22732999999999998</v>
      </c>
      <c r="AK101" s="34">
        <f>IF(DB_STProjectsSOF[[#This Row],[FY Plan]]&lt;&gt;0,DB_STProjectsSOF[[#This Row],[FY Actuals]]/DB_STProjectsSOF[[#This Row],[FY Plan]],1.000011000011)</f>
        <v>1.4732987686325338</v>
      </c>
    </row>
    <row r="102" spans="1:37" hidden="1" x14ac:dyDescent="0.2">
      <c r="A102">
        <f>SUBTOTAL(3,$B$6:B102)</f>
        <v>0</v>
      </c>
      <c r="B102" t="s">
        <v>975</v>
      </c>
      <c r="C102" t="s">
        <v>869</v>
      </c>
      <c r="D102">
        <v>5769.3899999999994</v>
      </c>
      <c r="E102">
        <v>5764.8300000000008</v>
      </c>
      <c r="F102">
        <v>10461.910000000002</v>
      </c>
      <c r="G102">
        <v>17742.099999999995</v>
      </c>
      <c r="H102">
        <v>13755.130000000001</v>
      </c>
      <c r="I102">
        <v>1755</v>
      </c>
      <c r="J102">
        <v>1755</v>
      </c>
      <c r="K102">
        <v>1755</v>
      </c>
      <c r="L102">
        <v>1755</v>
      </c>
      <c r="M102">
        <v>1755</v>
      </c>
      <c r="N102">
        <v>1755</v>
      </c>
      <c r="O102">
        <v>1755</v>
      </c>
      <c r="P102">
        <v>5769.39</v>
      </c>
      <c r="Q102">
        <v>5764.83</v>
      </c>
      <c r="R102">
        <v>10461.91</v>
      </c>
      <c r="S102">
        <v>17742.100000000006</v>
      </c>
      <c r="T102">
        <v>13758.85</v>
      </c>
      <c r="U102">
        <v>9547.9399999999987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s="164">
        <v>40817</v>
      </c>
      <c r="AC102" s="164">
        <v>42155</v>
      </c>
      <c r="AD102" s="164">
        <v>42217</v>
      </c>
      <c r="AE102" s="34">
        <f>SUMPRODUCT(DB_STProjectsSOF[[#This Row],[Plan01]:[Plan12]],$D$4:$O$4)/valUnits2</f>
        <v>55.248359999999998</v>
      </c>
      <c r="AF102" s="34">
        <f>SUMPRODUCT(DB_STProjectsSOF[[#This Row],[Act01]:[Act12]],$P$4:$AA$4)/valUnits2</f>
        <v>63.045020000000001</v>
      </c>
      <c r="AG102" s="34">
        <f>DB_STProjectsSOF[[#This Row],[Actual]]-DB_STProjectsSOF[[#This Row],[Plan]]</f>
        <v>7.7966600000000028</v>
      </c>
      <c r="AH102" s="34">
        <f>IF(DB_STProjectsSOF[[#This Row],[Plan]]&lt;&gt;0,DB_STProjectsSOF[[#This Row],[Actual]]/DB_STProjectsSOF[[#This Row],[Plan]],1.000011000011)</f>
        <v>1.1411202070070496</v>
      </c>
      <c r="AI102" s="34">
        <f>SUM(DB_STProjectsSOF[[#This Row],[Plan01]:[Plan12]])/valUnits2</f>
        <v>65.778360000000006</v>
      </c>
      <c r="AJ102" s="34">
        <f>SUMPRODUCT(DB_STProjectsSOF[[#This Row],[Act01]:[Act12]],$P$3:$AA$3)/valUnits2</f>
        <v>63.045020000000001</v>
      </c>
      <c r="AK102" s="34">
        <f>IF(DB_STProjectsSOF[[#This Row],[FY Plan]]&lt;&gt;0,DB_STProjectsSOF[[#This Row],[FY Actuals]]/DB_STProjectsSOF[[#This Row],[FY Plan]],1.000011000011)</f>
        <v>0.95844621240176853</v>
      </c>
    </row>
    <row r="103" spans="1:37" hidden="1" x14ac:dyDescent="0.2">
      <c r="A103">
        <f>SUBTOTAL(3,$B$6:B103)</f>
        <v>0</v>
      </c>
      <c r="B103" t="s">
        <v>975</v>
      </c>
      <c r="C103" t="s">
        <v>870</v>
      </c>
      <c r="D103">
        <v>0</v>
      </c>
      <c r="G103">
        <v>0</v>
      </c>
      <c r="J103">
        <v>0</v>
      </c>
      <c r="M103">
        <v>0</v>
      </c>
      <c r="P103">
        <v>0</v>
      </c>
      <c r="S103">
        <v>0</v>
      </c>
      <c r="V103">
        <v>0</v>
      </c>
      <c r="Y103">
        <v>0</v>
      </c>
      <c r="AB103" s="164">
        <v>40909</v>
      </c>
      <c r="AC103" s="164">
        <v>41274</v>
      </c>
      <c r="AD103" s="164">
        <v>41305</v>
      </c>
      <c r="AE103" s="34">
        <f>SUMPRODUCT(DB_STProjectsSOF[[#This Row],[Plan01]:[Plan12]],$D$4:$O$4)/valUnits2</f>
        <v>0</v>
      </c>
      <c r="AF103" s="34">
        <f>SUMPRODUCT(DB_STProjectsSOF[[#This Row],[Act01]:[Act12]],$P$4:$AA$4)/valUnits2</f>
        <v>0</v>
      </c>
      <c r="AG103" s="34">
        <f>DB_STProjectsSOF[[#This Row],[Actual]]-DB_STProjectsSOF[[#This Row],[Plan]]</f>
        <v>0</v>
      </c>
      <c r="AH103" s="34">
        <f>IF(DB_STProjectsSOF[[#This Row],[Plan]]&lt;&gt;0,DB_STProjectsSOF[[#This Row],[Actual]]/DB_STProjectsSOF[[#This Row],[Plan]],1.000011000011)</f>
        <v>1.0000110000110001</v>
      </c>
      <c r="AI103" s="34">
        <f>SUM(DB_STProjectsSOF[[#This Row],[Plan01]:[Plan12]])/valUnits2</f>
        <v>0</v>
      </c>
      <c r="AJ103" s="34">
        <f>SUMPRODUCT(DB_STProjectsSOF[[#This Row],[Act01]:[Act12]],$P$3:$AA$3)/valUnits2</f>
        <v>0</v>
      </c>
      <c r="AK103" s="34">
        <f>IF(DB_STProjectsSOF[[#This Row],[FY Plan]]&lt;&gt;0,DB_STProjectsSOF[[#This Row],[FY Actuals]]/DB_STProjectsSOF[[#This Row],[FY Plan]],1.000011000011)</f>
        <v>1.0000110000110001</v>
      </c>
    </row>
    <row r="104" spans="1:37" hidden="1" x14ac:dyDescent="0.2">
      <c r="A104">
        <f>SUBTOTAL(3,$B$6:B104)</f>
        <v>0</v>
      </c>
      <c r="B104" t="s">
        <v>975</v>
      </c>
      <c r="C104" t="s">
        <v>872</v>
      </c>
      <c r="G104">
        <v>1531.8340000000001</v>
      </c>
      <c r="H104">
        <v>-1129.3790000000001</v>
      </c>
      <c r="I104">
        <v>2558.6289999999999</v>
      </c>
      <c r="J104">
        <v>2558.6289999999999</v>
      </c>
      <c r="K104">
        <v>2558.6289999999999</v>
      </c>
      <c r="L104">
        <v>2558.6289999999999</v>
      </c>
      <c r="M104">
        <v>2558.6289999999999</v>
      </c>
      <c r="N104">
        <v>2558.6289999999999</v>
      </c>
      <c r="O104">
        <v>2558.6289999999999</v>
      </c>
      <c r="S104">
        <v>1549.98</v>
      </c>
      <c r="T104">
        <v>-1169.7699999999998</v>
      </c>
      <c r="U104">
        <v>373.56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s="164">
        <v>41275</v>
      </c>
      <c r="AC104" s="164">
        <v>41639</v>
      </c>
      <c r="AD104" s="164">
        <v>41669</v>
      </c>
      <c r="AE104" s="34">
        <f>SUMPRODUCT(DB_STProjectsSOF[[#This Row],[Plan01]:[Plan12]],$D$4:$O$4)/valUnits2</f>
        <v>2.961084</v>
      </c>
      <c r="AF104" s="34">
        <f>SUMPRODUCT(DB_STProjectsSOF[[#This Row],[Act01]:[Act12]],$P$4:$AA$4)/valUnits2</f>
        <v>0.75377000000000016</v>
      </c>
      <c r="AG104" s="34">
        <f>DB_STProjectsSOF[[#This Row],[Actual]]-DB_STProjectsSOF[[#This Row],[Plan]]</f>
        <v>-2.2073139999999998</v>
      </c>
      <c r="AH104" s="34">
        <f>IF(DB_STProjectsSOF[[#This Row],[Plan]]&lt;&gt;0,DB_STProjectsSOF[[#This Row],[Actual]]/DB_STProjectsSOF[[#This Row],[Plan]],1.000011000011)</f>
        <v>0.25455880346521753</v>
      </c>
      <c r="AI104" s="34">
        <f>SUM(DB_STProjectsSOF[[#This Row],[Plan01]:[Plan12]])/valUnits2</f>
        <v>18.312857999999999</v>
      </c>
      <c r="AJ104" s="34">
        <f>SUMPRODUCT(DB_STProjectsSOF[[#This Row],[Act01]:[Act12]],$P$3:$AA$3)/valUnits2</f>
        <v>0.75377000000000016</v>
      </c>
      <c r="AK104" s="34">
        <f>IF(DB_STProjectsSOF[[#This Row],[FY Plan]]&lt;&gt;0,DB_STProjectsSOF[[#This Row],[FY Actuals]]/DB_STProjectsSOF[[#This Row],[FY Plan]],1.000011000011)</f>
        <v>4.116069703592963E-2</v>
      </c>
    </row>
    <row r="105" spans="1:37" hidden="1" x14ac:dyDescent="0.2">
      <c r="A105">
        <f>SUBTOTAL(3,$B$6:B105)</f>
        <v>0</v>
      </c>
      <c r="B105" t="s">
        <v>975</v>
      </c>
      <c r="C105" t="s">
        <v>874</v>
      </c>
      <c r="D105">
        <v>1756.5169999999998</v>
      </c>
      <c r="E105">
        <v>1930.9290000000001</v>
      </c>
      <c r="F105">
        <v>2465.1660000000002</v>
      </c>
      <c r="G105">
        <v>6505.0499999999984</v>
      </c>
      <c r="H105">
        <v>3195.9599999999996</v>
      </c>
      <c r="I105">
        <v>4624.7759999999998</v>
      </c>
      <c r="J105">
        <v>4298.7000000000007</v>
      </c>
      <c r="K105">
        <v>4298.7000000000007</v>
      </c>
      <c r="L105">
        <v>4624.7759999999998</v>
      </c>
      <c r="M105">
        <v>4298.7000000000007</v>
      </c>
      <c r="N105">
        <v>4624.7760000000007</v>
      </c>
      <c r="O105">
        <v>4298.7000000000007</v>
      </c>
      <c r="P105">
        <v>1730.5399999999995</v>
      </c>
      <c r="Q105">
        <v>1971.42</v>
      </c>
      <c r="R105">
        <v>2487.48</v>
      </c>
      <c r="S105">
        <v>6543.46</v>
      </c>
      <c r="T105">
        <v>3180.8199999999997</v>
      </c>
      <c r="U105">
        <v>2827.64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s="164">
        <v>40879</v>
      </c>
      <c r="AC105" s="164">
        <v>43071</v>
      </c>
      <c r="AD105" s="164">
        <v>43161</v>
      </c>
      <c r="AE105" s="34">
        <f>SUMPRODUCT(DB_STProjectsSOF[[#This Row],[Plan01]:[Plan12]],$D$4:$O$4)/valUnits2</f>
        <v>20.478397999999999</v>
      </c>
      <c r="AF105" s="34">
        <f>SUMPRODUCT(DB_STProjectsSOF[[#This Row],[Act01]:[Act12]],$P$4:$AA$4)/valUnits2</f>
        <v>18.74136</v>
      </c>
      <c r="AG105" s="34">
        <f>DB_STProjectsSOF[[#This Row],[Actual]]-DB_STProjectsSOF[[#This Row],[Plan]]</f>
        <v>-1.7370379999999983</v>
      </c>
      <c r="AH105" s="34">
        <f>IF(DB_STProjectsSOF[[#This Row],[Plan]]&lt;&gt;0,DB_STProjectsSOF[[#This Row],[Actual]]/DB_STProjectsSOF[[#This Row],[Plan]],1.000011000011)</f>
        <v>0.91517705633028523</v>
      </c>
      <c r="AI105" s="34">
        <f>SUM(DB_STProjectsSOF[[#This Row],[Plan01]:[Plan12]])/valUnits2</f>
        <v>46.922750000000001</v>
      </c>
      <c r="AJ105" s="34">
        <f>SUMPRODUCT(DB_STProjectsSOF[[#This Row],[Act01]:[Act12]],$P$3:$AA$3)/valUnits2</f>
        <v>18.74136</v>
      </c>
      <c r="AK105" s="34">
        <f>IF(DB_STProjectsSOF[[#This Row],[FY Plan]]&lt;&gt;0,DB_STProjectsSOF[[#This Row],[FY Actuals]]/DB_STProjectsSOF[[#This Row],[FY Plan]],1.000011000011)</f>
        <v>0.39940881555322311</v>
      </c>
    </row>
    <row r="106" spans="1:37" hidden="1" x14ac:dyDescent="0.2">
      <c r="A106">
        <f>SUBTOTAL(3,$B$6:B106)</f>
        <v>0</v>
      </c>
      <c r="B106" t="s">
        <v>975</v>
      </c>
      <c r="C106" t="s">
        <v>875</v>
      </c>
      <c r="F106">
        <v>0</v>
      </c>
      <c r="G106">
        <v>354.18100000000004</v>
      </c>
      <c r="H106">
        <v>917.76299999999992</v>
      </c>
      <c r="I106">
        <v>846.95400000000006</v>
      </c>
      <c r="J106">
        <v>846.95400000000006</v>
      </c>
      <c r="K106">
        <v>846.95400000000006</v>
      </c>
      <c r="L106">
        <v>846.95400000000006</v>
      </c>
      <c r="M106">
        <v>846.95400000000006</v>
      </c>
      <c r="N106">
        <v>846.95400000000006</v>
      </c>
      <c r="O106">
        <v>846.95400000000006</v>
      </c>
      <c r="R106">
        <v>0</v>
      </c>
      <c r="S106">
        <v>346.55</v>
      </c>
      <c r="T106">
        <v>929.51999999999987</v>
      </c>
      <c r="U106">
        <v>869.06000000000006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s="164">
        <v>41275</v>
      </c>
      <c r="AC106" s="164">
        <v>41639</v>
      </c>
      <c r="AD106" s="164">
        <v>41649</v>
      </c>
      <c r="AE106" s="34">
        <f>SUMPRODUCT(DB_STProjectsSOF[[#This Row],[Plan01]:[Plan12]],$D$4:$O$4)/valUnits2</f>
        <v>2.1188980000000002</v>
      </c>
      <c r="AF106" s="34">
        <f>SUMPRODUCT(DB_STProjectsSOF[[#This Row],[Act01]:[Act12]],$P$4:$AA$4)/valUnits2</f>
        <v>2.14513</v>
      </c>
      <c r="AG106" s="34">
        <f>DB_STProjectsSOF[[#This Row],[Actual]]-DB_STProjectsSOF[[#This Row],[Plan]]</f>
        <v>2.6231999999999811E-2</v>
      </c>
      <c r="AH106" s="34">
        <f>IF(DB_STProjectsSOF[[#This Row],[Plan]]&lt;&gt;0,DB_STProjectsSOF[[#This Row],[Actual]]/DB_STProjectsSOF[[#This Row],[Plan]],1.000011000011)</f>
        <v>1.0123800201803013</v>
      </c>
      <c r="AI106" s="34">
        <f>SUM(DB_STProjectsSOF[[#This Row],[Plan01]:[Plan12]])/valUnits2</f>
        <v>7.2006219999999992</v>
      </c>
      <c r="AJ106" s="34">
        <f>SUMPRODUCT(DB_STProjectsSOF[[#This Row],[Act01]:[Act12]],$P$3:$AA$3)/valUnits2</f>
        <v>2.14513</v>
      </c>
      <c r="AK106" s="34">
        <f>IF(DB_STProjectsSOF[[#This Row],[FY Plan]]&lt;&gt;0,DB_STProjectsSOF[[#This Row],[FY Actuals]]/DB_STProjectsSOF[[#This Row],[FY Plan]],1.000011000011)</f>
        <v>0.29790898619591477</v>
      </c>
    </row>
    <row r="107" spans="1:37" hidden="1" x14ac:dyDescent="0.2">
      <c r="A107">
        <f>SUBTOTAL(3,$B$6:B107)</f>
        <v>0</v>
      </c>
      <c r="B107" t="s">
        <v>975</v>
      </c>
      <c r="C107" t="s">
        <v>876</v>
      </c>
      <c r="D107">
        <v>386.56</v>
      </c>
      <c r="E107">
        <v>423.59</v>
      </c>
      <c r="F107">
        <v>815.32999999999993</v>
      </c>
      <c r="G107">
        <v>4599.4900000000007</v>
      </c>
      <c r="H107">
        <v>626.59999999999991</v>
      </c>
      <c r="I107">
        <v>398.08</v>
      </c>
      <c r="J107">
        <v>398.08</v>
      </c>
      <c r="K107">
        <v>398.08</v>
      </c>
      <c r="L107">
        <v>398.08</v>
      </c>
      <c r="P107">
        <v>386.56</v>
      </c>
      <c r="Q107">
        <v>423.59</v>
      </c>
      <c r="R107">
        <v>815.32999999999993</v>
      </c>
      <c r="S107">
        <v>4599.49</v>
      </c>
      <c r="T107">
        <v>628.36999999999989</v>
      </c>
      <c r="U107">
        <v>447.11999999999995</v>
      </c>
      <c r="V107">
        <v>0</v>
      </c>
      <c r="W107">
        <v>0</v>
      </c>
      <c r="X107">
        <v>0</v>
      </c>
      <c r="AB107" s="164">
        <v>40817</v>
      </c>
      <c r="AC107" s="164">
        <v>41820</v>
      </c>
      <c r="AD107" s="164">
        <v>41835</v>
      </c>
      <c r="AE107" s="34">
        <f>SUMPRODUCT(DB_STProjectsSOF[[#This Row],[Plan01]:[Plan12]],$D$4:$O$4)/valUnits2</f>
        <v>7.2496500000000017</v>
      </c>
      <c r="AF107" s="34">
        <f>SUMPRODUCT(DB_STProjectsSOF[[#This Row],[Act01]:[Act12]],$P$4:$AA$4)/valUnits2</f>
        <v>7.3004599999999993</v>
      </c>
      <c r="AG107" s="34">
        <f>DB_STProjectsSOF[[#This Row],[Actual]]-DB_STProjectsSOF[[#This Row],[Plan]]</f>
        <v>5.0809999999997579E-2</v>
      </c>
      <c r="AH107" s="34">
        <f>IF(DB_STProjectsSOF[[#This Row],[Plan]]&lt;&gt;0,DB_STProjectsSOF[[#This Row],[Actual]]/DB_STProjectsSOF[[#This Row],[Plan]],1.000011000011)</f>
        <v>1.0070086142089614</v>
      </c>
      <c r="AI107" s="34">
        <f>SUM(DB_STProjectsSOF[[#This Row],[Plan01]:[Plan12]])/valUnits2</f>
        <v>8.4438900000000015</v>
      </c>
      <c r="AJ107" s="34">
        <f>SUMPRODUCT(DB_STProjectsSOF[[#This Row],[Act01]:[Act12]],$P$3:$AA$3)/valUnits2</f>
        <v>7.3004599999999993</v>
      </c>
      <c r="AK107" s="34">
        <f>IF(DB_STProjectsSOF[[#This Row],[FY Plan]]&lt;&gt;0,DB_STProjectsSOF[[#This Row],[FY Actuals]]/DB_STProjectsSOF[[#This Row],[FY Plan]],1.000011000011)</f>
        <v>0.86458492472071502</v>
      </c>
    </row>
    <row r="108" spans="1:37" hidden="1" x14ac:dyDescent="0.2">
      <c r="A108">
        <f>SUBTOTAL(3,$B$6:B108)</f>
        <v>0</v>
      </c>
      <c r="B108" t="s">
        <v>975</v>
      </c>
      <c r="C108" t="s">
        <v>362</v>
      </c>
      <c r="D108">
        <v>0</v>
      </c>
      <c r="G108">
        <v>295.01799999999997</v>
      </c>
      <c r="H108">
        <v>384.22899999999998</v>
      </c>
      <c r="I108">
        <v>312.49599999999998</v>
      </c>
      <c r="P108">
        <v>0</v>
      </c>
      <c r="S108">
        <v>294.92999999999995</v>
      </c>
      <c r="T108">
        <v>387.10999999999996</v>
      </c>
      <c r="U108">
        <v>296.18</v>
      </c>
      <c r="AB108" s="164">
        <v>40909</v>
      </c>
      <c r="AC108" s="164">
        <v>41486</v>
      </c>
      <c r="AD108" s="164">
        <v>41670</v>
      </c>
      <c r="AE108" s="34">
        <f>SUMPRODUCT(DB_STProjectsSOF[[#This Row],[Plan01]:[Plan12]],$D$4:$O$4)/valUnits2</f>
        <v>0.99174299999999993</v>
      </c>
      <c r="AF108" s="34">
        <f>SUMPRODUCT(DB_STProjectsSOF[[#This Row],[Act01]:[Act12]],$P$4:$AA$4)/valUnits2</f>
        <v>0.97821999999999998</v>
      </c>
      <c r="AG108" s="34">
        <f>DB_STProjectsSOF[[#This Row],[Actual]]-DB_STProjectsSOF[[#This Row],[Plan]]</f>
        <v>-1.3522999999999952E-2</v>
      </c>
      <c r="AH108" s="34">
        <f>IF(DB_STProjectsSOF[[#This Row],[Plan]]&lt;&gt;0,DB_STProjectsSOF[[#This Row],[Actual]]/DB_STProjectsSOF[[#This Row],[Plan]],1.000011000011)</f>
        <v>0.98636441094114102</v>
      </c>
      <c r="AI108" s="34">
        <f>SUM(DB_STProjectsSOF[[#This Row],[Plan01]:[Plan12]])/valUnits2</f>
        <v>0.99174299999999993</v>
      </c>
      <c r="AJ108" s="34">
        <f>SUMPRODUCT(DB_STProjectsSOF[[#This Row],[Act01]:[Act12]],$P$3:$AA$3)/valUnits2</f>
        <v>0.97821999999999998</v>
      </c>
      <c r="AK108" s="34">
        <f>IF(DB_STProjectsSOF[[#This Row],[FY Plan]]&lt;&gt;0,DB_STProjectsSOF[[#This Row],[FY Actuals]]/DB_STProjectsSOF[[#This Row],[FY Plan]],1.000011000011)</f>
        <v>0.98636441094114102</v>
      </c>
    </row>
    <row r="109" spans="1:37" hidden="1" x14ac:dyDescent="0.2">
      <c r="A109">
        <f>SUBTOTAL(3,$B$6:B109)</f>
        <v>0</v>
      </c>
      <c r="B109" t="s">
        <v>975</v>
      </c>
      <c r="C109" t="s">
        <v>877</v>
      </c>
      <c r="D109">
        <v>0</v>
      </c>
      <c r="E109">
        <v>1489.702</v>
      </c>
      <c r="F109">
        <v>1613.2860000000001</v>
      </c>
      <c r="G109">
        <v>3614.8360000000002</v>
      </c>
      <c r="H109">
        <v>2365.6590000000006</v>
      </c>
      <c r="I109">
        <v>2223.3049999999998</v>
      </c>
      <c r="J109">
        <v>2223.3049999999998</v>
      </c>
      <c r="K109">
        <v>2223.3049999999998</v>
      </c>
      <c r="L109">
        <v>2223.3049999999998</v>
      </c>
      <c r="M109">
        <v>2223.3049999999998</v>
      </c>
      <c r="N109">
        <v>2223.3050000000003</v>
      </c>
      <c r="O109">
        <v>2223.3050000000003</v>
      </c>
      <c r="P109">
        <v>0</v>
      </c>
      <c r="Q109">
        <v>1520.9399999999998</v>
      </c>
      <c r="R109">
        <v>1627.8900000000003</v>
      </c>
      <c r="S109">
        <v>3635.25</v>
      </c>
      <c r="T109">
        <v>2358.7800000000007</v>
      </c>
      <c r="U109">
        <v>1945.2900000000002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s="164">
        <v>40817</v>
      </c>
      <c r="AC109" s="164">
        <v>41639</v>
      </c>
      <c r="AD109" s="164">
        <v>41729</v>
      </c>
      <c r="AE109" s="34">
        <f>SUMPRODUCT(DB_STProjectsSOF[[#This Row],[Plan01]:[Plan12]],$D$4:$O$4)/valUnits2</f>
        <v>11.306788000000001</v>
      </c>
      <c r="AF109" s="34">
        <f>SUMPRODUCT(DB_STProjectsSOF[[#This Row],[Act01]:[Act12]],$P$4:$AA$4)/valUnits2</f>
        <v>11.088150000000001</v>
      </c>
      <c r="AG109" s="34">
        <f>DB_STProjectsSOF[[#This Row],[Actual]]-DB_STProjectsSOF[[#This Row],[Plan]]</f>
        <v>-0.21863800000000033</v>
      </c>
      <c r="AH109" s="34">
        <f>IF(DB_STProjectsSOF[[#This Row],[Plan]]&lt;&gt;0,DB_STProjectsSOF[[#This Row],[Actual]]/DB_STProjectsSOF[[#This Row],[Plan]],1.000011000011)</f>
        <v>0.98066312024245961</v>
      </c>
      <c r="AI109" s="34">
        <f>SUM(DB_STProjectsSOF[[#This Row],[Plan01]:[Plan12]])/valUnits2</f>
        <v>24.646618000000004</v>
      </c>
      <c r="AJ109" s="34">
        <f>SUMPRODUCT(DB_STProjectsSOF[[#This Row],[Act01]:[Act12]],$P$3:$AA$3)/valUnits2</f>
        <v>11.088150000000001</v>
      </c>
      <c r="AK109" s="34">
        <f>IF(DB_STProjectsSOF[[#This Row],[FY Plan]]&lt;&gt;0,DB_STProjectsSOF[[#This Row],[FY Actuals]]/DB_STProjectsSOF[[#This Row],[FY Plan]],1.000011000011)</f>
        <v>0.44988525403363655</v>
      </c>
    </row>
    <row r="110" spans="1:37" hidden="1" x14ac:dyDescent="0.2">
      <c r="A110">
        <f>SUBTOTAL(3,$B$6:B110)</f>
        <v>0</v>
      </c>
      <c r="B110" t="s">
        <v>975</v>
      </c>
      <c r="C110" t="s">
        <v>878</v>
      </c>
      <c r="D110">
        <v>0</v>
      </c>
      <c r="E110">
        <v>252.773</v>
      </c>
      <c r="F110">
        <v>737.27099999999996</v>
      </c>
      <c r="G110">
        <v>827.13499999999999</v>
      </c>
      <c r="H110">
        <v>985.76600000000008</v>
      </c>
      <c r="I110">
        <v>737.27099999999996</v>
      </c>
      <c r="J110">
        <v>737.27099999999996</v>
      </c>
      <c r="K110">
        <v>737.27099999999996</v>
      </c>
      <c r="L110">
        <v>737.27099999999996</v>
      </c>
      <c r="M110">
        <v>737.27099999999996</v>
      </c>
      <c r="N110">
        <v>737.27099999999996</v>
      </c>
      <c r="O110">
        <v>737.27099999999996</v>
      </c>
      <c r="P110">
        <v>0</v>
      </c>
      <c r="Q110">
        <v>253.9</v>
      </c>
      <c r="R110">
        <v>0</v>
      </c>
      <c r="S110">
        <v>92.86</v>
      </c>
      <c r="T110">
        <v>263.16000000000003</v>
      </c>
      <c r="U110">
        <v>4385.6000000000004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s="164">
        <v>40969</v>
      </c>
      <c r="AC110" s="164">
        <v>41333</v>
      </c>
      <c r="AD110" s="164">
        <v>41364</v>
      </c>
      <c r="AE110" s="34">
        <f>SUMPRODUCT(DB_STProjectsSOF[[#This Row],[Plan01]:[Plan12]],$D$4:$O$4)/valUnits2</f>
        <v>3.5402160000000005</v>
      </c>
      <c r="AF110" s="34">
        <f>SUMPRODUCT(DB_STProjectsSOF[[#This Row],[Act01]:[Act12]],$P$4:$AA$4)/valUnits2</f>
        <v>4.9955200000000008</v>
      </c>
      <c r="AG110" s="34">
        <f>DB_STProjectsSOF[[#This Row],[Actual]]-DB_STProjectsSOF[[#This Row],[Plan]]</f>
        <v>1.4553040000000004</v>
      </c>
      <c r="AH110" s="34">
        <f>IF(DB_STProjectsSOF[[#This Row],[Plan]]&lt;&gt;0,DB_STProjectsSOF[[#This Row],[Actual]]/DB_STProjectsSOF[[#This Row],[Plan]],1.000011000011)</f>
        <v>1.4110777421490666</v>
      </c>
      <c r="AI110" s="34">
        <f>SUM(DB_STProjectsSOF[[#This Row],[Plan01]:[Plan12]])/valUnits2</f>
        <v>7.9638419999999988</v>
      </c>
      <c r="AJ110" s="34">
        <f>SUMPRODUCT(DB_STProjectsSOF[[#This Row],[Act01]:[Act12]],$P$3:$AA$3)/valUnits2</f>
        <v>4.9955200000000008</v>
      </c>
      <c r="AK110" s="34">
        <f>IF(DB_STProjectsSOF[[#This Row],[FY Plan]]&lt;&gt;0,DB_STProjectsSOF[[#This Row],[FY Actuals]]/DB_STProjectsSOF[[#This Row],[FY Plan]],1.000011000011)</f>
        <v>0.62727512675414721</v>
      </c>
    </row>
    <row r="111" spans="1:37" hidden="1" x14ac:dyDescent="0.2">
      <c r="A111">
        <f>SUBTOTAL(3,$B$6:B111)</f>
        <v>0</v>
      </c>
      <c r="B111" t="s">
        <v>975</v>
      </c>
      <c r="C111" t="s">
        <v>881</v>
      </c>
      <c r="G111">
        <v>1204.3</v>
      </c>
      <c r="H111">
        <v>1980.02</v>
      </c>
      <c r="I111">
        <v>448.74099999999993</v>
      </c>
      <c r="J111">
        <v>897.48299999999983</v>
      </c>
      <c r="K111">
        <v>448.74099999999993</v>
      </c>
      <c r="L111">
        <v>448.74099999999993</v>
      </c>
      <c r="M111">
        <v>448.74099999999993</v>
      </c>
      <c r="N111">
        <v>448.74099999999993</v>
      </c>
      <c r="O111">
        <v>897.48299999999995</v>
      </c>
      <c r="S111">
        <v>1204.3000000000002</v>
      </c>
      <c r="T111">
        <v>1982.32</v>
      </c>
      <c r="U111">
        <v>767.8399999999998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s="164">
        <v>41275</v>
      </c>
      <c r="AC111" s="164">
        <v>41639</v>
      </c>
      <c r="AD111" s="164">
        <v>41685</v>
      </c>
      <c r="AE111" s="34">
        <f>SUMPRODUCT(DB_STProjectsSOF[[#This Row],[Plan01]:[Plan12]],$D$4:$O$4)/valUnits2</f>
        <v>3.6330609999999997</v>
      </c>
      <c r="AF111" s="34">
        <f>SUMPRODUCT(DB_STProjectsSOF[[#This Row],[Act01]:[Act12]],$P$4:$AA$4)/valUnits2</f>
        <v>3.9544599999999996</v>
      </c>
      <c r="AG111" s="34">
        <f>DB_STProjectsSOF[[#This Row],[Actual]]-DB_STProjectsSOF[[#This Row],[Plan]]</f>
        <v>0.32139899999999999</v>
      </c>
      <c r="AH111" s="34">
        <f>IF(DB_STProjectsSOF[[#This Row],[Plan]]&lt;&gt;0,DB_STProjectsSOF[[#This Row],[Actual]]/DB_STProjectsSOF[[#This Row],[Plan]],1.000011000011)</f>
        <v>1.0884650711892809</v>
      </c>
      <c r="AI111" s="34">
        <f>SUM(DB_STProjectsSOF[[#This Row],[Plan01]:[Plan12]])/valUnits2</f>
        <v>7.2229910000000004</v>
      </c>
      <c r="AJ111" s="34">
        <f>SUMPRODUCT(DB_STProjectsSOF[[#This Row],[Act01]:[Act12]],$P$3:$AA$3)/valUnits2</f>
        <v>3.9544599999999996</v>
      </c>
      <c r="AK111" s="34">
        <f>IF(DB_STProjectsSOF[[#This Row],[FY Plan]]&lt;&gt;0,DB_STProjectsSOF[[#This Row],[FY Actuals]]/DB_STProjectsSOF[[#This Row],[FY Plan]],1.000011000011)</f>
        <v>0.547482337995437</v>
      </c>
    </row>
    <row r="112" spans="1:37" hidden="1" x14ac:dyDescent="0.2">
      <c r="A112">
        <f>SUBTOTAL(3,$B$6:B112)</f>
        <v>0</v>
      </c>
      <c r="B112" t="s">
        <v>975</v>
      </c>
      <c r="C112" t="s">
        <v>882</v>
      </c>
      <c r="D112">
        <v>366.65199999999999</v>
      </c>
      <c r="E112">
        <v>401.108</v>
      </c>
      <c r="F112">
        <v>446.80499999999995</v>
      </c>
      <c r="G112">
        <v>2600.9019999999996</v>
      </c>
      <c r="H112">
        <v>1612.5619999999999</v>
      </c>
      <c r="I112">
        <v>3962.6240000000003</v>
      </c>
      <c r="J112">
        <v>3962.6240000000003</v>
      </c>
      <c r="K112">
        <v>3962.6240000000003</v>
      </c>
      <c r="L112">
        <v>3962.6240000000003</v>
      </c>
      <c r="M112">
        <v>3962.6240000000007</v>
      </c>
      <c r="N112">
        <v>3962.6240000000003</v>
      </c>
      <c r="O112">
        <v>3962.6240000000003</v>
      </c>
      <c r="P112">
        <v>361.23</v>
      </c>
      <c r="Q112">
        <v>409.52</v>
      </c>
      <c r="R112">
        <v>450.84999999999997</v>
      </c>
      <c r="S112">
        <v>2589.4699999999998</v>
      </c>
      <c r="T112">
        <v>1603.8800000000003</v>
      </c>
      <c r="U112">
        <v>951.99000000000012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s="164">
        <v>40817</v>
      </c>
      <c r="AC112" s="164">
        <v>41913</v>
      </c>
      <c r="AD112" s="164">
        <v>42005</v>
      </c>
      <c r="AE112" s="34">
        <f>SUMPRODUCT(DB_STProjectsSOF[[#This Row],[Plan01]:[Plan12]],$D$4:$O$4)/valUnits2</f>
        <v>9.3906530000000004</v>
      </c>
      <c r="AF112" s="34">
        <f>SUMPRODUCT(DB_STProjectsSOF[[#This Row],[Act01]:[Act12]],$P$4:$AA$4)/valUnits2</f>
        <v>6.3669399999999996</v>
      </c>
      <c r="AG112" s="34">
        <f>DB_STProjectsSOF[[#This Row],[Actual]]-DB_STProjectsSOF[[#This Row],[Plan]]</f>
        <v>-3.0237130000000008</v>
      </c>
      <c r="AH112" s="34">
        <f>IF(DB_STProjectsSOF[[#This Row],[Plan]]&lt;&gt;0,DB_STProjectsSOF[[#This Row],[Actual]]/DB_STProjectsSOF[[#This Row],[Plan]],1.000011000011)</f>
        <v>0.67800822796881099</v>
      </c>
      <c r="AI112" s="34">
        <f>SUM(DB_STProjectsSOF[[#This Row],[Plan01]:[Plan12]])/valUnits2</f>
        <v>33.166397000000003</v>
      </c>
      <c r="AJ112" s="34">
        <f>SUMPRODUCT(DB_STProjectsSOF[[#This Row],[Act01]:[Act12]],$P$3:$AA$3)/valUnits2</f>
        <v>6.3669399999999996</v>
      </c>
      <c r="AK112" s="34">
        <f>IF(DB_STProjectsSOF[[#This Row],[FY Plan]]&lt;&gt;0,DB_STProjectsSOF[[#This Row],[FY Actuals]]/DB_STProjectsSOF[[#This Row],[FY Plan]],1.000011000011)</f>
        <v>0.19196960103926872</v>
      </c>
    </row>
    <row r="113" spans="1:37" hidden="1" x14ac:dyDescent="0.2">
      <c r="A113">
        <f>SUBTOTAL(3,$B$6:B113)</f>
        <v>0</v>
      </c>
      <c r="B113" t="s">
        <v>975</v>
      </c>
      <c r="C113" t="s">
        <v>883</v>
      </c>
      <c r="D113">
        <v>0</v>
      </c>
      <c r="E113">
        <v>335.20499999999998</v>
      </c>
      <c r="G113">
        <v>2404.36</v>
      </c>
      <c r="H113">
        <v>2032.6929999999998</v>
      </c>
      <c r="I113">
        <v>888.42</v>
      </c>
      <c r="J113">
        <v>888.42</v>
      </c>
      <c r="K113">
        <v>888.42</v>
      </c>
      <c r="L113">
        <v>882.37399999999991</v>
      </c>
      <c r="M113">
        <v>882.37399999999991</v>
      </c>
      <c r="N113">
        <v>882.37399999999991</v>
      </c>
      <c r="O113">
        <v>882.37399999999991</v>
      </c>
      <c r="P113">
        <v>0</v>
      </c>
      <c r="Q113">
        <v>342.67</v>
      </c>
      <c r="S113">
        <v>2394.36</v>
      </c>
      <c r="T113">
        <v>2048.8900000000003</v>
      </c>
      <c r="U113">
        <v>255.78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s="164">
        <v>40940</v>
      </c>
      <c r="AC113" s="164">
        <v>41639</v>
      </c>
      <c r="AD113" s="164">
        <v>41698</v>
      </c>
      <c r="AE113" s="34">
        <f>SUMPRODUCT(DB_STProjectsSOF[[#This Row],[Plan01]:[Plan12]],$D$4:$O$4)/valUnits2</f>
        <v>5.6606779999999999</v>
      </c>
      <c r="AF113" s="34">
        <f>SUMPRODUCT(DB_STProjectsSOF[[#This Row],[Act01]:[Act12]],$P$4:$AA$4)/valUnits2</f>
        <v>5.0416999999999996</v>
      </c>
      <c r="AG113" s="34">
        <f>DB_STProjectsSOF[[#This Row],[Actual]]-DB_STProjectsSOF[[#This Row],[Plan]]</f>
        <v>-0.61897800000000025</v>
      </c>
      <c r="AH113" s="34">
        <f>IF(DB_STProjectsSOF[[#This Row],[Plan]]&lt;&gt;0,DB_STProjectsSOF[[#This Row],[Actual]]/DB_STProjectsSOF[[#This Row],[Plan]],1.000011000011)</f>
        <v>0.89065302778218436</v>
      </c>
      <c r="AI113" s="34">
        <f>SUM(DB_STProjectsSOF[[#This Row],[Plan01]:[Plan12]])/valUnits2</f>
        <v>10.967013999999999</v>
      </c>
      <c r="AJ113" s="34">
        <f>SUMPRODUCT(DB_STProjectsSOF[[#This Row],[Act01]:[Act12]],$P$3:$AA$3)/valUnits2</f>
        <v>5.0416999999999996</v>
      </c>
      <c r="AK113" s="34">
        <f>IF(DB_STProjectsSOF[[#This Row],[FY Plan]]&lt;&gt;0,DB_STProjectsSOF[[#This Row],[FY Actuals]]/DB_STProjectsSOF[[#This Row],[FY Plan]],1.000011000011)</f>
        <v>0.4597149233145868</v>
      </c>
    </row>
    <row r="114" spans="1:37" hidden="1" x14ac:dyDescent="0.2">
      <c r="A114">
        <f>SUBTOTAL(3,$B$6:B114)</f>
        <v>0</v>
      </c>
      <c r="B114" t="s">
        <v>975</v>
      </c>
      <c r="C114" t="s">
        <v>885</v>
      </c>
      <c r="D114">
        <v>0</v>
      </c>
      <c r="E114">
        <v>967.93399999999997</v>
      </c>
      <c r="F114">
        <v>0</v>
      </c>
      <c r="G114">
        <v>6750.2520000000013</v>
      </c>
      <c r="H114">
        <v>3377.1170000000002</v>
      </c>
      <c r="I114">
        <v>1524.069</v>
      </c>
      <c r="J114">
        <v>1524.069</v>
      </c>
      <c r="K114">
        <v>1524.069</v>
      </c>
      <c r="L114">
        <v>1524.069</v>
      </c>
      <c r="M114">
        <v>1524.069</v>
      </c>
      <c r="N114">
        <v>1524.069</v>
      </c>
      <c r="O114">
        <v>1524.069</v>
      </c>
      <c r="P114">
        <v>0</v>
      </c>
      <c r="Q114">
        <v>967.95</v>
      </c>
      <c r="R114">
        <v>0</v>
      </c>
      <c r="S114">
        <v>6714.25</v>
      </c>
      <c r="T114">
        <v>3383.14</v>
      </c>
      <c r="U114">
        <v>-219.28000000000011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s="164">
        <v>40817</v>
      </c>
      <c r="AC114" s="164">
        <v>41639</v>
      </c>
      <c r="AD114" s="164">
        <v>41820</v>
      </c>
      <c r="AE114" s="34">
        <f>SUMPRODUCT(DB_STProjectsSOF[[#This Row],[Plan01]:[Plan12]],$D$4:$O$4)/valUnits2</f>
        <v>12.619372000000002</v>
      </c>
      <c r="AF114" s="34">
        <f>SUMPRODUCT(DB_STProjectsSOF[[#This Row],[Act01]:[Act12]],$P$4:$AA$4)/valUnits2</f>
        <v>10.84606</v>
      </c>
      <c r="AG114" s="34">
        <f>DB_STProjectsSOF[[#This Row],[Actual]]-DB_STProjectsSOF[[#This Row],[Plan]]</f>
        <v>-1.7733120000000024</v>
      </c>
      <c r="AH114" s="34">
        <f>IF(DB_STProjectsSOF[[#This Row],[Plan]]&lt;&gt;0,DB_STProjectsSOF[[#This Row],[Actual]]/DB_STProjectsSOF[[#This Row],[Plan]],1.000011000011)</f>
        <v>0.85947700091573476</v>
      </c>
      <c r="AI114" s="34">
        <f>SUM(DB_STProjectsSOF[[#This Row],[Plan01]:[Plan12]])/valUnits2</f>
        <v>21.763786</v>
      </c>
      <c r="AJ114" s="34">
        <f>SUMPRODUCT(DB_STProjectsSOF[[#This Row],[Act01]:[Act12]],$P$3:$AA$3)/valUnits2</f>
        <v>10.84606</v>
      </c>
      <c r="AK114" s="34">
        <f>IF(DB_STProjectsSOF[[#This Row],[FY Plan]]&lt;&gt;0,DB_STProjectsSOF[[#This Row],[FY Actuals]]/DB_STProjectsSOF[[#This Row],[FY Plan]],1.000011000011)</f>
        <v>0.4983535493319039</v>
      </c>
    </row>
    <row r="115" spans="1:37" hidden="1" x14ac:dyDescent="0.2">
      <c r="A115">
        <f>SUBTOTAL(3,$B$6:B115)</f>
        <v>0</v>
      </c>
      <c r="B115" t="s">
        <v>975</v>
      </c>
      <c r="C115" t="s">
        <v>886</v>
      </c>
      <c r="G115">
        <v>155.24</v>
      </c>
      <c r="S115">
        <v>154.38</v>
      </c>
      <c r="AB115" s="164">
        <v>40909</v>
      </c>
      <c r="AC115" s="164">
        <v>41274</v>
      </c>
      <c r="AD115" s="164">
        <v>41305</v>
      </c>
      <c r="AE115" s="34">
        <f>SUMPRODUCT(DB_STProjectsSOF[[#This Row],[Plan01]:[Plan12]],$D$4:$O$4)/valUnits2</f>
        <v>0.15524000000000002</v>
      </c>
      <c r="AF115" s="34">
        <f>SUMPRODUCT(DB_STProjectsSOF[[#This Row],[Act01]:[Act12]],$P$4:$AA$4)/valUnits2</f>
        <v>0.15437999999999999</v>
      </c>
      <c r="AG115" s="34">
        <f>DB_STProjectsSOF[[#This Row],[Actual]]-DB_STProjectsSOF[[#This Row],[Plan]]</f>
        <v>-8.6000000000002741E-4</v>
      </c>
      <c r="AH115" s="34">
        <f>IF(DB_STProjectsSOF[[#This Row],[Plan]]&lt;&gt;0,DB_STProjectsSOF[[#This Row],[Actual]]/DB_STProjectsSOF[[#This Row],[Plan]],1.000011000011)</f>
        <v>0.99446019067250691</v>
      </c>
      <c r="AI115" s="34">
        <f>SUM(DB_STProjectsSOF[[#This Row],[Plan01]:[Plan12]])/valUnits2</f>
        <v>0.15524000000000002</v>
      </c>
      <c r="AJ115" s="34">
        <f>SUMPRODUCT(DB_STProjectsSOF[[#This Row],[Act01]:[Act12]],$P$3:$AA$3)/valUnits2</f>
        <v>0.15437999999999999</v>
      </c>
      <c r="AK115" s="34">
        <f>IF(DB_STProjectsSOF[[#This Row],[FY Plan]]&lt;&gt;0,DB_STProjectsSOF[[#This Row],[FY Actuals]]/DB_STProjectsSOF[[#This Row],[FY Plan]],1.000011000011)</f>
        <v>0.99446019067250691</v>
      </c>
    </row>
    <row r="116" spans="1:37" hidden="1" x14ac:dyDescent="0.2">
      <c r="A116">
        <f>SUBTOTAL(3,$B$6:B116)</f>
        <v>0</v>
      </c>
      <c r="B116" t="s">
        <v>975</v>
      </c>
      <c r="C116" t="s">
        <v>887</v>
      </c>
      <c r="D116">
        <v>0</v>
      </c>
      <c r="E116">
        <v>0</v>
      </c>
      <c r="F116">
        <v>0</v>
      </c>
      <c r="G116">
        <v>0</v>
      </c>
      <c r="H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AB116" s="164">
        <v>40817</v>
      </c>
      <c r="AC116" s="164">
        <v>41364</v>
      </c>
      <c r="AD116" s="164">
        <v>41389</v>
      </c>
      <c r="AE116" s="34">
        <f>SUMPRODUCT(DB_STProjectsSOF[[#This Row],[Plan01]:[Plan12]],$D$4:$O$4)/valUnits2</f>
        <v>0</v>
      </c>
      <c r="AF116" s="34">
        <f>SUMPRODUCT(DB_STProjectsSOF[[#This Row],[Act01]:[Act12]],$P$4:$AA$4)/valUnits2</f>
        <v>0</v>
      </c>
      <c r="AG116" s="34">
        <f>DB_STProjectsSOF[[#This Row],[Actual]]-DB_STProjectsSOF[[#This Row],[Plan]]</f>
        <v>0</v>
      </c>
      <c r="AH116" s="34">
        <f>IF(DB_STProjectsSOF[[#This Row],[Plan]]&lt;&gt;0,DB_STProjectsSOF[[#This Row],[Actual]]/DB_STProjectsSOF[[#This Row],[Plan]],1.000011000011)</f>
        <v>1.0000110000110001</v>
      </c>
      <c r="AI116" s="34">
        <f>SUM(DB_STProjectsSOF[[#This Row],[Plan01]:[Plan12]])/valUnits2</f>
        <v>0</v>
      </c>
      <c r="AJ116" s="34">
        <f>SUMPRODUCT(DB_STProjectsSOF[[#This Row],[Act01]:[Act12]],$P$3:$AA$3)/valUnits2</f>
        <v>0</v>
      </c>
      <c r="AK116" s="34">
        <f>IF(DB_STProjectsSOF[[#This Row],[FY Plan]]&lt;&gt;0,DB_STProjectsSOF[[#This Row],[FY Actuals]]/DB_STProjectsSOF[[#This Row],[FY Plan]],1.000011000011)</f>
        <v>1.0000110000110001</v>
      </c>
    </row>
    <row r="117" spans="1:37" hidden="1" x14ac:dyDescent="0.2">
      <c r="A117">
        <f>SUBTOTAL(3,$B$6:B117)</f>
        <v>0</v>
      </c>
      <c r="B117" t="s">
        <v>975</v>
      </c>
      <c r="C117" t="s">
        <v>361</v>
      </c>
      <c r="D117">
        <v>0</v>
      </c>
      <c r="E117">
        <v>0</v>
      </c>
      <c r="F117">
        <v>0</v>
      </c>
      <c r="G117">
        <v>402.53700000000003</v>
      </c>
      <c r="H117">
        <v>2160.645</v>
      </c>
      <c r="I117">
        <v>524.06600000000003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410.26</v>
      </c>
      <c r="T117">
        <v>2194.42</v>
      </c>
      <c r="U117">
        <v>117.78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s="164">
        <v>41091</v>
      </c>
      <c r="AC117" s="164">
        <v>41455</v>
      </c>
      <c r="AD117" s="164">
        <v>41486</v>
      </c>
      <c r="AE117" s="34">
        <f>SUMPRODUCT(DB_STProjectsSOF[[#This Row],[Plan01]:[Plan12]],$D$4:$O$4)/valUnits2</f>
        <v>3.0872479999999998</v>
      </c>
      <c r="AF117" s="34">
        <f>SUMPRODUCT(DB_STProjectsSOF[[#This Row],[Act01]:[Act12]],$P$4:$AA$4)/valUnits2</f>
        <v>2.7224600000000003</v>
      </c>
      <c r="AG117" s="34">
        <f>DB_STProjectsSOF[[#This Row],[Actual]]-DB_STProjectsSOF[[#This Row],[Plan]]</f>
        <v>-0.36478799999999945</v>
      </c>
      <c r="AH117" s="34">
        <f>IF(DB_STProjectsSOF[[#This Row],[Plan]]&lt;&gt;0,DB_STProjectsSOF[[#This Row],[Actual]]/DB_STProjectsSOF[[#This Row],[Plan]],1.000011000011)</f>
        <v>0.88184039636595457</v>
      </c>
      <c r="AI117" s="34">
        <f>SUM(DB_STProjectsSOF[[#This Row],[Plan01]:[Plan12]])/valUnits2</f>
        <v>3.0872479999999998</v>
      </c>
      <c r="AJ117" s="34">
        <f>SUMPRODUCT(DB_STProjectsSOF[[#This Row],[Act01]:[Act12]],$P$3:$AA$3)/valUnits2</f>
        <v>2.7224600000000003</v>
      </c>
      <c r="AK117" s="34">
        <f>IF(DB_STProjectsSOF[[#This Row],[FY Plan]]&lt;&gt;0,DB_STProjectsSOF[[#This Row],[FY Actuals]]/DB_STProjectsSOF[[#This Row],[FY Plan]],1.000011000011)</f>
        <v>0.88184039636595457</v>
      </c>
    </row>
    <row r="118" spans="1:37" hidden="1" x14ac:dyDescent="0.2">
      <c r="A118">
        <f>SUBTOTAL(3,$B$6:B118)</f>
        <v>0</v>
      </c>
      <c r="B118" t="s">
        <v>975</v>
      </c>
      <c r="C118" t="s">
        <v>358</v>
      </c>
      <c r="D118">
        <v>0</v>
      </c>
      <c r="E118">
        <v>0</v>
      </c>
      <c r="F118">
        <v>0</v>
      </c>
      <c r="G118">
        <v>943.03499999999997</v>
      </c>
      <c r="H118">
        <v>816.46500000000003</v>
      </c>
      <c r="I118">
        <v>3144.768</v>
      </c>
      <c r="J118">
        <v>3144.768</v>
      </c>
      <c r="K118">
        <v>3144.768</v>
      </c>
      <c r="L118">
        <v>3144.768</v>
      </c>
      <c r="M118">
        <v>3144.768</v>
      </c>
      <c r="N118">
        <v>3144.768</v>
      </c>
      <c r="P118">
        <v>0</v>
      </c>
      <c r="Q118">
        <v>0</v>
      </c>
      <c r="R118">
        <v>0</v>
      </c>
      <c r="S118">
        <v>954.34000000000015</v>
      </c>
      <c r="T118">
        <v>824.07000000000016</v>
      </c>
      <c r="U118">
        <v>677.33</v>
      </c>
      <c r="V118">
        <v>0</v>
      </c>
      <c r="W118">
        <v>0</v>
      </c>
      <c r="X118">
        <v>0</v>
      </c>
      <c r="Y118">
        <v>0</v>
      </c>
      <c r="Z118">
        <v>0</v>
      </c>
      <c r="AB118" s="164">
        <v>41091</v>
      </c>
      <c r="AC118" s="164">
        <v>41455</v>
      </c>
      <c r="AD118" s="164">
        <v>41517</v>
      </c>
      <c r="AE118" s="34">
        <f>SUMPRODUCT(DB_STProjectsSOF[[#This Row],[Plan01]:[Plan12]],$D$4:$O$4)/valUnits2</f>
        <v>4.9042680000000001</v>
      </c>
      <c r="AF118" s="34">
        <f>SUMPRODUCT(DB_STProjectsSOF[[#This Row],[Act01]:[Act12]],$P$4:$AA$4)/valUnits2</f>
        <v>2.45574</v>
      </c>
      <c r="AG118" s="34">
        <f>DB_STProjectsSOF[[#This Row],[Actual]]-DB_STProjectsSOF[[#This Row],[Plan]]</f>
        <v>-2.448528</v>
      </c>
      <c r="AH118" s="34">
        <f>IF(DB_STProjectsSOF[[#This Row],[Plan]]&lt;&gt;0,DB_STProjectsSOF[[#This Row],[Actual]]/DB_STProjectsSOF[[#This Row],[Plan]],1.000011000011)</f>
        <v>0.5007352779252684</v>
      </c>
      <c r="AI118" s="34">
        <f>SUM(DB_STProjectsSOF[[#This Row],[Plan01]:[Plan12]])/valUnits2</f>
        <v>20.628108000000001</v>
      </c>
      <c r="AJ118" s="34">
        <f>SUMPRODUCT(DB_STProjectsSOF[[#This Row],[Act01]:[Act12]],$P$3:$AA$3)/valUnits2</f>
        <v>2.45574</v>
      </c>
      <c r="AK118" s="34">
        <f>IF(DB_STProjectsSOF[[#This Row],[FY Plan]]&lt;&gt;0,DB_STProjectsSOF[[#This Row],[FY Actuals]]/DB_STProjectsSOF[[#This Row],[FY Plan]],1.000011000011)</f>
        <v>0.11904824233031938</v>
      </c>
    </row>
    <row r="119" spans="1:37" hidden="1" x14ac:dyDescent="0.2">
      <c r="A119">
        <f>SUBTOTAL(3,$B$6:B119)</f>
        <v>0</v>
      </c>
      <c r="B119" t="s">
        <v>975</v>
      </c>
      <c r="C119" t="s">
        <v>890</v>
      </c>
      <c r="E119">
        <v>0</v>
      </c>
      <c r="F119">
        <v>0</v>
      </c>
      <c r="G119">
        <v>2392.7589999999996</v>
      </c>
      <c r="H119">
        <v>871.70800000000008</v>
      </c>
      <c r="I119">
        <v>420.50600000000003</v>
      </c>
      <c r="J119">
        <v>420.50600000000003</v>
      </c>
      <c r="K119">
        <v>420.50600000000003</v>
      </c>
      <c r="L119">
        <v>420.50600000000003</v>
      </c>
      <c r="M119">
        <v>420.50600000000003</v>
      </c>
      <c r="N119">
        <v>420.50600000000003</v>
      </c>
      <c r="O119">
        <v>420.50600000000003</v>
      </c>
      <c r="Q119">
        <v>0</v>
      </c>
      <c r="R119">
        <v>0</v>
      </c>
      <c r="S119">
        <v>2418.7300000000005</v>
      </c>
      <c r="T119">
        <v>877.93999999999994</v>
      </c>
      <c r="U119">
        <v>2592.7600000000002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s="164">
        <v>40817</v>
      </c>
      <c r="AC119" s="164">
        <v>41639</v>
      </c>
      <c r="AD119" s="164">
        <v>41639</v>
      </c>
      <c r="AE119" s="34">
        <f>SUMPRODUCT(DB_STProjectsSOF[[#This Row],[Plan01]:[Plan12]],$D$4:$O$4)/valUnits2</f>
        <v>3.6849729999999994</v>
      </c>
      <c r="AF119" s="34">
        <f>SUMPRODUCT(DB_STProjectsSOF[[#This Row],[Act01]:[Act12]],$P$4:$AA$4)/valUnits2</f>
        <v>5.8894299999999999</v>
      </c>
      <c r="AG119" s="34">
        <f>DB_STProjectsSOF[[#This Row],[Actual]]-DB_STProjectsSOF[[#This Row],[Plan]]</f>
        <v>2.2044570000000006</v>
      </c>
      <c r="AH119" s="34">
        <f>IF(DB_STProjectsSOF[[#This Row],[Plan]]&lt;&gt;0,DB_STProjectsSOF[[#This Row],[Actual]]/DB_STProjectsSOF[[#This Row],[Plan]],1.000011000011)</f>
        <v>1.5982288065611339</v>
      </c>
      <c r="AI119" s="34">
        <f>SUM(DB_STProjectsSOF[[#This Row],[Plan01]:[Plan12]])/valUnits2</f>
        <v>6.2080090000000006</v>
      </c>
      <c r="AJ119" s="34">
        <f>SUMPRODUCT(DB_STProjectsSOF[[#This Row],[Act01]:[Act12]],$P$3:$AA$3)/valUnits2</f>
        <v>5.8894299999999999</v>
      </c>
      <c r="AK119" s="34">
        <f>IF(DB_STProjectsSOF[[#This Row],[FY Plan]]&lt;&gt;0,DB_STProjectsSOF[[#This Row],[FY Actuals]]/DB_STProjectsSOF[[#This Row],[FY Plan]],1.000011000011)</f>
        <v>0.94868258084033052</v>
      </c>
    </row>
    <row r="120" spans="1:37" hidden="1" x14ac:dyDescent="0.2">
      <c r="A120">
        <f>SUBTOTAL(3,$B$6:B120)</f>
        <v>0</v>
      </c>
      <c r="B120" t="s">
        <v>975</v>
      </c>
      <c r="C120" t="s">
        <v>891</v>
      </c>
      <c r="E120">
        <v>5.2720000000000002</v>
      </c>
      <c r="G120">
        <v>322.536</v>
      </c>
      <c r="H120">
        <v>1068.5449999999998</v>
      </c>
      <c r="I120">
        <v>836.29899999999998</v>
      </c>
      <c r="J120">
        <v>836.29899999999998</v>
      </c>
      <c r="K120">
        <v>836.29899999999998</v>
      </c>
      <c r="L120">
        <v>836.29899999999998</v>
      </c>
      <c r="M120">
        <v>836.29899999999998</v>
      </c>
      <c r="N120">
        <v>836.29899999999998</v>
      </c>
      <c r="O120">
        <v>836.29899999999998</v>
      </c>
      <c r="Q120">
        <v>5.45</v>
      </c>
      <c r="S120">
        <v>321.45</v>
      </c>
      <c r="T120">
        <v>1063.96</v>
      </c>
      <c r="U120">
        <v>866.18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s="164">
        <v>41214</v>
      </c>
      <c r="AC120" s="164">
        <v>42308</v>
      </c>
      <c r="AD120" s="164">
        <v>42389</v>
      </c>
      <c r="AE120" s="34">
        <f>SUMPRODUCT(DB_STProjectsSOF[[#This Row],[Plan01]:[Plan12]],$D$4:$O$4)/valUnits2</f>
        <v>2.2326519999999999</v>
      </c>
      <c r="AF120" s="34">
        <f>SUMPRODUCT(DB_STProjectsSOF[[#This Row],[Act01]:[Act12]],$P$4:$AA$4)/valUnits2</f>
        <v>2.2570399999999999</v>
      </c>
      <c r="AG120" s="34">
        <f>DB_STProjectsSOF[[#This Row],[Actual]]-DB_STProjectsSOF[[#This Row],[Plan]]</f>
        <v>2.4388000000000076E-2</v>
      </c>
      <c r="AH120" s="34">
        <f>IF(DB_STProjectsSOF[[#This Row],[Plan]]&lt;&gt;0,DB_STProjectsSOF[[#This Row],[Actual]]/DB_STProjectsSOF[[#This Row],[Plan]],1.000011000011)</f>
        <v>1.0109233324315656</v>
      </c>
      <c r="AI120" s="34">
        <f>SUM(DB_STProjectsSOF[[#This Row],[Plan01]:[Plan12]])/valUnits2</f>
        <v>7.2504460000000002</v>
      </c>
      <c r="AJ120" s="34">
        <f>SUMPRODUCT(DB_STProjectsSOF[[#This Row],[Act01]:[Act12]],$P$3:$AA$3)/valUnits2</f>
        <v>2.2570399999999999</v>
      </c>
      <c r="AK120" s="34">
        <f>IF(DB_STProjectsSOF[[#This Row],[FY Plan]]&lt;&gt;0,DB_STProjectsSOF[[#This Row],[FY Actuals]]/DB_STProjectsSOF[[#This Row],[FY Plan]],1.000011000011)</f>
        <v>0.31129671195399566</v>
      </c>
    </row>
    <row r="121" spans="1:37" hidden="1" x14ac:dyDescent="0.2">
      <c r="A121">
        <f>SUBTOTAL(3,$B$6:B121)</f>
        <v>0</v>
      </c>
      <c r="B121" t="s">
        <v>975</v>
      </c>
      <c r="C121" t="s">
        <v>368</v>
      </c>
      <c r="D121">
        <v>0</v>
      </c>
      <c r="E121">
        <v>0</v>
      </c>
      <c r="F121">
        <v>0</v>
      </c>
      <c r="G121">
        <v>7350.09</v>
      </c>
      <c r="H121">
        <v>22327.33</v>
      </c>
      <c r="I121">
        <v>11725</v>
      </c>
      <c r="J121">
        <v>11725</v>
      </c>
      <c r="K121">
        <v>11725</v>
      </c>
      <c r="L121">
        <v>11725</v>
      </c>
      <c r="M121">
        <v>11725</v>
      </c>
      <c r="N121">
        <v>11725</v>
      </c>
      <c r="P121">
        <v>0</v>
      </c>
      <c r="Q121">
        <v>0</v>
      </c>
      <c r="R121">
        <v>0</v>
      </c>
      <c r="S121">
        <v>7350.0899999999992</v>
      </c>
      <c r="T121">
        <v>10622.669999999998</v>
      </c>
      <c r="U121">
        <v>7415.86</v>
      </c>
      <c r="V121">
        <v>0</v>
      </c>
      <c r="W121">
        <v>0</v>
      </c>
      <c r="X121">
        <v>0</v>
      </c>
      <c r="Y121">
        <v>0</v>
      </c>
      <c r="Z121">
        <v>0</v>
      </c>
      <c r="AB121" s="164">
        <v>41000</v>
      </c>
      <c r="AC121" s="164">
        <v>41820</v>
      </c>
      <c r="AD121" s="164">
        <v>41517</v>
      </c>
      <c r="AE121" s="34">
        <f>SUMPRODUCT(DB_STProjectsSOF[[#This Row],[Plan01]:[Plan12]],$D$4:$O$4)/valUnits2</f>
        <v>41.402419999999999</v>
      </c>
      <c r="AF121" s="34">
        <f>SUMPRODUCT(DB_STProjectsSOF[[#This Row],[Act01]:[Act12]],$P$4:$AA$4)/valUnits2</f>
        <v>25.38862</v>
      </c>
      <c r="AG121" s="34">
        <f>DB_STProjectsSOF[[#This Row],[Actual]]-DB_STProjectsSOF[[#This Row],[Plan]]</f>
        <v>-16.0138</v>
      </c>
      <c r="AH121" s="34">
        <f>IF(DB_STProjectsSOF[[#This Row],[Plan]]&lt;&gt;0,DB_STProjectsSOF[[#This Row],[Actual]]/DB_STProjectsSOF[[#This Row],[Plan]],1.000011000011)</f>
        <v>0.61321584583703082</v>
      </c>
      <c r="AI121" s="34">
        <f>SUM(DB_STProjectsSOF[[#This Row],[Plan01]:[Plan12]])/valUnits2</f>
        <v>100.02741999999999</v>
      </c>
      <c r="AJ121" s="34">
        <f>SUMPRODUCT(DB_STProjectsSOF[[#This Row],[Act01]:[Act12]],$P$3:$AA$3)/valUnits2</f>
        <v>25.38862</v>
      </c>
      <c r="AK121" s="34">
        <f>IF(DB_STProjectsSOF[[#This Row],[FY Plan]]&lt;&gt;0,DB_STProjectsSOF[[#This Row],[FY Actuals]]/DB_STProjectsSOF[[#This Row],[FY Plan]],1.000011000011)</f>
        <v>0.25381660348732377</v>
      </c>
    </row>
    <row r="122" spans="1:37" hidden="1" x14ac:dyDescent="0.2">
      <c r="A122">
        <f>SUBTOTAL(3,$B$6:B122)</f>
        <v>0</v>
      </c>
      <c r="B122" t="s">
        <v>975</v>
      </c>
      <c r="C122" t="s">
        <v>892</v>
      </c>
      <c r="D122">
        <v>428.21800000000002</v>
      </c>
      <c r="E122">
        <v>-122.78500000000003</v>
      </c>
      <c r="F122">
        <v>973.48899999999992</v>
      </c>
      <c r="G122">
        <v>1471.9239999999998</v>
      </c>
      <c r="H122">
        <v>2274.5500000000002</v>
      </c>
      <c r="I122">
        <v>414.27000000000004</v>
      </c>
      <c r="J122">
        <v>414.27000000000004</v>
      </c>
      <c r="K122">
        <v>414.27000000000004</v>
      </c>
      <c r="L122">
        <v>414.27000000000004</v>
      </c>
      <c r="M122">
        <v>414.27000000000004</v>
      </c>
      <c r="N122">
        <v>414.27000000000004</v>
      </c>
      <c r="O122">
        <v>414.27000000000004</v>
      </c>
      <c r="P122">
        <v>0</v>
      </c>
      <c r="Q122">
        <v>-526.13999999999987</v>
      </c>
      <c r="R122">
        <v>564.28</v>
      </c>
      <c r="S122">
        <v>1062.47</v>
      </c>
      <c r="T122">
        <v>1840.6999999999998</v>
      </c>
      <c r="U122">
        <v>700.64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s="164">
        <v>40817</v>
      </c>
      <c r="AC122" s="164">
        <v>41639</v>
      </c>
      <c r="AD122" s="164">
        <v>3</v>
      </c>
      <c r="AE122" s="34">
        <f>SUMPRODUCT(DB_STProjectsSOF[[#This Row],[Plan01]:[Plan12]],$D$4:$O$4)/valUnits2</f>
        <v>5.4396659999999999</v>
      </c>
      <c r="AF122" s="34">
        <f>SUMPRODUCT(DB_STProjectsSOF[[#This Row],[Act01]:[Act12]],$P$4:$AA$4)/valUnits2</f>
        <v>3.64195</v>
      </c>
      <c r="AG122" s="34">
        <f>DB_STProjectsSOF[[#This Row],[Actual]]-DB_STProjectsSOF[[#This Row],[Plan]]</f>
        <v>-1.7977159999999999</v>
      </c>
      <c r="AH122" s="34">
        <f>IF(DB_STProjectsSOF[[#This Row],[Plan]]&lt;&gt;0,DB_STProjectsSOF[[#This Row],[Actual]]/DB_STProjectsSOF[[#This Row],[Plan]],1.000011000011)</f>
        <v>0.66951720932866099</v>
      </c>
      <c r="AI122" s="34">
        <f>SUM(DB_STProjectsSOF[[#This Row],[Plan01]:[Plan12]])/valUnits2</f>
        <v>7.9252860000000025</v>
      </c>
      <c r="AJ122" s="34">
        <f>SUMPRODUCT(DB_STProjectsSOF[[#This Row],[Act01]:[Act12]],$P$3:$AA$3)/valUnits2</f>
        <v>3.64195</v>
      </c>
      <c r="AK122" s="34">
        <f>IF(DB_STProjectsSOF[[#This Row],[FY Plan]]&lt;&gt;0,DB_STProjectsSOF[[#This Row],[FY Actuals]]/DB_STProjectsSOF[[#This Row],[FY Plan]],1.000011000011)</f>
        <v>0.45953546660650468</v>
      </c>
    </row>
    <row r="123" spans="1:37" hidden="1" x14ac:dyDescent="0.2">
      <c r="A123">
        <f>SUBTOTAL(3,$B$6:B123)</f>
        <v>0</v>
      </c>
      <c r="B123" t="s">
        <v>975</v>
      </c>
      <c r="C123" t="s">
        <v>893</v>
      </c>
      <c r="F123">
        <v>2673.3850000000002</v>
      </c>
      <c r="R123">
        <v>2756.69</v>
      </c>
      <c r="AB123" s="164">
        <v>41214</v>
      </c>
      <c r="AC123" s="164">
        <v>41305</v>
      </c>
      <c r="AD123" s="164">
        <v>41364</v>
      </c>
      <c r="AE123" s="34">
        <f>SUMPRODUCT(DB_STProjectsSOF[[#This Row],[Plan01]:[Plan12]],$D$4:$O$4)/valUnits2</f>
        <v>2.6733850000000001</v>
      </c>
      <c r="AF123" s="34">
        <f>SUMPRODUCT(DB_STProjectsSOF[[#This Row],[Act01]:[Act12]],$P$4:$AA$4)/valUnits2</f>
        <v>2.7566899999999999</v>
      </c>
      <c r="AG123" s="34">
        <f>DB_STProjectsSOF[[#This Row],[Actual]]-DB_STProjectsSOF[[#This Row],[Plan]]</f>
        <v>8.330499999999974E-2</v>
      </c>
      <c r="AH123" s="34">
        <f>IF(DB_STProjectsSOF[[#This Row],[Plan]]&lt;&gt;0,DB_STProjectsSOF[[#This Row],[Actual]]/DB_STProjectsSOF[[#This Row],[Plan]],1.000011000011)</f>
        <v>1.0311608690854477</v>
      </c>
      <c r="AI123" s="34">
        <f>SUM(DB_STProjectsSOF[[#This Row],[Plan01]:[Plan12]])/valUnits2</f>
        <v>2.6733850000000001</v>
      </c>
      <c r="AJ123" s="34">
        <f>SUMPRODUCT(DB_STProjectsSOF[[#This Row],[Act01]:[Act12]],$P$3:$AA$3)/valUnits2</f>
        <v>2.7566899999999999</v>
      </c>
      <c r="AK123" s="34">
        <f>IF(DB_STProjectsSOF[[#This Row],[FY Plan]]&lt;&gt;0,DB_STProjectsSOF[[#This Row],[FY Actuals]]/DB_STProjectsSOF[[#This Row],[FY Plan]],1.000011000011)</f>
        <v>1.0311608690854477</v>
      </c>
    </row>
    <row r="124" spans="1:37" hidden="1" x14ac:dyDescent="0.2">
      <c r="A124">
        <f>SUBTOTAL(3,$B$6:B124)</f>
        <v>0</v>
      </c>
      <c r="B124" t="s">
        <v>975</v>
      </c>
      <c r="C124" t="s">
        <v>894</v>
      </c>
      <c r="F124">
        <v>-270.34500000000003</v>
      </c>
      <c r="H124">
        <v>40.877999999999993</v>
      </c>
      <c r="R124">
        <v>-263.09000000000003</v>
      </c>
      <c r="T124">
        <v>42.730000000000004</v>
      </c>
      <c r="AB124" s="164">
        <v>40817</v>
      </c>
      <c r="AC124" s="164">
        <v>41639</v>
      </c>
      <c r="AD124" s="164">
        <v>41820</v>
      </c>
      <c r="AE124" s="34">
        <f>SUMPRODUCT(DB_STProjectsSOF[[#This Row],[Plan01]:[Plan12]],$D$4:$O$4)/valUnits2</f>
        <v>-0.22946700000000003</v>
      </c>
      <c r="AF124" s="34">
        <f>SUMPRODUCT(DB_STProjectsSOF[[#This Row],[Act01]:[Act12]],$P$4:$AA$4)/valUnits2</f>
        <v>-0.22036</v>
      </c>
      <c r="AG124" s="34">
        <f>DB_STProjectsSOF[[#This Row],[Actual]]-DB_STProjectsSOF[[#This Row],[Plan]]</f>
        <v>9.1070000000000317E-3</v>
      </c>
      <c r="AH124" s="34">
        <f>IF(DB_STProjectsSOF[[#This Row],[Plan]]&lt;&gt;0,DB_STProjectsSOF[[#This Row],[Actual]]/DB_STProjectsSOF[[#This Row],[Plan]],1.000011000011)</f>
        <v>0.96031237607150466</v>
      </c>
      <c r="AI124" s="34">
        <f>SUM(DB_STProjectsSOF[[#This Row],[Plan01]:[Plan12]])/valUnits2</f>
        <v>-0.22946700000000003</v>
      </c>
      <c r="AJ124" s="34">
        <f>SUMPRODUCT(DB_STProjectsSOF[[#This Row],[Act01]:[Act12]],$P$3:$AA$3)/valUnits2</f>
        <v>-0.22036</v>
      </c>
      <c r="AK124" s="34">
        <f>IF(DB_STProjectsSOF[[#This Row],[FY Plan]]&lt;&gt;0,DB_STProjectsSOF[[#This Row],[FY Actuals]]/DB_STProjectsSOF[[#This Row],[FY Plan]],1.000011000011)</f>
        <v>0.96031237607150466</v>
      </c>
    </row>
    <row r="125" spans="1:37" hidden="1" x14ac:dyDescent="0.2">
      <c r="A125">
        <f>SUBTOTAL(3,$B$6:B125)</f>
        <v>0</v>
      </c>
      <c r="B125" t="s">
        <v>975</v>
      </c>
      <c r="C125" t="s">
        <v>895</v>
      </c>
      <c r="D125">
        <v>263.81099999999998</v>
      </c>
      <c r="E125">
        <v>277.32499999999999</v>
      </c>
      <c r="F125">
        <v>318.38900000000001</v>
      </c>
      <c r="G125">
        <v>3092.712</v>
      </c>
      <c r="H125">
        <v>1849.5650000000003</v>
      </c>
      <c r="I125">
        <v>3536.44</v>
      </c>
      <c r="J125">
        <v>3536.44</v>
      </c>
      <c r="K125">
        <v>3536.44</v>
      </c>
      <c r="L125">
        <v>3536.4399999999996</v>
      </c>
      <c r="M125">
        <v>3536.44</v>
      </c>
      <c r="N125">
        <v>3536.44</v>
      </c>
      <c r="O125">
        <v>3536.44</v>
      </c>
      <c r="P125">
        <v>259.90999999999997</v>
      </c>
      <c r="Q125">
        <v>283.14</v>
      </c>
      <c r="R125">
        <v>321.27</v>
      </c>
      <c r="S125">
        <v>3093.41</v>
      </c>
      <c r="T125">
        <v>1865.9299999999998</v>
      </c>
      <c r="U125">
        <v>851.21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s="164">
        <v>40553</v>
      </c>
      <c r="AC125" s="164">
        <v>41897</v>
      </c>
      <c r="AD125" s="164">
        <v>41988</v>
      </c>
      <c r="AE125" s="34">
        <f>SUMPRODUCT(DB_STProjectsSOF[[#This Row],[Plan01]:[Plan12]],$D$4:$O$4)/valUnits2</f>
        <v>9.338242000000001</v>
      </c>
      <c r="AF125" s="34">
        <f>SUMPRODUCT(DB_STProjectsSOF[[#This Row],[Act01]:[Act12]],$P$4:$AA$4)/valUnits2</f>
        <v>6.6748700000000003</v>
      </c>
      <c r="AG125" s="34">
        <f>DB_STProjectsSOF[[#This Row],[Actual]]-DB_STProjectsSOF[[#This Row],[Plan]]</f>
        <v>-2.6633720000000007</v>
      </c>
      <c r="AH125" s="34">
        <f>IF(DB_STProjectsSOF[[#This Row],[Plan]]&lt;&gt;0,DB_STProjectsSOF[[#This Row],[Actual]]/DB_STProjectsSOF[[#This Row],[Plan]],1.000011000011)</f>
        <v>0.71478871504936359</v>
      </c>
      <c r="AI125" s="34">
        <f>SUM(DB_STProjectsSOF[[#This Row],[Plan01]:[Plan12]])/valUnits2</f>
        <v>30.556881999999995</v>
      </c>
      <c r="AJ125" s="34">
        <f>SUMPRODUCT(DB_STProjectsSOF[[#This Row],[Act01]:[Act12]],$P$3:$AA$3)/valUnits2</f>
        <v>6.6748700000000003</v>
      </c>
      <c r="AK125" s="34">
        <f>IF(DB_STProjectsSOF[[#This Row],[FY Plan]]&lt;&gt;0,DB_STProjectsSOF[[#This Row],[FY Actuals]]/DB_STProjectsSOF[[#This Row],[FY Plan]],1.000011000011)</f>
        <v>0.21844080819502465</v>
      </c>
    </row>
    <row r="126" spans="1:37" hidden="1" x14ac:dyDescent="0.2">
      <c r="A126">
        <f>SUBTOTAL(3,$B$6:B126)</f>
        <v>0</v>
      </c>
      <c r="B126" t="s">
        <v>975</v>
      </c>
      <c r="C126" t="s">
        <v>896</v>
      </c>
      <c r="D126">
        <v>0</v>
      </c>
      <c r="E126">
        <v>1783.3309999999999</v>
      </c>
      <c r="F126">
        <v>0</v>
      </c>
      <c r="G126">
        <v>7419.3580000000002</v>
      </c>
      <c r="H126">
        <v>3985.4879999999998</v>
      </c>
      <c r="I126">
        <v>722.3889999999999</v>
      </c>
      <c r="J126">
        <v>722.3889999999999</v>
      </c>
      <c r="K126">
        <v>722.3889999999999</v>
      </c>
      <c r="L126">
        <v>722.3889999999999</v>
      </c>
      <c r="M126">
        <v>722.3889999999999</v>
      </c>
      <c r="N126">
        <v>722.3889999999999</v>
      </c>
      <c r="O126">
        <v>722.3889999999999</v>
      </c>
      <c r="P126">
        <v>0</v>
      </c>
      <c r="Q126">
        <v>1783.3200000000002</v>
      </c>
      <c r="R126">
        <v>0</v>
      </c>
      <c r="S126">
        <v>7364.1099999999988</v>
      </c>
      <c r="T126">
        <v>3990.07</v>
      </c>
      <c r="U126">
        <v>1413.3200000000002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s="164">
        <v>40817</v>
      </c>
      <c r="AC126" s="164">
        <v>41639</v>
      </c>
      <c r="AD126" s="164">
        <v>41820</v>
      </c>
      <c r="AE126" s="34">
        <f>SUMPRODUCT(DB_STProjectsSOF[[#This Row],[Plan01]:[Plan12]],$D$4:$O$4)/valUnits2</f>
        <v>13.910565999999999</v>
      </c>
      <c r="AF126" s="34">
        <f>SUMPRODUCT(DB_STProjectsSOF[[#This Row],[Act01]:[Act12]],$P$4:$AA$4)/valUnits2</f>
        <v>14.550819999999998</v>
      </c>
      <c r="AG126" s="34">
        <f>DB_STProjectsSOF[[#This Row],[Actual]]-DB_STProjectsSOF[[#This Row],[Plan]]</f>
        <v>0.64025399999999877</v>
      </c>
      <c r="AH126" s="34">
        <f>IF(DB_STProjectsSOF[[#This Row],[Plan]]&lt;&gt;0,DB_STProjectsSOF[[#This Row],[Actual]]/DB_STProjectsSOF[[#This Row],[Plan]],1.000011000011)</f>
        <v>1.0460264521227964</v>
      </c>
      <c r="AI126" s="34">
        <f>SUM(DB_STProjectsSOF[[#This Row],[Plan01]:[Plan12]])/valUnits2</f>
        <v>18.244899999999994</v>
      </c>
      <c r="AJ126" s="34">
        <f>SUMPRODUCT(DB_STProjectsSOF[[#This Row],[Act01]:[Act12]],$P$3:$AA$3)/valUnits2</f>
        <v>14.550819999999998</v>
      </c>
      <c r="AK126" s="34">
        <f>IF(DB_STProjectsSOF[[#This Row],[FY Plan]]&lt;&gt;0,DB_STProjectsSOF[[#This Row],[FY Actuals]]/DB_STProjectsSOF[[#This Row],[FY Plan]],1.000011000011)</f>
        <v>0.79752807633914147</v>
      </c>
    </row>
    <row r="127" spans="1:37" hidden="1" x14ac:dyDescent="0.2">
      <c r="A127">
        <f>SUBTOTAL(3,$B$6:B127)</f>
        <v>0</v>
      </c>
      <c r="B127" t="s">
        <v>975</v>
      </c>
      <c r="C127" t="s">
        <v>903</v>
      </c>
      <c r="G127">
        <v>64.790999999999997</v>
      </c>
      <c r="H127">
        <v>124.19800000000001</v>
      </c>
      <c r="I127">
        <v>453.51400000000001</v>
      </c>
      <c r="J127">
        <v>453.51400000000001</v>
      </c>
      <c r="K127">
        <v>453.51400000000001</v>
      </c>
      <c r="L127">
        <v>453.51400000000001</v>
      </c>
      <c r="M127">
        <v>453.51400000000001</v>
      </c>
      <c r="N127">
        <v>453.51400000000001</v>
      </c>
      <c r="O127">
        <v>453.51400000000001</v>
      </c>
      <c r="S127">
        <v>63.95</v>
      </c>
      <c r="T127">
        <v>124.99000000000002</v>
      </c>
      <c r="U127">
        <v>88.940000000000012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s="164">
        <v>41275</v>
      </c>
      <c r="AC127" s="164">
        <v>41639</v>
      </c>
      <c r="AD127" s="164">
        <v>41670</v>
      </c>
      <c r="AE127" s="34">
        <f>SUMPRODUCT(DB_STProjectsSOF[[#This Row],[Plan01]:[Plan12]],$D$4:$O$4)/valUnits2</f>
        <v>0.64250300000000005</v>
      </c>
      <c r="AF127" s="34">
        <f>SUMPRODUCT(DB_STProjectsSOF[[#This Row],[Act01]:[Act12]],$P$4:$AA$4)/valUnits2</f>
        <v>0.27788000000000007</v>
      </c>
      <c r="AG127" s="34">
        <f>DB_STProjectsSOF[[#This Row],[Actual]]-DB_STProjectsSOF[[#This Row],[Plan]]</f>
        <v>-0.36462299999999997</v>
      </c>
      <c r="AH127" s="34">
        <f>IF(DB_STProjectsSOF[[#This Row],[Plan]]&lt;&gt;0,DB_STProjectsSOF[[#This Row],[Actual]]/DB_STProjectsSOF[[#This Row],[Plan]],1.000011000011)</f>
        <v>0.4324960350379688</v>
      </c>
      <c r="AI127" s="34">
        <f>SUM(DB_STProjectsSOF[[#This Row],[Plan01]:[Plan12]])/valUnits2</f>
        <v>3.3635870000000003</v>
      </c>
      <c r="AJ127" s="34">
        <f>SUMPRODUCT(DB_STProjectsSOF[[#This Row],[Act01]:[Act12]],$P$3:$AA$3)/valUnits2</f>
        <v>0.27788000000000007</v>
      </c>
      <c r="AK127" s="34">
        <f>IF(DB_STProjectsSOF[[#This Row],[FY Plan]]&lt;&gt;0,DB_STProjectsSOF[[#This Row],[FY Actuals]]/DB_STProjectsSOF[[#This Row],[FY Plan]],1.000011000011)</f>
        <v>8.261418539196401E-2</v>
      </c>
    </row>
    <row r="128" spans="1:37" hidden="1" x14ac:dyDescent="0.2">
      <c r="A128">
        <f>SUBTOTAL(3,$B$6:B128)</f>
        <v>0</v>
      </c>
      <c r="B128" t="s">
        <v>975</v>
      </c>
      <c r="C128" t="s">
        <v>365</v>
      </c>
      <c r="E128">
        <v>316.14999999999998</v>
      </c>
      <c r="F128">
        <v>506.702</v>
      </c>
      <c r="G128">
        <v>182.70299999999997</v>
      </c>
      <c r="H128">
        <v>98.053000000000011</v>
      </c>
      <c r="I128">
        <v>70.234999999999999</v>
      </c>
      <c r="J128">
        <v>70.234999999999999</v>
      </c>
      <c r="K128">
        <v>70.234999999999999</v>
      </c>
      <c r="Q128">
        <v>317.56</v>
      </c>
      <c r="R128">
        <v>509.88</v>
      </c>
      <c r="S128">
        <v>185.39000000000004</v>
      </c>
      <c r="T128">
        <v>98.88</v>
      </c>
      <c r="U128">
        <v>70.359999999999985</v>
      </c>
      <c r="V128">
        <v>0</v>
      </c>
      <c r="W128">
        <v>0</v>
      </c>
      <c r="AB128" s="164">
        <v>40878</v>
      </c>
      <c r="AC128" s="164">
        <v>41517</v>
      </c>
      <c r="AD128" s="164">
        <v>41547</v>
      </c>
      <c r="AE128" s="34">
        <f>SUMPRODUCT(DB_STProjectsSOF[[#This Row],[Plan01]:[Plan12]],$D$4:$O$4)/valUnits2</f>
        <v>1.1738429999999997</v>
      </c>
      <c r="AF128" s="34">
        <f>SUMPRODUCT(DB_STProjectsSOF[[#This Row],[Act01]:[Act12]],$P$4:$AA$4)/valUnits2</f>
        <v>1.18207</v>
      </c>
      <c r="AG128" s="34">
        <f>DB_STProjectsSOF[[#This Row],[Actual]]-DB_STProjectsSOF[[#This Row],[Plan]]</f>
        <v>8.2270000000002064E-3</v>
      </c>
      <c r="AH128" s="34">
        <f>IF(DB_STProjectsSOF[[#This Row],[Plan]]&lt;&gt;0,DB_STProjectsSOF[[#This Row],[Actual]]/DB_STProjectsSOF[[#This Row],[Plan]],1.000011000011)</f>
        <v>1.0070086033651862</v>
      </c>
      <c r="AI128" s="34">
        <f>SUM(DB_STProjectsSOF[[#This Row],[Plan01]:[Plan12]])/valUnits2</f>
        <v>1.3143129999999996</v>
      </c>
      <c r="AJ128" s="34">
        <f>SUMPRODUCT(DB_STProjectsSOF[[#This Row],[Act01]:[Act12]],$P$3:$AA$3)/valUnits2</f>
        <v>1.18207</v>
      </c>
      <c r="AK128" s="34">
        <f>IF(DB_STProjectsSOF[[#This Row],[FY Plan]]&lt;&gt;0,DB_STProjectsSOF[[#This Row],[FY Actuals]]/DB_STProjectsSOF[[#This Row],[FY Plan]],1.000011000011)</f>
        <v>0.89938241499551497</v>
      </c>
    </row>
    <row r="129" spans="1:37" hidden="1" x14ac:dyDescent="0.2">
      <c r="A129">
        <f>SUBTOTAL(3,$B$6:B129)</f>
        <v>0</v>
      </c>
      <c r="B129" t="s">
        <v>975</v>
      </c>
      <c r="C129" t="s">
        <v>904</v>
      </c>
      <c r="D129">
        <v>133.483</v>
      </c>
      <c r="E129">
        <v>250.83199999999999</v>
      </c>
      <c r="F129">
        <v>668.55200000000002</v>
      </c>
      <c r="G129">
        <v>743.6339999999999</v>
      </c>
      <c r="H129">
        <v>612.27499999999986</v>
      </c>
      <c r="I129">
        <v>284.26</v>
      </c>
      <c r="J129">
        <v>284.26</v>
      </c>
      <c r="K129">
        <v>284.26</v>
      </c>
      <c r="L129">
        <v>284.26</v>
      </c>
      <c r="M129">
        <v>284.26</v>
      </c>
      <c r="N129">
        <v>284.26</v>
      </c>
      <c r="O129">
        <v>284.26</v>
      </c>
      <c r="P129">
        <v>133.43</v>
      </c>
      <c r="Q129">
        <v>249.85999999999999</v>
      </c>
      <c r="R129">
        <v>666.05</v>
      </c>
      <c r="S129">
        <v>866.30000000000007</v>
      </c>
      <c r="T129">
        <v>614.91</v>
      </c>
      <c r="U129">
        <v>576.12999999999977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s="164">
        <v>40817</v>
      </c>
      <c r="AC129" s="164">
        <v>41639</v>
      </c>
      <c r="AD129" s="164">
        <v>41698</v>
      </c>
      <c r="AE129" s="34">
        <f>SUMPRODUCT(DB_STProjectsSOF[[#This Row],[Plan01]:[Plan12]],$D$4:$O$4)/valUnits2</f>
        <v>2.6930360000000002</v>
      </c>
      <c r="AF129" s="34">
        <f>SUMPRODUCT(DB_STProjectsSOF[[#This Row],[Act01]:[Act12]],$P$4:$AA$4)/valUnits2</f>
        <v>3.1066799999999994</v>
      </c>
      <c r="AG129" s="34">
        <f>DB_STProjectsSOF[[#This Row],[Actual]]-DB_STProjectsSOF[[#This Row],[Plan]]</f>
        <v>0.41364399999999923</v>
      </c>
      <c r="AH129" s="34">
        <f>IF(DB_STProjectsSOF[[#This Row],[Plan]]&lt;&gt;0,DB_STProjectsSOF[[#This Row],[Actual]]/DB_STProjectsSOF[[#This Row],[Plan]],1.000011000011)</f>
        <v>1.1535976496415195</v>
      </c>
      <c r="AI129" s="34">
        <f>SUM(DB_STProjectsSOF[[#This Row],[Plan01]:[Plan12]])/valUnits2</f>
        <v>4.3985960000000013</v>
      </c>
      <c r="AJ129" s="34">
        <f>SUMPRODUCT(DB_STProjectsSOF[[#This Row],[Act01]:[Act12]],$P$3:$AA$3)/valUnits2</f>
        <v>3.1066799999999994</v>
      </c>
      <c r="AK129" s="34">
        <f>IF(DB_STProjectsSOF[[#This Row],[FY Plan]]&lt;&gt;0,DB_STProjectsSOF[[#This Row],[FY Actuals]]/DB_STProjectsSOF[[#This Row],[FY Plan]],1.000011000011)</f>
        <v>0.7062890067648856</v>
      </c>
    </row>
    <row r="130" spans="1:37" hidden="1" x14ac:dyDescent="0.2">
      <c r="A130">
        <f>SUBTOTAL(3,$B$6:B130)</f>
        <v>0</v>
      </c>
      <c r="B130" t="s">
        <v>975</v>
      </c>
      <c r="C130" t="s">
        <v>905</v>
      </c>
      <c r="D130">
        <v>0</v>
      </c>
      <c r="E130">
        <v>1354.9</v>
      </c>
      <c r="F130">
        <v>0</v>
      </c>
      <c r="G130">
        <v>0</v>
      </c>
      <c r="H130">
        <v>-1354.9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1354.9</v>
      </c>
      <c r="R130">
        <v>0</v>
      </c>
      <c r="S130">
        <v>0</v>
      </c>
      <c r="T130">
        <v>-1354.9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s="164">
        <v>40909</v>
      </c>
      <c r="AC130" s="164">
        <v>41274</v>
      </c>
      <c r="AD130" s="164">
        <v>41364</v>
      </c>
      <c r="AE130" s="34">
        <f>SUMPRODUCT(DB_STProjectsSOF[[#This Row],[Plan01]:[Plan12]],$D$4:$O$4)/valUnits2</f>
        <v>0</v>
      </c>
      <c r="AF130" s="34">
        <f>SUMPRODUCT(DB_STProjectsSOF[[#This Row],[Act01]:[Act12]],$P$4:$AA$4)/valUnits2</f>
        <v>0</v>
      </c>
      <c r="AG130" s="34">
        <f>DB_STProjectsSOF[[#This Row],[Actual]]-DB_STProjectsSOF[[#This Row],[Plan]]</f>
        <v>0</v>
      </c>
      <c r="AH130" s="34">
        <f>IF(DB_STProjectsSOF[[#This Row],[Plan]]&lt;&gt;0,DB_STProjectsSOF[[#This Row],[Actual]]/DB_STProjectsSOF[[#This Row],[Plan]],1.000011000011)</f>
        <v>1.0000110000110001</v>
      </c>
      <c r="AI130" s="34">
        <f>SUM(DB_STProjectsSOF[[#This Row],[Plan01]:[Plan12]])/valUnits2</f>
        <v>0</v>
      </c>
      <c r="AJ130" s="34">
        <f>SUMPRODUCT(DB_STProjectsSOF[[#This Row],[Act01]:[Act12]],$P$3:$AA$3)/valUnits2</f>
        <v>0</v>
      </c>
      <c r="AK130" s="34">
        <f>IF(DB_STProjectsSOF[[#This Row],[FY Plan]]&lt;&gt;0,DB_STProjectsSOF[[#This Row],[FY Actuals]]/DB_STProjectsSOF[[#This Row],[FY Plan]],1.000011000011)</f>
        <v>1.0000110000110001</v>
      </c>
    </row>
    <row r="131" spans="1:37" hidden="1" x14ac:dyDescent="0.2">
      <c r="A131">
        <f>SUBTOTAL(3,$B$6:B131)</f>
        <v>0</v>
      </c>
      <c r="B131" t="s">
        <v>975</v>
      </c>
      <c r="C131" t="s">
        <v>907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s="164">
        <v>40909</v>
      </c>
      <c r="AC131" s="164">
        <v>41274</v>
      </c>
      <c r="AD131" s="164">
        <v>41320</v>
      </c>
      <c r="AE131" s="34">
        <f>SUMPRODUCT(DB_STProjectsSOF[[#This Row],[Plan01]:[Plan12]],$D$4:$O$4)/valUnits2</f>
        <v>0</v>
      </c>
      <c r="AF131" s="34">
        <f>SUMPRODUCT(DB_STProjectsSOF[[#This Row],[Act01]:[Act12]],$P$4:$AA$4)/valUnits2</f>
        <v>0</v>
      </c>
      <c r="AG131" s="34">
        <f>DB_STProjectsSOF[[#This Row],[Actual]]-DB_STProjectsSOF[[#This Row],[Plan]]</f>
        <v>0</v>
      </c>
      <c r="AH131" s="34">
        <f>IF(DB_STProjectsSOF[[#This Row],[Plan]]&lt;&gt;0,DB_STProjectsSOF[[#This Row],[Actual]]/DB_STProjectsSOF[[#This Row],[Plan]],1.000011000011)</f>
        <v>1.0000110000110001</v>
      </c>
      <c r="AI131" s="34">
        <f>SUM(DB_STProjectsSOF[[#This Row],[Plan01]:[Plan12]])/valUnits2</f>
        <v>0</v>
      </c>
      <c r="AJ131" s="34">
        <f>SUMPRODUCT(DB_STProjectsSOF[[#This Row],[Act01]:[Act12]],$P$3:$AA$3)/valUnits2</f>
        <v>0</v>
      </c>
      <c r="AK131" s="34">
        <f>IF(DB_STProjectsSOF[[#This Row],[FY Plan]]&lt;&gt;0,DB_STProjectsSOF[[#This Row],[FY Actuals]]/DB_STProjectsSOF[[#This Row],[FY Plan]],1.000011000011)</f>
        <v>1.0000110000110001</v>
      </c>
    </row>
    <row r="132" spans="1:37" hidden="1" x14ac:dyDescent="0.2">
      <c r="A132">
        <f>SUBTOTAL(3,$B$6:B132)</f>
        <v>0</v>
      </c>
      <c r="B132" t="s">
        <v>975</v>
      </c>
      <c r="C132" t="s">
        <v>908</v>
      </c>
      <c r="D132">
        <v>0</v>
      </c>
      <c r="E132">
        <v>0</v>
      </c>
      <c r="F132">
        <v>0</v>
      </c>
      <c r="G132">
        <v>1119.3989999999999</v>
      </c>
      <c r="H132">
        <v>-935.77499999999986</v>
      </c>
      <c r="I132">
        <v>39.475999999999999</v>
      </c>
      <c r="J132">
        <v>39.475999999999999</v>
      </c>
      <c r="K132">
        <v>39.475999999999999</v>
      </c>
      <c r="L132">
        <v>39.475999999999999</v>
      </c>
      <c r="M132">
        <v>39.475999999999999</v>
      </c>
      <c r="N132">
        <v>39.475999999999999</v>
      </c>
      <c r="O132">
        <v>39.475999999999999</v>
      </c>
      <c r="P132">
        <v>0</v>
      </c>
      <c r="Q132">
        <v>0</v>
      </c>
      <c r="R132">
        <v>0</v>
      </c>
      <c r="S132">
        <v>1135.7199999999998</v>
      </c>
      <c r="T132">
        <v>-970.38999999999987</v>
      </c>
      <c r="U132">
        <v>47.17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s="164">
        <v>40909</v>
      </c>
      <c r="AC132" s="164">
        <v>42003</v>
      </c>
      <c r="AD132" s="164">
        <v>42063</v>
      </c>
      <c r="AE132" s="34">
        <f>SUMPRODUCT(DB_STProjectsSOF[[#This Row],[Plan01]:[Plan12]],$D$4:$O$4)/valUnits2</f>
        <v>0.22310000000000002</v>
      </c>
      <c r="AF132" s="34">
        <f>SUMPRODUCT(DB_STProjectsSOF[[#This Row],[Act01]:[Act12]],$P$4:$AA$4)/valUnits2</f>
        <v>0.21249999999999994</v>
      </c>
      <c r="AG132" s="34">
        <f>DB_STProjectsSOF[[#This Row],[Actual]]-DB_STProjectsSOF[[#This Row],[Plan]]</f>
        <v>-1.0600000000000082E-2</v>
      </c>
      <c r="AH132" s="34">
        <f>IF(DB_STProjectsSOF[[#This Row],[Plan]]&lt;&gt;0,DB_STProjectsSOF[[#This Row],[Actual]]/DB_STProjectsSOF[[#This Row],[Plan]],1.000011000011)</f>
        <v>0.95248767368892839</v>
      </c>
      <c r="AI132" s="34">
        <f>SUM(DB_STProjectsSOF[[#This Row],[Plan01]:[Plan12]])/valUnits2</f>
        <v>0.45995600000000003</v>
      </c>
      <c r="AJ132" s="34">
        <f>SUMPRODUCT(DB_STProjectsSOF[[#This Row],[Act01]:[Act12]],$P$3:$AA$3)/valUnits2</f>
        <v>0.21249999999999994</v>
      </c>
      <c r="AK132" s="34">
        <f>IF(DB_STProjectsSOF[[#This Row],[FY Plan]]&lt;&gt;0,DB_STProjectsSOF[[#This Row],[FY Actuals]]/DB_STProjectsSOF[[#This Row],[FY Plan]],1.000011000011)</f>
        <v>0.46200071311168878</v>
      </c>
    </row>
    <row r="133" spans="1:37" hidden="1" x14ac:dyDescent="0.2">
      <c r="A133">
        <f>SUBTOTAL(3,$B$6:B133)</f>
        <v>0</v>
      </c>
      <c r="B133" t="s">
        <v>975</v>
      </c>
      <c r="C133" t="s">
        <v>909</v>
      </c>
      <c r="D133">
        <v>12253.490000000002</v>
      </c>
      <c r="E133">
        <v>14398.649999999996</v>
      </c>
      <c r="F133">
        <v>18282.999999999996</v>
      </c>
      <c r="G133">
        <v>45575.310000000012</v>
      </c>
      <c r="H133">
        <v>23407.28000000001</v>
      </c>
      <c r="I133">
        <v>18617.002</v>
      </c>
      <c r="J133">
        <v>18617.002</v>
      </c>
      <c r="K133">
        <v>18617.002</v>
      </c>
      <c r="L133">
        <v>18617.002</v>
      </c>
      <c r="M133">
        <v>18617.002000000004</v>
      </c>
      <c r="N133">
        <v>18617.002</v>
      </c>
      <c r="O133">
        <v>18617.002000000004</v>
      </c>
      <c r="P133">
        <v>12253.489999999998</v>
      </c>
      <c r="Q133">
        <v>14398.65</v>
      </c>
      <c r="R133">
        <v>18344.889999999996</v>
      </c>
      <c r="S133">
        <v>47134.670000000027</v>
      </c>
      <c r="T133">
        <v>23426.87</v>
      </c>
      <c r="U133">
        <v>22924.750000000004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s="164">
        <v>40817</v>
      </c>
      <c r="AC133" s="164">
        <v>42155</v>
      </c>
      <c r="AD133" s="164">
        <v>42217</v>
      </c>
      <c r="AE133" s="34">
        <f>SUMPRODUCT(DB_STProjectsSOF[[#This Row],[Plan01]:[Plan12]],$D$4:$O$4)/valUnits2</f>
        <v>132.53473200000002</v>
      </c>
      <c r="AF133" s="34">
        <f>SUMPRODUCT(DB_STProjectsSOF[[#This Row],[Act01]:[Act12]],$P$4:$AA$4)/valUnits2</f>
        <v>138.48332000000005</v>
      </c>
      <c r="AG133" s="34">
        <f>DB_STProjectsSOF[[#This Row],[Actual]]-DB_STProjectsSOF[[#This Row],[Plan]]</f>
        <v>5.9485880000000293</v>
      </c>
      <c r="AH133" s="34">
        <f>IF(DB_STProjectsSOF[[#This Row],[Plan]]&lt;&gt;0,DB_STProjectsSOF[[#This Row],[Actual]]/DB_STProjectsSOF[[#This Row],[Plan]],1.000011000011)</f>
        <v>1.0448832386064659</v>
      </c>
      <c r="AI133" s="34">
        <f>SUM(DB_STProjectsSOF[[#This Row],[Plan01]:[Plan12]])/valUnits2</f>
        <v>244.23674400000007</v>
      </c>
      <c r="AJ133" s="34">
        <f>SUMPRODUCT(DB_STProjectsSOF[[#This Row],[Act01]:[Act12]],$P$3:$AA$3)/valUnits2</f>
        <v>138.48332000000005</v>
      </c>
      <c r="AK133" s="34">
        <f>IF(DB_STProjectsSOF[[#This Row],[FY Plan]]&lt;&gt;0,DB_STProjectsSOF[[#This Row],[FY Actuals]]/DB_STProjectsSOF[[#This Row],[FY Plan]],1.000011000011)</f>
        <v>0.56700444712774256</v>
      </c>
    </row>
    <row r="134" spans="1:37" hidden="1" x14ac:dyDescent="0.2">
      <c r="A134">
        <f>SUBTOTAL(3,$B$6:B134)</f>
        <v>0</v>
      </c>
      <c r="B134" t="s">
        <v>975</v>
      </c>
      <c r="C134" t="s">
        <v>354</v>
      </c>
      <c r="D134">
        <v>0</v>
      </c>
      <c r="E134">
        <v>0</v>
      </c>
      <c r="F134">
        <v>0</v>
      </c>
      <c r="G134">
        <v>1264.8510000000001</v>
      </c>
      <c r="H134">
        <v>1318.0140000000004</v>
      </c>
      <c r="I134">
        <v>912.23200000000008</v>
      </c>
      <c r="P134">
        <v>0</v>
      </c>
      <c r="Q134">
        <v>0</v>
      </c>
      <c r="R134">
        <v>0</v>
      </c>
      <c r="S134">
        <v>1254.27</v>
      </c>
      <c r="T134">
        <v>1336.4800000000002</v>
      </c>
      <c r="U134">
        <v>1119.92</v>
      </c>
      <c r="AB134" s="164">
        <v>41091</v>
      </c>
      <c r="AC134" s="164">
        <v>41455</v>
      </c>
      <c r="AD134" s="164">
        <v>41517</v>
      </c>
      <c r="AE134" s="34">
        <f>SUMPRODUCT(DB_STProjectsSOF[[#This Row],[Plan01]:[Plan12]],$D$4:$O$4)/valUnits2</f>
        <v>3.4950970000000008</v>
      </c>
      <c r="AF134" s="34">
        <f>SUMPRODUCT(DB_STProjectsSOF[[#This Row],[Act01]:[Act12]],$P$4:$AA$4)/valUnits2</f>
        <v>3.7106699999999999</v>
      </c>
      <c r="AG134" s="34">
        <f>DB_STProjectsSOF[[#This Row],[Actual]]-DB_STProjectsSOF[[#This Row],[Plan]]</f>
        <v>0.21557299999999913</v>
      </c>
      <c r="AH134" s="34">
        <f>IF(DB_STProjectsSOF[[#This Row],[Plan]]&lt;&gt;0,DB_STProjectsSOF[[#This Row],[Actual]]/DB_STProjectsSOF[[#This Row],[Plan]],1.000011000011)</f>
        <v>1.0616786887459773</v>
      </c>
      <c r="AI134" s="34">
        <f>SUM(DB_STProjectsSOF[[#This Row],[Plan01]:[Plan12]])/valUnits2</f>
        <v>3.4950970000000008</v>
      </c>
      <c r="AJ134" s="34">
        <f>SUMPRODUCT(DB_STProjectsSOF[[#This Row],[Act01]:[Act12]],$P$3:$AA$3)/valUnits2</f>
        <v>3.7106699999999999</v>
      </c>
      <c r="AK134" s="34">
        <f>IF(DB_STProjectsSOF[[#This Row],[FY Plan]]&lt;&gt;0,DB_STProjectsSOF[[#This Row],[FY Actuals]]/DB_STProjectsSOF[[#This Row],[FY Plan]],1.000011000011)</f>
        <v>1.0616786887459773</v>
      </c>
    </row>
    <row r="135" spans="1:37" hidden="1" x14ac:dyDescent="0.2">
      <c r="A135">
        <f>SUBTOTAL(3,$B$6:B135)</f>
        <v>0</v>
      </c>
      <c r="B135" t="s">
        <v>975</v>
      </c>
      <c r="C135" t="s">
        <v>911</v>
      </c>
      <c r="D135">
        <v>5965.7579999999998</v>
      </c>
      <c r="E135">
        <v>10343.724</v>
      </c>
      <c r="F135">
        <v>7426.0499999999993</v>
      </c>
      <c r="G135">
        <v>20152.229999999992</v>
      </c>
      <c r="H135">
        <v>8626.31</v>
      </c>
      <c r="I135">
        <v>2191.0800000000004</v>
      </c>
      <c r="J135">
        <v>2191.0800000000004</v>
      </c>
      <c r="K135">
        <v>2191.0800000000004</v>
      </c>
      <c r="L135">
        <v>2254.9750000000004</v>
      </c>
      <c r="M135">
        <v>2191.08</v>
      </c>
      <c r="P135">
        <v>2672.09</v>
      </c>
      <c r="Q135">
        <v>4125.3899999999994</v>
      </c>
      <c r="R135">
        <v>5234.97</v>
      </c>
      <c r="S135">
        <v>17961.150000000001</v>
      </c>
      <c r="T135">
        <v>6447.4099999999989</v>
      </c>
      <c r="U135">
        <v>5145.72</v>
      </c>
      <c r="V135">
        <v>0</v>
      </c>
      <c r="W135">
        <v>0</v>
      </c>
      <c r="X135">
        <v>0</v>
      </c>
      <c r="Y135">
        <v>0</v>
      </c>
      <c r="AB135" s="164">
        <v>40817</v>
      </c>
      <c r="AC135" s="164">
        <v>41578</v>
      </c>
      <c r="AD135" s="164">
        <v>41639</v>
      </c>
      <c r="AE135" s="34">
        <f>SUMPRODUCT(DB_STProjectsSOF[[#This Row],[Plan01]:[Plan12]],$D$4:$O$4)/valUnits2</f>
        <v>54.705151999999984</v>
      </c>
      <c r="AF135" s="34">
        <f>SUMPRODUCT(DB_STProjectsSOF[[#This Row],[Act01]:[Act12]],$P$4:$AA$4)/valUnits2</f>
        <v>41.586730000000003</v>
      </c>
      <c r="AG135" s="34">
        <f>DB_STProjectsSOF[[#This Row],[Actual]]-DB_STProjectsSOF[[#This Row],[Plan]]</f>
        <v>-13.118421999999981</v>
      </c>
      <c r="AH135" s="34">
        <f>IF(DB_STProjectsSOF[[#This Row],[Plan]]&lt;&gt;0,DB_STProjectsSOF[[#This Row],[Actual]]/DB_STProjectsSOF[[#This Row],[Plan]],1.000011000011)</f>
        <v>0.76019768668223453</v>
      </c>
      <c r="AI135" s="34">
        <f>SUM(DB_STProjectsSOF[[#This Row],[Plan01]:[Plan12]])/valUnits2</f>
        <v>63.533366999999991</v>
      </c>
      <c r="AJ135" s="34">
        <f>SUMPRODUCT(DB_STProjectsSOF[[#This Row],[Act01]:[Act12]],$P$3:$AA$3)/valUnits2</f>
        <v>41.586730000000003</v>
      </c>
      <c r="AK135" s="34">
        <f>IF(DB_STProjectsSOF[[#This Row],[FY Plan]]&lt;&gt;0,DB_STProjectsSOF[[#This Row],[FY Actuals]]/DB_STProjectsSOF[[#This Row],[FY Plan]],1.000011000011)</f>
        <v>0.65456518304783073</v>
      </c>
    </row>
    <row r="136" spans="1:37" hidden="1" x14ac:dyDescent="0.2">
      <c r="A136">
        <f>SUBTOTAL(3,$B$6:B136)</f>
        <v>0</v>
      </c>
      <c r="B136" t="s">
        <v>975</v>
      </c>
      <c r="C136" t="s">
        <v>913</v>
      </c>
      <c r="D136">
        <v>0</v>
      </c>
      <c r="E136">
        <v>0</v>
      </c>
      <c r="F136">
        <v>0</v>
      </c>
      <c r="G136">
        <v>466.15999999999997</v>
      </c>
      <c r="H136">
        <v>168.245</v>
      </c>
      <c r="I136">
        <v>282.19299999999998</v>
      </c>
      <c r="J136">
        <v>282.19299999999998</v>
      </c>
      <c r="K136">
        <v>282.19299999999998</v>
      </c>
      <c r="L136">
        <v>282.19299999999998</v>
      </c>
      <c r="M136">
        <v>282.19299999999998</v>
      </c>
      <c r="N136">
        <v>282.19299999999998</v>
      </c>
      <c r="O136">
        <v>282.19299999999998</v>
      </c>
      <c r="P136">
        <v>0</v>
      </c>
      <c r="Q136">
        <v>0</v>
      </c>
      <c r="R136">
        <v>0</v>
      </c>
      <c r="S136">
        <v>470.88999999999993</v>
      </c>
      <c r="T136">
        <v>169.02</v>
      </c>
      <c r="U136">
        <v>-2663.46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s="164">
        <v>40817</v>
      </c>
      <c r="AC136" s="164">
        <v>41639</v>
      </c>
      <c r="AD136" s="164">
        <v>41685</v>
      </c>
      <c r="AE136" s="34">
        <f>SUMPRODUCT(DB_STProjectsSOF[[#This Row],[Plan01]:[Plan12]],$D$4:$O$4)/valUnits2</f>
        <v>0.91659799999999991</v>
      </c>
      <c r="AF136" s="34">
        <f>SUMPRODUCT(DB_STProjectsSOF[[#This Row],[Act01]:[Act12]],$P$4:$AA$4)/valUnits2</f>
        <v>-2.0235500000000002</v>
      </c>
      <c r="AG136" s="34">
        <f>DB_STProjectsSOF[[#This Row],[Actual]]-DB_STProjectsSOF[[#This Row],[Plan]]</f>
        <v>-2.9401480000000002</v>
      </c>
      <c r="AH136" s="34">
        <f>IF(DB_STProjectsSOF[[#This Row],[Plan]]&lt;&gt;0,DB_STProjectsSOF[[#This Row],[Actual]]/DB_STProjectsSOF[[#This Row],[Plan]],1.000011000011)</f>
        <v>-2.2076744657963472</v>
      </c>
      <c r="AI136" s="34">
        <f>SUM(DB_STProjectsSOF[[#This Row],[Plan01]:[Plan12]])/valUnits2</f>
        <v>2.6097560000000004</v>
      </c>
      <c r="AJ136" s="34">
        <f>SUMPRODUCT(DB_STProjectsSOF[[#This Row],[Act01]:[Act12]],$P$3:$AA$3)/valUnits2</f>
        <v>-2.0235500000000002</v>
      </c>
      <c r="AK136" s="34">
        <f>IF(DB_STProjectsSOF[[#This Row],[FY Plan]]&lt;&gt;0,DB_STProjectsSOF[[#This Row],[FY Actuals]]/DB_STProjectsSOF[[#This Row],[FY Plan]],1.000011000011)</f>
        <v>-0.77537900094874768</v>
      </c>
    </row>
    <row r="137" spans="1:37" hidden="1" x14ac:dyDescent="0.2">
      <c r="A137">
        <f>SUBTOTAL(3,$B$6:B137)</f>
        <v>0</v>
      </c>
      <c r="B137" t="s">
        <v>975</v>
      </c>
      <c r="C137" t="s">
        <v>915</v>
      </c>
      <c r="D137">
        <v>0</v>
      </c>
      <c r="E137">
        <v>286.40100000000001</v>
      </c>
      <c r="F137">
        <v>324.58999999999997</v>
      </c>
      <c r="G137">
        <v>996.68000000000006</v>
      </c>
      <c r="H137">
        <v>1544.7240000000002</v>
      </c>
      <c r="I137">
        <v>153.839</v>
      </c>
      <c r="J137">
        <v>153.839</v>
      </c>
      <c r="K137">
        <v>153.839</v>
      </c>
      <c r="L137">
        <v>153.839</v>
      </c>
      <c r="M137">
        <v>153.839</v>
      </c>
      <c r="N137">
        <v>153.839</v>
      </c>
      <c r="O137">
        <v>153.839</v>
      </c>
      <c r="P137">
        <v>0</v>
      </c>
      <c r="Q137">
        <v>293.54000000000002</v>
      </c>
      <c r="R137">
        <v>320.04000000000002</v>
      </c>
      <c r="S137">
        <v>966.24</v>
      </c>
      <c r="T137">
        <v>1585.8100000000002</v>
      </c>
      <c r="U137">
        <v>1225.0099999999998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s="164">
        <v>41061</v>
      </c>
      <c r="AC137" s="164">
        <v>42155</v>
      </c>
      <c r="AD137" s="164">
        <v>42185</v>
      </c>
      <c r="AE137" s="34">
        <f>SUMPRODUCT(DB_STProjectsSOF[[#This Row],[Plan01]:[Plan12]],$D$4:$O$4)/valUnits2</f>
        <v>3.3062340000000003</v>
      </c>
      <c r="AF137" s="34">
        <f>SUMPRODUCT(DB_STProjectsSOF[[#This Row],[Act01]:[Act12]],$P$4:$AA$4)/valUnits2</f>
        <v>4.3906399999999994</v>
      </c>
      <c r="AG137" s="34">
        <f>DB_STProjectsSOF[[#This Row],[Actual]]-DB_STProjectsSOF[[#This Row],[Plan]]</f>
        <v>1.0844059999999991</v>
      </c>
      <c r="AH137" s="34">
        <f>IF(DB_STProjectsSOF[[#This Row],[Plan]]&lt;&gt;0,DB_STProjectsSOF[[#This Row],[Actual]]/DB_STProjectsSOF[[#This Row],[Plan]],1.000011000011)</f>
        <v>1.3279882791115205</v>
      </c>
      <c r="AI137" s="34">
        <f>SUM(DB_STProjectsSOF[[#This Row],[Plan01]:[Plan12]])/valUnits2</f>
        <v>4.2292680000000002</v>
      </c>
      <c r="AJ137" s="34">
        <f>SUMPRODUCT(DB_STProjectsSOF[[#This Row],[Act01]:[Act12]],$P$3:$AA$3)/valUnits2</f>
        <v>4.3906399999999994</v>
      </c>
      <c r="AK137" s="34">
        <f>IF(DB_STProjectsSOF[[#This Row],[FY Plan]]&lt;&gt;0,DB_STProjectsSOF[[#This Row],[FY Actuals]]/DB_STProjectsSOF[[#This Row],[FY Plan]],1.000011000011)</f>
        <v>1.0381560118677746</v>
      </c>
    </row>
    <row r="138" spans="1:37" hidden="1" x14ac:dyDescent="0.2">
      <c r="A138">
        <f>SUBTOTAL(3,$B$6:B138)</f>
        <v>0</v>
      </c>
      <c r="B138" t="s">
        <v>975</v>
      </c>
      <c r="C138" t="s">
        <v>916</v>
      </c>
      <c r="F138">
        <v>0</v>
      </c>
      <c r="G138">
        <v>0</v>
      </c>
      <c r="H138">
        <v>0</v>
      </c>
      <c r="I138">
        <v>125</v>
      </c>
      <c r="J138">
        <v>41.667000000000002</v>
      </c>
      <c r="K138">
        <v>41.667000000000002</v>
      </c>
      <c r="L138">
        <v>41.667000000000002</v>
      </c>
      <c r="M138">
        <v>41.667000000000002</v>
      </c>
      <c r="N138">
        <v>41.667000000000002</v>
      </c>
      <c r="O138">
        <v>41.667000000000002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s="164">
        <v>41244</v>
      </c>
      <c r="AC138" s="164">
        <v>41639</v>
      </c>
      <c r="AD138" s="164">
        <v>41729</v>
      </c>
      <c r="AE138" s="34">
        <f>SUMPRODUCT(DB_STProjectsSOF[[#This Row],[Plan01]:[Plan12]],$D$4:$O$4)/valUnits2</f>
        <v>0.125</v>
      </c>
      <c r="AF138" s="34">
        <f>SUMPRODUCT(DB_STProjectsSOF[[#This Row],[Act01]:[Act12]],$P$4:$AA$4)/valUnits2</f>
        <v>0</v>
      </c>
      <c r="AG138" s="34">
        <f>DB_STProjectsSOF[[#This Row],[Actual]]-DB_STProjectsSOF[[#This Row],[Plan]]</f>
        <v>-0.125</v>
      </c>
      <c r="AH138" s="34">
        <f>IF(DB_STProjectsSOF[[#This Row],[Plan]]&lt;&gt;0,DB_STProjectsSOF[[#This Row],[Actual]]/DB_STProjectsSOF[[#This Row],[Plan]],1.000011000011)</f>
        <v>0</v>
      </c>
      <c r="AI138" s="34">
        <f>SUM(DB_STProjectsSOF[[#This Row],[Plan01]:[Plan12]])/valUnits2</f>
        <v>0.37500200000000006</v>
      </c>
      <c r="AJ138" s="34">
        <f>SUMPRODUCT(DB_STProjectsSOF[[#This Row],[Act01]:[Act12]],$P$3:$AA$3)/valUnits2</f>
        <v>0</v>
      </c>
      <c r="AK138" s="34">
        <f>IF(DB_STProjectsSOF[[#This Row],[FY Plan]]&lt;&gt;0,DB_STProjectsSOF[[#This Row],[FY Actuals]]/DB_STProjectsSOF[[#This Row],[FY Plan]],1.000011000011)</f>
        <v>0</v>
      </c>
    </row>
    <row r="139" spans="1:37" hidden="1" x14ac:dyDescent="0.2">
      <c r="A139">
        <f>SUBTOTAL(3,$B$6:B139)</f>
        <v>0</v>
      </c>
      <c r="B139" t="s">
        <v>975</v>
      </c>
      <c r="C139" t="s">
        <v>917</v>
      </c>
      <c r="D139">
        <v>295.113</v>
      </c>
      <c r="E139">
        <v>51.811999999999998</v>
      </c>
      <c r="F139">
        <v>63.872</v>
      </c>
      <c r="G139">
        <v>2794.3670000000002</v>
      </c>
      <c r="H139">
        <v>860.52300000000002</v>
      </c>
      <c r="I139">
        <v>300.38499999999999</v>
      </c>
      <c r="J139">
        <v>1473.4739999999999</v>
      </c>
      <c r="K139">
        <v>1473.4739999999999</v>
      </c>
      <c r="L139">
        <v>1473.4739999999999</v>
      </c>
      <c r="M139">
        <v>1473.4739999999999</v>
      </c>
      <c r="N139">
        <v>1473.4739999999999</v>
      </c>
      <c r="O139">
        <v>1473.4739999999999</v>
      </c>
      <c r="P139">
        <v>295.12</v>
      </c>
      <c r="Q139">
        <v>51.65</v>
      </c>
      <c r="R139">
        <v>63.449999999999996</v>
      </c>
      <c r="S139">
        <v>2779.7199999999993</v>
      </c>
      <c r="T139">
        <v>864.67</v>
      </c>
      <c r="U139">
        <v>-1194.0799999999997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s="164">
        <v>40817</v>
      </c>
      <c r="AC139" s="164">
        <v>42155</v>
      </c>
      <c r="AD139" s="164">
        <v>42246</v>
      </c>
      <c r="AE139" s="34">
        <f>SUMPRODUCT(DB_STProjectsSOF[[#This Row],[Plan01]:[Plan12]],$D$4:$O$4)/valUnits2</f>
        <v>4.366072</v>
      </c>
      <c r="AF139" s="34">
        <f>SUMPRODUCT(DB_STProjectsSOF[[#This Row],[Act01]:[Act12]],$P$4:$AA$4)/valUnits2</f>
        <v>2.8605299999999998</v>
      </c>
      <c r="AG139" s="34">
        <f>DB_STProjectsSOF[[#This Row],[Actual]]-DB_STProjectsSOF[[#This Row],[Plan]]</f>
        <v>-1.5055420000000002</v>
      </c>
      <c r="AH139" s="34">
        <f>IF(DB_STProjectsSOF[[#This Row],[Plan]]&lt;&gt;0,DB_STProjectsSOF[[#This Row],[Actual]]/DB_STProjectsSOF[[#This Row],[Plan]],1.000011000011)</f>
        <v>0.65517242958888444</v>
      </c>
      <c r="AI139" s="34">
        <f>SUM(DB_STProjectsSOF[[#This Row],[Plan01]:[Plan12]])/valUnits2</f>
        <v>13.206916000000001</v>
      </c>
      <c r="AJ139" s="34">
        <f>SUMPRODUCT(DB_STProjectsSOF[[#This Row],[Act01]:[Act12]],$P$3:$AA$3)/valUnits2</f>
        <v>2.8605299999999998</v>
      </c>
      <c r="AK139" s="34">
        <f>IF(DB_STProjectsSOF[[#This Row],[FY Plan]]&lt;&gt;0,DB_STProjectsSOF[[#This Row],[FY Actuals]]/DB_STProjectsSOF[[#This Row],[FY Plan]],1.000011000011)</f>
        <v>0.2165933364004132</v>
      </c>
    </row>
    <row r="140" spans="1:37" hidden="1" x14ac:dyDescent="0.2">
      <c r="A140">
        <f>SUBTOTAL(3,$B$6:B140)</f>
        <v>0</v>
      </c>
      <c r="B140" t="s">
        <v>975</v>
      </c>
      <c r="C140" t="s">
        <v>918</v>
      </c>
      <c r="D140">
        <v>0</v>
      </c>
      <c r="G140">
        <v>963.07899999999995</v>
      </c>
      <c r="H140">
        <v>349.35700000000008</v>
      </c>
      <c r="I140">
        <v>1697.268</v>
      </c>
      <c r="J140">
        <v>1697.268</v>
      </c>
      <c r="K140">
        <v>1697.268</v>
      </c>
      <c r="L140">
        <v>1697.268</v>
      </c>
      <c r="M140">
        <v>1697.268</v>
      </c>
      <c r="N140">
        <v>1697.268</v>
      </c>
      <c r="O140">
        <v>1697.268</v>
      </c>
      <c r="P140">
        <v>0</v>
      </c>
      <c r="S140">
        <v>972.67000000000019</v>
      </c>
      <c r="T140">
        <v>349.78</v>
      </c>
      <c r="U140">
        <v>248.86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s="164">
        <v>41091</v>
      </c>
      <c r="AC140" s="164">
        <v>42185</v>
      </c>
      <c r="AD140" s="164">
        <v>42247</v>
      </c>
      <c r="AE140" s="34">
        <f>SUMPRODUCT(DB_STProjectsSOF[[#This Row],[Plan01]:[Plan12]],$D$4:$O$4)/valUnits2</f>
        <v>3.0097040000000002</v>
      </c>
      <c r="AF140" s="34">
        <f>SUMPRODUCT(DB_STProjectsSOF[[#This Row],[Act01]:[Act12]],$P$4:$AA$4)/valUnits2</f>
        <v>1.5713100000000004</v>
      </c>
      <c r="AG140" s="34">
        <f>DB_STProjectsSOF[[#This Row],[Actual]]-DB_STProjectsSOF[[#This Row],[Plan]]</f>
        <v>-1.4383939999999997</v>
      </c>
      <c r="AH140" s="34">
        <f>IF(DB_STProjectsSOF[[#This Row],[Plan]]&lt;&gt;0,DB_STProjectsSOF[[#This Row],[Actual]]/DB_STProjectsSOF[[#This Row],[Plan]],1.000011000011)</f>
        <v>0.52208124121176047</v>
      </c>
      <c r="AI140" s="34">
        <f>SUM(DB_STProjectsSOF[[#This Row],[Plan01]:[Plan12]])/valUnits2</f>
        <v>13.193312000000001</v>
      </c>
      <c r="AJ140" s="34">
        <f>SUMPRODUCT(DB_STProjectsSOF[[#This Row],[Act01]:[Act12]],$P$3:$AA$3)/valUnits2</f>
        <v>1.5713100000000004</v>
      </c>
      <c r="AK140" s="34">
        <f>IF(DB_STProjectsSOF[[#This Row],[FY Plan]]&lt;&gt;0,DB_STProjectsSOF[[#This Row],[FY Actuals]]/DB_STProjectsSOF[[#This Row],[FY Plan]],1.000011000011)</f>
        <v>0.11909897984675875</v>
      </c>
    </row>
    <row r="141" spans="1:37" hidden="1" x14ac:dyDescent="0.2">
      <c r="A141">
        <f>SUBTOTAL(3,$B$6:B141)</f>
        <v>0</v>
      </c>
      <c r="B141" t="s">
        <v>975</v>
      </c>
      <c r="C141" t="s">
        <v>356</v>
      </c>
      <c r="D141">
        <v>0</v>
      </c>
      <c r="E141">
        <v>0</v>
      </c>
      <c r="F141">
        <v>0</v>
      </c>
      <c r="G141">
        <v>744.452</v>
      </c>
      <c r="H141">
        <v>467.10699999999997</v>
      </c>
      <c r="I141">
        <v>1349.1979999999999</v>
      </c>
      <c r="P141">
        <v>0</v>
      </c>
      <c r="Q141">
        <v>0</v>
      </c>
      <c r="R141">
        <v>0</v>
      </c>
      <c r="S141">
        <v>748.25999999999988</v>
      </c>
      <c r="T141">
        <v>491.40000000000003</v>
      </c>
      <c r="U141">
        <v>2504.8500000000004</v>
      </c>
      <c r="AB141" s="164">
        <v>41091</v>
      </c>
      <c r="AC141" s="164">
        <v>41455</v>
      </c>
      <c r="AD141" s="164">
        <v>41547</v>
      </c>
      <c r="AE141" s="34">
        <f>SUMPRODUCT(DB_STProjectsSOF[[#This Row],[Plan01]:[Plan12]],$D$4:$O$4)/valUnits2</f>
        <v>2.5607569999999997</v>
      </c>
      <c r="AF141" s="34">
        <f>SUMPRODUCT(DB_STProjectsSOF[[#This Row],[Act01]:[Act12]],$P$4:$AA$4)/valUnits2</f>
        <v>3.74451</v>
      </c>
      <c r="AG141" s="34">
        <f>DB_STProjectsSOF[[#This Row],[Actual]]-DB_STProjectsSOF[[#This Row],[Plan]]</f>
        <v>1.1837530000000003</v>
      </c>
      <c r="AH141" s="34">
        <f>IF(DB_STProjectsSOF[[#This Row],[Plan]]&lt;&gt;0,DB_STProjectsSOF[[#This Row],[Actual]]/DB_STProjectsSOF[[#This Row],[Plan]],1.000011000011)</f>
        <v>1.4622668218811861</v>
      </c>
      <c r="AI141" s="34">
        <f>SUM(DB_STProjectsSOF[[#This Row],[Plan01]:[Plan12]])/valUnits2</f>
        <v>2.5607569999999997</v>
      </c>
      <c r="AJ141" s="34">
        <f>SUMPRODUCT(DB_STProjectsSOF[[#This Row],[Act01]:[Act12]],$P$3:$AA$3)/valUnits2</f>
        <v>3.74451</v>
      </c>
      <c r="AK141" s="34">
        <f>IF(DB_STProjectsSOF[[#This Row],[FY Plan]]&lt;&gt;0,DB_STProjectsSOF[[#This Row],[FY Actuals]]/DB_STProjectsSOF[[#This Row],[FY Plan]],1.000011000011)</f>
        <v>1.4622668218811861</v>
      </c>
    </row>
    <row r="142" spans="1:37" hidden="1" x14ac:dyDescent="0.2">
      <c r="A142">
        <f>SUBTOTAL(3,$B$6:B142)</f>
        <v>0</v>
      </c>
      <c r="B142" t="s">
        <v>975</v>
      </c>
      <c r="C142" t="s">
        <v>919</v>
      </c>
      <c r="D142">
        <v>597.99300000000005</v>
      </c>
      <c r="E142">
        <v>2121.4360000000001</v>
      </c>
      <c r="F142">
        <v>3326.4030000000002</v>
      </c>
      <c r="G142">
        <v>24468.414000000004</v>
      </c>
      <c r="H142">
        <v>9444.4619999999995</v>
      </c>
      <c r="I142">
        <v>5767.6809999999996</v>
      </c>
      <c r="J142">
        <v>8031.7179999999989</v>
      </c>
      <c r="K142">
        <v>5767.6810000000005</v>
      </c>
      <c r="L142">
        <v>5767.6810000000005</v>
      </c>
      <c r="M142">
        <v>8031.7179999999989</v>
      </c>
      <c r="N142">
        <v>5767.6810000000005</v>
      </c>
      <c r="O142">
        <v>5767.6810000000005</v>
      </c>
      <c r="P142">
        <v>589.15</v>
      </c>
      <c r="Q142">
        <v>2165.92</v>
      </c>
      <c r="R142">
        <v>3356.7699999999995</v>
      </c>
      <c r="S142">
        <v>24696.720000000001</v>
      </c>
      <c r="T142">
        <v>9446.9199999999983</v>
      </c>
      <c r="U142">
        <v>6704.8900000000012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s="164">
        <v>40878</v>
      </c>
      <c r="AC142" s="164">
        <v>42794</v>
      </c>
      <c r="AD142" s="164">
        <v>42978</v>
      </c>
      <c r="AE142" s="34">
        <f>SUMPRODUCT(DB_STProjectsSOF[[#This Row],[Plan01]:[Plan12]],$D$4:$O$4)/valUnits2</f>
        <v>45.726389000000005</v>
      </c>
      <c r="AF142" s="34">
        <f>SUMPRODUCT(DB_STProjectsSOF[[#This Row],[Act01]:[Act12]],$P$4:$AA$4)/valUnits2</f>
        <v>46.960369999999998</v>
      </c>
      <c r="AG142" s="34">
        <f>DB_STProjectsSOF[[#This Row],[Actual]]-DB_STProjectsSOF[[#This Row],[Plan]]</f>
        <v>1.2339809999999929</v>
      </c>
      <c r="AH142" s="34">
        <f>IF(DB_STProjectsSOF[[#This Row],[Plan]]&lt;&gt;0,DB_STProjectsSOF[[#This Row],[Actual]]/DB_STProjectsSOF[[#This Row],[Plan]],1.000011000011)</f>
        <v>1.0269861895283268</v>
      </c>
      <c r="AI142" s="34">
        <f>SUM(DB_STProjectsSOF[[#This Row],[Plan01]:[Plan12]])/valUnits2</f>
        <v>84.860548999999978</v>
      </c>
      <c r="AJ142" s="34">
        <f>SUMPRODUCT(DB_STProjectsSOF[[#This Row],[Act01]:[Act12]],$P$3:$AA$3)/valUnits2</f>
        <v>46.960369999999998</v>
      </c>
      <c r="AK142" s="34">
        <f>IF(DB_STProjectsSOF[[#This Row],[FY Plan]]&lt;&gt;0,DB_STProjectsSOF[[#This Row],[FY Actuals]]/DB_STProjectsSOF[[#This Row],[FY Plan]],1.000011000011)</f>
        <v>0.5533828210326569</v>
      </c>
    </row>
    <row r="143" spans="1:37" hidden="1" x14ac:dyDescent="0.2">
      <c r="A143">
        <f>SUBTOTAL(3,$B$6:B143)</f>
        <v>0</v>
      </c>
      <c r="B143" t="s">
        <v>975</v>
      </c>
      <c r="C143" t="s">
        <v>920</v>
      </c>
      <c r="I143">
        <v>0</v>
      </c>
      <c r="U143">
        <v>3898.2299999999996</v>
      </c>
      <c r="AB143" s="164">
        <v>40817</v>
      </c>
      <c r="AC143" s="164">
        <v>41409</v>
      </c>
      <c r="AD143" s="164">
        <v>41426</v>
      </c>
      <c r="AE143" s="34">
        <f>SUMPRODUCT(DB_STProjectsSOF[[#This Row],[Plan01]:[Plan12]],$D$4:$O$4)/valUnits2</f>
        <v>0</v>
      </c>
      <c r="AF143" s="34">
        <f>SUMPRODUCT(DB_STProjectsSOF[[#This Row],[Act01]:[Act12]],$P$4:$AA$4)/valUnits2</f>
        <v>3.8982299999999994</v>
      </c>
      <c r="AG143" s="34">
        <f>DB_STProjectsSOF[[#This Row],[Actual]]-DB_STProjectsSOF[[#This Row],[Plan]]</f>
        <v>3.8982299999999994</v>
      </c>
      <c r="AH143" s="34">
        <f>IF(DB_STProjectsSOF[[#This Row],[Plan]]&lt;&gt;0,DB_STProjectsSOF[[#This Row],[Actual]]/DB_STProjectsSOF[[#This Row],[Plan]],1.000011000011)</f>
        <v>1.0000110000110001</v>
      </c>
      <c r="AI143" s="34">
        <f>SUM(DB_STProjectsSOF[[#This Row],[Plan01]:[Plan12]])/valUnits2</f>
        <v>0</v>
      </c>
      <c r="AJ143" s="34">
        <f>SUMPRODUCT(DB_STProjectsSOF[[#This Row],[Act01]:[Act12]],$P$3:$AA$3)/valUnits2</f>
        <v>3.8982299999999994</v>
      </c>
      <c r="AK143" s="34">
        <f>IF(DB_STProjectsSOF[[#This Row],[FY Plan]]&lt;&gt;0,DB_STProjectsSOF[[#This Row],[FY Actuals]]/DB_STProjectsSOF[[#This Row],[FY Plan]],1.000011000011)</f>
        <v>1.0000110000110001</v>
      </c>
    </row>
    <row r="144" spans="1:37" hidden="1" x14ac:dyDescent="0.2">
      <c r="A144">
        <f>SUBTOTAL(3,$B$6:B144)</f>
        <v>0</v>
      </c>
      <c r="B144" t="s">
        <v>975</v>
      </c>
      <c r="C144" t="s">
        <v>921</v>
      </c>
      <c r="D144">
        <v>81.00200000000001</v>
      </c>
      <c r="E144">
        <v>131.036</v>
      </c>
      <c r="F144">
        <v>189.63299999999998</v>
      </c>
      <c r="G144">
        <v>249.17099999999999</v>
      </c>
      <c r="H144">
        <v>17.134</v>
      </c>
      <c r="P144">
        <v>80.970000000000013</v>
      </c>
      <c r="Q144">
        <v>130.59999999999997</v>
      </c>
      <c r="R144">
        <v>188.67000000000002</v>
      </c>
      <c r="S144">
        <v>271.76000000000005</v>
      </c>
      <c r="T144">
        <v>17.209999999999994</v>
      </c>
      <c r="AB144" s="164">
        <v>40909</v>
      </c>
      <c r="AC144" s="164">
        <v>41363</v>
      </c>
      <c r="AD144" s="164">
        <v>41389</v>
      </c>
      <c r="AE144" s="34">
        <f>SUMPRODUCT(DB_STProjectsSOF[[#This Row],[Plan01]:[Plan12]],$D$4:$O$4)/valUnits2</f>
        <v>0.66797600000000001</v>
      </c>
      <c r="AF144" s="34">
        <f>SUMPRODUCT(DB_STProjectsSOF[[#This Row],[Act01]:[Act12]],$P$4:$AA$4)/valUnits2</f>
        <v>0.68920999999999999</v>
      </c>
      <c r="AG144" s="34">
        <f>DB_STProjectsSOF[[#This Row],[Actual]]-DB_STProjectsSOF[[#This Row],[Plan]]</f>
        <v>2.1233999999999975E-2</v>
      </c>
      <c r="AH144" s="34">
        <f>IF(DB_STProjectsSOF[[#This Row],[Plan]]&lt;&gt;0,DB_STProjectsSOF[[#This Row],[Actual]]/DB_STProjectsSOF[[#This Row],[Plan]],1.000011000011)</f>
        <v>1.0317885672539133</v>
      </c>
      <c r="AI144" s="34">
        <f>SUM(DB_STProjectsSOF[[#This Row],[Plan01]:[Plan12]])/valUnits2</f>
        <v>0.66797600000000001</v>
      </c>
      <c r="AJ144" s="34">
        <f>SUMPRODUCT(DB_STProjectsSOF[[#This Row],[Act01]:[Act12]],$P$3:$AA$3)/valUnits2</f>
        <v>0.68920999999999999</v>
      </c>
      <c r="AK144" s="34">
        <f>IF(DB_STProjectsSOF[[#This Row],[FY Plan]]&lt;&gt;0,DB_STProjectsSOF[[#This Row],[FY Actuals]]/DB_STProjectsSOF[[#This Row],[FY Plan]],1.000011000011)</f>
        <v>1.0317885672539133</v>
      </c>
    </row>
    <row r="145" spans="1:37" hidden="1" x14ac:dyDescent="0.2">
      <c r="A145">
        <f>SUBTOTAL(3,$B$6:B145)</f>
        <v>0</v>
      </c>
      <c r="B145" t="s">
        <v>975</v>
      </c>
      <c r="C145" t="s">
        <v>922</v>
      </c>
      <c r="D145">
        <v>55.643000000000001</v>
      </c>
      <c r="E145">
        <v>308.58800000000002</v>
      </c>
      <c r="F145">
        <v>522.86899999999991</v>
      </c>
      <c r="G145">
        <v>266.71699999999998</v>
      </c>
      <c r="H145">
        <v>354.50700000000001</v>
      </c>
      <c r="I145">
        <v>430.42000000000007</v>
      </c>
      <c r="J145">
        <v>430.42000000000007</v>
      </c>
      <c r="K145">
        <v>430.42000000000007</v>
      </c>
      <c r="L145">
        <v>430.42000000000007</v>
      </c>
      <c r="M145">
        <v>430.42000000000007</v>
      </c>
      <c r="N145">
        <v>430.42000000000007</v>
      </c>
      <c r="O145">
        <v>430.42000000000007</v>
      </c>
      <c r="P145">
        <v>53.960000000000008</v>
      </c>
      <c r="Q145">
        <v>315.82999999999993</v>
      </c>
      <c r="R145">
        <v>531.63</v>
      </c>
      <c r="S145">
        <v>320.42999999999995</v>
      </c>
      <c r="T145">
        <v>355.0200000000001</v>
      </c>
      <c r="U145">
        <v>343.69999999999993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s="164">
        <v>41000</v>
      </c>
      <c r="AC145" s="164">
        <v>41989</v>
      </c>
      <c r="AD145" s="164">
        <v>42078</v>
      </c>
      <c r="AE145" s="34">
        <f>SUMPRODUCT(DB_STProjectsSOF[[#This Row],[Plan01]:[Plan12]],$D$4:$O$4)/valUnits2</f>
        <v>1.9387440000000002</v>
      </c>
      <c r="AF145" s="34">
        <f>SUMPRODUCT(DB_STProjectsSOF[[#This Row],[Act01]:[Act12]],$P$4:$AA$4)/valUnits2</f>
        <v>1.9205699999999997</v>
      </c>
      <c r="AG145" s="34">
        <f>DB_STProjectsSOF[[#This Row],[Actual]]-DB_STProjectsSOF[[#This Row],[Plan]]</f>
        <v>-1.8174000000000579E-2</v>
      </c>
      <c r="AH145" s="34">
        <f>IF(DB_STProjectsSOF[[#This Row],[Plan]]&lt;&gt;0,DB_STProjectsSOF[[#This Row],[Actual]]/DB_STProjectsSOF[[#This Row],[Plan]],1.000011000011)</f>
        <v>0.99062588975130261</v>
      </c>
      <c r="AI145" s="34">
        <f>SUM(DB_STProjectsSOF[[#This Row],[Plan01]:[Plan12]])/valUnits2</f>
        <v>4.5212640000000013</v>
      </c>
      <c r="AJ145" s="34">
        <f>SUMPRODUCT(DB_STProjectsSOF[[#This Row],[Act01]:[Act12]],$P$3:$AA$3)/valUnits2</f>
        <v>1.9205699999999997</v>
      </c>
      <c r="AK145" s="34">
        <f>IF(DB_STProjectsSOF[[#This Row],[FY Plan]]&lt;&gt;0,DB_STProjectsSOF[[#This Row],[FY Actuals]]/DB_STProjectsSOF[[#This Row],[FY Plan]],1.000011000011)</f>
        <v>0.42478607752168401</v>
      </c>
    </row>
    <row r="146" spans="1:37" hidden="1" x14ac:dyDescent="0.2">
      <c r="A146">
        <f>SUBTOTAL(3,$B$6:B146)</f>
        <v>0</v>
      </c>
      <c r="B146" t="s">
        <v>975</v>
      </c>
      <c r="C146" t="s">
        <v>924</v>
      </c>
      <c r="D146">
        <v>0</v>
      </c>
      <c r="E146">
        <v>0</v>
      </c>
      <c r="F146">
        <v>0</v>
      </c>
      <c r="G146">
        <v>1007.609</v>
      </c>
      <c r="H146">
        <v>355.053</v>
      </c>
      <c r="I146">
        <v>618.24400000000003</v>
      </c>
      <c r="J146">
        <v>618.24400000000003</v>
      </c>
      <c r="K146">
        <v>618.24400000000003</v>
      </c>
      <c r="L146">
        <v>618.24400000000003</v>
      </c>
      <c r="M146">
        <v>618.24400000000003</v>
      </c>
      <c r="N146">
        <v>618.24400000000003</v>
      </c>
      <c r="O146">
        <v>618.24400000000003</v>
      </c>
      <c r="P146">
        <v>0</v>
      </c>
      <c r="Q146">
        <v>0</v>
      </c>
      <c r="R146">
        <v>0</v>
      </c>
      <c r="S146">
        <v>1017.91</v>
      </c>
      <c r="T146">
        <v>356.31</v>
      </c>
      <c r="U146">
        <v>253.67000000000002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s="164">
        <v>40817</v>
      </c>
      <c r="AC146" s="164">
        <v>41639</v>
      </c>
      <c r="AD146" s="164">
        <v>41685</v>
      </c>
      <c r="AE146" s="34">
        <f>SUMPRODUCT(DB_STProjectsSOF[[#This Row],[Plan01]:[Plan12]],$D$4:$O$4)/valUnits2</f>
        <v>1.9809060000000001</v>
      </c>
      <c r="AF146" s="34">
        <f>SUMPRODUCT(DB_STProjectsSOF[[#This Row],[Act01]:[Act12]],$P$4:$AA$4)/valUnits2</f>
        <v>1.6278900000000001</v>
      </c>
      <c r="AG146" s="34">
        <f>DB_STProjectsSOF[[#This Row],[Actual]]-DB_STProjectsSOF[[#This Row],[Plan]]</f>
        <v>-0.353016</v>
      </c>
      <c r="AH146" s="34">
        <f>IF(DB_STProjectsSOF[[#This Row],[Plan]]&lt;&gt;0,DB_STProjectsSOF[[#This Row],[Actual]]/DB_STProjectsSOF[[#This Row],[Plan]],1.000011000011)</f>
        <v>0.82179063519419904</v>
      </c>
      <c r="AI146" s="34">
        <f>SUM(DB_STProjectsSOF[[#This Row],[Plan01]:[Plan12]])/valUnits2</f>
        <v>5.6903699999999997</v>
      </c>
      <c r="AJ146" s="34">
        <f>SUMPRODUCT(DB_STProjectsSOF[[#This Row],[Act01]:[Act12]],$P$3:$AA$3)/valUnits2</f>
        <v>1.6278900000000001</v>
      </c>
      <c r="AK146" s="34">
        <f>IF(DB_STProjectsSOF[[#This Row],[FY Plan]]&lt;&gt;0,DB_STProjectsSOF[[#This Row],[FY Actuals]]/DB_STProjectsSOF[[#This Row],[FY Plan]],1.000011000011)</f>
        <v>0.28607805819305249</v>
      </c>
    </row>
    <row r="147" spans="1:37" hidden="1" x14ac:dyDescent="0.2">
      <c r="A147">
        <f>SUBTOTAL(3,$B$6:B147)</f>
        <v>0</v>
      </c>
      <c r="B147" t="s">
        <v>975</v>
      </c>
      <c r="C147" t="s">
        <v>925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s="164">
        <v>40909</v>
      </c>
      <c r="AC147" s="164">
        <v>41639</v>
      </c>
      <c r="AD147" s="164">
        <v>41713</v>
      </c>
      <c r="AE147" s="34">
        <f>SUMPRODUCT(DB_STProjectsSOF[[#This Row],[Plan01]:[Plan12]],$D$4:$O$4)/valUnits2</f>
        <v>0</v>
      </c>
      <c r="AF147" s="34">
        <f>SUMPRODUCT(DB_STProjectsSOF[[#This Row],[Act01]:[Act12]],$P$4:$AA$4)/valUnits2</f>
        <v>0</v>
      </c>
      <c r="AG147" s="34">
        <f>DB_STProjectsSOF[[#This Row],[Actual]]-DB_STProjectsSOF[[#This Row],[Plan]]</f>
        <v>0</v>
      </c>
      <c r="AH147" s="34">
        <f>IF(DB_STProjectsSOF[[#This Row],[Plan]]&lt;&gt;0,DB_STProjectsSOF[[#This Row],[Actual]]/DB_STProjectsSOF[[#This Row],[Plan]],1.000011000011)</f>
        <v>1.0000110000110001</v>
      </c>
      <c r="AI147" s="34">
        <f>SUM(DB_STProjectsSOF[[#This Row],[Plan01]:[Plan12]])/valUnits2</f>
        <v>0</v>
      </c>
      <c r="AJ147" s="34">
        <f>SUMPRODUCT(DB_STProjectsSOF[[#This Row],[Act01]:[Act12]],$P$3:$AA$3)/valUnits2</f>
        <v>0</v>
      </c>
      <c r="AK147" s="34">
        <f>IF(DB_STProjectsSOF[[#This Row],[FY Plan]]&lt;&gt;0,DB_STProjectsSOF[[#This Row],[FY Actuals]]/DB_STProjectsSOF[[#This Row],[FY Plan]],1.000011000011)</f>
        <v>1.0000110000110001</v>
      </c>
    </row>
    <row r="148" spans="1:37" hidden="1" x14ac:dyDescent="0.2">
      <c r="A148">
        <f>SUBTOTAL(3,$B$6:B148)</f>
        <v>0</v>
      </c>
      <c r="B148" t="s">
        <v>975</v>
      </c>
      <c r="C148" t="s">
        <v>926</v>
      </c>
      <c r="D148">
        <v>642.59699999999998</v>
      </c>
      <c r="P148">
        <v>654.08000000000004</v>
      </c>
      <c r="AB148" s="164">
        <v>40909</v>
      </c>
      <c r="AC148" s="164">
        <v>41274</v>
      </c>
      <c r="AD148" s="164">
        <v>41305</v>
      </c>
      <c r="AE148" s="34">
        <f>SUMPRODUCT(DB_STProjectsSOF[[#This Row],[Plan01]:[Plan12]],$D$4:$O$4)/valUnits2</f>
        <v>0.64259699999999997</v>
      </c>
      <c r="AF148" s="34">
        <f>SUMPRODUCT(DB_STProjectsSOF[[#This Row],[Act01]:[Act12]],$P$4:$AA$4)/valUnits2</f>
        <v>0.65407999999999999</v>
      </c>
      <c r="AG148" s="34">
        <f>DB_STProjectsSOF[[#This Row],[Actual]]-DB_STProjectsSOF[[#This Row],[Plan]]</f>
        <v>1.1483000000000021E-2</v>
      </c>
      <c r="AH148" s="34">
        <f>IF(DB_STProjectsSOF[[#This Row],[Plan]]&lt;&gt;0,DB_STProjectsSOF[[#This Row],[Actual]]/DB_STProjectsSOF[[#This Row],[Plan]],1.000011000011)</f>
        <v>1.0178696757065471</v>
      </c>
      <c r="AI148" s="34">
        <f>SUM(DB_STProjectsSOF[[#This Row],[Plan01]:[Plan12]])/valUnits2</f>
        <v>0.64259699999999997</v>
      </c>
      <c r="AJ148" s="34">
        <f>SUMPRODUCT(DB_STProjectsSOF[[#This Row],[Act01]:[Act12]],$P$3:$AA$3)/valUnits2</f>
        <v>0.65407999999999999</v>
      </c>
      <c r="AK148" s="34">
        <f>IF(DB_STProjectsSOF[[#This Row],[FY Plan]]&lt;&gt;0,DB_STProjectsSOF[[#This Row],[FY Actuals]]/DB_STProjectsSOF[[#This Row],[FY Plan]],1.000011000011)</f>
        <v>1.0178696757065471</v>
      </c>
    </row>
    <row r="149" spans="1:37" hidden="1" x14ac:dyDescent="0.2">
      <c r="A149">
        <f>SUBTOTAL(3,$B$6:B149)</f>
        <v>0</v>
      </c>
      <c r="B149" t="s">
        <v>975</v>
      </c>
      <c r="C149" t="s">
        <v>927</v>
      </c>
      <c r="D149">
        <v>657.14</v>
      </c>
      <c r="E149">
        <v>2398.27</v>
      </c>
      <c r="F149">
        <v>2660.2</v>
      </c>
      <c r="G149">
        <v>22466.440000000002</v>
      </c>
      <c r="H149">
        <v>10692.41</v>
      </c>
      <c r="I149">
        <v>13443.328000000001</v>
      </c>
      <c r="J149">
        <v>13443.328000000001</v>
      </c>
      <c r="K149">
        <v>13443.328000000001</v>
      </c>
      <c r="L149">
        <v>13443.328000000001</v>
      </c>
      <c r="M149">
        <v>13443.328000000001</v>
      </c>
      <c r="N149">
        <v>13443.328000000001</v>
      </c>
      <c r="O149">
        <v>13443.328000000001</v>
      </c>
      <c r="P149">
        <v>657.14</v>
      </c>
      <c r="Q149">
        <v>2398.27</v>
      </c>
      <c r="R149">
        <v>2660.2</v>
      </c>
      <c r="S149">
        <v>22466.440000000002</v>
      </c>
      <c r="T149">
        <v>10707.77</v>
      </c>
      <c r="U149">
        <v>5528.2100000000009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s="164">
        <v>40817</v>
      </c>
      <c r="AC149" s="164">
        <v>42052</v>
      </c>
      <c r="AD149" s="164">
        <v>42141</v>
      </c>
      <c r="AE149" s="34">
        <f>SUMPRODUCT(DB_STProjectsSOF[[#This Row],[Plan01]:[Plan12]],$D$4:$O$4)/valUnits2</f>
        <v>52.317788000000007</v>
      </c>
      <c r="AF149" s="34">
        <f>SUMPRODUCT(DB_STProjectsSOF[[#This Row],[Act01]:[Act12]],$P$4:$AA$4)/valUnits2</f>
        <v>44.418030000000009</v>
      </c>
      <c r="AG149" s="34">
        <f>DB_STProjectsSOF[[#This Row],[Actual]]-DB_STProjectsSOF[[#This Row],[Plan]]</f>
        <v>-7.8997579999999985</v>
      </c>
      <c r="AH149" s="34">
        <f>IF(DB_STProjectsSOF[[#This Row],[Plan]]&lt;&gt;0,DB_STProjectsSOF[[#This Row],[Actual]]/DB_STProjectsSOF[[#This Row],[Plan]],1.000011000011)</f>
        <v>0.84900435775304572</v>
      </c>
      <c r="AI149" s="34">
        <f>SUM(DB_STProjectsSOF[[#This Row],[Plan01]:[Plan12]])/valUnits2</f>
        <v>132.97775600000006</v>
      </c>
      <c r="AJ149" s="34">
        <f>SUMPRODUCT(DB_STProjectsSOF[[#This Row],[Act01]:[Act12]],$P$3:$AA$3)/valUnits2</f>
        <v>44.418030000000009</v>
      </c>
      <c r="AK149" s="34">
        <f>IF(DB_STProjectsSOF[[#This Row],[FY Plan]]&lt;&gt;0,DB_STProjectsSOF[[#This Row],[FY Actuals]]/DB_STProjectsSOF[[#This Row],[FY Plan]],1.000011000011)</f>
        <v>0.33402601559918027</v>
      </c>
    </row>
    <row r="150" spans="1:37" hidden="1" x14ac:dyDescent="0.2">
      <c r="A150">
        <f>SUBTOTAL(3,$B$6:B150)</f>
        <v>0</v>
      </c>
      <c r="B150" t="s">
        <v>975</v>
      </c>
      <c r="C150" t="s">
        <v>359</v>
      </c>
      <c r="G150">
        <v>86.268999999999991</v>
      </c>
      <c r="H150">
        <v>42.414000000000001</v>
      </c>
      <c r="I150">
        <v>281.26400000000001</v>
      </c>
      <c r="S150">
        <v>87.359999999999985</v>
      </c>
      <c r="T150">
        <v>45.340000000000018</v>
      </c>
      <c r="U150">
        <v>32.270000000000003</v>
      </c>
      <c r="AB150" s="164">
        <v>41275</v>
      </c>
      <c r="AC150" s="164">
        <v>41455</v>
      </c>
      <c r="AD150" s="164">
        <v>41547</v>
      </c>
      <c r="AE150" s="34">
        <f>SUMPRODUCT(DB_STProjectsSOF[[#This Row],[Plan01]:[Plan12]],$D$4:$O$4)/valUnits2</f>
        <v>0.40994700000000001</v>
      </c>
      <c r="AF150" s="34">
        <f>SUMPRODUCT(DB_STProjectsSOF[[#This Row],[Act01]:[Act12]],$P$4:$AA$4)/valUnits2</f>
        <v>0.16497000000000001</v>
      </c>
      <c r="AG150" s="34">
        <f>DB_STProjectsSOF[[#This Row],[Actual]]-DB_STProjectsSOF[[#This Row],[Plan]]</f>
        <v>-0.244977</v>
      </c>
      <c r="AH150" s="34">
        <f>IF(DB_STProjectsSOF[[#This Row],[Plan]]&lt;&gt;0,DB_STProjectsSOF[[#This Row],[Actual]]/DB_STProjectsSOF[[#This Row],[Plan]],1.000011000011)</f>
        <v>0.40241787352999292</v>
      </c>
      <c r="AI150" s="34">
        <f>SUM(DB_STProjectsSOF[[#This Row],[Plan01]:[Plan12]])/valUnits2</f>
        <v>0.40994700000000001</v>
      </c>
      <c r="AJ150" s="34">
        <f>SUMPRODUCT(DB_STProjectsSOF[[#This Row],[Act01]:[Act12]],$P$3:$AA$3)/valUnits2</f>
        <v>0.16497000000000001</v>
      </c>
      <c r="AK150" s="34">
        <f>IF(DB_STProjectsSOF[[#This Row],[FY Plan]]&lt;&gt;0,DB_STProjectsSOF[[#This Row],[FY Actuals]]/DB_STProjectsSOF[[#This Row],[FY Plan]],1.000011000011)</f>
        <v>0.40241787352999292</v>
      </c>
    </row>
    <row r="151" spans="1:37" hidden="1" x14ac:dyDescent="0.2">
      <c r="A151">
        <f>SUBTOTAL(3,$B$6:B151)</f>
        <v>0</v>
      </c>
      <c r="B151" t="s">
        <v>975</v>
      </c>
      <c r="C151" t="s">
        <v>360</v>
      </c>
      <c r="G151">
        <v>380.90299999999996</v>
      </c>
      <c r="H151">
        <v>172.05199999999999</v>
      </c>
      <c r="I151">
        <v>988.03700000000003</v>
      </c>
      <c r="S151">
        <v>385.74000000000007</v>
      </c>
      <c r="T151">
        <v>183.85</v>
      </c>
      <c r="U151">
        <v>1634.04</v>
      </c>
      <c r="AB151" s="164">
        <v>41091</v>
      </c>
      <c r="AC151" s="164">
        <v>41455</v>
      </c>
      <c r="AD151" s="164">
        <v>41547</v>
      </c>
      <c r="AE151" s="34">
        <f>SUMPRODUCT(DB_STProjectsSOF[[#This Row],[Plan01]:[Plan12]],$D$4:$O$4)/valUnits2</f>
        <v>1.5409919999999999</v>
      </c>
      <c r="AF151" s="34">
        <f>SUMPRODUCT(DB_STProjectsSOF[[#This Row],[Act01]:[Act12]],$P$4:$AA$4)/valUnits2</f>
        <v>2.20363</v>
      </c>
      <c r="AG151" s="34">
        <f>DB_STProjectsSOF[[#This Row],[Actual]]-DB_STProjectsSOF[[#This Row],[Plan]]</f>
        <v>0.66263800000000006</v>
      </c>
      <c r="AH151" s="34">
        <f>IF(DB_STProjectsSOF[[#This Row],[Plan]]&lt;&gt;0,DB_STProjectsSOF[[#This Row],[Actual]]/DB_STProjectsSOF[[#This Row],[Plan]],1.000011000011)</f>
        <v>1.4300074237893514</v>
      </c>
      <c r="AI151" s="34">
        <f>SUM(DB_STProjectsSOF[[#This Row],[Plan01]:[Plan12]])/valUnits2</f>
        <v>1.5409919999999999</v>
      </c>
      <c r="AJ151" s="34">
        <f>SUMPRODUCT(DB_STProjectsSOF[[#This Row],[Act01]:[Act12]],$P$3:$AA$3)/valUnits2</f>
        <v>2.20363</v>
      </c>
      <c r="AK151" s="34">
        <f>IF(DB_STProjectsSOF[[#This Row],[FY Plan]]&lt;&gt;0,DB_STProjectsSOF[[#This Row],[FY Actuals]]/DB_STProjectsSOF[[#This Row],[FY Plan]],1.000011000011)</f>
        <v>1.4300074237893514</v>
      </c>
    </row>
    <row r="152" spans="1:37" hidden="1" x14ac:dyDescent="0.2">
      <c r="A152">
        <f>SUBTOTAL(3,$B$6:B152)</f>
        <v>0</v>
      </c>
      <c r="B152" t="s">
        <v>975</v>
      </c>
      <c r="C152" t="s">
        <v>928</v>
      </c>
      <c r="D152">
        <v>8.7899999999999991</v>
      </c>
      <c r="E152">
        <v>233.63</v>
      </c>
      <c r="F152">
        <v>240.21499999999997</v>
      </c>
      <c r="G152">
        <v>437.85700000000003</v>
      </c>
      <c r="H152">
        <v>241.041</v>
      </c>
      <c r="I152">
        <v>0</v>
      </c>
      <c r="P152">
        <v>8.66</v>
      </c>
      <c r="Q152">
        <v>238.53</v>
      </c>
      <c r="R152">
        <v>242.39</v>
      </c>
      <c r="S152">
        <v>439.12999999999994</v>
      </c>
      <c r="T152">
        <v>246.42000000000002</v>
      </c>
      <c r="U152">
        <v>-1166.47</v>
      </c>
      <c r="AB152" s="164">
        <v>40817</v>
      </c>
      <c r="AC152" s="164">
        <v>41305</v>
      </c>
      <c r="AD152" s="164">
        <v>41394</v>
      </c>
      <c r="AE152" s="34">
        <f>SUMPRODUCT(DB_STProjectsSOF[[#This Row],[Plan01]:[Plan12]],$D$4:$O$4)/valUnits2</f>
        <v>1.1615329999999999</v>
      </c>
      <c r="AF152" s="34">
        <f>SUMPRODUCT(DB_STProjectsSOF[[#This Row],[Act01]:[Act12]],$P$4:$AA$4)/valUnits2</f>
        <v>8.6599999999998553E-3</v>
      </c>
      <c r="AG152" s="34">
        <f>DB_STProjectsSOF[[#This Row],[Actual]]-DB_STProjectsSOF[[#This Row],[Plan]]</f>
        <v>-1.152873</v>
      </c>
      <c r="AH152" s="34">
        <f>IF(DB_STProjectsSOF[[#This Row],[Plan]]&lt;&gt;0,DB_STProjectsSOF[[#This Row],[Actual]]/DB_STProjectsSOF[[#This Row],[Plan]],1.000011000011)</f>
        <v>7.4556641955070202E-3</v>
      </c>
      <c r="AI152" s="34">
        <f>SUM(DB_STProjectsSOF[[#This Row],[Plan01]:[Plan12]])/valUnits2</f>
        <v>1.1615329999999999</v>
      </c>
      <c r="AJ152" s="34">
        <f>SUMPRODUCT(DB_STProjectsSOF[[#This Row],[Act01]:[Act12]],$P$3:$AA$3)/valUnits2</f>
        <v>8.6599999999998553E-3</v>
      </c>
      <c r="AK152" s="34">
        <f>IF(DB_STProjectsSOF[[#This Row],[FY Plan]]&lt;&gt;0,DB_STProjectsSOF[[#This Row],[FY Actuals]]/DB_STProjectsSOF[[#This Row],[FY Plan]],1.000011000011)</f>
        <v>7.4556641955070202E-3</v>
      </c>
    </row>
    <row r="153" spans="1:37" hidden="1" x14ac:dyDescent="0.2">
      <c r="A153">
        <f>SUBTOTAL(3,$B$6:B153)</f>
        <v>0</v>
      </c>
      <c r="B153" t="s">
        <v>975</v>
      </c>
      <c r="C153" t="s">
        <v>929</v>
      </c>
      <c r="D153">
        <v>0</v>
      </c>
      <c r="F153">
        <v>0</v>
      </c>
      <c r="G153">
        <v>163.691</v>
      </c>
      <c r="H153">
        <v>108.81100000000001</v>
      </c>
      <c r="P153">
        <v>0</v>
      </c>
      <c r="R153">
        <v>0</v>
      </c>
      <c r="S153">
        <v>163.13999999999999</v>
      </c>
      <c r="T153">
        <v>107.89</v>
      </c>
      <c r="AB153" s="164">
        <v>41214</v>
      </c>
      <c r="AC153" s="164">
        <v>41379</v>
      </c>
      <c r="AD153" s="164">
        <v>41409</v>
      </c>
      <c r="AE153" s="34">
        <f>SUMPRODUCT(DB_STProjectsSOF[[#This Row],[Plan01]:[Plan12]],$D$4:$O$4)/valUnits2</f>
        <v>0.27250200000000002</v>
      </c>
      <c r="AF153" s="34">
        <f>SUMPRODUCT(DB_STProjectsSOF[[#This Row],[Act01]:[Act12]],$P$4:$AA$4)/valUnits2</f>
        <v>0.27102999999999999</v>
      </c>
      <c r="AG153" s="34">
        <f>DB_STProjectsSOF[[#This Row],[Actual]]-DB_STProjectsSOF[[#This Row],[Plan]]</f>
        <v>-1.4720000000000288E-3</v>
      </c>
      <c r="AH153" s="34">
        <f>IF(DB_STProjectsSOF[[#This Row],[Plan]]&lt;&gt;0,DB_STProjectsSOF[[#This Row],[Actual]]/DB_STProjectsSOF[[#This Row],[Plan]],1.000011000011)</f>
        <v>0.994598204783818</v>
      </c>
      <c r="AI153" s="34">
        <f>SUM(DB_STProjectsSOF[[#This Row],[Plan01]:[Plan12]])/valUnits2</f>
        <v>0.27250200000000002</v>
      </c>
      <c r="AJ153" s="34">
        <f>SUMPRODUCT(DB_STProjectsSOF[[#This Row],[Act01]:[Act12]],$P$3:$AA$3)/valUnits2</f>
        <v>0.27102999999999999</v>
      </c>
      <c r="AK153" s="34">
        <f>IF(DB_STProjectsSOF[[#This Row],[FY Plan]]&lt;&gt;0,DB_STProjectsSOF[[#This Row],[FY Actuals]]/DB_STProjectsSOF[[#This Row],[FY Plan]],1.000011000011)</f>
        <v>0.994598204783818</v>
      </c>
    </row>
    <row r="154" spans="1:37" hidden="1" x14ac:dyDescent="0.2">
      <c r="A154">
        <f>SUBTOTAL(3,$B$6:B154)</f>
        <v>0</v>
      </c>
      <c r="B154" t="s">
        <v>975</v>
      </c>
      <c r="C154" t="s">
        <v>930</v>
      </c>
      <c r="D154">
        <v>668.74</v>
      </c>
      <c r="E154">
        <v>6203.04</v>
      </c>
      <c r="F154">
        <v>5986.15</v>
      </c>
      <c r="G154">
        <v>1326.2</v>
      </c>
      <c r="H154">
        <v>2177.4299999999998</v>
      </c>
      <c r="I154">
        <v>2441.4229999999998</v>
      </c>
      <c r="J154">
        <v>2441.4229999999998</v>
      </c>
      <c r="K154">
        <v>2441.4229999999998</v>
      </c>
      <c r="L154">
        <v>2441.4229999999998</v>
      </c>
      <c r="M154">
        <v>2441.4229999999998</v>
      </c>
      <c r="N154">
        <v>2441.4229999999998</v>
      </c>
      <c r="O154">
        <v>2441.4229999999998</v>
      </c>
      <c r="P154">
        <v>668.74</v>
      </c>
      <c r="Q154">
        <v>6203.0400000000009</v>
      </c>
      <c r="R154">
        <v>5988.25</v>
      </c>
      <c r="S154">
        <v>1437.96</v>
      </c>
      <c r="T154">
        <v>2180.4499999999998</v>
      </c>
      <c r="U154">
        <v>2365.06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s="164">
        <v>40848</v>
      </c>
      <c r="AC154" s="164">
        <v>41729</v>
      </c>
      <c r="AD154" s="164">
        <v>41654</v>
      </c>
      <c r="AE154" s="34">
        <f>SUMPRODUCT(DB_STProjectsSOF[[#This Row],[Plan01]:[Plan12]],$D$4:$O$4)/valUnits2</f>
        <v>18.802983000000001</v>
      </c>
      <c r="AF154" s="34">
        <f>SUMPRODUCT(DB_STProjectsSOF[[#This Row],[Act01]:[Act12]],$P$4:$AA$4)/valUnits2</f>
        <v>18.843500000000002</v>
      </c>
      <c r="AG154" s="34">
        <f>DB_STProjectsSOF[[#This Row],[Actual]]-DB_STProjectsSOF[[#This Row],[Plan]]</f>
        <v>4.0517000000001246E-2</v>
      </c>
      <c r="AH154" s="34">
        <f>IF(DB_STProjectsSOF[[#This Row],[Plan]]&lt;&gt;0,DB_STProjectsSOF[[#This Row],[Actual]]/DB_STProjectsSOF[[#This Row],[Plan]],1.000011000011)</f>
        <v>1.0021548176690902</v>
      </c>
      <c r="AI154" s="34">
        <f>SUM(DB_STProjectsSOF[[#This Row],[Plan01]:[Plan12]])/valUnits2</f>
        <v>33.451520999999993</v>
      </c>
      <c r="AJ154" s="34">
        <f>SUMPRODUCT(DB_STProjectsSOF[[#This Row],[Act01]:[Act12]],$P$3:$AA$3)/valUnits2</f>
        <v>18.843500000000002</v>
      </c>
      <c r="AK154" s="34">
        <f>IF(DB_STProjectsSOF[[#This Row],[FY Plan]]&lt;&gt;0,DB_STProjectsSOF[[#This Row],[FY Actuals]]/DB_STProjectsSOF[[#This Row],[FY Plan]],1.000011000011)</f>
        <v>0.56330771925139089</v>
      </c>
    </row>
    <row r="155" spans="1:37" hidden="1" x14ac:dyDescent="0.2">
      <c r="A155">
        <f>SUBTOTAL(3,$B$6:B155)</f>
        <v>0</v>
      </c>
      <c r="B155" t="s">
        <v>975</v>
      </c>
      <c r="C155" t="s">
        <v>932</v>
      </c>
      <c r="G155">
        <v>806.04199999999992</v>
      </c>
      <c r="H155">
        <v>1306.93</v>
      </c>
      <c r="I155">
        <v>122.73099999999999</v>
      </c>
      <c r="J155">
        <v>122.73099999999999</v>
      </c>
      <c r="K155">
        <v>122.73099999999999</v>
      </c>
      <c r="L155">
        <v>122.73099999999999</v>
      </c>
      <c r="M155">
        <v>122.73099999999999</v>
      </c>
      <c r="N155">
        <v>122.73099999999999</v>
      </c>
      <c r="O155">
        <v>122.73099999999999</v>
      </c>
      <c r="S155">
        <v>687.24</v>
      </c>
      <c r="T155">
        <v>1270.29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s="164">
        <v>40909</v>
      </c>
      <c r="AC155" s="164">
        <v>41274</v>
      </c>
      <c r="AD155" s="164">
        <v>41305</v>
      </c>
      <c r="AE155" s="34">
        <f>SUMPRODUCT(DB_STProjectsSOF[[#This Row],[Plan01]:[Plan12]],$D$4:$O$4)/valUnits2</f>
        <v>2.2357029999999996</v>
      </c>
      <c r="AF155" s="34">
        <f>SUMPRODUCT(DB_STProjectsSOF[[#This Row],[Act01]:[Act12]],$P$4:$AA$4)/valUnits2</f>
        <v>1.95753</v>
      </c>
      <c r="AG155" s="34">
        <f>DB_STProjectsSOF[[#This Row],[Actual]]-DB_STProjectsSOF[[#This Row],[Plan]]</f>
        <v>-0.27817299999999956</v>
      </c>
      <c r="AH155" s="34">
        <f>IF(DB_STProjectsSOF[[#This Row],[Plan]]&lt;&gt;0,DB_STProjectsSOF[[#This Row],[Actual]]/DB_STProjectsSOF[[#This Row],[Plan]],1.000011000011)</f>
        <v>0.87557694380693696</v>
      </c>
      <c r="AI155" s="34">
        <f>SUM(DB_STProjectsSOF[[#This Row],[Plan01]:[Plan12]])/valUnits2</f>
        <v>2.9720889999999982</v>
      </c>
      <c r="AJ155" s="34">
        <f>SUMPRODUCT(DB_STProjectsSOF[[#This Row],[Act01]:[Act12]],$P$3:$AA$3)/valUnits2</f>
        <v>1.95753</v>
      </c>
      <c r="AK155" s="34">
        <f>IF(DB_STProjectsSOF[[#This Row],[FY Plan]]&lt;&gt;0,DB_STProjectsSOF[[#This Row],[FY Actuals]]/DB_STProjectsSOF[[#This Row],[FY Plan]],1.000011000011)</f>
        <v>0.65863774604327163</v>
      </c>
    </row>
    <row r="156" spans="1:37" hidden="1" x14ac:dyDescent="0.2">
      <c r="A156">
        <f>SUBTOTAL(3,$B$6:B156)</f>
        <v>0</v>
      </c>
      <c r="B156" t="s">
        <v>975</v>
      </c>
      <c r="C156" t="s">
        <v>933</v>
      </c>
      <c r="D156">
        <v>279.24</v>
      </c>
      <c r="E156">
        <v>0</v>
      </c>
      <c r="F156">
        <v>5.03</v>
      </c>
      <c r="G156">
        <v>33.69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279.24</v>
      </c>
      <c r="Q156">
        <v>0</v>
      </c>
      <c r="R156">
        <v>5.03</v>
      </c>
      <c r="S156">
        <v>33.69</v>
      </c>
      <c r="T156">
        <v>0</v>
      </c>
      <c r="U156">
        <v>3.14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s="164">
        <v>40817</v>
      </c>
      <c r="AC156" s="164">
        <v>42155</v>
      </c>
      <c r="AD156" s="164">
        <v>42217</v>
      </c>
      <c r="AE156" s="34">
        <f>SUMPRODUCT(DB_STProjectsSOF[[#This Row],[Plan01]:[Plan12]],$D$4:$O$4)/valUnits2</f>
        <v>0.31795999999999996</v>
      </c>
      <c r="AF156" s="34">
        <f>SUMPRODUCT(DB_STProjectsSOF[[#This Row],[Act01]:[Act12]],$P$4:$AA$4)/valUnits2</f>
        <v>0.32109999999999994</v>
      </c>
      <c r="AG156" s="34">
        <f>DB_STProjectsSOF[[#This Row],[Actual]]-DB_STProjectsSOF[[#This Row],[Plan]]</f>
        <v>3.1399999999999761E-3</v>
      </c>
      <c r="AH156" s="34">
        <f>IF(DB_STProjectsSOF[[#This Row],[Plan]]&lt;&gt;0,DB_STProjectsSOF[[#This Row],[Actual]]/DB_STProjectsSOF[[#This Row],[Plan]],1.000011000011)</f>
        <v>1.0098754560322052</v>
      </c>
      <c r="AI156" s="34">
        <f>SUM(DB_STProjectsSOF[[#This Row],[Plan01]:[Plan12]])/valUnits2</f>
        <v>0.31795999999999996</v>
      </c>
      <c r="AJ156" s="34">
        <f>SUMPRODUCT(DB_STProjectsSOF[[#This Row],[Act01]:[Act12]],$P$3:$AA$3)/valUnits2</f>
        <v>0.32109999999999994</v>
      </c>
      <c r="AK156" s="34">
        <f>IF(DB_STProjectsSOF[[#This Row],[FY Plan]]&lt;&gt;0,DB_STProjectsSOF[[#This Row],[FY Actuals]]/DB_STProjectsSOF[[#This Row],[FY Plan]],1.000011000011)</f>
        <v>1.0098754560322052</v>
      </c>
    </row>
    <row r="157" spans="1:37" hidden="1" x14ac:dyDescent="0.2">
      <c r="A157">
        <f>SUBTOTAL(3,$B$6:B157)</f>
        <v>0</v>
      </c>
      <c r="B157" t="s">
        <v>975</v>
      </c>
      <c r="C157" t="s">
        <v>935</v>
      </c>
      <c r="D157">
        <v>1023.5359999999999</v>
      </c>
      <c r="E157">
        <v>1271.4599999999998</v>
      </c>
      <c r="F157">
        <v>1192.1109999999999</v>
      </c>
      <c r="G157">
        <v>10164.751000000002</v>
      </c>
      <c r="H157">
        <v>7361.8890000000001</v>
      </c>
      <c r="I157">
        <v>2493.1780000000003</v>
      </c>
      <c r="J157">
        <v>2493.1780000000003</v>
      </c>
      <c r="K157">
        <v>2493.1780000000003</v>
      </c>
      <c r="L157">
        <v>2493.1780000000003</v>
      </c>
      <c r="M157">
        <v>2493.1780000000003</v>
      </c>
      <c r="N157">
        <v>2493.1780000000003</v>
      </c>
      <c r="O157">
        <v>2734.2469999999998</v>
      </c>
      <c r="P157">
        <v>1028.8899999999999</v>
      </c>
      <c r="Q157">
        <v>1303.83</v>
      </c>
      <c r="R157">
        <v>1184.0700000000002</v>
      </c>
      <c r="S157">
        <v>10208.48</v>
      </c>
      <c r="T157">
        <v>7396.2799999999988</v>
      </c>
      <c r="U157">
        <v>5953.0000000000018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s="164">
        <v>41000</v>
      </c>
      <c r="AC157" s="164">
        <v>42094</v>
      </c>
      <c r="AD157" s="164">
        <v>42124</v>
      </c>
      <c r="AE157" s="34">
        <f>SUMPRODUCT(DB_STProjectsSOF[[#This Row],[Plan01]:[Plan12]],$D$4:$O$4)/valUnits2</f>
        <v>23.506925000000003</v>
      </c>
      <c r="AF157" s="34">
        <f>SUMPRODUCT(DB_STProjectsSOF[[#This Row],[Act01]:[Act12]],$P$4:$AA$4)/valUnits2</f>
        <v>27.074550000000002</v>
      </c>
      <c r="AG157" s="34">
        <f>DB_STProjectsSOF[[#This Row],[Actual]]-DB_STProjectsSOF[[#This Row],[Plan]]</f>
        <v>3.5676249999999996</v>
      </c>
      <c r="AH157" s="34">
        <f>IF(DB_STProjectsSOF[[#This Row],[Plan]]&lt;&gt;0,DB_STProjectsSOF[[#This Row],[Actual]]/DB_STProjectsSOF[[#This Row],[Plan]],1.000011000011)</f>
        <v>1.1517691063378133</v>
      </c>
      <c r="AI157" s="34">
        <f>SUM(DB_STProjectsSOF[[#This Row],[Plan01]:[Plan12]])/valUnits2</f>
        <v>38.707062000000008</v>
      </c>
      <c r="AJ157" s="34">
        <f>SUMPRODUCT(DB_STProjectsSOF[[#This Row],[Act01]:[Act12]],$P$3:$AA$3)/valUnits2</f>
        <v>27.074550000000002</v>
      </c>
      <c r="AK157" s="34">
        <f>IF(DB_STProjectsSOF[[#This Row],[FY Plan]]&lt;&gt;0,DB_STProjectsSOF[[#This Row],[FY Actuals]]/DB_STProjectsSOF[[#This Row],[FY Plan]],1.000011000011)</f>
        <v>0.69947313490235963</v>
      </c>
    </row>
    <row r="158" spans="1:37" hidden="1" x14ac:dyDescent="0.2">
      <c r="A158">
        <f>SUBTOTAL(3,$B$6:B158)</f>
        <v>0</v>
      </c>
      <c r="B158" t="s">
        <v>975</v>
      </c>
      <c r="C158" t="s">
        <v>937</v>
      </c>
      <c r="F158">
        <v>0</v>
      </c>
      <c r="G158">
        <v>3932.77</v>
      </c>
      <c r="H158">
        <v>2772.9</v>
      </c>
      <c r="I158">
        <v>6395.7629999999999</v>
      </c>
      <c r="R158">
        <v>0</v>
      </c>
      <c r="S158">
        <v>3932.7699999999995</v>
      </c>
      <c r="T158">
        <v>2772.9</v>
      </c>
      <c r="U158">
        <v>2865.04</v>
      </c>
      <c r="AB158" s="164">
        <v>41275</v>
      </c>
      <c r="AC158" s="164">
        <v>43100</v>
      </c>
      <c r="AD158" s="164">
        <v>43159</v>
      </c>
      <c r="AE158" s="34">
        <f>SUMPRODUCT(DB_STProjectsSOF[[#This Row],[Plan01]:[Plan12]],$D$4:$O$4)/valUnits2</f>
        <v>13.101433</v>
      </c>
      <c r="AF158" s="34">
        <f>SUMPRODUCT(DB_STProjectsSOF[[#This Row],[Act01]:[Act12]],$P$4:$AA$4)/valUnits2</f>
        <v>9.5707099999999983</v>
      </c>
      <c r="AG158" s="34">
        <f>DB_STProjectsSOF[[#This Row],[Actual]]-DB_STProjectsSOF[[#This Row],[Plan]]</f>
        <v>-3.5307230000000018</v>
      </c>
      <c r="AH158" s="34">
        <f>IF(DB_STProjectsSOF[[#This Row],[Plan]]&lt;&gt;0,DB_STProjectsSOF[[#This Row],[Actual]]/DB_STProjectsSOF[[#This Row],[Plan]],1.000011000011)</f>
        <v>0.73050863978009106</v>
      </c>
      <c r="AI158" s="34">
        <f>SUM(DB_STProjectsSOF[[#This Row],[Plan01]:[Plan12]])/valUnits2</f>
        <v>13.101433</v>
      </c>
      <c r="AJ158" s="34">
        <f>SUMPRODUCT(DB_STProjectsSOF[[#This Row],[Act01]:[Act12]],$P$3:$AA$3)/valUnits2</f>
        <v>9.5707099999999983</v>
      </c>
      <c r="AK158" s="34">
        <f>IF(DB_STProjectsSOF[[#This Row],[FY Plan]]&lt;&gt;0,DB_STProjectsSOF[[#This Row],[FY Actuals]]/DB_STProjectsSOF[[#This Row],[FY Plan]],1.000011000011)</f>
        <v>0.73050863978009106</v>
      </c>
    </row>
    <row r="159" spans="1:37" hidden="1" x14ac:dyDescent="0.2">
      <c r="A159">
        <f>SUBTOTAL(3,$B$6:B159)</f>
        <v>0</v>
      </c>
      <c r="B159" t="s">
        <v>980</v>
      </c>
      <c r="C159" t="s">
        <v>843</v>
      </c>
      <c r="G159">
        <v>0</v>
      </c>
      <c r="H159">
        <v>0</v>
      </c>
      <c r="I159">
        <v>879.74599999999998</v>
      </c>
      <c r="J159">
        <v>879.74599999999998</v>
      </c>
      <c r="K159">
        <v>879.74599999999998</v>
      </c>
      <c r="L159">
        <v>879.74599999999998</v>
      </c>
      <c r="M159">
        <v>879.74599999999998</v>
      </c>
      <c r="N159">
        <v>879.74599999999998</v>
      </c>
      <c r="O159">
        <v>879.74599999999998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s="164">
        <v>41275</v>
      </c>
      <c r="AC159" s="164">
        <v>42369</v>
      </c>
      <c r="AD159" s="164">
        <v>42492</v>
      </c>
      <c r="AE159" s="34">
        <f>SUMPRODUCT(DB_STProjectsSOF[[#This Row],[Plan01]:[Plan12]],$D$4:$O$4)/valUnits2</f>
        <v>0.87974600000000003</v>
      </c>
      <c r="AF159" s="34">
        <f>SUMPRODUCT(DB_STProjectsSOF[[#This Row],[Act01]:[Act12]],$P$4:$AA$4)/valUnits2</f>
        <v>0</v>
      </c>
      <c r="AG159" s="34">
        <f>DB_STProjectsSOF[[#This Row],[Actual]]-DB_STProjectsSOF[[#This Row],[Plan]]</f>
        <v>-0.87974600000000003</v>
      </c>
      <c r="AH159" s="34">
        <f>IF(DB_STProjectsSOF[[#This Row],[Plan]]&lt;&gt;0,DB_STProjectsSOF[[#This Row],[Actual]]/DB_STProjectsSOF[[#This Row],[Plan]],1.000011000011)</f>
        <v>0</v>
      </c>
      <c r="AI159" s="34">
        <f>SUM(DB_STProjectsSOF[[#This Row],[Plan01]:[Plan12]])/valUnits2</f>
        <v>6.1582219999999994</v>
      </c>
      <c r="AJ159" s="34">
        <f>SUMPRODUCT(DB_STProjectsSOF[[#This Row],[Act01]:[Act12]],$P$3:$AA$3)/valUnits2</f>
        <v>0</v>
      </c>
      <c r="AK159" s="34">
        <f>IF(DB_STProjectsSOF[[#This Row],[FY Plan]]&lt;&gt;0,DB_STProjectsSOF[[#This Row],[FY Actuals]]/DB_STProjectsSOF[[#This Row],[FY Plan]],1.000011000011)</f>
        <v>0</v>
      </c>
    </row>
    <row r="160" spans="1:37" hidden="1" x14ac:dyDescent="0.2">
      <c r="A160">
        <f>SUBTOTAL(3,$B$6:B160)</f>
        <v>0</v>
      </c>
      <c r="B160" t="s">
        <v>980</v>
      </c>
      <c r="C160" t="s">
        <v>846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61.297000000000004</v>
      </c>
      <c r="J160">
        <v>61.297000000000004</v>
      </c>
      <c r="K160">
        <v>61.297000000000004</v>
      </c>
      <c r="L160">
        <v>61.297000000000004</v>
      </c>
      <c r="M160">
        <v>61.297000000000004</v>
      </c>
      <c r="N160">
        <v>61.297000000000004</v>
      </c>
      <c r="O160">
        <v>61.297000000000004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s="164">
        <v>40817</v>
      </c>
      <c r="AC160" s="164">
        <v>41599</v>
      </c>
      <c r="AD160" s="164">
        <v>41305</v>
      </c>
      <c r="AE160" s="34">
        <f>SUMPRODUCT(DB_STProjectsSOF[[#This Row],[Plan01]:[Plan12]],$D$4:$O$4)/valUnits2</f>
        <v>6.1297000000000004E-2</v>
      </c>
      <c r="AF160" s="34">
        <f>SUMPRODUCT(DB_STProjectsSOF[[#This Row],[Act01]:[Act12]],$P$4:$AA$4)/valUnits2</f>
        <v>0</v>
      </c>
      <c r="AG160" s="34">
        <f>DB_STProjectsSOF[[#This Row],[Actual]]-DB_STProjectsSOF[[#This Row],[Plan]]</f>
        <v>-6.1297000000000004E-2</v>
      </c>
      <c r="AH160" s="34">
        <f>IF(DB_STProjectsSOF[[#This Row],[Plan]]&lt;&gt;0,DB_STProjectsSOF[[#This Row],[Actual]]/DB_STProjectsSOF[[#This Row],[Plan]],1.000011000011)</f>
        <v>0</v>
      </c>
      <c r="AI160" s="34">
        <f>SUM(DB_STProjectsSOF[[#This Row],[Plan01]:[Plan12]])/valUnits2</f>
        <v>0.42907900000000004</v>
      </c>
      <c r="AJ160" s="34">
        <f>SUMPRODUCT(DB_STProjectsSOF[[#This Row],[Act01]:[Act12]],$P$3:$AA$3)/valUnits2</f>
        <v>0</v>
      </c>
      <c r="AK160" s="34">
        <f>IF(DB_STProjectsSOF[[#This Row],[FY Plan]]&lt;&gt;0,DB_STProjectsSOF[[#This Row],[FY Actuals]]/DB_STProjectsSOF[[#This Row],[FY Plan]],1.000011000011)</f>
        <v>0</v>
      </c>
    </row>
    <row r="161" spans="1:37" hidden="1" x14ac:dyDescent="0.2">
      <c r="A161">
        <f>SUBTOTAL(3,$B$6:B161)</f>
        <v>0</v>
      </c>
      <c r="B161" t="s">
        <v>980</v>
      </c>
      <c r="C161" t="s">
        <v>849</v>
      </c>
      <c r="G161">
        <v>0</v>
      </c>
      <c r="H161">
        <v>0</v>
      </c>
      <c r="S161">
        <v>0</v>
      </c>
      <c r="T161">
        <v>0</v>
      </c>
      <c r="AB161" s="164">
        <v>41153</v>
      </c>
      <c r="AC161" s="164">
        <v>41364</v>
      </c>
      <c r="AD161" s="164">
        <v>41424</v>
      </c>
      <c r="AE161" s="34">
        <f>SUMPRODUCT(DB_STProjectsSOF[[#This Row],[Plan01]:[Plan12]],$D$4:$O$4)/valUnits2</f>
        <v>0</v>
      </c>
      <c r="AF161" s="34">
        <f>SUMPRODUCT(DB_STProjectsSOF[[#This Row],[Act01]:[Act12]],$P$4:$AA$4)/valUnits2</f>
        <v>0</v>
      </c>
      <c r="AG161" s="34">
        <f>DB_STProjectsSOF[[#This Row],[Actual]]-DB_STProjectsSOF[[#This Row],[Plan]]</f>
        <v>0</v>
      </c>
      <c r="AH161" s="34">
        <f>IF(DB_STProjectsSOF[[#This Row],[Plan]]&lt;&gt;0,DB_STProjectsSOF[[#This Row],[Actual]]/DB_STProjectsSOF[[#This Row],[Plan]],1.000011000011)</f>
        <v>1.0000110000110001</v>
      </c>
      <c r="AI161" s="34">
        <f>SUM(DB_STProjectsSOF[[#This Row],[Plan01]:[Plan12]])/valUnits2</f>
        <v>0</v>
      </c>
      <c r="AJ161" s="34">
        <f>SUMPRODUCT(DB_STProjectsSOF[[#This Row],[Act01]:[Act12]],$P$3:$AA$3)/valUnits2</f>
        <v>0</v>
      </c>
      <c r="AK161" s="34">
        <f>IF(DB_STProjectsSOF[[#This Row],[FY Plan]]&lt;&gt;0,DB_STProjectsSOF[[#This Row],[FY Actuals]]/DB_STProjectsSOF[[#This Row],[FY Plan]],1.000011000011)</f>
        <v>1.0000110000110001</v>
      </c>
    </row>
    <row r="162" spans="1:37" hidden="1" x14ac:dyDescent="0.2">
      <c r="A162">
        <f>SUBTOTAL(3,$B$6:B162)</f>
        <v>0</v>
      </c>
      <c r="B162" t="s">
        <v>980</v>
      </c>
      <c r="C162" t="s">
        <v>850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170.35399999999998</v>
      </c>
      <c r="J162">
        <v>170.35399999999998</v>
      </c>
      <c r="K162">
        <v>170.35399999999998</v>
      </c>
      <c r="L162">
        <v>170.35399999999998</v>
      </c>
      <c r="M162">
        <v>170.35399999999998</v>
      </c>
      <c r="N162">
        <v>170.35399999999998</v>
      </c>
      <c r="O162">
        <v>170.35399999999998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s="164">
        <v>40817</v>
      </c>
      <c r="AC162" s="164">
        <v>41639</v>
      </c>
      <c r="AD162" s="164">
        <v>41820</v>
      </c>
      <c r="AE162" s="34">
        <f>SUMPRODUCT(DB_STProjectsSOF[[#This Row],[Plan01]:[Plan12]],$D$4:$O$4)/valUnits2</f>
        <v>0.17035399999999998</v>
      </c>
      <c r="AF162" s="34">
        <f>SUMPRODUCT(DB_STProjectsSOF[[#This Row],[Act01]:[Act12]],$P$4:$AA$4)/valUnits2</f>
        <v>0</v>
      </c>
      <c r="AG162" s="34">
        <f>DB_STProjectsSOF[[#This Row],[Actual]]-DB_STProjectsSOF[[#This Row],[Plan]]</f>
        <v>-0.17035399999999998</v>
      </c>
      <c r="AH162" s="34">
        <f>IF(DB_STProjectsSOF[[#This Row],[Plan]]&lt;&gt;0,DB_STProjectsSOF[[#This Row],[Actual]]/DB_STProjectsSOF[[#This Row],[Plan]],1.000011000011)</f>
        <v>0</v>
      </c>
      <c r="AI162" s="34">
        <f>SUM(DB_STProjectsSOF[[#This Row],[Plan01]:[Plan12]])/valUnits2</f>
        <v>1.1924780000000001</v>
      </c>
      <c r="AJ162" s="34">
        <f>SUMPRODUCT(DB_STProjectsSOF[[#This Row],[Act01]:[Act12]],$P$3:$AA$3)/valUnits2</f>
        <v>0</v>
      </c>
      <c r="AK162" s="34">
        <f>IF(DB_STProjectsSOF[[#This Row],[FY Plan]]&lt;&gt;0,DB_STProjectsSOF[[#This Row],[FY Actuals]]/DB_STProjectsSOF[[#This Row],[FY Plan]],1.000011000011)</f>
        <v>0</v>
      </c>
    </row>
    <row r="163" spans="1:37" hidden="1" x14ac:dyDescent="0.2">
      <c r="A163">
        <f>SUBTOTAL(3,$B$6:B163)</f>
        <v>0</v>
      </c>
      <c r="B163" t="s">
        <v>980</v>
      </c>
      <c r="C163" t="s">
        <v>853</v>
      </c>
      <c r="G163">
        <v>0</v>
      </c>
      <c r="H163">
        <v>0</v>
      </c>
      <c r="I163">
        <v>16.921999999999997</v>
      </c>
      <c r="J163">
        <v>16.921999999999997</v>
      </c>
      <c r="K163">
        <v>16.921999999999997</v>
      </c>
      <c r="L163">
        <v>16.921999999999997</v>
      </c>
      <c r="M163">
        <v>16.921999999999997</v>
      </c>
      <c r="N163">
        <v>16.921999999999997</v>
      </c>
      <c r="O163">
        <v>16.921999999999997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s="164">
        <v>41275</v>
      </c>
      <c r="AC163" s="164">
        <v>41639</v>
      </c>
      <c r="AD163" s="164">
        <v>41669</v>
      </c>
      <c r="AE163" s="34">
        <f>SUMPRODUCT(DB_STProjectsSOF[[#This Row],[Plan01]:[Plan12]],$D$4:$O$4)/valUnits2</f>
        <v>1.6921999999999996E-2</v>
      </c>
      <c r="AF163" s="34">
        <f>SUMPRODUCT(DB_STProjectsSOF[[#This Row],[Act01]:[Act12]],$P$4:$AA$4)/valUnits2</f>
        <v>0</v>
      </c>
      <c r="AG163" s="34">
        <f>DB_STProjectsSOF[[#This Row],[Actual]]-DB_STProjectsSOF[[#This Row],[Plan]]</f>
        <v>-1.6921999999999996E-2</v>
      </c>
      <c r="AH163" s="34">
        <f>IF(DB_STProjectsSOF[[#This Row],[Plan]]&lt;&gt;0,DB_STProjectsSOF[[#This Row],[Actual]]/DB_STProjectsSOF[[#This Row],[Plan]],1.000011000011)</f>
        <v>0</v>
      </c>
      <c r="AI163" s="34">
        <f>SUM(DB_STProjectsSOF[[#This Row],[Plan01]:[Plan12]])/valUnits2</f>
        <v>0.11845399999999998</v>
      </c>
      <c r="AJ163" s="34">
        <f>SUMPRODUCT(DB_STProjectsSOF[[#This Row],[Act01]:[Act12]],$P$3:$AA$3)/valUnits2</f>
        <v>0</v>
      </c>
      <c r="AK163" s="34">
        <f>IF(DB_STProjectsSOF[[#This Row],[FY Plan]]&lt;&gt;0,DB_STProjectsSOF[[#This Row],[FY Actuals]]/DB_STProjectsSOF[[#This Row],[FY Plan]],1.000011000011)</f>
        <v>0</v>
      </c>
    </row>
    <row r="164" spans="1:37" hidden="1" x14ac:dyDescent="0.2">
      <c r="A164">
        <f>SUBTOTAL(3,$B$6:B164)</f>
        <v>0</v>
      </c>
      <c r="B164" t="s">
        <v>980</v>
      </c>
      <c r="C164" t="s">
        <v>854</v>
      </c>
      <c r="F164">
        <v>0</v>
      </c>
      <c r="G164">
        <v>967.04499999999996</v>
      </c>
      <c r="H164">
        <v>-903.99099999999999</v>
      </c>
      <c r="I164">
        <v>289.17700000000002</v>
      </c>
      <c r="J164">
        <v>289.17700000000002</v>
      </c>
      <c r="K164">
        <v>289.17700000000002</v>
      </c>
      <c r="L164">
        <v>289.17700000000002</v>
      </c>
      <c r="M164">
        <v>289.17700000000002</v>
      </c>
      <c r="N164">
        <v>289.17700000000002</v>
      </c>
      <c r="O164">
        <v>289.17700000000002</v>
      </c>
      <c r="R164">
        <v>0</v>
      </c>
      <c r="S164">
        <v>978.69</v>
      </c>
      <c r="T164">
        <v>-978.69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s="164">
        <v>40923</v>
      </c>
      <c r="AC164" s="164">
        <v>41698</v>
      </c>
      <c r="AD164" s="164">
        <v>41759</v>
      </c>
      <c r="AE164" s="34">
        <f>SUMPRODUCT(DB_STProjectsSOF[[#This Row],[Plan01]:[Plan12]],$D$4:$O$4)/valUnits2</f>
        <v>0.35223100000000002</v>
      </c>
      <c r="AF164" s="34">
        <f>SUMPRODUCT(DB_STProjectsSOF[[#This Row],[Act01]:[Act12]],$P$4:$AA$4)/valUnits2</f>
        <v>0</v>
      </c>
      <c r="AG164" s="34">
        <f>DB_STProjectsSOF[[#This Row],[Actual]]-DB_STProjectsSOF[[#This Row],[Plan]]</f>
        <v>-0.35223100000000002</v>
      </c>
      <c r="AH164" s="34">
        <f>IF(DB_STProjectsSOF[[#This Row],[Plan]]&lt;&gt;0,DB_STProjectsSOF[[#This Row],[Actual]]/DB_STProjectsSOF[[#This Row],[Plan]],1.000011000011)</f>
        <v>0</v>
      </c>
      <c r="AI164" s="34">
        <f>SUM(DB_STProjectsSOF[[#This Row],[Plan01]:[Plan12]])/valUnits2</f>
        <v>2.0872930000000007</v>
      </c>
      <c r="AJ164" s="34">
        <f>SUMPRODUCT(DB_STProjectsSOF[[#This Row],[Act01]:[Act12]],$P$3:$AA$3)/valUnits2</f>
        <v>0</v>
      </c>
      <c r="AK164" s="34">
        <f>IF(DB_STProjectsSOF[[#This Row],[FY Plan]]&lt;&gt;0,DB_STProjectsSOF[[#This Row],[FY Actuals]]/DB_STProjectsSOF[[#This Row],[FY Plan]],1.000011000011)</f>
        <v>0</v>
      </c>
    </row>
    <row r="165" spans="1:37" hidden="1" x14ac:dyDescent="0.2">
      <c r="A165">
        <f>SUBTOTAL(3,$B$6:B165)</f>
        <v>0</v>
      </c>
      <c r="B165" t="s">
        <v>980</v>
      </c>
      <c r="C165" t="s">
        <v>855</v>
      </c>
      <c r="G165">
        <v>0</v>
      </c>
      <c r="H165">
        <v>0</v>
      </c>
      <c r="I165">
        <v>553.59699999999998</v>
      </c>
      <c r="J165">
        <v>553.59699999999998</v>
      </c>
      <c r="K165">
        <v>553.59699999999998</v>
      </c>
      <c r="L165">
        <v>553.59699999999998</v>
      </c>
      <c r="M165">
        <v>553.59699999999998</v>
      </c>
      <c r="N165">
        <v>553.59699999999998</v>
      </c>
      <c r="O165">
        <v>553.59699999999998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s="164">
        <v>40817</v>
      </c>
      <c r="AC165" s="164">
        <v>41759</v>
      </c>
      <c r="AD165" s="164">
        <v>41820</v>
      </c>
      <c r="AE165" s="34">
        <f>SUMPRODUCT(DB_STProjectsSOF[[#This Row],[Plan01]:[Plan12]],$D$4:$O$4)/valUnits2</f>
        <v>0.55359700000000001</v>
      </c>
      <c r="AF165" s="34">
        <f>SUMPRODUCT(DB_STProjectsSOF[[#This Row],[Act01]:[Act12]],$P$4:$AA$4)/valUnits2</f>
        <v>0</v>
      </c>
      <c r="AG165" s="34">
        <f>DB_STProjectsSOF[[#This Row],[Actual]]-DB_STProjectsSOF[[#This Row],[Plan]]</f>
        <v>-0.55359700000000001</v>
      </c>
      <c r="AH165" s="34">
        <f>IF(DB_STProjectsSOF[[#This Row],[Plan]]&lt;&gt;0,DB_STProjectsSOF[[#This Row],[Actual]]/DB_STProjectsSOF[[#This Row],[Plan]],1.000011000011)</f>
        <v>0</v>
      </c>
      <c r="AI165" s="34">
        <f>SUM(DB_STProjectsSOF[[#This Row],[Plan01]:[Plan12]])/valUnits2</f>
        <v>3.8751789999999993</v>
      </c>
      <c r="AJ165" s="34">
        <f>SUMPRODUCT(DB_STProjectsSOF[[#This Row],[Act01]:[Act12]],$P$3:$AA$3)/valUnits2</f>
        <v>0</v>
      </c>
      <c r="AK165" s="34">
        <f>IF(DB_STProjectsSOF[[#This Row],[FY Plan]]&lt;&gt;0,DB_STProjectsSOF[[#This Row],[FY Actuals]]/DB_STProjectsSOF[[#This Row],[FY Plan]],1.000011000011)</f>
        <v>0</v>
      </c>
    </row>
    <row r="166" spans="1:37" hidden="1" x14ac:dyDescent="0.2">
      <c r="A166">
        <f>SUBTOTAL(3,$B$6:B166)</f>
        <v>0</v>
      </c>
      <c r="B166" t="s">
        <v>980</v>
      </c>
      <c r="C166" t="s">
        <v>856</v>
      </c>
      <c r="D166">
        <v>1377.2750000000001</v>
      </c>
      <c r="E166">
        <v>3461.6750000000002</v>
      </c>
      <c r="F166">
        <v>4760.7349999999997</v>
      </c>
      <c r="G166">
        <v>5447.9470000000001</v>
      </c>
      <c r="H166">
        <v>3236.5329999999999</v>
      </c>
      <c r="I166">
        <v>1377.2750000000001</v>
      </c>
      <c r="J166">
        <v>1377.2750000000001</v>
      </c>
      <c r="K166">
        <v>1377.2750000000001</v>
      </c>
      <c r="L166">
        <v>1377.2750000000001</v>
      </c>
      <c r="M166">
        <v>1377.2750000000001</v>
      </c>
      <c r="N166">
        <v>1377.2750000000001</v>
      </c>
      <c r="O166">
        <v>1377.2750000000001</v>
      </c>
      <c r="P166">
        <v>0</v>
      </c>
      <c r="Q166">
        <v>1999.6000000000001</v>
      </c>
      <c r="R166">
        <v>3251.58</v>
      </c>
      <c r="S166">
        <v>3903.4600000000005</v>
      </c>
      <c r="T166">
        <v>1810.07</v>
      </c>
      <c r="U166">
        <v>2007.9199999999998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s="164">
        <v>40817</v>
      </c>
      <c r="AC166" s="164">
        <v>42338</v>
      </c>
      <c r="AD166" s="164">
        <v>42490</v>
      </c>
      <c r="AE166" s="34">
        <f>SUMPRODUCT(DB_STProjectsSOF[[#This Row],[Plan01]:[Plan12]],$D$4:$O$4)/valUnits2</f>
        <v>19.661440000000002</v>
      </c>
      <c r="AF166" s="34">
        <f>SUMPRODUCT(DB_STProjectsSOF[[#This Row],[Act01]:[Act12]],$P$4:$AA$4)/valUnits2</f>
        <v>12.972630000000001</v>
      </c>
      <c r="AG166" s="34">
        <f>DB_STProjectsSOF[[#This Row],[Actual]]-DB_STProjectsSOF[[#This Row],[Plan]]</f>
        <v>-6.6888100000000019</v>
      </c>
      <c r="AH166" s="34">
        <f>IF(DB_STProjectsSOF[[#This Row],[Plan]]&lt;&gt;0,DB_STProjectsSOF[[#This Row],[Actual]]/DB_STProjectsSOF[[#This Row],[Plan]],1.000011000011)</f>
        <v>0.65980060463526569</v>
      </c>
      <c r="AI166" s="34">
        <f>SUM(DB_STProjectsSOF[[#This Row],[Plan01]:[Plan12]])/valUnits2</f>
        <v>27.925090000000012</v>
      </c>
      <c r="AJ166" s="34">
        <f>SUMPRODUCT(DB_STProjectsSOF[[#This Row],[Act01]:[Act12]],$P$3:$AA$3)/valUnits2</f>
        <v>12.972630000000001</v>
      </c>
      <c r="AK166" s="34">
        <f>IF(DB_STProjectsSOF[[#This Row],[FY Plan]]&lt;&gt;0,DB_STProjectsSOF[[#This Row],[FY Actuals]]/DB_STProjectsSOF[[#This Row],[FY Plan]],1.000011000011)</f>
        <v>0.46455105426696908</v>
      </c>
    </row>
    <row r="167" spans="1:37" hidden="1" x14ac:dyDescent="0.2">
      <c r="A167">
        <f>SUBTOTAL(3,$B$6:B167)</f>
        <v>0</v>
      </c>
      <c r="B167" t="s">
        <v>980</v>
      </c>
      <c r="C167" t="s">
        <v>858</v>
      </c>
      <c r="D167">
        <v>0</v>
      </c>
      <c r="E167">
        <v>15.97</v>
      </c>
      <c r="F167">
        <v>0</v>
      </c>
      <c r="G167">
        <v>118.37</v>
      </c>
      <c r="H167">
        <v>2219.34</v>
      </c>
      <c r="I167">
        <v>1917.155</v>
      </c>
      <c r="J167">
        <v>1917.155</v>
      </c>
      <c r="K167">
        <v>1917.155</v>
      </c>
      <c r="L167">
        <v>1917.155</v>
      </c>
      <c r="M167">
        <v>1917.155</v>
      </c>
      <c r="N167">
        <v>1917.155</v>
      </c>
      <c r="O167">
        <v>1917.155</v>
      </c>
      <c r="P167">
        <v>0</v>
      </c>
      <c r="Q167">
        <v>15.97</v>
      </c>
      <c r="R167">
        <v>0</v>
      </c>
      <c r="S167">
        <v>118.36999999999999</v>
      </c>
      <c r="T167">
        <v>2219.34</v>
      </c>
      <c r="U167">
        <v>791.96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s="164">
        <v>41275</v>
      </c>
      <c r="AC167" s="164">
        <v>41639</v>
      </c>
      <c r="AD167" s="164">
        <v>41784</v>
      </c>
      <c r="AE167" s="34">
        <f>SUMPRODUCT(DB_STProjectsSOF[[#This Row],[Plan01]:[Plan12]],$D$4:$O$4)/valUnits2</f>
        <v>4.2708349999999999</v>
      </c>
      <c r="AF167" s="34">
        <f>SUMPRODUCT(DB_STProjectsSOF[[#This Row],[Act01]:[Act12]],$P$4:$AA$4)/valUnits2</f>
        <v>3.1456400000000002</v>
      </c>
      <c r="AG167" s="34">
        <f>DB_STProjectsSOF[[#This Row],[Actual]]-DB_STProjectsSOF[[#This Row],[Plan]]</f>
        <v>-1.1251949999999997</v>
      </c>
      <c r="AH167" s="34">
        <f>IF(DB_STProjectsSOF[[#This Row],[Plan]]&lt;&gt;0,DB_STProjectsSOF[[#This Row],[Actual]]/DB_STProjectsSOF[[#This Row],[Plan]],1.000011000011)</f>
        <v>0.73653981013080583</v>
      </c>
      <c r="AI167" s="34">
        <f>SUM(DB_STProjectsSOF[[#This Row],[Plan01]:[Plan12]])/valUnits2</f>
        <v>15.773765000000001</v>
      </c>
      <c r="AJ167" s="34">
        <f>SUMPRODUCT(DB_STProjectsSOF[[#This Row],[Act01]:[Act12]],$P$3:$AA$3)/valUnits2</f>
        <v>3.1456400000000002</v>
      </c>
      <c r="AK167" s="34">
        <f>IF(DB_STProjectsSOF[[#This Row],[FY Plan]]&lt;&gt;0,DB_STProjectsSOF[[#This Row],[FY Actuals]]/DB_STProjectsSOF[[#This Row],[FY Plan]],1.000011000011)</f>
        <v>0.1994222685579505</v>
      </c>
    </row>
    <row r="168" spans="1:37" hidden="1" x14ac:dyDescent="0.2">
      <c r="A168">
        <f>SUBTOTAL(3,$B$6:B168)</f>
        <v>0</v>
      </c>
      <c r="B168" t="s">
        <v>980</v>
      </c>
      <c r="C168" t="s">
        <v>860</v>
      </c>
      <c r="D168">
        <v>13</v>
      </c>
      <c r="E168">
        <v>2.54</v>
      </c>
      <c r="F168">
        <v>0.13</v>
      </c>
      <c r="G168">
        <v>0</v>
      </c>
      <c r="H168">
        <v>0</v>
      </c>
      <c r="I168">
        <v>530.78899999999999</v>
      </c>
      <c r="J168">
        <v>530.78899999999999</v>
      </c>
      <c r="K168">
        <v>530.78899999999999</v>
      </c>
      <c r="L168">
        <v>530.78899999999999</v>
      </c>
      <c r="P168">
        <v>13</v>
      </c>
      <c r="Q168">
        <v>2.54</v>
      </c>
      <c r="R168">
        <v>0.12999999999999545</v>
      </c>
      <c r="S168">
        <v>0</v>
      </c>
      <c r="T168">
        <v>0</v>
      </c>
      <c r="U168">
        <v>395.5</v>
      </c>
      <c r="V168">
        <v>0</v>
      </c>
      <c r="W168">
        <v>0</v>
      </c>
      <c r="X168">
        <v>0</v>
      </c>
      <c r="AB168" s="164">
        <v>40969</v>
      </c>
      <c r="AC168" s="164">
        <v>42643</v>
      </c>
      <c r="AD168" s="164">
        <v>42704</v>
      </c>
      <c r="AE168" s="34">
        <f>SUMPRODUCT(DB_STProjectsSOF[[#This Row],[Plan01]:[Plan12]],$D$4:$O$4)/valUnits2</f>
        <v>0.54645899999999992</v>
      </c>
      <c r="AF168" s="34">
        <f>SUMPRODUCT(DB_STProjectsSOF[[#This Row],[Act01]:[Act12]],$P$4:$AA$4)/valUnits2</f>
        <v>0.41117000000000004</v>
      </c>
      <c r="AG168" s="34">
        <f>DB_STProjectsSOF[[#This Row],[Actual]]-DB_STProjectsSOF[[#This Row],[Plan]]</f>
        <v>-0.13528899999999988</v>
      </c>
      <c r="AH168" s="34">
        <f>IF(DB_STProjectsSOF[[#This Row],[Plan]]&lt;&gt;0,DB_STProjectsSOF[[#This Row],[Actual]]/DB_STProjectsSOF[[#This Row],[Plan]],1.000011000011)</f>
        <v>0.75242607405130135</v>
      </c>
      <c r="AI168" s="34">
        <f>SUM(DB_STProjectsSOF[[#This Row],[Plan01]:[Plan12]])/valUnits2</f>
        <v>2.1388259999999999</v>
      </c>
      <c r="AJ168" s="34">
        <f>SUMPRODUCT(DB_STProjectsSOF[[#This Row],[Act01]:[Act12]],$P$3:$AA$3)/valUnits2</f>
        <v>0.41117000000000004</v>
      </c>
      <c r="AK168" s="34">
        <f>IF(DB_STProjectsSOF[[#This Row],[FY Plan]]&lt;&gt;0,DB_STProjectsSOF[[#This Row],[FY Actuals]]/DB_STProjectsSOF[[#This Row],[FY Plan]],1.000011000011)</f>
        <v>0.19224097705937745</v>
      </c>
    </row>
    <row r="169" spans="1:37" hidden="1" x14ac:dyDescent="0.2">
      <c r="A169">
        <f>SUBTOTAL(3,$B$6:B169)</f>
        <v>0</v>
      </c>
      <c r="B169" t="s">
        <v>980</v>
      </c>
      <c r="C169" t="s">
        <v>862</v>
      </c>
      <c r="G169">
        <v>0</v>
      </c>
      <c r="H169">
        <v>0</v>
      </c>
      <c r="I169">
        <v>512.62099999999998</v>
      </c>
      <c r="J169">
        <v>512.62099999999998</v>
      </c>
      <c r="K169">
        <v>512.62099999999998</v>
      </c>
      <c r="L169">
        <v>512.62099999999998</v>
      </c>
      <c r="M169">
        <v>512.62099999999998</v>
      </c>
      <c r="N169">
        <v>512.62099999999998</v>
      </c>
      <c r="O169">
        <v>512.62099999999998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s="164">
        <v>41275</v>
      </c>
      <c r="AC169" s="164">
        <v>41639</v>
      </c>
      <c r="AD169" s="164">
        <v>3</v>
      </c>
      <c r="AE169" s="34">
        <f>SUMPRODUCT(DB_STProjectsSOF[[#This Row],[Plan01]:[Plan12]],$D$4:$O$4)/valUnits2</f>
        <v>0.51262099999999999</v>
      </c>
      <c r="AF169" s="34">
        <f>SUMPRODUCT(DB_STProjectsSOF[[#This Row],[Act01]:[Act12]],$P$4:$AA$4)/valUnits2</f>
        <v>0</v>
      </c>
      <c r="AG169" s="34">
        <f>DB_STProjectsSOF[[#This Row],[Actual]]-DB_STProjectsSOF[[#This Row],[Plan]]</f>
        <v>-0.51262099999999999</v>
      </c>
      <c r="AH169" s="34">
        <f>IF(DB_STProjectsSOF[[#This Row],[Plan]]&lt;&gt;0,DB_STProjectsSOF[[#This Row],[Actual]]/DB_STProjectsSOF[[#This Row],[Plan]],1.000011000011)</f>
        <v>0</v>
      </c>
      <c r="AI169" s="34">
        <f>SUM(DB_STProjectsSOF[[#This Row],[Plan01]:[Plan12]])/valUnits2</f>
        <v>3.5883470000000002</v>
      </c>
      <c r="AJ169" s="34">
        <f>SUMPRODUCT(DB_STProjectsSOF[[#This Row],[Act01]:[Act12]],$P$3:$AA$3)/valUnits2</f>
        <v>0</v>
      </c>
      <c r="AK169" s="34">
        <f>IF(DB_STProjectsSOF[[#This Row],[FY Plan]]&lt;&gt;0,DB_STProjectsSOF[[#This Row],[FY Actuals]]/DB_STProjectsSOF[[#This Row],[FY Plan]],1.000011000011)</f>
        <v>0</v>
      </c>
    </row>
    <row r="170" spans="1:37" hidden="1" x14ac:dyDescent="0.2">
      <c r="A170">
        <f>SUBTOTAL(3,$B$6:B170)</f>
        <v>0</v>
      </c>
      <c r="B170" t="s">
        <v>980</v>
      </c>
      <c r="C170" t="s">
        <v>865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s="164">
        <v>40817</v>
      </c>
      <c r="AC170" s="164">
        <v>41639</v>
      </c>
      <c r="AD170" s="164">
        <v>41820</v>
      </c>
      <c r="AE170" s="34">
        <f>SUMPRODUCT(DB_STProjectsSOF[[#This Row],[Plan01]:[Plan12]],$D$4:$O$4)/valUnits2</f>
        <v>0</v>
      </c>
      <c r="AF170" s="34">
        <f>SUMPRODUCT(DB_STProjectsSOF[[#This Row],[Act01]:[Act12]],$P$4:$AA$4)/valUnits2</f>
        <v>0</v>
      </c>
      <c r="AG170" s="34">
        <f>DB_STProjectsSOF[[#This Row],[Actual]]-DB_STProjectsSOF[[#This Row],[Plan]]</f>
        <v>0</v>
      </c>
      <c r="AH170" s="34">
        <f>IF(DB_STProjectsSOF[[#This Row],[Plan]]&lt;&gt;0,DB_STProjectsSOF[[#This Row],[Actual]]/DB_STProjectsSOF[[#This Row],[Plan]],1.000011000011)</f>
        <v>1.0000110000110001</v>
      </c>
      <c r="AI170" s="34">
        <f>SUM(DB_STProjectsSOF[[#This Row],[Plan01]:[Plan12]])/valUnits2</f>
        <v>0</v>
      </c>
      <c r="AJ170" s="34">
        <f>SUMPRODUCT(DB_STProjectsSOF[[#This Row],[Act01]:[Act12]],$P$3:$AA$3)/valUnits2</f>
        <v>0</v>
      </c>
      <c r="AK170" s="34">
        <f>IF(DB_STProjectsSOF[[#This Row],[FY Plan]]&lt;&gt;0,DB_STProjectsSOF[[#This Row],[FY Actuals]]/DB_STProjectsSOF[[#This Row],[FY Plan]],1.000011000011)</f>
        <v>1.0000110000110001</v>
      </c>
    </row>
    <row r="171" spans="1:37" hidden="1" x14ac:dyDescent="0.2">
      <c r="A171">
        <f>SUBTOTAL(3,$B$6:B171)</f>
        <v>0</v>
      </c>
      <c r="B171" t="s">
        <v>980</v>
      </c>
      <c r="C171" t="s">
        <v>866</v>
      </c>
      <c r="D171">
        <v>330.83</v>
      </c>
      <c r="E171">
        <v>11034</v>
      </c>
      <c r="F171">
        <v>1338.19</v>
      </c>
      <c r="G171">
        <v>-1706.8500000000001</v>
      </c>
      <c r="H171">
        <v>0</v>
      </c>
      <c r="I171">
        <v>3829.2219999999998</v>
      </c>
      <c r="J171">
        <v>3829.2219999999998</v>
      </c>
      <c r="K171">
        <v>3829.2219999999998</v>
      </c>
      <c r="L171">
        <v>3829.2219999999998</v>
      </c>
      <c r="P171">
        <v>330.83</v>
      </c>
      <c r="Q171">
        <v>11034</v>
      </c>
      <c r="R171">
        <v>1338.19</v>
      </c>
      <c r="S171">
        <v>-1706.8500000000001</v>
      </c>
      <c r="T171">
        <v>0</v>
      </c>
      <c r="U171">
        <v>8687.7400000000016</v>
      </c>
      <c r="V171">
        <v>0</v>
      </c>
      <c r="W171">
        <v>0</v>
      </c>
      <c r="X171">
        <v>0</v>
      </c>
      <c r="AB171" s="164">
        <v>41275</v>
      </c>
      <c r="AC171" s="164">
        <v>41639</v>
      </c>
      <c r="AD171" s="164">
        <v>41760</v>
      </c>
      <c r="AE171" s="34">
        <f>SUMPRODUCT(DB_STProjectsSOF[[#This Row],[Plan01]:[Plan12]],$D$4:$O$4)/valUnits2</f>
        <v>14.825391999999999</v>
      </c>
      <c r="AF171" s="34">
        <f>SUMPRODUCT(DB_STProjectsSOF[[#This Row],[Act01]:[Act12]],$P$4:$AA$4)/valUnits2</f>
        <v>19.683910000000004</v>
      </c>
      <c r="AG171" s="34">
        <f>DB_STProjectsSOF[[#This Row],[Actual]]-DB_STProjectsSOF[[#This Row],[Plan]]</f>
        <v>4.8585180000000054</v>
      </c>
      <c r="AH171" s="34">
        <f>IF(DB_STProjectsSOF[[#This Row],[Plan]]&lt;&gt;0,DB_STProjectsSOF[[#This Row],[Actual]]/DB_STProjectsSOF[[#This Row],[Plan]],1.000011000011)</f>
        <v>1.3277159888925707</v>
      </c>
      <c r="AI171" s="34">
        <f>SUM(DB_STProjectsSOF[[#This Row],[Plan01]:[Plan12]])/valUnits2</f>
        <v>26.313058000000005</v>
      </c>
      <c r="AJ171" s="34">
        <f>SUMPRODUCT(DB_STProjectsSOF[[#This Row],[Act01]:[Act12]],$P$3:$AA$3)/valUnits2</f>
        <v>19.683910000000004</v>
      </c>
      <c r="AK171" s="34">
        <f>IF(DB_STProjectsSOF[[#This Row],[FY Plan]]&lt;&gt;0,DB_STProjectsSOF[[#This Row],[FY Actuals]]/DB_STProjectsSOF[[#This Row],[FY Plan]],1.000011000011)</f>
        <v>0.74806622628202324</v>
      </c>
    </row>
    <row r="172" spans="1:37" hidden="1" x14ac:dyDescent="0.2">
      <c r="A172">
        <f>SUBTOTAL(3,$B$6:B172)</f>
        <v>0</v>
      </c>
      <c r="B172" t="s">
        <v>980</v>
      </c>
      <c r="C172" t="s">
        <v>869</v>
      </c>
      <c r="E172">
        <v>1237.8800000000001</v>
      </c>
      <c r="F172">
        <v>2267.6899999999996</v>
      </c>
      <c r="G172">
        <v>2403.3199999999997</v>
      </c>
      <c r="H172">
        <v>660.81</v>
      </c>
      <c r="I172">
        <v>1618</v>
      </c>
      <c r="J172">
        <v>1618</v>
      </c>
      <c r="K172">
        <v>1618</v>
      </c>
      <c r="L172">
        <v>1618</v>
      </c>
      <c r="M172">
        <v>1618</v>
      </c>
      <c r="N172">
        <v>1618</v>
      </c>
      <c r="O172">
        <v>1618</v>
      </c>
      <c r="Q172">
        <v>1237.8800000000001</v>
      </c>
      <c r="R172">
        <v>2267.69</v>
      </c>
      <c r="S172">
        <v>2403.3199999999997</v>
      </c>
      <c r="T172">
        <v>660.81000000000006</v>
      </c>
      <c r="U172">
        <v>1346.78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s="164">
        <v>40817</v>
      </c>
      <c r="AC172" s="164">
        <v>42155</v>
      </c>
      <c r="AD172" s="164">
        <v>42217</v>
      </c>
      <c r="AE172" s="34">
        <f>SUMPRODUCT(DB_STProjectsSOF[[#This Row],[Plan01]:[Plan12]],$D$4:$O$4)/valUnits2</f>
        <v>8.1876999999999995</v>
      </c>
      <c r="AF172" s="34">
        <f>SUMPRODUCT(DB_STProjectsSOF[[#This Row],[Act01]:[Act12]],$P$4:$AA$4)/valUnits2</f>
        <v>7.91648</v>
      </c>
      <c r="AG172" s="34">
        <f>DB_STProjectsSOF[[#This Row],[Actual]]-DB_STProjectsSOF[[#This Row],[Plan]]</f>
        <v>-0.27121999999999957</v>
      </c>
      <c r="AH172" s="34">
        <f>IF(DB_STProjectsSOF[[#This Row],[Plan]]&lt;&gt;0,DB_STProjectsSOF[[#This Row],[Actual]]/DB_STProjectsSOF[[#This Row],[Plan]],1.000011000011)</f>
        <v>0.96687470229734851</v>
      </c>
      <c r="AI172" s="34">
        <f>SUM(DB_STProjectsSOF[[#This Row],[Plan01]:[Plan12]])/valUnits2</f>
        <v>17.895699999999998</v>
      </c>
      <c r="AJ172" s="34">
        <f>SUMPRODUCT(DB_STProjectsSOF[[#This Row],[Act01]:[Act12]],$P$3:$AA$3)/valUnits2</f>
        <v>7.91648</v>
      </c>
      <c r="AK172" s="34">
        <f>IF(DB_STProjectsSOF[[#This Row],[FY Plan]]&lt;&gt;0,DB_STProjectsSOF[[#This Row],[FY Actuals]]/DB_STProjectsSOF[[#This Row],[FY Plan]],1.000011000011)</f>
        <v>0.44236771961979698</v>
      </c>
    </row>
    <row r="173" spans="1:37" hidden="1" x14ac:dyDescent="0.2">
      <c r="A173">
        <f>SUBTOTAL(3,$B$6:B173)</f>
        <v>0</v>
      </c>
      <c r="B173" t="s">
        <v>980</v>
      </c>
      <c r="C173" t="s">
        <v>874</v>
      </c>
      <c r="D173">
        <v>0</v>
      </c>
      <c r="E173">
        <v>391.93099999999998</v>
      </c>
      <c r="F173">
        <v>472.47300000000001</v>
      </c>
      <c r="G173">
        <v>1175.4649999999999</v>
      </c>
      <c r="H173">
        <v>544.17600000000004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400.15</v>
      </c>
      <c r="R173">
        <v>476.75</v>
      </c>
      <c r="S173">
        <v>1181.92</v>
      </c>
      <c r="T173">
        <v>537.57999999999993</v>
      </c>
      <c r="U173">
        <v>633.33999999999992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s="164">
        <v>40879</v>
      </c>
      <c r="AC173" s="164">
        <v>43071</v>
      </c>
      <c r="AD173" s="164">
        <v>43161</v>
      </c>
      <c r="AE173" s="34">
        <f>SUMPRODUCT(DB_STProjectsSOF[[#This Row],[Plan01]:[Plan12]],$D$4:$O$4)/valUnits2</f>
        <v>2.5840450000000001</v>
      </c>
      <c r="AF173" s="34">
        <f>SUMPRODUCT(DB_STProjectsSOF[[#This Row],[Act01]:[Act12]],$P$4:$AA$4)/valUnits2</f>
        <v>3.2297399999999996</v>
      </c>
      <c r="AG173" s="34">
        <f>DB_STProjectsSOF[[#This Row],[Actual]]-DB_STProjectsSOF[[#This Row],[Plan]]</f>
        <v>0.64569499999999946</v>
      </c>
      <c r="AH173" s="34">
        <f>IF(DB_STProjectsSOF[[#This Row],[Plan]]&lt;&gt;0,DB_STProjectsSOF[[#This Row],[Actual]]/DB_STProjectsSOF[[#This Row],[Plan]],1.000011000011)</f>
        <v>1.2498776143604309</v>
      </c>
      <c r="AI173" s="34">
        <f>SUM(DB_STProjectsSOF[[#This Row],[Plan01]:[Plan12]])/valUnits2</f>
        <v>2.5840450000000001</v>
      </c>
      <c r="AJ173" s="34">
        <f>SUMPRODUCT(DB_STProjectsSOF[[#This Row],[Act01]:[Act12]],$P$3:$AA$3)/valUnits2</f>
        <v>3.2297399999999996</v>
      </c>
      <c r="AK173" s="34">
        <f>IF(DB_STProjectsSOF[[#This Row],[FY Plan]]&lt;&gt;0,DB_STProjectsSOF[[#This Row],[FY Actuals]]/DB_STProjectsSOF[[#This Row],[FY Plan]],1.000011000011)</f>
        <v>1.2498776143604309</v>
      </c>
    </row>
    <row r="174" spans="1:37" hidden="1" x14ac:dyDescent="0.2">
      <c r="A174">
        <f>SUBTOTAL(3,$B$6:B174)</f>
        <v>0</v>
      </c>
      <c r="B174" t="s">
        <v>980</v>
      </c>
      <c r="C174" t="s">
        <v>875</v>
      </c>
      <c r="F174">
        <v>0</v>
      </c>
      <c r="G174">
        <v>602.72</v>
      </c>
      <c r="H174">
        <v>389.88799999999998</v>
      </c>
      <c r="I174">
        <v>241.98700000000002</v>
      </c>
      <c r="J174">
        <v>241.98700000000002</v>
      </c>
      <c r="K174">
        <v>241.98700000000002</v>
      </c>
      <c r="L174">
        <v>241.98700000000002</v>
      </c>
      <c r="M174">
        <v>241.98700000000002</v>
      </c>
      <c r="N174">
        <v>241.98700000000002</v>
      </c>
      <c r="O174">
        <v>241.98700000000002</v>
      </c>
      <c r="R174">
        <v>0</v>
      </c>
      <c r="S174">
        <v>601.67999999999995</v>
      </c>
      <c r="T174">
        <v>394.83</v>
      </c>
      <c r="U174">
        <v>430.17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s="164">
        <v>41275</v>
      </c>
      <c r="AC174" s="164">
        <v>41639</v>
      </c>
      <c r="AD174" s="164">
        <v>41649</v>
      </c>
      <c r="AE174" s="34">
        <f>SUMPRODUCT(DB_STProjectsSOF[[#This Row],[Plan01]:[Plan12]],$D$4:$O$4)/valUnits2</f>
        <v>1.2345950000000001</v>
      </c>
      <c r="AF174" s="34">
        <f>SUMPRODUCT(DB_STProjectsSOF[[#This Row],[Act01]:[Act12]],$P$4:$AA$4)/valUnits2</f>
        <v>1.4266800000000002</v>
      </c>
      <c r="AG174" s="34">
        <f>DB_STProjectsSOF[[#This Row],[Actual]]-DB_STProjectsSOF[[#This Row],[Plan]]</f>
        <v>0.19208500000000006</v>
      </c>
      <c r="AH174" s="34">
        <f>IF(DB_STProjectsSOF[[#This Row],[Plan]]&lt;&gt;0,DB_STProjectsSOF[[#This Row],[Actual]]/DB_STProjectsSOF[[#This Row],[Plan]],1.000011000011)</f>
        <v>1.1555854348997039</v>
      </c>
      <c r="AI174" s="34">
        <f>SUM(DB_STProjectsSOF[[#This Row],[Plan01]:[Plan12]])/valUnits2</f>
        <v>2.6865170000000003</v>
      </c>
      <c r="AJ174" s="34">
        <f>SUMPRODUCT(DB_STProjectsSOF[[#This Row],[Act01]:[Act12]],$P$3:$AA$3)/valUnits2</f>
        <v>1.4266800000000002</v>
      </c>
      <c r="AK174" s="34">
        <f>IF(DB_STProjectsSOF[[#This Row],[FY Plan]]&lt;&gt;0,DB_STProjectsSOF[[#This Row],[FY Actuals]]/DB_STProjectsSOF[[#This Row],[FY Plan]],1.000011000011)</f>
        <v>0.53105191591938561</v>
      </c>
    </row>
    <row r="175" spans="1:37" hidden="1" x14ac:dyDescent="0.2">
      <c r="A175">
        <f>SUBTOTAL(3,$B$6:B175)</f>
        <v>0</v>
      </c>
      <c r="B175" t="s">
        <v>980</v>
      </c>
      <c r="C175" t="s">
        <v>876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AB175" s="164">
        <v>40817</v>
      </c>
      <c r="AC175" s="164">
        <v>41820</v>
      </c>
      <c r="AD175" s="164">
        <v>41835</v>
      </c>
      <c r="AE175" s="34">
        <f>SUMPRODUCT(DB_STProjectsSOF[[#This Row],[Plan01]:[Plan12]],$D$4:$O$4)/valUnits2</f>
        <v>0</v>
      </c>
      <c r="AF175" s="34">
        <f>SUMPRODUCT(DB_STProjectsSOF[[#This Row],[Act01]:[Act12]],$P$4:$AA$4)/valUnits2</f>
        <v>0</v>
      </c>
      <c r="AG175" s="34">
        <f>DB_STProjectsSOF[[#This Row],[Actual]]-DB_STProjectsSOF[[#This Row],[Plan]]</f>
        <v>0</v>
      </c>
      <c r="AH175" s="34">
        <f>IF(DB_STProjectsSOF[[#This Row],[Plan]]&lt;&gt;0,DB_STProjectsSOF[[#This Row],[Actual]]/DB_STProjectsSOF[[#This Row],[Plan]],1.000011000011)</f>
        <v>1.0000110000110001</v>
      </c>
      <c r="AI175" s="34">
        <f>SUM(DB_STProjectsSOF[[#This Row],[Plan01]:[Plan12]])/valUnits2</f>
        <v>0</v>
      </c>
      <c r="AJ175" s="34">
        <f>SUMPRODUCT(DB_STProjectsSOF[[#This Row],[Act01]:[Act12]],$P$3:$AA$3)/valUnits2</f>
        <v>0</v>
      </c>
      <c r="AK175" s="34">
        <f>IF(DB_STProjectsSOF[[#This Row],[FY Plan]]&lt;&gt;0,DB_STProjectsSOF[[#This Row],[FY Actuals]]/DB_STProjectsSOF[[#This Row],[FY Plan]],1.000011000011)</f>
        <v>1.0000110000110001</v>
      </c>
    </row>
    <row r="176" spans="1:37" hidden="1" x14ac:dyDescent="0.2">
      <c r="A176">
        <f>SUBTOTAL(3,$B$6:B176)</f>
        <v>0</v>
      </c>
      <c r="B176" t="s">
        <v>980</v>
      </c>
      <c r="C176" t="s">
        <v>877</v>
      </c>
      <c r="E176">
        <v>0</v>
      </c>
      <c r="F176">
        <v>0</v>
      </c>
      <c r="G176">
        <v>0</v>
      </c>
      <c r="H176">
        <v>0</v>
      </c>
      <c r="I176">
        <v>155.62299999999999</v>
      </c>
      <c r="J176">
        <v>155.62299999999999</v>
      </c>
      <c r="K176">
        <v>155.62299999999999</v>
      </c>
      <c r="L176">
        <v>155.62299999999999</v>
      </c>
      <c r="M176">
        <v>155.62299999999999</v>
      </c>
      <c r="N176">
        <v>155.62299999999999</v>
      </c>
      <c r="O176">
        <v>155.62299999999999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s="164">
        <v>40817</v>
      </c>
      <c r="AC176" s="164">
        <v>41639</v>
      </c>
      <c r="AD176" s="164">
        <v>41729</v>
      </c>
      <c r="AE176" s="34">
        <f>SUMPRODUCT(DB_STProjectsSOF[[#This Row],[Plan01]:[Plan12]],$D$4:$O$4)/valUnits2</f>
        <v>0.15562299999999998</v>
      </c>
      <c r="AF176" s="34">
        <f>SUMPRODUCT(DB_STProjectsSOF[[#This Row],[Act01]:[Act12]],$P$4:$AA$4)/valUnits2</f>
        <v>0</v>
      </c>
      <c r="AG176" s="34">
        <f>DB_STProjectsSOF[[#This Row],[Actual]]-DB_STProjectsSOF[[#This Row],[Plan]]</f>
        <v>-0.15562299999999998</v>
      </c>
      <c r="AH176" s="34">
        <f>IF(DB_STProjectsSOF[[#This Row],[Plan]]&lt;&gt;0,DB_STProjectsSOF[[#This Row],[Actual]]/DB_STProjectsSOF[[#This Row],[Plan]],1.000011000011)</f>
        <v>0</v>
      </c>
      <c r="AI176" s="34">
        <f>SUM(DB_STProjectsSOF[[#This Row],[Plan01]:[Plan12]])/valUnits2</f>
        <v>1.089361</v>
      </c>
      <c r="AJ176" s="34">
        <f>SUMPRODUCT(DB_STProjectsSOF[[#This Row],[Act01]:[Act12]],$P$3:$AA$3)/valUnits2</f>
        <v>0</v>
      </c>
      <c r="AK176" s="34">
        <f>IF(DB_STProjectsSOF[[#This Row],[FY Plan]]&lt;&gt;0,DB_STProjectsSOF[[#This Row],[FY Actuals]]/DB_STProjectsSOF[[#This Row],[FY Plan]],1.000011000011)</f>
        <v>0</v>
      </c>
    </row>
    <row r="177" spans="1:37" hidden="1" x14ac:dyDescent="0.2">
      <c r="A177">
        <f>SUBTOTAL(3,$B$6:B177)</f>
        <v>0</v>
      </c>
      <c r="B177" t="s">
        <v>980</v>
      </c>
      <c r="C177" t="s">
        <v>878</v>
      </c>
      <c r="D177">
        <v>0</v>
      </c>
      <c r="E177">
        <v>0</v>
      </c>
      <c r="F177">
        <v>140.63800000000001</v>
      </c>
      <c r="G177">
        <v>140.63800000000001</v>
      </c>
      <c r="H177">
        <v>140.63800000000001</v>
      </c>
      <c r="I177">
        <v>140.63800000000001</v>
      </c>
      <c r="J177">
        <v>140.63800000000001</v>
      </c>
      <c r="K177">
        <v>140.63800000000001</v>
      </c>
      <c r="L177">
        <v>140.63800000000001</v>
      </c>
      <c r="M177">
        <v>140.63800000000001</v>
      </c>
      <c r="N177">
        <v>140.63800000000001</v>
      </c>
      <c r="O177">
        <v>140.63800000000001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s="164">
        <v>40969</v>
      </c>
      <c r="AC177" s="164">
        <v>41333</v>
      </c>
      <c r="AD177" s="164">
        <v>41364</v>
      </c>
      <c r="AE177" s="34">
        <f>SUMPRODUCT(DB_STProjectsSOF[[#This Row],[Plan01]:[Plan12]],$D$4:$O$4)/valUnits2</f>
        <v>0.56255200000000005</v>
      </c>
      <c r="AF177" s="34">
        <f>SUMPRODUCT(DB_STProjectsSOF[[#This Row],[Act01]:[Act12]],$P$4:$AA$4)/valUnits2</f>
        <v>0</v>
      </c>
      <c r="AG177" s="34">
        <f>DB_STProjectsSOF[[#This Row],[Actual]]-DB_STProjectsSOF[[#This Row],[Plan]]</f>
        <v>-0.56255200000000005</v>
      </c>
      <c r="AH177" s="34">
        <f>IF(DB_STProjectsSOF[[#This Row],[Plan]]&lt;&gt;0,DB_STProjectsSOF[[#This Row],[Actual]]/DB_STProjectsSOF[[#This Row],[Plan]],1.000011000011)</f>
        <v>0</v>
      </c>
      <c r="AI177" s="34">
        <f>SUM(DB_STProjectsSOF[[#This Row],[Plan01]:[Plan12]])/valUnits2</f>
        <v>1.40638</v>
      </c>
      <c r="AJ177" s="34">
        <f>SUMPRODUCT(DB_STProjectsSOF[[#This Row],[Act01]:[Act12]],$P$3:$AA$3)/valUnits2</f>
        <v>0</v>
      </c>
      <c r="AK177" s="34">
        <f>IF(DB_STProjectsSOF[[#This Row],[FY Plan]]&lt;&gt;0,DB_STProjectsSOF[[#This Row],[FY Actuals]]/DB_STProjectsSOF[[#This Row],[FY Plan]],1.000011000011)</f>
        <v>0</v>
      </c>
    </row>
    <row r="178" spans="1:37" hidden="1" x14ac:dyDescent="0.2">
      <c r="A178">
        <f>SUBTOTAL(3,$B$6:B178)</f>
        <v>0</v>
      </c>
      <c r="B178" t="s">
        <v>980</v>
      </c>
      <c r="C178" t="s">
        <v>881</v>
      </c>
      <c r="G178">
        <v>0</v>
      </c>
      <c r="H178">
        <v>0</v>
      </c>
      <c r="I178">
        <v>68.117999999999995</v>
      </c>
      <c r="J178">
        <v>136.23599999999999</v>
      </c>
      <c r="K178">
        <v>68.117999999999995</v>
      </c>
      <c r="L178">
        <v>68.117999999999995</v>
      </c>
      <c r="M178">
        <v>68.117999999999995</v>
      </c>
      <c r="N178">
        <v>68.117999999999995</v>
      </c>
      <c r="O178">
        <v>136.23599999999999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s="164">
        <v>41275</v>
      </c>
      <c r="AC178" s="164">
        <v>41639</v>
      </c>
      <c r="AD178" s="164">
        <v>41685</v>
      </c>
      <c r="AE178" s="34">
        <f>SUMPRODUCT(DB_STProjectsSOF[[#This Row],[Plan01]:[Plan12]],$D$4:$O$4)/valUnits2</f>
        <v>6.8117999999999998E-2</v>
      </c>
      <c r="AF178" s="34">
        <f>SUMPRODUCT(DB_STProjectsSOF[[#This Row],[Act01]:[Act12]],$P$4:$AA$4)/valUnits2</f>
        <v>0</v>
      </c>
      <c r="AG178" s="34">
        <f>DB_STProjectsSOF[[#This Row],[Actual]]-DB_STProjectsSOF[[#This Row],[Plan]]</f>
        <v>-6.8117999999999998E-2</v>
      </c>
      <c r="AH178" s="34">
        <f>IF(DB_STProjectsSOF[[#This Row],[Plan]]&lt;&gt;0,DB_STProjectsSOF[[#This Row],[Actual]]/DB_STProjectsSOF[[#This Row],[Plan]],1.000011000011)</f>
        <v>0</v>
      </c>
      <c r="AI178" s="34">
        <f>SUM(DB_STProjectsSOF[[#This Row],[Plan01]:[Plan12]])/valUnits2</f>
        <v>0.61306199999999988</v>
      </c>
      <c r="AJ178" s="34">
        <f>SUMPRODUCT(DB_STProjectsSOF[[#This Row],[Act01]:[Act12]],$P$3:$AA$3)/valUnits2</f>
        <v>0</v>
      </c>
      <c r="AK178" s="34">
        <f>IF(DB_STProjectsSOF[[#This Row],[FY Plan]]&lt;&gt;0,DB_STProjectsSOF[[#This Row],[FY Actuals]]/DB_STProjectsSOF[[#This Row],[FY Plan]],1.000011000011)</f>
        <v>0</v>
      </c>
    </row>
    <row r="179" spans="1:37" hidden="1" x14ac:dyDescent="0.2">
      <c r="A179">
        <f>SUBTOTAL(3,$B$6:B179)</f>
        <v>0</v>
      </c>
      <c r="B179" t="s">
        <v>980</v>
      </c>
      <c r="C179" t="s">
        <v>882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164.34200000000001</v>
      </c>
      <c r="J179">
        <v>164.34200000000001</v>
      </c>
      <c r="K179">
        <v>164.34200000000001</v>
      </c>
      <c r="L179">
        <v>164.34200000000001</v>
      </c>
      <c r="M179">
        <v>164.34200000000001</v>
      </c>
      <c r="N179">
        <v>164.34200000000001</v>
      </c>
      <c r="O179">
        <v>164.34200000000001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s="164">
        <v>40817</v>
      </c>
      <c r="AC179" s="164">
        <v>41913</v>
      </c>
      <c r="AD179" s="164">
        <v>42005</v>
      </c>
      <c r="AE179" s="34">
        <f>SUMPRODUCT(DB_STProjectsSOF[[#This Row],[Plan01]:[Plan12]],$D$4:$O$4)/valUnits2</f>
        <v>0.16434200000000002</v>
      </c>
      <c r="AF179" s="34">
        <f>SUMPRODUCT(DB_STProjectsSOF[[#This Row],[Act01]:[Act12]],$P$4:$AA$4)/valUnits2</f>
        <v>0</v>
      </c>
      <c r="AG179" s="34">
        <f>DB_STProjectsSOF[[#This Row],[Actual]]-DB_STProjectsSOF[[#This Row],[Plan]]</f>
        <v>-0.16434200000000002</v>
      </c>
      <c r="AH179" s="34">
        <f>IF(DB_STProjectsSOF[[#This Row],[Plan]]&lt;&gt;0,DB_STProjectsSOF[[#This Row],[Actual]]/DB_STProjectsSOF[[#This Row],[Plan]],1.000011000011)</f>
        <v>0</v>
      </c>
      <c r="AI179" s="34">
        <f>SUM(DB_STProjectsSOF[[#This Row],[Plan01]:[Plan12]])/valUnits2</f>
        <v>1.1503939999999999</v>
      </c>
      <c r="AJ179" s="34">
        <f>SUMPRODUCT(DB_STProjectsSOF[[#This Row],[Act01]:[Act12]],$P$3:$AA$3)/valUnits2</f>
        <v>0</v>
      </c>
      <c r="AK179" s="34">
        <f>IF(DB_STProjectsSOF[[#This Row],[FY Plan]]&lt;&gt;0,DB_STProjectsSOF[[#This Row],[FY Actuals]]/DB_STProjectsSOF[[#This Row],[FY Plan]],1.000011000011)</f>
        <v>0</v>
      </c>
    </row>
    <row r="180" spans="1:37" hidden="1" x14ac:dyDescent="0.2">
      <c r="A180">
        <f>SUBTOTAL(3,$B$6:B180)</f>
        <v>0</v>
      </c>
      <c r="B180" t="s">
        <v>980</v>
      </c>
      <c r="C180" t="s">
        <v>883</v>
      </c>
      <c r="D180">
        <v>0</v>
      </c>
      <c r="E180">
        <v>406.47899999999998</v>
      </c>
      <c r="F180">
        <v>0</v>
      </c>
      <c r="G180">
        <v>641.94499999999994</v>
      </c>
      <c r="H180">
        <v>595.91499999999996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415.53000000000003</v>
      </c>
      <c r="R180">
        <v>0</v>
      </c>
      <c r="S180">
        <v>634.97</v>
      </c>
      <c r="T180">
        <v>601.46</v>
      </c>
      <c r="U180">
        <v>445.99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s="164">
        <v>40940</v>
      </c>
      <c r="AC180" s="164">
        <v>41639</v>
      </c>
      <c r="AD180" s="164">
        <v>41698</v>
      </c>
      <c r="AE180" s="34">
        <f>SUMPRODUCT(DB_STProjectsSOF[[#This Row],[Plan01]:[Plan12]],$D$4:$O$4)/valUnits2</f>
        <v>1.644339</v>
      </c>
      <c r="AF180" s="34">
        <f>SUMPRODUCT(DB_STProjectsSOF[[#This Row],[Act01]:[Act12]],$P$4:$AA$4)/valUnits2</f>
        <v>2.09795</v>
      </c>
      <c r="AG180" s="34">
        <f>DB_STProjectsSOF[[#This Row],[Actual]]-DB_STProjectsSOF[[#This Row],[Plan]]</f>
        <v>0.45361099999999999</v>
      </c>
      <c r="AH180" s="34">
        <f>IF(DB_STProjectsSOF[[#This Row],[Plan]]&lt;&gt;0,DB_STProjectsSOF[[#This Row],[Actual]]/DB_STProjectsSOF[[#This Row],[Plan]],1.000011000011)</f>
        <v>1.2758622157596458</v>
      </c>
      <c r="AI180" s="34">
        <f>SUM(DB_STProjectsSOF[[#This Row],[Plan01]:[Plan12]])/valUnits2</f>
        <v>1.644339</v>
      </c>
      <c r="AJ180" s="34">
        <f>SUMPRODUCT(DB_STProjectsSOF[[#This Row],[Act01]:[Act12]],$P$3:$AA$3)/valUnits2</f>
        <v>2.09795</v>
      </c>
      <c r="AK180" s="34">
        <f>IF(DB_STProjectsSOF[[#This Row],[FY Plan]]&lt;&gt;0,DB_STProjectsSOF[[#This Row],[FY Actuals]]/DB_STProjectsSOF[[#This Row],[FY Plan]],1.000011000011)</f>
        <v>1.2758622157596458</v>
      </c>
    </row>
    <row r="181" spans="1:37" hidden="1" x14ac:dyDescent="0.2">
      <c r="A181">
        <f>SUBTOTAL(3,$B$6:B181)</f>
        <v>0</v>
      </c>
      <c r="B181" t="s">
        <v>980</v>
      </c>
      <c r="C181" t="s">
        <v>885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379.43700000000001</v>
      </c>
      <c r="J181">
        <v>379.43700000000001</v>
      </c>
      <c r="K181">
        <v>379.43700000000001</v>
      </c>
      <c r="L181">
        <v>379.43700000000001</v>
      </c>
      <c r="M181">
        <v>379.43700000000001</v>
      </c>
      <c r="N181">
        <v>379.43700000000001</v>
      </c>
      <c r="O181">
        <v>379.43700000000001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s="164">
        <v>40817</v>
      </c>
      <c r="AC181" s="164">
        <v>41639</v>
      </c>
      <c r="AD181" s="164">
        <v>41820</v>
      </c>
      <c r="AE181" s="34">
        <f>SUMPRODUCT(DB_STProjectsSOF[[#This Row],[Plan01]:[Plan12]],$D$4:$O$4)/valUnits2</f>
        <v>0.37943700000000002</v>
      </c>
      <c r="AF181" s="34">
        <f>SUMPRODUCT(DB_STProjectsSOF[[#This Row],[Act01]:[Act12]],$P$4:$AA$4)/valUnits2</f>
        <v>0</v>
      </c>
      <c r="AG181" s="34">
        <f>DB_STProjectsSOF[[#This Row],[Actual]]-DB_STProjectsSOF[[#This Row],[Plan]]</f>
        <v>-0.37943700000000002</v>
      </c>
      <c r="AH181" s="34">
        <f>IF(DB_STProjectsSOF[[#This Row],[Plan]]&lt;&gt;0,DB_STProjectsSOF[[#This Row],[Actual]]/DB_STProjectsSOF[[#This Row],[Plan]],1.000011000011)</f>
        <v>0</v>
      </c>
      <c r="AI181" s="34">
        <f>SUM(DB_STProjectsSOF[[#This Row],[Plan01]:[Plan12]])/valUnits2</f>
        <v>2.6560589999999999</v>
      </c>
      <c r="AJ181" s="34">
        <f>SUMPRODUCT(DB_STProjectsSOF[[#This Row],[Act01]:[Act12]],$P$3:$AA$3)/valUnits2</f>
        <v>0</v>
      </c>
      <c r="AK181" s="34">
        <f>IF(DB_STProjectsSOF[[#This Row],[FY Plan]]&lt;&gt;0,DB_STProjectsSOF[[#This Row],[FY Actuals]]/DB_STProjectsSOF[[#This Row],[FY Plan]],1.000011000011)</f>
        <v>0</v>
      </c>
    </row>
    <row r="182" spans="1:37" hidden="1" x14ac:dyDescent="0.2">
      <c r="A182">
        <f>SUBTOTAL(3,$B$6:B182)</f>
        <v>0</v>
      </c>
      <c r="B182" t="s">
        <v>980</v>
      </c>
      <c r="C182" t="s">
        <v>361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180.71299999999999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s="164">
        <v>41091</v>
      </c>
      <c r="AC182" s="164">
        <v>41455</v>
      </c>
      <c r="AD182" s="164">
        <v>41486</v>
      </c>
      <c r="AE182" s="34">
        <f>SUMPRODUCT(DB_STProjectsSOF[[#This Row],[Plan01]:[Plan12]],$D$4:$O$4)/valUnits2</f>
        <v>0.18071299999999998</v>
      </c>
      <c r="AF182" s="34">
        <f>SUMPRODUCT(DB_STProjectsSOF[[#This Row],[Act01]:[Act12]],$P$4:$AA$4)/valUnits2</f>
        <v>0</v>
      </c>
      <c r="AG182" s="34">
        <f>DB_STProjectsSOF[[#This Row],[Actual]]-DB_STProjectsSOF[[#This Row],[Plan]]</f>
        <v>-0.18071299999999998</v>
      </c>
      <c r="AH182" s="34">
        <f>IF(DB_STProjectsSOF[[#This Row],[Plan]]&lt;&gt;0,DB_STProjectsSOF[[#This Row],[Actual]]/DB_STProjectsSOF[[#This Row],[Plan]],1.000011000011)</f>
        <v>0</v>
      </c>
      <c r="AI182" s="34">
        <f>SUM(DB_STProjectsSOF[[#This Row],[Plan01]:[Plan12]])/valUnits2</f>
        <v>0.18071299999999998</v>
      </c>
      <c r="AJ182" s="34">
        <f>SUMPRODUCT(DB_STProjectsSOF[[#This Row],[Act01]:[Act12]],$P$3:$AA$3)/valUnits2</f>
        <v>0</v>
      </c>
      <c r="AK182" s="34">
        <f>IF(DB_STProjectsSOF[[#This Row],[FY Plan]]&lt;&gt;0,DB_STProjectsSOF[[#This Row],[FY Actuals]]/DB_STProjectsSOF[[#This Row],[FY Plan]],1.000011000011)</f>
        <v>0</v>
      </c>
    </row>
    <row r="183" spans="1:37" hidden="1" x14ac:dyDescent="0.2">
      <c r="A183">
        <f>SUBTOTAL(3,$B$6:B183)</f>
        <v>0</v>
      </c>
      <c r="B183" t="s">
        <v>980</v>
      </c>
      <c r="C183" t="s">
        <v>358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379.21199999999999</v>
      </c>
      <c r="J183">
        <v>379.21199999999999</v>
      </c>
      <c r="K183">
        <v>379.21199999999999</v>
      </c>
      <c r="L183">
        <v>379.21199999999999</v>
      </c>
      <c r="M183">
        <v>379.21199999999999</v>
      </c>
      <c r="N183">
        <v>379.21199999999999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B183" s="164">
        <v>41091</v>
      </c>
      <c r="AC183" s="164">
        <v>41455</v>
      </c>
      <c r="AD183" s="164">
        <v>41517</v>
      </c>
      <c r="AE183" s="34">
        <f>SUMPRODUCT(DB_STProjectsSOF[[#This Row],[Plan01]:[Plan12]],$D$4:$O$4)/valUnits2</f>
        <v>0.37921199999999999</v>
      </c>
      <c r="AF183" s="34">
        <f>SUMPRODUCT(DB_STProjectsSOF[[#This Row],[Act01]:[Act12]],$P$4:$AA$4)/valUnits2</f>
        <v>0</v>
      </c>
      <c r="AG183" s="34">
        <f>DB_STProjectsSOF[[#This Row],[Actual]]-DB_STProjectsSOF[[#This Row],[Plan]]</f>
        <v>-0.37921199999999999</v>
      </c>
      <c r="AH183" s="34">
        <f>IF(DB_STProjectsSOF[[#This Row],[Plan]]&lt;&gt;0,DB_STProjectsSOF[[#This Row],[Actual]]/DB_STProjectsSOF[[#This Row],[Plan]],1.000011000011)</f>
        <v>0</v>
      </c>
      <c r="AI183" s="34">
        <f>SUM(DB_STProjectsSOF[[#This Row],[Plan01]:[Plan12]])/valUnits2</f>
        <v>2.2752719999999997</v>
      </c>
      <c r="AJ183" s="34">
        <f>SUMPRODUCT(DB_STProjectsSOF[[#This Row],[Act01]:[Act12]],$P$3:$AA$3)/valUnits2</f>
        <v>0</v>
      </c>
      <c r="AK183" s="34">
        <f>IF(DB_STProjectsSOF[[#This Row],[FY Plan]]&lt;&gt;0,DB_STProjectsSOF[[#This Row],[FY Actuals]]/DB_STProjectsSOF[[#This Row],[FY Plan]],1.000011000011)</f>
        <v>0</v>
      </c>
    </row>
    <row r="184" spans="1:37" hidden="1" x14ac:dyDescent="0.2">
      <c r="A184">
        <f>SUBTOTAL(3,$B$6:B184)</f>
        <v>0</v>
      </c>
      <c r="B184" t="s">
        <v>980</v>
      </c>
      <c r="C184" t="s">
        <v>890</v>
      </c>
      <c r="I184">
        <v>0</v>
      </c>
      <c r="U184">
        <v>305.52999999999997</v>
      </c>
      <c r="AB184" s="164">
        <v>40817</v>
      </c>
      <c r="AC184" s="164">
        <v>41639</v>
      </c>
      <c r="AD184" s="164">
        <v>41639</v>
      </c>
      <c r="AE184" s="34">
        <f>SUMPRODUCT(DB_STProjectsSOF[[#This Row],[Plan01]:[Plan12]],$D$4:$O$4)/valUnits2</f>
        <v>0</v>
      </c>
      <c r="AF184" s="34">
        <f>SUMPRODUCT(DB_STProjectsSOF[[#This Row],[Act01]:[Act12]],$P$4:$AA$4)/valUnits2</f>
        <v>0.30552999999999997</v>
      </c>
      <c r="AG184" s="34">
        <f>DB_STProjectsSOF[[#This Row],[Actual]]-DB_STProjectsSOF[[#This Row],[Plan]]</f>
        <v>0.30552999999999997</v>
      </c>
      <c r="AH184" s="34">
        <f>IF(DB_STProjectsSOF[[#This Row],[Plan]]&lt;&gt;0,DB_STProjectsSOF[[#This Row],[Actual]]/DB_STProjectsSOF[[#This Row],[Plan]],1.000011000011)</f>
        <v>1.0000110000110001</v>
      </c>
      <c r="AI184" s="34">
        <f>SUM(DB_STProjectsSOF[[#This Row],[Plan01]:[Plan12]])/valUnits2</f>
        <v>0</v>
      </c>
      <c r="AJ184" s="34">
        <f>SUMPRODUCT(DB_STProjectsSOF[[#This Row],[Act01]:[Act12]],$P$3:$AA$3)/valUnits2</f>
        <v>0.30552999999999997</v>
      </c>
      <c r="AK184" s="34">
        <f>IF(DB_STProjectsSOF[[#This Row],[FY Plan]]&lt;&gt;0,DB_STProjectsSOF[[#This Row],[FY Actuals]]/DB_STProjectsSOF[[#This Row],[FY Plan]],1.000011000011)</f>
        <v>1.0000110000110001</v>
      </c>
    </row>
    <row r="185" spans="1:37" hidden="1" x14ac:dyDescent="0.2">
      <c r="A185">
        <f>SUBTOTAL(3,$B$6:B185)</f>
        <v>0</v>
      </c>
      <c r="B185" t="s">
        <v>980</v>
      </c>
      <c r="C185" t="s">
        <v>891</v>
      </c>
      <c r="G185">
        <v>0</v>
      </c>
      <c r="H185">
        <v>0</v>
      </c>
      <c r="I185">
        <v>118.761</v>
      </c>
      <c r="J185">
        <v>118.761</v>
      </c>
      <c r="K185">
        <v>118.761</v>
      </c>
      <c r="L185">
        <v>118.761</v>
      </c>
      <c r="M185">
        <v>118.761</v>
      </c>
      <c r="N185">
        <v>118.761</v>
      </c>
      <c r="O185">
        <v>118.761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s="164">
        <v>41214</v>
      </c>
      <c r="AC185" s="164">
        <v>42308</v>
      </c>
      <c r="AD185" s="164">
        <v>42389</v>
      </c>
      <c r="AE185" s="34">
        <f>SUMPRODUCT(DB_STProjectsSOF[[#This Row],[Plan01]:[Plan12]],$D$4:$O$4)/valUnits2</f>
        <v>0.11876099999999999</v>
      </c>
      <c r="AF185" s="34">
        <f>SUMPRODUCT(DB_STProjectsSOF[[#This Row],[Act01]:[Act12]],$P$4:$AA$4)/valUnits2</f>
        <v>0</v>
      </c>
      <c r="AG185" s="34">
        <f>DB_STProjectsSOF[[#This Row],[Actual]]-DB_STProjectsSOF[[#This Row],[Plan]]</f>
        <v>-0.11876099999999999</v>
      </c>
      <c r="AH185" s="34">
        <f>IF(DB_STProjectsSOF[[#This Row],[Plan]]&lt;&gt;0,DB_STProjectsSOF[[#This Row],[Actual]]/DB_STProjectsSOF[[#This Row],[Plan]],1.000011000011)</f>
        <v>0</v>
      </c>
      <c r="AI185" s="34">
        <f>SUM(DB_STProjectsSOF[[#This Row],[Plan01]:[Plan12]])/valUnits2</f>
        <v>0.83132699999999993</v>
      </c>
      <c r="AJ185" s="34">
        <f>SUMPRODUCT(DB_STProjectsSOF[[#This Row],[Act01]:[Act12]],$P$3:$AA$3)/valUnits2</f>
        <v>0</v>
      </c>
      <c r="AK185" s="34">
        <f>IF(DB_STProjectsSOF[[#This Row],[FY Plan]]&lt;&gt;0,DB_STProjectsSOF[[#This Row],[FY Actuals]]/DB_STProjectsSOF[[#This Row],[FY Plan]],1.000011000011)</f>
        <v>0</v>
      </c>
    </row>
    <row r="186" spans="1:37" hidden="1" x14ac:dyDescent="0.2">
      <c r="A186">
        <f>SUBTOTAL(3,$B$6:B186)</f>
        <v>0</v>
      </c>
      <c r="B186" t="s">
        <v>980</v>
      </c>
      <c r="C186" t="s">
        <v>368</v>
      </c>
      <c r="D186">
        <v>132.21</v>
      </c>
      <c r="E186">
        <v>0</v>
      </c>
      <c r="G186">
        <v>266.02999999999997</v>
      </c>
      <c r="H186">
        <v>3455.9780000000001</v>
      </c>
      <c r="I186">
        <v>2468.6880000000001</v>
      </c>
      <c r="J186">
        <v>2468.6880000000001</v>
      </c>
      <c r="K186">
        <v>2468.6880000000001</v>
      </c>
      <c r="L186">
        <v>2468.6880000000001</v>
      </c>
      <c r="M186">
        <v>2468.6880000000001</v>
      </c>
      <c r="N186">
        <v>2468.6880000000001</v>
      </c>
      <c r="P186">
        <v>132.21</v>
      </c>
      <c r="Q186">
        <v>0</v>
      </c>
      <c r="S186">
        <v>266.02999999999997</v>
      </c>
      <c r="T186">
        <v>987.29</v>
      </c>
      <c r="U186">
        <v>1175.7</v>
      </c>
      <c r="V186">
        <v>0</v>
      </c>
      <c r="W186">
        <v>0</v>
      </c>
      <c r="X186">
        <v>0</v>
      </c>
      <c r="Y186">
        <v>0</v>
      </c>
      <c r="Z186">
        <v>0</v>
      </c>
      <c r="AB186" s="164">
        <v>41000</v>
      </c>
      <c r="AC186" s="164">
        <v>41820</v>
      </c>
      <c r="AD186" s="164">
        <v>41517</v>
      </c>
      <c r="AE186" s="34">
        <f>SUMPRODUCT(DB_STProjectsSOF[[#This Row],[Plan01]:[Plan12]],$D$4:$O$4)/valUnits2</f>
        <v>6.3229059999999997</v>
      </c>
      <c r="AF186" s="34">
        <f>SUMPRODUCT(DB_STProjectsSOF[[#This Row],[Act01]:[Act12]],$P$4:$AA$4)/valUnits2</f>
        <v>2.5612300000000001</v>
      </c>
      <c r="AG186" s="34">
        <f>DB_STProjectsSOF[[#This Row],[Actual]]-DB_STProjectsSOF[[#This Row],[Plan]]</f>
        <v>-3.7616759999999996</v>
      </c>
      <c r="AH186" s="34">
        <f>IF(DB_STProjectsSOF[[#This Row],[Plan]]&lt;&gt;0,DB_STProjectsSOF[[#This Row],[Actual]]/DB_STProjectsSOF[[#This Row],[Plan]],1.000011000011)</f>
        <v>0.40507165534328682</v>
      </c>
      <c r="AI186" s="34">
        <f>SUM(DB_STProjectsSOF[[#This Row],[Plan01]:[Plan12]])/valUnits2</f>
        <v>18.666346000000001</v>
      </c>
      <c r="AJ186" s="34">
        <f>SUMPRODUCT(DB_STProjectsSOF[[#This Row],[Act01]:[Act12]],$P$3:$AA$3)/valUnits2</f>
        <v>2.5612300000000001</v>
      </c>
      <c r="AK186" s="34">
        <f>IF(DB_STProjectsSOF[[#This Row],[FY Plan]]&lt;&gt;0,DB_STProjectsSOF[[#This Row],[FY Actuals]]/DB_STProjectsSOF[[#This Row],[FY Plan]],1.000011000011)</f>
        <v>0.13721110709080395</v>
      </c>
    </row>
    <row r="187" spans="1:37" hidden="1" x14ac:dyDescent="0.2">
      <c r="A187">
        <f>SUBTOTAL(3,$B$6:B187)</f>
        <v>0</v>
      </c>
      <c r="B187" t="s">
        <v>980</v>
      </c>
      <c r="C187" t="s">
        <v>896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535.10300000000007</v>
      </c>
      <c r="J187">
        <v>535.10300000000007</v>
      </c>
      <c r="K187">
        <v>535.10300000000007</v>
      </c>
      <c r="L187">
        <v>535.10300000000007</v>
      </c>
      <c r="M187">
        <v>535.10300000000007</v>
      </c>
      <c r="N187">
        <v>535.10300000000007</v>
      </c>
      <c r="O187">
        <v>535.10300000000007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s="164">
        <v>40817</v>
      </c>
      <c r="AC187" s="164">
        <v>41639</v>
      </c>
      <c r="AD187" s="164">
        <v>41820</v>
      </c>
      <c r="AE187" s="34">
        <f>SUMPRODUCT(DB_STProjectsSOF[[#This Row],[Plan01]:[Plan12]],$D$4:$O$4)/valUnits2</f>
        <v>0.53510300000000011</v>
      </c>
      <c r="AF187" s="34">
        <f>SUMPRODUCT(DB_STProjectsSOF[[#This Row],[Act01]:[Act12]],$P$4:$AA$4)/valUnits2</f>
        <v>0</v>
      </c>
      <c r="AG187" s="34">
        <f>DB_STProjectsSOF[[#This Row],[Actual]]-DB_STProjectsSOF[[#This Row],[Plan]]</f>
        <v>-0.53510300000000011</v>
      </c>
      <c r="AH187" s="34">
        <f>IF(DB_STProjectsSOF[[#This Row],[Plan]]&lt;&gt;0,DB_STProjectsSOF[[#This Row],[Actual]]/DB_STProjectsSOF[[#This Row],[Plan]],1.000011000011)</f>
        <v>0</v>
      </c>
      <c r="AI187" s="34">
        <f>SUM(DB_STProjectsSOF[[#This Row],[Plan01]:[Plan12]])/valUnits2</f>
        <v>3.7457210000000005</v>
      </c>
      <c r="AJ187" s="34">
        <f>SUMPRODUCT(DB_STProjectsSOF[[#This Row],[Act01]:[Act12]],$P$3:$AA$3)/valUnits2</f>
        <v>0</v>
      </c>
      <c r="AK187" s="34">
        <f>IF(DB_STProjectsSOF[[#This Row],[FY Plan]]&lt;&gt;0,DB_STProjectsSOF[[#This Row],[FY Actuals]]/DB_STProjectsSOF[[#This Row],[FY Plan]],1.000011000011)</f>
        <v>0</v>
      </c>
    </row>
    <row r="188" spans="1:37" hidden="1" x14ac:dyDescent="0.2">
      <c r="A188">
        <f>SUBTOTAL(3,$B$6:B188)</f>
        <v>0</v>
      </c>
      <c r="B188" t="s">
        <v>980</v>
      </c>
      <c r="C188" t="s">
        <v>903</v>
      </c>
      <c r="G188">
        <v>0</v>
      </c>
      <c r="H188">
        <v>0</v>
      </c>
      <c r="I188">
        <v>135.37700000000001</v>
      </c>
      <c r="J188">
        <v>135.37700000000001</v>
      </c>
      <c r="K188">
        <v>135.37700000000001</v>
      </c>
      <c r="L188">
        <v>135.37700000000001</v>
      </c>
      <c r="M188">
        <v>135.37700000000001</v>
      </c>
      <c r="N188">
        <v>135.37700000000001</v>
      </c>
      <c r="O188">
        <v>135.37700000000001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s="164">
        <v>41275</v>
      </c>
      <c r="AC188" s="164">
        <v>41639</v>
      </c>
      <c r="AD188" s="164">
        <v>41670</v>
      </c>
      <c r="AE188" s="34">
        <f>SUMPRODUCT(DB_STProjectsSOF[[#This Row],[Plan01]:[Plan12]],$D$4:$O$4)/valUnits2</f>
        <v>0.135377</v>
      </c>
      <c r="AF188" s="34">
        <f>SUMPRODUCT(DB_STProjectsSOF[[#This Row],[Act01]:[Act12]],$P$4:$AA$4)/valUnits2</f>
        <v>0</v>
      </c>
      <c r="AG188" s="34">
        <f>DB_STProjectsSOF[[#This Row],[Actual]]-DB_STProjectsSOF[[#This Row],[Plan]]</f>
        <v>-0.135377</v>
      </c>
      <c r="AH188" s="34">
        <f>IF(DB_STProjectsSOF[[#This Row],[Plan]]&lt;&gt;0,DB_STProjectsSOF[[#This Row],[Actual]]/DB_STProjectsSOF[[#This Row],[Plan]],1.000011000011)</f>
        <v>0</v>
      </c>
      <c r="AI188" s="34">
        <f>SUM(DB_STProjectsSOF[[#This Row],[Plan01]:[Plan12]])/valUnits2</f>
        <v>0.9476389999999999</v>
      </c>
      <c r="AJ188" s="34">
        <f>SUMPRODUCT(DB_STProjectsSOF[[#This Row],[Act01]:[Act12]],$P$3:$AA$3)/valUnits2</f>
        <v>0</v>
      </c>
      <c r="AK188" s="34">
        <f>IF(DB_STProjectsSOF[[#This Row],[FY Plan]]&lt;&gt;0,DB_STProjectsSOF[[#This Row],[FY Actuals]]/DB_STProjectsSOF[[#This Row],[FY Plan]],1.000011000011)</f>
        <v>0</v>
      </c>
    </row>
    <row r="189" spans="1:37" hidden="1" x14ac:dyDescent="0.2">
      <c r="A189">
        <f>SUBTOTAL(3,$B$6:B189)</f>
        <v>0</v>
      </c>
      <c r="B189" t="s">
        <v>980</v>
      </c>
      <c r="C189" t="s">
        <v>365</v>
      </c>
      <c r="G189">
        <v>0</v>
      </c>
      <c r="H189">
        <v>0</v>
      </c>
      <c r="I189">
        <v>52.024999999999999</v>
      </c>
      <c r="J189">
        <v>52.024999999999999</v>
      </c>
      <c r="K189">
        <v>52.024999999999999</v>
      </c>
      <c r="S189">
        <v>0</v>
      </c>
      <c r="T189">
        <v>0</v>
      </c>
      <c r="U189">
        <v>0</v>
      </c>
      <c r="V189">
        <v>0</v>
      </c>
      <c r="W189">
        <v>0</v>
      </c>
      <c r="AB189" s="164">
        <v>40878</v>
      </c>
      <c r="AC189" s="164">
        <v>41517</v>
      </c>
      <c r="AD189" s="164">
        <v>41547</v>
      </c>
      <c r="AE189" s="34">
        <f>SUMPRODUCT(DB_STProjectsSOF[[#This Row],[Plan01]:[Plan12]],$D$4:$O$4)/valUnits2</f>
        <v>5.2025000000000002E-2</v>
      </c>
      <c r="AF189" s="34">
        <f>SUMPRODUCT(DB_STProjectsSOF[[#This Row],[Act01]:[Act12]],$P$4:$AA$4)/valUnits2</f>
        <v>0</v>
      </c>
      <c r="AG189" s="34">
        <f>DB_STProjectsSOF[[#This Row],[Actual]]-DB_STProjectsSOF[[#This Row],[Plan]]</f>
        <v>-5.2025000000000002E-2</v>
      </c>
      <c r="AH189" s="34">
        <f>IF(DB_STProjectsSOF[[#This Row],[Plan]]&lt;&gt;0,DB_STProjectsSOF[[#This Row],[Actual]]/DB_STProjectsSOF[[#This Row],[Plan]],1.000011000011)</f>
        <v>0</v>
      </c>
      <c r="AI189" s="34">
        <f>SUM(DB_STProjectsSOF[[#This Row],[Plan01]:[Plan12]])/valUnits2</f>
        <v>0.15607499999999999</v>
      </c>
      <c r="AJ189" s="34">
        <f>SUMPRODUCT(DB_STProjectsSOF[[#This Row],[Act01]:[Act12]],$P$3:$AA$3)/valUnits2</f>
        <v>0</v>
      </c>
      <c r="AK189" s="34">
        <f>IF(DB_STProjectsSOF[[#This Row],[FY Plan]]&lt;&gt;0,DB_STProjectsSOF[[#This Row],[FY Actuals]]/DB_STProjectsSOF[[#This Row],[FY Plan]],1.000011000011)</f>
        <v>0</v>
      </c>
    </row>
    <row r="190" spans="1:37" hidden="1" x14ac:dyDescent="0.2">
      <c r="A190">
        <f>SUBTOTAL(3,$B$6:B190)</f>
        <v>0</v>
      </c>
      <c r="B190" t="s">
        <v>980</v>
      </c>
      <c r="C190" t="s">
        <v>904</v>
      </c>
      <c r="D190">
        <v>0</v>
      </c>
      <c r="E190">
        <v>120.20400000000001</v>
      </c>
      <c r="F190">
        <v>0.47399999999999998</v>
      </c>
      <c r="G190">
        <v>277.721</v>
      </c>
      <c r="H190">
        <v>0</v>
      </c>
      <c r="I190">
        <v>59.516999999999996</v>
      </c>
      <c r="J190">
        <v>59.516999999999996</v>
      </c>
      <c r="K190">
        <v>59.516999999999996</v>
      </c>
      <c r="L190">
        <v>59.516999999999996</v>
      </c>
      <c r="M190">
        <v>59.516999999999996</v>
      </c>
      <c r="N190">
        <v>59.516999999999996</v>
      </c>
      <c r="O190">
        <v>59.516999999999996</v>
      </c>
      <c r="P190">
        <v>0</v>
      </c>
      <c r="Q190">
        <v>120.17000000000002</v>
      </c>
      <c r="R190">
        <v>0.47</v>
      </c>
      <c r="S190">
        <v>276.78999999999996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s="164">
        <v>40817</v>
      </c>
      <c r="AC190" s="164">
        <v>41639</v>
      </c>
      <c r="AD190" s="164">
        <v>41698</v>
      </c>
      <c r="AE190" s="34">
        <f>SUMPRODUCT(DB_STProjectsSOF[[#This Row],[Plan01]:[Plan12]],$D$4:$O$4)/valUnits2</f>
        <v>0.45791599999999999</v>
      </c>
      <c r="AF190" s="34">
        <f>SUMPRODUCT(DB_STProjectsSOF[[#This Row],[Act01]:[Act12]],$P$4:$AA$4)/valUnits2</f>
        <v>0.39742999999999995</v>
      </c>
      <c r="AG190" s="34">
        <f>DB_STProjectsSOF[[#This Row],[Actual]]-DB_STProjectsSOF[[#This Row],[Plan]]</f>
        <v>-6.048600000000004E-2</v>
      </c>
      <c r="AH190" s="34">
        <f>IF(DB_STProjectsSOF[[#This Row],[Plan]]&lt;&gt;0,DB_STProjectsSOF[[#This Row],[Actual]]/DB_STProjectsSOF[[#This Row],[Plan]],1.000011000011)</f>
        <v>0.86791027175289781</v>
      </c>
      <c r="AI190" s="34">
        <f>SUM(DB_STProjectsSOF[[#This Row],[Plan01]:[Plan12]])/valUnits2</f>
        <v>0.81501800000000024</v>
      </c>
      <c r="AJ190" s="34">
        <f>SUMPRODUCT(DB_STProjectsSOF[[#This Row],[Act01]:[Act12]],$P$3:$AA$3)/valUnits2</f>
        <v>0.39742999999999995</v>
      </c>
      <c r="AK190" s="34">
        <f>IF(DB_STProjectsSOF[[#This Row],[FY Plan]]&lt;&gt;0,DB_STProjectsSOF[[#This Row],[FY Actuals]]/DB_STProjectsSOF[[#This Row],[FY Plan]],1.000011000011)</f>
        <v>0.48763340196167426</v>
      </c>
    </row>
    <row r="191" spans="1:37" hidden="1" x14ac:dyDescent="0.2">
      <c r="A191">
        <f>SUBTOTAL(3,$B$6:B191)</f>
        <v>0</v>
      </c>
      <c r="B191" t="s">
        <v>980</v>
      </c>
      <c r="C191" t="s">
        <v>905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s="164">
        <v>40909</v>
      </c>
      <c r="AC191" s="164">
        <v>41274</v>
      </c>
      <c r="AD191" s="164">
        <v>41364</v>
      </c>
      <c r="AE191" s="34">
        <f>SUMPRODUCT(DB_STProjectsSOF[[#This Row],[Plan01]:[Plan12]],$D$4:$O$4)/valUnits2</f>
        <v>0</v>
      </c>
      <c r="AF191" s="34">
        <f>SUMPRODUCT(DB_STProjectsSOF[[#This Row],[Act01]:[Act12]],$P$4:$AA$4)/valUnits2</f>
        <v>0</v>
      </c>
      <c r="AG191" s="34">
        <f>DB_STProjectsSOF[[#This Row],[Actual]]-DB_STProjectsSOF[[#This Row],[Plan]]</f>
        <v>0</v>
      </c>
      <c r="AH191" s="34">
        <f>IF(DB_STProjectsSOF[[#This Row],[Plan]]&lt;&gt;0,DB_STProjectsSOF[[#This Row],[Actual]]/DB_STProjectsSOF[[#This Row],[Plan]],1.000011000011)</f>
        <v>1.0000110000110001</v>
      </c>
      <c r="AI191" s="34">
        <f>SUM(DB_STProjectsSOF[[#This Row],[Plan01]:[Plan12]])/valUnits2</f>
        <v>0</v>
      </c>
      <c r="AJ191" s="34">
        <f>SUMPRODUCT(DB_STProjectsSOF[[#This Row],[Act01]:[Act12]],$P$3:$AA$3)/valUnits2</f>
        <v>0</v>
      </c>
      <c r="AK191" s="34">
        <f>IF(DB_STProjectsSOF[[#This Row],[FY Plan]]&lt;&gt;0,DB_STProjectsSOF[[#This Row],[FY Actuals]]/DB_STProjectsSOF[[#This Row],[FY Plan]],1.000011000011)</f>
        <v>1.0000110000110001</v>
      </c>
    </row>
    <row r="192" spans="1:37" hidden="1" x14ac:dyDescent="0.2">
      <c r="A192">
        <f>SUBTOTAL(3,$B$6:B192)</f>
        <v>0</v>
      </c>
      <c r="B192" t="s">
        <v>980</v>
      </c>
      <c r="C192" t="s">
        <v>907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s="164">
        <v>40909</v>
      </c>
      <c r="AC192" s="164">
        <v>41274</v>
      </c>
      <c r="AD192" s="164">
        <v>41320</v>
      </c>
      <c r="AE192" s="34">
        <f>SUMPRODUCT(DB_STProjectsSOF[[#This Row],[Plan01]:[Plan12]],$D$4:$O$4)/valUnits2</f>
        <v>0</v>
      </c>
      <c r="AF192" s="34">
        <f>SUMPRODUCT(DB_STProjectsSOF[[#This Row],[Act01]:[Act12]],$P$4:$AA$4)/valUnits2</f>
        <v>0</v>
      </c>
      <c r="AG192" s="34">
        <f>DB_STProjectsSOF[[#This Row],[Actual]]-DB_STProjectsSOF[[#This Row],[Plan]]</f>
        <v>0</v>
      </c>
      <c r="AH192" s="34">
        <f>IF(DB_STProjectsSOF[[#This Row],[Plan]]&lt;&gt;0,DB_STProjectsSOF[[#This Row],[Actual]]/DB_STProjectsSOF[[#This Row],[Plan]],1.000011000011)</f>
        <v>1.0000110000110001</v>
      </c>
      <c r="AI192" s="34">
        <f>SUM(DB_STProjectsSOF[[#This Row],[Plan01]:[Plan12]])/valUnits2</f>
        <v>0</v>
      </c>
      <c r="AJ192" s="34">
        <f>SUMPRODUCT(DB_STProjectsSOF[[#This Row],[Act01]:[Act12]],$P$3:$AA$3)/valUnits2</f>
        <v>0</v>
      </c>
      <c r="AK192" s="34">
        <f>IF(DB_STProjectsSOF[[#This Row],[FY Plan]]&lt;&gt;0,DB_STProjectsSOF[[#This Row],[FY Actuals]]/DB_STProjectsSOF[[#This Row],[FY Plan]],1.000011000011)</f>
        <v>1.0000110000110001</v>
      </c>
    </row>
    <row r="193" spans="1:37" hidden="1" x14ac:dyDescent="0.2">
      <c r="A193">
        <f>SUBTOTAL(3,$B$6:B193)</f>
        <v>0</v>
      </c>
      <c r="B193" t="s">
        <v>980</v>
      </c>
      <c r="C193" t="s">
        <v>909</v>
      </c>
      <c r="D193">
        <v>21.759999999999998</v>
      </c>
      <c r="E193">
        <v>4146.7</v>
      </c>
      <c r="F193">
        <v>5564.2400000000007</v>
      </c>
      <c r="G193">
        <v>6661.63</v>
      </c>
      <c r="H193">
        <v>2598.2999999999997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21.759999999999998</v>
      </c>
      <c r="Q193">
        <v>4146.7</v>
      </c>
      <c r="R193">
        <v>5564.24</v>
      </c>
      <c r="S193">
        <v>6661.63</v>
      </c>
      <c r="T193">
        <v>2598.3000000000002</v>
      </c>
      <c r="U193">
        <v>2516.69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s="164">
        <v>40817</v>
      </c>
      <c r="AC193" s="164">
        <v>42155</v>
      </c>
      <c r="AD193" s="164">
        <v>42217</v>
      </c>
      <c r="AE193" s="34">
        <f>SUMPRODUCT(DB_STProjectsSOF[[#This Row],[Plan01]:[Plan12]],$D$4:$O$4)/valUnits2</f>
        <v>18.992630000000002</v>
      </c>
      <c r="AF193" s="34">
        <f>SUMPRODUCT(DB_STProjectsSOF[[#This Row],[Act01]:[Act12]],$P$4:$AA$4)/valUnits2</f>
        <v>21.509319999999999</v>
      </c>
      <c r="AG193" s="34">
        <f>DB_STProjectsSOF[[#This Row],[Actual]]-DB_STProjectsSOF[[#This Row],[Plan]]</f>
        <v>2.516689999999997</v>
      </c>
      <c r="AH193" s="34">
        <f>IF(DB_STProjectsSOF[[#This Row],[Plan]]&lt;&gt;0,DB_STProjectsSOF[[#This Row],[Actual]]/DB_STProjectsSOF[[#This Row],[Plan]],1.000011000011)</f>
        <v>1.1325087678746966</v>
      </c>
      <c r="AI193" s="34">
        <f>SUM(DB_STProjectsSOF[[#This Row],[Plan01]:[Plan12]])/valUnits2</f>
        <v>18.992630000000002</v>
      </c>
      <c r="AJ193" s="34">
        <f>SUMPRODUCT(DB_STProjectsSOF[[#This Row],[Act01]:[Act12]],$P$3:$AA$3)/valUnits2</f>
        <v>21.509319999999999</v>
      </c>
      <c r="AK193" s="34">
        <f>IF(DB_STProjectsSOF[[#This Row],[FY Plan]]&lt;&gt;0,DB_STProjectsSOF[[#This Row],[FY Actuals]]/DB_STProjectsSOF[[#This Row],[FY Plan]],1.000011000011)</f>
        <v>1.1325087678746966</v>
      </c>
    </row>
    <row r="194" spans="1:37" hidden="1" x14ac:dyDescent="0.2">
      <c r="A194">
        <f>SUBTOTAL(3,$B$6:B194)</f>
        <v>0</v>
      </c>
      <c r="B194" t="s">
        <v>980</v>
      </c>
      <c r="C194" t="s">
        <v>354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297.35399999999998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AB194" s="164">
        <v>41091</v>
      </c>
      <c r="AC194" s="164">
        <v>41455</v>
      </c>
      <c r="AD194" s="164">
        <v>41517</v>
      </c>
      <c r="AE194" s="34">
        <f>SUMPRODUCT(DB_STProjectsSOF[[#This Row],[Plan01]:[Plan12]],$D$4:$O$4)/valUnits2</f>
        <v>0.29735400000000001</v>
      </c>
      <c r="AF194" s="34">
        <f>SUMPRODUCT(DB_STProjectsSOF[[#This Row],[Act01]:[Act12]],$P$4:$AA$4)/valUnits2</f>
        <v>0</v>
      </c>
      <c r="AG194" s="34">
        <f>DB_STProjectsSOF[[#This Row],[Actual]]-DB_STProjectsSOF[[#This Row],[Plan]]</f>
        <v>-0.29735400000000001</v>
      </c>
      <c r="AH194" s="34">
        <f>IF(DB_STProjectsSOF[[#This Row],[Plan]]&lt;&gt;0,DB_STProjectsSOF[[#This Row],[Actual]]/DB_STProjectsSOF[[#This Row],[Plan]],1.000011000011)</f>
        <v>0</v>
      </c>
      <c r="AI194" s="34">
        <f>SUM(DB_STProjectsSOF[[#This Row],[Plan01]:[Plan12]])/valUnits2</f>
        <v>0.29735400000000001</v>
      </c>
      <c r="AJ194" s="34">
        <f>SUMPRODUCT(DB_STProjectsSOF[[#This Row],[Act01]:[Act12]],$P$3:$AA$3)/valUnits2</f>
        <v>0</v>
      </c>
      <c r="AK194" s="34">
        <f>IF(DB_STProjectsSOF[[#This Row],[FY Plan]]&lt;&gt;0,DB_STProjectsSOF[[#This Row],[FY Actuals]]/DB_STProjectsSOF[[#This Row],[FY Plan]],1.000011000011)</f>
        <v>0</v>
      </c>
    </row>
    <row r="195" spans="1:37" hidden="1" x14ac:dyDescent="0.2">
      <c r="A195">
        <f>SUBTOTAL(3,$B$6:B195)</f>
        <v>0</v>
      </c>
      <c r="B195" t="s">
        <v>980</v>
      </c>
      <c r="C195" t="s">
        <v>911</v>
      </c>
      <c r="E195">
        <v>775.52</v>
      </c>
      <c r="F195">
        <v>1316.1</v>
      </c>
      <c r="G195">
        <v>1564.8899999999999</v>
      </c>
      <c r="H195">
        <v>768.24</v>
      </c>
      <c r="I195">
        <v>0</v>
      </c>
      <c r="Q195">
        <v>775.52</v>
      </c>
      <c r="R195">
        <v>1316.1</v>
      </c>
      <c r="S195">
        <v>1564.8899999999999</v>
      </c>
      <c r="T195">
        <v>768.24</v>
      </c>
      <c r="U195">
        <v>892.75</v>
      </c>
      <c r="AB195" s="164">
        <v>40817</v>
      </c>
      <c r="AC195" s="164">
        <v>41578</v>
      </c>
      <c r="AD195" s="164">
        <v>41639</v>
      </c>
      <c r="AE195" s="34">
        <f>SUMPRODUCT(DB_STProjectsSOF[[#This Row],[Plan01]:[Plan12]],$D$4:$O$4)/valUnits2</f>
        <v>4.4247500000000004</v>
      </c>
      <c r="AF195" s="34">
        <f>SUMPRODUCT(DB_STProjectsSOF[[#This Row],[Act01]:[Act12]],$P$4:$AA$4)/valUnits2</f>
        <v>5.3174999999999999</v>
      </c>
      <c r="AG195" s="34">
        <f>DB_STProjectsSOF[[#This Row],[Actual]]-DB_STProjectsSOF[[#This Row],[Plan]]</f>
        <v>0.89274999999999949</v>
      </c>
      <c r="AH195" s="34">
        <f>IF(DB_STProjectsSOF[[#This Row],[Plan]]&lt;&gt;0,DB_STProjectsSOF[[#This Row],[Actual]]/DB_STProjectsSOF[[#This Row],[Plan]],1.000011000011)</f>
        <v>1.2017628114582743</v>
      </c>
      <c r="AI195" s="34">
        <f>SUM(DB_STProjectsSOF[[#This Row],[Plan01]:[Plan12]])/valUnits2</f>
        <v>4.4247500000000004</v>
      </c>
      <c r="AJ195" s="34">
        <f>SUMPRODUCT(DB_STProjectsSOF[[#This Row],[Act01]:[Act12]],$P$3:$AA$3)/valUnits2</f>
        <v>5.3174999999999999</v>
      </c>
      <c r="AK195" s="34">
        <f>IF(DB_STProjectsSOF[[#This Row],[FY Plan]]&lt;&gt;0,DB_STProjectsSOF[[#This Row],[FY Actuals]]/DB_STProjectsSOF[[#This Row],[FY Plan]],1.000011000011)</f>
        <v>1.2017628114582743</v>
      </c>
    </row>
    <row r="196" spans="1:37" hidden="1" x14ac:dyDescent="0.2">
      <c r="A196">
        <f>SUBTOTAL(3,$B$6:B196)</f>
        <v>0</v>
      </c>
      <c r="B196" t="s">
        <v>980</v>
      </c>
      <c r="C196" t="s">
        <v>913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84.236000000000004</v>
      </c>
      <c r="J196">
        <v>84.236000000000004</v>
      </c>
      <c r="K196">
        <v>84.236000000000004</v>
      </c>
      <c r="L196">
        <v>84.236000000000004</v>
      </c>
      <c r="M196">
        <v>84.236000000000004</v>
      </c>
      <c r="N196">
        <v>84.236000000000004</v>
      </c>
      <c r="O196">
        <v>84.236000000000004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s="164">
        <v>40817</v>
      </c>
      <c r="AC196" s="164">
        <v>41639</v>
      </c>
      <c r="AD196" s="164">
        <v>41685</v>
      </c>
      <c r="AE196" s="34">
        <f>SUMPRODUCT(DB_STProjectsSOF[[#This Row],[Plan01]:[Plan12]],$D$4:$O$4)/valUnits2</f>
        <v>8.4236000000000005E-2</v>
      </c>
      <c r="AF196" s="34">
        <f>SUMPRODUCT(DB_STProjectsSOF[[#This Row],[Act01]:[Act12]],$P$4:$AA$4)/valUnits2</f>
        <v>0</v>
      </c>
      <c r="AG196" s="34">
        <f>DB_STProjectsSOF[[#This Row],[Actual]]-DB_STProjectsSOF[[#This Row],[Plan]]</f>
        <v>-8.4236000000000005E-2</v>
      </c>
      <c r="AH196" s="34">
        <f>IF(DB_STProjectsSOF[[#This Row],[Plan]]&lt;&gt;0,DB_STProjectsSOF[[#This Row],[Actual]]/DB_STProjectsSOF[[#This Row],[Plan]],1.000011000011)</f>
        <v>0</v>
      </c>
      <c r="AI196" s="34">
        <f>SUM(DB_STProjectsSOF[[#This Row],[Plan01]:[Plan12]])/valUnits2</f>
        <v>0.58965200000000006</v>
      </c>
      <c r="AJ196" s="34">
        <f>SUMPRODUCT(DB_STProjectsSOF[[#This Row],[Act01]:[Act12]],$P$3:$AA$3)/valUnits2</f>
        <v>0</v>
      </c>
      <c r="AK196" s="34">
        <f>IF(DB_STProjectsSOF[[#This Row],[FY Plan]]&lt;&gt;0,DB_STProjectsSOF[[#This Row],[FY Actuals]]/DB_STProjectsSOF[[#This Row],[FY Plan]],1.000011000011)</f>
        <v>0</v>
      </c>
    </row>
    <row r="197" spans="1:37" hidden="1" x14ac:dyDescent="0.2">
      <c r="A197">
        <f>SUBTOTAL(3,$B$6:B197)</f>
        <v>0</v>
      </c>
      <c r="B197" t="s">
        <v>980</v>
      </c>
      <c r="C197" t="s">
        <v>915</v>
      </c>
      <c r="D197">
        <v>0</v>
      </c>
      <c r="E197">
        <v>0</v>
      </c>
      <c r="F197">
        <v>0</v>
      </c>
      <c r="G197">
        <v>0</v>
      </c>
      <c r="H197">
        <v>360.13600000000002</v>
      </c>
      <c r="I197">
        <v>43.953000000000003</v>
      </c>
      <c r="J197">
        <v>43.953000000000003</v>
      </c>
      <c r="K197">
        <v>43.953000000000003</v>
      </c>
      <c r="L197">
        <v>43.953000000000003</v>
      </c>
      <c r="M197">
        <v>43.953000000000003</v>
      </c>
      <c r="N197">
        <v>43.953000000000003</v>
      </c>
      <c r="O197">
        <v>43.953000000000003</v>
      </c>
      <c r="P197">
        <v>0</v>
      </c>
      <c r="Q197">
        <v>0</v>
      </c>
      <c r="R197">
        <v>0</v>
      </c>
      <c r="S197">
        <v>0</v>
      </c>
      <c r="T197">
        <v>363.53999999999996</v>
      </c>
      <c r="U197">
        <v>387.76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s="164">
        <v>41061</v>
      </c>
      <c r="AC197" s="164">
        <v>42155</v>
      </c>
      <c r="AD197" s="164">
        <v>42185</v>
      </c>
      <c r="AE197" s="34">
        <f>SUMPRODUCT(DB_STProjectsSOF[[#This Row],[Plan01]:[Plan12]],$D$4:$O$4)/valUnits2</f>
        <v>0.40408900000000003</v>
      </c>
      <c r="AF197" s="34">
        <f>SUMPRODUCT(DB_STProjectsSOF[[#This Row],[Act01]:[Act12]],$P$4:$AA$4)/valUnits2</f>
        <v>0.75129999999999997</v>
      </c>
      <c r="AG197" s="34">
        <f>DB_STProjectsSOF[[#This Row],[Actual]]-DB_STProjectsSOF[[#This Row],[Plan]]</f>
        <v>0.34721099999999994</v>
      </c>
      <c r="AH197" s="34">
        <f>IF(DB_STProjectsSOF[[#This Row],[Plan]]&lt;&gt;0,DB_STProjectsSOF[[#This Row],[Actual]]/DB_STProjectsSOF[[#This Row],[Plan]],1.000011000011)</f>
        <v>1.8592438794423998</v>
      </c>
      <c r="AI197" s="34">
        <f>SUM(DB_STProjectsSOF[[#This Row],[Plan01]:[Plan12]])/valUnits2</f>
        <v>0.66780699999999993</v>
      </c>
      <c r="AJ197" s="34">
        <f>SUMPRODUCT(DB_STProjectsSOF[[#This Row],[Act01]:[Act12]],$P$3:$AA$3)/valUnits2</f>
        <v>0.75129999999999997</v>
      </c>
      <c r="AK197" s="34">
        <f>IF(DB_STProjectsSOF[[#This Row],[FY Plan]]&lt;&gt;0,DB_STProjectsSOF[[#This Row],[FY Actuals]]/DB_STProjectsSOF[[#This Row],[FY Plan]],1.000011000011)</f>
        <v>1.1250256436365598</v>
      </c>
    </row>
    <row r="198" spans="1:37" hidden="1" x14ac:dyDescent="0.2">
      <c r="A198">
        <f>SUBTOTAL(3,$B$6:B198)</f>
        <v>0</v>
      </c>
      <c r="B198" t="s">
        <v>980</v>
      </c>
      <c r="C198" t="s">
        <v>917</v>
      </c>
      <c r="D198">
        <v>137.845</v>
      </c>
      <c r="E198">
        <v>139.86000000000001</v>
      </c>
      <c r="F198">
        <v>141.02600000000001</v>
      </c>
      <c r="G198">
        <v>140.72499999999999</v>
      </c>
      <c r="H198">
        <v>141.267</v>
      </c>
      <c r="I198">
        <v>124.598</v>
      </c>
      <c r="J198">
        <v>160.46700000000001</v>
      </c>
      <c r="K198">
        <v>160.46700000000001</v>
      </c>
      <c r="L198">
        <v>160.46700000000001</v>
      </c>
      <c r="M198">
        <v>160.46700000000001</v>
      </c>
      <c r="N198">
        <v>160.46700000000001</v>
      </c>
      <c r="O198">
        <v>160.46700000000001</v>
      </c>
      <c r="P198">
        <v>137.84</v>
      </c>
      <c r="Q198">
        <v>139.86000000000001</v>
      </c>
      <c r="R198">
        <v>140.11000000000001</v>
      </c>
      <c r="S198">
        <v>141.51</v>
      </c>
      <c r="T198">
        <v>141.94</v>
      </c>
      <c r="U198">
        <v>141.84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s="164">
        <v>40817</v>
      </c>
      <c r="AC198" s="164">
        <v>42155</v>
      </c>
      <c r="AD198" s="164">
        <v>42246</v>
      </c>
      <c r="AE198" s="34">
        <f>SUMPRODUCT(DB_STProjectsSOF[[#This Row],[Plan01]:[Plan12]],$D$4:$O$4)/valUnits2</f>
        <v>0.82532099999999986</v>
      </c>
      <c r="AF198" s="34">
        <f>SUMPRODUCT(DB_STProjectsSOF[[#This Row],[Act01]:[Act12]],$P$4:$AA$4)/valUnits2</f>
        <v>0.84310000000000007</v>
      </c>
      <c r="AG198" s="34">
        <f>DB_STProjectsSOF[[#This Row],[Actual]]-DB_STProjectsSOF[[#This Row],[Plan]]</f>
        <v>1.7779000000000211E-2</v>
      </c>
      <c r="AH198" s="34">
        <f>IF(DB_STProjectsSOF[[#This Row],[Plan]]&lt;&gt;0,DB_STProjectsSOF[[#This Row],[Actual]]/DB_STProjectsSOF[[#This Row],[Plan]],1.000011000011)</f>
        <v>1.0215419212645749</v>
      </c>
      <c r="AI198" s="34">
        <f>SUM(DB_STProjectsSOF[[#This Row],[Plan01]:[Plan12]])/valUnits2</f>
        <v>1.7881230000000004</v>
      </c>
      <c r="AJ198" s="34">
        <f>SUMPRODUCT(DB_STProjectsSOF[[#This Row],[Act01]:[Act12]],$P$3:$AA$3)/valUnits2</f>
        <v>0.84310000000000007</v>
      </c>
      <c r="AK198" s="34">
        <f>IF(DB_STProjectsSOF[[#This Row],[FY Plan]]&lt;&gt;0,DB_STProjectsSOF[[#This Row],[FY Actuals]]/DB_STProjectsSOF[[#This Row],[FY Plan]],1.000011000011)</f>
        <v>0.47150000307585099</v>
      </c>
    </row>
    <row r="199" spans="1:37" hidden="1" x14ac:dyDescent="0.2">
      <c r="A199">
        <f>SUBTOTAL(3,$B$6:B199)</f>
        <v>0</v>
      </c>
      <c r="B199" t="s">
        <v>980</v>
      </c>
      <c r="C199" t="s">
        <v>356</v>
      </c>
      <c r="G199">
        <v>205.62700000000001</v>
      </c>
      <c r="H199">
        <v>263.05399999999997</v>
      </c>
      <c r="I199">
        <v>378.20799999999997</v>
      </c>
      <c r="S199">
        <v>203.76</v>
      </c>
      <c r="T199">
        <v>266.58</v>
      </c>
      <c r="U199">
        <v>293.35000000000002</v>
      </c>
      <c r="AB199" s="164">
        <v>41091</v>
      </c>
      <c r="AC199" s="164">
        <v>41455</v>
      </c>
      <c r="AD199" s="164">
        <v>41547</v>
      </c>
      <c r="AE199" s="34">
        <f>SUMPRODUCT(DB_STProjectsSOF[[#This Row],[Plan01]:[Plan12]],$D$4:$O$4)/valUnits2</f>
        <v>0.84688899999999989</v>
      </c>
      <c r="AF199" s="34">
        <f>SUMPRODUCT(DB_STProjectsSOF[[#This Row],[Act01]:[Act12]],$P$4:$AA$4)/valUnits2</f>
        <v>0.76369000000000009</v>
      </c>
      <c r="AG199" s="34">
        <f>DB_STProjectsSOF[[#This Row],[Actual]]-DB_STProjectsSOF[[#This Row],[Plan]]</f>
        <v>-8.3198999999999801E-2</v>
      </c>
      <c r="AH199" s="34">
        <f>IF(DB_STProjectsSOF[[#This Row],[Plan]]&lt;&gt;0,DB_STProjectsSOF[[#This Row],[Actual]]/DB_STProjectsSOF[[#This Row],[Plan]],1.000011000011)</f>
        <v>0.90175926242990545</v>
      </c>
      <c r="AI199" s="34">
        <f>SUM(DB_STProjectsSOF[[#This Row],[Plan01]:[Plan12]])/valUnits2</f>
        <v>0.84688899999999989</v>
      </c>
      <c r="AJ199" s="34">
        <f>SUMPRODUCT(DB_STProjectsSOF[[#This Row],[Act01]:[Act12]],$P$3:$AA$3)/valUnits2</f>
        <v>0.76369000000000009</v>
      </c>
      <c r="AK199" s="34">
        <f>IF(DB_STProjectsSOF[[#This Row],[FY Plan]]&lt;&gt;0,DB_STProjectsSOF[[#This Row],[FY Actuals]]/DB_STProjectsSOF[[#This Row],[FY Plan]],1.000011000011)</f>
        <v>0.90175926242990545</v>
      </c>
    </row>
    <row r="200" spans="1:37" hidden="1" x14ac:dyDescent="0.2">
      <c r="A200">
        <f>SUBTOTAL(3,$B$6:B200)</f>
        <v>0</v>
      </c>
      <c r="B200" t="s">
        <v>980</v>
      </c>
      <c r="C200" t="s">
        <v>919</v>
      </c>
      <c r="D200">
        <v>0</v>
      </c>
      <c r="E200">
        <v>629.08600000000001</v>
      </c>
      <c r="F200">
        <v>949.29700000000003</v>
      </c>
      <c r="G200">
        <v>1428.876</v>
      </c>
      <c r="H200">
        <v>597.00599999999997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642.28</v>
      </c>
      <c r="R200">
        <v>957.89</v>
      </c>
      <c r="S200">
        <v>1433.69</v>
      </c>
      <c r="T200">
        <v>589.77</v>
      </c>
      <c r="U200">
        <v>727.22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s="164">
        <v>40878</v>
      </c>
      <c r="AC200" s="164">
        <v>42794</v>
      </c>
      <c r="AD200" s="164">
        <v>42978</v>
      </c>
      <c r="AE200" s="34">
        <f>SUMPRODUCT(DB_STProjectsSOF[[#This Row],[Plan01]:[Plan12]],$D$4:$O$4)/valUnits2</f>
        <v>3.6042649999999998</v>
      </c>
      <c r="AF200" s="34">
        <f>SUMPRODUCT(DB_STProjectsSOF[[#This Row],[Act01]:[Act12]],$P$4:$AA$4)/valUnits2</f>
        <v>4.3508500000000003</v>
      </c>
      <c r="AG200" s="34">
        <f>DB_STProjectsSOF[[#This Row],[Actual]]-DB_STProjectsSOF[[#This Row],[Plan]]</f>
        <v>0.7465850000000005</v>
      </c>
      <c r="AH200" s="34">
        <f>IF(DB_STProjectsSOF[[#This Row],[Plan]]&lt;&gt;0,DB_STProjectsSOF[[#This Row],[Actual]]/DB_STProjectsSOF[[#This Row],[Plan]],1.000011000011)</f>
        <v>1.2071393196671167</v>
      </c>
      <c r="AI200" s="34">
        <f>SUM(DB_STProjectsSOF[[#This Row],[Plan01]:[Plan12]])/valUnits2</f>
        <v>3.6042649999999998</v>
      </c>
      <c r="AJ200" s="34">
        <f>SUMPRODUCT(DB_STProjectsSOF[[#This Row],[Act01]:[Act12]],$P$3:$AA$3)/valUnits2</f>
        <v>4.3508500000000003</v>
      </c>
      <c r="AK200" s="34">
        <f>IF(DB_STProjectsSOF[[#This Row],[FY Plan]]&lt;&gt;0,DB_STProjectsSOF[[#This Row],[FY Actuals]]/DB_STProjectsSOF[[#This Row],[FY Plan]],1.000011000011)</f>
        <v>1.2071393196671167</v>
      </c>
    </row>
    <row r="201" spans="1:37" hidden="1" x14ac:dyDescent="0.2">
      <c r="A201">
        <f>SUBTOTAL(3,$B$6:B201)</f>
        <v>0</v>
      </c>
      <c r="B201" t="s">
        <v>980</v>
      </c>
      <c r="C201" t="s">
        <v>921</v>
      </c>
      <c r="D201">
        <v>0</v>
      </c>
      <c r="E201">
        <v>1.6910000000000001</v>
      </c>
      <c r="F201">
        <v>0.09</v>
      </c>
      <c r="P201">
        <v>0</v>
      </c>
      <c r="Q201">
        <v>1.68</v>
      </c>
      <c r="R201">
        <v>0.09</v>
      </c>
      <c r="AB201" s="164">
        <v>40909</v>
      </c>
      <c r="AC201" s="164">
        <v>41363</v>
      </c>
      <c r="AD201" s="164">
        <v>41389</v>
      </c>
      <c r="AE201" s="34">
        <f>SUMPRODUCT(DB_STProjectsSOF[[#This Row],[Plan01]:[Plan12]],$D$4:$O$4)/valUnits2</f>
        <v>1.781E-3</v>
      </c>
      <c r="AF201" s="34">
        <f>SUMPRODUCT(DB_STProjectsSOF[[#This Row],[Act01]:[Act12]],$P$4:$AA$4)/valUnits2</f>
        <v>1.7700000000000001E-3</v>
      </c>
      <c r="AG201" s="34">
        <f>DB_STProjectsSOF[[#This Row],[Actual]]-DB_STProjectsSOF[[#This Row],[Plan]]</f>
        <v>-1.0999999999999942E-5</v>
      </c>
      <c r="AH201" s="34">
        <f>IF(DB_STProjectsSOF[[#This Row],[Plan]]&lt;&gt;0,DB_STProjectsSOF[[#This Row],[Actual]]/DB_STProjectsSOF[[#This Row],[Plan]],1.000011000011)</f>
        <v>0.99382369455362163</v>
      </c>
      <c r="AI201" s="34">
        <f>SUM(DB_STProjectsSOF[[#This Row],[Plan01]:[Plan12]])/valUnits2</f>
        <v>1.781E-3</v>
      </c>
      <c r="AJ201" s="34">
        <f>SUMPRODUCT(DB_STProjectsSOF[[#This Row],[Act01]:[Act12]],$P$3:$AA$3)/valUnits2</f>
        <v>1.7700000000000001E-3</v>
      </c>
      <c r="AK201" s="34">
        <f>IF(DB_STProjectsSOF[[#This Row],[FY Plan]]&lt;&gt;0,DB_STProjectsSOF[[#This Row],[FY Actuals]]/DB_STProjectsSOF[[#This Row],[FY Plan]],1.000011000011)</f>
        <v>0.99382369455362163</v>
      </c>
    </row>
    <row r="202" spans="1:37" hidden="1" x14ac:dyDescent="0.2">
      <c r="A202">
        <f>SUBTOTAL(3,$B$6:B202)</f>
        <v>0</v>
      </c>
      <c r="B202" t="s">
        <v>980</v>
      </c>
      <c r="C202" t="s">
        <v>922</v>
      </c>
      <c r="D202">
        <v>0</v>
      </c>
      <c r="E202">
        <v>4.0919999999999996</v>
      </c>
      <c r="F202">
        <v>0.215</v>
      </c>
      <c r="G202">
        <v>0</v>
      </c>
      <c r="H202">
        <v>0</v>
      </c>
      <c r="I202">
        <v>156.083</v>
      </c>
      <c r="J202">
        <v>156.083</v>
      </c>
      <c r="K202">
        <v>156.083</v>
      </c>
      <c r="L202">
        <v>156.083</v>
      </c>
      <c r="M202">
        <v>156.083</v>
      </c>
      <c r="N202">
        <v>156.083</v>
      </c>
      <c r="O202">
        <v>156.083</v>
      </c>
      <c r="P202">
        <v>0</v>
      </c>
      <c r="Q202">
        <v>4.2300000000000004</v>
      </c>
      <c r="R202">
        <v>0.22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s="164">
        <v>41000</v>
      </c>
      <c r="AC202" s="164">
        <v>41989</v>
      </c>
      <c r="AD202" s="164">
        <v>42078</v>
      </c>
      <c r="AE202" s="34">
        <f>SUMPRODUCT(DB_STProjectsSOF[[#This Row],[Plan01]:[Plan12]],$D$4:$O$4)/valUnits2</f>
        <v>0.16038999999999998</v>
      </c>
      <c r="AF202" s="34">
        <f>SUMPRODUCT(DB_STProjectsSOF[[#This Row],[Act01]:[Act12]],$P$4:$AA$4)/valUnits2</f>
        <v>4.45E-3</v>
      </c>
      <c r="AG202" s="34">
        <f>DB_STProjectsSOF[[#This Row],[Actual]]-DB_STProjectsSOF[[#This Row],[Plan]]</f>
        <v>-0.15593999999999997</v>
      </c>
      <c r="AH202" s="34">
        <f>IF(DB_STProjectsSOF[[#This Row],[Plan]]&lt;&gt;0,DB_STProjectsSOF[[#This Row],[Actual]]/DB_STProjectsSOF[[#This Row],[Plan]],1.000011000011)</f>
        <v>2.7744871874805167E-2</v>
      </c>
      <c r="AI202" s="34">
        <f>SUM(DB_STProjectsSOF[[#This Row],[Plan01]:[Plan12]])/valUnits2</f>
        <v>1.0968879999999999</v>
      </c>
      <c r="AJ202" s="34">
        <f>SUMPRODUCT(DB_STProjectsSOF[[#This Row],[Act01]:[Act12]],$P$3:$AA$3)/valUnits2</f>
        <v>4.45E-3</v>
      </c>
      <c r="AK202" s="34">
        <f>IF(DB_STProjectsSOF[[#This Row],[FY Plan]]&lt;&gt;0,DB_STProjectsSOF[[#This Row],[FY Actuals]]/DB_STProjectsSOF[[#This Row],[FY Plan]],1.000011000011)</f>
        <v>4.056931974823319E-3</v>
      </c>
    </row>
    <row r="203" spans="1:37" hidden="1" x14ac:dyDescent="0.2">
      <c r="A203">
        <f>SUBTOTAL(3,$B$6:B203)</f>
        <v>0</v>
      </c>
      <c r="B203" t="s">
        <v>980</v>
      </c>
      <c r="C203" t="s">
        <v>924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184.553</v>
      </c>
      <c r="J203">
        <v>184.553</v>
      </c>
      <c r="K203">
        <v>184.553</v>
      </c>
      <c r="L203">
        <v>184.553</v>
      </c>
      <c r="M203">
        <v>184.553</v>
      </c>
      <c r="N203">
        <v>184.553</v>
      </c>
      <c r="O203">
        <v>184.553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s="164">
        <v>40817</v>
      </c>
      <c r="AC203" s="164">
        <v>41639</v>
      </c>
      <c r="AD203" s="164">
        <v>41685</v>
      </c>
      <c r="AE203" s="34">
        <f>SUMPRODUCT(DB_STProjectsSOF[[#This Row],[Plan01]:[Plan12]],$D$4:$O$4)/valUnits2</f>
        <v>0.18455299999999999</v>
      </c>
      <c r="AF203" s="34">
        <f>SUMPRODUCT(DB_STProjectsSOF[[#This Row],[Act01]:[Act12]],$P$4:$AA$4)/valUnits2</f>
        <v>0</v>
      </c>
      <c r="AG203" s="34">
        <f>DB_STProjectsSOF[[#This Row],[Actual]]-DB_STProjectsSOF[[#This Row],[Plan]]</f>
        <v>-0.18455299999999999</v>
      </c>
      <c r="AH203" s="34">
        <f>IF(DB_STProjectsSOF[[#This Row],[Plan]]&lt;&gt;0,DB_STProjectsSOF[[#This Row],[Actual]]/DB_STProjectsSOF[[#This Row],[Plan]],1.000011000011)</f>
        <v>0</v>
      </c>
      <c r="AI203" s="34">
        <f>SUM(DB_STProjectsSOF[[#This Row],[Plan01]:[Plan12]])/valUnits2</f>
        <v>1.291871</v>
      </c>
      <c r="AJ203" s="34">
        <f>SUMPRODUCT(DB_STProjectsSOF[[#This Row],[Act01]:[Act12]],$P$3:$AA$3)/valUnits2</f>
        <v>0</v>
      </c>
      <c r="AK203" s="34">
        <f>IF(DB_STProjectsSOF[[#This Row],[FY Plan]]&lt;&gt;0,DB_STProjectsSOF[[#This Row],[FY Actuals]]/DB_STProjectsSOF[[#This Row],[FY Plan]],1.000011000011)</f>
        <v>0</v>
      </c>
    </row>
    <row r="204" spans="1:37" hidden="1" x14ac:dyDescent="0.2">
      <c r="A204">
        <f>SUBTOTAL(3,$B$6:B204)</f>
        <v>0</v>
      </c>
      <c r="B204" t="s">
        <v>980</v>
      </c>
      <c r="C204" t="s">
        <v>925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s="164">
        <v>40909</v>
      </c>
      <c r="AC204" s="164">
        <v>41639</v>
      </c>
      <c r="AD204" s="164">
        <v>41713</v>
      </c>
      <c r="AE204" s="34">
        <f>SUMPRODUCT(DB_STProjectsSOF[[#This Row],[Plan01]:[Plan12]],$D$4:$O$4)/valUnits2</f>
        <v>0</v>
      </c>
      <c r="AF204" s="34">
        <f>SUMPRODUCT(DB_STProjectsSOF[[#This Row],[Act01]:[Act12]],$P$4:$AA$4)/valUnits2</f>
        <v>0</v>
      </c>
      <c r="AG204" s="34">
        <f>DB_STProjectsSOF[[#This Row],[Actual]]-DB_STProjectsSOF[[#This Row],[Plan]]</f>
        <v>0</v>
      </c>
      <c r="AH204" s="34">
        <f>IF(DB_STProjectsSOF[[#This Row],[Plan]]&lt;&gt;0,DB_STProjectsSOF[[#This Row],[Actual]]/DB_STProjectsSOF[[#This Row],[Plan]],1.000011000011)</f>
        <v>1.0000110000110001</v>
      </c>
      <c r="AI204" s="34">
        <f>SUM(DB_STProjectsSOF[[#This Row],[Plan01]:[Plan12]])/valUnits2</f>
        <v>0</v>
      </c>
      <c r="AJ204" s="34">
        <f>SUMPRODUCT(DB_STProjectsSOF[[#This Row],[Act01]:[Act12]],$P$3:$AA$3)/valUnits2</f>
        <v>0</v>
      </c>
      <c r="AK204" s="34">
        <f>IF(DB_STProjectsSOF[[#This Row],[FY Plan]]&lt;&gt;0,DB_STProjectsSOF[[#This Row],[FY Actuals]]/DB_STProjectsSOF[[#This Row],[FY Plan]],1.000011000011)</f>
        <v>1.0000110000110001</v>
      </c>
    </row>
    <row r="205" spans="1:37" hidden="1" x14ac:dyDescent="0.2">
      <c r="A205">
        <f>SUBTOTAL(3,$B$6:B205)</f>
        <v>0</v>
      </c>
      <c r="B205" t="s">
        <v>980</v>
      </c>
      <c r="C205" t="s">
        <v>927</v>
      </c>
      <c r="D205">
        <v>0</v>
      </c>
      <c r="E205">
        <v>1756.97</v>
      </c>
      <c r="F205">
        <v>2841.68</v>
      </c>
      <c r="G205">
        <v>3925.85</v>
      </c>
      <c r="H205">
        <v>2587.54</v>
      </c>
      <c r="I205">
        <v>1104.549</v>
      </c>
      <c r="J205">
        <v>1104.549</v>
      </c>
      <c r="K205">
        <v>1104.549</v>
      </c>
      <c r="L205">
        <v>1104.549</v>
      </c>
      <c r="M205">
        <v>1104.549</v>
      </c>
      <c r="N205">
        <v>1104.549</v>
      </c>
      <c r="O205">
        <v>1104.549</v>
      </c>
      <c r="P205">
        <v>0</v>
      </c>
      <c r="Q205">
        <v>1756.97</v>
      </c>
      <c r="R205">
        <v>2841.68</v>
      </c>
      <c r="S205">
        <v>3925.85</v>
      </c>
      <c r="T205">
        <v>2587.54</v>
      </c>
      <c r="U205">
        <v>2427.86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s="164">
        <v>40817</v>
      </c>
      <c r="AC205" s="164">
        <v>42052</v>
      </c>
      <c r="AD205" s="164">
        <v>42141</v>
      </c>
      <c r="AE205" s="34">
        <f>SUMPRODUCT(DB_STProjectsSOF[[#This Row],[Plan01]:[Plan12]],$D$4:$O$4)/valUnits2</f>
        <v>12.216589000000001</v>
      </c>
      <c r="AF205" s="34">
        <f>SUMPRODUCT(DB_STProjectsSOF[[#This Row],[Act01]:[Act12]],$P$4:$AA$4)/valUnits2</f>
        <v>13.539900000000001</v>
      </c>
      <c r="AG205" s="34">
        <f>DB_STProjectsSOF[[#This Row],[Actual]]-DB_STProjectsSOF[[#This Row],[Plan]]</f>
        <v>1.3233110000000003</v>
      </c>
      <c r="AH205" s="34">
        <f>IF(DB_STProjectsSOF[[#This Row],[Plan]]&lt;&gt;0,DB_STProjectsSOF[[#This Row],[Actual]]/DB_STProjectsSOF[[#This Row],[Plan]],1.000011000011)</f>
        <v>1.1083208250682739</v>
      </c>
      <c r="AI205" s="34">
        <f>SUM(DB_STProjectsSOF[[#This Row],[Plan01]:[Plan12]])/valUnits2</f>
        <v>18.843882999999995</v>
      </c>
      <c r="AJ205" s="34">
        <f>SUMPRODUCT(DB_STProjectsSOF[[#This Row],[Act01]:[Act12]],$P$3:$AA$3)/valUnits2</f>
        <v>13.539900000000001</v>
      </c>
      <c r="AK205" s="34">
        <f>IF(DB_STProjectsSOF[[#This Row],[FY Plan]]&lt;&gt;0,DB_STProjectsSOF[[#This Row],[FY Actuals]]/DB_STProjectsSOF[[#This Row],[FY Plan]],1.000011000011)</f>
        <v>0.71853025196558507</v>
      </c>
    </row>
    <row r="206" spans="1:37" hidden="1" x14ac:dyDescent="0.2">
      <c r="A206">
        <f>SUBTOTAL(3,$B$6:B206)</f>
        <v>0</v>
      </c>
      <c r="B206" t="s">
        <v>980</v>
      </c>
      <c r="C206" t="s">
        <v>359</v>
      </c>
      <c r="G206">
        <v>0</v>
      </c>
      <c r="H206">
        <v>0</v>
      </c>
      <c r="I206">
        <v>88.990999999999985</v>
      </c>
      <c r="S206">
        <v>0</v>
      </c>
      <c r="T206">
        <v>0</v>
      </c>
      <c r="U206">
        <v>0</v>
      </c>
      <c r="AB206" s="164">
        <v>41275</v>
      </c>
      <c r="AC206" s="164">
        <v>41455</v>
      </c>
      <c r="AD206" s="164">
        <v>41547</v>
      </c>
      <c r="AE206" s="34">
        <f>SUMPRODUCT(DB_STProjectsSOF[[#This Row],[Plan01]:[Plan12]],$D$4:$O$4)/valUnits2</f>
        <v>8.8990999999999987E-2</v>
      </c>
      <c r="AF206" s="34">
        <f>SUMPRODUCT(DB_STProjectsSOF[[#This Row],[Act01]:[Act12]],$P$4:$AA$4)/valUnits2</f>
        <v>0</v>
      </c>
      <c r="AG206" s="34">
        <f>DB_STProjectsSOF[[#This Row],[Actual]]-DB_STProjectsSOF[[#This Row],[Plan]]</f>
        <v>-8.8990999999999987E-2</v>
      </c>
      <c r="AH206" s="34">
        <f>IF(DB_STProjectsSOF[[#This Row],[Plan]]&lt;&gt;0,DB_STProjectsSOF[[#This Row],[Actual]]/DB_STProjectsSOF[[#This Row],[Plan]],1.000011000011)</f>
        <v>0</v>
      </c>
      <c r="AI206" s="34">
        <f>SUM(DB_STProjectsSOF[[#This Row],[Plan01]:[Plan12]])/valUnits2</f>
        <v>8.8990999999999987E-2</v>
      </c>
      <c r="AJ206" s="34">
        <f>SUMPRODUCT(DB_STProjectsSOF[[#This Row],[Act01]:[Act12]],$P$3:$AA$3)/valUnits2</f>
        <v>0</v>
      </c>
      <c r="AK206" s="34">
        <f>IF(DB_STProjectsSOF[[#This Row],[FY Plan]]&lt;&gt;0,DB_STProjectsSOF[[#This Row],[FY Actuals]]/DB_STProjectsSOF[[#This Row],[FY Plan]],1.000011000011)</f>
        <v>0</v>
      </c>
    </row>
    <row r="207" spans="1:37" hidden="1" x14ac:dyDescent="0.2">
      <c r="A207">
        <f>SUBTOTAL(3,$B$6:B207)</f>
        <v>0</v>
      </c>
      <c r="B207" t="s">
        <v>980</v>
      </c>
      <c r="C207" t="s">
        <v>360</v>
      </c>
      <c r="F207">
        <v>0</v>
      </c>
      <c r="G207">
        <v>0</v>
      </c>
      <c r="H207">
        <v>0</v>
      </c>
      <c r="I207">
        <v>312.31199999999995</v>
      </c>
      <c r="R207">
        <v>0</v>
      </c>
      <c r="S207">
        <v>0</v>
      </c>
      <c r="T207">
        <v>0</v>
      </c>
      <c r="U207">
        <v>0</v>
      </c>
      <c r="AB207" s="164">
        <v>41091</v>
      </c>
      <c r="AC207" s="164">
        <v>41455</v>
      </c>
      <c r="AD207" s="164">
        <v>41547</v>
      </c>
      <c r="AE207" s="34">
        <f>SUMPRODUCT(DB_STProjectsSOF[[#This Row],[Plan01]:[Plan12]],$D$4:$O$4)/valUnits2</f>
        <v>0.31231199999999998</v>
      </c>
      <c r="AF207" s="34">
        <f>SUMPRODUCT(DB_STProjectsSOF[[#This Row],[Act01]:[Act12]],$P$4:$AA$4)/valUnits2</f>
        <v>0</v>
      </c>
      <c r="AG207" s="34">
        <f>DB_STProjectsSOF[[#This Row],[Actual]]-DB_STProjectsSOF[[#This Row],[Plan]]</f>
        <v>-0.31231199999999998</v>
      </c>
      <c r="AH207" s="34">
        <f>IF(DB_STProjectsSOF[[#This Row],[Plan]]&lt;&gt;0,DB_STProjectsSOF[[#This Row],[Actual]]/DB_STProjectsSOF[[#This Row],[Plan]],1.000011000011)</f>
        <v>0</v>
      </c>
      <c r="AI207" s="34">
        <f>SUM(DB_STProjectsSOF[[#This Row],[Plan01]:[Plan12]])/valUnits2</f>
        <v>0.31231199999999998</v>
      </c>
      <c r="AJ207" s="34">
        <f>SUMPRODUCT(DB_STProjectsSOF[[#This Row],[Act01]:[Act12]],$P$3:$AA$3)/valUnits2</f>
        <v>0</v>
      </c>
      <c r="AK207" s="34">
        <f>IF(DB_STProjectsSOF[[#This Row],[FY Plan]]&lt;&gt;0,DB_STProjectsSOF[[#This Row],[FY Actuals]]/DB_STProjectsSOF[[#This Row],[FY Plan]],1.000011000011)</f>
        <v>0</v>
      </c>
    </row>
    <row r="208" spans="1:37" hidden="1" x14ac:dyDescent="0.2">
      <c r="A208">
        <f>SUBTOTAL(3,$B$6:B208)</f>
        <v>0</v>
      </c>
      <c r="B208" t="s">
        <v>980</v>
      </c>
      <c r="C208" t="s">
        <v>930</v>
      </c>
      <c r="E208">
        <v>8.4600000000000009</v>
      </c>
      <c r="F208">
        <v>0.43</v>
      </c>
      <c r="H208">
        <v>210.95</v>
      </c>
      <c r="I208">
        <v>0</v>
      </c>
      <c r="Q208">
        <v>8.4600000000000009</v>
      </c>
      <c r="R208">
        <v>0.43</v>
      </c>
      <c r="T208">
        <v>210.95000000000002</v>
      </c>
      <c r="U208">
        <v>533.96</v>
      </c>
      <c r="AB208" s="164">
        <v>40848</v>
      </c>
      <c r="AC208" s="164">
        <v>41729</v>
      </c>
      <c r="AD208" s="164">
        <v>41654</v>
      </c>
      <c r="AE208" s="34">
        <f>SUMPRODUCT(DB_STProjectsSOF[[#This Row],[Plan01]:[Plan12]],$D$4:$O$4)/valUnits2</f>
        <v>0.21983999999999998</v>
      </c>
      <c r="AF208" s="34">
        <f>SUMPRODUCT(DB_STProjectsSOF[[#This Row],[Act01]:[Act12]],$P$4:$AA$4)/valUnits2</f>
        <v>0.75380000000000003</v>
      </c>
      <c r="AG208" s="34">
        <f>DB_STProjectsSOF[[#This Row],[Actual]]-DB_STProjectsSOF[[#This Row],[Plan]]</f>
        <v>0.53395999999999999</v>
      </c>
      <c r="AH208" s="34">
        <f>IF(DB_STProjectsSOF[[#This Row],[Plan]]&lt;&gt;0,DB_STProjectsSOF[[#This Row],[Actual]]/DB_STProjectsSOF[[#This Row],[Plan]],1.000011000011)</f>
        <v>3.4288573508005826</v>
      </c>
      <c r="AI208" s="34">
        <f>SUM(DB_STProjectsSOF[[#This Row],[Plan01]:[Plan12]])/valUnits2</f>
        <v>0.21983999999999998</v>
      </c>
      <c r="AJ208" s="34">
        <f>SUMPRODUCT(DB_STProjectsSOF[[#This Row],[Act01]:[Act12]],$P$3:$AA$3)/valUnits2</f>
        <v>0.75380000000000003</v>
      </c>
      <c r="AK208" s="34">
        <f>IF(DB_STProjectsSOF[[#This Row],[FY Plan]]&lt;&gt;0,DB_STProjectsSOF[[#This Row],[FY Actuals]]/DB_STProjectsSOF[[#This Row],[FY Plan]],1.000011000011)</f>
        <v>3.4288573508005826</v>
      </c>
    </row>
    <row r="209" spans="1:37" hidden="1" x14ac:dyDescent="0.2">
      <c r="A209">
        <f>SUBTOTAL(3,$B$6:B209)</f>
        <v>0</v>
      </c>
      <c r="B209" t="s">
        <v>980</v>
      </c>
      <c r="C209" t="s">
        <v>932</v>
      </c>
      <c r="G209">
        <v>178.14999999999998</v>
      </c>
      <c r="H209">
        <v>178.14999999999998</v>
      </c>
      <c r="I209">
        <v>178.14999999999998</v>
      </c>
      <c r="J209">
        <v>178.14999999999998</v>
      </c>
      <c r="K209">
        <v>178.14999999999998</v>
      </c>
      <c r="L209">
        <v>178.14999999999998</v>
      </c>
      <c r="M209">
        <v>178.14999999999998</v>
      </c>
      <c r="N209">
        <v>178.14999999999998</v>
      </c>
      <c r="O209">
        <v>178.14999999999998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s="164">
        <v>40909</v>
      </c>
      <c r="AC209" s="164">
        <v>41274</v>
      </c>
      <c r="AD209" s="164">
        <v>41305</v>
      </c>
      <c r="AE209" s="34">
        <f>SUMPRODUCT(DB_STProjectsSOF[[#This Row],[Plan01]:[Plan12]],$D$4:$O$4)/valUnits2</f>
        <v>0.53444999999999998</v>
      </c>
      <c r="AF209" s="34">
        <f>SUMPRODUCT(DB_STProjectsSOF[[#This Row],[Act01]:[Act12]],$P$4:$AA$4)/valUnits2</f>
        <v>0</v>
      </c>
      <c r="AG209" s="34">
        <f>DB_STProjectsSOF[[#This Row],[Actual]]-DB_STProjectsSOF[[#This Row],[Plan]]</f>
        <v>-0.53444999999999998</v>
      </c>
      <c r="AH209" s="34">
        <f>IF(DB_STProjectsSOF[[#This Row],[Plan]]&lt;&gt;0,DB_STProjectsSOF[[#This Row],[Actual]]/DB_STProjectsSOF[[#This Row],[Plan]],1.000011000011)</f>
        <v>0</v>
      </c>
      <c r="AI209" s="34">
        <f>SUM(DB_STProjectsSOF[[#This Row],[Plan01]:[Plan12]])/valUnits2</f>
        <v>1.6033499999999998</v>
      </c>
      <c r="AJ209" s="34">
        <f>SUMPRODUCT(DB_STProjectsSOF[[#This Row],[Act01]:[Act12]],$P$3:$AA$3)/valUnits2</f>
        <v>0</v>
      </c>
      <c r="AK209" s="34">
        <f>IF(DB_STProjectsSOF[[#This Row],[FY Plan]]&lt;&gt;0,DB_STProjectsSOF[[#This Row],[FY Actuals]]/DB_STProjectsSOF[[#This Row],[FY Plan]],1.000011000011)</f>
        <v>0</v>
      </c>
    </row>
    <row r="210" spans="1:37" hidden="1" x14ac:dyDescent="0.2">
      <c r="A210">
        <f>SUBTOTAL(3,$B$6:B210)</f>
        <v>0</v>
      </c>
      <c r="B210" t="s">
        <v>980</v>
      </c>
      <c r="C210" t="s">
        <v>933</v>
      </c>
      <c r="E210">
        <v>3297.7799999999997</v>
      </c>
      <c r="F210">
        <v>2277.79</v>
      </c>
      <c r="G210">
        <v>1039.17</v>
      </c>
      <c r="H210">
        <v>0</v>
      </c>
      <c r="I210">
        <v>10</v>
      </c>
      <c r="J210">
        <v>10</v>
      </c>
      <c r="K210">
        <v>10</v>
      </c>
      <c r="L210">
        <v>10</v>
      </c>
      <c r="M210">
        <v>10</v>
      </c>
      <c r="N210">
        <v>10</v>
      </c>
      <c r="O210">
        <v>10</v>
      </c>
      <c r="Q210">
        <v>3297.7799999999997</v>
      </c>
      <c r="R210">
        <v>2277.79</v>
      </c>
      <c r="S210">
        <v>1039.17</v>
      </c>
      <c r="T210">
        <v>0</v>
      </c>
      <c r="U210">
        <v>568.54999999999995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s="164">
        <v>40817</v>
      </c>
      <c r="AC210" s="164">
        <v>42155</v>
      </c>
      <c r="AD210" s="164">
        <v>42217</v>
      </c>
      <c r="AE210" s="34">
        <f>SUMPRODUCT(DB_STProjectsSOF[[#This Row],[Plan01]:[Plan12]],$D$4:$O$4)/valUnits2</f>
        <v>6.6247400000000001</v>
      </c>
      <c r="AF210" s="34">
        <f>SUMPRODUCT(DB_STProjectsSOF[[#This Row],[Act01]:[Act12]],$P$4:$AA$4)/valUnits2</f>
        <v>7.1832900000000004</v>
      </c>
      <c r="AG210" s="34">
        <f>DB_STProjectsSOF[[#This Row],[Actual]]-DB_STProjectsSOF[[#This Row],[Plan]]</f>
        <v>0.55855000000000032</v>
      </c>
      <c r="AH210" s="34">
        <f>IF(DB_STProjectsSOF[[#This Row],[Plan]]&lt;&gt;0,DB_STProjectsSOF[[#This Row],[Actual]]/DB_STProjectsSOF[[#This Row],[Plan]],1.000011000011)</f>
        <v>1.084312742839719</v>
      </c>
      <c r="AI210" s="34">
        <f>SUM(DB_STProjectsSOF[[#This Row],[Plan01]:[Plan12]])/valUnits2</f>
        <v>6.6847399999999997</v>
      </c>
      <c r="AJ210" s="34">
        <f>SUMPRODUCT(DB_STProjectsSOF[[#This Row],[Act01]:[Act12]],$P$3:$AA$3)/valUnits2</f>
        <v>7.1832900000000004</v>
      </c>
      <c r="AK210" s="34">
        <f>IF(DB_STProjectsSOF[[#This Row],[FY Plan]]&lt;&gt;0,DB_STProjectsSOF[[#This Row],[FY Actuals]]/DB_STProjectsSOF[[#This Row],[FY Plan]],1.000011000011)</f>
        <v>1.074580312772075</v>
      </c>
    </row>
    <row r="211" spans="1:37" hidden="1" x14ac:dyDescent="0.2">
      <c r="A211">
        <f>SUBTOTAL(3,$B$6:B211)</f>
        <v>0</v>
      </c>
      <c r="B211" t="s">
        <v>980</v>
      </c>
      <c r="C211" t="s">
        <v>935</v>
      </c>
      <c r="E211">
        <v>1146.1790000000001</v>
      </c>
      <c r="F211">
        <v>1208.664</v>
      </c>
      <c r="G211">
        <v>2332.13</v>
      </c>
      <c r="H211">
        <v>238.72200000000001</v>
      </c>
      <c r="I211">
        <v>1185.5720000000001</v>
      </c>
      <c r="J211">
        <v>1185.5720000000001</v>
      </c>
      <c r="K211">
        <v>1185.5720000000001</v>
      </c>
      <c r="L211">
        <v>1185.5720000000001</v>
      </c>
      <c r="M211">
        <v>1185.5720000000001</v>
      </c>
      <c r="N211">
        <v>1185.5720000000001</v>
      </c>
      <c r="O211">
        <v>1185.5720000000001</v>
      </c>
      <c r="Q211">
        <v>1171.7</v>
      </c>
      <c r="R211">
        <v>1201.9100000000001</v>
      </c>
      <c r="S211">
        <v>2339.88</v>
      </c>
      <c r="T211">
        <v>238.25</v>
      </c>
      <c r="U211">
        <v>269.11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s="164">
        <v>41000</v>
      </c>
      <c r="AC211" s="164">
        <v>42094</v>
      </c>
      <c r="AD211" s="164">
        <v>42124</v>
      </c>
      <c r="AE211" s="34">
        <f>SUMPRODUCT(DB_STProjectsSOF[[#This Row],[Plan01]:[Plan12]],$D$4:$O$4)/valUnits2</f>
        <v>6.1112669999999998</v>
      </c>
      <c r="AF211" s="34">
        <f>SUMPRODUCT(DB_STProjectsSOF[[#This Row],[Act01]:[Act12]],$P$4:$AA$4)/valUnits2</f>
        <v>5.2208499999999995</v>
      </c>
      <c r="AG211" s="34">
        <f>DB_STProjectsSOF[[#This Row],[Actual]]-DB_STProjectsSOF[[#This Row],[Plan]]</f>
        <v>-0.89041700000000024</v>
      </c>
      <c r="AH211" s="34">
        <f>IF(DB_STProjectsSOF[[#This Row],[Plan]]&lt;&gt;0,DB_STProjectsSOF[[#This Row],[Actual]]/DB_STProjectsSOF[[#This Row],[Plan]],1.000011000011)</f>
        <v>0.8542991166970777</v>
      </c>
      <c r="AI211" s="34">
        <f>SUM(DB_STProjectsSOF[[#This Row],[Plan01]:[Plan12]])/valUnits2</f>
        <v>13.224699000000001</v>
      </c>
      <c r="AJ211" s="34">
        <f>SUMPRODUCT(DB_STProjectsSOF[[#This Row],[Act01]:[Act12]],$P$3:$AA$3)/valUnits2</f>
        <v>5.2208499999999995</v>
      </c>
      <c r="AK211" s="34">
        <f>IF(DB_STProjectsSOF[[#This Row],[FY Plan]]&lt;&gt;0,DB_STProjectsSOF[[#This Row],[FY Actuals]]/DB_STProjectsSOF[[#This Row],[FY Plan]],1.000011000011)</f>
        <v>0.39478025170932052</v>
      </c>
    </row>
    <row r="212" spans="1:37" hidden="1" x14ac:dyDescent="0.2">
      <c r="A212">
        <f>SUBTOTAL(3,$B$6:B212)</f>
        <v>0</v>
      </c>
      <c r="B212" t="s">
        <v>999</v>
      </c>
      <c r="C212" t="s">
        <v>842</v>
      </c>
      <c r="D212">
        <v>0</v>
      </c>
      <c r="E212">
        <v>0</v>
      </c>
      <c r="F212">
        <v>0</v>
      </c>
      <c r="G212">
        <v>0</v>
      </c>
      <c r="H212">
        <v>1287.8109999999999</v>
      </c>
      <c r="I212">
        <v>374.988</v>
      </c>
      <c r="J212">
        <v>374.988</v>
      </c>
      <c r="K212">
        <v>374.988</v>
      </c>
      <c r="L212">
        <v>374.988</v>
      </c>
      <c r="M212">
        <v>374.988</v>
      </c>
      <c r="N212">
        <v>374.988</v>
      </c>
      <c r="O212">
        <v>374.988</v>
      </c>
      <c r="P212">
        <v>0</v>
      </c>
      <c r="Q212">
        <v>0</v>
      </c>
      <c r="R212">
        <v>0</v>
      </c>
      <c r="S212">
        <v>0</v>
      </c>
      <c r="T212">
        <v>1272.2</v>
      </c>
      <c r="U212">
        <v>2168.92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s="164">
        <v>41214</v>
      </c>
      <c r="AC212" s="164">
        <v>42308</v>
      </c>
      <c r="AD212" s="164">
        <v>42389</v>
      </c>
      <c r="AE212" s="34">
        <f>SUMPRODUCT(DB_STProjectsSOF[[#This Row],[Plan01]:[Plan12]],$D$4:$O$4)/valUnits2</f>
        <v>1.6627989999999999</v>
      </c>
      <c r="AF212" s="34">
        <f>SUMPRODUCT(DB_STProjectsSOF[[#This Row],[Act01]:[Act12]],$P$4:$AA$4)/valUnits2</f>
        <v>3.4411199999999997</v>
      </c>
      <c r="AG212" s="34">
        <f>DB_STProjectsSOF[[#This Row],[Actual]]-DB_STProjectsSOF[[#This Row],[Plan]]</f>
        <v>1.7783209999999998</v>
      </c>
      <c r="AH212" s="34">
        <f>IF(DB_STProjectsSOF[[#This Row],[Plan]]&lt;&gt;0,DB_STProjectsSOF[[#This Row],[Actual]]/DB_STProjectsSOF[[#This Row],[Plan]],1.000011000011)</f>
        <v>2.0694744223444927</v>
      </c>
      <c r="AI212" s="34">
        <f>SUM(DB_STProjectsSOF[[#This Row],[Plan01]:[Plan12]])/valUnits2</f>
        <v>3.9127269999999994</v>
      </c>
      <c r="AJ212" s="34">
        <f>SUMPRODUCT(DB_STProjectsSOF[[#This Row],[Act01]:[Act12]],$P$3:$AA$3)/valUnits2</f>
        <v>3.4411199999999997</v>
      </c>
      <c r="AK212" s="34">
        <f>IF(DB_STProjectsSOF[[#This Row],[FY Plan]]&lt;&gt;0,DB_STProjectsSOF[[#This Row],[FY Actuals]]/DB_STProjectsSOF[[#This Row],[FY Plan]],1.000011000011)</f>
        <v>0.87946846278822932</v>
      </c>
    </row>
    <row r="213" spans="1:37" hidden="1" x14ac:dyDescent="0.2">
      <c r="A213">
        <f>SUBTOTAL(3,$B$6:B213)</f>
        <v>0</v>
      </c>
      <c r="B213" t="s">
        <v>999</v>
      </c>
      <c r="C213" t="s">
        <v>843</v>
      </c>
      <c r="G213">
        <v>4022.5070000000001</v>
      </c>
      <c r="H213">
        <v>6886.0330000000004</v>
      </c>
      <c r="I213">
        <v>879.74599999999998</v>
      </c>
      <c r="J213">
        <v>879.74599999999998</v>
      </c>
      <c r="K213">
        <v>879.74599999999998</v>
      </c>
      <c r="L213">
        <v>879.74599999999998</v>
      </c>
      <c r="M213">
        <v>879.74599999999998</v>
      </c>
      <c r="N213">
        <v>879.74599999999998</v>
      </c>
      <c r="O213">
        <v>879.74599999999998</v>
      </c>
      <c r="S213">
        <v>4026.44</v>
      </c>
      <c r="T213">
        <v>6953.75</v>
      </c>
      <c r="U213">
        <v>2400.9299999999998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s="164">
        <v>41275</v>
      </c>
      <c r="AC213" s="164">
        <v>42369</v>
      </c>
      <c r="AD213" s="164">
        <v>42492</v>
      </c>
      <c r="AE213" s="34">
        <f>SUMPRODUCT(DB_STProjectsSOF[[#This Row],[Plan01]:[Plan12]],$D$4:$O$4)/valUnits2</f>
        <v>11.788285999999999</v>
      </c>
      <c r="AF213" s="34">
        <f>SUMPRODUCT(DB_STProjectsSOF[[#This Row],[Act01]:[Act12]],$P$4:$AA$4)/valUnits2</f>
        <v>13.381120000000001</v>
      </c>
      <c r="AG213" s="34">
        <f>DB_STProjectsSOF[[#This Row],[Actual]]-DB_STProjectsSOF[[#This Row],[Plan]]</f>
        <v>1.5928340000000016</v>
      </c>
      <c r="AH213" s="34">
        <f>IF(DB_STProjectsSOF[[#This Row],[Plan]]&lt;&gt;0,DB_STProjectsSOF[[#This Row],[Actual]]/DB_STProjectsSOF[[#This Row],[Plan]],1.000011000011)</f>
        <v>1.1351200674975142</v>
      </c>
      <c r="AI213" s="34">
        <f>SUM(DB_STProjectsSOF[[#This Row],[Plan01]:[Plan12]])/valUnits2</f>
        <v>17.066761999999994</v>
      </c>
      <c r="AJ213" s="34">
        <f>SUMPRODUCT(DB_STProjectsSOF[[#This Row],[Act01]:[Act12]],$P$3:$AA$3)/valUnits2</f>
        <v>13.381120000000001</v>
      </c>
      <c r="AK213" s="34">
        <f>IF(DB_STProjectsSOF[[#This Row],[FY Plan]]&lt;&gt;0,DB_STProjectsSOF[[#This Row],[FY Actuals]]/DB_STProjectsSOF[[#This Row],[FY Plan]],1.000011000011)</f>
        <v>0.78404562037016778</v>
      </c>
    </row>
    <row r="214" spans="1:37" hidden="1" x14ac:dyDescent="0.2">
      <c r="A214">
        <f>SUBTOTAL(3,$B$6:B214)</f>
        <v>0</v>
      </c>
      <c r="B214" t="s">
        <v>999</v>
      </c>
      <c r="C214" t="s">
        <v>357</v>
      </c>
      <c r="G214">
        <v>0</v>
      </c>
      <c r="H214">
        <v>0</v>
      </c>
      <c r="I214">
        <v>78.599999999999994</v>
      </c>
      <c r="S214">
        <v>0</v>
      </c>
      <c r="T214">
        <v>0</v>
      </c>
      <c r="U214">
        <v>0</v>
      </c>
      <c r="AB214" s="164">
        <v>40817</v>
      </c>
      <c r="AC214" s="164">
        <v>41455</v>
      </c>
      <c r="AD214" s="164">
        <v>41517</v>
      </c>
      <c r="AE214" s="34">
        <f>SUMPRODUCT(DB_STProjectsSOF[[#This Row],[Plan01]:[Plan12]],$D$4:$O$4)/valUnits2</f>
        <v>7.8599999999999989E-2</v>
      </c>
      <c r="AF214" s="34">
        <f>SUMPRODUCT(DB_STProjectsSOF[[#This Row],[Act01]:[Act12]],$P$4:$AA$4)/valUnits2</f>
        <v>0</v>
      </c>
      <c r="AG214" s="34">
        <f>DB_STProjectsSOF[[#This Row],[Actual]]-DB_STProjectsSOF[[#This Row],[Plan]]</f>
        <v>-7.8599999999999989E-2</v>
      </c>
      <c r="AH214" s="34">
        <f>IF(DB_STProjectsSOF[[#This Row],[Plan]]&lt;&gt;0,DB_STProjectsSOF[[#This Row],[Actual]]/DB_STProjectsSOF[[#This Row],[Plan]],1.000011000011)</f>
        <v>0</v>
      </c>
      <c r="AI214" s="34">
        <f>SUM(DB_STProjectsSOF[[#This Row],[Plan01]:[Plan12]])/valUnits2</f>
        <v>7.8599999999999989E-2</v>
      </c>
      <c r="AJ214" s="34">
        <f>SUMPRODUCT(DB_STProjectsSOF[[#This Row],[Act01]:[Act12]],$P$3:$AA$3)/valUnits2</f>
        <v>0</v>
      </c>
      <c r="AK214" s="34">
        <f>IF(DB_STProjectsSOF[[#This Row],[FY Plan]]&lt;&gt;0,DB_STProjectsSOF[[#This Row],[FY Actuals]]/DB_STProjectsSOF[[#This Row],[FY Plan]],1.000011000011)</f>
        <v>0</v>
      </c>
    </row>
    <row r="215" spans="1:37" hidden="1" x14ac:dyDescent="0.2">
      <c r="A215">
        <f>SUBTOTAL(3,$B$6:B215)</f>
        <v>0</v>
      </c>
      <c r="B215" t="s">
        <v>999</v>
      </c>
      <c r="C215" t="s">
        <v>846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186.34700000000001</v>
      </c>
      <c r="J215">
        <v>186.34700000000001</v>
      </c>
      <c r="K215">
        <v>186.34700000000001</v>
      </c>
      <c r="L215">
        <v>186.34700000000001</v>
      </c>
      <c r="M215">
        <v>186.34700000000001</v>
      </c>
      <c r="N215">
        <v>186.34700000000001</v>
      </c>
      <c r="O215">
        <v>186.34700000000001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s="164">
        <v>40817</v>
      </c>
      <c r="AC215" s="164">
        <v>41599</v>
      </c>
      <c r="AD215" s="164">
        <v>41305</v>
      </c>
      <c r="AE215" s="34">
        <f>SUMPRODUCT(DB_STProjectsSOF[[#This Row],[Plan01]:[Plan12]],$D$4:$O$4)/valUnits2</f>
        <v>0.18634700000000001</v>
      </c>
      <c r="AF215" s="34">
        <f>SUMPRODUCT(DB_STProjectsSOF[[#This Row],[Act01]:[Act12]],$P$4:$AA$4)/valUnits2</f>
        <v>0</v>
      </c>
      <c r="AG215" s="34">
        <f>DB_STProjectsSOF[[#This Row],[Actual]]-DB_STProjectsSOF[[#This Row],[Plan]]</f>
        <v>-0.18634700000000001</v>
      </c>
      <c r="AH215" s="34">
        <f>IF(DB_STProjectsSOF[[#This Row],[Plan]]&lt;&gt;0,DB_STProjectsSOF[[#This Row],[Actual]]/DB_STProjectsSOF[[#This Row],[Plan]],1.000011000011)</f>
        <v>0</v>
      </c>
      <c r="AI215" s="34">
        <f>SUM(DB_STProjectsSOF[[#This Row],[Plan01]:[Plan12]])/valUnits2</f>
        <v>1.3044290000000001</v>
      </c>
      <c r="AJ215" s="34">
        <f>SUMPRODUCT(DB_STProjectsSOF[[#This Row],[Act01]:[Act12]],$P$3:$AA$3)/valUnits2</f>
        <v>0</v>
      </c>
      <c r="AK215" s="34">
        <f>IF(DB_STProjectsSOF[[#This Row],[FY Plan]]&lt;&gt;0,DB_STProjectsSOF[[#This Row],[FY Actuals]]/DB_STProjectsSOF[[#This Row],[FY Plan]],1.000011000011)</f>
        <v>0</v>
      </c>
    </row>
    <row r="216" spans="1:37" hidden="1" x14ac:dyDescent="0.2">
      <c r="A216">
        <f>SUBTOTAL(3,$B$6:B216)</f>
        <v>0</v>
      </c>
      <c r="B216" t="s">
        <v>999</v>
      </c>
      <c r="C216" t="s">
        <v>847</v>
      </c>
      <c r="H216">
        <v>2107.2779999999998</v>
      </c>
      <c r="I216">
        <v>0</v>
      </c>
      <c r="T216">
        <v>2167.4</v>
      </c>
      <c r="U216">
        <v>-1056.29</v>
      </c>
      <c r="AB216" s="164">
        <v>41334</v>
      </c>
      <c r="AC216" s="164">
        <v>41698</v>
      </c>
      <c r="AD216" s="164">
        <v>41759</v>
      </c>
      <c r="AE216" s="34">
        <f>SUMPRODUCT(DB_STProjectsSOF[[#This Row],[Plan01]:[Plan12]],$D$4:$O$4)/valUnits2</f>
        <v>2.107278</v>
      </c>
      <c r="AF216" s="34">
        <f>SUMPRODUCT(DB_STProjectsSOF[[#This Row],[Act01]:[Act12]],$P$4:$AA$4)/valUnits2</f>
        <v>1.11111</v>
      </c>
      <c r="AG216" s="34">
        <f>DB_STProjectsSOF[[#This Row],[Actual]]-DB_STProjectsSOF[[#This Row],[Plan]]</f>
        <v>-0.99616799999999994</v>
      </c>
      <c r="AH216" s="34">
        <f>IF(DB_STProjectsSOF[[#This Row],[Plan]]&lt;&gt;0,DB_STProjectsSOF[[#This Row],[Actual]]/DB_STProjectsSOF[[#This Row],[Plan]],1.000011000011)</f>
        <v>0.52727262373545403</v>
      </c>
      <c r="AI216" s="34">
        <f>SUM(DB_STProjectsSOF[[#This Row],[Plan01]:[Plan12]])/valUnits2</f>
        <v>2.107278</v>
      </c>
      <c r="AJ216" s="34">
        <f>SUMPRODUCT(DB_STProjectsSOF[[#This Row],[Act01]:[Act12]],$P$3:$AA$3)/valUnits2</f>
        <v>1.11111</v>
      </c>
      <c r="AK216" s="34">
        <f>IF(DB_STProjectsSOF[[#This Row],[FY Plan]]&lt;&gt;0,DB_STProjectsSOF[[#This Row],[FY Actuals]]/DB_STProjectsSOF[[#This Row],[FY Plan]],1.000011000011)</f>
        <v>0.52727262373545403</v>
      </c>
    </row>
    <row r="217" spans="1:37" hidden="1" x14ac:dyDescent="0.2">
      <c r="A217">
        <f>SUBTOTAL(3,$B$6:B217)</f>
        <v>0</v>
      </c>
      <c r="B217" t="s">
        <v>999</v>
      </c>
      <c r="C217" t="s">
        <v>849</v>
      </c>
      <c r="G217">
        <v>0</v>
      </c>
      <c r="H217">
        <v>0</v>
      </c>
      <c r="S217">
        <v>0</v>
      </c>
      <c r="T217">
        <v>0</v>
      </c>
      <c r="AB217" s="164">
        <v>41153</v>
      </c>
      <c r="AC217" s="164">
        <v>41364</v>
      </c>
      <c r="AD217" s="164">
        <v>41424</v>
      </c>
      <c r="AE217" s="34">
        <f>SUMPRODUCT(DB_STProjectsSOF[[#This Row],[Plan01]:[Plan12]],$D$4:$O$4)/valUnits2</f>
        <v>0</v>
      </c>
      <c r="AF217" s="34">
        <f>SUMPRODUCT(DB_STProjectsSOF[[#This Row],[Act01]:[Act12]],$P$4:$AA$4)/valUnits2</f>
        <v>0</v>
      </c>
      <c r="AG217" s="34">
        <f>DB_STProjectsSOF[[#This Row],[Actual]]-DB_STProjectsSOF[[#This Row],[Plan]]</f>
        <v>0</v>
      </c>
      <c r="AH217" s="34">
        <f>IF(DB_STProjectsSOF[[#This Row],[Plan]]&lt;&gt;0,DB_STProjectsSOF[[#This Row],[Actual]]/DB_STProjectsSOF[[#This Row],[Plan]],1.000011000011)</f>
        <v>1.0000110000110001</v>
      </c>
      <c r="AI217" s="34">
        <f>SUM(DB_STProjectsSOF[[#This Row],[Plan01]:[Plan12]])/valUnits2</f>
        <v>0</v>
      </c>
      <c r="AJ217" s="34">
        <f>SUMPRODUCT(DB_STProjectsSOF[[#This Row],[Act01]:[Act12]],$P$3:$AA$3)/valUnits2</f>
        <v>0</v>
      </c>
      <c r="AK217" s="34">
        <f>IF(DB_STProjectsSOF[[#This Row],[FY Plan]]&lt;&gt;0,DB_STProjectsSOF[[#This Row],[FY Actuals]]/DB_STProjectsSOF[[#This Row],[FY Plan]],1.000011000011)</f>
        <v>1.0000110000110001</v>
      </c>
    </row>
    <row r="218" spans="1:37" hidden="1" x14ac:dyDescent="0.2">
      <c r="A218">
        <f>SUBTOTAL(3,$B$6:B218)</f>
        <v>0</v>
      </c>
      <c r="B218" t="s">
        <v>999</v>
      </c>
      <c r="C218" t="s">
        <v>353</v>
      </c>
      <c r="F218">
        <v>0</v>
      </c>
      <c r="G218">
        <v>0</v>
      </c>
      <c r="R218">
        <v>0</v>
      </c>
      <c r="S218">
        <v>0</v>
      </c>
      <c r="AB218" s="164">
        <v>41214</v>
      </c>
      <c r="AC218" s="164">
        <v>41455</v>
      </c>
      <c r="AD218" s="164">
        <v>41532</v>
      </c>
      <c r="AE218" s="34">
        <f>SUMPRODUCT(DB_STProjectsSOF[[#This Row],[Plan01]:[Plan12]],$D$4:$O$4)/valUnits2</f>
        <v>0</v>
      </c>
      <c r="AF218" s="34">
        <f>SUMPRODUCT(DB_STProjectsSOF[[#This Row],[Act01]:[Act12]],$P$4:$AA$4)/valUnits2</f>
        <v>0</v>
      </c>
      <c r="AG218" s="34">
        <f>DB_STProjectsSOF[[#This Row],[Actual]]-DB_STProjectsSOF[[#This Row],[Plan]]</f>
        <v>0</v>
      </c>
      <c r="AH218" s="34">
        <f>IF(DB_STProjectsSOF[[#This Row],[Plan]]&lt;&gt;0,DB_STProjectsSOF[[#This Row],[Actual]]/DB_STProjectsSOF[[#This Row],[Plan]],1.000011000011)</f>
        <v>1.0000110000110001</v>
      </c>
      <c r="AI218" s="34">
        <f>SUM(DB_STProjectsSOF[[#This Row],[Plan01]:[Plan12]])/valUnits2</f>
        <v>0</v>
      </c>
      <c r="AJ218" s="34">
        <f>SUMPRODUCT(DB_STProjectsSOF[[#This Row],[Act01]:[Act12]],$P$3:$AA$3)/valUnits2</f>
        <v>0</v>
      </c>
      <c r="AK218" s="34">
        <f>IF(DB_STProjectsSOF[[#This Row],[FY Plan]]&lt;&gt;0,DB_STProjectsSOF[[#This Row],[FY Actuals]]/DB_STProjectsSOF[[#This Row],[FY Plan]],1.000011000011)</f>
        <v>1.0000110000110001</v>
      </c>
    </row>
    <row r="219" spans="1:37" hidden="1" x14ac:dyDescent="0.2">
      <c r="A219">
        <f>SUBTOTAL(3,$B$6:B219)</f>
        <v>0</v>
      </c>
      <c r="B219" t="s">
        <v>999</v>
      </c>
      <c r="C219" t="s">
        <v>850</v>
      </c>
      <c r="D219">
        <v>0</v>
      </c>
      <c r="E219">
        <v>987.45100000000002</v>
      </c>
      <c r="F219">
        <v>0</v>
      </c>
      <c r="G219">
        <v>1128.7820000000002</v>
      </c>
      <c r="H219">
        <v>898.23699999999985</v>
      </c>
      <c r="I219">
        <v>170.35399999999998</v>
      </c>
      <c r="J219">
        <v>170.35399999999998</v>
      </c>
      <c r="K219">
        <v>170.35399999999998</v>
      </c>
      <c r="L219">
        <v>170.35399999999998</v>
      </c>
      <c r="M219">
        <v>170.35399999999998</v>
      </c>
      <c r="N219">
        <v>170.35399999999998</v>
      </c>
      <c r="O219">
        <v>170.35399999999998</v>
      </c>
      <c r="P219">
        <v>0</v>
      </c>
      <c r="Q219">
        <v>987.43000000000006</v>
      </c>
      <c r="R219">
        <v>0</v>
      </c>
      <c r="S219">
        <v>1128.9999999999998</v>
      </c>
      <c r="T219">
        <v>893.70999999999992</v>
      </c>
      <c r="U219">
        <v>526.05999999999995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s="164">
        <v>40817</v>
      </c>
      <c r="AC219" s="164">
        <v>41639</v>
      </c>
      <c r="AD219" s="164">
        <v>41820</v>
      </c>
      <c r="AE219" s="34">
        <f>SUMPRODUCT(DB_STProjectsSOF[[#This Row],[Plan01]:[Plan12]],$D$4:$O$4)/valUnits2</f>
        <v>3.1848239999999999</v>
      </c>
      <c r="AF219" s="34">
        <f>SUMPRODUCT(DB_STProjectsSOF[[#This Row],[Act01]:[Act12]],$P$4:$AA$4)/valUnits2</f>
        <v>3.5362</v>
      </c>
      <c r="AG219" s="34">
        <f>DB_STProjectsSOF[[#This Row],[Actual]]-DB_STProjectsSOF[[#This Row],[Plan]]</f>
        <v>0.35137600000000013</v>
      </c>
      <c r="AH219" s="34">
        <f>IF(DB_STProjectsSOF[[#This Row],[Plan]]&lt;&gt;0,DB_STProjectsSOF[[#This Row],[Actual]]/DB_STProjectsSOF[[#This Row],[Plan]],1.000011000011)</f>
        <v>1.1103282316385459</v>
      </c>
      <c r="AI219" s="34">
        <f>SUM(DB_STProjectsSOF[[#This Row],[Plan01]:[Plan12]])/valUnits2</f>
        <v>4.2069479999999997</v>
      </c>
      <c r="AJ219" s="34">
        <f>SUMPRODUCT(DB_STProjectsSOF[[#This Row],[Act01]:[Act12]],$P$3:$AA$3)/valUnits2</f>
        <v>3.5362</v>
      </c>
      <c r="AK219" s="34">
        <f>IF(DB_STProjectsSOF[[#This Row],[FY Plan]]&lt;&gt;0,DB_STProjectsSOF[[#This Row],[FY Actuals]]/DB_STProjectsSOF[[#This Row],[FY Plan]],1.000011000011)</f>
        <v>0.84056185148948837</v>
      </c>
    </row>
    <row r="220" spans="1:37" hidden="1" x14ac:dyDescent="0.2">
      <c r="A220">
        <f>SUBTOTAL(3,$B$6:B220)</f>
        <v>0</v>
      </c>
      <c r="B220" t="s">
        <v>999</v>
      </c>
      <c r="C220" t="s">
        <v>853</v>
      </c>
      <c r="G220">
        <v>0</v>
      </c>
      <c r="H220">
        <v>0</v>
      </c>
      <c r="I220">
        <v>16.921999999999997</v>
      </c>
      <c r="J220">
        <v>16.921999999999997</v>
      </c>
      <c r="K220">
        <v>16.921999999999997</v>
      </c>
      <c r="L220">
        <v>16.921999999999997</v>
      </c>
      <c r="M220">
        <v>16.921999999999997</v>
      </c>
      <c r="N220">
        <v>16.921999999999997</v>
      </c>
      <c r="O220">
        <v>16.921999999999997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s="164">
        <v>41275</v>
      </c>
      <c r="AC220" s="164">
        <v>41639</v>
      </c>
      <c r="AD220" s="164">
        <v>41669</v>
      </c>
      <c r="AE220" s="34">
        <f>SUMPRODUCT(DB_STProjectsSOF[[#This Row],[Plan01]:[Plan12]],$D$4:$O$4)/valUnits2</f>
        <v>1.6921999999999996E-2</v>
      </c>
      <c r="AF220" s="34">
        <f>SUMPRODUCT(DB_STProjectsSOF[[#This Row],[Act01]:[Act12]],$P$4:$AA$4)/valUnits2</f>
        <v>0</v>
      </c>
      <c r="AG220" s="34">
        <f>DB_STProjectsSOF[[#This Row],[Actual]]-DB_STProjectsSOF[[#This Row],[Plan]]</f>
        <v>-1.6921999999999996E-2</v>
      </c>
      <c r="AH220" s="34">
        <f>IF(DB_STProjectsSOF[[#This Row],[Plan]]&lt;&gt;0,DB_STProjectsSOF[[#This Row],[Actual]]/DB_STProjectsSOF[[#This Row],[Plan]],1.000011000011)</f>
        <v>0</v>
      </c>
      <c r="AI220" s="34">
        <f>SUM(DB_STProjectsSOF[[#This Row],[Plan01]:[Plan12]])/valUnits2</f>
        <v>0.11845399999999998</v>
      </c>
      <c r="AJ220" s="34">
        <f>SUMPRODUCT(DB_STProjectsSOF[[#This Row],[Act01]:[Act12]],$P$3:$AA$3)/valUnits2</f>
        <v>0</v>
      </c>
      <c r="AK220" s="34">
        <f>IF(DB_STProjectsSOF[[#This Row],[FY Plan]]&lt;&gt;0,DB_STProjectsSOF[[#This Row],[FY Actuals]]/DB_STProjectsSOF[[#This Row],[FY Plan]],1.000011000011)</f>
        <v>0</v>
      </c>
    </row>
    <row r="221" spans="1:37" hidden="1" x14ac:dyDescent="0.2">
      <c r="A221">
        <f>SUBTOTAL(3,$B$6:B221)</f>
        <v>0</v>
      </c>
      <c r="B221" t="s">
        <v>999</v>
      </c>
      <c r="C221" t="s">
        <v>854</v>
      </c>
      <c r="F221">
        <v>0</v>
      </c>
      <c r="G221">
        <v>0</v>
      </c>
      <c r="H221">
        <v>656.30200000000002</v>
      </c>
      <c r="I221">
        <v>289.17700000000002</v>
      </c>
      <c r="J221">
        <v>289.17700000000002</v>
      </c>
      <c r="K221">
        <v>289.17700000000002</v>
      </c>
      <c r="L221">
        <v>289.17700000000002</v>
      </c>
      <c r="M221">
        <v>289.17700000000002</v>
      </c>
      <c r="N221">
        <v>289.17700000000002</v>
      </c>
      <c r="O221">
        <v>289.17700000000002</v>
      </c>
      <c r="R221">
        <v>0</v>
      </c>
      <c r="S221">
        <v>0</v>
      </c>
      <c r="T221">
        <v>665.1</v>
      </c>
      <c r="U221">
        <v>696.32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s="164">
        <v>40923</v>
      </c>
      <c r="AC221" s="164">
        <v>41698</v>
      </c>
      <c r="AD221" s="164">
        <v>41759</v>
      </c>
      <c r="AE221" s="34">
        <f>SUMPRODUCT(DB_STProjectsSOF[[#This Row],[Plan01]:[Plan12]],$D$4:$O$4)/valUnits2</f>
        <v>0.94547900000000007</v>
      </c>
      <c r="AF221" s="34">
        <f>SUMPRODUCT(DB_STProjectsSOF[[#This Row],[Act01]:[Act12]],$P$4:$AA$4)/valUnits2</f>
        <v>1.3614200000000001</v>
      </c>
      <c r="AG221" s="34">
        <f>DB_STProjectsSOF[[#This Row],[Actual]]-DB_STProjectsSOF[[#This Row],[Plan]]</f>
        <v>0.41594100000000001</v>
      </c>
      <c r="AH221" s="34">
        <f>IF(DB_STProjectsSOF[[#This Row],[Plan]]&lt;&gt;0,DB_STProjectsSOF[[#This Row],[Actual]]/DB_STProjectsSOF[[#This Row],[Plan]],1.000011000011)</f>
        <v>1.4399262172930334</v>
      </c>
      <c r="AI221" s="34">
        <f>SUM(DB_STProjectsSOF[[#This Row],[Plan01]:[Plan12]])/valUnits2</f>
        <v>2.6805410000000007</v>
      </c>
      <c r="AJ221" s="34">
        <f>SUMPRODUCT(DB_STProjectsSOF[[#This Row],[Act01]:[Act12]],$P$3:$AA$3)/valUnits2</f>
        <v>1.3614200000000001</v>
      </c>
      <c r="AK221" s="34">
        <f>IF(DB_STProjectsSOF[[#This Row],[FY Plan]]&lt;&gt;0,DB_STProjectsSOF[[#This Row],[FY Actuals]]/DB_STProjectsSOF[[#This Row],[FY Plan]],1.000011000011)</f>
        <v>0.50789001175508963</v>
      </c>
    </row>
    <row r="222" spans="1:37" hidden="1" x14ac:dyDescent="0.2">
      <c r="A222">
        <f>SUBTOTAL(3,$B$6:B222)</f>
        <v>0</v>
      </c>
      <c r="B222" t="s">
        <v>999</v>
      </c>
      <c r="C222" t="s">
        <v>855</v>
      </c>
      <c r="G222">
        <v>2183.9290000000001</v>
      </c>
      <c r="H222">
        <v>617.16099999999994</v>
      </c>
      <c r="I222">
        <v>553.59699999999998</v>
      </c>
      <c r="J222">
        <v>553.59699999999998</v>
      </c>
      <c r="K222">
        <v>553.59699999999998</v>
      </c>
      <c r="L222">
        <v>553.59699999999998</v>
      </c>
      <c r="M222">
        <v>553.59699999999998</v>
      </c>
      <c r="N222">
        <v>553.59699999999998</v>
      </c>
      <c r="O222">
        <v>553.59699999999998</v>
      </c>
      <c r="S222">
        <v>2193.1000000000004</v>
      </c>
      <c r="T222">
        <v>609.68000000000006</v>
      </c>
      <c r="U222">
        <v>609.28999999999974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s="164">
        <v>40817</v>
      </c>
      <c r="AC222" s="164">
        <v>41759</v>
      </c>
      <c r="AD222" s="164">
        <v>41820</v>
      </c>
      <c r="AE222" s="34">
        <f>SUMPRODUCT(DB_STProjectsSOF[[#This Row],[Plan01]:[Plan12]],$D$4:$O$4)/valUnits2</f>
        <v>3.3546869999999998</v>
      </c>
      <c r="AF222" s="34">
        <f>SUMPRODUCT(DB_STProjectsSOF[[#This Row],[Act01]:[Act12]],$P$4:$AA$4)/valUnits2</f>
        <v>3.4120700000000008</v>
      </c>
      <c r="AG222" s="34">
        <f>DB_STProjectsSOF[[#This Row],[Actual]]-DB_STProjectsSOF[[#This Row],[Plan]]</f>
        <v>5.7383000000001072E-2</v>
      </c>
      <c r="AH222" s="34">
        <f>IF(DB_STProjectsSOF[[#This Row],[Plan]]&lt;&gt;0,DB_STProjectsSOF[[#This Row],[Actual]]/DB_STProjectsSOF[[#This Row],[Plan]],1.000011000011)</f>
        <v>1.0171053215993031</v>
      </c>
      <c r="AI222" s="34">
        <f>SUM(DB_STProjectsSOF[[#This Row],[Plan01]:[Plan12]])/valUnits2</f>
        <v>6.6762689999999987</v>
      </c>
      <c r="AJ222" s="34">
        <f>SUMPRODUCT(DB_STProjectsSOF[[#This Row],[Act01]:[Act12]],$P$3:$AA$3)/valUnits2</f>
        <v>3.4120700000000008</v>
      </c>
      <c r="AK222" s="34">
        <f>IF(DB_STProjectsSOF[[#This Row],[FY Plan]]&lt;&gt;0,DB_STProjectsSOF[[#This Row],[FY Actuals]]/DB_STProjectsSOF[[#This Row],[FY Plan]],1.000011000011)</f>
        <v>0.51107437402537281</v>
      </c>
    </row>
    <row r="223" spans="1:37" hidden="1" x14ac:dyDescent="0.2">
      <c r="A223">
        <f>SUBTOTAL(3,$B$6:B223)</f>
        <v>0</v>
      </c>
      <c r="B223" t="s">
        <v>999</v>
      </c>
      <c r="C223" t="s">
        <v>856</v>
      </c>
      <c r="D223">
        <v>2422.4369999999999</v>
      </c>
      <c r="E223">
        <v>2491.3820000000001</v>
      </c>
      <c r="F223">
        <v>3502.0919999999996</v>
      </c>
      <c r="G223">
        <v>4174.1350000000002</v>
      </c>
      <c r="H223">
        <v>2701.3710000000001</v>
      </c>
      <c r="I223">
        <v>1560.912</v>
      </c>
      <c r="J223">
        <v>1560.912</v>
      </c>
      <c r="K223">
        <v>1560.912</v>
      </c>
      <c r="L223">
        <v>1560.912</v>
      </c>
      <c r="M223">
        <v>1560.912</v>
      </c>
      <c r="N223">
        <v>1560.912</v>
      </c>
      <c r="O223">
        <v>1560.912</v>
      </c>
      <c r="P223">
        <v>814.56</v>
      </c>
      <c r="Q223">
        <v>892.62</v>
      </c>
      <c r="R223">
        <v>1865.54</v>
      </c>
      <c r="S223">
        <v>2513.39</v>
      </c>
      <c r="T223">
        <v>1109.9099999999999</v>
      </c>
      <c r="U223">
        <v>1589.6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s="164">
        <v>40817</v>
      </c>
      <c r="AC223" s="164">
        <v>42338</v>
      </c>
      <c r="AD223" s="164">
        <v>42490</v>
      </c>
      <c r="AE223" s="34">
        <f>SUMPRODUCT(DB_STProjectsSOF[[#This Row],[Plan01]:[Plan12]],$D$4:$O$4)/valUnits2</f>
        <v>16.852329000000001</v>
      </c>
      <c r="AF223" s="34">
        <f>SUMPRODUCT(DB_STProjectsSOF[[#This Row],[Act01]:[Act12]],$P$4:$AA$4)/valUnits2</f>
        <v>8.7856199999999998</v>
      </c>
      <c r="AG223" s="34">
        <f>DB_STProjectsSOF[[#This Row],[Actual]]-DB_STProjectsSOF[[#This Row],[Plan]]</f>
        <v>-8.0667090000000012</v>
      </c>
      <c r="AH223" s="34">
        <f>IF(DB_STProjectsSOF[[#This Row],[Plan]]&lt;&gt;0,DB_STProjectsSOF[[#This Row],[Actual]]/DB_STProjectsSOF[[#This Row],[Plan]],1.000011000011)</f>
        <v>0.52132972243777098</v>
      </c>
      <c r="AI223" s="34">
        <f>SUM(DB_STProjectsSOF[[#This Row],[Plan01]:[Plan12]])/valUnits2</f>
        <v>26.217801000000001</v>
      </c>
      <c r="AJ223" s="34">
        <f>SUMPRODUCT(DB_STProjectsSOF[[#This Row],[Act01]:[Act12]],$P$3:$AA$3)/valUnits2</f>
        <v>8.7856199999999998</v>
      </c>
      <c r="AK223" s="34">
        <f>IF(DB_STProjectsSOF[[#This Row],[FY Plan]]&lt;&gt;0,DB_STProjectsSOF[[#This Row],[FY Actuals]]/DB_STProjectsSOF[[#This Row],[FY Plan]],1.000011000011)</f>
        <v>0.33510133058069969</v>
      </c>
    </row>
    <row r="224" spans="1:37" hidden="1" x14ac:dyDescent="0.2">
      <c r="A224">
        <f>SUBTOTAL(3,$B$6:B224)</f>
        <v>0</v>
      </c>
      <c r="B224" t="s">
        <v>999</v>
      </c>
      <c r="C224" t="s">
        <v>857</v>
      </c>
      <c r="E224">
        <v>1035.3599999999999</v>
      </c>
      <c r="H224">
        <v>-1035.3599999999999</v>
      </c>
      <c r="Q224">
        <v>1035.3599999999999</v>
      </c>
      <c r="T224">
        <v>-1035.3599999999999</v>
      </c>
      <c r="AB224" s="164">
        <v>40909</v>
      </c>
      <c r="AC224" s="164">
        <v>41274</v>
      </c>
      <c r="AD224" s="164">
        <v>41364</v>
      </c>
      <c r="AE224" s="34">
        <f>SUMPRODUCT(DB_STProjectsSOF[[#This Row],[Plan01]:[Plan12]],$D$4:$O$4)/valUnits2</f>
        <v>0</v>
      </c>
      <c r="AF224" s="34">
        <f>SUMPRODUCT(DB_STProjectsSOF[[#This Row],[Act01]:[Act12]],$P$4:$AA$4)/valUnits2</f>
        <v>0</v>
      </c>
      <c r="AG224" s="34">
        <f>DB_STProjectsSOF[[#This Row],[Actual]]-DB_STProjectsSOF[[#This Row],[Plan]]</f>
        <v>0</v>
      </c>
      <c r="AH224" s="34">
        <f>IF(DB_STProjectsSOF[[#This Row],[Plan]]&lt;&gt;0,DB_STProjectsSOF[[#This Row],[Actual]]/DB_STProjectsSOF[[#This Row],[Plan]],1.000011000011)</f>
        <v>1.0000110000110001</v>
      </c>
      <c r="AI224" s="34">
        <f>SUM(DB_STProjectsSOF[[#This Row],[Plan01]:[Plan12]])/valUnits2</f>
        <v>0</v>
      </c>
      <c r="AJ224" s="34">
        <f>SUMPRODUCT(DB_STProjectsSOF[[#This Row],[Act01]:[Act12]],$P$3:$AA$3)/valUnits2</f>
        <v>0</v>
      </c>
      <c r="AK224" s="34">
        <f>IF(DB_STProjectsSOF[[#This Row],[FY Plan]]&lt;&gt;0,DB_STProjectsSOF[[#This Row],[FY Actuals]]/DB_STProjectsSOF[[#This Row],[FY Plan]],1.000011000011)</f>
        <v>1.0000110000110001</v>
      </c>
    </row>
    <row r="225" spans="1:37" hidden="1" x14ac:dyDescent="0.2">
      <c r="A225">
        <f>SUBTOTAL(3,$B$6:B225)</f>
        <v>0</v>
      </c>
      <c r="B225" t="s">
        <v>999</v>
      </c>
      <c r="C225" t="s">
        <v>858</v>
      </c>
      <c r="D225">
        <v>207.44</v>
      </c>
      <c r="E225">
        <v>10.15</v>
      </c>
      <c r="F225">
        <v>-60.66</v>
      </c>
      <c r="G225">
        <v>2193.1</v>
      </c>
      <c r="H225">
        <v>605.04</v>
      </c>
      <c r="I225">
        <v>4529.5909999999994</v>
      </c>
      <c r="J225">
        <v>4529.5909999999994</v>
      </c>
      <c r="K225">
        <v>4879.5909999999994</v>
      </c>
      <c r="L225">
        <v>4529.5909999999994</v>
      </c>
      <c r="M225">
        <v>4529.5909999999994</v>
      </c>
      <c r="N225">
        <v>4529.5910000000003</v>
      </c>
      <c r="O225">
        <v>4529.5909999999994</v>
      </c>
      <c r="P225">
        <v>207.44</v>
      </c>
      <c r="Q225">
        <v>10.15</v>
      </c>
      <c r="R225">
        <v>-60.66</v>
      </c>
      <c r="S225">
        <v>2193.1000000000004</v>
      </c>
      <c r="T225">
        <v>605.04000000000008</v>
      </c>
      <c r="U225">
        <v>763.74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s="164">
        <v>41275</v>
      </c>
      <c r="AC225" s="164">
        <v>41639</v>
      </c>
      <c r="AD225" s="164">
        <v>41784</v>
      </c>
      <c r="AE225" s="34">
        <f>SUMPRODUCT(DB_STProjectsSOF[[#This Row],[Plan01]:[Plan12]],$D$4:$O$4)/valUnits2</f>
        <v>7.4846609999999991</v>
      </c>
      <c r="AF225" s="34">
        <f>SUMPRODUCT(DB_STProjectsSOF[[#This Row],[Act01]:[Act12]],$P$4:$AA$4)/valUnits2</f>
        <v>3.7188100000000004</v>
      </c>
      <c r="AG225" s="34">
        <f>DB_STProjectsSOF[[#This Row],[Actual]]-DB_STProjectsSOF[[#This Row],[Plan]]</f>
        <v>-3.7658509999999987</v>
      </c>
      <c r="AH225" s="34">
        <f>IF(DB_STProjectsSOF[[#This Row],[Plan]]&lt;&gt;0,DB_STProjectsSOF[[#This Row],[Actual]]/DB_STProjectsSOF[[#This Row],[Plan]],1.000011000011)</f>
        <v>0.4968575063052289</v>
      </c>
      <c r="AI225" s="34">
        <f>SUM(DB_STProjectsSOF[[#This Row],[Plan01]:[Plan12]])/valUnits2</f>
        <v>35.012206999999997</v>
      </c>
      <c r="AJ225" s="34">
        <f>SUMPRODUCT(DB_STProjectsSOF[[#This Row],[Act01]:[Act12]],$P$3:$AA$3)/valUnits2</f>
        <v>3.7188100000000004</v>
      </c>
      <c r="AK225" s="34">
        <f>IF(DB_STProjectsSOF[[#This Row],[FY Plan]]&lt;&gt;0,DB_STProjectsSOF[[#This Row],[FY Actuals]]/DB_STProjectsSOF[[#This Row],[FY Plan]],1.000011000011)</f>
        <v>0.10621466964364745</v>
      </c>
    </row>
    <row r="226" spans="1:37" hidden="1" x14ac:dyDescent="0.2">
      <c r="A226">
        <f>SUBTOTAL(3,$B$6:B226)</f>
        <v>0</v>
      </c>
      <c r="B226" t="s">
        <v>999</v>
      </c>
      <c r="C226" t="s">
        <v>859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s="164">
        <v>40909</v>
      </c>
      <c r="AC226" s="164">
        <v>42004</v>
      </c>
      <c r="AD226" s="164">
        <v>42094</v>
      </c>
      <c r="AE226" s="34">
        <f>SUMPRODUCT(DB_STProjectsSOF[[#This Row],[Plan01]:[Plan12]],$D$4:$O$4)/valUnits2</f>
        <v>0</v>
      </c>
      <c r="AF226" s="34">
        <f>SUMPRODUCT(DB_STProjectsSOF[[#This Row],[Act01]:[Act12]],$P$4:$AA$4)/valUnits2</f>
        <v>0</v>
      </c>
      <c r="AG226" s="34">
        <f>DB_STProjectsSOF[[#This Row],[Actual]]-DB_STProjectsSOF[[#This Row],[Plan]]</f>
        <v>0</v>
      </c>
      <c r="AH226" s="34">
        <f>IF(DB_STProjectsSOF[[#This Row],[Plan]]&lt;&gt;0,DB_STProjectsSOF[[#This Row],[Actual]]/DB_STProjectsSOF[[#This Row],[Plan]],1.000011000011)</f>
        <v>1.0000110000110001</v>
      </c>
      <c r="AI226" s="34">
        <f>SUM(DB_STProjectsSOF[[#This Row],[Plan01]:[Plan12]])/valUnits2</f>
        <v>0</v>
      </c>
      <c r="AJ226" s="34">
        <f>SUMPRODUCT(DB_STProjectsSOF[[#This Row],[Act01]:[Act12]],$P$3:$AA$3)/valUnits2</f>
        <v>0</v>
      </c>
      <c r="AK226" s="34">
        <f>IF(DB_STProjectsSOF[[#This Row],[FY Plan]]&lt;&gt;0,DB_STProjectsSOF[[#This Row],[FY Actuals]]/DB_STProjectsSOF[[#This Row],[FY Plan]],1.000011000011)</f>
        <v>1.0000110000110001</v>
      </c>
    </row>
    <row r="227" spans="1:37" hidden="1" x14ac:dyDescent="0.2">
      <c r="A227">
        <f>SUBTOTAL(3,$B$6:B227)</f>
        <v>0</v>
      </c>
      <c r="B227" t="s">
        <v>999</v>
      </c>
      <c r="C227" t="s">
        <v>860</v>
      </c>
      <c r="D227">
        <v>412.14</v>
      </c>
      <c r="E227">
        <v>418.17</v>
      </c>
      <c r="F227">
        <v>908.37</v>
      </c>
      <c r="G227">
        <v>548.88</v>
      </c>
      <c r="H227">
        <v>7.2</v>
      </c>
      <c r="I227">
        <v>796.18399999999997</v>
      </c>
      <c r="J227">
        <v>796.18399999999997</v>
      </c>
      <c r="K227">
        <v>796.18399999999997</v>
      </c>
      <c r="L227">
        <v>796.18399999999997</v>
      </c>
      <c r="M227">
        <v>0</v>
      </c>
      <c r="N227">
        <v>0</v>
      </c>
      <c r="O227">
        <v>0</v>
      </c>
      <c r="P227">
        <v>412.14</v>
      </c>
      <c r="Q227">
        <v>418.17</v>
      </c>
      <c r="R227">
        <v>908.37</v>
      </c>
      <c r="S227">
        <v>548.88</v>
      </c>
      <c r="T227">
        <v>7.1999999999999993</v>
      </c>
      <c r="U227">
        <v>3.0700000000000003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s="164">
        <v>40969</v>
      </c>
      <c r="AC227" s="164">
        <v>42643</v>
      </c>
      <c r="AD227" s="164">
        <v>42704</v>
      </c>
      <c r="AE227" s="34">
        <f>SUMPRODUCT(DB_STProjectsSOF[[#This Row],[Plan01]:[Plan12]],$D$4:$O$4)/valUnits2</f>
        <v>3.0909439999999995</v>
      </c>
      <c r="AF227" s="34">
        <f>SUMPRODUCT(DB_STProjectsSOF[[#This Row],[Act01]:[Act12]],$P$4:$AA$4)/valUnits2</f>
        <v>2.2978299999999998</v>
      </c>
      <c r="AG227" s="34">
        <f>DB_STProjectsSOF[[#This Row],[Actual]]-DB_STProjectsSOF[[#This Row],[Plan]]</f>
        <v>-0.79311399999999965</v>
      </c>
      <c r="AH227" s="34">
        <f>IF(DB_STProjectsSOF[[#This Row],[Plan]]&lt;&gt;0,DB_STProjectsSOF[[#This Row],[Actual]]/DB_STProjectsSOF[[#This Row],[Plan]],1.000011000011)</f>
        <v>0.7434071921070069</v>
      </c>
      <c r="AI227" s="34">
        <f>SUM(DB_STProjectsSOF[[#This Row],[Plan01]:[Plan12]])/valUnits2</f>
        <v>5.4794960000000001</v>
      </c>
      <c r="AJ227" s="34">
        <f>SUMPRODUCT(DB_STProjectsSOF[[#This Row],[Act01]:[Act12]],$P$3:$AA$3)/valUnits2</f>
        <v>2.2978299999999998</v>
      </c>
      <c r="AK227" s="34">
        <f>IF(DB_STProjectsSOF[[#This Row],[FY Plan]]&lt;&gt;0,DB_STProjectsSOF[[#This Row],[FY Actuals]]/DB_STProjectsSOF[[#This Row],[FY Plan]],1.000011000011)</f>
        <v>0.41935061180809324</v>
      </c>
    </row>
    <row r="228" spans="1:37" hidden="1" x14ac:dyDescent="0.2">
      <c r="A228">
        <f>SUBTOTAL(3,$B$6:B228)</f>
        <v>0</v>
      </c>
      <c r="B228" t="s">
        <v>999</v>
      </c>
      <c r="C228" t="s">
        <v>862</v>
      </c>
      <c r="G228">
        <v>3552.6390000000001</v>
      </c>
      <c r="H228">
        <v>6305.4740000000002</v>
      </c>
      <c r="I228">
        <v>512.62099999999998</v>
      </c>
      <c r="J228">
        <v>512.62099999999998</v>
      </c>
      <c r="K228">
        <v>512.62099999999998</v>
      </c>
      <c r="L228">
        <v>512.62099999999998</v>
      </c>
      <c r="M228">
        <v>512.62099999999998</v>
      </c>
      <c r="N228">
        <v>512.62099999999998</v>
      </c>
      <c r="O228">
        <v>512.62099999999998</v>
      </c>
      <c r="S228">
        <v>3562.17</v>
      </c>
      <c r="T228">
        <v>6383.0700000000006</v>
      </c>
      <c r="U228">
        <v>1971.91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s="164">
        <v>41275</v>
      </c>
      <c r="AC228" s="164">
        <v>41639</v>
      </c>
      <c r="AD228" s="164">
        <v>3</v>
      </c>
      <c r="AE228" s="34">
        <f>SUMPRODUCT(DB_STProjectsSOF[[#This Row],[Plan01]:[Plan12]],$D$4:$O$4)/valUnits2</f>
        <v>10.370734000000001</v>
      </c>
      <c r="AF228" s="34">
        <f>SUMPRODUCT(DB_STProjectsSOF[[#This Row],[Act01]:[Act12]],$P$4:$AA$4)/valUnits2</f>
        <v>11.917150000000001</v>
      </c>
      <c r="AG228" s="34">
        <f>DB_STProjectsSOF[[#This Row],[Actual]]-DB_STProjectsSOF[[#This Row],[Plan]]</f>
        <v>1.5464160000000007</v>
      </c>
      <c r="AH228" s="34">
        <f>IF(DB_STProjectsSOF[[#This Row],[Plan]]&lt;&gt;0,DB_STProjectsSOF[[#This Row],[Actual]]/DB_STProjectsSOF[[#This Row],[Plan]],1.000011000011)</f>
        <v>1.1491134571574202</v>
      </c>
      <c r="AI228" s="34">
        <f>SUM(DB_STProjectsSOF[[#This Row],[Plan01]:[Plan12]])/valUnits2</f>
        <v>13.446459999999995</v>
      </c>
      <c r="AJ228" s="34">
        <f>SUMPRODUCT(DB_STProjectsSOF[[#This Row],[Act01]:[Act12]],$P$3:$AA$3)/valUnits2</f>
        <v>11.917150000000001</v>
      </c>
      <c r="AK228" s="34">
        <f>IF(DB_STProjectsSOF[[#This Row],[FY Plan]]&lt;&gt;0,DB_STProjectsSOF[[#This Row],[FY Actuals]]/DB_STProjectsSOF[[#This Row],[FY Plan]],1.000011000011)</f>
        <v>0.88626672001404128</v>
      </c>
    </row>
    <row r="229" spans="1:37" hidden="1" x14ac:dyDescent="0.2">
      <c r="A229">
        <f>SUBTOTAL(3,$B$6:B229)</f>
        <v>0</v>
      </c>
      <c r="B229" t="s">
        <v>999</v>
      </c>
      <c r="C229" t="s">
        <v>865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s="164">
        <v>40817</v>
      </c>
      <c r="AC229" s="164">
        <v>41639</v>
      </c>
      <c r="AD229" s="164">
        <v>41820</v>
      </c>
      <c r="AE229" s="34">
        <f>SUMPRODUCT(DB_STProjectsSOF[[#This Row],[Plan01]:[Plan12]],$D$4:$O$4)/valUnits2</f>
        <v>0</v>
      </c>
      <c r="AF229" s="34">
        <f>SUMPRODUCT(DB_STProjectsSOF[[#This Row],[Act01]:[Act12]],$P$4:$AA$4)/valUnits2</f>
        <v>0</v>
      </c>
      <c r="AG229" s="34">
        <f>DB_STProjectsSOF[[#This Row],[Actual]]-DB_STProjectsSOF[[#This Row],[Plan]]</f>
        <v>0</v>
      </c>
      <c r="AH229" s="34">
        <f>IF(DB_STProjectsSOF[[#This Row],[Plan]]&lt;&gt;0,DB_STProjectsSOF[[#This Row],[Actual]]/DB_STProjectsSOF[[#This Row],[Plan]],1.000011000011)</f>
        <v>1.0000110000110001</v>
      </c>
      <c r="AI229" s="34">
        <f>SUM(DB_STProjectsSOF[[#This Row],[Plan01]:[Plan12]])/valUnits2</f>
        <v>0</v>
      </c>
      <c r="AJ229" s="34">
        <f>SUMPRODUCT(DB_STProjectsSOF[[#This Row],[Act01]:[Act12]],$P$3:$AA$3)/valUnits2</f>
        <v>0</v>
      </c>
      <c r="AK229" s="34">
        <f>IF(DB_STProjectsSOF[[#This Row],[FY Plan]]&lt;&gt;0,DB_STProjectsSOF[[#This Row],[FY Actuals]]/DB_STProjectsSOF[[#This Row],[FY Plan]],1.000011000011)</f>
        <v>1.0000110000110001</v>
      </c>
    </row>
    <row r="230" spans="1:37" hidden="1" x14ac:dyDescent="0.2">
      <c r="A230">
        <f>SUBTOTAL(3,$B$6:B230)</f>
        <v>0</v>
      </c>
      <c r="B230" t="s">
        <v>999</v>
      </c>
      <c r="C230" t="s">
        <v>866</v>
      </c>
      <c r="D230">
        <v>411.03999999999996</v>
      </c>
      <c r="E230">
        <v>506.65000000000003</v>
      </c>
      <c r="F230">
        <v>2301.8199999999997</v>
      </c>
      <c r="G230">
        <v>2730.8399999999997</v>
      </c>
      <c r="H230">
        <v>2688.5299999999997</v>
      </c>
      <c r="I230">
        <v>5743.5550000000003</v>
      </c>
      <c r="J230">
        <v>5743.5550000000003</v>
      </c>
      <c r="K230">
        <v>5743.5550000000003</v>
      </c>
      <c r="L230">
        <v>5743.5550000000003</v>
      </c>
      <c r="P230">
        <v>411.03999999999996</v>
      </c>
      <c r="Q230">
        <v>506.65</v>
      </c>
      <c r="R230">
        <v>2301.8200000000002</v>
      </c>
      <c r="S230">
        <v>2730.8399999999997</v>
      </c>
      <c r="T230">
        <v>2688.5299999999997</v>
      </c>
      <c r="U230">
        <v>1865.73</v>
      </c>
      <c r="V230">
        <v>0</v>
      </c>
      <c r="W230">
        <v>0</v>
      </c>
      <c r="X230">
        <v>0</v>
      </c>
      <c r="AB230" s="164">
        <v>41275</v>
      </c>
      <c r="AC230" s="164">
        <v>41639</v>
      </c>
      <c r="AD230" s="164">
        <v>41760</v>
      </c>
      <c r="AE230" s="34">
        <f>SUMPRODUCT(DB_STProjectsSOF[[#This Row],[Plan01]:[Plan12]],$D$4:$O$4)/valUnits2</f>
        <v>14.382434999999999</v>
      </c>
      <c r="AF230" s="34">
        <f>SUMPRODUCT(DB_STProjectsSOF[[#This Row],[Act01]:[Act12]],$P$4:$AA$4)/valUnits2</f>
        <v>10.504610000000001</v>
      </c>
      <c r="AG230" s="34">
        <f>DB_STProjectsSOF[[#This Row],[Actual]]-DB_STProjectsSOF[[#This Row],[Plan]]</f>
        <v>-3.8778249999999979</v>
      </c>
      <c r="AH230" s="34">
        <f>IF(DB_STProjectsSOF[[#This Row],[Plan]]&lt;&gt;0,DB_STProjectsSOF[[#This Row],[Actual]]/DB_STProjectsSOF[[#This Row],[Plan]],1.000011000011)</f>
        <v>0.73037771420486186</v>
      </c>
      <c r="AI230" s="34">
        <f>SUM(DB_STProjectsSOF[[#This Row],[Plan01]:[Plan12]])/valUnits2</f>
        <v>31.613099999999999</v>
      </c>
      <c r="AJ230" s="34">
        <f>SUMPRODUCT(DB_STProjectsSOF[[#This Row],[Act01]:[Act12]],$P$3:$AA$3)/valUnits2</f>
        <v>10.504610000000001</v>
      </c>
      <c r="AK230" s="34">
        <f>IF(DB_STProjectsSOF[[#This Row],[FY Plan]]&lt;&gt;0,DB_STProjectsSOF[[#This Row],[FY Actuals]]/DB_STProjectsSOF[[#This Row],[FY Plan]],1.000011000011)</f>
        <v>0.33228661535882281</v>
      </c>
    </row>
    <row r="231" spans="1:37" hidden="1" x14ac:dyDescent="0.2">
      <c r="A231">
        <f>SUBTOTAL(3,$B$6:B231)</f>
        <v>0</v>
      </c>
      <c r="B231" t="s">
        <v>999</v>
      </c>
      <c r="C231" t="s">
        <v>869</v>
      </c>
      <c r="D231">
        <v>1250.5999999999999</v>
      </c>
      <c r="E231">
        <v>1348.68</v>
      </c>
      <c r="F231">
        <v>1595.38</v>
      </c>
      <c r="G231">
        <v>1484.9099999999999</v>
      </c>
      <c r="H231">
        <v>2332.8000000000002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1250.5999999999999</v>
      </c>
      <c r="Q231">
        <v>1348.68</v>
      </c>
      <c r="R231">
        <v>1595.38</v>
      </c>
      <c r="S231">
        <v>1484.9099999999999</v>
      </c>
      <c r="T231">
        <v>2332.8000000000002</v>
      </c>
      <c r="U231">
        <v>1897.0800000000002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s="164">
        <v>40817</v>
      </c>
      <c r="AC231" s="164">
        <v>42155</v>
      </c>
      <c r="AD231" s="164">
        <v>42217</v>
      </c>
      <c r="AE231" s="34">
        <f>SUMPRODUCT(DB_STProjectsSOF[[#This Row],[Plan01]:[Plan12]],$D$4:$O$4)/valUnits2</f>
        <v>8.0123700000000007</v>
      </c>
      <c r="AF231" s="34">
        <f>SUMPRODUCT(DB_STProjectsSOF[[#This Row],[Act01]:[Act12]],$P$4:$AA$4)/valUnits2</f>
        <v>9.9094500000000014</v>
      </c>
      <c r="AG231" s="34">
        <f>DB_STProjectsSOF[[#This Row],[Actual]]-DB_STProjectsSOF[[#This Row],[Plan]]</f>
        <v>1.8970800000000008</v>
      </c>
      <c r="AH231" s="34">
        <f>IF(DB_STProjectsSOF[[#This Row],[Plan]]&lt;&gt;0,DB_STProjectsSOF[[#This Row],[Actual]]/DB_STProjectsSOF[[#This Row],[Plan]],1.000011000011)</f>
        <v>1.2367688960944141</v>
      </c>
      <c r="AI231" s="34">
        <f>SUM(DB_STProjectsSOF[[#This Row],[Plan01]:[Plan12]])/valUnits2</f>
        <v>8.0123700000000007</v>
      </c>
      <c r="AJ231" s="34">
        <f>SUMPRODUCT(DB_STProjectsSOF[[#This Row],[Act01]:[Act12]],$P$3:$AA$3)/valUnits2</f>
        <v>9.9094500000000014</v>
      </c>
      <c r="AK231" s="34">
        <f>IF(DB_STProjectsSOF[[#This Row],[FY Plan]]&lt;&gt;0,DB_STProjectsSOF[[#This Row],[FY Actuals]]/DB_STProjectsSOF[[#This Row],[FY Plan]],1.000011000011)</f>
        <v>1.2367688960944141</v>
      </c>
    </row>
    <row r="232" spans="1:37" hidden="1" x14ac:dyDescent="0.2">
      <c r="A232">
        <f>SUBTOTAL(3,$B$6:B232)</f>
        <v>0</v>
      </c>
      <c r="B232" t="s">
        <v>999</v>
      </c>
      <c r="C232" t="s">
        <v>874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929.96999999999991</v>
      </c>
      <c r="J232">
        <v>929.96999999999991</v>
      </c>
      <c r="K232">
        <v>929.96999999999991</v>
      </c>
      <c r="L232">
        <v>929.96999999999991</v>
      </c>
      <c r="M232">
        <v>929.96999999999991</v>
      </c>
      <c r="N232">
        <v>929.96999999999991</v>
      </c>
      <c r="O232">
        <v>929.96999999999991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s="164">
        <v>40879</v>
      </c>
      <c r="AC232" s="164">
        <v>43071</v>
      </c>
      <c r="AD232" s="164">
        <v>43161</v>
      </c>
      <c r="AE232" s="34">
        <f>SUMPRODUCT(DB_STProjectsSOF[[#This Row],[Plan01]:[Plan12]],$D$4:$O$4)/valUnits2</f>
        <v>0.92996999999999996</v>
      </c>
      <c r="AF232" s="34">
        <f>SUMPRODUCT(DB_STProjectsSOF[[#This Row],[Act01]:[Act12]],$P$4:$AA$4)/valUnits2</f>
        <v>0</v>
      </c>
      <c r="AG232" s="34">
        <f>DB_STProjectsSOF[[#This Row],[Actual]]-DB_STProjectsSOF[[#This Row],[Plan]]</f>
        <v>-0.92996999999999996</v>
      </c>
      <c r="AH232" s="34">
        <f>IF(DB_STProjectsSOF[[#This Row],[Plan]]&lt;&gt;0,DB_STProjectsSOF[[#This Row],[Actual]]/DB_STProjectsSOF[[#This Row],[Plan]],1.000011000011)</f>
        <v>0</v>
      </c>
      <c r="AI232" s="34">
        <f>SUM(DB_STProjectsSOF[[#This Row],[Plan01]:[Plan12]])/valUnits2</f>
        <v>6.5097899999999997</v>
      </c>
      <c r="AJ232" s="34">
        <f>SUMPRODUCT(DB_STProjectsSOF[[#This Row],[Act01]:[Act12]],$P$3:$AA$3)/valUnits2</f>
        <v>0</v>
      </c>
      <c r="AK232" s="34">
        <f>IF(DB_STProjectsSOF[[#This Row],[FY Plan]]&lt;&gt;0,DB_STProjectsSOF[[#This Row],[FY Actuals]]/DB_STProjectsSOF[[#This Row],[FY Plan]],1.000011000011)</f>
        <v>0</v>
      </c>
    </row>
    <row r="233" spans="1:37" hidden="1" x14ac:dyDescent="0.2">
      <c r="A233">
        <f>SUBTOTAL(3,$B$6:B233)</f>
        <v>0</v>
      </c>
      <c r="B233" t="s">
        <v>999</v>
      </c>
      <c r="C233" t="s">
        <v>875</v>
      </c>
      <c r="F233">
        <v>0</v>
      </c>
      <c r="G233">
        <v>671.87</v>
      </c>
      <c r="H233">
        <v>557.91800000000001</v>
      </c>
      <c r="I233">
        <v>241.98700000000002</v>
      </c>
      <c r="J233">
        <v>241.98700000000002</v>
      </c>
      <c r="K233">
        <v>241.98700000000002</v>
      </c>
      <c r="L233">
        <v>241.98700000000002</v>
      </c>
      <c r="M233">
        <v>241.98700000000002</v>
      </c>
      <c r="N233">
        <v>241.98700000000002</v>
      </c>
      <c r="O233">
        <v>241.98700000000002</v>
      </c>
      <c r="R233">
        <v>0</v>
      </c>
      <c r="S233">
        <v>680.83</v>
      </c>
      <c r="T233">
        <v>564.99</v>
      </c>
      <c r="U233">
        <v>594.23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s="164">
        <v>41275</v>
      </c>
      <c r="AC233" s="164">
        <v>41639</v>
      </c>
      <c r="AD233" s="164">
        <v>41649</v>
      </c>
      <c r="AE233" s="34">
        <f>SUMPRODUCT(DB_STProjectsSOF[[#This Row],[Plan01]:[Plan12]],$D$4:$O$4)/valUnits2</f>
        <v>1.4717750000000001</v>
      </c>
      <c r="AF233" s="34">
        <f>SUMPRODUCT(DB_STProjectsSOF[[#This Row],[Act01]:[Act12]],$P$4:$AA$4)/valUnits2</f>
        <v>1.8400500000000002</v>
      </c>
      <c r="AG233" s="34">
        <f>DB_STProjectsSOF[[#This Row],[Actual]]-DB_STProjectsSOF[[#This Row],[Plan]]</f>
        <v>0.36827500000000013</v>
      </c>
      <c r="AH233" s="34">
        <f>IF(DB_STProjectsSOF[[#This Row],[Plan]]&lt;&gt;0,DB_STProjectsSOF[[#This Row],[Actual]]/DB_STProjectsSOF[[#This Row],[Plan]],1.000011000011)</f>
        <v>1.2502250683698257</v>
      </c>
      <c r="AI233" s="34">
        <f>SUM(DB_STProjectsSOF[[#This Row],[Plan01]:[Plan12]])/valUnits2</f>
        <v>2.9236970000000007</v>
      </c>
      <c r="AJ233" s="34">
        <f>SUMPRODUCT(DB_STProjectsSOF[[#This Row],[Act01]:[Act12]],$P$3:$AA$3)/valUnits2</f>
        <v>1.8400500000000002</v>
      </c>
      <c r="AK233" s="34">
        <f>IF(DB_STProjectsSOF[[#This Row],[FY Plan]]&lt;&gt;0,DB_STProjectsSOF[[#This Row],[FY Actuals]]/DB_STProjectsSOF[[#This Row],[FY Plan]],1.000011000011)</f>
        <v>0.62935728291953641</v>
      </c>
    </row>
    <row r="234" spans="1:37" hidden="1" x14ac:dyDescent="0.2">
      <c r="A234">
        <f>SUBTOTAL(3,$B$6:B234)</f>
        <v>0</v>
      </c>
      <c r="B234" t="s">
        <v>999</v>
      </c>
      <c r="C234" t="s">
        <v>876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213.12</v>
      </c>
      <c r="J234">
        <v>213.12</v>
      </c>
      <c r="K234">
        <v>213.12</v>
      </c>
      <c r="L234">
        <v>213.12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AB234" s="164">
        <v>40817</v>
      </c>
      <c r="AC234" s="164">
        <v>41820</v>
      </c>
      <c r="AD234" s="164">
        <v>41835</v>
      </c>
      <c r="AE234" s="34">
        <f>SUMPRODUCT(DB_STProjectsSOF[[#This Row],[Plan01]:[Plan12]],$D$4:$O$4)/valUnits2</f>
        <v>0.21312</v>
      </c>
      <c r="AF234" s="34">
        <f>SUMPRODUCT(DB_STProjectsSOF[[#This Row],[Act01]:[Act12]],$P$4:$AA$4)/valUnits2</f>
        <v>0</v>
      </c>
      <c r="AG234" s="34">
        <f>DB_STProjectsSOF[[#This Row],[Actual]]-DB_STProjectsSOF[[#This Row],[Plan]]</f>
        <v>-0.21312</v>
      </c>
      <c r="AH234" s="34">
        <f>IF(DB_STProjectsSOF[[#This Row],[Plan]]&lt;&gt;0,DB_STProjectsSOF[[#This Row],[Actual]]/DB_STProjectsSOF[[#This Row],[Plan]],1.000011000011)</f>
        <v>0</v>
      </c>
      <c r="AI234" s="34">
        <f>SUM(DB_STProjectsSOF[[#This Row],[Plan01]:[Plan12]])/valUnits2</f>
        <v>0.85248000000000002</v>
      </c>
      <c r="AJ234" s="34">
        <f>SUMPRODUCT(DB_STProjectsSOF[[#This Row],[Act01]:[Act12]],$P$3:$AA$3)/valUnits2</f>
        <v>0</v>
      </c>
      <c r="AK234" s="34">
        <f>IF(DB_STProjectsSOF[[#This Row],[FY Plan]]&lt;&gt;0,DB_STProjectsSOF[[#This Row],[FY Actuals]]/DB_STProjectsSOF[[#This Row],[FY Plan]],1.000011000011)</f>
        <v>0</v>
      </c>
    </row>
    <row r="235" spans="1:37" hidden="1" x14ac:dyDescent="0.2">
      <c r="A235">
        <f>SUBTOTAL(3,$B$6:B235)</f>
        <v>0</v>
      </c>
      <c r="B235" t="s">
        <v>999</v>
      </c>
      <c r="C235" t="s">
        <v>362</v>
      </c>
      <c r="D235">
        <v>0</v>
      </c>
      <c r="P235">
        <v>0</v>
      </c>
      <c r="AB235" s="164">
        <v>40909</v>
      </c>
      <c r="AC235" s="164">
        <v>41486</v>
      </c>
      <c r="AD235" s="164">
        <v>41670</v>
      </c>
      <c r="AE235" s="34">
        <f>SUMPRODUCT(DB_STProjectsSOF[[#This Row],[Plan01]:[Plan12]],$D$4:$O$4)/valUnits2</f>
        <v>0</v>
      </c>
      <c r="AF235" s="34">
        <f>SUMPRODUCT(DB_STProjectsSOF[[#This Row],[Act01]:[Act12]],$P$4:$AA$4)/valUnits2</f>
        <v>0</v>
      </c>
      <c r="AG235" s="34">
        <f>DB_STProjectsSOF[[#This Row],[Actual]]-DB_STProjectsSOF[[#This Row],[Plan]]</f>
        <v>0</v>
      </c>
      <c r="AH235" s="34">
        <f>IF(DB_STProjectsSOF[[#This Row],[Plan]]&lt;&gt;0,DB_STProjectsSOF[[#This Row],[Actual]]/DB_STProjectsSOF[[#This Row],[Plan]],1.000011000011)</f>
        <v>1.0000110000110001</v>
      </c>
      <c r="AI235" s="34">
        <f>SUM(DB_STProjectsSOF[[#This Row],[Plan01]:[Plan12]])/valUnits2</f>
        <v>0</v>
      </c>
      <c r="AJ235" s="34">
        <f>SUMPRODUCT(DB_STProjectsSOF[[#This Row],[Act01]:[Act12]],$P$3:$AA$3)/valUnits2</f>
        <v>0</v>
      </c>
      <c r="AK235" s="34">
        <f>IF(DB_STProjectsSOF[[#This Row],[FY Plan]]&lt;&gt;0,DB_STProjectsSOF[[#This Row],[FY Actuals]]/DB_STProjectsSOF[[#This Row],[FY Plan]],1.000011000011)</f>
        <v>1.0000110000110001</v>
      </c>
    </row>
    <row r="236" spans="1:37" hidden="1" x14ac:dyDescent="0.2">
      <c r="A236">
        <f>SUBTOTAL(3,$B$6:B236)</f>
        <v>0</v>
      </c>
      <c r="B236" t="s">
        <v>999</v>
      </c>
      <c r="C236" t="s">
        <v>877</v>
      </c>
      <c r="D236">
        <v>0</v>
      </c>
      <c r="E236">
        <v>0</v>
      </c>
      <c r="F236">
        <v>0</v>
      </c>
      <c r="G236">
        <v>2942.5550000000003</v>
      </c>
      <c r="H236">
        <v>1382.9949999999999</v>
      </c>
      <c r="I236">
        <v>1863.3919999999998</v>
      </c>
      <c r="J236">
        <v>1863.3920000000003</v>
      </c>
      <c r="K236">
        <v>1863.3920000000003</v>
      </c>
      <c r="L236">
        <v>1863.3920000000003</v>
      </c>
      <c r="M236">
        <v>1863.3920000000001</v>
      </c>
      <c r="N236">
        <v>1863.3920000000001</v>
      </c>
      <c r="O236">
        <v>1863.3920000000003</v>
      </c>
      <c r="P236">
        <v>0</v>
      </c>
      <c r="Q236">
        <v>0</v>
      </c>
      <c r="R236">
        <v>0</v>
      </c>
      <c r="S236">
        <v>2947.4</v>
      </c>
      <c r="T236">
        <v>1366.2300000000005</v>
      </c>
      <c r="U236">
        <v>1041.32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s="164">
        <v>40817</v>
      </c>
      <c r="AC236" s="164">
        <v>41639</v>
      </c>
      <c r="AD236" s="164">
        <v>41729</v>
      </c>
      <c r="AE236" s="34">
        <f>SUMPRODUCT(DB_STProjectsSOF[[#This Row],[Plan01]:[Plan12]],$D$4:$O$4)/valUnits2</f>
        <v>6.1889419999999999</v>
      </c>
      <c r="AF236" s="34">
        <f>SUMPRODUCT(DB_STProjectsSOF[[#This Row],[Act01]:[Act12]],$P$4:$AA$4)/valUnits2</f>
        <v>5.3549500000000005</v>
      </c>
      <c r="AG236" s="34">
        <f>DB_STProjectsSOF[[#This Row],[Actual]]-DB_STProjectsSOF[[#This Row],[Plan]]</f>
        <v>-0.8339919999999994</v>
      </c>
      <c r="AH236" s="34">
        <f>IF(DB_STProjectsSOF[[#This Row],[Plan]]&lt;&gt;0,DB_STProjectsSOF[[#This Row],[Actual]]/DB_STProjectsSOF[[#This Row],[Plan]],1.000011000011)</f>
        <v>0.86524481890442673</v>
      </c>
      <c r="AI236" s="34">
        <f>SUM(DB_STProjectsSOF[[#This Row],[Plan01]:[Plan12]])/valUnits2</f>
        <v>17.369294</v>
      </c>
      <c r="AJ236" s="34">
        <f>SUMPRODUCT(DB_STProjectsSOF[[#This Row],[Act01]:[Act12]],$P$3:$AA$3)/valUnits2</f>
        <v>5.3549500000000005</v>
      </c>
      <c r="AK236" s="34">
        <f>IF(DB_STProjectsSOF[[#This Row],[FY Plan]]&lt;&gt;0,DB_STProjectsSOF[[#This Row],[FY Actuals]]/DB_STProjectsSOF[[#This Row],[FY Plan]],1.000011000011)</f>
        <v>0.30829980769511994</v>
      </c>
    </row>
    <row r="237" spans="1:37" hidden="1" x14ac:dyDescent="0.2">
      <c r="A237">
        <f>SUBTOTAL(3,$B$6:B237)</f>
        <v>0</v>
      </c>
      <c r="B237" t="s">
        <v>999</v>
      </c>
      <c r="C237" t="s">
        <v>878</v>
      </c>
      <c r="D237">
        <v>0</v>
      </c>
      <c r="E237">
        <v>0</v>
      </c>
      <c r="F237">
        <v>140.63800000000001</v>
      </c>
      <c r="G237">
        <v>140.63800000000001</v>
      </c>
      <c r="H237">
        <v>140.63800000000001</v>
      </c>
      <c r="I237">
        <v>140.63800000000001</v>
      </c>
      <c r="J237">
        <v>140.63800000000001</v>
      </c>
      <c r="K237">
        <v>140.63800000000001</v>
      </c>
      <c r="L237">
        <v>140.63800000000001</v>
      </c>
      <c r="M237">
        <v>140.63800000000001</v>
      </c>
      <c r="N237">
        <v>140.63800000000001</v>
      </c>
      <c r="O237">
        <v>140.63800000000001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1056.29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s="164">
        <v>40969</v>
      </c>
      <c r="AC237" s="164">
        <v>41333</v>
      </c>
      <c r="AD237" s="164">
        <v>41364</v>
      </c>
      <c r="AE237" s="34">
        <f>SUMPRODUCT(DB_STProjectsSOF[[#This Row],[Plan01]:[Plan12]],$D$4:$O$4)/valUnits2</f>
        <v>0.56255200000000005</v>
      </c>
      <c r="AF237" s="34">
        <f>SUMPRODUCT(DB_STProjectsSOF[[#This Row],[Act01]:[Act12]],$P$4:$AA$4)/valUnits2</f>
        <v>1.05629</v>
      </c>
      <c r="AG237" s="34">
        <f>DB_STProjectsSOF[[#This Row],[Actual]]-DB_STProjectsSOF[[#This Row],[Plan]]</f>
        <v>0.4937379999999999</v>
      </c>
      <c r="AH237" s="34">
        <f>IF(DB_STProjectsSOF[[#This Row],[Plan]]&lt;&gt;0,DB_STProjectsSOF[[#This Row],[Actual]]/DB_STProjectsSOF[[#This Row],[Plan]],1.000011000011)</f>
        <v>1.8776753082381714</v>
      </c>
      <c r="AI237" s="34">
        <f>SUM(DB_STProjectsSOF[[#This Row],[Plan01]:[Plan12]])/valUnits2</f>
        <v>1.40638</v>
      </c>
      <c r="AJ237" s="34">
        <f>SUMPRODUCT(DB_STProjectsSOF[[#This Row],[Act01]:[Act12]],$P$3:$AA$3)/valUnits2</f>
        <v>1.05629</v>
      </c>
      <c r="AK237" s="34">
        <f>IF(DB_STProjectsSOF[[#This Row],[FY Plan]]&lt;&gt;0,DB_STProjectsSOF[[#This Row],[FY Actuals]]/DB_STProjectsSOF[[#This Row],[FY Plan]],1.000011000011)</f>
        <v>0.75107012329526868</v>
      </c>
    </row>
    <row r="238" spans="1:37" hidden="1" x14ac:dyDescent="0.2">
      <c r="A238">
        <f>SUBTOTAL(3,$B$6:B238)</f>
        <v>0</v>
      </c>
      <c r="B238" t="s">
        <v>999</v>
      </c>
      <c r="C238" t="s">
        <v>881</v>
      </c>
      <c r="G238">
        <v>657.59</v>
      </c>
      <c r="H238">
        <v>0</v>
      </c>
      <c r="I238">
        <v>702.976</v>
      </c>
      <c r="J238">
        <v>1405.954</v>
      </c>
      <c r="K238">
        <v>702.976</v>
      </c>
      <c r="L238">
        <v>702.976</v>
      </c>
      <c r="M238">
        <v>702.976</v>
      </c>
      <c r="N238">
        <v>702.976</v>
      </c>
      <c r="O238">
        <v>1405.954</v>
      </c>
      <c r="S238">
        <v>657.59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s="164">
        <v>41275</v>
      </c>
      <c r="AC238" s="164">
        <v>41639</v>
      </c>
      <c r="AD238" s="164">
        <v>41685</v>
      </c>
      <c r="AE238" s="34">
        <f>SUMPRODUCT(DB_STProjectsSOF[[#This Row],[Plan01]:[Plan12]],$D$4:$O$4)/valUnits2</f>
        <v>1.3605659999999999</v>
      </c>
      <c r="AF238" s="34">
        <f>SUMPRODUCT(DB_STProjectsSOF[[#This Row],[Act01]:[Act12]],$P$4:$AA$4)/valUnits2</f>
        <v>0.65759000000000001</v>
      </c>
      <c r="AG238" s="34">
        <f>DB_STProjectsSOF[[#This Row],[Actual]]-DB_STProjectsSOF[[#This Row],[Plan]]</f>
        <v>-0.70297599999999993</v>
      </c>
      <c r="AH238" s="34">
        <f>IF(DB_STProjectsSOF[[#This Row],[Plan]]&lt;&gt;0,DB_STProjectsSOF[[#This Row],[Actual]]/DB_STProjectsSOF[[#This Row],[Plan]],1.000011000011)</f>
        <v>0.4833209120321984</v>
      </c>
      <c r="AI238" s="34">
        <f>SUM(DB_STProjectsSOF[[#This Row],[Plan01]:[Plan12]])/valUnits2</f>
        <v>6.9843779999999986</v>
      </c>
      <c r="AJ238" s="34">
        <f>SUMPRODUCT(DB_STProjectsSOF[[#This Row],[Act01]:[Act12]],$P$3:$AA$3)/valUnits2</f>
        <v>0.65759000000000001</v>
      </c>
      <c r="AK238" s="34">
        <f>IF(DB_STProjectsSOF[[#This Row],[FY Plan]]&lt;&gt;0,DB_STProjectsSOF[[#This Row],[FY Actuals]]/DB_STProjectsSOF[[#This Row],[FY Plan]],1.000011000011)</f>
        <v>9.4151547925957063E-2</v>
      </c>
    </row>
    <row r="239" spans="1:37" hidden="1" x14ac:dyDescent="0.2">
      <c r="A239">
        <f>SUBTOTAL(3,$B$6:B239)</f>
        <v>0</v>
      </c>
      <c r="B239" t="s">
        <v>999</v>
      </c>
      <c r="C239" t="s">
        <v>882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929.96900000000005</v>
      </c>
      <c r="J239">
        <v>929.96900000000005</v>
      </c>
      <c r="K239">
        <v>929.96900000000005</v>
      </c>
      <c r="L239">
        <v>929.96900000000005</v>
      </c>
      <c r="M239">
        <v>929.96900000000005</v>
      </c>
      <c r="N239">
        <v>929.96900000000005</v>
      </c>
      <c r="O239">
        <v>929.96900000000005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s="164">
        <v>40817</v>
      </c>
      <c r="AC239" s="164">
        <v>41913</v>
      </c>
      <c r="AD239" s="164">
        <v>42005</v>
      </c>
      <c r="AE239" s="34">
        <f>SUMPRODUCT(DB_STProjectsSOF[[#This Row],[Plan01]:[Plan12]],$D$4:$O$4)/valUnits2</f>
        <v>0.92996900000000005</v>
      </c>
      <c r="AF239" s="34">
        <f>SUMPRODUCT(DB_STProjectsSOF[[#This Row],[Act01]:[Act12]],$P$4:$AA$4)/valUnits2</f>
        <v>0</v>
      </c>
      <c r="AG239" s="34">
        <f>DB_STProjectsSOF[[#This Row],[Actual]]-DB_STProjectsSOF[[#This Row],[Plan]]</f>
        <v>-0.92996900000000005</v>
      </c>
      <c r="AH239" s="34">
        <f>IF(DB_STProjectsSOF[[#This Row],[Plan]]&lt;&gt;0,DB_STProjectsSOF[[#This Row],[Actual]]/DB_STProjectsSOF[[#This Row],[Plan]],1.000011000011)</f>
        <v>0</v>
      </c>
      <c r="AI239" s="34">
        <f>SUM(DB_STProjectsSOF[[#This Row],[Plan01]:[Plan12]])/valUnits2</f>
        <v>6.5097830000000005</v>
      </c>
      <c r="AJ239" s="34">
        <f>SUMPRODUCT(DB_STProjectsSOF[[#This Row],[Act01]:[Act12]],$P$3:$AA$3)/valUnits2</f>
        <v>0</v>
      </c>
      <c r="AK239" s="34">
        <f>IF(DB_STProjectsSOF[[#This Row],[FY Plan]]&lt;&gt;0,DB_STProjectsSOF[[#This Row],[FY Actuals]]/DB_STProjectsSOF[[#This Row],[FY Plan]],1.000011000011)</f>
        <v>0</v>
      </c>
    </row>
    <row r="240" spans="1:37" hidden="1" x14ac:dyDescent="0.2">
      <c r="A240">
        <f>SUBTOTAL(3,$B$6:B240)</f>
        <v>0</v>
      </c>
      <c r="B240" t="s">
        <v>999</v>
      </c>
      <c r="C240" t="s">
        <v>883</v>
      </c>
      <c r="D240">
        <v>0</v>
      </c>
      <c r="E240">
        <v>150.25399999999999</v>
      </c>
      <c r="G240">
        <v>846.12</v>
      </c>
      <c r="H240">
        <v>285.09100000000001</v>
      </c>
      <c r="I240">
        <v>903.40200000000004</v>
      </c>
      <c r="J240">
        <v>903.40200000000004</v>
      </c>
      <c r="K240">
        <v>903.40200000000004</v>
      </c>
      <c r="L240">
        <v>897.255</v>
      </c>
      <c r="M240">
        <v>897.255</v>
      </c>
      <c r="N240">
        <v>897.255</v>
      </c>
      <c r="O240">
        <v>897.255</v>
      </c>
      <c r="P240">
        <v>0</v>
      </c>
      <c r="Q240">
        <v>153.6</v>
      </c>
      <c r="S240">
        <v>846.76</v>
      </c>
      <c r="T240">
        <v>290.26</v>
      </c>
      <c r="U240">
        <v>171.42999999999998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s="164">
        <v>40940</v>
      </c>
      <c r="AC240" s="164">
        <v>41639</v>
      </c>
      <c r="AD240" s="164">
        <v>41698</v>
      </c>
      <c r="AE240" s="34">
        <f>SUMPRODUCT(DB_STProjectsSOF[[#This Row],[Plan01]:[Plan12]],$D$4:$O$4)/valUnits2</f>
        <v>2.1848670000000001</v>
      </c>
      <c r="AF240" s="34">
        <f>SUMPRODUCT(DB_STProjectsSOF[[#This Row],[Act01]:[Act12]],$P$4:$AA$4)/valUnits2</f>
        <v>1.4620499999999998</v>
      </c>
      <c r="AG240" s="34">
        <f>DB_STProjectsSOF[[#This Row],[Actual]]-DB_STProjectsSOF[[#This Row],[Plan]]</f>
        <v>-0.72281700000000026</v>
      </c>
      <c r="AH240" s="34">
        <f>IF(DB_STProjectsSOF[[#This Row],[Plan]]&lt;&gt;0,DB_STProjectsSOF[[#This Row],[Actual]]/DB_STProjectsSOF[[#This Row],[Plan]],1.000011000011)</f>
        <v>0.66917116694059631</v>
      </c>
      <c r="AI240" s="34">
        <f>SUM(DB_STProjectsSOF[[#This Row],[Plan01]:[Plan12]])/valUnits2</f>
        <v>7.5806910000000007</v>
      </c>
      <c r="AJ240" s="34">
        <f>SUMPRODUCT(DB_STProjectsSOF[[#This Row],[Act01]:[Act12]],$P$3:$AA$3)/valUnits2</f>
        <v>1.4620499999999998</v>
      </c>
      <c r="AK240" s="34">
        <f>IF(DB_STProjectsSOF[[#This Row],[FY Plan]]&lt;&gt;0,DB_STProjectsSOF[[#This Row],[FY Actuals]]/DB_STProjectsSOF[[#This Row],[FY Plan]],1.000011000011)</f>
        <v>0.19286500399501835</v>
      </c>
    </row>
    <row r="241" spans="1:37" hidden="1" x14ac:dyDescent="0.2">
      <c r="A241">
        <f>SUBTOTAL(3,$B$6:B241)</f>
        <v>0</v>
      </c>
      <c r="B241" t="s">
        <v>999</v>
      </c>
      <c r="C241" t="s">
        <v>884</v>
      </c>
      <c r="D241">
        <v>1666.6659999999999</v>
      </c>
      <c r="E241">
        <v>1666.6659999999999</v>
      </c>
      <c r="F241">
        <v>1666.6659999999999</v>
      </c>
      <c r="G241">
        <v>1666.6659999999999</v>
      </c>
      <c r="H241">
        <v>1666.6659999999999</v>
      </c>
      <c r="I241">
        <v>1666.6659999999999</v>
      </c>
      <c r="J241">
        <v>1666.6659999999999</v>
      </c>
      <c r="K241">
        <v>1666.6659999999999</v>
      </c>
      <c r="L241">
        <v>1666.6659999999999</v>
      </c>
      <c r="M241">
        <v>1666.6659999999999</v>
      </c>
      <c r="N241">
        <v>1666.6659999999999</v>
      </c>
      <c r="O241">
        <v>1666.6659999999999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s="164">
        <v>40909</v>
      </c>
      <c r="AC241" s="164">
        <v>41274</v>
      </c>
      <c r="AD241" s="164">
        <v>41364</v>
      </c>
      <c r="AE241" s="34">
        <f>SUMPRODUCT(DB_STProjectsSOF[[#This Row],[Plan01]:[Plan12]],$D$4:$O$4)/valUnits2</f>
        <v>9.9999959999999994</v>
      </c>
      <c r="AF241" s="34">
        <f>SUMPRODUCT(DB_STProjectsSOF[[#This Row],[Act01]:[Act12]],$P$4:$AA$4)/valUnits2</f>
        <v>0</v>
      </c>
      <c r="AG241" s="34">
        <f>DB_STProjectsSOF[[#This Row],[Actual]]-DB_STProjectsSOF[[#This Row],[Plan]]</f>
        <v>-9.9999959999999994</v>
      </c>
      <c r="AH241" s="34">
        <f>IF(DB_STProjectsSOF[[#This Row],[Plan]]&lt;&gt;0,DB_STProjectsSOF[[#This Row],[Actual]]/DB_STProjectsSOF[[#This Row],[Plan]],1.000011000011)</f>
        <v>0</v>
      </c>
      <c r="AI241" s="34">
        <f>SUM(DB_STProjectsSOF[[#This Row],[Plan01]:[Plan12]])/valUnits2</f>
        <v>19.999991999999999</v>
      </c>
      <c r="AJ241" s="34">
        <f>SUMPRODUCT(DB_STProjectsSOF[[#This Row],[Act01]:[Act12]],$P$3:$AA$3)/valUnits2</f>
        <v>0</v>
      </c>
      <c r="AK241" s="34">
        <f>IF(DB_STProjectsSOF[[#This Row],[FY Plan]]&lt;&gt;0,DB_STProjectsSOF[[#This Row],[FY Actuals]]/DB_STProjectsSOF[[#This Row],[FY Plan]],1.000011000011)</f>
        <v>0</v>
      </c>
    </row>
    <row r="242" spans="1:37" hidden="1" x14ac:dyDescent="0.2">
      <c r="A242">
        <f>SUBTOTAL(3,$B$6:B242)</f>
        <v>0</v>
      </c>
      <c r="B242" t="s">
        <v>999</v>
      </c>
      <c r="C242" t="s">
        <v>885</v>
      </c>
      <c r="D242">
        <v>0</v>
      </c>
      <c r="E242">
        <v>783.94200000000001</v>
      </c>
      <c r="F242">
        <v>0</v>
      </c>
      <c r="G242">
        <v>3967.855</v>
      </c>
      <c r="H242">
        <v>2246.8139999999999</v>
      </c>
      <c r="I242">
        <v>379.43700000000001</v>
      </c>
      <c r="J242">
        <v>379.43700000000001</v>
      </c>
      <c r="K242">
        <v>379.43700000000001</v>
      </c>
      <c r="L242">
        <v>379.43700000000001</v>
      </c>
      <c r="M242">
        <v>379.43700000000001</v>
      </c>
      <c r="N242">
        <v>379.43700000000001</v>
      </c>
      <c r="O242">
        <v>379.43700000000001</v>
      </c>
      <c r="P242">
        <v>0</v>
      </c>
      <c r="Q242">
        <v>783.93999999999994</v>
      </c>
      <c r="R242">
        <v>0</v>
      </c>
      <c r="S242">
        <v>3956.42</v>
      </c>
      <c r="T242">
        <v>2243.46</v>
      </c>
      <c r="U242">
        <v>1570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s="164">
        <v>40817</v>
      </c>
      <c r="AC242" s="164">
        <v>41639</v>
      </c>
      <c r="AD242" s="164">
        <v>41820</v>
      </c>
      <c r="AE242" s="34">
        <f>SUMPRODUCT(DB_STProjectsSOF[[#This Row],[Plan01]:[Plan12]],$D$4:$O$4)/valUnits2</f>
        <v>7.3780480000000006</v>
      </c>
      <c r="AF242" s="34">
        <f>SUMPRODUCT(DB_STProjectsSOF[[#This Row],[Act01]:[Act12]],$P$4:$AA$4)/valUnits2</f>
        <v>8.55382</v>
      </c>
      <c r="AG242" s="34">
        <f>DB_STProjectsSOF[[#This Row],[Actual]]-DB_STProjectsSOF[[#This Row],[Plan]]</f>
        <v>1.1757719999999994</v>
      </c>
      <c r="AH242" s="34">
        <f>IF(DB_STProjectsSOF[[#This Row],[Plan]]&lt;&gt;0,DB_STProjectsSOF[[#This Row],[Actual]]/DB_STProjectsSOF[[#This Row],[Plan]],1.000011000011)</f>
        <v>1.1593608499158583</v>
      </c>
      <c r="AI242" s="34">
        <f>SUM(DB_STProjectsSOF[[#This Row],[Plan01]:[Plan12]])/valUnits2</f>
        <v>9.6546699999999994</v>
      </c>
      <c r="AJ242" s="34">
        <f>SUMPRODUCT(DB_STProjectsSOF[[#This Row],[Act01]:[Act12]],$P$3:$AA$3)/valUnits2</f>
        <v>8.55382</v>
      </c>
      <c r="AK242" s="34">
        <f>IF(DB_STProjectsSOF[[#This Row],[FY Plan]]&lt;&gt;0,DB_STProjectsSOF[[#This Row],[FY Actuals]]/DB_STProjectsSOF[[#This Row],[FY Plan]],1.000011000011)</f>
        <v>0.88597745961280916</v>
      </c>
    </row>
    <row r="243" spans="1:37" hidden="1" x14ac:dyDescent="0.2">
      <c r="A243">
        <f>SUBTOTAL(3,$B$6:B243)</f>
        <v>0</v>
      </c>
      <c r="B243" t="s">
        <v>999</v>
      </c>
      <c r="C243" t="s">
        <v>887</v>
      </c>
      <c r="D243">
        <v>0</v>
      </c>
      <c r="E243">
        <v>0</v>
      </c>
      <c r="F243">
        <v>0</v>
      </c>
      <c r="P243">
        <v>0</v>
      </c>
      <c r="Q243">
        <v>0</v>
      </c>
      <c r="R243">
        <v>0</v>
      </c>
      <c r="AB243" s="164">
        <v>40817</v>
      </c>
      <c r="AC243" s="164">
        <v>41364</v>
      </c>
      <c r="AD243" s="164">
        <v>41389</v>
      </c>
      <c r="AE243" s="34">
        <f>SUMPRODUCT(DB_STProjectsSOF[[#This Row],[Plan01]:[Plan12]],$D$4:$O$4)/valUnits2</f>
        <v>0</v>
      </c>
      <c r="AF243" s="34">
        <f>SUMPRODUCT(DB_STProjectsSOF[[#This Row],[Act01]:[Act12]],$P$4:$AA$4)/valUnits2</f>
        <v>0</v>
      </c>
      <c r="AG243" s="34">
        <f>DB_STProjectsSOF[[#This Row],[Actual]]-DB_STProjectsSOF[[#This Row],[Plan]]</f>
        <v>0</v>
      </c>
      <c r="AH243" s="34">
        <f>IF(DB_STProjectsSOF[[#This Row],[Plan]]&lt;&gt;0,DB_STProjectsSOF[[#This Row],[Actual]]/DB_STProjectsSOF[[#This Row],[Plan]],1.000011000011)</f>
        <v>1.0000110000110001</v>
      </c>
      <c r="AI243" s="34">
        <f>SUM(DB_STProjectsSOF[[#This Row],[Plan01]:[Plan12]])/valUnits2</f>
        <v>0</v>
      </c>
      <c r="AJ243" s="34">
        <f>SUMPRODUCT(DB_STProjectsSOF[[#This Row],[Act01]:[Act12]],$P$3:$AA$3)/valUnits2</f>
        <v>0</v>
      </c>
      <c r="AK243" s="34">
        <f>IF(DB_STProjectsSOF[[#This Row],[FY Plan]]&lt;&gt;0,DB_STProjectsSOF[[#This Row],[FY Actuals]]/DB_STProjectsSOF[[#This Row],[FY Plan]],1.000011000011)</f>
        <v>1.0000110000110001</v>
      </c>
    </row>
    <row r="244" spans="1:37" hidden="1" x14ac:dyDescent="0.2">
      <c r="A244">
        <f>SUBTOTAL(3,$B$6:B244)</f>
        <v>0</v>
      </c>
      <c r="B244" t="s">
        <v>999</v>
      </c>
      <c r="C244" t="s">
        <v>361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180.71299999999999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s="164">
        <v>41091</v>
      </c>
      <c r="AC244" s="164">
        <v>41455</v>
      </c>
      <c r="AD244" s="164">
        <v>41486</v>
      </c>
      <c r="AE244" s="34">
        <f>SUMPRODUCT(DB_STProjectsSOF[[#This Row],[Plan01]:[Plan12]],$D$4:$O$4)/valUnits2</f>
        <v>0.18071299999999998</v>
      </c>
      <c r="AF244" s="34">
        <f>SUMPRODUCT(DB_STProjectsSOF[[#This Row],[Act01]:[Act12]],$P$4:$AA$4)/valUnits2</f>
        <v>0</v>
      </c>
      <c r="AG244" s="34">
        <f>DB_STProjectsSOF[[#This Row],[Actual]]-DB_STProjectsSOF[[#This Row],[Plan]]</f>
        <v>-0.18071299999999998</v>
      </c>
      <c r="AH244" s="34">
        <f>IF(DB_STProjectsSOF[[#This Row],[Plan]]&lt;&gt;0,DB_STProjectsSOF[[#This Row],[Actual]]/DB_STProjectsSOF[[#This Row],[Plan]],1.000011000011)</f>
        <v>0</v>
      </c>
      <c r="AI244" s="34">
        <f>SUM(DB_STProjectsSOF[[#This Row],[Plan01]:[Plan12]])/valUnits2</f>
        <v>0.18071299999999998</v>
      </c>
      <c r="AJ244" s="34">
        <f>SUMPRODUCT(DB_STProjectsSOF[[#This Row],[Act01]:[Act12]],$P$3:$AA$3)/valUnits2</f>
        <v>0</v>
      </c>
      <c r="AK244" s="34">
        <f>IF(DB_STProjectsSOF[[#This Row],[FY Plan]]&lt;&gt;0,DB_STProjectsSOF[[#This Row],[FY Actuals]]/DB_STProjectsSOF[[#This Row],[FY Plan]],1.000011000011)</f>
        <v>0</v>
      </c>
    </row>
    <row r="245" spans="1:37" hidden="1" x14ac:dyDescent="0.2">
      <c r="A245">
        <f>SUBTOTAL(3,$B$6:B245)</f>
        <v>0</v>
      </c>
      <c r="B245" t="s">
        <v>999</v>
      </c>
      <c r="C245" t="s">
        <v>358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379.21199999999999</v>
      </c>
      <c r="J245">
        <v>379.21199999999999</v>
      </c>
      <c r="K245">
        <v>379.21199999999999</v>
      </c>
      <c r="L245">
        <v>379.21199999999999</v>
      </c>
      <c r="M245">
        <v>379.21199999999999</v>
      </c>
      <c r="N245">
        <v>379.21199999999999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B245" s="164">
        <v>41091</v>
      </c>
      <c r="AC245" s="164">
        <v>41455</v>
      </c>
      <c r="AD245" s="164">
        <v>41517</v>
      </c>
      <c r="AE245" s="34">
        <f>SUMPRODUCT(DB_STProjectsSOF[[#This Row],[Plan01]:[Plan12]],$D$4:$O$4)/valUnits2</f>
        <v>0.37921199999999999</v>
      </c>
      <c r="AF245" s="34">
        <f>SUMPRODUCT(DB_STProjectsSOF[[#This Row],[Act01]:[Act12]],$P$4:$AA$4)/valUnits2</f>
        <v>0</v>
      </c>
      <c r="AG245" s="34">
        <f>DB_STProjectsSOF[[#This Row],[Actual]]-DB_STProjectsSOF[[#This Row],[Plan]]</f>
        <v>-0.37921199999999999</v>
      </c>
      <c r="AH245" s="34">
        <f>IF(DB_STProjectsSOF[[#This Row],[Plan]]&lt;&gt;0,DB_STProjectsSOF[[#This Row],[Actual]]/DB_STProjectsSOF[[#This Row],[Plan]],1.000011000011)</f>
        <v>0</v>
      </c>
      <c r="AI245" s="34">
        <f>SUM(DB_STProjectsSOF[[#This Row],[Plan01]:[Plan12]])/valUnits2</f>
        <v>2.2752719999999997</v>
      </c>
      <c r="AJ245" s="34">
        <f>SUMPRODUCT(DB_STProjectsSOF[[#This Row],[Act01]:[Act12]],$P$3:$AA$3)/valUnits2</f>
        <v>0</v>
      </c>
      <c r="AK245" s="34">
        <f>IF(DB_STProjectsSOF[[#This Row],[FY Plan]]&lt;&gt;0,DB_STProjectsSOF[[#This Row],[FY Actuals]]/DB_STProjectsSOF[[#This Row],[FY Plan]],1.000011000011)</f>
        <v>0</v>
      </c>
    </row>
    <row r="246" spans="1:37" hidden="1" x14ac:dyDescent="0.2">
      <c r="A246">
        <f>SUBTOTAL(3,$B$6:B246)</f>
        <v>0</v>
      </c>
      <c r="B246" t="s">
        <v>999</v>
      </c>
      <c r="C246" t="s">
        <v>890</v>
      </c>
      <c r="E246">
        <v>0</v>
      </c>
      <c r="F246">
        <v>0</v>
      </c>
      <c r="G246">
        <v>0</v>
      </c>
      <c r="H246">
        <v>0</v>
      </c>
      <c r="I246">
        <v>142.32999999999998</v>
      </c>
      <c r="J246">
        <v>142.32999999999998</v>
      </c>
      <c r="K246">
        <v>142.32999999999998</v>
      </c>
      <c r="L246">
        <v>142.32999999999998</v>
      </c>
      <c r="M246">
        <v>142.32999999999998</v>
      </c>
      <c r="N246">
        <v>142.32999999999998</v>
      </c>
      <c r="O246">
        <v>142.32999999999998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s="164">
        <v>40817</v>
      </c>
      <c r="AC246" s="164">
        <v>41639</v>
      </c>
      <c r="AD246" s="164">
        <v>41639</v>
      </c>
      <c r="AE246" s="34">
        <f>SUMPRODUCT(DB_STProjectsSOF[[#This Row],[Plan01]:[Plan12]],$D$4:$O$4)/valUnits2</f>
        <v>0.14232999999999998</v>
      </c>
      <c r="AF246" s="34">
        <f>SUMPRODUCT(DB_STProjectsSOF[[#This Row],[Act01]:[Act12]],$P$4:$AA$4)/valUnits2</f>
        <v>0</v>
      </c>
      <c r="AG246" s="34">
        <f>DB_STProjectsSOF[[#This Row],[Actual]]-DB_STProjectsSOF[[#This Row],[Plan]]</f>
        <v>-0.14232999999999998</v>
      </c>
      <c r="AH246" s="34">
        <f>IF(DB_STProjectsSOF[[#This Row],[Plan]]&lt;&gt;0,DB_STProjectsSOF[[#This Row],[Actual]]/DB_STProjectsSOF[[#This Row],[Plan]],1.000011000011)</f>
        <v>0</v>
      </c>
      <c r="AI246" s="34">
        <f>SUM(DB_STProjectsSOF[[#This Row],[Plan01]:[Plan12]])/valUnits2</f>
        <v>0.9963099999999997</v>
      </c>
      <c r="AJ246" s="34">
        <f>SUMPRODUCT(DB_STProjectsSOF[[#This Row],[Act01]:[Act12]],$P$3:$AA$3)/valUnits2</f>
        <v>0</v>
      </c>
      <c r="AK246" s="34">
        <f>IF(DB_STProjectsSOF[[#This Row],[FY Plan]]&lt;&gt;0,DB_STProjectsSOF[[#This Row],[FY Actuals]]/DB_STProjectsSOF[[#This Row],[FY Plan]],1.000011000011)</f>
        <v>0</v>
      </c>
    </row>
    <row r="247" spans="1:37" hidden="1" x14ac:dyDescent="0.2">
      <c r="A247">
        <f>SUBTOTAL(3,$B$6:B247)</f>
        <v>0</v>
      </c>
      <c r="B247" t="s">
        <v>999</v>
      </c>
      <c r="C247" t="s">
        <v>891</v>
      </c>
      <c r="G247">
        <v>480.16899999999998</v>
      </c>
      <c r="H247">
        <v>616.94899999999996</v>
      </c>
      <c r="I247">
        <v>475.04300000000001</v>
      </c>
      <c r="J247">
        <v>475.04300000000001</v>
      </c>
      <c r="K247">
        <v>475.04300000000001</v>
      </c>
      <c r="L247">
        <v>475.04300000000001</v>
      </c>
      <c r="M247">
        <v>475.04300000000001</v>
      </c>
      <c r="N247">
        <v>475.04300000000001</v>
      </c>
      <c r="O247">
        <v>475.04300000000001</v>
      </c>
      <c r="S247">
        <v>477.43</v>
      </c>
      <c r="T247">
        <v>620.34</v>
      </c>
      <c r="U247">
        <v>2042.3600000000001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s="164">
        <v>41214</v>
      </c>
      <c r="AC247" s="164">
        <v>42308</v>
      </c>
      <c r="AD247" s="164">
        <v>42389</v>
      </c>
      <c r="AE247" s="34">
        <f>SUMPRODUCT(DB_STProjectsSOF[[#This Row],[Plan01]:[Plan12]],$D$4:$O$4)/valUnits2</f>
        <v>1.5721610000000001</v>
      </c>
      <c r="AF247" s="34">
        <f>SUMPRODUCT(DB_STProjectsSOF[[#This Row],[Act01]:[Act12]],$P$4:$AA$4)/valUnits2</f>
        <v>3.1401300000000001</v>
      </c>
      <c r="AG247" s="34">
        <f>DB_STProjectsSOF[[#This Row],[Actual]]-DB_STProjectsSOF[[#This Row],[Plan]]</f>
        <v>1.5679689999999999</v>
      </c>
      <c r="AH247" s="34">
        <f>IF(DB_STProjectsSOF[[#This Row],[Plan]]&lt;&gt;0,DB_STProjectsSOF[[#This Row],[Actual]]/DB_STProjectsSOF[[#This Row],[Plan]],1.000011000011)</f>
        <v>1.9973336064181721</v>
      </c>
      <c r="AI247" s="34">
        <f>SUM(DB_STProjectsSOF[[#This Row],[Plan01]:[Plan12]])/valUnits2</f>
        <v>4.4224190000000005</v>
      </c>
      <c r="AJ247" s="34">
        <f>SUMPRODUCT(DB_STProjectsSOF[[#This Row],[Act01]:[Act12]],$P$3:$AA$3)/valUnits2</f>
        <v>3.1401300000000001</v>
      </c>
      <c r="AK247" s="34">
        <f>IF(DB_STProjectsSOF[[#This Row],[FY Plan]]&lt;&gt;0,DB_STProjectsSOF[[#This Row],[FY Actuals]]/DB_STProjectsSOF[[#This Row],[FY Plan]],1.000011000011)</f>
        <v>0.71004805288689288</v>
      </c>
    </row>
    <row r="248" spans="1:37" hidden="1" x14ac:dyDescent="0.2">
      <c r="A248">
        <f>SUBTOTAL(3,$B$6:B248)</f>
        <v>0</v>
      </c>
      <c r="B248" t="s">
        <v>999</v>
      </c>
      <c r="C248" t="s">
        <v>368</v>
      </c>
      <c r="D248">
        <v>0</v>
      </c>
      <c r="E248">
        <v>0</v>
      </c>
      <c r="G248">
        <v>2265.21</v>
      </c>
      <c r="H248">
        <v>19291.304</v>
      </c>
      <c r="I248">
        <v>10546.154</v>
      </c>
      <c r="J248">
        <v>10546.154</v>
      </c>
      <c r="K248">
        <v>10546.154</v>
      </c>
      <c r="L248">
        <v>10546.154</v>
      </c>
      <c r="M248">
        <v>10546.154</v>
      </c>
      <c r="N248">
        <v>10546.154</v>
      </c>
      <c r="P248">
        <v>0</v>
      </c>
      <c r="Q248">
        <v>0</v>
      </c>
      <c r="S248">
        <v>2265.21</v>
      </c>
      <c r="T248">
        <v>8745.15</v>
      </c>
      <c r="U248">
        <v>4354.24</v>
      </c>
      <c r="V248">
        <v>0</v>
      </c>
      <c r="W248">
        <v>0</v>
      </c>
      <c r="X248">
        <v>0</v>
      </c>
      <c r="Y248">
        <v>0</v>
      </c>
      <c r="Z248">
        <v>0</v>
      </c>
      <c r="AB248" s="164">
        <v>41000</v>
      </c>
      <c r="AC248" s="164">
        <v>41820</v>
      </c>
      <c r="AD248" s="164">
        <v>41517</v>
      </c>
      <c r="AE248" s="34">
        <f>SUMPRODUCT(DB_STProjectsSOF[[#This Row],[Plan01]:[Plan12]],$D$4:$O$4)/valUnits2</f>
        <v>32.102668000000001</v>
      </c>
      <c r="AF248" s="34">
        <f>SUMPRODUCT(DB_STProjectsSOF[[#This Row],[Act01]:[Act12]],$P$4:$AA$4)/valUnits2</f>
        <v>15.364600000000001</v>
      </c>
      <c r="AG248" s="34">
        <f>DB_STProjectsSOF[[#This Row],[Actual]]-DB_STProjectsSOF[[#This Row],[Plan]]</f>
        <v>-16.738067999999998</v>
      </c>
      <c r="AH248" s="34">
        <f>IF(DB_STProjectsSOF[[#This Row],[Plan]]&lt;&gt;0,DB_STProjectsSOF[[#This Row],[Actual]]/DB_STProjectsSOF[[#This Row],[Plan]],1.000011000011)</f>
        <v>0.47860819543098415</v>
      </c>
      <c r="AI248" s="34">
        <f>SUM(DB_STProjectsSOF[[#This Row],[Plan01]:[Plan12]])/valUnits2</f>
        <v>84.833438000000001</v>
      </c>
      <c r="AJ248" s="34">
        <f>SUMPRODUCT(DB_STProjectsSOF[[#This Row],[Act01]:[Act12]],$P$3:$AA$3)/valUnits2</f>
        <v>15.364600000000001</v>
      </c>
      <c r="AK248" s="34">
        <f>IF(DB_STProjectsSOF[[#This Row],[FY Plan]]&lt;&gt;0,DB_STProjectsSOF[[#This Row],[FY Actuals]]/DB_STProjectsSOF[[#This Row],[FY Plan]],1.000011000011)</f>
        <v>0.18111490424330087</v>
      </c>
    </row>
    <row r="249" spans="1:37" hidden="1" x14ac:dyDescent="0.2">
      <c r="A249">
        <f>SUBTOTAL(3,$B$6:B249)</f>
        <v>0</v>
      </c>
      <c r="B249" t="s">
        <v>999</v>
      </c>
      <c r="C249" t="s">
        <v>892</v>
      </c>
      <c r="D249">
        <v>338.06600000000003</v>
      </c>
      <c r="E249">
        <v>327.05399999999997</v>
      </c>
      <c r="F249">
        <v>327.05399999999997</v>
      </c>
      <c r="G249">
        <v>327.05399999999997</v>
      </c>
      <c r="H249">
        <v>327.05399999999997</v>
      </c>
      <c r="I249">
        <v>327.05399999999997</v>
      </c>
      <c r="J249">
        <v>327.05399999999997</v>
      </c>
      <c r="K249">
        <v>327.05399999999997</v>
      </c>
      <c r="L249">
        <v>327.05399999999997</v>
      </c>
      <c r="M249">
        <v>327.05399999999997</v>
      </c>
      <c r="N249">
        <v>327.05399999999997</v>
      </c>
      <c r="O249">
        <v>327.05399999999997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s="164">
        <v>40817</v>
      </c>
      <c r="AC249" s="164">
        <v>41639</v>
      </c>
      <c r="AD249" s="164">
        <v>3</v>
      </c>
      <c r="AE249" s="34">
        <f>SUMPRODUCT(DB_STProjectsSOF[[#This Row],[Plan01]:[Plan12]],$D$4:$O$4)/valUnits2</f>
        <v>1.9733360000000002</v>
      </c>
      <c r="AF249" s="34">
        <f>SUMPRODUCT(DB_STProjectsSOF[[#This Row],[Act01]:[Act12]],$P$4:$AA$4)/valUnits2</f>
        <v>0</v>
      </c>
      <c r="AG249" s="34">
        <f>DB_STProjectsSOF[[#This Row],[Actual]]-DB_STProjectsSOF[[#This Row],[Plan]]</f>
        <v>-1.9733360000000002</v>
      </c>
      <c r="AH249" s="34">
        <f>IF(DB_STProjectsSOF[[#This Row],[Plan]]&lt;&gt;0,DB_STProjectsSOF[[#This Row],[Actual]]/DB_STProjectsSOF[[#This Row],[Plan]],1.000011000011)</f>
        <v>0</v>
      </c>
      <c r="AI249" s="34">
        <f>SUM(DB_STProjectsSOF[[#This Row],[Plan01]:[Plan12]])/valUnits2</f>
        <v>3.9356600000000008</v>
      </c>
      <c r="AJ249" s="34">
        <f>SUMPRODUCT(DB_STProjectsSOF[[#This Row],[Act01]:[Act12]],$P$3:$AA$3)/valUnits2</f>
        <v>0</v>
      </c>
      <c r="AK249" s="34">
        <f>IF(DB_STProjectsSOF[[#This Row],[FY Plan]]&lt;&gt;0,DB_STProjectsSOF[[#This Row],[FY Actuals]]/DB_STProjectsSOF[[#This Row],[FY Plan]],1.000011000011)</f>
        <v>0</v>
      </c>
    </row>
    <row r="250" spans="1:37" hidden="1" x14ac:dyDescent="0.2">
      <c r="A250">
        <f>SUBTOTAL(3,$B$6:B250)</f>
        <v>0</v>
      </c>
      <c r="B250" t="s">
        <v>999</v>
      </c>
      <c r="C250" t="s">
        <v>895</v>
      </c>
      <c r="D250">
        <v>0</v>
      </c>
      <c r="E250">
        <v>0</v>
      </c>
      <c r="F250">
        <v>0</v>
      </c>
      <c r="G250">
        <v>1091.9839999999999</v>
      </c>
      <c r="H250">
        <v>308.58199999999999</v>
      </c>
      <c r="I250">
        <v>759.14200000000005</v>
      </c>
      <c r="J250">
        <v>759.14200000000005</v>
      </c>
      <c r="K250">
        <v>759.14200000000005</v>
      </c>
      <c r="L250">
        <v>759.14200000000005</v>
      </c>
      <c r="M250">
        <v>759.14200000000005</v>
      </c>
      <c r="N250">
        <v>759.14200000000005</v>
      </c>
      <c r="O250">
        <v>759.14200000000005</v>
      </c>
      <c r="P250">
        <v>0</v>
      </c>
      <c r="Q250">
        <v>0</v>
      </c>
      <c r="R250">
        <v>0</v>
      </c>
      <c r="S250">
        <v>1096.5700000000002</v>
      </c>
      <c r="T250">
        <v>304.84000000000003</v>
      </c>
      <c r="U250">
        <v>304.64000000000004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s="164">
        <v>40553</v>
      </c>
      <c r="AC250" s="164">
        <v>41897</v>
      </c>
      <c r="AD250" s="164">
        <v>41988</v>
      </c>
      <c r="AE250" s="34">
        <f>SUMPRODUCT(DB_STProjectsSOF[[#This Row],[Plan01]:[Plan12]],$D$4:$O$4)/valUnits2</f>
        <v>2.1597079999999997</v>
      </c>
      <c r="AF250" s="34">
        <f>SUMPRODUCT(DB_STProjectsSOF[[#This Row],[Act01]:[Act12]],$P$4:$AA$4)/valUnits2</f>
        <v>1.7060500000000005</v>
      </c>
      <c r="AG250" s="34">
        <f>DB_STProjectsSOF[[#This Row],[Actual]]-DB_STProjectsSOF[[#This Row],[Plan]]</f>
        <v>-0.45365799999999923</v>
      </c>
      <c r="AH250" s="34">
        <f>IF(DB_STProjectsSOF[[#This Row],[Plan]]&lt;&gt;0,DB_STProjectsSOF[[#This Row],[Actual]]/DB_STProjectsSOF[[#This Row],[Plan]],1.000011000011)</f>
        <v>0.78994475179052015</v>
      </c>
      <c r="AI250" s="34">
        <f>SUM(DB_STProjectsSOF[[#This Row],[Plan01]:[Plan12]])/valUnits2</f>
        <v>6.7145599999999988</v>
      </c>
      <c r="AJ250" s="34">
        <f>SUMPRODUCT(DB_STProjectsSOF[[#This Row],[Act01]:[Act12]],$P$3:$AA$3)/valUnits2</f>
        <v>1.7060500000000005</v>
      </c>
      <c r="AK250" s="34">
        <f>IF(DB_STProjectsSOF[[#This Row],[FY Plan]]&lt;&gt;0,DB_STProjectsSOF[[#This Row],[FY Actuals]]/DB_STProjectsSOF[[#This Row],[FY Plan]],1.000011000011)</f>
        <v>0.25408217366439512</v>
      </c>
    </row>
    <row r="251" spans="1:37" hidden="1" x14ac:dyDescent="0.2">
      <c r="A251">
        <f>SUBTOTAL(3,$B$6:B251)</f>
        <v>0</v>
      </c>
      <c r="B251" t="s">
        <v>999</v>
      </c>
      <c r="C251" t="s">
        <v>896</v>
      </c>
      <c r="D251">
        <v>0</v>
      </c>
      <c r="E251">
        <v>807.74300000000005</v>
      </c>
      <c r="F251">
        <v>0</v>
      </c>
      <c r="G251">
        <v>1591.0330000000001</v>
      </c>
      <c r="H251">
        <v>1900.9860000000001</v>
      </c>
      <c r="I251">
        <v>535.10300000000007</v>
      </c>
      <c r="J251">
        <v>535.10300000000007</v>
      </c>
      <c r="K251">
        <v>535.10300000000007</v>
      </c>
      <c r="L251">
        <v>535.10300000000007</v>
      </c>
      <c r="M251">
        <v>535.10300000000007</v>
      </c>
      <c r="N251">
        <v>535.10300000000007</v>
      </c>
      <c r="O251">
        <v>535.10300000000007</v>
      </c>
      <c r="P251">
        <v>0</v>
      </c>
      <c r="Q251">
        <v>807.74</v>
      </c>
      <c r="R251">
        <v>0</v>
      </c>
      <c r="S251">
        <v>1591.68</v>
      </c>
      <c r="T251">
        <v>1890.02</v>
      </c>
      <c r="U251">
        <v>686.26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s="164">
        <v>40817</v>
      </c>
      <c r="AC251" s="164">
        <v>41639</v>
      </c>
      <c r="AD251" s="164">
        <v>41820</v>
      </c>
      <c r="AE251" s="34">
        <f>SUMPRODUCT(DB_STProjectsSOF[[#This Row],[Plan01]:[Plan12]],$D$4:$O$4)/valUnits2</f>
        <v>4.8348650000000006</v>
      </c>
      <c r="AF251" s="34">
        <f>SUMPRODUCT(DB_STProjectsSOF[[#This Row],[Act01]:[Act12]],$P$4:$AA$4)/valUnits2</f>
        <v>4.9757000000000007</v>
      </c>
      <c r="AG251" s="34">
        <f>DB_STProjectsSOF[[#This Row],[Actual]]-DB_STProjectsSOF[[#This Row],[Plan]]</f>
        <v>0.14083500000000004</v>
      </c>
      <c r="AH251" s="34">
        <f>IF(DB_STProjectsSOF[[#This Row],[Plan]]&lt;&gt;0,DB_STProjectsSOF[[#This Row],[Actual]]/DB_STProjectsSOF[[#This Row],[Plan]],1.000011000011)</f>
        <v>1.0291290449681636</v>
      </c>
      <c r="AI251" s="34">
        <f>SUM(DB_STProjectsSOF[[#This Row],[Plan01]:[Plan12]])/valUnits2</f>
        <v>8.0454830000000008</v>
      </c>
      <c r="AJ251" s="34">
        <f>SUMPRODUCT(DB_STProjectsSOF[[#This Row],[Act01]:[Act12]],$P$3:$AA$3)/valUnits2</f>
        <v>4.9757000000000007</v>
      </c>
      <c r="AK251" s="34">
        <f>IF(DB_STProjectsSOF[[#This Row],[FY Plan]]&lt;&gt;0,DB_STProjectsSOF[[#This Row],[FY Actuals]]/DB_STProjectsSOF[[#This Row],[FY Plan]],1.000011000011)</f>
        <v>0.618446400296912</v>
      </c>
    </row>
    <row r="252" spans="1:37" hidden="1" x14ac:dyDescent="0.2">
      <c r="A252">
        <f>SUBTOTAL(3,$B$6:B252)</f>
        <v>0</v>
      </c>
      <c r="B252" t="s">
        <v>999</v>
      </c>
      <c r="C252" t="s">
        <v>903</v>
      </c>
      <c r="G252">
        <v>0</v>
      </c>
      <c r="H252">
        <v>0</v>
      </c>
      <c r="I252">
        <v>135.37700000000001</v>
      </c>
      <c r="J252">
        <v>135.37700000000001</v>
      </c>
      <c r="K252">
        <v>135.37700000000001</v>
      </c>
      <c r="L252">
        <v>135.37700000000001</v>
      </c>
      <c r="M252">
        <v>135.37700000000001</v>
      </c>
      <c r="N252">
        <v>135.37700000000001</v>
      </c>
      <c r="O252">
        <v>135.37700000000001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s="164">
        <v>41275</v>
      </c>
      <c r="AC252" s="164">
        <v>41639</v>
      </c>
      <c r="AD252" s="164">
        <v>41670</v>
      </c>
      <c r="AE252" s="34">
        <f>SUMPRODUCT(DB_STProjectsSOF[[#This Row],[Plan01]:[Plan12]],$D$4:$O$4)/valUnits2</f>
        <v>0.135377</v>
      </c>
      <c r="AF252" s="34">
        <f>SUMPRODUCT(DB_STProjectsSOF[[#This Row],[Act01]:[Act12]],$P$4:$AA$4)/valUnits2</f>
        <v>0</v>
      </c>
      <c r="AG252" s="34">
        <f>DB_STProjectsSOF[[#This Row],[Actual]]-DB_STProjectsSOF[[#This Row],[Plan]]</f>
        <v>-0.135377</v>
      </c>
      <c r="AH252" s="34">
        <f>IF(DB_STProjectsSOF[[#This Row],[Plan]]&lt;&gt;0,DB_STProjectsSOF[[#This Row],[Actual]]/DB_STProjectsSOF[[#This Row],[Plan]],1.000011000011)</f>
        <v>0</v>
      </c>
      <c r="AI252" s="34">
        <f>SUM(DB_STProjectsSOF[[#This Row],[Plan01]:[Plan12]])/valUnits2</f>
        <v>0.9476389999999999</v>
      </c>
      <c r="AJ252" s="34">
        <f>SUMPRODUCT(DB_STProjectsSOF[[#This Row],[Act01]:[Act12]],$P$3:$AA$3)/valUnits2</f>
        <v>0</v>
      </c>
      <c r="AK252" s="34">
        <f>IF(DB_STProjectsSOF[[#This Row],[FY Plan]]&lt;&gt;0,DB_STProjectsSOF[[#This Row],[FY Actuals]]/DB_STProjectsSOF[[#This Row],[FY Plan]],1.000011000011)</f>
        <v>0</v>
      </c>
    </row>
    <row r="253" spans="1:37" hidden="1" x14ac:dyDescent="0.2">
      <c r="A253">
        <f>SUBTOTAL(3,$B$6:B253)</f>
        <v>0</v>
      </c>
      <c r="B253" t="s">
        <v>999</v>
      </c>
      <c r="C253" t="s">
        <v>365</v>
      </c>
      <c r="G253">
        <v>0</v>
      </c>
      <c r="H253">
        <v>0</v>
      </c>
      <c r="I253">
        <v>52.024999999999999</v>
      </c>
      <c r="J253">
        <v>52.024999999999999</v>
      </c>
      <c r="K253">
        <v>52.024999999999999</v>
      </c>
      <c r="S253">
        <v>0</v>
      </c>
      <c r="T253">
        <v>0</v>
      </c>
      <c r="U253">
        <v>0</v>
      </c>
      <c r="V253">
        <v>0</v>
      </c>
      <c r="W253">
        <v>0</v>
      </c>
      <c r="AB253" s="164">
        <v>40878</v>
      </c>
      <c r="AC253" s="164">
        <v>41517</v>
      </c>
      <c r="AD253" s="164">
        <v>41547</v>
      </c>
      <c r="AE253" s="34">
        <f>SUMPRODUCT(DB_STProjectsSOF[[#This Row],[Plan01]:[Plan12]],$D$4:$O$4)/valUnits2</f>
        <v>5.2025000000000002E-2</v>
      </c>
      <c r="AF253" s="34">
        <f>SUMPRODUCT(DB_STProjectsSOF[[#This Row],[Act01]:[Act12]],$P$4:$AA$4)/valUnits2</f>
        <v>0</v>
      </c>
      <c r="AG253" s="34">
        <f>DB_STProjectsSOF[[#This Row],[Actual]]-DB_STProjectsSOF[[#This Row],[Plan]]</f>
        <v>-5.2025000000000002E-2</v>
      </c>
      <c r="AH253" s="34">
        <f>IF(DB_STProjectsSOF[[#This Row],[Plan]]&lt;&gt;0,DB_STProjectsSOF[[#This Row],[Actual]]/DB_STProjectsSOF[[#This Row],[Plan]],1.000011000011)</f>
        <v>0</v>
      </c>
      <c r="AI253" s="34">
        <f>SUM(DB_STProjectsSOF[[#This Row],[Plan01]:[Plan12]])/valUnits2</f>
        <v>0.15607499999999999</v>
      </c>
      <c r="AJ253" s="34">
        <f>SUMPRODUCT(DB_STProjectsSOF[[#This Row],[Act01]:[Act12]],$P$3:$AA$3)/valUnits2</f>
        <v>0</v>
      </c>
      <c r="AK253" s="34">
        <f>IF(DB_STProjectsSOF[[#This Row],[FY Plan]]&lt;&gt;0,DB_STProjectsSOF[[#This Row],[FY Actuals]]/DB_STProjectsSOF[[#This Row],[FY Plan]],1.000011000011)</f>
        <v>0</v>
      </c>
    </row>
    <row r="254" spans="1:37" hidden="1" x14ac:dyDescent="0.2">
      <c r="A254">
        <f>SUBTOTAL(3,$B$6:B254)</f>
        <v>0</v>
      </c>
      <c r="B254" t="s">
        <v>999</v>
      </c>
      <c r="C254" t="s">
        <v>904</v>
      </c>
      <c r="D254">
        <v>463.38400000000001</v>
      </c>
      <c r="E254">
        <v>0</v>
      </c>
      <c r="F254">
        <v>6.1029999999999998</v>
      </c>
      <c r="G254">
        <v>14.469000000000001</v>
      </c>
      <c r="H254">
        <v>26.289000000000001</v>
      </c>
      <c r="I254">
        <v>565.27</v>
      </c>
      <c r="J254">
        <v>565.27</v>
      </c>
      <c r="K254">
        <v>565.27</v>
      </c>
      <c r="L254">
        <v>565.27</v>
      </c>
      <c r="M254">
        <v>565.27</v>
      </c>
      <c r="N254">
        <v>565.27</v>
      </c>
      <c r="O254">
        <v>565.27</v>
      </c>
      <c r="P254">
        <v>463.38</v>
      </c>
      <c r="Q254">
        <v>0</v>
      </c>
      <c r="R254">
        <v>6.0600000000000005</v>
      </c>
      <c r="S254">
        <v>14.55</v>
      </c>
      <c r="T254">
        <v>26.33</v>
      </c>
      <c r="U254">
        <v>4.42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s="164">
        <v>40817</v>
      </c>
      <c r="AC254" s="164">
        <v>41639</v>
      </c>
      <c r="AD254" s="164">
        <v>41698</v>
      </c>
      <c r="AE254" s="34">
        <f>SUMPRODUCT(DB_STProjectsSOF[[#This Row],[Plan01]:[Plan12]],$D$4:$O$4)/valUnits2</f>
        <v>1.0755149999999998</v>
      </c>
      <c r="AF254" s="34">
        <f>SUMPRODUCT(DB_STProjectsSOF[[#This Row],[Act01]:[Act12]],$P$4:$AA$4)/valUnits2</f>
        <v>0.51473999999999998</v>
      </c>
      <c r="AG254" s="34">
        <f>DB_STProjectsSOF[[#This Row],[Actual]]-DB_STProjectsSOF[[#This Row],[Plan]]</f>
        <v>-0.5607749999999998</v>
      </c>
      <c r="AH254" s="34">
        <f>IF(DB_STProjectsSOF[[#This Row],[Plan]]&lt;&gt;0,DB_STProjectsSOF[[#This Row],[Actual]]/DB_STProjectsSOF[[#This Row],[Plan]],1.000011000011)</f>
        <v>0.47859862484484184</v>
      </c>
      <c r="AI254" s="34">
        <f>SUM(DB_STProjectsSOF[[#This Row],[Plan01]:[Plan12]])/valUnits2</f>
        <v>4.4671349999999999</v>
      </c>
      <c r="AJ254" s="34">
        <f>SUMPRODUCT(DB_STProjectsSOF[[#This Row],[Act01]:[Act12]],$P$3:$AA$3)/valUnits2</f>
        <v>0.51473999999999998</v>
      </c>
      <c r="AK254" s="34">
        <f>IF(DB_STProjectsSOF[[#This Row],[FY Plan]]&lt;&gt;0,DB_STProjectsSOF[[#This Row],[FY Actuals]]/DB_STProjectsSOF[[#This Row],[FY Plan]],1.000011000011)</f>
        <v>0.11522821674294598</v>
      </c>
    </row>
    <row r="255" spans="1:37" hidden="1" x14ac:dyDescent="0.2">
      <c r="A255">
        <f>SUBTOTAL(3,$B$6:B255)</f>
        <v>0</v>
      </c>
      <c r="B255" t="s">
        <v>999</v>
      </c>
      <c r="C255" t="s">
        <v>905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s="164">
        <v>40909</v>
      </c>
      <c r="AC255" s="164">
        <v>41274</v>
      </c>
      <c r="AD255" s="164">
        <v>41364</v>
      </c>
      <c r="AE255" s="34">
        <f>SUMPRODUCT(DB_STProjectsSOF[[#This Row],[Plan01]:[Plan12]],$D$4:$O$4)/valUnits2</f>
        <v>0</v>
      </c>
      <c r="AF255" s="34">
        <f>SUMPRODUCT(DB_STProjectsSOF[[#This Row],[Act01]:[Act12]],$P$4:$AA$4)/valUnits2</f>
        <v>0</v>
      </c>
      <c r="AG255" s="34">
        <f>DB_STProjectsSOF[[#This Row],[Actual]]-DB_STProjectsSOF[[#This Row],[Plan]]</f>
        <v>0</v>
      </c>
      <c r="AH255" s="34">
        <f>IF(DB_STProjectsSOF[[#This Row],[Plan]]&lt;&gt;0,DB_STProjectsSOF[[#This Row],[Actual]]/DB_STProjectsSOF[[#This Row],[Plan]],1.000011000011)</f>
        <v>1.0000110000110001</v>
      </c>
      <c r="AI255" s="34">
        <f>SUM(DB_STProjectsSOF[[#This Row],[Plan01]:[Plan12]])/valUnits2</f>
        <v>0</v>
      </c>
      <c r="AJ255" s="34">
        <f>SUMPRODUCT(DB_STProjectsSOF[[#This Row],[Act01]:[Act12]],$P$3:$AA$3)/valUnits2</f>
        <v>0</v>
      </c>
      <c r="AK255" s="34">
        <f>IF(DB_STProjectsSOF[[#This Row],[FY Plan]]&lt;&gt;0,DB_STProjectsSOF[[#This Row],[FY Actuals]]/DB_STProjectsSOF[[#This Row],[FY Plan]],1.000011000011)</f>
        <v>1.0000110000110001</v>
      </c>
    </row>
    <row r="256" spans="1:37" hidden="1" x14ac:dyDescent="0.2">
      <c r="A256">
        <f>SUBTOTAL(3,$B$6:B256)</f>
        <v>0</v>
      </c>
      <c r="B256" t="s">
        <v>999</v>
      </c>
      <c r="C256" t="s">
        <v>907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s="164">
        <v>40909</v>
      </c>
      <c r="AC256" s="164">
        <v>41274</v>
      </c>
      <c r="AD256" s="164">
        <v>41320</v>
      </c>
      <c r="AE256" s="34">
        <f>SUMPRODUCT(DB_STProjectsSOF[[#This Row],[Plan01]:[Plan12]],$D$4:$O$4)/valUnits2</f>
        <v>0</v>
      </c>
      <c r="AF256" s="34">
        <f>SUMPRODUCT(DB_STProjectsSOF[[#This Row],[Act01]:[Act12]],$P$4:$AA$4)/valUnits2</f>
        <v>0</v>
      </c>
      <c r="AG256" s="34">
        <f>DB_STProjectsSOF[[#This Row],[Actual]]-DB_STProjectsSOF[[#This Row],[Plan]]</f>
        <v>0</v>
      </c>
      <c r="AH256" s="34">
        <f>IF(DB_STProjectsSOF[[#This Row],[Plan]]&lt;&gt;0,DB_STProjectsSOF[[#This Row],[Actual]]/DB_STProjectsSOF[[#This Row],[Plan]],1.000011000011)</f>
        <v>1.0000110000110001</v>
      </c>
      <c r="AI256" s="34">
        <f>SUM(DB_STProjectsSOF[[#This Row],[Plan01]:[Plan12]])/valUnits2</f>
        <v>0</v>
      </c>
      <c r="AJ256" s="34">
        <f>SUMPRODUCT(DB_STProjectsSOF[[#This Row],[Act01]:[Act12]],$P$3:$AA$3)/valUnits2</f>
        <v>0</v>
      </c>
      <c r="AK256" s="34">
        <f>IF(DB_STProjectsSOF[[#This Row],[FY Plan]]&lt;&gt;0,DB_STProjectsSOF[[#This Row],[FY Actuals]]/DB_STProjectsSOF[[#This Row],[FY Plan]],1.000011000011)</f>
        <v>1.0000110000110001</v>
      </c>
    </row>
    <row r="257" spans="1:37" hidden="1" x14ac:dyDescent="0.2">
      <c r="A257">
        <f>SUBTOTAL(3,$B$6:B257)</f>
        <v>0</v>
      </c>
      <c r="B257" t="s">
        <v>999</v>
      </c>
      <c r="C257" t="s">
        <v>909</v>
      </c>
      <c r="D257">
        <v>2403.8500000000004</v>
      </c>
      <c r="E257">
        <v>813.38</v>
      </c>
      <c r="F257">
        <v>1866.2499999999995</v>
      </c>
      <c r="G257">
        <v>3246.35</v>
      </c>
      <c r="H257">
        <v>3122.45</v>
      </c>
      <c r="I257">
        <v>5061.5</v>
      </c>
      <c r="J257">
        <v>5061.5</v>
      </c>
      <c r="K257">
        <v>5061.5</v>
      </c>
      <c r="L257">
        <v>5061.5</v>
      </c>
      <c r="M257">
        <v>5061.5</v>
      </c>
      <c r="N257">
        <v>5061.5</v>
      </c>
      <c r="O257">
        <v>5061.5</v>
      </c>
      <c r="P257">
        <v>2403.85</v>
      </c>
      <c r="Q257">
        <v>813.38000000000011</v>
      </c>
      <c r="R257">
        <v>1866.25</v>
      </c>
      <c r="S257">
        <v>3246.35</v>
      </c>
      <c r="T257">
        <v>3122.45</v>
      </c>
      <c r="U257">
        <v>3606.93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s="164">
        <v>40817</v>
      </c>
      <c r="AC257" s="164">
        <v>42155</v>
      </c>
      <c r="AD257" s="164">
        <v>42217</v>
      </c>
      <c r="AE257" s="34">
        <f>SUMPRODUCT(DB_STProjectsSOF[[#This Row],[Plan01]:[Plan12]],$D$4:$O$4)/valUnits2</f>
        <v>16.513780000000001</v>
      </c>
      <c r="AF257" s="34">
        <f>SUMPRODUCT(DB_STProjectsSOF[[#This Row],[Act01]:[Act12]],$P$4:$AA$4)/valUnits2</f>
        <v>15.059209999999998</v>
      </c>
      <c r="AG257" s="34">
        <f>DB_STProjectsSOF[[#This Row],[Actual]]-DB_STProjectsSOF[[#This Row],[Plan]]</f>
        <v>-1.4545700000000021</v>
      </c>
      <c r="AH257" s="34">
        <f>IF(DB_STProjectsSOF[[#This Row],[Plan]]&lt;&gt;0,DB_STProjectsSOF[[#This Row],[Actual]]/DB_STProjectsSOF[[#This Row],[Plan]],1.000011000011)</f>
        <v>0.91191780440335268</v>
      </c>
      <c r="AI257" s="34">
        <f>SUM(DB_STProjectsSOF[[#This Row],[Plan01]:[Plan12]])/valUnits2</f>
        <v>46.882779999999997</v>
      </c>
      <c r="AJ257" s="34">
        <f>SUMPRODUCT(DB_STProjectsSOF[[#This Row],[Act01]:[Act12]],$P$3:$AA$3)/valUnits2</f>
        <v>15.059209999999998</v>
      </c>
      <c r="AK257" s="34">
        <f>IF(DB_STProjectsSOF[[#This Row],[FY Plan]]&lt;&gt;0,DB_STProjectsSOF[[#This Row],[FY Actuals]]/DB_STProjectsSOF[[#This Row],[FY Plan]],1.000011000011)</f>
        <v>0.32120983439975187</v>
      </c>
    </row>
    <row r="258" spans="1:37" hidden="1" x14ac:dyDescent="0.2">
      <c r="A258">
        <f>SUBTOTAL(3,$B$6:B258)</f>
        <v>0</v>
      </c>
      <c r="B258" t="s">
        <v>999</v>
      </c>
      <c r="C258" t="s">
        <v>354</v>
      </c>
      <c r="G258">
        <v>1884.212</v>
      </c>
      <c r="H258">
        <v>2970.05</v>
      </c>
      <c r="I258">
        <v>297.35399999999998</v>
      </c>
      <c r="S258">
        <v>1856.49</v>
      </c>
      <c r="T258">
        <v>3061.98</v>
      </c>
      <c r="U258">
        <v>1886.81</v>
      </c>
      <c r="AB258" s="164">
        <v>41091</v>
      </c>
      <c r="AC258" s="164">
        <v>41455</v>
      </c>
      <c r="AD258" s="164">
        <v>41517</v>
      </c>
      <c r="AE258" s="34">
        <f>SUMPRODUCT(DB_STProjectsSOF[[#This Row],[Plan01]:[Plan12]],$D$4:$O$4)/valUnits2</f>
        <v>5.1516160000000006</v>
      </c>
      <c r="AF258" s="34">
        <f>SUMPRODUCT(DB_STProjectsSOF[[#This Row],[Act01]:[Act12]],$P$4:$AA$4)/valUnits2</f>
        <v>6.8052800000000007</v>
      </c>
      <c r="AG258" s="34">
        <f>DB_STProjectsSOF[[#This Row],[Actual]]-DB_STProjectsSOF[[#This Row],[Plan]]</f>
        <v>1.653664</v>
      </c>
      <c r="AH258" s="34">
        <f>IF(DB_STProjectsSOF[[#This Row],[Plan]]&lt;&gt;0,DB_STProjectsSOF[[#This Row],[Actual]]/DB_STProjectsSOF[[#This Row],[Plan]],1.000011000011)</f>
        <v>1.3209990806768206</v>
      </c>
      <c r="AI258" s="34">
        <f>SUM(DB_STProjectsSOF[[#This Row],[Plan01]:[Plan12]])/valUnits2</f>
        <v>5.1516160000000006</v>
      </c>
      <c r="AJ258" s="34">
        <f>SUMPRODUCT(DB_STProjectsSOF[[#This Row],[Act01]:[Act12]],$P$3:$AA$3)/valUnits2</f>
        <v>6.8052800000000007</v>
      </c>
      <c r="AK258" s="34">
        <f>IF(DB_STProjectsSOF[[#This Row],[FY Plan]]&lt;&gt;0,DB_STProjectsSOF[[#This Row],[FY Actuals]]/DB_STProjectsSOF[[#This Row],[FY Plan]],1.000011000011)</f>
        <v>1.3209990806768206</v>
      </c>
    </row>
    <row r="259" spans="1:37" hidden="1" x14ac:dyDescent="0.2">
      <c r="A259">
        <f>SUBTOTAL(3,$B$6:B259)</f>
        <v>0</v>
      </c>
      <c r="B259" t="s">
        <v>999</v>
      </c>
      <c r="C259" t="s">
        <v>911</v>
      </c>
      <c r="D259">
        <v>1876.0929999999998</v>
      </c>
      <c r="E259">
        <v>2329.654</v>
      </c>
      <c r="F259">
        <v>4073.848</v>
      </c>
      <c r="G259">
        <v>4377.4780000000001</v>
      </c>
      <c r="H259">
        <v>3186.7479999999996</v>
      </c>
      <c r="I259">
        <v>1581.838</v>
      </c>
      <c r="J259">
        <v>1581.838</v>
      </c>
      <c r="K259">
        <v>1581.838</v>
      </c>
      <c r="L259">
        <v>1581.838</v>
      </c>
      <c r="M259">
        <v>1581.838</v>
      </c>
      <c r="P259">
        <v>1216.8399999999999</v>
      </c>
      <c r="Q259">
        <v>1347.66</v>
      </c>
      <c r="R259">
        <v>2492.0100000000002</v>
      </c>
      <c r="S259">
        <v>2795.64</v>
      </c>
      <c r="T259">
        <v>1604.9099999999999</v>
      </c>
      <c r="U259">
        <v>1720.21</v>
      </c>
      <c r="V259">
        <v>0</v>
      </c>
      <c r="W259">
        <v>0</v>
      </c>
      <c r="X259">
        <v>0</v>
      </c>
      <c r="Y259">
        <v>0</v>
      </c>
      <c r="AB259" s="164">
        <v>40817</v>
      </c>
      <c r="AC259" s="164">
        <v>41578</v>
      </c>
      <c r="AD259" s="164">
        <v>41639</v>
      </c>
      <c r="AE259" s="34">
        <f>SUMPRODUCT(DB_STProjectsSOF[[#This Row],[Plan01]:[Plan12]],$D$4:$O$4)/valUnits2</f>
        <v>17.425659</v>
      </c>
      <c r="AF259" s="34">
        <f>SUMPRODUCT(DB_STProjectsSOF[[#This Row],[Act01]:[Act12]],$P$4:$AA$4)/valUnits2</f>
        <v>11.17727</v>
      </c>
      <c r="AG259" s="34">
        <f>DB_STProjectsSOF[[#This Row],[Actual]]-DB_STProjectsSOF[[#This Row],[Plan]]</f>
        <v>-6.2483889999999995</v>
      </c>
      <c r="AH259" s="34">
        <f>IF(DB_STProjectsSOF[[#This Row],[Plan]]&lt;&gt;0,DB_STProjectsSOF[[#This Row],[Actual]]/DB_STProjectsSOF[[#This Row],[Plan]],1.000011000011)</f>
        <v>0.6414259569752857</v>
      </c>
      <c r="AI259" s="34">
        <f>SUM(DB_STProjectsSOF[[#This Row],[Plan01]:[Plan12]])/valUnits2</f>
        <v>23.753010999999997</v>
      </c>
      <c r="AJ259" s="34">
        <f>SUMPRODUCT(DB_STProjectsSOF[[#This Row],[Act01]:[Act12]],$P$3:$AA$3)/valUnits2</f>
        <v>11.17727</v>
      </c>
      <c r="AK259" s="34">
        <f>IF(DB_STProjectsSOF[[#This Row],[FY Plan]]&lt;&gt;0,DB_STProjectsSOF[[#This Row],[FY Actuals]]/DB_STProjectsSOF[[#This Row],[FY Plan]],1.000011000011)</f>
        <v>0.47056223735171937</v>
      </c>
    </row>
    <row r="260" spans="1:37" hidden="1" x14ac:dyDescent="0.2">
      <c r="A260">
        <f>SUBTOTAL(3,$B$6:B260)</f>
        <v>0</v>
      </c>
      <c r="B260" t="s">
        <v>999</v>
      </c>
      <c r="C260" t="s">
        <v>912</v>
      </c>
      <c r="D260">
        <v>411.44</v>
      </c>
      <c r="G260">
        <v>-411.44</v>
      </c>
      <c r="P260">
        <v>411.44</v>
      </c>
      <c r="S260">
        <v>-411.44</v>
      </c>
      <c r="AB260" s="164">
        <v>40909</v>
      </c>
      <c r="AC260" s="164">
        <v>41274</v>
      </c>
      <c r="AD260" s="164">
        <v>41320</v>
      </c>
      <c r="AE260" s="34">
        <f>SUMPRODUCT(DB_STProjectsSOF[[#This Row],[Plan01]:[Plan12]],$D$4:$O$4)/valUnits2</f>
        <v>0</v>
      </c>
      <c r="AF260" s="34">
        <f>SUMPRODUCT(DB_STProjectsSOF[[#This Row],[Act01]:[Act12]],$P$4:$AA$4)/valUnits2</f>
        <v>0</v>
      </c>
      <c r="AG260" s="34">
        <f>DB_STProjectsSOF[[#This Row],[Actual]]-DB_STProjectsSOF[[#This Row],[Plan]]</f>
        <v>0</v>
      </c>
      <c r="AH260" s="34">
        <f>IF(DB_STProjectsSOF[[#This Row],[Plan]]&lt;&gt;0,DB_STProjectsSOF[[#This Row],[Actual]]/DB_STProjectsSOF[[#This Row],[Plan]],1.000011000011)</f>
        <v>1.0000110000110001</v>
      </c>
      <c r="AI260" s="34">
        <f>SUM(DB_STProjectsSOF[[#This Row],[Plan01]:[Plan12]])/valUnits2</f>
        <v>0</v>
      </c>
      <c r="AJ260" s="34">
        <f>SUMPRODUCT(DB_STProjectsSOF[[#This Row],[Act01]:[Act12]],$P$3:$AA$3)/valUnits2</f>
        <v>0</v>
      </c>
      <c r="AK260" s="34">
        <f>IF(DB_STProjectsSOF[[#This Row],[FY Plan]]&lt;&gt;0,DB_STProjectsSOF[[#This Row],[FY Actuals]]/DB_STProjectsSOF[[#This Row],[FY Plan]],1.000011000011)</f>
        <v>1.0000110000110001</v>
      </c>
    </row>
    <row r="261" spans="1:37" hidden="1" x14ac:dyDescent="0.2">
      <c r="A261">
        <f>SUBTOTAL(3,$B$6:B261)</f>
        <v>0</v>
      </c>
      <c r="B261" t="s">
        <v>999</v>
      </c>
      <c r="C261" t="s">
        <v>913</v>
      </c>
      <c r="D261">
        <v>0</v>
      </c>
      <c r="E261">
        <v>0</v>
      </c>
      <c r="F261">
        <v>0</v>
      </c>
      <c r="G261">
        <v>1263.364</v>
      </c>
      <c r="H261">
        <v>2416.6660000000002</v>
      </c>
      <c r="I261">
        <v>84.236000000000004</v>
      </c>
      <c r="J261">
        <v>84.236000000000004</v>
      </c>
      <c r="K261">
        <v>84.236000000000004</v>
      </c>
      <c r="L261">
        <v>84.236000000000004</v>
      </c>
      <c r="M261">
        <v>84.236000000000004</v>
      </c>
      <c r="N261">
        <v>84.236000000000004</v>
      </c>
      <c r="O261">
        <v>84.236000000000004</v>
      </c>
      <c r="P261">
        <v>0</v>
      </c>
      <c r="Q261">
        <v>0</v>
      </c>
      <c r="R261">
        <v>0</v>
      </c>
      <c r="S261">
        <v>1256.1599999999999</v>
      </c>
      <c r="T261">
        <v>2422.7800000000002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s="164">
        <v>40817</v>
      </c>
      <c r="AC261" s="164">
        <v>41639</v>
      </c>
      <c r="AD261" s="164">
        <v>41685</v>
      </c>
      <c r="AE261" s="34">
        <f>SUMPRODUCT(DB_STProjectsSOF[[#This Row],[Plan01]:[Plan12]],$D$4:$O$4)/valUnits2</f>
        <v>3.7642660000000001</v>
      </c>
      <c r="AF261" s="34">
        <f>SUMPRODUCT(DB_STProjectsSOF[[#This Row],[Act01]:[Act12]],$P$4:$AA$4)/valUnits2</f>
        <v>3.6789399999999999</v>
      </c>
      <c r="AG261" s="34">
        <f>DB_STProjectsSOF[[#This Row],[Actual]]-DB_STProjectsSOF[[#This Row],[Plan]]</f>
        <v>-8.5326000000000235E-2</v>
      </c>
      <c r="AH261" s="34">
        <f>IF(DB_STProjectsSOF[[#This Row],[Plan]]&lt;&gt;0,DB_STProjectsSOF[[#This Row],[Actual]]/DB_STProjectsSOF[[#This Row],[Plan]],1.000011000011)</f>
        <v>0.97733263270980308</v>
      </c>
      <c r="AI261" s="34">
        <f>SUM(DB_STProjectsSOF[[#This Row],[Plan01]:[Plan12]])/valUnits2</f>
        <v>4.2696819999999995</v>
      </c>
      <c r="AJ261" s="34">
        <f>SUMPRODUCT(DB_STProjectsSOF[[#This Row],[Act01]:[Act12]],$P$3:$AA$3)/valUnits2</f>
        <v>3.6789399999999999</v>
      </c>
      <c r="AK261" s="34">
        <f>IF(DB_STProjectsSOF[[#This Row],[FY Plan]]&lt;&gt;0,DB_STProjectsSOF[[#This Row],[FY Actuals]]/DB_STProjectsSOF[[#This Row],[FY Plan]],1.000011000011)</f>
        <v>0.86164262350217191</v>
      </c>
    </row>
    <row r="262" spans="1:37" hidden="1" x14ac:dyDescent="0.2">
      <c r="A262">
        <f>SUBTOTAL(3,$B$6:B262)</f>
        <v>0</v>
      </c>
      <c r="B262" t="s">
        <v>999</v>
      </c>
      <c r="C262" t="s">
        <v>915</v>
      </c>
      <c r="D262">
        <v>0</v>
      </c>
      <c r="E262">
        <v>0</v>
      </c>
      <c r="F262">
        <v>0</v>
      </c>
      <c r="G262">
        <v>240.73099999999999</v>
      </c>
      <c r="H262">
        <v>983.173</v>
      </c>
      <c r="I262">
        <v>43.953000000000003</v>
      </c>
      <c r="J262">
        <v>43.953000000000003</v>
      </c>
      <c r="K262">
        <v>43.953000000000003</v>
      </c>
      <c r="L262">
        <v>43.953000000000003</v>
      </c>
      <c r="M262">
        <v>43.953000000000003</v>
      </c>
      <c r="N262">
        <v>43.953000000000003</v>
      </c>
      <c r="O262">
        <v>43.953000000000003</v>
      </c>
      <c r="P262">
        <v>0</v>
      </c>
      <c r="Q262">
        <v>0</v>
      </c>
      <c r="R262">
        <v>0</v>
      </c>
      <c r="S262">
        <v>236.53</v>
      </c>
      <c r="T262">
        <v>998.71</v>
      </c>
      <c r="U262">
        <v>560.29999999999995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s="164">
        <v>41061</v>
      </c>
      <c r="AC262" s="164">
        <v>42155</v>
      </c>
      <c r="AD262" s="164">
        <v>42185</v>
      </c>
      <c r="AE262" s="34">
        <f>SUMPRODUCT(DB_STProjectsSOF[[#This Row],[Plan01]:[Plan12]],$D$4:$O$4)/valUnits2</f>
        <v>1.267857</v>
      </c>
      <c r="AF262" s="34">
        <f>SUMPRODUCT(DB_STProjectsSOF[[#This Row],[Act01]:[Act12]],$P$4:$AA$4)/valUnits2</f>
        <v>1.7955399999999999</v>
      </c>
      <c r="AG262" s="34">
        <f>DB_STProjectsSOF[[#This Row],[Actual]]-DB_STProjectsSOF[[#This Row],[Plan]]</f>
        <v>0.5276829999999999</v>
      </c>
      <c r="AH262" s="34">
        <f>IF(DB_STProjectsSOF[[#This Row],[Plan]]&lt;&gt;0,DB_STProjectsSOF[[#This Row],[Actual]]/DB_STProjectsSOF[[#This Row],[Plan]],1.000011000011)</f>
        <v>1.416200722952194</v>
      </c>
      <c r="AI262" s="34">
        <f>SUM(DB_STProjectsSOF[[#This Row],[Plan01]:[Plan12]])/valUnits2</f>
        <v>1.5315749999999999</v>
      </c>
      <c r="AJ262" s="34">
        <f>SUMPRODUCT(DB_STProjectsSOF[[#This Row],[Act01]:[Act12]],$P$3:$AA$3)/valUnits2</f>
        <v>1.7955399999999999</v>
      </c>
      <c r="AK262" s="34">
        <f>IF(DB_STProjectsSOF[[#This Row],[FY Plan]]&lt;&gt;0,DB_STProjectsSOF[[#This Row],[FY Actuals]]/DB_STProjectsSOF[[#This Row],[FY Plan]],1.000011000011)</f>
        <v>1.172348725984689</v>
      </c>
    </row>
    <row r="263" spans="1:37" hidden="1" x14ac:dyDescent="0.2">
      <c r="A263">
        <f>SUBTOTAL(3,$B$6:B263)</f>
        <v>0</v>
      </c>
      <c r="B263" t="s">
        <v>999</v>
      </c>
      <c r="C263" t="s">
        <v>356</v>
      </c>
      <c r="G263">
        <v>0</v>
      </c>
      <c r="H263">
        <v>0</v>
      </c>
      <c r="I263">
        <v>378.20799999999997</v>
      </c>
      <c r="S263">
        <v>0</v>
      </c>
      <c r="T263">
        <v>0</v>
      </c>
      <c r="U263">
        <v>0</v>
      </c>
      <c r="AB263" s="164">
        <v>41091</v>
      </c>
      <c r="AC263" s="164">
        <v>41455</v>
      </c>
      <c r="AD263" s="164">
        <v>41547</v>
      </c>
      <c r="AE263" s="34">
        <f>SUMPRODUCT(DB_STProjectsSOF[[#This Row],[Plan01]:[Plan12]],$D$4:$O$4)/valUnits2</f>
        <v>0.37820799999999999</v>
      </c>
      <c r="AF263" s="34">
        <f>SUMPRODUCT(DB_STProjectsSOF[[#This Row],[Act01]:[Act12]],$P$4:$AA$4)/valUnits2</f>
        <v>0</v>
      </c>
      <c r="AG263" s="34">
        <f>DB_STProjectsSOF[[#This Row],[Actual]]-DB_STProjectsSOF[[#This Row],[Plan]]</f>
        <v>-0.37820799999999999</v>
      </c>
      <c r="AH263" s="34">
        <f>IF(DB_STProjectsSOF[[#This Row],[Plan]]&lt;&gt;0,DB_STProjectsSOF[[#This Row],[Actual]]/DB_STProjectsSOF[[#This Row],[Plan]],1.000011000011)</f>
        <v>0</v>
      </c>
      <c r="AI263" s="34">
        <f>SUM(DB_STProjectsSOF[[#This Row],[Plan01]:[Plan12]])/valUnits2</f>
        <v>0.37820799999999999</v>
      </c>
      <c r="AJ263" s="34">
        <f>SUMPRODUCT(DB_STProjectsSOF[[#This Row],[Act01]:[Act12]],$P$3:$AA$3)/valUnits2</f>
        <v>0</v>
      </c>
      <c r="AK263" s="34">
        <f>IF(DB_STProjectsSOF[[#This Row],[FY Plan]]&lt;&gt;0,DB_STProjectsSOF[[#This Row],[FY Actuals]]/DB_STProjectsSOF[[#This Row],[FY Plan]],1.000011000011)</f>
        <v>0</v>
      </c>
    </row>
    <row r="264" spans="1:37" hidden="1" x14ac:dyDescent="0.2">
      <c r="A264">
        <f>SUBTOTAL(3,$B$6:B264)</f>
        <v>0</v>
      </c>
      <c r="B264" t="s">
        <v>999</v>
      </c>
      <c r="C264" t="s">
        <v>919</v>
      </c>
      <c r="D264">
        <v>0</v>
      </c>
      <c r="E264">
        <v>1146.6559999999999</v>
      </c>
      <c r="F264">
        <v>1323.0130000000001</v>
      </c>
      <c r="G264">
        <v>2395.5709999999999</v>
      </c>
      <c r="H264">
        <v>0</v>
      </c>
      <c r="I264">
        <v>821.96499999999992</v>
      </c>
      <c r="J264">
        <v>821.96500000000003</v>
      </c>
      <c r="K264">
        <v>821.96500000000003</v>
      </c>
      <c r="L264">
        <v>821.96500000000003</v>
      </c>
      <c r="M264">
        <v>821.96500000000003</v>
      </c>
      <c r="N264">
        <v>821.96500000000003</v>
      </c>
      <c r="O264">
        <v>821.96500000000003</v>
      </c>
      <c r="P264">
        <v>0</v>
      </c>
      <c r="Q264">
        <v>1170.7</v>
      </c>
      <c r="R264">
        <v>1334.9899999999998</v>
      </c>
      <c r="S264">
        <v>2398.27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s="164">
        <v>40878</v>
      </c>
      <c r="AC264" s="164">
        <v>42794</v>
      </c>
      <c r="AD264" s="164">
        <v>42978</v>
      </c>
      <c r="AE264" s="34">
        <f>SUMPRODUCT(DB_STProjectsSOF[[#This Row],[Plan01]:[Plan12]],$D$4:$O$4)/valUnits2</f>
        <v>5.6872049999999996</v>
      </c>
      <c r="AF264" s="34">
        <f>SUMPRODUCT(DB_STProjectsSOF[[#This Row],[Act01]:[Act12]],$P$4:$AA$4)/valUnits2</f>
        <v>4.9039599999999988</v>
      </c>
      <c r="AG264" s="34">
        <f>DB_STProjectsSOF[[#This Row],[Actual]]-DB_STProjectsSOF[[#This Row],[Plan]]</f>
        <v>-0.78324500000000086</v>
      </c>
      <c r="AH264" s="34">
        <f>IF(DB_STProjectsSOF[[#This Row],[Plan]]&lt;&gt;0,DB_STProjectsSOF[[#This Row],[Actual]]/DB_STProjectsSOF[[#This Row],[Plan]],1.000011000011)</f>
        <v>0.86227945009895002</v>
      </c>
      <c r="AI264" s="34">
        <f>SUM(DB_STProjectsSOF[[#This Row],[Plan01]:[Plan12]])/valUnits2</f>
        <v>10.618995</v>
      </c>
      <c r="AJ264" s="34">
        <f>SUMPRODUCT(DB_STProjectsSOF[[#This Row],[Act01]:[Act12]],$P$3:$AA$3)/valUnits2</f>
        <v>4.9039599999999988</v>
      </c>
      <c r="AK264" s="34">
        <f>IF(DB_STProjectsSOF[[#This Row],[FY Plan]]&lt;&gt;0,DB_STProjectsSOF[[#This Row],[FY Actuals]]/DB_STProjectsSOF[[#This Row],[FY Plan]],1.000011000011)</f>
        <v>0.46181018071860835</v>
      </c>
    </row>
    <row r="265" spans="1:37" hidden="1" x14ac:dyDescent="0.2">
      <c r="A265">
        <f>SUBTOTAL(3,$B$6:B265)</f>
        <v>0</v>
      </c>
      <c r="B265" t="s">
        <v>999</v>
      </c>
      <c r="C265" t="s">
        <v>921</v>
      </c>
      <c r="D265">
        <v>0</v>
      </c>
      <c r="E265">
        <v>108.074</v>
      </c>
      <c r="F265">
        <v>1.1019999999999999</v>
      </c>
      <c r="G265">
        <v>2.226</v>
      </c>
      <c r="P265">
        <v>0</v>
      </c>
      <c r="Q265">
        <v>106.52</v>
      </c>
      <c r="R265">
        <v>1.0900000000000001</v>
      </c>
      <c r="S265">
        <v>2.2400000000000002</v>
      </c>
      <c r="AB265" s="164">
        <v>40909</v>
      </c>
      <c r="AC265" s="164">
        <v>41363</v>
      </c>
      <c r="AD265" s="164">
        <v>41389</v>
      </c>
      <c r="AE265" s="34">
        <f>SUMPRODUCT(DB_STProjectsSOF[[#This Row],[Plan01]:[Plan12]],$D$4:$O$4)/valUnits2</f>
        <v>0.111402</v>
      </c>
      <c r="AF265" s="34">
        <f>SUMPRODUCT(DB_STProjectsSOF[[#This Row],[Act01]:[Act12]],$P$4:$AA$4)/valUnits2</f>
        <v>0.10984999999999999</v>
      </c>
      <c r="AG265" s="34">
        <f>DB_STProjectsSOF[[#This Row],[Actual]]-DB_STProjectsSOF[[#This Row],[Plan]]</f>
        <v>-1.5520000000000117E-3</v>
      </c>
      <c r="AH265" s="34">
        <f>IF(DB_STProjectsSOF[[#This Row],[Plan]]&lt;&gt;0,DB_STProjectsSOF[[#This Row],[Actual]]/DB_STProjectsSOF[[#This Row],[Plan]],1.000011000011)</f>
        <v>0.98606847273837084</v>
      </c>
      <c r="AI265" s="34">
        <f>SUM(DB_STProjectsSOF[[#This Row],[Plan01]:[Plan12]])/valUnits2</f>
        <v>0.111402</v>
      </c>
      <c r="AJ265" s="34">
        <f>SUMPRODUCT(DB_STProjectsSOF[[#This Row],[Act01]:[Act12]],$P$3:$AA$3)/valUnits2</f>
        <v>0.10984999999999999</v>
      </c>
      <c r="AK265" s="34">
        <f>IF(DB_STProjectsSOF[[#This Row],[FY Plan]]&lt;&gt;0,DB_STProjectsSOF[[#This Row],[FY Actuals]]/DB_STProjectsSOF[[#This Row],[FY Plan]],1.000011000011)</f>
        <v>0.98606847273837084</v>
      </c>
    </row>
    <row r="266" spans="1:37" hidden="1" x14ac:dyDescent="0.2">
      <c r="A266">
        <f>SUBTOTAL(3,$B$6:B266)</f>
        <v>0</v>
      </c>
      <c r="B266" t="s">
        <v>999</v>
      </c>
      <c r="C266" t="s">
        <v>922</v>
      </c>
      <c r="D266">
        <v>386.62700000000001</v>
      </c>
      <c r="E266">
        <v>0</v>
      </c>
      <c r="F266">
        <v>2.7160000000000002</v>
      </c>
      <c r="G266">
        <v>23.036000000000001</v>
      </c>
      <c r="H266">
        <v>11.99</v>
      </c>
      <c r="I266">
        <v>818.23299999999995</v>
      </c>
      <c r="J266">
        <v>818.23299999999995</v>
      </c>
      <c r="K266">
        <v>818.23300000000006</v>
      </c>
      <c r="L266">
        <v>818.23299999999995</v>
      </c>
      <c r="M266">
        <v>818.23300000000006</v>
      </c>
      <c r="N266">
        <v>818.23300000000006</v>
      </c>
      <c r="O266">
        <v>818.23300000000006</v>
      </c>
      <c r="P266">
        <v>380.90999999999997</v>
      </c>
      <c r="Q266">
        <v>0</v>
      </c>
      <c r="R266">
        <v>2.77</v>
      </c>
      <c r="S266">
        <v>23.04</v>
      </c>
      <c r="T266">
        <v>11.969999999999999</v>
      </c>
      <c r="U266">
        <v>1.9000000000000001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s="164">
        <v>41000</v>
      </c>
      <c r="AC266" s="164">
        <v>41989</v>
      </c>
      <c r="AD266" s="164">
        <v>42078</v>
      </c>
      <c r="AE266" s="34">
        <f>SUMPRODUCT(DB_STProjectsSOF[[#This Row],[Plan01]:[Plan12]],$D$4:$O$4)/valUnits2</f>
        <v>1.2426019999999998</v>
      </c>
      <c r="AF266" s="34">
        <f>SUMPRODUCT(DB_STProjectsSOF[[#This Row],[Act01]:[Act12]],$P$4:$AA$4)/valUnits2</f>
        <v>0.42058999999999991</v>
      </c>
      <c r="AG266" s="34">
        <f>DB_STProjectsSOF[[#This Row],[Actual]]-DB_STProjectsSOF[[#This Row],[Plan]]</f>
        <v>-0.82201199999999985</v>
      </c>
      <c r="AH266" s="34">
        <f>IF(DB_STProjectsSOF[[#This Row],[Plan]]&lt;&gt;0,DB_STProjectsSOF[[#This Row],[Actual]]/DB_STProjectsSOF[[#This Row],[Plan]],1.000011000011)</f>
        <v>0.33847523181195588</v>
      </c>
      <c r="AI266" s="34">
        <f>SUM(DB_STProjectsSOF[[#This Row],[Plan01]:[Plan12]])/valUnits2</f>
        <v>6.152000000000001</v>
      </c>
      <c r="AJ266" s="34">
        <f>SUMPRODUCT(DB_STProjectsSOF[[#This Row],[Act01]:[Act12]],$P$3:$AA$3)/valUnits2</f>
        <v>0.42058999999999991</v>
      </c>
      <c r="AK266" s="34">
        <f>IF(DB_STProjectsSOF[[#This Row],[FY Plan]]&lt;&gt;0,DB_STProjectsSOF[[#This Row],[FY Actuals]]/DB_STProjectsSOF[[#This Row],[FY Plan]],1.000011000011)</f>
        <v>6.8366384915474615E-2</v>
      </c>
    </row>
    <row r="267" spans="1:37" hidden="1" x14ac:dyDescent="0.2">
      <c r="A267">
        <f>SUBTOTAL(3,$B$6:B267)</f>
        <v>0</v>
      </c>
      <c r="B267" t="s">
        <v>999</v>
      </c>
      <c r="C267" t="s">
        <v>924</v>
      </c>
      <c r="D267">
        <v>0</v>
      </c>
      <c r="E267">
        <v>0</v>
      </c>
      <c r="F267">
        <v>0</v>
      </c>
      <c r="G267">
        <v>270.18</v>
      </c>
      <c r="H267">
        <v>729.52499999999998</v>
      </c>
      <c r="I267">
        <v>184.54399999999998</v>
      </c>
      <c r="J267">
        <v>184.54399999999998</v>
      </c>
      <c r="K267">
        <v>184.54399999999998</v>
      </c>
      <c r="L267">
        <v>184.54399999999998</v>
      </c>
      <c r="M267">
        <v>184.54399999999998</v>
      </c>
      <c r="N267">
        <v>184.54399999999998</v>
      </c>
      <c r="O267">
        <v>184.54399999999998</v>
      </c>
      <c r="P267">
        <v>0</v>
      </c>
      <c r="Q267">
        <v>0</v>
      </c>
      <c r="R267">
        <v>0</v>
      </c>
      <c r="S267">
        <v>268.64</v>
      </c>
      <c r="T267">
        <v>725.03</v>
      </c>
      <c r="U267">
        <v>1085.2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s="164">
        <v>40817</v>
      </c>
      <c r="AC267" s="164">
        <v>41639</v>
      </c>
      <c r="AD267" s="164">
        <v>41685</v>
      </c>
      <c r="AE267" s="34">
        <f>SUMPRODUCT(DB_STProjectsSOF[[#This Row],[Plan01]:[Plan12]],$D$4:$O$4)/valUnits2</f>
        <v>1.1842489999999999</v>
      </c>
      <c r="AF267" s="34">
        <f>SUMPRODUCT(DB_STProjectsSOF[[#This Row],[Act01]:[Act12]],$P$4:$AA$4)/valUnits2</f>
        <v>2.0788699999999998</v>
      </c>
      <c r="AG267" s="34">
        <f>DB_STProjectsSOF[[#This Row],[Actual]]-DB_STProjectsSOF[[#This Row],[Plan]]</f>
        <v>0.89462099999999989</v>
      </c>
      <c r="AH267" s="34">
        <f>IF(DB_STProjectsSOF[[#This Row],[Plan]]&lt;&gt;0,DB_STProjectsSOF[[#This Row],[Actual]]/DB_STProjectsSOF[[#This Row],[Plan]],1.000011000011)</f>
        <v>1.7554331901483555</v>
      </c>
      <c r="AI267" s="34">
        <f>SUM(DB_STProjectsSOF[[#This Row],[Plan01]:[Plan12]])/valUnits2</f>
        <v>2.2915129999999988</v>
      </c>
      <c r="AJ267" s="34">
        <f>SUMPRODUCT(DB_STProjectsSOF[[#This Row],[Act01]:[Act12]],$P$3:$AA$3)/valUnits2</f>
        <v>2.0788699999999998</v>
      </c>
      <c r="AK267" s="34">
        <f>IF(DB_STProjectsSOF[[#This Row],[FY Plan]]&lt;&gt;0,DB_STProjectsSOF[[#This Row],[FY Actuals]]/DB_STProjectsSOF[[#This Row],[FY Plan]],1.000011000011)</f>
        <v>0.90720410488616077</v>
      </c>
    </row>
    <row r="268" spans="1:37" hidden="1" x14ac:dyDescent="0.2">
      <c r="A268">
        <f>SUBTOTAL(3,$B$6:B268)</f>
        <v>0</v>
      </c>
      <c r="B268" t="s">
        <v>999</v>
      </c>
      <c r="C268" t="s">
        <v>925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s="164">
        <v>40909</v>
      </c>
      <c r="AC268" s="164">
        <v>41639</v>
      </c>
      <c r="AD268" s="164">
        <v>41713</v>
      </c>
      <c r="AE268" s="34">
        <f>SUMPRODUCT(DB_STProjectsSOF[[#This Row],[Plan01]:[Plan12]],$D$4:$O$4)/valUnits2</f>
        <v>0</v>
      </c>
      <c r="AF268" s="34">
        <f>SUMPRODUCT(DB_STProjectsSOF[[#This Row],[Act01]:[Act12]],$P$4:$AA$4)/valUnits2</f>
        <v>0</v>
      </c>
      <c r="AG268" s="34">
        <f>DB_STProjectsSOF[[#This Row],[Actual]]-DB_STProjectsSOF[[#This Row],[Plan]]</f>
        <v>0</v>
      </c>
      <c r="AH268" s="34">
        <f>IF(DB_STProjectsSOF[[#This Row],[Plan]]&lt;&gt;0,DB_STProjectsSOF[[#This Row],[Actual]]/DB_STProjectsSOF[[#This Row],[Plan]],1.000011000011)</f>
        <v>1.0000110000110001</v>
      </c>
      <c r="AI268" s="34">
        <f>SUM(DB_STProjectsSOF[[#This Row],[Plan01]:[Plan12]])/valUnits2</f>
        <v>0</v>
      </c>
      <c r="AJ268" s="34">
        <f>SUMPRODUCT(DB_STProjectsSOF[[#This Row],[Act01]:[Act12]],$P$3:$AA$3)/valUnits2</f>
        <v>0</v>
      </c>
      <c r="AK268" s="34">
        <f>IF(DB_STProjectsSOF[[#This Row],[FY Plan]]&lt;&gt;0,DB_STProjectsSOF[[#This Row],[FY Actuals]]/DB_STProjectsSOF[[#This Row],[FY Plan]],1.000011000011)</f>
        <v>1.0000110000110001</v>
      </c>
    </row>
    <row r="269" spans="1:37" hidden="1" x14ac:dyDescent="0.2">
      <c r="A269">
        <f>SUBTOTAL(3,$B$6:B269)</f>
        <v>0</v>
      </c>
      <c r="B269" t="s">
        <v>999</v>
      </c>
      <c r="C269" t="s">
        <v>927</v>
      </c>
      <c r="D269">
        <v>0</v>
      </c>
      <c r="E269">
        <v>102.4</v>
      </c>
      <c r="F269">
        <v>939.76</v>
      </c>
      <c r="G269">
        <v>5559.63</v>
      </c>
      <c r="H269">
        <v>2845.0099999999998</v>
      </c>
      <c r="I269">
        <v>6310.27</v>
      </c>
      <c r="J269">
        <v>6310.27</v>
      </c>
      <c r="K269">
        <v>6310.27</v>
      </c>
      <c r="L269">
        <v>6310.27</v>
      </c>
      <c r="M269">
        <v>6310.27</v>
      </c>
      <c r="N269">
        <v>6310.27</v>
      </c>
      <c r="O269">
        <v>6310.27</v>
      </c>
      <c r="P269">
        <v>0</v>
      </c>
      <c r="Q269">
        <v>102.39999999999999</v>
      </c>
      <c r="R269">
        <v>939.76</v>
      </c>
      <c r="S269">
        <v>5559.6299999999992</v>
      </c>
      <c r="T269">
        <v>2845.01</v>
      </c>
      <c r="U269">
        <v>2101.52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s="164">
        <v>40817</v>
      </c>
      <c r="AC269" s="164">
        <v>42052</v>
      </c>
      <c r="AD269" s="164">
        <v>42141</v>
      </c>
      <c r="AE269" s="34">
        <f>SUMPRODUCT(DB_STProjectsSOF[[#This Row],[Plan01]:[Plan12]],$D$4:$O$4)/valUnits2</f>
        <v>15.757070000000001</v>
      </c>
      <c r="AF269" s="34">
        <f>SUMPRODUCT(DB_STProjectsSOF[[#This Row],[Act01]:[Act12]],$P$4:$AA$4)/valUnits2</f>
        <v>11.54832</v>
      </c>
      <c r="AG269" s="34">
        <f>DB_STProjectsSOF[[#This Row],[Actual]]-DB_STProjectsSOF[[#This Row],[Plan]]</f>
        <v>-4.2087500000000002</v>
      </c>
      <c r="AH269" s="34">
        <f>IF(DB_STProjectsSOF[[#This Row],[Plan]]&lt;&gt;0,DB_STProjectsSOF[[#This Row],[Actual]]/DB_STProjectsSOF[[#This Row],[Plan]],1.000011000011)</f>
        <v>0.73289767704274966</v>
      </c>
      <c r="AI269" s="34">
        <f>SUM(DB_STProjectsSOF[[#This Row],[Plan01]:[Plan12]])/valUnits2</f>
        <v>53.618690000000015</v>
      </c>
      <c r="AJ269" s="34">
        <f>SUMPRODUCT(DB_STProjectsSOF[[#This Row],[Act01]:[Act12]],$P$3:$AA$3)/valUnits2</f>
        <v>11.54832</v>
      </c>
      <c r="AK269" s="34">
        <f>IF(DB_STProjectsSOF[[#This Row],[FY Plan]]&lt;&gt;0,DB_STProjectsSOF[[#This Row],[FY Actuals]]/DB_STProjectsSOF[[#This Row],[FY Plan]],1.000011000011)</f>
        <v>0.21537863010080993</v>
      </c>
    </row>
    <row r="270" spans="1:37" hidden="1" x14ac:dyDescent="0.2">
      <c r="A270">
        <f>SUBTOTAL(3,$B$6:B270)</f>
        <v>0</v>
      </c>
      <c r="B270" t="s">
        <v>999</v>
      </c>
      <c r="C270" t="s">
        <v>359</v>
      </c>
      <c r="G270">
        <v>0</v>
      </c>
      <c r="H270">
        <v>0</v>
      </c>
      <c r="I270">
        <v>83.958999999999989</v>
      </c>
      <c r="S270">
        <v>0</v>
      </c>
      <c r="T270">
        <v>0</v>
      </c>
      <c r="U270">
        <v>0</v>
      </c>
      <c r="AB270" s="164">
        <v>41275</v>
      </c>
      <c r="AC270" s="164">
        <v>41455</v>
      </c>
      <c r="AD270" s="164">
        <v>41547</v>
      </c>
      <c r="AE270" s="34">
        <f>SUMPRODUCT(DB_STProjectsSOF[[#This Row],[Plan01]:[Plan12]],$D$4:$O$4)/valUnits2</f>
        <v>8.3958999999999992E-2</v>
      </c>
      <c r="AF270" s="34">
        <f>SUMPRODUCT(DB_STProjectsSOF[[#This Row],[Act01]:[Act12]],$P$4:$AA$4)/valUnits2</f>
        <v>0</v>
      </c>
      <c r="AG270" s="34">
        <f>DB_STProjectsSOF[[#This Row],[Actual]]-DB_STProjectsSOF[[#This Row],[Plan]]</f>
        <v>-8.3958999999999992E-2</v>
      </c>
      <c r="AH270" s="34">
        <f>IF(DB_STProjectsSOF[[#This Row],[Plan]]&lt;&gt;0,DB_STProjectsSOF[[#This Row],[Actual]]/DB_STProjectsSOF[[#This Row],[Plan]],1.000011000011)</f>
        <v>0</v>
      </c>
      <c r="AI270" s="34">
        <f>SUM(DB_STProjectsSOF[[#This Row],[Plan01]:[Plan12]])/valUnits2</f>
        <v>8.3958999999999992E-2</v>
      </c>
      <c r="AJ270" s="34">
        <f>SUMPRODUCT(DB_STProjectsSOF[[#This Row],[Act01]:[Act12]],$P$3:$AA$3)/valUnits2</f>
        <v>0</v>
      </c>
      <c r="AK270" s="34">
        <f>IF(DB_STProjectsSOF[[#This Row],[FY Plan]]&lt;&gt;0,DB_STProjectsSOF[[#This Row],[FY Actuals]]/DB_STProjectsSOF[[#This Row],[FY Plan]],1.000011000011)</f>
        <v>0</v>
      </c>
    </row>
    <row r="271" spans="1:37" hidden="1" x14ac:dyDescent="0.2">
      <c r="A271">
        <f>SUBTOTAL(3,$B$6:B271)</f>
        <v>0</v>
      </c>
      <c r="B271" t="s">
        <v>999</v>
      </c>
      <c r="C271" t="s">
        <v>360</v>
      </c>
      <c r="G271">
        <v>0</v>
      </c>
      <c r="H271">
        <v>0</v>
      </c>
      <c r="I271">
        <v>294.93599999999998</v>
      </c>
      <c r="S271">
        <v>0</v>
      </c>
      <c r="T271">
        <v>0</v>
      </c>
      <c r="U271">
        <v>0</v>
      </c>
      <c r="AB271" s="164">
        <v>41091</v>
      </c>
      <c r="AC271" s="164">
        <v>41455</v>
      </c>
      <c r="AD271" s="164">
        <v>41547</v>
      </c>
      <c r="AE271" s="34">
        <f>SUMPRODUCT(DB_STProjectsSOF[[#This Row],[Plan01]:[Plan12]],$D$4:$O$4)/valUnits2</f>
        <v>0.29493599999999998</v>
      </c>
      <c r="AF271" s="34">
        <f>SUMPRODUCT(DB_STProjectsSOF[[#This Row],[Act01]:[Act12]],$P$4:$AA$4)/valUnits2</f>
        <v>0</v>
      </c>
      <c r="AG271" s="34">
        <f>DB_STProjectsSOF[[#This Row],[Actual]]-DB_STProjectsSOF[[#This Row],[Plan]]</f>
        <v>-0.29493599999999998</v>
      </c>
      <c r="AH271" s="34">
        <f>IF(DB_STProjectsSOF[[#This Row],[Plan]]&lt;&gt;0,DB_STProjectsSOF[[#This Row],[Actual]]/DB_STProjectsSOF[[#This Row],[Plan]],1.000011000011)</f>
        <v>0</v>
      </c>
      <c r="AI271" s="34">
        <f>SUM(DB_STProjectsSOF[[#This Row],[Plan01]:[Plan12]])/valUnits2</f>
        <v>0.29493599999999998</v>
      </c>
      <c r="AJ271" s="34">
        <f>SUMPRODUCT(DB_STProjectsSOF[[#This Row],[Act01]:[Act12]],$P$3:$AA$3)/valUnits2</f>
        <v>0</v>
      </c>
      <c r="AK271" s="34">
        <f>IF(DB_STProjectsSOF[[#This Row],[FY Plan]]&lt;&gt;0,DB_STProjectsSOF[[#This Row],[FY Actuals]]/DB_STProjectsSOF[[#This Row],[FY Plan]],1.000011000011)</f>
        <v>0</v>
      </c>
    </row>
    <row r="272" spans="1:37" hidden="1" x14ac:dyDescent="0.2">
      <c r="A272">
        <f>SUBTOTAL(3,$B$6:B272)</f>
        <v>0</v>
      </c>
      <c r="B272" t="s">
        <v>999</v>
      </c>
      <c r="C272" t="s">
        <v>929</v>
      </c>
      <c r="F272">
        <v>0</v>
      </c>
      <c r="G272">
        <v>0</v>
      </c>
      <c r="R272">
        <v>0</v>
      </c>
      <c r="S272">
        <v>0</v>
      </c>
      <c r="AB272" s="164">
        <v>41214</v>
      </c>
      <c r="AC272" s="164">
        <v>41379</v>
      </c>
      <c r="AD272" s="164">
        <v>41409</v>
      </c>
      <c r="AE272" s="34">
        <f>SUMPRODUCT(DB_STProjectsSOF[[#This Row],[Plan01]:[Plan12]],$D$4:$O$4)/valUnits2</f>
        <v>0</v>
      </c>
      <c r="AF272" s="34">
        <f>SUMPRODUCT(DB_STProjectsSOF[[#This Row],[Act01]:[Act12]],$P$4:$AA$4)/valUnits2</f>
        <v>0</v>
      </c>
      <c r="AG272" s="34">
        <f>DB_STProjectsSOF[[#This Row],[Actual]]-DB_STProjectsSOF[[#This Row],[Plan]]</f>
        <v>0</v>
      </c>
      <c r="AH272" s="34">
        <f>IF(DB_STProjectsSOF[[#This Row],[Plan]]&lt;&gt;0,DB_STProjectsSOF[[#This Row],[Actual]]/DB_STProjectsSOF[[#This Row],[Plan]],1.000011000011)</f>
        <v>1.0000110000110001</v>
      </c>
      <c r="AI272" s="34">
        <f>SUM(DB_STProjectsSOF[[#This Row],[Plan01]:[Plan12]])/valUnits2</f>
        <v>0</v>
      </c>
      <c r="AJ272" s="34">
        <f>SUMPRODUCT(DB_STProjectsSOF[[#This Row],[Act01]:[Act12]],$P$3:$AA$3)/valUnits2</f>
        <v>0</v>
      </c>
      <c r="AK272" s="34">
        <f>IF(DB_STProjectsSOF[[#This Row],[FY Plan]]&lt;&gt;0,DB_STProjectsSOF[[#This Row],[FY Actuals]]/DB_STProjectsSOF[[#This Row],[FY Plan]],1.000011000011)</f>
        <v>1.0000110000110001</v>
      </c>
    </row>
    <row r="273" spans="1:37" hidden="1" x14ac:dyDescent="0.2">
      <c r="A273">
        <f>SUBTOTAL(3,$B$6:B273)</f>
        <v>0</v>
      </c>
      <c r="B273" t="s">
        <v>999</v>
      </c>
      <c r="C273" t="s">
        <v>930</v>
      </c>
      <c r="D273">
        <v>227.67</v>
      </c>
      <c r="F273">
        <v>5.52</v>
      </c>
      <c r="G273">
        <v>11.3</v>
      </c>
      <c r="H273">
        <v>26.080000000000002</v>
      </c>
      <c r="I273">
        <v>0</v>
      </c>
      <c r="P273">
        <v>227.67</v>
      </c>
      <c r="R273">
        <v>5.52</v>
      </c>
      <c r="S273">
        <v>11.3</v>
      </c>
      <c r="T273">
        <v>26.080000000000002</v>
      </c>
      <c r="U273">
        <v>4.1999999999999993</v>
      </c>
      <c r="AB273" s="164">
        <v>40848</v>
      </c>
      <c r="AC273" s="164">
        <v>41729</v>
      </c>
      <c r="AD273" s="164">
        <v>41654</v>
      </c>
      <c r="AE273" s="34">
        <f>SUMPRODUCT(DB_STProjectsSOF[[#This Row],[Plan01]:[Plan12]],$D$4:$O$4)/valUnits2</f>
        <v>0.27056999999999998</v>
      </c>
      <c r="AF273" s="34">
        <f>SUMPRODUCT(DB_STProjectsSOF[[#This Row],[Act01]:[Act12]],$P$4:$AA$4)/valUnits2</f>
        <v>0.27476999999999996</v>
      </c>
      <c r="AG273" s="34">
        <f>DB_STProjectsSOF[[#This Row],[Actual]]-DB_STProjectsSOF[[#This Row],[Plan]]</f>
        <v>4.1999999999999815E-3</v>
      </c>
      <c r="AH273" s="34">
        <f>IF(DB_STProjectsSOF[[#This Row],[Plan]]&lt;&gt;0,DB_STProjectsSOF[[#This Row],[Actual]]/DB_STProjectsSOF[[#This Row],[Plan]],1.000011000011)</f>
        <v>1.0155227852311786</v>
      </c>
      <c r="AI273" s="34">
        <f>SUM(DB_STProjectsSOF[[#This Row],[Plan01]:[Plan12]])/valUnits2</f>
        <v>0.27056999999999998</v>
      </c>
      <c r="AJ273" s="34">
        <f>SUMPRODUCT(DB_STProjectsSOF[[#This Row],[Act01]:[Act12]],$P$3:$AA$3)/valUnits2</f>
        <v>0.27476999999999996</v>
      </c>
      <c r="AK273" s="34">
        <f>IF(DB_STProjectsSOF[[#This Row],[FY Plan]]&lt;&gt;0,DB_STProjectsSOF[[#This Row],[FY Actuals]]/DB_STProjectsSOF[[#This Row],[FY Plan]],1.000011000011)</f>
        <v>1.0155227852311786</v>
      </c>
    </row>
    <row r="274" spans="1:37" hidden="1" x14ac:dyDescent="0.2">
      <c r="A274">
        <f>SUBTOTAL(3,$B$6:B274)</f>
        <v>0</v>
      </c>
      <c r="B274" t="s">
        <v>999</v>
      </c>
      <c r="C274" t="s">
        <v>932</v>
      </c>
      <c r="G274">
        <v>178.14999999999998</v>
      </c>
      <c r="H274">
        <v>178.14999999999998</v>
      </c>
      <c r="I274">
        <v>178.14999999999998</v>
      </c>
      <c r="J274">
        <v>178.14999999999998</v>
      </c>
      <c r="K274">
        <v>178.14999999999998</v>
      </c>
      <c r="L274">
        <v>178.14999999999998</v>
      </c>
      <c r="M274">
        <v>178.14999999999998</v>
      </c>
      <c r="N274">
        <v>178.14999999999998</v>
      </c>
      <c r="O274">
        <v>178.14999999999998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s="164">
        <v>40909</v>
      </c>
      <c r="AC274" s="164">
        <v>41274</v>
      </c>
      <c r="AD274" s="164">
        <v>41305</v>
      </c>
      <c r="AE274" s="34">
        <f>SUMPRODUCT(DB_STProjectsSOF[[#This Row],[Plan01]:[Plan12]],$D$4:$O$4)/valUnits2</f>
        <v>0.53444999999999998</v>
      </c>
      <c r="AF274" s="34">
        <f>SUMPRODUCT(DB_STProjectsSOF[[#This Row],[Act01]:[Act12]],$P$4:$AA$4)/valUnits2</f>
        <v>0</v>
      </c>
      <c r="AG274" s="34">
        <f>DB_STProjectsSOF[[#This Row],[Actual]]-DB_STProjectsSOF[[#This Row],[Plan]]</f>
        <v>-0.53444999999999998</v>
      </c>
      <c r="AH274" s="34">
        <f>IF(DB_STProjectsSOF[[#This Row],[Plan]]&lt;&gt;0,DB_STProjectsSOF[[#This Row],[Actual]]/DB_STProjectsSOF[[#This Row],[Plan]],1.000011000011)</f>
        <v>0</v>
      </c>
      <c r="AI274" s="34">
        <f>SUM(DB_STProjectsSOF[[#This Row],[Plan01]:[Plan12]])/valUnits2</f>
        <v>1.6033499999999998</v>
      </c>
      <c r="AJ274" s="34">
        <f>SUMPRODUCT(DB_STProjectsSOF[[#This Row],[Act01]:[Act12]],$P$3:$AA$3)/valUnits2</f>
        <v>0</v>
      </c>
      <c r="AK274" s="34">
        <f>IF(DB_STProjectsSOF[[#This Row],[FY Plan]]&lt;&gt;0,DB_STProjectsSOF[[#This Row],[FY Actuals]]/DB_STProjectsSOF[[#This Row],[FY Plan]],1.000011000011)</f>
        <v>0</v>
      </c>
    </row>
    <row r="275" spans="1:37" hidden="1" x14ac:dyDescent="0.2">
      <c r="A275">
        <f>SUBTOTAL(3,$B$6:B275)</f>
        <v>0</v>
      </c>
      <c r="B275" t="s">
        <v>999</v>
      </c>
      <c r="C275" t="s">
        <v>933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AB275" s="164">
        <v>40817</v>
      </c>
      <c r="AC275" s="164">
        <v>42155</v>
      </c>
      <c r="AD275" s="164">
        <v>42217</v>
      </c>
      <c r="AE275" s="34">
        <f>SUMPRODUCT(DB_STProjectsSOF[[#This Row],[Plan01]:[Plan12]],$D$4:$O$4)/valUnits2</f>
        <v>0</v>
      </c>
      <c r="AF275" s="34">
        <f>SUMPRODUCT(DB_STProjectsSOF[[#This Row],[Act01]:[Act12]],$P$4:$AA$4)/valUnits2</f>
        <v>0</v>
      </c>
      <c r="AG275" s="34">
        <f>DB_STProjectsSOF[[#This Row],[Actual]]-DB_STProjectsSOF[[#This Row],[Plan]]</f>
        <v>0</v>
      </c>
      <c r="AH275" s="34">
        <f>IF(DB_STProjectsSOF[[#This Row],[Plan]]&lt;&gt;0,DB_STProjectsSOF[[#This Row],[Actual]]/DB_STProjectsSOF[[#This Row],[Plan]],1.000011000011)</f>
        <v>1.0000110000110001</v>
      </c>
      <c r="AI275" s="34">
        <f>SUM(DB_STProjectsSOF[[#This Row],[Plan01]:[Plan12]])/valUnits2</f>
        <v>0</v>
      </c>
      <c r="AJ275" s="34">
        <f>SUMPRODUCT(DB_STProjectsSOF[[#This Row],[Act01]:[Act12]],$P$3:$AA$3)/valUnits2</f>
        <v>0</v>
      </c>
      <c r="AK275" s="34">
        <f>IF(DB_STProjectsSOF[[#This Row],[FY Plan]]&lt;&gt;0,DB_STProjectsSOF[[#This Row],[FY Actuals]]/DB_STProjectsSOF[[#This Row],[FY Plan]],1.000011000011)</f>
        <v>1.0000110000110001</v>
      </c>
    </row>
    <row r="276" spans="1:37" hidden="1" x14ac:dyDescent="0.2">
      <c r="A276">
        <f>SUBTOTAL(3,$B$6:B276)</f>
        <v>0</v>
      </c>
      <c r="B276" t="s">
        <v>999</v>
      </c>
      <c r="C276" t="s">
        <v>935</v>
      </c>
      <c r="D276">
        <v>672.27300000000002</v>
      </c>
      <c r="E276">
        <v>1888.5010000000002</v>
      </c>
      <c r="F276">
        <v>2082.1259999999997</v>
      </c>
      <c r="G276">
        <v>5161.8739999999998</v>
      </c>
      <c r="H276">
        <v>1641.4490000000001</v>
      </c>
      <c r="I276">
        <v>1820.5030000000002</v>
      </c>
      <c r="J276">
        <v>1820.5030000000002</v>
      </c>
      <c r="K276">
        <v>1820.5030000000002</v>
      </c>
      <c r="L276">
        <v>1820.5030000000002</v>
      </c>
      <c r="M276">
        <v>1820.5030000000002</v>
      </c>
      <c r="N276">
        <v>1820.5030000000002</v>
      </c>
      <c r="O276">
        <v>1820.5030000000002</v>
      </c>
      <c r="P276">
        <v>675.79</v>
      </c>
      <c r="Q276">
        <v>1930.55</v>
      </c>
      <c r="R276">
        <v>2070.4899999999998</v>
      </c>
      <c r="S276">
        <v>5128.7700000000004</v>
      </c>
      <c r="T276">
        <v>1638.21</v>
      </c>
      <c r="U276">
        <v>1831.9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s="164">
        <v>41000</v>
      </c>
      <c r="AC276" s="164">
        <v>42094</v>
      </c>
      <c r="AD276" s="164">
        <v>42124</v>
      </c>
      <c r="AE276" s="34">
        <f>SUMPRODUCT(DB_STProjectsSOF[[#This Row],[Plan01]:[Plan12]],$D$4:$O$4)/valUnits2</f>
        <v>13.266726</v>
      </c>
      <c r="AF276" s="34">
        <f>SUMPRODUCT(DB_STProjectsSOF[[#This Row],[Act01]:[Act12]],$P$4:$AA$4)/valUnits2</f>
        <v>13.27571</v>
      </c>
      <c r="AG276" s="34">
        <f>DB_STProjectsSOF[[#This Row],[Actual]]-DB_STProjectsSOF[[#This Row],[Plan]]</f>
        <v>8.983999999999881E-3</v>
      </c>
      <c r="AH276" s="34">
        <f>IF(DB_STProjectsSOF[[#This Row],[Plan]]&lt;&gt;0,DB_STProjectsSOF[[#This Row],[Actual]]/DB_STProjectsSOF[[#This Row],[Plan]],1.000011000011)</f>
        <v>1.0006771829010412</v>
      </c>
      <c r="AI276" s="34">
        <f>SUM(DB_STProjectsSOF[[#This Row],[Plan01]:[Plan12]])/valUnits2</f>
        <v>24.189744000000001</v>
      </c>
      <c r="AJ276" s="34">
        <f>SUMPRODUCT(DB_STProjectsSOF[[#This Row],[Act01]:[Act12]],$P$3:$AA$3)/valUnits2</f>
        <v>13.27571</v>
      </c>
      <c r="AK276" s="34">
        <f>IF(DB_STProjectsSOF[[#This Row],[FY Plan]]&lt;&gt;0,DB_STProjectsSOF[[#This Row],[FY Actuals]]/DB_STProjectsSOF[[#This Row],[FY Plan]],1.000011000011)</f>
        <v>0.54881564682949935</v>
      </c>
    </row>
    <row r="277" spans="1:37" hidden="1" x14ac:dyDescent="0.2">
      <c r="A277">
        <f>SUBTOTAL(3,$B$6:B277)</f>
        <v>0</v>
      </c>
      <c r="B277" t="s">
        <v>959</v>
      </c>
      <c r="C277" t="s">
        <v>842</v>
      </c>
      <c r="G277">
        <v>1853.046</v>
      </c>
      <c r="H277">
        <v>1473.1009999999999</v>
      </c>
      <c r="I277">
        <v>0</v>
      </c>
      <c r="S277">
        <v>1847.81</v>
      </c>
      <c r="T277">
        <v>1455.91</v>
      </c>
      <c r="U277">
        <v>705.13</v>
      </c>
      <c r="AB277" s="164">
        <v>41214</v>
      </c>
      <c r="AC277" s="164">
        <v>42308</v>
      </c>
      <c r="AD277" s="164">
        <v>42389</v>
      </c>
      <c r="AE277" s="34">
        <f>SUMPRODUCT(DB_STProjectsSOF[[#This Row],[Plan01]:[Plan12]],$D$4:$O$4)/valUnits2</f>
        <v>3.3261469999999997</v>
      </c>
      <c r="AF277" s="34">
        <f>SUMPRODUCT(DB_STProjectsSOF[[#This Row],[Act01]:[Act12]],$P$4:$AA$4)/valUnits2</f>
        <v>4.0088500000000007</v>
      </c>
      <c r="AG277" s="34">
        <f>DB_STProjectsSOF[[#This Row],[Actual]]-DB_STProjectsSOF[[#This Row],[Plan]]</f>
        <v>0.68270300000000095</v>
      </c>
      <c r="AH277" s="34">
        <f>IF(DB_STProjectsSOF[[#This Row],[Plan]]&lt;&gt;0,DB_STProjectsSOF[[#This Row],[Actual]]/DB_STProjectsSOF[[#This Row],[Plan]],1.000011000011)</f>
        <v>1.2052534058176025</v>
      </c>
      <c r="AI277" s="34">
        <f>SUM(DB_STProjectsSOF[[#This Row],[Plan01]:[Plan12]])/valUnits2</f>
        <v>3.3261469999999997</v>
      </c>
      <c r="AJ277" s="34">
        <f>SUMPRODUCT(DB_STProjectsSOF[[#This Row],[Act01]:[Act12]],$P$3:$AA$3)/valUnits2</f>
        <v>4.0088500000000007</v>
      </c>
      <c r="AK277" s="34">
        <f>IF(DB_STProjectsSOF[[#This Row],[FY Plan]]&lt;&gt;0,DB_STProjectsSOF[[#This Row],[FY Actuals]]/DB_STProjectsSOF[[#This Row],[FY Plan]],1.000011000011)</f>
        <v>1.2052534058176025</v>
      </c>
    </row>
    <row r="278" spans="1:37" hidden="1" x14ac:dyDescent="0.2">
      <c r="A278">
        <f>SUBTOTAL(3,$B$6:B278)</f>
        <v>0</v>
      </c>
      <c r="B278" t="s">
        <v>959</v>
      </c>
      <c r="C278" t="s">
        <v>843</v>
      </c>
      <c r="G278">
        <v>0</v>
      </c>
      <c r="H278">
        <v>0</v>
      </c>
      <c r="I278">
        <v>1759.4940000000001</v>
      </c>
      <c r="J278">
        <v>1759.4940000000001</v>
      </c>
      <c r="K278">
        <v>1759.4940000000001</v>
      </c>
      <c r="L278">
        <v>1759.4940000000001</v>
      </c>
      <c r="M278">
        <v>1759.4940000000001</v>
      </c>
      <c r="N278">
        <v>1759.4940000000001</v>
      </c>
      <c r="O278">
        <v>1759.4940000000001</v>
      </c>
      <c r="S278">
        <v>0</v>
      </c>
      <c r="T278">
        <v>0</v>
      </c>
      <c r="U278">
        <v>637.87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s="164">
        <v>41275</v>
      </c>
      <c r="AC278" s="164">
        <v>42369</v>
      </c>
      <c r="AD278" s="164">
        <v>42492</v>
      </c>
      <c r="AE278" s="34">
        <f>SUMPRODUCT(DB_STProjectsSOF[[#This Row],[Plan01]:[Plan12]],$D$4:$O$4)/valUnits2</f>
        <v>1.7594940000000001</v>
      </c>
      <c r="AF278" s="34">
        <f>SUMPRODUCT(DB_STProjectsSOF[[#This Row],[Act01]:[Act12]],$P$4:$AA$4)/valUnits2</f>
        <v>0.63787000000000005</v>
      </c>
      <c r="AG278" s="34">
        <f>DB_STProjectsSOF[[#This Row],[Actual]]-DB_STProjectsSOF[[#This Row],[Plan]]</f>
        <v>-1.1216240000000002</v>
      </c>
      <c r="AH278" s="34">
        <f>IF(DB_STProjectsSOF[[#This Row],[Plan]]&lt;&gt;0,DB_STProjectsSOF[[#This Row],[Actual]]/DB_STProjectsSOF[[#This Row],[Plan]],1.000011000011)</f>
        <v>0.36253036384324128</v>
      </c>
      <c r="AI278" s="34">
        <f>SUM(DB_STProjectsSOF[[#This Row],[Plan01]:[Plan12]])/valUnits2</f>
        <v>12.316458000000003</v>
      </c>
      <c r="AJ278" s="34">
        <f>SUMPRODUCT(DB_STProjectsSOF[[#This Row],[Act01]:[Act12]],$P$3:$AA$3)/valUnits2</f>
        <v>0.63787000000000005</v>
      </c>
      <c r="AK278" s="34">
        <f>IF(DB_STProjectsSOF[[#This Row],[FY Plan]]&lt;&gt;0,DB_STProjectsSOF[[#This Row],[FY Actuals]]/DB_STProjectsSOF[[#This Row],[FY Plan]],1.000011000011)</f>
        <v>5.1790051977605896E-2</v>
      </c>
    </row>
    <row r="279" spans="1:37" hidden="1" x14ac:dyDescent="0.2">
      <c r="A279">
        <f>SUBTOTAL(3,$B$6:B279)</f>
        <v>0</v>
      </c>
      <c r="B279" t="s">
        <v>959</v>
      </c>
      <c r="C279" t="s">
        <v>357</v>
      </c>
      <c r="G279">
        <v>0</v>
      </c>
      <c r="H279">
        <v>0</v>
      </c>
      <c r="I279">
        <v>78.599999999999994</v>
      </c>
      <c r="S279">
        <v>0</v>
      </c>
      <c r="T279">
        <v>0</v>
      </c>
      <c r="U279">
        <v>0</v>
      </c>
      <c r="AB279" s="164">
        <v>40817</v>
      </c>
      <c r="AC279" s="164">
        <v>41455</v>
      </c>
      <c r="AD279" s="164">
        <v>41517</v>
      </c>
      <c r="AE279" s="34">
        <f>SUMPRODUCT(DB_STProjectsSOF[[#This Row],[Plan01]:[Plan12]],$D$4:$O$4)/valUnits2</f>
        <v>7.8599999999999989E-2</v>
      </c>
      <c r="AF279" s="34">
        <f>SUMPRODUCT(DB_STProjectsSOF[[#This Row],[Act01]:[Act12]],$P$4:$AA$4)/valUnits2</f>
        <v>0</v>
      </c>
      <c r="AG279" s="34">
        <f>DB_STProjectsSOF[[#This Row],[Actual]]-DB_STProjectsSOF[[#This Row],[Plan]]</f>
        <v>-7.8599999999999989E-2</v>
      </c>
      <c r="AH279" s="34">
        <f>IF(DB_STProjectsSOF[[#This Row],[Plan]]&lt;&gt;0,DB_STProjectsSOF[[#This Row],[Actual]]/DB_STProjectsSOF[[#This Row],[Plan]],1.000011000011)</f>
        <v>0</v>
      </c>
      <c r="AI279" s="34">
        <f>SUM(DB_STProjectsSOF[[#This Row],[Plan01]:[Plan12]])/valUnits2</f>
        <v>7.8599999999999989E-2</v>
      </c>
      <c r="AJ279" s="34">
        <f>SUMPRODUCT(DB_STProjectsSOF[[#This Row],[Act01]:[Act12]],$P$3:$AA$3)/valUnits2</f>
        <v>0</v>
      </c>
      <c r="AK279" s="34">
        <f>IF(DB_STProjectsSOF[[#This Row],[FY Plan]]&lt;&gt;0,DB_STProjectsSOF[[#This Row],[FY Actuals]]/DB_STProjectsSOF[[#This Row],[FY Plan]],1.000011000011)</f>
        <v>0</v>
      </c>
    </row>
    <row r="280" spans="1:37" hidden="1" x14ac:dyDescent="0.2">
      <c r="A280">
        <f>SUBTOTAL(3,$B$6:B280)</f>
        <v>0</v>
      </c>
      <c r="B280" t="s">
        <v>959</v>
      </c>
      <c r="C280" t="s">
        <v>848</v>
      </c>
      <c r="G280">
        <v>582.07600000000002</v>
      </c>
      <c r="H280">
        <v>0</v>
      </c>
      <c r="S280">
        <v>576.66999999999996</v>
      </c>
      <c r="T280">
        <v>0</v>
      </c>
      <c r="AB280" s="164">
        <v>40817</v>
      </c>
      <c r="AC280" s="164">
        <v>41090</v>
      </c>
      <c r="AD280" s="164">
        <v>41090</v>
      </c>
      <c r="AE280" s="34">
        <f>SUMPRODUCT(DB_STProjectsSOF[[#This Row],[Plan01]:[Plan12]],$D$4:$O$4)/valUnits2</f>
        <v>0.58207600000000004</v>
      </c>
      <c r="AF280" s="34">
        <f>SUMPRODUCT(DB_STProjectsSOF[[#This Row],[Act01]:[Act12]],$P$4:$AA$4)/valUnits2</f>
        <v>0.5766699999999999</v>
      </c>
      <c r="AG280" s="34">
        <f>DB_STProjectsSOF[[#This Row],[Actual]]-DB_STProjectsSOF[[#This Row],[Plan]]</f>
        <v>-5.4060000000001329E-3</v>
      </c>
      <c r="AH280" s="34">
        <f>IF(DB_STProjectsSOF[[#This Row],[Plan]]&lt;&gt;0,DB_STProjectsSOF[[#This Row],[Actual]]/DB_STProjectsSOF[[#This Row],[Plan]],1.000011000011)</f>
        <v>0.99071255299995165</v>
      </c>
      <c r="AI280" s="34">
        <f>SUM(DB_STProjectsSOF[[#This Row],[Plan01]:[Plan12]])/valUnits2</f>
        <v>0.58207600000000004</v>
      </c>
      <c r="AJ280" s="34">
        <f>SUMPRODUCT(DB_STProjectsSOF[[#This Row],[Act01]:[Act12]],$P$3:$AA$3)/valUnits2</f>
        <v>0.5766699999999999</v>
      </c>
      <c r="AK280" s="34">
        <f>IF(DB_STProjectsSOF[[#This Row],[FY Plan]]&lt;&gt;0,DB_STProjectsSOF[[#This Row],[FY Actuals]]/DB_STProjectsSOF[[#This Row],[FY Plan]],1.000011000011)</f>
        <v>0.99071255299995165</v>
      </c>
    </row>
    <row r="281" spans="1:37" hidden="1" x14ac:dyDescent="0.2">
      <c r="A281">
        <f>SUBTOTAL(3,$B$6:B281)</f>
        <v>0</v>
      </c>
      <c r="B281" t="s">
        <v>959</v>
      </c>
      <c r="C281" t="s">
        <v>849</v>
      </c>
      <c r="G281">
        <v>0</v>
      </c>
      <c r="H281">
        <v>0</v>
      </c>
      <c r="S281">
        <v>0</v>
      </c>
      <c r="T281">
        <v>0</v>
      </c>
      <c r="AB281" s="164">
        <v>41153</v>
      </c>
      <c r="AC281" s="164">
        <v>41364</v>
      </c>
      <c r="AD281" s="164">
        <v>41424</v>
      </c>
      <c r="AE281" s="34">
        <f>SUMPRODUCT(DB_STProjectsSOF[[#This Row],[Plan01]:[Plan12]],$D$4:$O$4)/valUnits2</f>
        <v>0</v>
      </c>
      <c r="AF281" s="34">
        <f>SUMPRODUCT(DB_STProjectsSOF[[#This Row],[Act01]:[Act12]],$P$4:$AA$4)/valUnits2</f>
        <v>0</v>
      </c>
      <c r="AG281" s="34">
        <f>DB_STProjectsSOF[[#This Row],[Actual]]-DB_STProjectsSOF[[#This Row],[Plan]]</f>
        <v>0</v>
      </c>
      <c r="AH281" s="34">
        <f>IF(DB_STProjectsSOF[[#This Row],[Plan]]&lt;&gt;0,DB_STProjectsSOF[[#This Row],[Actual]]/DB_STProjectsSOF[[#This Row],[Plan]],1.000011000011)</f>
        <v>1.0000110000110001</v>
      </c>
      <c r="AI281" s="34">
        <f>SUM(DB_STProjectsSOF[[#This Row],[Plan01]:[Plan12]])/valUnits2</f>
        <v>0</v>
      </c>
      <c r="AJ281" s="34">
        <f>SUMPRODUCT(DB_STProjectsSOF[[#This Row],[Act01]:[Act12]],$P$3:$AA$3)/valUnits2</f>
        <v>0</v>
      </c>
      <c r="AK281" s="34">
        <f>IF(DB_STProjectsSOF[[#This Row],[FY Plan]]&lt;&gt;0,DB_STProjectsSOF[[#This Row],[FY Actuals]]/DB_STProjectsSOF[[#This Row],[FY Plan]],1.000011000011)</f>
        <v>1.0000110000110001</v>
      </c>
    </row>
    <row r="282" spans="1:37" hidden="1" x14ac:dyDescent="0.2">
      <c r="A282">
        <f>SUBTOTAL(3,$B$6:B282)</f>
        <v>0</v>
      </c>
      <c r="B282" t="s">
        <v>959</v>
      </c>
      <c r="C282" t="s">
        <v>353</v>
      </c>
      <c r="F282">
        <v>0</v>
      </c>
      <c r="G282">
        <v>0</v>
      </c>
      <c r="I282">
        <v>0</v>
      </c>
      <c r="R282">
        <v>0</v>
      </c>
      <c r="S282">
        <v>0</v>
      </c>
      <c r="U282">
        <v>664.75</v>
      </c>
      <c r="AB282" s="164">
        <v>41214</v>
      </c>
      <c r="AC282" s="164">
        <v>41455</v>
      </c>
      <c r="AD282" s="164">
        <v>41532</v>
      </c>
      <c r="AE282" s="34">
        <f>SUMPRODUCT(DB_STProjectsSOF[[#This Row],[Plan01]:[Plan12]],$D$4:$O$4)/valUnits2</f>
        <v>0</v>
      </c>
      <c r="AF282" s="34">
        <f>SUMPRODUCT(DB_STProjectsSOF[[#This Row],[Act01]:[Act12]],$P$4:$AA$4)/valUnits2</f>
        <v>0.66474999999999995</v>
      </c>
      <c r="AG282" s="34">
        <f>DB_STProjectsSOF[[#This Row],[Actual]]-DB_STProjectsSOF[[#This Row],[Plan]]</f>
        <v>0.66474999999999995</v>
      </c>
      <c r="AH282" s="34">
        <f>IF(DB_STProjectsSOF[[#This Row],[Plan]]&lt;&gt;0,DB_STProjectsSOF[[#This Row],[Actual]]/DB_STProjectsSOF[[#This Row],[Plan]],1.000011000011)</f>
        <v>1.0000110000110001</v>
      </c>
      <c r="AI282" s="34">
        <f>SUM(DB_STProjectsSOF[[#This Row],[Plan01]:[Plan12]])/valUnits2</f>
        <v>0</v>
      </c>
      <c r="AJ282" s="34">
        <f>SUMPRODUCT(DB_STProjectsSOF[[#This Row],[Act01]:[Act12]],$P$3:$AA$3)/valUnits2</f>
        <v>0.66474999999999995</v>
      </c>
      <c r="AK282" s="34">
        <f>IF(DB_STProjectsSOF[[#This Row],[FY Plan]]&lt;&gt;0,DB_STProjectsSOF[[#This Row],[FY Actuals]]/DB_STProjectsSOF[[#This Row],[FY Plan]],1.000011000011)</f>
        <v>1.0000110000110001</v>
      </c>
    </row>
    <row r="283" spans="1:37" hidden="1" x14ac:dyDescent="0.2">
      <c r="A283">
        <f>SUBTOTAL(3,$B$6:B283)</f>
        <v>0</v>
      </c>
      <c r="B283" t="s">
        <v>959</v>
      </c>
      <c r="C283" t="s">
        <v>850</v>
      </c>
      <c r="D283">
        <v>21.917000000000002</v>
      </c>
      <c r="E283">
        <v>385.27699999999999</v>
      </c>
      <c r="F283">
        <v>0</v>
      </c>
      <c r="G283">
        <v>620.99900000000002</v>
      </c>
      <c r="H283">
        <v>527.577</v>
      </c>
      <c r="I283">
        <v>340.70600000000002</v>
      </c>
      <c r="J283">
        <v>340.70600000000002</v>
      </c>
      <c r="K283">
        <v>340.70600000000002</v>
      </c>
      <c r="L283">
        <v>340.70600000000002</v>
      </c>
      <c r="M283">
        <v>340.70600000000002</v>
      </c>
      <c r="N283">
        <v>340.70600000000002</v>
      </c>
      <c r="O283">
        <v>340.70600000000002</v>
      </c>
      <c r="P283">
        <v>21.92</v>
      </c>
      <c r="Q283">
        <v>385.27</v>
      </c>
      <c r="R283">
        <v>0</v>
      </c>
      <c r="S283">
        <v>619.24</v>
      </c>
      <c r="T283">
        <v>527.32999999999993</v>
      </c>
      <c r="U283">
        <v>443.10999999999996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s="164">
        <v>40817</v>
      </c>
      <c r="AC283" s="164">
        <v>41639</v>
      </c>
      <c r="AD283" s="164">
        <v>41820</v>
      </c>
      <c r="AE283" s="34">
        <f>SUMPRODUCT(DB_STProjectsSOF[[#This Row],[Plan01]:[Plan12]],$D$4:$O$4)/valUnits2</f>
        <v>1.8964760000000001</v>
      </c>
      <c r="AF283" s="34">
        <f>SUMPRODUCT(DB_STProjectsSOF[[#This Row],[Act01]:[Act12]],$P$4:$AA$4)/valUnits2</f>
        <v>1.9968699999999999</v>
      </c>
      <c r="AG283" s="34">
        <f>DB_STProjectsSOF[[#This Row],[Actual]]-DB_STProjectsSOF[[#This Row],[Plan]]</f>
        <v>0.10039399999999987</v>
      </c>
      <c r="AH283" s="34">
        <f>IF(DB_STProjectsSOF[[#This Row],[Plan]]&lt;&gt;0,DB_STProjectsSOF[[#This Row],[Actual]]/DB_STProjectsSOF[[#This Row],[Plan]],1.000011000011)</f>
        <v>1.0529371318171177</v>
      </c>
      <c r="AI283" s="34">
        <f>SUM(DB_STProjectsSOF[[#This Row],[Plan01]:[Plan12]])/valUnits2</f>
        <v>3.9407120000000009</v>
      </c>
      <c r="AJ283" s="34">
        <f>SUMPRODUCT(DB_STProjectsSOF[[#This Row],[Act01]:[Act12]],$P$3:$AA$3)/valUnits2</f>
        <v>1.9968699999999999</v>
      </c>
      <c r="AK283" s="34">
        <f>IF(DB_STProjectsSOF[[#This Row],[FY Plan]]&lt;&gt;0,DB_STProjectsSOF[[#This Row],[FY Actuals]]/DB_STProjectsSOF[[#This Row],[FY Plan]],1.000011000011)</f>
        <v>0.50672822576224785</v>
      </c>
    </row>
    <row r="284" spans="1:37" hidden="1" x14ac:dyDescent="0.2">
      <c r="A284">
        <f>SUBTOTAL(3,$B$6:B284)</f>
        <v>0</v>
      </c>
      <c r="B284" t="s">
        <v>959</v>
      </c>
      <c r="C284" t="s">
        <v>853</v>
      </c>
      <c r="G284">
        <v>0</v>
      </c>
      <c r="H284">
        <v>0</v>
      </c>
      <c r="I284">
        <v>33.844999999999999</v>
      </c>
      <c r="J284">
        <v>33.844999999999999</v>
      </c>
      <c r="K284">
        <v>33.844999999999999</v>
      </c>
      <c r="L284">
        <v>33.844999999999999</v>
      </c>
      <c r="M284">
        <v>33.844999999999999</v>
      </c>
      <c r="N284">
        <v>33.844999999999999</v>
      </c>
      <c r="O284">
        <v>33.844999999999999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s="164">
        <v>41275</v>
      </c>
      <c r="AC284" s="164">
        <v>41639</v>
      </c>
      <c r="AD284" s="164">
        <v>41669</v>
      </c>
      <c r="AE284" s="34">
        <f>SUMPRODUCT(DB_STProjectsSOF[[#This Row],[Plan01]:[Plan12]],$D$4:$O$4)/valUnits2</f>
        <v>3.3845E-2</v>
      </c>
      <c r="AF284" s="34">
        <f>SUMPRODUCT(DB_STProjectsSOF[[#This Row],[Act01]:[Act12]],$P$4:$AA$4)/valUnits2</f>
        <v>0</v>
      </c>
      <c r="AG284" s="34">
        <f>DB_STProjectsSOF[[#This Row],[Actual]]-DB_STProjectsSOF[[#This Row],[Plan]]</f>
        <v>-3.3845E-2</v>
      </c>
      <c r="AH284" s="34">
        <f>IF(DB_STProjectsSOF[[#This Row],[Plan]]&lt;&gt;0,DB_STProjectsSOF[[#This Row],[Actual]]/DB_STProjectsSOF[[#This Row],[Plan]],1.000011000011)</f>
        <v>0</v>
      </c>
      <c r="AI284" s="34">
        <f>SUM(DB_STProjectsSOF[[#This Row],[Plan01]:[Plan12]])/valUnits2</f>
        <v>0.23691499999999999</v>
      </c>
      <c r="AJ284" s="34">
        <f>SUMPRODUCT(DB_STProjectsSOF[[#This Row],[Act01]:[Act12]],$P$3:$AA$3)/valUnits2</f>
        <v>0</v>
      </c>
      <c r="AK284" s="34">
        <f>IF(DB_STProjectsSOF[[#This Row],[FY Plan]]&lt;&gt;0,DB_STProjectsSOF[[#This Row],[FY Actuals]]/DB_STProjectsSOF[[#This Row],[FY Plan]],1.000011000011)</f>
        <v>0</v>
      </c>
    </row>
    <row r="285" spans="1:37" hidden="1" x14ac:dyDescent="0.2">
      <c r="A285">
        <f>SUBTOTAL(3,$B$6:B285)</f>
        <v>0</v>
      </c>
      <c r="B285" t="s">
        <v>959</v>
      </c>
      <c r="C285" t="s">
        <v>854</v>
      </c>
      <c r="F285">
        <v>0</v>
      </c>
      <c r="G285">
        <v>0</v>
      </c>
      <c r="H285">
        <v>148.065</v>
      </c>
      <c r="I285">
        <v>578.35500000000002</v>
      </c>
      <c r="J285">
        <v>578.35500000000002</v>
      </c>
      <c r="K285">
        <v>578.35500000000002</v>
      </c>
      <c r="L285">
        <v>578.35500000000002</v>
      </c>
      <c r="M285">
        <v>578.35500000000002</v>
      </c>
      <c r="N285">
        <v>578.35500000000002</v>
      </c>
      <c r="O285">
        <v>578.35500000000002</v>
      </c>
      <c r="R285">
        <v>0</v>
      </c>
      <c r="S285">
        <v>0</v>
      </c>
      <c r="T285">
        <v>150.05000000000001</v>
      </c>
      <c r="U285">
        <v>132.47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s="164">
        <v>40923</v>
      </c>
      <c r="AC285" s="164">
        <v>41698</v>
      </c>
      <c r="AD285" s="164">
        <v>41759</v>
      </c>
      <c r="AE285" s="34">
        <f>SUMPRODUCT(DB_STProjectsSOF[[#This Row],[Plan01]:[Plan12]],$D$4:$O$4)/valUnits2</f>
        <v>0.72642000000000007</v>
      </c>
      <c r="AF285" s="34">
        <f>SUMPRODUCT(DB_STProjectsSOF[[#This Row],[Act01]:[Act12]],$P$4:$AA$4)/valUnits2</f>
        <v>0.28251999999999999</v>
      </c>
      <c r="AG285" s="34">
        <f>DB_STProjectsSOF[[#This Row],[Actual]]-DB_STProjectsSOF[[#This Row],[Plan]]</f>
        <v>-0.44390000000000007</v>
      </c>
      <c r="AH285" s="34">
        <f>IF(DB_STProjectsSOF[[#This Row],[Plan]]&lt;&gt;0,DB_STProjectsSOF[[#This Row],[Actual]]/DB_STProjectsSOF[[#This Row],[Plan]],1.000011000011)</f>
        <v>0.38892100988408906</v>
      </c>
      <c r="AI285" s="34">
        <f>SUM(DB_STProjectsSOF[[#This Row],[Plan01]:[Plan12]])/valUnits2</f>
        <v>4.1965500000000002</v>
      </c>
      <c r="AJ285" s="34">
        <f>SUMPRODUCT(DB_STProjectsSOF[[#This Row],[Act01]:[Act12]],$P$3:$AA$3)/valUnits2</f>
        <v>0.28251999999999999</v>
      </c>
      <c r="AK285" s="34">
        <f>IF(DB_STProjectsSOF[[#This Row],[FY Plan]]&lt;&gt;0,DB_STProjectsSOF[[#This Row],[FY Actuals]]/DB_STProjectsSOF[[#This Row],[FY Plan]],1.000011000011)</f>
        <v>6.7321966853725074E-2</v>
      </c>
    </row>
    <row r="286" spans="1:37" hidden="1" x14ac:dyDescent="0.2">
      <c r="A286">
        <f>SUBTOTAL(3,$B$6:B286)</f>
        <v>0</v>
      </c>
      <c r="B286" t="s">
        <v>959</v>
      </c>
      <c r="C286" t="s">
        <v>855</v>
      </c>
      <c r="E286">
        <v>291.52699999999999</v>
      </c>
      <c r="F286">
        <v>333.00700000000001</v>
      </c>
      <c r="G286">
        <v>437.536</v>
      </c>
      <c r="H286">
        <v>441.69400000000002</v>
      </c>
      <c r="I286">
        <v>1107.1959999999999</v>
      </c>
      <c r="J286">
        <v>1107.1959999999999</v>
      </c>
      <c r="K286">
        <v>1107.1959999999999</v>
      </c>
      <c r="L286">
        <v>1107.1959999999999</v>
      </c>
      <c r="M286">
        <v>1107.1959999999999</v>
      </c>
      <c r="N286">
        <v>1107.1959999999999</v>
      </c>
      <c r="O286">
        <v>1107.1959999999999</v>
      </c>
      <c r="Q286">
        <v>297.64</v>
      </c>
      <c r="R286">
        <v>336.02000000000004</v>
      </c>
      <c r="S286">
        <v>435.04</v>
      </c>
      <c r="T286">
        <v>436.34000000000003</v>
      </c>
      <c r="U286">
        <v>498.28000000000003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s="164">
        <v>40817</v>
      </c>
      <c r="AC286" s="164">
        <v>41759</v>
      </c>
      <c r="AD286" s="164">
        <v>41820</v>
      </c>
      <c r="AE286" s="34">
        <f>SUMPRODUCT(DB_STProjectsSOF[[#This Row],[Plan01]:[Plan12]],$D$4:$O$4)/valUnits2</f>
        <v>2.6109599999999999</v>
      </c>
      <c r="AF286" s="34">
        <f>SUMPRODUCT(DB_STProjectsSOF[[#This Row],[Act01]:[Act12]],$P$4:$AA$4)/valUnits2</f>
        <v>2.00332</v>
      </c>
      <c r="AG286" s="34">
        <f>DB_STProjectsSOF[[#This Row],[Actual]]-DB_STProjectsSOF[[#This Row],[Plan]]</f>
        <v>-0.60763999999999996</v>
      </c>
      <c r="AH286" s="34">
        <f>IF(DB_STProjectsSOF[[#This Row],[Plan]]&lt;&gt;0,DB_STProjectsSOF[[#This Row],[Actual]]/DB_STProjectsSOF[[#This Row],[Plan]],1.000011000011)</f>
        <v>0.76727334007414894</v>
      </c>
      <c r="AI286" s="34">
        <f>SUM(DB_STProjectsSOF[[#This Row],[Plan01]:[Plan12]])/valUnits2</f>
        <v>9.254135999999999</v>
      </c>
      <c r="AJ286" s="34">
        <f>SUMPRODUCT(DB_STProjectsSOF[[#This Row],[Act01]:[Act12]],$P$3:$AA$3)/valUnits2</f>
        <v>2.00332</v>
      </c>
      <c r="AK286" s="34">
        <f>IF(DB_STProjectsSOF[[#This Row],[FY Plan]]&lt;&gt;0,DB_STProjectsSOF[[#This Row],[FY Actuals]]/DB_STProjectsSOF[[#This Row],[FY Plan]],1.000011000011)</f>
        <v>0.21647834006329714</v>
      </c>
    </row>
    <row r="287" spans="1:37" hidden="1" x14ac:dyDescent="0.2">
      <c r="A287">
        <f>SUBTOTAL(3,$B$6:B287)</f>
        <v>0</v>
      </c>
      <c r="B287" t="s">
        <v>959</v>
      </c>
      <c r="C287" t="s">
        <v>856</v>
      </c>
      <c r="D287">
        <v>16164.042999999998</v>
      </c>
      <c r="E287">
        <v>16037.682000000001</v>
      </c>
      <c r="F287">
        <v>18221.552000000003</v>
      </c>
      <c r="G287">
        <v>15946.973000000002</v>
      </c>
      <c r="H287">
        <v>16133.349000000002</v>
      </c>
      <c r="I287">
        <v>11425.502</v>
      </c>
      <c r="J287">
        <v>11425.502</v>
      </c>
      <c r="K287">
        <v>11425.502</v>
      </c>
      <c r="L287">
        <v>11425.502</v>
      </c>
      <c r="M287">
        <v>11425.502</v>
      </c>
      <c r="N287">
        <v>11425.502</v>
      </c>
      <c r="O287">
        <v>11425.502</v>
      </c>
      <c r="P287">
        <v>4480.0999999999995</v>
      </c>
      <c r="Q287">
        <v>4424.54</v>
      </c>
      <c r="R287">
        <v>6531.15</v>
      </c>
      <c r="S287">
        <v>4388.82</v>
      </c>
      <c r="T287">
        <v>4583.3100000000004</v>
      </c>
      <c r="U287">
        <v>4989.6600000000008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s="164">
        <v>40817</v>
      </c>
      <c r="AC287" s="164">
        <v>42338</v>
      </c>
      <c r="AD287" s="164">
        <v>42490</v>
      </c>
      <c r="AE287" s="34">
        <f>SUMPRODUCT(DB_STProjectsSOF[[#This Row],[Plan01]:[Plan12]],$D$4:$O$4)/valUnits2</f>
        <v>93.929100999999989</v>
      </c>
      <c r="AF287" s="34">
        <f>SUMPRODUCT(DB_STProjectsSOF[[#This Row],[Act01]:[Act12]],$P$4:$AA$4)/valUnits2</f>
        <v>29.397580000000001</v>
      </c>
      <c r="AG287" s="34">
        <f>DB_STProjectsSOF[[#This Row],[Actual]]-DB_STProjectsSOF[[#This Row],[Plan]]</f>
        <v>-64.531520999999984</v>
      </c>
      <c r="AH287" s="34">
        <f>IF(DB_STProjectsSOF[[#This Row],[Plan]]&lt;&gt;0,DB_STProjectsSOF[[#This Row],[Actual]]/DB_STProjectsSOF[[#This Row],[Plan]],1.000011000011)</f>
        <v>0.31297627345544388</v>
      </c>
      <c r="AI287" s="34">
        <f>SUM(DB_STProjectsSOF[[#This Row],[Plan01]:[Plan12]])/valUnits2</f>
        <v>162.48211300000006</v>
      </c>
      <c r="AJ287" s="34">
        <f>SUMPRODUCT(DB_STProjectsSOF[[#This Row],[Act01]:[Act12]],$P$3:$AA$3)/valUnits2</f>
        <v>29.397580000000001</v>
      </c>
      <c r="AK287" s="34">
        <f>IF(DB_STProjectsSOF[[#This Row],[FY Plan]]&lt;&gt;0,DB_STProjectsSOF[[#This Row],[FY Actuals]]/DB_STProjectsSOF[[#This Row],[FY Plan]],1.000011000011)</f>
        <v>0.18092810006723628</v>
      </c>
    </row>
    <row r="288" spans="1:37" hidden="1" x14ac:dyDescent="0.2">
      <c r="A288">
        <f>SUBTOTAL(3,$B$6:B288)</f>
        <v>0</v>
      </c>
      <c r="B288" t="s">
        <v>959</v>
      </c>
      <c r="C288" t="s">
        <v>857</v>
      </c>
      <c r="D288">
        <v>641.61</v>
      </c>
      <c r="E288">
        <v>3694.53</v>
      </c>
      <c r="F288">
        <v>1310.3</v>
      </c>
      <c r="H288">
        <v>-4404.6400000000003</v>
      </c>
      <c r="P288">
        <v>641.61</v>
      </c>
      <c r="Q288">
        <v>3694.53</v>
      </c>
      <c r="R288">
        <v>1310.3</v>
      </c>
      <c r="T288">
        <v>-4404.6400000000003</v>
      </c>
      <c r="AB288" s="164">
        <v>40909</v>
      </c>
      <c r="AC288" s="164">
        <v>41274</v>
      </c>
      <c r="AD288" s="164">
        <v>41364</v>
      </c>
      <c r="AE288" s="34">
        <f>SUMPRODUCT(DB_STProjectsSOF[[#This Row],[Plan01]:[Plan12]],$D$4:$O$4)/valUnits2</f>
        <v>1.2418000000000002</v>
      </c>
      <c r="AF288" s="34">
        <f>SUMPRODUCT(DB_STProjectsSOF[[#This Row],[Act01]:[Act12]],$P$4:$AA$4)/valUnits2</f>
        <v>1.2418000000000002</v>
      </c>
      <c r="AG288" s="34">
        <f>DB_STProjectsSOF[[#This Row],[Actual]]-DB_STProjectsSOF[[#This Row],[Plan]]</f>
        <v>0</v>
      </c>
      <c r="AH288" s="34">
        <f>IF(DB_STProjectsSOF[[#This Row],[Plan]]&lt;&gt;0,DB_STProjectsSOF[[#This Row],[Actual]]/DB_STProjectsSOF[[#This Row],[Plan]],1.000011000011)</f>
        <v>1</v>
      </c>
      <c r="AI288" s="34">
        <f>SUM(DB_STProjectsSOF[[#This Row],[Plan01]:[Plan12]])/valUnits2</f>
        <v>1.2418000000000002</v>
      </c>
      <c r="AJ288" s="34">
        <f>SUMPRODUCT(DB_STProjectsSOF[[#This Row],[Act01]:[Act12]],$P$3:$AA$3)/valUnits2</f>
        <v>1.2418000000000002</v>
      </c>
      <c r="AK288" s="34">
        <f>IF(DB_STProjectsSOF[[#This Row],[FY Plan]]&lt;&gt;0,DB_STProjectsSOF[[#This Row],[FY Actuals]]/DB_STProjectsSOF[[#This Row],[FY Plan]],1.000011000011)</f>
        <v>1</v>
      </c>
    </row>
    <row r="289" spans="1:37" hidden="1" x14ac:dyDescent="0.2">
      <c r="A289">
        <f>SUBTOTAL(3,$B$6:B289)</f>
        <v>0</v>
      </c>
      <c r="B289" t="s">
        <v>959</v>
      </c>
      <c r="C289" t="s">
        <v>858</v>
      </c>
      <c r="D289">
        <v>50535.54</v>
      </c>
      <c r="E289">
        <v>8685.3700000000008</v>
      </c>
      <c r="F289">
        <v>-43797.240000000005</v>
      </c>
      <c r="G289">
        <v>6252.78</v>
      </c>
      <c r="H289">
        <v>4474.2700000000004</v>
      </c>
      <c r="I289">
        <v>5119.1009999999997</v>
      </c>
      <c r="J289">
        <v>5119.1009999999997</v>
      </c>
      <c r="K289">
        <v>5819.1009999999997</v>
      </c>
      <c r="L289">
        <v>5119.1009999999997</v>
      </c>
      <c r="M289">
        <v>5119.1009999999997</v>
      </c>
      <c r="N289">
        <v>5119.1009999999997</v>
      </c>
      <c r="O289">
        <v>5119.1009999999997</v>
      </c>
      <c r="P289">
        <v>50535.54</v>
      </c>
      <c r="Q289">
        <v>8685.3700000000008</v>
      </c>
      <c r="R289">
        <v>-43797.240000000005</v>
      </c>
      <c r="S289">
        <v>6252.78</v>
      </c>
      <c r="T289">
        <v>4474.2700000000004</v>
      </c>
      <c r="U289">
        <v>773.53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s="164">
        <v>41275</v>
      </c>
      <c r="AC289" s="164">
        <v>41639</v>
      </c>
      <c r="AD289" s="164">
        <v>41784</v>
      </c>
      <c r="AE289" s="34">
        <f>SUMPRODUCT(DB_STProjectsSOF[[#This Row],[Plan01]:[Plan12]],$D$4:$O$4)/valUnits2</f>
        <v>31.269820999999997</v>
      </c>
      <c r="AF289" s="34">
        <f>SUMPRODUCT(DB_STProjectsSOF[[#This Row],[Act01]:[Act12]],$P$4:$AA$4)/valUnits2</f>
        <v>26.924249999999997</v>
      </c>
      <c r="AG289" s="34">
        <f>DB_STProjectsSOF[[#This Row],[Actual]]-DB_STProjectsSOF[[#This Row],[Plan]]</f>
        <v>-4.3455709999999996</v>
      </c>
      <c r="AH289" s="34">
        <f>IF(DB_STProjectsSOF[[#This Row],[Plan]]&lt;&gt;0,DB_STProjectsSOF[[#This Row],[Actual]]/DB_STProjectsSOF[[#This Row],[Plan]],1.000011000011)</f>
        <v>0.86102987286048105</v>
      </c>
      <c r="AI289" s="34">
        <f>SUM(DB_STProjectsSOF[[#This Row],[Plan01]:[Plan12]])/valUnits2</f>
        <v>62.684427000000014</v>
      </c>
      <c r="AJ289" s="34">
        <f>SUMPRODUCT(DB_STProjectsSOF[[#This Row],[Act01]:[Act12]],$P$3:$AA$3)/valUnits2</f>
        <v>26.924249999999997</v>
      </c>
      <c r="AK289" s="34">
        <f>IF(DB_STProjectsSOF[[#This Row],[FY Plan]]&lt;&gt;0,DB_STProjectsSOF[[#This Row],[FY Actuals]]/DB_STProjectsSOF[[#This Row],[FY Plan]],1.000011000011)</f>
        <v>0.42952055699575897</v>
      </c>
    </row>
    <row r="290" spans="1:37" hidden="1" x14ac:dyDescent="0.2">
      <c r="A290">
        <f>SUBTOTAL(3,$B$6:B290)</f>
        <v>0</v>
      </c>
      <c r="B290" t="s">
        <v>959</v>
      </c>
      <c r="C290" t="s">
        <v>859</v>
      </c>
      <c r="D290">
        <v>815.15499999999997</v>
      </c>
      <c r="E290">
        <v>912.28899999999999</v>
      </c>
      <c r="F290">
        <v>953.73699999999997</v>
      </c>
      <c r="O290">
        <v>1304.3050000000001</v>
      </c>
      <c r="P290">
        <v>803.1</v>
      </c>
      <c r="Q290">
        <v>931.42000000000007</v>
      </c>
      <c r="R290">
        <v>962.37</v>
      </c>
      <c r="AA290">
        <v>0</v>
      </c>
      <c r="AB290" s="164">
        <v>40909</v>
      </c>
      <c r="AC290" s="164">
        <v>42004</v>
      </c>
      <c r="AD290" s="164">
        <v>42094</v>
      </c>
      <c r="AE290" s="34">
        <f>SUMPRODUCT(DB_STProjectsSOF[[#This Row],[Plan01]:[Plan12]],$D$4:$O$4)/valUnits2</f>
        <v>2.681181</v>
      </c>
      <c r="AF290" s="34">
        <f>SUMPRODUCT(DB_STProjectsSOF[[#This Row],[Act01]:[Act12]],$P$4:$AA$4)/valUnits2</f>
        <v>2.6968899999999998</v>
      </c>
      <c r="AG290" s="34">
        <f>DB_STProjectsSOF[[#This Row],[Actual]]-DB_STProjectsSOF[[#This Row],[Plan]]</f>
        <v>1.5708999999999751E-2</v>
      </c>
      <c r="AH290" s="34">
        <f>IF(DB_STProjectsSOF[[#This Row],[Plan]]&lt;&gt;0,DB_STProjectsSOF[[#This Row],[Actual]]/DB_STProjectsSOF[[#This Row],[Plan]],1.000011000011)</f>
        <v>1.0058589852755184</v>
      </c>
      <c r="AI290" s="34">
        <f>SUM(DB_STProjectsSOF[[#This Row],[Plan01]:[Plan12]])/valUnits2</f>
        <v>3.9854859999999999</v>
      </c>
      <c r="AJ290" s="34">
        <f>SUMPRODUCT(DB_STProjectsSOF[[#This Row],[Act01]:[Act12]],$P$3:$AA$3)/valUnits2</f>
        <v>2.6968899999999998</v>
      </c>
      <c r="AK290" s="34">
        <f>IF(DB_STProjectsSOF[[#This Row],[FY Plan]]&lt;&gt;0,DB_STProjectsSOF[[#This Row],[FY Actuals]]/DB_STProjectsSOF[[#This Row],[FY Plan]],1.000011000011)</f>
        <v>0.67667782548978972</v>
      </c>
    </row>
    <row r="291" spans="1:37" hidden="1" x14ac:dyDescent="0.2">
      <c r="A291">
        <f>SUBTOTAL(3,$B$6:B291)</f>
        <v>0</v>
      </c>
      <c r="B291" t="s">
        <v>959</v>
      </c>
      <c r="C291" t="s">
        <v>860</v>
      </c>
      <c r="D291">
        <v>0</v>
      </c>
      <c r="E291">
        <v>0</v>
      </c>
      <c r="F291">
        <v>0</v>
      </c>
      <c r="G291">
        <v>0</v>
      </c>
      <c r="H291">
        <v>150.05000000000001</v>
      </c>
      <c r="I291">
        <v>1626.316</v>
      </c>
      <c r="J291">
        <v>1626.316</v>
      </c>
      <c r="K291">
        <v>1626.316</v>
      </c>
      <c r="L291">
        <v>1626.316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150.05000000000001</v>
      </c>
      <c r="U291">
        <v>132.47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s="164">
        <v>40969</v>
      </c>
      <c r="AC291" s="164">
        <v>42643</v>
      </c>
      <c r="AD291" s="164">
        <v>42704</v>
      </c>
      <c r="AE291" s="34">
        <f>SUMPRODUCT(DB_STProjectsSOF[[#This Row],[Plan01]:[Plan12]],$D$4:$O$4)/valUnits2</f>
        <v>1.7763659999999999</v>
      </c>
      <c r="AF291" s="34">
        <f>SUMPRODUCT(DB_STProjectsSOF[[#This Row],[Act01]:[Act12]],$P$4:$AA$4)/valUnits2</f>
        <v>0.28251999999999999</v>
      </c>
      <c r="AG291" s="34">
        <f>DB_STProjectsSOF[[#This Row],[Actual]]-DB_STProjectsSOF[[#This Row],[Plan]]</f>
        <v>-1.493846</v>
      </c>
      <c r="AH291" s="34">
        <f>IF(DB_STProjectsSOF[[#This Row],[Plan]]&lt;&gt;0,DB_STProjectsSOF[[#This Row],[Actual]]/DB_STProjectsSOF[[#This Row],[Plan]],1.000011000011)</f>
        <v>0.1590438006581977</v>
      </c>
      <c r="AI291" s="34">
        <f>SUM(DB_STProjectsSOF[[#This Row],[Plan01]:[Plan12]])/valUnits2</f>
        <v>6.6553139999999997</v>
      </c>
      <c r="AJ291" s="34">
        <f>SUMPRODUCT(DB_STProjectsSOF[[#This Row],[Act01]:[Act12]],$P$3:$AA$3)/valUnits2</f>
        <v>0.28251999999999999</v>
      </c>
      <c r="AK291" s="34">
        <f>IF(DB_STProjectsSOF[[#This Row],[FY Plan]]&lt;&gt;0,DB_STProjectsSOF[[#This Row],[FY Actuals]]/DB_STProjectsSOF[[#This Row],[FY Plan]],1.000011000011)</f>
        <v>4.2450288596450898E-2</v>
      </c>
    </row>
    <row r="292" spans="1:37" hidden="1" x14ac:dyDescent="0.2">
      <c r="A292">
        <f>SUBTOTAL(3,$B$6:B292)</f>
        <v>0</v>
      </c>
      <c r="B292" t="s">
        <v>959</v>
      </c>
      <c r="C292" t="s">
        <v>862</v>
      </c>
      <c r="G292">
        <v>0</v>
      </c>
      <c r="H292">
        <v>0</v>
      </c>
      <c r="I292">
        <v>1025.2429999999999</v>
      </c>
      <c r="J292">
        <v>1025.2429999999999</v>
      </c>
      <c r="K292">
        <v>1025.2429999999999</v>
      </c>
      <c r="L292">
        <v>1025.2429999999999</v>
      </c>
      <c r="M292">
        <v>1025.2429999999999</v>
      </c>
      <c r="N292">
        <v>1025.2429999999999</v>
      </c>
      <c r="O292">
        <v>1025.2429999999999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s="164">
        <v>41275</v>
      </c>
      <c r="AC292" s="164">
        <v>41639</v>
      </c>
      <c r="AD292" s="164">
        <v>3</v>
      </c>
      <c r="AE292" s="34">
        <f>SUMPRODUCT(DB_STProjectsSOF[[#This Row],[Plan01]:[Plan12]],$D$4:$O$4)/valUnits2</f>
        <v>1.0252429999999999</v>
      </c>
      <c r="AF292" s="34">
        <f>SUMPRODUCT(DB_STProjectsSOF[[#This Row],[Act01]:[Act12]],$P$4:$AA$4)/valUnits2</f>
        <v>0</v>
      </c>
      <c r="AG292" s="34">
        <f>DB_STProjectsSOF[[#This Row],[Actual]]-DB_STProjectsSOF[[#This Row],[Plan]]</f>
        <v>-1.0252429999999999</v>
      </c>
      <c r="AH292" s="34">
        <f>IF(DB_STProjectsSOF[[#This Row],[Plan]]&lt;&gt;0,DB_STProjectsSOF[[#This Row],[Actual]]/DB_STProjectsSOF[[#This Row],[Plan]],1.000011000011)</f>
        <v>0</v>
      </c>
      <c r="AI292" s="34">
        <f>SUM(DB_STProjectsSOF[[#This Row],[Plan01]:[Plan12]])/valUnits2</f>
        <v>7.1767010000000013</v>
      </c>
      <c r="AJ292" s="34">
        <f>SUMPRODUCT(DB_STProjectsSOF[[#This Row],[Act01]:[Act12]],$P$3:$AA$3)/valUnits2</f>
        <v>0</v>
      </c>
      <c r="AK292" s="34">
        <f>IF(DB_STProjectsSOF[[#This Row],[FY Plan]]&lt;&gt;0,DB_STProjectsSOF[[#This Row],[FY Actuals]]/DB_STProjectsSOF[[#This Row],[FY Plan]],1.000011000011)</f>
        <v>0</v>
      </c>
    </row>
    <row r="293" spans="1:37" hidden="1" x14ac:dyDescent="0.2">
      <c r="A293">
        <f>SUBTOTAL(3,$B$6:B293)</f>
        <v>0</v>
      </c>
      <c r="B293" t="s">
        <v>959</v>
      </c>
      <c r="C293" t="s">
        <v>865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s="164">
        <v>40817</v>
      </c>
      <c r="AC293" s="164">
        <v>41639</v>
      </c>
      <c r="AD293" s="164">
        <v>41820</v>
      </c>
      <c r="AE293" s="34">
        <f>SUMPRODUCT(DB_STProjectsSOF[[#This Row],[Plan01]:[Plan12]],$D$4:$O$4)/valUnits2</f>
        <v>0</v>
      </c>
      <c r="AF293" s="34">
        <f>SUMPRODUCT(DB_STProjectsSOF[[#This Row],[Act01]:[Act12]],$P$4:$AA$4)/valUnits2</f>
        <v>0</v>
      </c>
      <c r="AG293" s="34">
        <f>DB_STProjectsSOF[[#This Row],[Actual]]-DB_STProjectsSOF[[#This Row],[Plan]]</f>
        <v>0</v>
      </c>
      <c r="AH293" s="34">
        <f>IF(DB_STProjectsSOF[[#This Row],[Plan]]&lt;&gt;0,DB_STProjectsSOF[[#This Row],[Actual]]/DB_STProjectsSOF[[#This Row],[Plan]],1.000011000011)</f>
        <v>1.0000110000110001</v>
      </c>
      <c r="AI293" s="34">
        <f>SUM(DB_STProjectsSOF[[#This Row],[Plan01]:[Plan12]])/valUnits2</f>
        <v>0</v>
      </c>
      <c r="AJ293" s="34">
        <f>SUMPRODUCT(DB_STProjectsSOF[[#This Row],[Act01]:[Act12]],$P$3:$AA$3)/valUnits2</f>
        <v>0</v>
      </c>
      <c r="AK293" s="34">
        <f>IF(DB_STProjectsSOF[[#This Row],[FY Plan]]&lt;&gt;0,DB_STProjectsSOF[[#This Row],[FY Actuals]]/DB_STProjectsSOF[[#This Row],[FY Plan]],1.000011000011)</f>
        <v>1.0000110000110001</v>
      </c>
    </row>
    <row r="294" spans="1:37" hidden="1" x14ac:dyDescent="0.2">
      <c r="A294">
        <f>SUBTOTAL(3,$B$6:B294)</f>
        <v>0</v>
      </c>
      <c r="B294" t="s">
        <v>959</v>
      </c>
      <c r="C294" t="s">
        <v>866</v>
      </c>
      <c r="D294">
        <v>166753.01999999999</v>
      </c>
      <c r="E294">
        <v>64641.53</v>
      </c>
      <c r="F294">
        <v>127255.34</v>
      </c>
      <c r="G294">
        <v>-136842.93000000002</v>
      </c>
      <c r="H294">
        <v>-121443.40000000001</v>
      </c>
      <c r="I294">
        <v>5743.7780000000002</v>
      </c>
      <c r="J294">
        <v>5743.7780000000002</v>
      </c>
      <c r="K294">
        <v>5743.7780000000002</v>
      </c>
      <c r="L294">
        <v>5743.7780000000002</v>
      </c>
      <c r="P294">
        <v>166753.02000000002</v>
      </c>
      <c r="Q294">
        <v>64641.53</v>
      </c>
      <c r="R294">
        <v>127255.34</v>
      </c>
      <c r="S294">
        <v>-136842.93</v>
      </c>
      <c r="T294">
        <v>-121443.40000000001</v>
      </c>
      <c r="U294">
        <v>10654.779999999997</v>
      </c>
      <c r="V294">
        <v>858.06</v>
      </c>
      <c r="W294">
        <v>0</v>
      </c>
      <c r="X294">
        <v>0</v>
      </c>
      <c r="AB294" s="164">
        <v>41275</v>
      </c>
      <c r="AC294" s="164">
        <v>41639</v>
      </c>
      <c r="AD294" s="164">
        <v>41760</v>
      </c>
      <c r="AE294" s="34">
        <f>SUMPRODUCT(DB_STProjectsSOF[[#This Row],[Plan01]:[Plan12]],$D$4:$O$4)/valUnits2</f>
        <v>106.10733799999998</v>
      </c>
      <c r="AF294" s="34">
        <f>SUMPRODUCT(DB_STProjectsSOF[[#This Row],[Act01]:[Act12]],$P$4:$AA$4)/valUnits2</f>
        <v>111.01834000000001</v>
      </c>
      <c r="AG294" s="34">
        <f>DB_STProjectsSOF[[#This Row],[Actual]]-DB_STProjectsSOF[[#This Row],[Plan]]</f>
        <v>4.9110020000000247</v>
      </c>
      <c r="AH294" s="34">
        <f>IF(DB_STProjectsSOF[[#This Row],[Plan]]&lt;&gt;0,DB_STProjectsSOF[[#This Row],[Actual]]/DB_STProjectsSOF[[#This Row],[Plan]],1.000011000011)</f>
        <v>1.0462833399891724</v>
      </c>
      <c r="AI294" s="34">
        <f>SUM(DB_STProjectsSOF[[#This Row],[Plan01]:[Plan12]])/valUnits2</f>
        <v>123.338672</v>
      </c>
      <c r="AJ294" s="34">
        <f>SUMPRODUCT(DB_STProjectsSOF[[#This Row],[Act01]:[Act12]],$P$3:$AA$3)/valUnits2</f>
        <v>111.01834000000001</v>
      </c>
      <c r="AK294" s="34">
        <f>IF(DB_STProjectsSOF[[#This Row],[FY Plan]]&lt;&gt;0,DB_STProjectsSOF[[#This Row],[FY Actuals]]/DB_STProjectsSOF[[#This Row],[FY Plan]],1.000011000011)</f>
        <v>0.90010974011460099</v>
      </c>
    </row>
    <row r="295" spans="1:37" hidden="1" x14ac:dyDescent="0.2">
      <c r="A295">
        <f>SUBTOTAL(3,$B$6:B295)</f>
        <v>0</v>
      </c>
      <c r="B295" t="s">
        <v>959</v>
      </c>
      <c r="C295" t="s">
        <v>867</v>
      </c>
      <c r="I295">
        <v>0</v>
      </c>
      <c r="U295">
        <v>2398.8100000000004</v>
      </c>
      <c r="AB295" s="164">
        <v>41365</v>
      </c>
      <c r="AC295" s="164">
        <v>41639</v>
      </c>
      <c r="AD295" s="164">
        <v>41670</v>
      </c>
      <c r="AE295" s="34">
        <f>SUMPRODUCT(DB_STProjectsSOF[[#This Row],[Plan01]:[Plan12]],$D$4:$O$4)/valUnits2</f>
        <v>0</v>
      </c>
      <c r="AF295" s="34">
        <f>SUMPRODUCT(DB_STProjectsSOF[[#This Row],[Act01]:[Act12]],$P$4:$AA$4)/valUnits2</f>
        <v>2.3988100000000006</v>
      </c>
      <c r="AG295" s="34">
        <f>DB_STProjectsSOF[[#This Row],[Actual]]-DB_STProjectsSOF[[#This Row],[Plan]]</f>
        <v>2.3988100000000006</v>
      </c>
      <c r="AH295" s="34">
        <f>IF(DB_STProjectsSOF[[#This Row],[Plan]]&lt;&gt;0,DB_STProjectsSOF[[#This Row],[Actual]]/DB_STProjectsSOF[[#This Row],[Plan]],1.000011000011)</f>
        <v>1.0000110000110001</v>
      </c>
      <c r="AI295" s="34">
        <f>SUM(DB_STProjectsSOF[[#This Row],[Plan01]:[Plan12]])/valUnits2</f>
        <v>0</v>
      </c>
      <c r="AJ295" s="34">
        <f>SUMPRODUCT(DB_STProjectsSOF[[#This Row],[Act01]:[Act12]],$P$3:$AA$3)/valUnits2</f>
        <v>2.3988100000000006</v>
      </c>
      <c r="AK295" s="34">
        <f>IF(DB_STProjectsSOF[[#This Row],[FY Plan]]&lt;&gt;0,DB_STProjectsSOF[[#This Row],[FY Actuals]]/DB_STProjectsSOF[[#This Row],[FY Plan]],1.000011000011)</f>
        <v>1.0000110000110001</v>
      </c>
    </row>
    <row r="296" spans="1:37" hidden="1" x14ac:dyDescent="0.2">
      <c r="A296">
        <f>SUBTOTAL(3,$B$6:B296)</f>
        <v>0</v>
      </c>
      <c r="B296" t="s">
        <v>959</v>
      </c>
      <c r="C296" t="s">
        <v>869</v>
      </c>
      <c r="D296">
        <v>139.29</v>
      </c>
      <c r="E296">
        <v>0</v>
      </c>
      <c r="F296">
        <v>0</v>
      </c>
      <c r="G296">
        <v>0</v>
      </c>
      <c r="H296">
        <v>0</v>
      </c>
      <c r="I296">
        <v>2842</v>
      </c>
      <c r="J296">
        <v>2842</v>
      </c>
      <c r="K296">
        <v>2842</v>
      </c>
      <c r="L296">
        <v>2842</v>
      </c>
      <c r="M296">
        <v>2842</v>
      </c>
      <c r="N296">
        <v>2842</v>
      </c>
      <c r="O296">
        <v>2842</v>
      </c>
      <c r="P296">
        <v>139.29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s="164">
        <v>40817</v>
      </c>
      <c r="AC296" s="164">
        <v>42155</v>
      </c>
      <c r="AD296" s="164">
        <v>42217</v>
      </c>
      <c r="AE296" s="34">
        <f>SUMPRODUCT(DB_STProjectsSOF[[#This Row],[Plan01]:[Plan12]],$D$4:$O$4)/valUnits2</f>
        <v>2.98129</v>
      </c>
      <c r="AF296" s="34">
        <f>SUMPRODUCT(DB_STProjectsSOF[[#This Row],[Act01]:[Act12]],$P$4:$AA$4)/valUnits2</f>
        <v>0.13929</v>
      </c>
      <c r="AG296" s="34">
        <f>DB_STProjectsSOF[[#This Row],[Actual]]-DB_STProjectsSOF[[#This Row],[Plan]]</f>
        <v>-2.8420000000000001</v>
      </c>
      <c r="AH296" s="34">
        <f>IF(DB_STProjectsSOF[[#This Row],[Plan]]&lt;&gt;0,DB_STProjectsSOF[[#This Row],[Actual]]/DB_STProjectsSOF[[#This Row],[Plan]],1.000011000011)</f>
        <v>4.6721385708870994E-2</v>
      </c>
      <c r="AI296" s="34">
        <f>SUM(DB_STProjectsSOF[[#This Row],[Plan01]:[Plan12]])/valUnits2</f>
        <v>20.033290000000001</v>
      </c>
      <c r="AJ296" s="34">
        <f>SUMPRODUCT(DB_STProjectsSOF[[#This Row],[Act01]:[Act12]],$P$3:$AA$3)/valUnits2</f>
        <v>0.13929</v>
      </c>
      <c r="AK296" s="34">
        <f>IF(DB_STProjectsSOF[[#This Row],[FY Plan]]&lt;&gt;0,DB_STProjectsSOF[[#This Row],[FY Actuals]]/DB_STProjectsSOF[[#This Row],[FY Plan]],1.000011000011)</f>
        <v>6.95292685325276E-3</v>
      </c>
    </row>
    <row r="297" spans="1:37" hidden="1" x14ac:dyDescent="0.2">
      <c r="A297">
        <f>SUBTOTAL(3,$B$6:B297)</f>
        <v>0</v>
      </c>
      <c r="B297" t="s">
        <v>959</v>
      </c>
      <c r="C297" t="s">
        <v>870</v>
      </c>
      <c r="G297">
        <v>0</v>
      </c>
      <c r="J297">
        <v>0</v>
      </c>
      <c r="M297">
        <v>0</v>
      </c>
      <c r="S297">
        <v>0</v>
      </c>
      <c r="V297">
        <v>0</v>
      </c>
      <c r="Y297">
        <v>0</v>
      </c>
      <c r="AB297" s="164">
        <v>40909</v>
      </c>
      <c r="AC297" s="164">
        <v>41274</v>
      </c>
      <c r="AD297" s="164">
        <v>41305</v>
      </c>
      <c r="AE297" s="34">
        <f>SUMPRODUCT(DB_STProjectsSOF[[#This Row],[Plan01]:[Plan12]],$D$4:$O$4)/valUnits2</f>
        <v>0</v>
      </c>
      <c r="AF297" s="34">
        <f>SUMPRODUCT(DB_STProjectsSOF[[#This Row],[Act01]:[Act12]],$P$4:$AA$4)/valUnits2</f>
        <v>0</v>
      </c>
      <c r="AG297" s="34">
        <f>DB_STProjectsSOF[[#This Row],[Actual]]-DB_STProjectsSOF[[#This Row],[Plan]]</f>
        <v>0</v>
      </c>
      <c r="AH297" s="34">
        <f>IF(DB_STProjectsSOF[[#This Row],[Plan]]&lt;&gt;0,DB_STProjectsSOF[[#This Row],[Actual]]/DB_STProjectsSOF[[#This Row],[Plan]],1.000011000011)</f>
        <v>1.0000110000110001</v>
      </c>
      <c r="AI297" s="34">
        <f>SUM(DB_STProjectsSOF[[#This Row],[Plan01]:[Plan12]])/valUnits2</f>
        <v>0</v>
      </c>
      <c r="AJ297" s="34">
        <f>SUMPRODUCT(DB_STProjectsSOF[[#This Row],[Act01]:[Act12]],$P$3:$AA$3)/valUnits2</f>
        <v>0</v>
      </c>
      <c r="AK297" s="34">
        <f>IF(DB_STProjectsSOF[[#This Row],[FY Plan]]&lt;&gt;0,DB_STProjectsSOF[[#This Row],[FY Actuals]]/DB_STProjectsSOF[[#This Row],[FY Plan]],1.000011000011)</f>
        <v>1.0000110000110001</v>
      </c>
    </row>
    <row r="298" spans="1:37" hidden="1" x14ac:dyDescent="0.2">
      <c r="A298">
        <f>SUBTOTAL(3,$B$6:B298)</f>
        <v>0</v>
      </c>
      <c r="B298" t="s">
        <v>959</v>
      </c>
      <c r="C298" t="s">
        <v>874</v>
      </c>
      <c r="D298">
        <v>815.15499999999997</v>
      </c>
      <c r="E298">
        <v>861.95399999999995</v>
      </c>
      <c r="F298">
        <v>1055.7349999999999</v>
      </c>
      <c r="G298">
        <v>966.83199999999999</v>
      </c>
      <c r="H298">
        <v>981.072</v>
      </c>
      <c r="I298">
        <v>0</v>
      </c>
      <c r="P298">
        <v>803.1</v>
      </c>
      <c r="Q298">
        <v>880.03</v>
      </c>
      <c r="R298">
        <v>1065.29</v>
      </c>
      <c r="S298">
        <v>961.32</v>
      </c>
      <c r="T298">
        <v>969.18000000000006</v>
      </c>
      <c r="U298">
        <v>1372.55</v>
      </c>
      <c r="AB298" s="164">
        <v>40879</v>
      </c>
      <c r="AC298" s="164">
        <v>43071</v>
      </c>
      <c r="AD298" s="164">
        <v>43161</v>
      </c>
      <c r="AE298" s="34">
        <f>SUMPRODUCT(DB_STProjectsSOF[[#This Row],[Plan01]:[Plan12]],$D$4:$O$4)/valUnits2</f>
        <v>4.6807479999999995</v>
      </c>
      <c r="AF298" s="34">
        <f>SUMPRODUCT(DB_STProjectsSOF[[#This Row],[Act01]:[Act12]],$P$4:$AA$4)/valUnits2</f>
        <v>6.0514700000000001</v>
      </c>
      <c r="AG298" s="34">
        <f>DB_STProjectsSOF[[#This Row],[Actual]]-DB_STProjectsSOF[[#This Row],[Plan]]</f>
        <v>1.3707220000000007</v>
      </c>
      <c r="AH298" s="34">
        <f>IF(DB_STProjectsSOF[[#This Row],[Plan]]&lt;&gt;0,DB_STProjectsSOF[[#This Row],[Actual]]/DB_STProjectsSOF[[#This Row],[Plan]],1.000011000011)</f>
        <v>1.292842511496026</v>
      </c>
      <c r="AI298" s="34">
        <f>SUM(DB_STProjectsSOF[[#This Row],[Plan01]:[Plan12]])/valUnits2</f>
        <v>4.6807479999999995</v>
      </c>
      <c r="AJ298" s="34">
        <f>SUMPRODUCT(DB_STProjectsSOF[[#This Row],[Act01]:[Act12]],$P$3:$AA$3)/valUnits2</f>
        <v>6.0514700000000001</v>
      </c>
      <c r="AK298" s="34">
        <f>IF(DB_STProjectsSOF[[#This Row],[FY Plan]]&lt;&gt;0,DB_STProjectsSOF[[#This Row],[FY Actuals]]/DB_STProjectsSOF[[#This Row],[FY Plan]],1.000011000011)</f>
        <v>1.292842511496026</v>
      </c>
    </row>
    <row r="299" spans="1:37" hidden="1" x14ac:dyDescent="0.2">
      <c r="A299">
        <f>SUBTOTAL(3,$B$6:B299)</f>
        <v>0</v>
      </c>
      <c r="B299" t="s">
        <v>959</v>
      </c>
      <c r="C299" t="s">
        <v>875</v>
      </c>
      <c r="D299">
        <v>0</v>
      </c>
      <c r="E299">
        <v>0</v>
      </c>
      <c r="F299">
        <v>0</v>
      </c>
      <c r="G299">
        <v>473.67899999999997</v>
      </c>
      <c r="H299">
        <v>1265.0540000000001</v>
      </c>
      <c r="I299">
        <v>1186.2249999999999</v>
      </c>
      <c r="J299">
        <v>1186.2249999999999</v>
      </c>
      <c r="K299">
        <v>1186.2249999999999</v>
      </c>
      <c r="L299">
        <v>1186.2249999999999</v>
      </c>
      <c r="M299">
        <v>1186.2250000000001</v>
      </c>
      <c r="N299">
        <v>1186.2250000000001</v>
      </c>
      <c r="O299">
        <v>1186.2250000000001</v>
      </c>
      <c r="P299">
        <v>0</v>
      </c>
      <c r="Q299">
        <v>0</v>
      </c>
      <c r="R299">
        <v>0</v>
      </c>
      <c r="S299">
        <v>466.71</v>
      </c>
      <c r="T299">
        <v>1288.02</v>
      </c>
      <c r="U299">
        <v>952.72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s="164">
        <v>41275</v>
      </c>
      <c r="AC299" s="164">
        <v>41639</v>
      </c>
      <c r="AD299" s="164">
        <v>41649</v>
      </c>
      <c r="AE299" s="34">
        <f>SUMPRODUCT(DB_STProjectsSOF[[#This Row],[Plan01]:[Plan12]],$D$4:$O$4)/valUnits2</f>
        <v>2.9249580000000002</v>
      </c>
      <c r="AF299" s="34">
        <f>SUMPRODUCT(DB_STProjectsSOF[[#This Row],[Act01]:[Act12]],$P$4:$AA$4)/valUnits2</f>
        <v>2.7074499999999997</v>
      </c>
      <c r="AG299" s="34">
        <f>DB_STProjectsSOF[[#This Row],[Actual]]-DB_STProjectsSOF[[#This Row],[Plan]]</f>
        <v>-0.21750800000000048</v>
      </c>
      <c r="AH299" s="34">
        <f>IF(DB_STProjectsSOF[[#This Row],[Plan]]&lt;&gt;0,DB_STProjectsSOF[[#This Row],[Actual]]/DB_STProjectsSOF[[#This Row],[Plan]],1.000011000011)</f>
        <v>0.92563722282507976</v>
      </c>
      <c r="AI299" s="34">
        <f>SUM(DB_STProjectsSOF[[#This Row],[Plan01]:[Plan12]])/valUnits2</f>
        <v>10.042308</v>
      </c>
      <c r="AJ299" s="34">
        <f>SUMPRODUCT(DB_STProjectsSOF[[#This Row],[Act01]:[Act12]],$P$3:$AA$3)/valUnits2</f>
        <v>2.7074499999999997</v>
      </c>
      <c r="AK299" s="34">
        <f>IF(DB_STProjectsSOF[[#This Row],[FY Plan]]&lt;&gt;0,DB_STProjectsSOF[[#This Row],[FY Actuals]]/DB_STProjectsSOF[[#This Row],[FY Plan]],1.000011000011)</f>
        <v>0.26960435788266995</v>
      </c>
    </row>
    <row r="300" spans="1:37" hidden="1" x14ac:dyDescent="0.2">
      <c r="A300">
        <f>SUBTOTAL(3,$B$6:B300)</f>
        <v>0</v>
      </c>
      <c r="B300" t="s">
        <v>959</v>
      </c>
      <c r="C300" t="s">
        <v>876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213.12</v>
      </c>
      <c r="J300">
        <v>213.12</v>
      </c>
      <c r="K300">
        <v>213.12</v>
      </c>
      <c r="L300">
        <v>213.12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AB300" s="164">
        <v>40817</v>
      </c>
      <c r="AC300" s="164">
        <v>41820</v>
      </c>
      <c r="AD300" s="164">
        <v>41835</v>
      </c>
      <c r="AE300" s="34">
        <f>SUMPRODUCT(DB_STProjectsSOF[[#This Row],[Plan01]:[Plan12]],$D$4:$O$4)/valUnits2</f>
        <v>0.21312</v>
      </c>
      <c r="AF300" s="34">
        <f>SUMPRODUCT(DB_STProjectsSOF[[#This Row],[Act01]:[Act12]],$P$4:$AA$4)/valUnits2</f>
        <v>0</v>
      </c>
      <c r="AG300" s="34">
        <f>DB_STProjectsSOF[[#This Row],[Actual]]-DB_STProjectsSOF[[#This Row],[Plan]]</f>
        <v>-0.21312</v>
      </c>
      <c r="AH300" s="34">
        <f>IF(DB_STProjectsSOF[[#This Row],[Plan]]&lt;&gt;0,DB_STProjectsSOF[[#This Row],[Actual]]/DB_STProjectsSOF[[#This Row],[Plan]],1.000011000011)</f>
        <v>0</v>
      </c>
      <c r="AI300" s="34">
        <f>SUM(DB_STProjectsSOF[[#This Row],[Plan01]:[Plan12]])/valUnits2</f>
        <v>0.85248000000000002</v>
      </c>
      <c r="AJ300" s="34">
        <f>SUMPRODUCT(DB_STProjectsSOF[[#This Row],[Act01]:[Act12]],$P$3:$AA$3)/valUnits2</f>
        <v>0</v>
      </c>
      <c r="AK300" s="34">
        <f>IF(DB_STProjectsSOF[[#This Row],[FY Plan]]&lt;&gt;0,DB_STProjectsSOF[[#This Row],[FY Actuals]]/DB_STProjectsSOF[[#This Row],[FY Plan]],1.000011000011)</f>
        <v>0</v>
      </c>
    </row>
    <row r="301" spans="1:37" hidden="1" x14ac:dyDescent="0.2">
      <c r="A301">
        <f>SUBTOTAL(3,$B$6:B301)</f>
        <v>0</v>
      </c>
      <c r="B301" t="s">
        <v>959</v>
      </c>
      <c r="C301" t="s">
        <v>362</v>
      </c>
      <c r="D301">
        <v>0</v>
      </c>
      <c r="G301">
        <v>569.07399999999996</v>
      </c>
      <c r="H301">
        <v>0</v>
      </c>
      <c r="I301">
        <v>18.573</v>
      </c>
      <c r="P301">
        <v>0</v>
      </c>
      <c r="S301">
        <v>569.94000000000005</v>
      </c>
      <c r="T301">
        <v>0</v>
      </c>
      <c r="U301">
        <v>0</v>
      </c>
      <c r="AB301" s="164">
        <v>40909</v>
      </c>
      <c r="AC301" s="164">
        <v>41486</v>
      </c>
      <c r="AD301" s="164">
        <v>41670</v>
      </c>
      <c r="AE301" s="34">
        <f>SUMPRODUCT(DB_STProjectsSOF[[#This Row],[Plan01]:[Plan12]],$D$4:$O$4)/valUnits2</f>
        <v>0.58764699999999992</v>
      </c>
      <c r="AF301" s="34">
        <f>SUMPRODUCT(DB_STProjectsSOF[[#This Row],[Act01]:[Act12]],$P$4:$AA$4)/valUnits2</f>
        <v>0.56994</v>
      </c>
      <c r="AG301" s="34">
        <f>DB_STProjectsSOF[[#This Row],[Actual]]-DB_STProjectsSOF[[#This Row],[Plan]]</f>
        <v>-1.7706999999999917E-2</v>
      </c>
      <c r="AH301" s="34">
        <f>IF(DB_STProjectsSOF[[#This Row],[Plan]]&lt;&gt;0,DB_STProjectsSOF[[#This Row],[Actual]]/DB_STProjectsSOF[[#This Row],[Plan]],1.000011000011)</f>
        <v>0.96986796495174843</v>
      </c>
      <c r="AI301" s="34">
        <f>SUM(DB_STProjectsSOF[[#This Row],[Plan01]:[Plan12]])/valUnits2</f>
        <v>0.58764699999999992</v>
      </c>
      <c r="AJ301" s="34">
        <f>SUMPRODUCT(DB_STProjectsSOF[[#This Row],[Act01]:[Act12]],$P$3:$AA$3)/valUnits2</f>
        <v>0.56994</v>
      </c>
      <c r="AK301" s="34">
        <f>IF(DB_STProjectsSOF[[#This Row],[FY Plan]]&lt;&gt;0,DB_STProjectsSOF[[#This Row],[FY Actuals]]/DB_STProjectsSOF[[#This Row],[FY Plan]],1.000011000011)</f>
        <v>0.96986796495174843</v>
      </c>
    </row>
    <row r="302" spans="1:37" hidden="1" x14ac:dyDescent="0.2">
      <c r="A302">
        <f>SUBTOTAL(3,$B$6:B302)</f>
        <v>0</v>
      </c>
      <c r="B302" t="s">
        <v>959</v>
      </c>
      <c r="C302" t="s">
        <v>877</v>
      </c>
      <c r="D302">
        <v>0</v>
      </c>
      <c r="E302">
        <v>145.75399999999999</v>
      </c>
      <c r="F302">
        <v>166.50299999999999</v>
      </c>
      <c r="G302">
        <v>145.822</v>
      </c>
      <c r="H302">
        <v>147.20400000000001</v>
      </c>
      <c r="I302">
        <v>165.18900000000002</v>
      </c>
      <c r="J302">
        <v>165.18900000000002</v>
      </c>
      <c r="K302">
        <v>165.18900000000002</v>
      </c>
      <c r="L302">
        <v>165.18900000000002</v>
      </c>
      <c r="M302">
        <v>165.18900000000002</v>
      </c>
      <c r="N302">
        <v>165.18900000000002</v>
      </c>
      <c r="O302">
        <v>165.18900000000002</v>
      </c>
      <c r="P302">
        <v>0</v>
      </c>
      <c r="Q302">
        <v>148.81</v>
      </c>
      <c r="R302">
        <v>168.01</v>
      </c>
      <c r="S302">
        <v>144.98999999999998</v>
      </c>
      <c r="T302">
        <v>145.42000000000002</v>
      </c>
      <c r="U302">
        <v>166.08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s="164">
        <v>40817</v>
      </c>
      <c r="AC302" s="164">
        <v>41639</v>
      </c>
      <c r="AD302" s="164">
        <v>41729</v>
      </c>
      <c r="AE302" s="34">
        <f>SUMPRODUCT(DB_STProjectsSOF[[#This Row],[Plan01]:[Plan12]],$D$4:$O$4)/valUnits2</f>
        <v>0.77047199999999993</v>
      </c>
      <c r="AF302" s="34">
        <f>SUMPRODUCT(DB_STProjectsSOF[[#This Row],[Act01]:[Act12]],$P$4:$AA$4)/valUnits2</f>
        <v>0.77331000000000005</v>
      </c>
      <c r="AG302" s="34">
        <f>DB_STProjectsSOF[[#This Row],[Actual]]-DB_STProjectsSOF[[#This Row],[Plan]]</f>
        <v>2.8380000000001182E-3</v>
      </c>
      <c r="AH302" s="34">
        <f>IF(DB_STProjectsSOF[[#This Row],[Plan]]&lt;&gt;0,DB_STProjectsSOF[[#This Row],[Actual]]/DB_STProjectsSOF[[#This Row],[Plan]],1.000011000011)</f>
        <v>1.0036834563747938</v>
      </c>
      <c r="AI302" s="34">
        <f>SUM(DB_STProjectsSOF[[#This Row],[Plan01]:[Plan12]])/valUnits2</f>
        <v>1.7616060000000004</v>
      </c>
      <c r="AJ302" s="34">
        <f>SUMPRODUCT(DB_STProjectsSOF[[#This Row],[Act01]:[Act12]],$P$3:$AA$3)/valUnits2</f>
        <v>0.77331000000000005</v>
      </c>
      <c r="AK302" s="34">
        <f>IF(DB_STProjectsSOF[[#This Row],[FY Plan]]&lt;&gt;0,DB_STProjectsSOF[[#This Row],[FY Actuals]]/DB_STProjectsSOF[[#This Row],[FY Plan]],1.000011000011)</f>
        <v>0.4389801124655569</v>
      </c>
    </row>
    <row r="303" spans="1:37" hidden="1" x14ac:dyDescent="0.2">
      <c r="A303">
        <f>SUBTOTAL(3,$B$6:B303)</f>
        <v>0</v>
      </c>
      <c r="B303" t="s">
        <v>959</v>
      </c>
      <c r="C303" t="s">
        <v>878</v>
      </c>
      <c r="D303">
        <v>0</v>
      </c>
      <c r="E303">
        <v>0</v>
      </c>
      <c r="F303">
        <v>281.27800000000002</v>
      </c>
      <c r="G303">
        <v>281.27800000000002</v>
      </c>
      <c r="H303">
        <v>281.27800000000002</v>
      </c>
      <c r="I303">
        <v>281.27800000000002</v>
      </c>
      <c r="J303">
        <v>281.27800000000002</v>
      </c>
      <c r="K303">
        <v>281.27800000000002</v>
      </c>
      <c r="L303">
        <v>281.27800000000002</v>
      </c>
      <c r="M303">
        <v>281.27800000000002</v>
      </c>
      <c r="N303">
        <v>281.27800000000002</v>
      </c>
      <c r="O303">
        <v>281.27800000000002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s="164">
        <v>40969</v>
      </c>
      <c r="AC303" s="164">
        <v>41333</v>
      </c>
      <c r="AD303" s="164">
        <v>41364</v>
      </c>
      <c r="AE303" s="34">
        <f>SUMPRODUCT(DB_STProjectsSOF[[#This Row],[Plan01]:[Plan12]],$D$4:$O$4)/valUnits2</f>
        <v>1.1251120000000001</v>
      </c>
      <c r="AF303" s="34">
        <f>SUMPRODUCT(DB_STProjectsSOF[[#This Row],[Act01]:[Act12]],$P$4:$AA$4)/valUnits2</f>
        <v>0</v>
      </c>
      <c r="AG303" s="34">
        <f>DB_STProjectsSOF[[#This Row],[Actual]]-DB_STProjectsSOF[[#This Row],[Plan]]</f>
        <v>-1.1251120000000001</v>
      </c>
      <c r="AH303" s="34">
        <f>IF(DB_STProjectsSOF[[#This Row],[Plan]]&lt;&gt;0,DB_STProjectsSOF[[#This Row],[Actual]]/DB_STProjectsSOF[[#This Row],[Plan]],1.000011000011)</f>
        <v>0</v>
      </c>
      <c r="AI303" s="34">
        <f>SUM(DB_STProjectsSOF[[#This Row],[Plan01]:[Plan12]])/valUnits2</f>
        <v>2.8127800000000005</v>
      </c>
      <c r="AJ303" s="34">
        <f>SUMPRODUCT(DB_STProjectsSOF[[#This Row],[Act01]:[Act12]],$P$3:$AA$3)/valUnits2</f>
        <v>0</v>
      </c>
      <c r="AK303" s="34">
        <f>IF(DB_STProjectsSOF[[#This Row],[FY Plan]]&lt;&gt;0,DB_STProjectsSOF[[#This Row],[FY Actuals]]/DB_STProjectsSOF[[#This Row],[FY Plan]],1.000011000011)</f>
        <v>0</v>
      </c>
    </row>
    <row r="304" spans="1:37" hidden="1" x14ac:dyDescent="0.2">
      <c r="A304">
        <f>SUBTOTAL(3,$B$6:B304)</f>
        <v>0</v>
      </c>
      <c r="B304" t="s">
        <v>959</v>
      </c>
      <c r="C304" t="s">
        <v>881</v>
      </c>
      <c r="G304">
        <v>1013.45</v>
      </c>
      <c r="H304">
        <v>300.56</v>
      </c>
      <c r="I304">
        <v>319.80200000000002</v>
      </c>
      <c r="J304">
        <v>639.60699999999997</v>
      </c>
      <c r="K304">
        <v>319.80200000000002</v>
      </c>
      <c r="L304">
        <v>319.80200000000002</v>
      </c>
      <c r="M304">
        <v>319.80200000000002</v>
      </c>
      <c r="N304">
        <v>319.80200000000002</v>
      </c>
      <c r="O304">
        <v>639.60699999999997</v>
      </c>
      <c r="S304">
        <v>1013.45</v>
      </c>
      <c r="T304">
        <v>300.56</v>
      </c>
      <c r="U304">
        <v>820.17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s="164">
        <v>41275</v>
      </c>
      <c r="AC304" s="164">
        <v>41639</v>
      </c>
      <c r="AD304" s="164">
        <v>41685</v>
      </c>
      <c r="AE304" s="34">
        <f>SUMPRODUCT(DB_STProjectsSOF[[#This Row],[Plan01]:[Plan12]],$D$4:$O$4)/valUnits2</f>
        <v>1.6338119999999998</v>
      </c>
      <c r="AF304" s="34">
        <f>SUMPRODUCT(DB_STProjectsSOF[[#This Row],[Act01]:[Act12]],$P$4:$AA$4)/valUnits2</f>
        <v>2.1341799999999997</v>
      </c>
      <c r="AG304" s="34">
        <f>DB_STProjectsSOF[[#This Row],[Actual]]-DB_STProjectsSOF[[#This Row],[Plan]]</f>
        <v>0.50036799999999992</v>
      </c>
      <c r="AH304" s="34">
        <f>IF(DB_STProjectsSOF[[#This Row],[Plan]]&lt;&gt;0,DB_STProjectsSOF[[#This Row],[Actual]]/DB_STProjectsSOF[[#This Row],[Plan]],1.000011000011)</f>
        <v>1.3062580027567432</v>
      </c>
      <c r="AI304" s="34">
        <f>SUM(DB_STProjectsSOF[[#This Row],[Plan01]:[Plan12]])/valUnits2</f>
        <v>4.192234</v>
      </c>
      <c r="AJ304" s="34">
        <f>SUMPRODUCT(DB_STProjectsSOF[[#This Row],[Act01]:[Act12]],$P$3:$AA$3)/valUnits2</f>
        <v>2.1341799999999997</v>
      </c>
      <c r="AK304" s="34">
        <f>IF(DB_STProjectsSOF[[#This Row],[FY Plan]]&lt;&gt;0,DB_STProjectsSOF[[#This Row],[FY Actuals]]/DB_STProjectsSOF[[#This Row],[FY Plan]],1.000011000011)</f>
        <v>0.50907940730407697</v>
      </c>
    </row>
    <row r="305" spans="1:37" hidden="1" x14ac:dyDescent="0.2">
      <c r="A305">
        <f>SUBTOTAL(3,$B$6:B305)</f>
        <v>0</v>
      </c>
      <c r="B305" t="s">
        <v>959</v>
      </c>
      <c r="C305" t="s">
        <v>882</v>
      </c>
      <c r="D305">
        <v>586.077</v>
      </c>
      <c r="E305">
        <v>619.72500000000002</v>
      </c>
      <c r="F305">
        <v>1026.577</v>
      </c>
      <c r="G305">
        <v>686.64599999999996</v>
      </c>
      <c r="H305">
        <v>625.90899999999999</v>
      </c>
      <c r="I305">
        <v>434.76800000000003</v>
      </c>
      <c r="J305">
        <v>108.69199999999999</v>
      </c>
      <c r="K305">
        <v>108.69199999999999</v>
      </c>
      <c r="L305">
        <v>434.76800000000003</v>
      </c>
      <c r="M305">
        <v>108.69199999999999</v>
      </c>
      <c r="N305">
        <v>108.69199999999999</v>
      </c>
      <c r="O305">
        <v>434.76800000000003</v>
      </c>
      <c r="P305">
        <v>577.41</v>
      </c>
      <c r="Q305">
        <v>632.72</v>
      </c>
      <c r="R305">
        <v>1035.8699999999999</v>
      </c>
      <c r="S305">
        <v>682.73</v>
      </c>
      <c r="T305">
        <v>618.32000000000005</v>
      </c>
      <c r="U305">
        <v>850.67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s="164">
        <v>40817</v>
      </c>
      <c r="AC305" s="164">
        <v>41913</v>
      </c>
      <c r="AD305" s="164">
        <v>42005</v>
      </c>
      <c r="AE305" s="34">
        <f>SUMPRODUCT(DB_STProjectsSOF[[#This Row],[Plan01]:[Plan12]],$D$4:$O$4)/valUnits2</f>
        <v>3.9797019999999996</v>
      </c>
      <c r="AF305" s="34">
        <f>SUMPRODUCT(DB_STProjectsSOF[[#This Row],[Act01]:[Act12]],$P$4:$AA$4)/valUnits2</f>
        <v>4.3977200000000005</v>
      </c>
      <c r="AG305" s="34">
        <f>DB_STProjectsSOF[[#This Row],[Actual]]-DB_STProjectsSOF[[#This Row],[Plan]]</f>
        <v>0.41801800000000089</v>
      </c>
      <c r="AH305" s="34">
        <f>IF(DB_STProjectsSOF[[#This Row],[Plan]]&lt;&gt;0,DB_STProjectsSOF[[#This Row],[Actual]]/DB_STProjectsSOF[[#This Row],[Plan]],1.000011000011)</f>
        <v>1.1050375128590033</v>
      </c>
      <c r="AI305" s="34">
        <f>SUM(DB_STProjectsSOF[[#This Row],[Plan01]:[Plan12]])/valUnits2</f>
        <v>5.2840059999999998</v>
      </c>
      <c r="AJ305" s="34">
        <f>SUMPRODUCT(DB_STProjectsSOF[[#This Row],[Act01]:[Act12]],$P$3:$AA$3)/valUnits2</f>
        <v>4.3977200000000005</v>
      </c>
      <c r="AK305" s="34">
        <f>IF(DB_STProjectsSOF[[#This Row],[FY Plan]]&lt;&gt;0,DB_STProjectsSOF[[#This Row],[FY Actuals]]/DB_STProjectsSOF[[#This Row],[FY Plan]],1.000011000011)</f>
        <v>0.83227006176753027</v>
      </c>
    </row>
    <row r="306" spans="1:37" hidden="1" x14ac:dyDescent="0.2">
      <c r="A306">
        <f>SUBTOTAL(3,$B$6:B306)</f>
        <v>0</v>
      </c>
      <c r="B306" t="s">
        <v>959</v>
      </c>
      <c r="C306" t="s">
        <v>883</v>
      </c>
      <c r="D306">
        <v>0</v>
      </c>
      <c r="E306">
        <v>1075.6590000000001</v>
      </c>
      <c r="F306">
        <v>134.13900000000001</v>
      </c>
      <c r="G306">
        <v>3066.9230000000002</v>
      </c>
      <c r="H306">
        <v>1411.761</v>
      </c>
      <c r="I306">
        <v>841.81</v>
      </c>
      <c r="J306">
        <v>841.81</v>
      </c>
      <c r="K306">
        <v>841.81</v>
      </c>
      <c r="L306">
        <v>836.08299999999997</v>
      </c>
      <c r="M306">
        <v>836.08299999999997</v>
      </c>
      <c r="N306">
        <v>836.08299999999997</v>
      </c>
      <c r="O306">
        <v>836.08299999999997</v>
      </c>
      <c r="P306">
        <v>0</v>
      </c>
      <c r="Q306">
        <v>1099.6100000000001</v>
      </c>
      <c r="R306">
        <v>133.38999999999999</v>
      </c>
      <c r="S306">
        <v>3059.3599999999997</v>
      </c>
      <c r="T306">
        <v>1412.12</v>
      </c>
      <c r="U306">
        <v>1204.4299999999998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s="164">
        <v>40940</v>
      </c>
      <c r="AC306" s="164">
        <v>41639</v>
      </c>
      <c r="AD306" s="164">
        <v>41698</v>
      </c>
      <c r="AE306" s="34">
        <f>SUMPRODUCT(DB_STProjectsSOF[[#This Row],[Plan01]:[Plan12]],$D$4:$O$4)/valUnits2</f>
        <v>6.5302919999999993</v>
      </c>
      <c r="AF306" s="34">
        <f>SUMPRODUCT(DB_STProjectsSOF[[#This Row],[Act01]:[Act12]],$P$4:$AA$4)/valUnits2</f>
        <v>6.9089099999999997</v>
      </c>
      <c r="AG306" s="34">
        <f>DB_STProjectsSOF[[#This Row],[Actual]]-DB_STProjectsSOF[[#This Row],[Plan]]</f>
        <v>0.37861800000000034</v>
      </c>
      <c r="AH306" s="34">
        <f>IF(DB_STProjectsSOF[[#This Row],[Plan]]&lt;&gt;0,DB_STProjectsSOF[[#This Row],[Actual]]/DB_STProjectsSOF[[#This Row],[Plan]],1.000011000011)</f>
        <v>1.0579787243816969</v>
      </c>
      <c r="AI306" s="34">
        <f>SUM(DB_STProjectsSOF[[#This Row],[Plan01]:[Plan12]])/valUnits2</f>
        <v>11.558244</v>
      </c>
      <c r="AJ306" s="34">
        <f>SUMPRODUCT(DB_STProjectsSOF[[#This Row],[Act01]:[Act12]],$P$3:$AA$3)/valUnits2</f>
        <v>6.9089099999999997</v>
      </c>
      <c r="AK306" s="34">
        <f>IF(DB_STProjectsSOF[[#This Row],[FY Plan]]&lt;&gt;0,DB_STProjectsSOF[[#This Row],[FY Actuals]]/DB_STProjectsSOF[[#This Row],[FY Plan]],1.000011000011)</f>
        <v>0.59774737408208367</v>
      </c>
    </row>
    <row r="307" spans="1:37" hidden="1" x14ac:dyDescent="0.2">
      <c r="A307">
        <f>SUBTOTAL(3,$B$6:B307)</f>
        <v>0</v>
      </c>
      <c r="B307" t="s">
        <v>959</v>
      </c>
      <c r="C307" t="s">
        <v>884</v>
      </c>
      <c r="D307">
        <v>5000</v>
      </c>
      <c r="E307">
        <v>5000</v>
      </c>
      <c r="F307">
        <v>5000</v>
      </c>
      <c r="G307">
        <v>5000</v>
      </c>
      <c r="H307">
        <v>5000</v>
      </c>
      <c r="I307">
        <v>5000</v>
      </c>
      <c r="J307">
        <v>5000</v>
      </c>
      <c r="K307">
        <v>5000</v>
      </c>
      <c r="L307">
        <v>5000</v>
      </c>
      <c r="M307">
        <v>5000</v>
      </c>
      <c r="N307">
        <v>5000</v>
      </c>
      <c r="O307">
        <v>5000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s="164">
        <v>40909</v>
      </c>
      <c r="AC307" s="164">
        <v>41274</v>
      </c>
      <c r="AD307" s="164">
        <v>41364</v>
      </c>
      <c r="AE307" s="34">
        <f>SUMPRODUCT(DB_STProjectsSOF[[#This Row],[Plan01]:[Plan12]],$D$4:$O$4)/valUnits2</f>
        <v>30</v>
      </c>
      <c r="AF307" s="34">
        <f>SUMPRODUCT(DB_STProjectsSOF[[#This Row],[Act01]:[Act12]],$P$4:$AA$4)/valUnits2</f>
        <v>0</v>
      </c>
      <c r="AG307" s="34">
        <f>DB_STProjectsSOF[[#This Row],[Actual]]-DB_STProjectsSOF[[#This Row],[Plan]]</f>
        <v>-30</v>
      </c>
      <c r="AH307" s="34">
        <f>IF(DB_STProjectsSOF[[#This Row],[Plan]]&lt;&gt;0,DB_STProjectsSOF[[#This Row],[Actual]]/DB_STProjectsSOF[[#This Row],[Plan]],1.000011000011)</f>
        <v>0</v>
      </c>
      <c r="AI307" s="34">
        <f>SUM(DB_STProjectsSOF[[#This Row],[Plan01]:[Plan12]])/valUnits2</f>
        <v>60</v>
      </c>
      <c r="AJ307" s="34">
        <f>SUMPRODUCT(DB_STProjectsSOF[[#This Row],[Act01]:[Act12]],$P$3:$AA$3)/valUnits2</f>
        <v>0</v>
      </c>
      <c r="AK307" s="34">
        <f>IF(DB_STProjectsSOF[[#This Row],[FY Plan]]&lt;&gt;0,DB_STProjectsSOF[[#This Row],[FY Actuals]]/DB_STProjectsSOF[[#This Row],[FY Plan]],1.000011000011)</f>
        <v>0</v>
      </c>
    </row>
    <row r="308" spans="1:37" hidden="1" x14ac:dyDescent="0.2">
      <c r="A308">
        <f>SUBTOTAL(3,$B$6:B308)</f>
        <v>0</v>
      </c>
      <c r="B308" t="s">
        <v>959</v>
      </c>
      <c r="C308" t="s">
        <v>885</v>
      </c>
      <c r="D308">
        <v>21.917000000000002</v>
      </c>
      <c r="E308">
        <v>0</v>
      </c>
      <c r="F308">
        <v>0</v>
      </c>
      <c r="G308">
        <v>0</v>
      </c>
      <c r="H308">
        <v>0</v>
      </c>
      <c r="I308">
        <v>951.12</v>
      </c>
      <c r="J308">
        <v>951.12</v>
      </c>
      <c r="K308">
        <v>951.12</v>
      </c>
      <c r="L308">
        <v>951.12</v>
      </c>
      <c r="M308">
        <v>951.12</v>
      </c>
      <c r="N308">
        <v>951.12</v>
      </c>
      <c r="O308">
        <v>951.12</v>
      </c>
      <c r="P308">
        <v>21.92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s="164">
        <v>40817</v>
      </c>
      <c r="AC308" s="164">
        <v>41639</v>
      </c>
      <c r="AD308" s="164">
        <v>41820</v>
      </c>
      <c r="AE308" s="34">
        <f>SUMPRODUCT(DB_STProjectsSOF[[#This Row],[Plan01]:[Plan12]],$D$4:$O$4)/valUnits2</f>
        <v>0.97303700000000004</v>
      </c>
      <c r="AF308" s="34">
        <f>SUMPRODUCT(DB_STProjectsSOF[[#This Row],[Act01]:[Act12]],$P$4:$AA$4)/valUnits2</f>
        <v>2.1920000000000002E-2</v>
      </c>
      <c r="AG308" s="34">
        <f>DB_STProjectsSOF[[#This Row],[Actual]]-DB_STProjectsSOF[[#This Row],[Plan]]</f>
        <v>-0.95111699999999999</v>
      </c>
      <c r="AH308" s="34">
        <f>IF(DB_STProjectsSOF[[#This Row],[Plan]]&lt;&gt;0,DB_STProjectsSOF[[#This Row],[Actual]]/DB_STProjectsSOF[[#This Row],[Plan]],1.000011000011)</f>
        <v>2.2527406460391537E-2</v>
      </c>
      <c r="AI308" s="34">
        <f>SUM(DB_STProjectsSOF[[#This Row],[Plan01]:[Plan12]])/valUnits2</f>
        <v>6.6797569999999995</v>
      </c>
      <c r="AJ308" s="34">
        <f>SUMPRODUCT(DB_STProjectsSOF[[#This Row],[Act01]:[Act12]],$P$3:$AA$3)/valUnits2</f>
        <v>2.1920000000000002E-2</v>
      </c>
      <c r="AK308" s="34">
        <f>IF(DB_STProjectsSOF[[#This Row],[FY Plan]]&lt;&gt;0,DB_STProjectsSOF[[#This Row],[FY Actuals]]/DB_STProjectsSOF[[#This Row],[FY Plan]],1.000011000011)</f>
        <v>3.2815564997349458E-3</v>
      </c>
    </row>
    <row r="309" spans="1:37" hidden="1" x14ac:dyDescent="0.2">
      <c r="A309">
        <f>SUBTOTAL(3,$B$6:B309)</f>
        <v>0</v>
      </c>
      <c r="B309" t="s">
        <v>959</v>
      </c>
      <c r="C309" t="s">
        <v>887</v>
      </c>
      <c r="G309">
        <v>377.01400000000001</v>
      </c>
      <c r="S309">
        <v>369.3</v>
      </c>
      <c r="AB309" s="164">
        <v>40817</v>
      </c>
      <c r="AC309" s="164">
        <v>41364</v>
      </c>
      <c r="AD309" s="164">
        <v>41389</v>
      </c>
      <c r="AE309" s="34">
        <f>SUMPRODUCT(DB_STProjectsSOF[[#This Row],[Plan01]:[Plan12]],$D$4:$O$4)/valUnits2</f>
        <v>0.37701400000000002</v>
      </c>
      <c r="AF309" s="34">
        <f>SUMPRODUCT(DB_STProjectsSOF[[#This Row],[Act01]:[Act12]],$P$4:$AA$4)/valUnits2</f>
        <v>0.36930000000000002</v>
      </c>
      <c r="AG309" s="34">
        <f>DB_STProjectsSOF[[#This Row],[Actual]]-DB_STProjectsSOF[[#This Row],[Plan]]</f>
        <v>-7.7139999999999986E-3</v>
      </c>
      <c r="AH309" s="34">
        <f>IF(DB_STProjectsSOF[[#This Row],[Plan]]&lt;&gt;0,DB_STProjectsSOF[[#This Row],[Actual]]/DB_STProjectsSOF[[#This Row],[Plan]],1.000011000011)</f>
        <v>0.97953922135517513</v>
      </c>
      <c r="AI309" s="34">
        <f>SUM(DB_STProjectsSOF[[#This Row],[Plan01]:[Plan12]])/valUnits2</f>
        <v>0.37701400000000002</v>
      </c>
      <c r="AJ309" s="34">
        <f>SUMPRODUCT(DB_STProjectsSOF[[#This Row],[Act01]:[Act12]],$P$3:$AA$3)/valUnits2</f>
        <v>0.36930000000000002</v>
      </c>
      <c r="AK309" s="34">
        <f>IF(DB_STProjectsSOF[[#This Row],[FY Plan]]&lt;&gt;0,DB_STProjectsSOF[[#This Row],[FY Actuals]]/DB_STProjectsSOF[[#This Row],[FY Plan]],1.000011000011)</f>
        <v>0.97953922135517513</v>
      </c>
    </row>
    <row r="310" spans="1:37" hidden="1" x14ac:dyDescent="0.2">
      <c r="A310">
        <f>SUBTOTAL(3,$B$6:B310)</f>
        <v>0</v>
      </c>
      <c r="B310" t="s">
        <v>959</v>
      </c>
      <c r="C310" t="s">
        <v>361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361.42500000000001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s="164">
        <v>41091</v>
      </c>
      <c r="AC310" s="164">
        <v>41455</v>
      </c>
      <c r="AD310" s="164">
        <v>41486</v>
      </c>
      <c r="AE310" s="34">
        <f>SUMPRODUCT(DB_STProjectsSOF[[#This Row],[Plan01]:[Plan12]],$D$4:$O$4)/valUnits2</f>
        <v>0.361425</v>
      </c>
      <c r="AF310" s="34">
        <f>SUMPRODUCT(DB_STProjectsSOF[[#This Row],[Act01]:[Act12]],$P$4:$AA$4)/valUnits2</f>
        <v>0</v>
      </c>
      <c r="AG310" s="34">
        <f>DB_STProjectsSOF[[#This Row],[Actual]]-DB_STProjectsSOF[[#This Row],[Plan]]</f>
        <v>-0.361425</v>
      </c>
      <c r="AH310" s="34">
        <f>IF(DB_STProjectsSOF[[#This Row],[Plan]]&lt;&gt;0,DB_STProjectsSOF[[#This Row],[Actual]]/DB_STProjectsSOF[[#This Row],[Plan]],1.000011000011)</f>
        <v>0</v>
      </c>
      <c r="AI310" s="34">
        <f>SUM(DB_STProjectsSOF[[#This Row],[Plan01]:[Plan12]])/valUnits2</f>
        <v>0.361425</v>
      </c>
      <c r="AJ310" s="34">
        <f>SUMPRODUCT(DB_STProjectsSOF[[#This Row],[Act01]:[Act12]],$P$3:$AA$3)/valUnits2</f>
        <v>0</v>
      </c>
      <c r="AK310" s="34">
        <f>IF(DB_STProjectsSOF[[#This Row],[FY Plan]]&lt;&gt;0,DB_STProjectsSOF[[#This Row],[FY Actuals]]/DB_STProjectsSOF[[#This Row],[FY Plan]],1.000011000011)</f>
        <v>0</v>
      </c>
    </row>
    <row r="311" spans="1:37" hidden="1" x14ac:dyDescent="0.2">
      <c r="A311">
        <f>SUBTOTAL(3,$B$6:B311)</f>
        <v>0</v>
      </c>
      <c r="B311" t="s">
        <v>959</v>
      </c>
      <c r="C311" t="s">
        <v>358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758.42199999999991</v>
      </c>
      <c r="J311">
        <v>758.42199999999991</v>
      </c>
      <c r="K311">
        <v>758.42199999999991</v>
      </c>
      <c r="L311">
        <v>758.42199999999991</v>
      </c>
      <c r="M311">
        <v>758.42199999999991</v>
      </c>
      <c r="N311">
        <v>758.42199999999991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B311" s="164">
        <v>41091</v>
      </c>
      <c r="AC311" s="164">
        <v>41455</v>
      </c>
      <c r="AD311" s="164">
        <v>41517</v>
      </c>
      <c r="AE311" s="34">
        <f>SUMPRODUCT(DB_STProjectsSOF[[#This Row],[Plan01]:[Plan12]],$D$4:$O$4)/valUnits2</f>
        <v>0.75842199999999993</v>
      </c>
      <c r="AF311" s="34">
        <f>SUMPRODUCT(DB_STProjectsSOF[[#This Row],[Act01]:[Act12]],$P$4:$AA$4)/valUnits2</f>
        <v>0</v>
      </c>
      <c r="AG311" s="34">
        <f>DB_STProjectsSOF[[#This Row],[Actual]]-DB_STProjectsSOF[[#This Row],[Plan]]</f>
        <v>-0.75842199999999993</v>
      </c>
      <c r="AH311" s="34">
        <f>IF(DB_STProjectsSOF[[#This Row],[Plan]]&lt;&gt;0,DB_STProjectsSOF[[#This Row],[Actual]]/DB_STProjectsSOF[[#This Row],[Plan]],1.000011000011)</f>
        <v>0</v>
      </c>
      <c r="AI311" s="34">
        <f>SUM(DB_STProjectsSOF[[#This Row],[Plan01]:[Plan12]])/valUnits2</f>
        <v>4.5505319999999996</v>
      </c>
      <c r="AJ311" s="34">
        <f>SUMPRODUCT(DB_STProjectsSOF[[#This Row],[Act01]:[Act12]],$P$3:$AA$3)/valUnits2</f>
        <v>0</v>
      </c>
      <c r="AK311" s="34">
        <f>IF(DB_STProjectsSOF[[#This Row],[FY Plan]]&lt;&gt;0,DB_STProjectsSOF[[#This Row],[FY Actuals]]/DB_STProjectsSOF[[#This Row],[FY Plan]],1.000011000011)</f>
        <v>0</v>
      </c>
    </row>
    <row r="312" spans="1:37" hidden="1" x14ac:dyDescent="0.2">
      <c r="A312">
        <f>SUBTOTAL(3,$B$6:B312)</f>
        <v>0</v>
      </c>
      <c r="B312" t="s">
        <v>959</v>
      </c>
      <c r="C312" t="s">
        <v>890</v>
      </c>
      <c r="I312">
        <v>0</v>
      </c>
      <c r="U312">
        <v>16.809999999999999</v>
      </c>
      <c r="AB312" s="164">
        <v>40817</v>
      </c>
      <c r="AC312" s="164">
        <v>41639</v>
      </c>
      <c r="AD312" s="164">
        <v>41639</v>
      </c>
      <c r="AE312" s="34">
        <f>SUMPRODUCT(DB_STProjectsSOF[[#This Row],[Plan01]:[Plan12]],$D$4:$O$4)/valUnits2</f>
        <v>0</v>
      </c>
      <c r="AF312" s="34">
        <f>SUMPRODUCT(DB_STProjectsSOF[[#This Row],[Act01]:[Act12]],$P$4:$AA$4)/valUnits2</f>
        <v>1.6809999999999999E-2</v>
      </c>
      <c r="AG312" s="34">
        <f>DB_STProjectsSOF[[#This Row],[Actual]]-DB_STProjectsSOF[[#This Row],[Plan]]</f>
        <v>1.6809999999999999E-2</v>
      </c>
      <c r="AH312" s="34">
        <f>IF(DB_STProjectsSOF[[#This Row],[Plan]]&lt;&gt;0,DB_STProjectsSOF[[#This Row],[Actual]]/DB_STProjectsSOF[[#This Row],[Plan]],1.000011000011)</f>
        <v>1.0000110000110001</v>
      </c>
      <c r="AI312" s="34">
        <f>SUM(DB_STProjectsSOF[[#This Row],[Plan01]:[Plan12]])/valUnits2</f>
        <v>0</v>
      </c>
      <c r="AJ312" s="34">
        <f>SUMPRODUCT(DB_STProjectsSOF[[#This Row],[Act01]:[Act12]],$P$3:$AA$3)/valUnits2</f>
        <v>1.6809999999999999E-2</v>
      </c>
      <c r="AK312" s="34">
        <f>IF(DB_STProjectsSOF[[#This Row],[FY Plan]]&lt;&gt;0,DB_STProjectsSOF[[#This Row],[FY Actuals]]/DB_STProjectsSOF[[#This Row],[FY Plan]],1.000011000011)</f>
        <v>1.0000110000110001</v>
      </c>
    </row>
    <row r="313" spans="1:37" hidden="1" x14ac:dyDescent="0.2">
      <c r="A313">
        <f>SUBTOTAL(3,$B$6:B313)</f>
        <v>0</v>
      </c>
      <c r="B313" t="s">
        <v>959</v>
      </c>
      <c r="C313" t="s">
        <v>891</v>
      </c>
      <c r="E313">
        <v>129.51599999999999</v>
      </c>
      <c r="G313">
        <v>0</v>
      </c>
      <c r="H313">
        <v>455.62299999999999</v>
      </c>
      <c r="I313">
        <v>510.09000000000003</v>
      </c>
      <c r="J313">
        <v>510.09000000000003</v>
      </c>
      <c r="K313">
        <v>510.09000000000003</v>
      </c>
      <c r="L313">
        <v>510.09000000000003</v>
      </c>
      <c r="M313">
        <v>510.09000000000003</v>
      </c>
      <c r="N313">
        <v>510.09000000000003</v>
      </c>
      <c r="O313">
        <v>510.09000000000003</v>
      </c>
      <c r="Q313">
        <v>133.21</v>
      </c>
      <c r="S313">
        <v>0</v>
      </c>
      <c r="T313">
        <v>450.1</v>
      </c>
      <c r="U313">
        <v>1396.74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s="164">
        <v>41214</v>
      </c>
      <c r="AC313" s="164">
        <v>42308</v>
      </c>
      <c r="AD313" s="164">
        <v>42389</v>
      </c>
      <c r="AE313" s="34">
        <f>SUMPRODUCT(DB_STProjectsSOF[[#This Row],[Plan01]:[Plan12]],$D$4:$O$4)/valUnits2</f>
        <v>1.095229</v>
      </c>
      <c r="AF313" s="34">
        <f>SUMPRODUCT(DB_STProjectsSOF[[#This Row],[Act01]:[Act12]],$P$4:$AA$4)/valUnits2</f>
        <v>1.9800500000000001</v>
      </c>
      <c r="AG313" s="34">
        <f>DB_STProjectsSOF[[#This Row],[Actual]]-DB_STProjectsSOF[[#This Row],[Plan]]</f>
        <v>0.88482100000000008</v>
      </c>
      <c r="AH313" s="34">
        <f>IF(DB_STProjectsSOF[[#This Row],[Plan]]&lt;&gt;0,DB_STProjectsSOF[[#This Row],[Actual]]/DB_STProjectsSOF[[#This Row],[Plan]],1.000011000011)</f>
        <v>1.8078867524508573</v>
      </c>
      <c r="AI313" s="34">
        <f>SUM(DB_STProjectsSOF[[#This Row],[Plan01]:[Plan12]])/valUnits2</f>
        <v>4.1557690000000003</v>
      </c>
      <c r="AJ313" s="34">
        <f>SUMPRODUCT(DB_STProjectsSOF[[#This Row],[Act01]:[Act12]],$P$3:$AA$3)/valUnits2</f>
        <v>1.9800500000000001</v>
      </c>
      <c r="AK313" s="34">
        <f>IF(DB_STProjectsSOF[[#This Row],[FY Plan]]&lt;&gt;0,DB_STProjectsSOF[[#This Row],[FY Actuals]]/DB_STProjectsSOF[[#This Row],[FY Plan]],1.000011000011)</f>
        <v>0.47645814769781475</v>
      </c>
    </row>
    <row r="314" spans="1:37" hidden="1" x14ac:dyDescent="0.2">
      <c r="A314">
        <f>SUBTOTAL(3,$B$6:B314)</f>
        <v>0</v>
      </c>
      <c r="B314" t="s">
        <v>959</v>
      </c>
      <c r="C314" t="s">
        <v>368</v>
      </c>
      <c r="D314">
        <v>0</v>
      </c>
      <c r="E314">
        <v>0</v>
      </c>
      <c r="F314">
        <v>0</v>
      </c>
      <c r="G314">
        <v>0</v>
      </c>
      <c r="H314">
        <v>10486.585999999999</v>
      </c>
      <c r="I314">
        <v>9833.4360000000015</v>
      </c>
      <c r="J314">
        <v>9833.4360000000015</v>
      </c>
      <c r="K314">
        <v>9833.4360000000015</v>
      </c>
      <c r="L314">
        <v>9833.4360000000015</v>
      </c>
      <c r="M314">
        <v>9833.4360000000015</v>
      </c>
      <c r="N314">
        <v>9833.4360000000015</v>
      </c>
      <c r="P314">
        <v>0</v>
      </c>
      <c r="Q314">
        <v>0</v>
      </c>
      <c r="R314">
        <v>0</v>
      </c>
      <c r="S314">
        <v>0</v>
      </c>
      <c r="T314">
        <v>653.15</v>
      </c>
      <c r="U314">
        <v>652.73</v>
      </c>
      <c r="V314">
        <v>0</v>
      </c>
      <c r="W314">
        <v>0</v>
      </c>
      <c r="X314">
        <v>0</v>
      </c>
      <c r="Y314">
        <v>0</v>
      </c>
      <c r="Z314">
        <v>0</v>
      </c>
      <c r="AB314" s="164">
        <v>41000</v>
      </c>
      <c r="AC314" s="164">
        <v>41820</v>
      </c>
      <c r="AD314" s="164">
        <v>41517</v>
      </c>
      <c r="AE314" s="34">
        <f>SUMPRODUCT(DB_STProjectsSOF[[#This Row],[Plan01]:[Plan12]],$D$4:$O$4)/valUnits2</f>
        <v>20.320022000000002</v>
      </c>
      <c r="AF314" s="34">
        <f>SUMPRODUCT(DB_STProjectsSOF[[#This Row],[Act01]:[Act12]],$P$4:$AA$4)/valUnits2</f>
        <v>1.3058800000000002</v>
      </c>
      <c r="AG314" s="34">
        <f>DB_STProjectsSOF[[#This Row],[Actual]]-DB_STProjectsSOF[[#This Row],[Plan]]</f>
        <v>-19.014142</v>
      </c>
      <c r="AH314" s="34">
        <f>IF(DB_STProjectsSOF[[#This Row],[Plan]]&lt;&gt;0,DB_STProjectsSOF[[#This Row],[Actual]]/DB_STProjectsSOF[[#This Row],[Plan]],1.000011000011)</f>
        <v>6.4265678452513492E-2</v>
      </c>
      <c r="AI314" s="34">
        <f>SUM(DB_STProjectsSOF[[#This Row],[Plan01]:[Plan12]])/valUnits2</f>
        <v>69.487202000000011</v>
      </c>
      <c r="AJ314" s="34">
        <f>SUMPRODUCT(DB_STProjectsSOF[[#This Row],[Act01]:[Act12]],$P$3:$AA$3)/valUnits2</f>
        <v>1.3058800000000002</v>
      </c>
      <c r="AK314" s="34">
        <f>IF(DB_STProjectsSOF[[#This Row],[FY Plan]]&lt;&gt;0,DB_STProjectsSOF[[#This Row],[FY Actuals]]/DB_STProjectsSOF[[#This Row],[FY Plan]],1.000011000011)</f>
        <v>1.8793100922382799E-2</v>
      </c>
    </row>
    <row r="315" spans="1:37" hidden="1" x14ac:dyDescent="0.2">
      <c r="A315">
        <f>SUBTOTAL(3,$B$6:B315)</f>
        <v>0</v>
      </c>
      <c r="B315" t="s">
        <v>959</v>
      </c>
      <c r="C315" t="s">
        <v>892</v>
      </c>
      <c r="E315">
        <v>207.48</v>
      </c>
      <c r="Q315">
        <v>211.83</v>
      </c>
      <c r="AB315" s="164">
        <v>40817</v>
      </c>
      <c r="AC315" s="164">
        <v>41639</v>
      </c>
      <c r="AD315" s="164">
        <v>3</v>
      </c>
      <c r="AE315" s="34">
        <f>SUMPRODUCT(DB_STProjectsSOF[[#This Row],[Plan01]:[Plan12]],$D$4:$O$4)/valUnits2</f>
        <v>0.20748</v>
      </c>
      <c r="AF315" s="34">
        <f>SUMPRODUCT(DB_STProjectsSOF[[#This Row],[Act01]:[Act12]],$P$4:$AA$4)/valUnits2</f>
        <v>0.21183000000000002</v>
      </c>
      <c r="AG315" s="34">
        <f>DB_STProjectsSOF[[#This Row],[Actual]]-DB_STProjectsSOF[[#This Row],[Plan]]</f>
        <v>4.3500000000000205E-3</v>
      </c>
      <c r="AH315" s="34">
        <f>IF(DB_STProjectsSOF[[#This Row],[Plan]]&lt;&gt;0,DB_STProjectsSOF[[#This Row],[Actual]]/DB_STProjectsSOF[[#This Row],[Plan]],1.000011000011)</f>
        <v>1.0209658762290341</v>
      </c>
      <c r="AI315" s="34">
        <f>SUM(DB_STProjectsSOF[[#This Row],[Plan01]:[Plan12]])/valUnits2</f>
        <v>0.20748</v>
      </c>
      <c r="AJ315" s="34">
        <f>SUMPRODUCT(DB_STProjectsSOF[[#This Row],[Act01]:[Act12]],$P$3:$AA$3)/valUnits2</f>
        <v>0.21183000000000002</v>
      </c>
      <c r="AK315" s="34">
        <f>IF(DB_STProjectsSOF[[#This Row],[FY Plan]]&lt;&gt;0,DB_STProjectsSOF[[#This Row],[FY Actuals]]/DB_STProjectsSOF[[#This Row],[FY Plan]],1.000011000011)</f>
        <v>1.0209658762290341</v>
      </c>
    </row>
    <row r="316" spans="1:37" hidden="1" x14ac:dyDescent="0.2">
      <c r="A316">
        <f>SUBTOTAL(3,$B$6:B316)</f>
        <v>0</v>
      </c>
      <c r="B316" t="s">
        <v>959</v>
      </c>
      <c r="C316" t="s">
        <v>895</v>
      </c>
      <c r="D316">
        <v>586.077</v>
      </c>
      <c r="E316">
        <v>619.72500000000002</v>
      </c>
      <c r="F316">
        <v>704.59199999999998</v>
      </c>
      <c r="G316">
        <v>620.01599999999996</v>
      </c>
      <c r="H316">
        <v>625.90899999999999</v>
      </c>
      <c r="I316">
        <v>0</v>
      </c>
      <c r="P316">
        <v>577.41</v>
      </c>
      <c r="Q316">
        <v>632.72</v>
      </c>
      <c r="R316">
        <v>710.97</v>
      </c>
      <c r="S316">
        <v>616.48</v>
      </c>
      <c r="T316">
        <v>618.32000000000005</v>
      </c>
      <c r="U316">
        <v>811.17</v>
      </c>
      <c r="AB316" s="164">
        <v>40553</v>
      </c>
      <c r="AC316" s="164">
        <v>41897</v>
      </c>
      <c r="AD316" s="164">
        <v>41988</v>
      </c>
      <c r="AE316" s="34">
        <f>SUMPRODUCT(DB_STProjectsSOF[[#This Row],[Plan01]:[Plan12]],$D$4:$O$4)/valUnits2</f>
        <v>3.1563190000000003</v>
      </c>
      <c r="AF316" s="34">
        <f>SUMPRODUCT(DB_STProjectsSOF[[#This Row],[Act01]:[Act12]],$P$4:$AA$4)/valUnits2</f>
        <v>3.9670700000000001</v>
      </c>
      <c r="AG316" s="34">
        <f>DB_STProjectsSOF[[#This Row],[Actual]]-DB_STProjectsSOF[[#This Row],[Plan]]</f>
        <v>0.81075099999999978</v>
      </c>
      <c r="AH316" s="34">
        <f>IF(DB_STProjectsSOF[[#This Row],[Plan]]&lt;&gt;0,DB_STProjectsSOF[[#This Row],[Actual]]/DB_STProjectsSOF[[#This Row],[Plan]],1.000011000011)</f>
        <v>1.2568659885138351</v>
      </c>
      <c r="AI316" s="34">
        <f>SUM(DB_STProjectsSOF[[#This Row],[Plan01]:[Plan12]])/valUnits2</f>
        <v>3.1563190000000003</v>
      </c>
      <c r="AJ316" s="34">
        <f>SUMPRODUCT(DB_STProjectsSOF[[#This Row],[Act01]:[Act12]],$P$3:$AA$3)/valUnits2</f>
        <v>3.9670700000000001</v>
      </c>
      <c r="AK316" s="34">
        <f>IF(DB_STProjectsSOF[[#This Row],[FY Plan]]&lt;&gt;0,DB_STProjectsSOF[[#This Row],[FY Actuals]]/DB_STProjectsSOF[[#This Row],[FY Plan]],1.000011000011)</f>
        <v>1.2568659885138351</v>
      </c>
    </row>
    <row r="317" spans="1:37" hidden="1" x14ac:dyDescent="0.2">
      <c r="A317">
        <f>SUBTOTAL(3,$B$6:B317)</f>
        <v>0</v>
      </c>
      <c r="B317" t="s">
        <v>959</v>
      </c>
      <c r="C317" t="s">
        <v>896</v>
      </c>
      <c r="D317">
        <v>22.581</v>
      </c>
      <c r="E317">
        <v>0</v>
      </c>
      <c r="F317">
        <v>0</v>
      </c>
      <c r="G317">
        <v>0</v>
      </c>
      <c r="H317">
        <v>0</v>
      </c>
      <c r="I317">
        <v>1070.2049999999999</v>
      </c>
      <c r="J317">
        <v>1070.2049999999999</v>
      </c>
      <c r="K317">
        <v>1070.2049999999999</v>
      </c>
      <c r="L317">
        <v>1070.2049999999999</v>
      </c>
      <c r="M317">
        <v>1070.2049999999999</v>
      </c>
      <c r="N317">
        <v>1070.2049999999999</v>
      </c>
      <c r="O317">
        <v>1070.2049999999999</v>
      </c>
      <c r="P317">
        <v>22.58</v>
      </c>
      <c r="Q317">
        <v>0</v>
      </c>
      <c r="R317">
        <v>0</v>
      </c>
      <c r="S317">
        <v>0</v>
      </c>
      <c r="T317">
        <v>0</v>
      </c>
      <c r="U317">
        <v>16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s="164">
        <v>40817</v>
      </c>
      <c r="AC317" s="164">
        <v>41639</v>
      </c>
      <c r="AD317" s="164">
        <v>41820</v>
      </c>
      <c r="AE317" s="34">
        <f>SUMPRODUCT(DB_STProjectsSOF[[#This Row],[Plan01]:[Plan12]],$D$4:$O$4)/valUnits2</f>
        <v>1.0927859999999998</v>
      </c>
      <c r="AF317" s="34">
        <f>SUMPRODUCT(DB_STProjectsSOF[[#This Row],[Act01]:[Act12]],$P$4:$AA$4)/valUnits2</f>
        <v>3.8579999999999996E-2</v>
      </c>
      <c r="AG317" s="34">
        <f>DB_STProjectsSOF[[#This Row],[Actual]]-DB_STProjectsSOF[[#This Row],[Plan]]</f>
        <v>-1.0542059999999998</v>
      </c>
      <c r="AH317" s="34">
        <f>IF(DB_STProjectsSOF[[#This Row],[Plan]]&lt;&gt;0,DB_STProjectsSOF[[#This Row],[Actual]]/DB_STProjectsSOF[[#This Row],[Plan]],1.000011000011)</f>
        <v>3.5304259022352048E-2</v>
      </c>
      <c r="AI317" s="34">
        <f>SUM(DB_STProjectsSOF[[#This Row],[Plan01]:[Plan12]])/valUnits2</f>
        <v>7.5140159999999998</v>
      </c>
      <c r="AJ317" s="34">
        <f>SUMPRODUCT(DB_STProjectsSOF[[#This Row],[Act01]:[Act12]],$P$3:$AA$3)/valUnits2</f>
        <v>3.8579999999999996E-2</v>
      </c>
      <c r="AK317" s="34">
        <f>IF(DB_STProjectsSOF[[#This Row],[FY Plan]]&lt;&gt;0,DB_STProjectsSOF[[#This Row],[FY Actuals]]/DB_STProjectsSOF[[#This Row],[FY Plan]],1.000011000011)</f>
        <v>5.1344048242644141E-3</v>
      </c>
    </row>
    <row r="318" spans="1:37" hidden="1" x14ac:dyDescent="0.2">
      <c r="A318">
        <f>SUBTOTAL(3,$B$6:B318)</f>
        <v>0</v>
      </c>
      <c r="B318" t="s">
        <v>959</v>
      </c>
      <c r="C318" t="s">
        <v>903</v>
      </c>
      <c r="G318">
        <v>0</v>
      </c>
      <c r="H318">
        <v>0</v>
      </c>
      <c r="I318">
        <v>270.75400000000002</v>
      </c>
      <c r="J318">
        <v>270.75400000000002</v>
      </c>
      <c r="K318">
        <v>270.75400000000002</v>
      </c>
      <c r="L318">
        <v>270.75400000000002</v>
      </c>
      <c r="M318">
        <v>270.75400000000002</v>
      </c>
      <c r="N318">
        <v>270.75400000000002</v>
      </c>
      <c r="O318">
        <v>270.75400000000002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s="164">
        <v>41275</v>
      </c>
      <c r="AC318" s="164">
        <v>41639</v>
      </c>
      <c r="AD318" s="164">
        <v>41670</v>
      </c>
      <c r="AE318" s="34">
        <f>SUMPRODUCT(DB_STProjectsSOF[[#This Row],[Plan01]:[Plan12]],$D$4:$O$4)/valUnits2</f>
        <v>0.27075399999999999</v>
      </c>
      <c r="AF318" s="34">
        <f>SUMPRODUCT(DB_STProjectsSOF[[#This Row],[Act01]:[Act12]],$P$4:$AA$4)/valUnits2</f>
        <v>0</v>
      </c>
      <c r="AG318" s="34">
        <f>DB_STProjectsSOF[[#This Row],[Actual]]-DB_STProjectsSOF[[#This Row],[Plan]]</f>
        <v>-0.27075399999999999</v>
      </c>
      <c r="AH318" s="34">
        <f>IF(DB_STProjectsSOF[[#This Row],[Plan]]&lt;&gt;0,DB_STProjectsSOF[[#This Row],[Actual]]/DB_STProjectsSOF[[#This Row],[Plan]],1.000011000011)</f>
        <v>0</v>
      </c>
      <c r="AI318" s="34">
        <f>SUM(DB_STProjectsSOF[[#This Row],[Plan01]:[Plan12]])/valUnits2</f>
        <v>1.8952779999999998</v>
      </c>
      <c r="AJ318" s="34">
        <f>SUMPRODUCT(DB_STProjectsSOF[[#This Row],[Act01]:[Act12]],$P$3:$AA$3)/valUnits2</f>
        <v>0</v>
      </c>
      <c r="AK318" s="34">
        <f>IF(DB_STProjectsSOF[[#This Row],[FY Plan]]&lt;&gt;0,DB_STProjectsSOF[[#This Row],[FY Actuals]]/DB_STProjectsSOF[[#This Row],[FY Plan]],1.000011000011)</f>
        <v>0</v>
      </c>
    </row>
    <row r="319" spans="1:37" hidden="1" x14ac:dyDescent="0.2">
      <c r="A319">
        <f>SUBTOTAL(3,$B$6:B319)</f>
        <v>0</v>
      </c>
      <c r="B319" t="s">
        <v>959</v>
      </c>
      <c r="C319" t="s">
        <v>365</v>
      </c>
      <c r="G319">
        <v>0</v>
      </c>
      <c r="H319">
        <v>0</v>
      </c>
      <c r="I319">
        <v>104.051</v>
      </c>
      <c r="J319">
        <v>104.051</v>
      </c>
      <c r="K319">
        <v>104.051</v>
      </c>
      <c r="S319">
        <v>0</v>
      </c>
      <c r="T319">
        <v>0</v>
      </c>
      <c r="U319">
        <v>0</v>
      </c>
      <c r="V319">
        <v>0</v>
      </c>
      <c r="W319">
        <v>0</v>
      </c>
      <c r="AB319" s="164">
        <v>40878</v>
      </c>
      <c r="AC319" s="164">
        <v>41517</v>
      </c>
      <c r="AD319" s="164">
        <v>41547</v>
      </c>
      <c r="AE319" s="34">
        <f>SUMPRODUCT(DB_STProjectsSOF[[#This Row],[Plan01]:[Plan12]],$D$4:$O$4)/valUnits2</f>
        <v>0.104051</v>
      </c>
      <c r="AF319" s="34">
        <f>SUMPRODUCT(DB_STProjectsSOF[[#This Row],[Act01]:[Act12]],$P$4:$AA$4)/valUnits2</f>
        <v>0</v>
      </c>
      <c r="AG319" s="34">
        <f>DB_STProjectsSOF[[#This Row],[Actual]]-DB_STProjectsSOF[[#This Row],[Plan]]</f>
        <v>-0.104051</v>
      </c>
      <c r="AH319" s="34">
        <f>IF(DB_STProjectsSOF[[#This Row],[Plan]]&lt;&gt;0,DB_STProjectsSOF[[#This Row],[Actual]]/DB_STProjectsSOF[[#This Row],[Plan]],1.000011000011)</f>
        <v>0</v>
      </c>
      <c r="AI319" s="34">
        <f>SUM(DB_STProjectsSOF[[#This Row],[Plan01]:[Plan12]])/valUnits2</f>
        <v>0.31215300000000001</v>
      </c>
      <c r="AJ319" s="34">
        <f>SUMPRODUCT(DB_STProjectsSOF[[#This Row],[Act01]:[Act12]],$P$3:$AA$3)/valUnits2</f>
        <v>0</v>
      </c>
      <c r="AK319" s="34">
        <f>IF(DB_STProjectsSOF[[#This Row],[FY Plan]]&lt;&gt;0,DB_STProjectsSOF[[#This Row],[FY Actuals]]/DB_STProjectsSOF[[#This Row],[FY Plan]],1.000011000011)</f>
        <v>0</v>
      </c>
    </row>
    <row r="320" spans="1:37" hidden="1" x14ac:dyDescent="0.2">
      <c r="A320">
        <f>SUBTOTAL(3,$B$6:B320)</f>
        <v>0</v>
      </c>
      <c r="B320" t="s">
        <v>959</v>
      </c>
      <c r="C320" t="s">
        <v>904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81.698000000000008</v>
      </c>
      <c r="J320">
        <v>81.698000000000008</v>
      </c>
      <c r="K320">
        <v>81.698000000000008</v>
      </c>
      <c r="L320">
        <v>81.698000000000008</v>
      </c>
      <c r="M320">
        <v>81.698000000000008</v>
      </c>
      <c r="N320">
        <v>81.698000000000008</v>
      </c>
      <c r="O320">
        <v>81.698000000000008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432.03000000000003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s="164">
        <v>40817</v>
      </c>
      <c r="AC320" s="164">
        <v>41639</v>
      </c>
      <c r="AD320" s="164">
        <v>41698</v>
      </c>
      <c r="AE320" s="34">
        <f>SUMPRODUCT(DB_STProjectsSOF[[#This Row],[Plan01]:[Plan12]],$D$4:$O$4)/valUnits2</f>
        <v>8.1698000000000007E-2</v>
      </c>
      <c r="AF320" s="34">
        <f>SUMPRODUCT(DB_STProjectsSOF[[#This Row],[Act01]:[Act12]],$P$4:$AA$4)/valUnits2</f>
        <v>0.43203000000000003</v>
      </c>
      <c r="AG320" s="34">
        <f>DB_STProjectsSOF[[#This Row],[Actual]]-DB_STProjectsSOF[[#This Row],[Plan]]</f>
        <v>0.35033200000000003</v>
      </c>
      <c r="AH320" s="34">
        <f>IF(DB_STProjectsSOF[[#This Row],[Plan]]&lt;&gt;0,DB_STProjectsSOF[[#This Row],[Actual]]/DB_STProjectsSOF[[#This Row],[Plan]],1.000011000011)</f>
        <v>5.2881343484540624</v>
      </c>
      <c r="AI320" s="34">
        <f>SUM(DB_STProjectsSOF[[#This Row],[Plan01]:[Plan12]])/valUnits2</f>
        <v>0.57188600000000001</v>
      </c>
      <c r="AJ320" s="34">
        <f>SUMPRODUCT(DB_STProjectsSOF[[#This Row],[Act01]:[Act12]],$P$3:$AA$3)/valUnits2</f>
        <v>0.43203000000000003</v>
      </c>
      <c r="AK320" s="34">
        <f>IF(DB_STProjectsSOF[[#This Row],[FY Plan]]&lt;&gt;0,DB_STProjectsSOF[[#This Row],[FY Actuals]]/DB_STProjectsSOF[[#This Row],[FY Plan]],1.000011000011)</f>
        <v>0.75544776406486613</v>
      </c>
    </row>
    <row r="321" spans="1:37" hidden="1" x14ac:dyDescent="0.2">
      <c r="A321">
        <f>SUBTOTAL(3,$B$6:B321)</f>
        <v>0</v>
      </c>
      <c r="B321" t="s">
        <v>959</v>
      </c>
      <c r="C321" t="s">
        <v>905</v>
      </c>
      <c r="D321">
        <v>7.36</v>
      </c>
      <c r="E321">
        <v>0</v>
      </c>
      <c r="F321">
        <v>0</v>
      </c>
      <c r="G321">
        <v>0</v>
      </c>
      <c r="H321">
        <v>-7.36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7.36</v>
      </c>
      <c r="Q321">
        <v>0</v>
      </c>
      <c r="R321">
        <v>0</v>
      </c>
      <c r="S321">
        <v>0</v>
      </c>
      <c r="T321">
        <v>-7.36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s="164">
        <v>40909</v>
      </c>
      <c r="AC321" s="164">
        <v>41274</v>
      </c>
      <c r="AD321" s="164">
        <v>41364</v>
      </c>
      <c r="AE321" s="34">
        <f>SUMPRODUCT(DB_STProjectsSOF[[#This Row],[Plan01]:[Plan12]],$D$4:$O$4)/valUnits2</f>
        <v>0</v>
      </c>
      <c r="AF321" s="34">
        <f>SUMPRODUCT(DB_STProjectsSOF[[#This Row],[Act01]:[Act12]],$P$4:$AA$4)/valUnits2</f>
        <v>0</v>
      </c>
      <c r="AG321" s="34">
        <f>DB_STProjectsSOF[[#This Row],[Actual]]-DB_STProjectsSOF[[#This Row],[Plan]]</f>
        <v>0</v>
      </c>
      <c r="AH321" s="34">
        <f>IF(DB_STProjectsSOF[[#This Row],[Plan]]&lt;&gt;0,DB_STProjectsSOF[[#This Row],[Actual]]/DB_STProjectsSOF[[#This Row],[Plan]],1.000011000011)</f>
        <v>1.0000110000110001</v>
      </c>
      <c r="AI321" s="34">
        <f>SUM(DB_STProjectsSOF[[#This Row],[Plan01]:[Plan12]])/valUnits2</f>
        <v>0</v>
      </c>
      <c r="AJ321" s="34">
        <f>SUMPRODUCT(DB_STProjectsSOF[[#This Row],[Act01]:[Act12]],$P$3:$AA$3)/valUnits2</f>
        <v>0</v>
      </c>
      <c r="AK321" s="34">
        <f>IF(DB_STProjectsSOF[[#This Row],[FY Plan]]&lt;&gt;0,DB_STProjectsSOF[[#This Row],[FY Actuals]]/DB_STProjectsSOF[[#This Row],[FY Plan]],1.000011000011)</f>
        <v>1.0000110000110001</v>
      </c>
    </row>
    <row r="322" spans="1:37" hidden="1" x14ac:dyDescent="0.2">
      <c r="A322">
        <f>SUBTOTAL(3,$B$6:B322)</f>
        <v>0</v>
      </c>
      <c r="B322" t="s">
        <v>959</v>
      </c>
      <c r="C322" t="s">
        <v>907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s="164">
        <v>40909</v>
      </c>
      <c r="AC322" s="164">
        <v>41274</v>
      </c>
      <c r="AD322" s="164">
        <v>41320</v>
      </c>
      <c r="AE322" s="34">
        <f>SUMPRODUCT(DB_STProjectsSOF[[#This Row],[Plan01]:[Plan12]],$D$4:$O$4)/valUnits2</f>
        <v>0</v>
      </c>
      <c r="AF322" s="34">
        <f>SUMPRODUCT(DB_STProjectsSOF[[#This Row],[Act01]:[Act12]],$P$4:$AA$4)/valUnits2</f>
        <v>0</v>
      </c>
      <c r="AG322" s="34">
        <f>DB_STProjectsSOF[[#This Row],[Actual]]-DB_STProjectsSOF[[#This Row],[Plan]]</f>
        <v>0</v>
      </c>
      <c r="AH322" s="34">
        <f>IF(DB_STProjectsSOF[[#This Row],[Plan]]&lt;&gt;0,DB_STProjectsSOF[[#This Row],[Actual]]/DB_STProjectsSOF[[#This Row],[Plan]],1.000011000011)</f>
        <v>1.0000110000110001</v>
      </c>
      <c r="AI322" s="34">
        <f>SUM(DB_STProjectsSOF[[#This Row],[Plan01]:[Plan12]])/valUnits2</f>
        <v>0</v>
      </c>
      <c r="AJ322" s="34">
        <f>SUMPRODUCT(DB_STProjectsSOF[[#This Row],[Act01]:[Act12]],$P$3:$AA$3)/valUnits2</f>
        <v>0</v>
      </c>
      <c r="AK322" s="34">
        <f>IF(DB_STProjectsSOF[[#This Row],[FY Plan]]&lt;&gt;0,DB_STProjectsSOF[[#This Row],[FY Actuals]]/DB_STProjectsSOF[[#This Row],[FY Plan]],1.000011000011)</f>
        <v>1.0000110000110001</v>
      </c>
    </row>
    <row r="323" spans="1:37" hidden="1" x14ac:dyDescent="0.2">
      <c r="A323">
        <f>SUBTOTAL(3,$B$6:B323)</f>
        <v>0</v>
      </c>
      <c r="B323" t="s">
        <v>959</v>
      </c>
      <c r="C323" t="s">
        <v>908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49.588999999999999</v>
      </c>
      <c r="J323">
        <v>49.588999999999999</v>
      </c>
      <c r="K323">
        <v>49.588999999999999</v>
      </c>
      <c r="L323">
        <v>49.588999999999999</v>
      </c>
      <c r="M323">
        <v>49.588999999999999</v>
      </c>
      <c r="N323">
        <v>49.588999999999999</v>
      </c>
      <c r="O323">
        <v>49.588999999999999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s="164">
        <v>40909</v>
      </c>
      <c r="AC323" s="164">
        <v>42003</v>
      </c>
      <c r="AD323" s="164">
        <v>42063</v>
      </c>
      <c r="AE323" s="34">
        <f>SUMPRODUCT(DB_STProjectsSOF[[#This Row],[Plan01]:[Plan12]],$D$4:$O$4)/valUnits2</f>
        <v>4.9589000000000001E-2</v>
      </c>
      <c r="AF323" s="34">
        <f>SUMPRODUCT(DB_STProjectsSOF[[#This Row],[Act01]:[Act12]],$P$4:$AA$4)/valUnits2</f>
        <v>0</v>
      </c>
      <c r="AG323" s="34">
        <f>DB_STProjectsSOF[[#This Row],[Actual]]-DB_STProjectsSOF[[#This Row],[Plan]]</f>
        <v>-4.9589000000000001E-2</v>
      </c>
      <c r="AH323" s="34">
        <f>IF(DB_STProjectsSOF[[#This Row],[Plan]]&lt;&gt;0,DB_STProjectsSOF[[#This Row],[Actual]]/DB_STProjectsSOF[[#This Row],[Plan]],1.000011000011)</f>
        <v>0</v>
      </c>
      <c r="AI323" s="34">
        <f>SUM(DB_STProjectsSOF[[#This Row],[Plan01]:[Plan12]])/valUnits2</f>
        <v>0.34712300000000001</v>
      </c>
      <c r="AJ323" s="34">
        <f>SUMPRODUCT(DB_STProjectsSOF[[#This Row],[Act01]:[Act12]],$P$3:$AA$3)/valUnits2</f>
        <v>0</v>
      </c>
      <c r="AK323" s="34">
        <f>IF(DB_STProjectsSOF[[#This Row],[FY Plan]]&lt;&gt;0,DB_STProjectsSOF[[#This Row],[FY Actuals]]/DB_STProjectsSOF[[#This Row],[FY Plan]],1.000011000011)</f>
        <v>0</v>
      </c>
    </row>
    <row r="324" spans="1:37" hidden="1" x14ac:dyDescent="0.2">
      <c r="A324">
        <f>SUBTOTAL(3,$B$6:B324)</f>
        <v>0</v>
      </c>
      <c r="B324" t="s">
        <v>959</v>
      </c>
      <c r="C324" t="s">
        <v>909</v>
      </c>
      <c r="D324">
        <v>1480.4</v>
      </c>
      <c r="E324">
        <v>531.71</v>
      </c>
      <c r="F324">
        <v>615.61</v>
      </c>
      <c r="G324">
        <v>3189.09</v>
      </c>
      <c r="H324">
        <v>2360.66</v>
      </c>
      <c r="I324">
        <v>200</v>
      </c>
      <c r="J324">
        <v>200</v>
      </c>
      <c r="K324">
        <v>200</v>
      </c>
      <c r="L324">
        <v>200</v>
      </c>
      <c r="M324">
        <v>200</v>
      </c>
      <c r="N324">
        <v>200</v>
      </c>
      <c r="O324">
        <v>200</v>
      </c>
      <c r="P324">
        <v>1480.3999999999999</v>
      </c>
      <c r="Q324">
        <v>531.70999999999992</v>
      </c>
      <c r="R324">
        <v>615.61</v>
      </c>
      <c r="S324">
        <v>3189.09</v>
      </c>
      <c r="T324">
        <v>2360.66</v>
      </c>
      <c r="U324">
        <v>2473.9299999999998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s="164">
        <v>40817</v>
      </c>
      <c r="AC324" s="164">
        <v>42155</v>
      </c>
      <c r="AD324" s="164">
        <v>42217</v>
      </c>
      <c r="AE324" s="34">
        <f>SUMPRODUCT(DB_STProjectsSOF[[#This Row],[Plan01]:[Plan12]],$D$4:$O$4)/valUnits2</f>
        <v>8.3774700000000006</v>
      </c>
      <c r="AF324" s="34">
        <f>SUMPRODUCT(DB_STProjectsSOF[[#This Row],[Act01]:[Act12]],$P$4:$AA$4)/valUnits2</f>
        <v>10.651399999999999</v>
      </c>
      <c r="AG324" s="34">
        <f>DB_STProjectsSOF[[#This Row],[Actual]]-DB_STProjectsSOF[[#This Row],[Plan]]</f>
        <v>2.2739299999999982</v>
      </c>
      <c r="AH324" s="34">
        <f>IF(DB_STProjectsSOF[[#This Row],[Plan]]&lt;&gt;0,DB_STProjectsSOF[[#This Row],[Actual]]/DB_STProjectsSOF[[#This Row],[Plan]],1.000011000011)</f>
        <v>1.2714339770837733</v>
      </c>
      <c r="AI324" s="34">
        <f>SUM(DB_STProjectsSOF[[#This Row],[Plan01]:[Plan12]])/valUnits2</f>
        <v>9.5774700000000017</v>
      </c>
      <c r="AJ324" s="34">
        <f>SUMPRODUCT(DB_STProjectsSOF[[#This Row],[Act01]:[Act12]],$P$3:$AA$3)/valUnits2</f>
        <v>10.651399999999999</v>
      </c>
      <c r="AK324" s="34">
        <f>IF(DB_STProjectsSOF[[#This Row],[FY Plan]]&lt;&gt;0,DB_STProjectsSOF[[#This Row],[FY Actuals]]/DB_STProjectsSOF[[#This Row],[FY Plan]],1.000011000011)</f>
        <v>1.1121308654582052</v>
      </c>
    </row>
    <row r="325" spans="1:37" hidden="1" x14ac:dyDescent="0.2">
      <c r="A325">
        <f>SUBTOTAL(3,$B$6:B325)</f>
        <v>0</v>
      </c>
      <c r="B325" t="s">
        <v>959</v>
      </c>
      <c r="C325" t="s">
        <v>910</v>
      </c>
      <c r="E325">
        <v>581.47</v>
      </c>
      <c r="F325">
        <v>521.39</v>
      </c>
      <c r="Q325">
        <v>581.47</v>
      </c>
      <c r="R325">
        <v>521.39</v>
      </c>
      <c r="AB325" s="164">
        <v>40817</v>
      </c>
      <c r="AC325" s="164">
        <v>41356</v>
      </c>
      <c r="AD325" s="164">
        <v>41425</v>
      </c>
      <c r="AE325" s="34">
        <f>SUMPRODUCT(DB_STProjectsSOF[[#This Row],[Plan01]:[Plan12]],$D$4:$O$4)/valUnits2</f>
        <v>1.1028600000000002</v>
      </c>
      <c r="AF325" s="34">
        <f>SUMPRODUCT(DB_STProjectsSOF[[#This Row],[Act01]:[Act12]],$P$4:$AA$4)/valUnits2</f>
        <v>1.1028600000000002</v>
      </c>
      <c r="AG325" s="34">
        <f>DB_STProjectsSOF[[#This Row],[Actual]]-DB_STProjectsSOF[[#This Row],[Plan]]</f>
        <v>0</v>
      </c>
      <c r="AH325" s="34">
        <f>IF(DB_STProjectsSOF[[#This Row],[Plan]]&lt;&gt;0,DB_STProjectsSOF[[#This Row],[Actual]]/DB_STProjectsSOF[[#This Row],[Plan]],1.000011000011)</f>
        <v>1</v>
      </c>
      <c r="AI325" s="34">
        <f>SUM(DB_STProjectsSOF[[#This Row],[Plan01]:[Plan12]])/valUnits2</f>
        <v>1.1028600000000002</v>
      </c>
      <c r="AJ325" s="34">
        <f>SUMPRODUCT(DB_STProjectsSOF[[#This Row],[Act01]:[Act12]],$P$3:$AA$3)/valUnits2</f>
        <v>1.1028600000000002</v>
      </c>
      <c r="AK325" s="34">
        <f>IF(DB_STProjectsSOF[[#This Row],[FY Plan]]&lt;&gt;0,DB_STProjectsSOF[[#This Row],[FY Actuals]]/DB_STProjectsSOF[[#This Row],[FY Plan]],1.000011000011)</f>
        <v>1</v>
      </c>
    </row>
    <row r="326" spans="1:37" hidden="1" x14ac:dyDescent="0.2">
      <c r="A326">
        <f>SUBTOTAL(3,$B$6:B326)</f>
        <v>0</v>
      </c>
      <c r="B326" t="s">
        <v>959</v>
      </c>
      <c r="C326" t="s">
        <v>354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594.70799999999997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B326" s="164">
        <v>41091</v>
      </c>
      <c r="AC326" s="164">
        <v>41455</v>
      </c>
      <c r="AD326" s="164">
        <v>41517</v>
      </c>
      <c r="AE326" s="34">
        <f>SUMPRODUCT(DB_STProjectsSOF[[#This Row],[Plan01]:[Plan12]],$D$4:$O$4)/valUnits2</f>
        <v>0.59470800000000001</v>
      </c>
      <c r="AF326" s="34">
        <f>SUMPRODUCT(DB_STProjectsSOF[[#This Row],[Act01]:[Act12]],$P$4:$AA$4)/valUnits2</f>
        <v>0</v>
      </c>
      <c r="AG326" s="34">
        <f>DB_STProjectsSOF[[#This Row],[Actual]]-DB_STProjectsSOF[[#This Row],[Plan]]</f>
        <v>-0.59470800000000001</v>
      </c>
      <c r="AH326" s="34">
        <f>IF(DB_STProjectsSOF[[#This Row],[Plan]]&lt;&gt;0,DB_STProjectsSOF[[#This Row],[Actual]]/DB_STProjectsSOF[[#This Row],[Plan]],1.000011000011)</f>
        <v>0</v>
      </c>
      <c r="AI326" s="34">
        <f>SUM(DB_STProjectsSOF[[#This Row],[Plan01]:[Plan12]])/valUnits2</f>
        <v>0.59470800000000001</v>
      </c>
      <c r="AJ326" s="34">
        <f>SUMPRODUCT(DB_STProjectsSOF[[#This Row],[Act01]:[Act12]],$P$3:$AA$3)/valUnits2</f>
        <v>0</v>
      </c>
      <c r="AK326" s="34">
        <f>IF(DB_STProjectsSOF[[#This Row],[FY Plan]]&lt;&gt;0,DB_STProjectsSOF[[#This Row],[FY Actuals]]/DB_STProjectsSOF[[#This Row],[FY Plan]],1.000011000011)</f>
        <v>0</v>
      </c>
    </row>
    <row r="327" spans="1:37" hidden="1" x14ac:dyDescent="0.2">
      <c r="A327">
        <f>SUBTOTAL(3,$B$6:B327)</f>
        <v>0</v>
      </c>
      <c r="B327" t="s">
        <v>959</v>
      </c>
      <c r="C327" t="s">
        <v>911</v>
      </c>
      <c r="D327">
        <v>570.41</v>
      </c>
      <c r="E327">
        <v>2725.15</v>
      </c>
      <c r="F327">
        <v>1312.38</v>
      </c>
      <c r="G327">
        <v>1751.73</v>
      </c>
      <c r="H327">
        <v>1225.73</v>
      </c>
      <c r="I327">
        <v>0</v>
      </c>
      <c r="J327">
        <v>0</v>
      </c>
      <c r="K327">
        <v>0</v>
      </c>
      <c r="L327">
        <v>0</v>
      </c>
      <c r="M327">
        <v>0</v>
      </c>
      <c r="P327">
        <v>570.41000000000008</v>
      </c>
      <c r="Q327">
        <v>2725.15</v>
      </c>
      <c r="R327">
        <v>1312.38</v>
      </c>
      <c r="S327">
        <v>1751.73</v>
      </c>
      <c r="T327">
        <v>1225.73</v>
      </c>
      <c r="U327">
        <v>865.65000000000009</v>
      </c>
      <c r="V327">
        <v>0</v>
      </c>
      <c r="W327">
        <v>0</v>
      </c>
      <c r="X327">
        <v>0</v>
      </c>
      <c r="Y327">
        <v>0</v>
      </c>
      <c r="AB327" s="164">
        <v>40817</v>
      </c>
      <c r="AC327" s="164">
        <v>41578</v>
      </c>
      <c r="AD327" s="164">
        <v>41639</v>
      </c>
      <c r="AE327" s="34">
        <f>SUMPRODUCT(DB_STProjectsSOF[[#This Row],[Plan01]:[Plan12]],$D$4:$O$4)/valUnits2</f>
        <v>7.5853999999999999</v>
      </c>
      <c r="AF327" s="34">
        <f>SUMPRODUCT(DB_STProjectsSOF[[#This Row],[Act01]:[Act12]],$P$4:$AA$4)/valUnits2</f>
        <v>8.4510499999999986</v>
      </c>
      <c r="AG327" s="34">
        <f>DB_STProjectsSOF[[#This Row],[Actual]]-DB_STProjectsSOF[[#This Row],[Plan]]</f>
        <v>0.8656499999999987</v>
      </c>
      <c r="AH327" s="34">
        <f>IF(DB_STProjectsSOF[[#This Row],[Plan]]&lt;&gt;0,DB_STProjectsSOF[[#This Row],[Actual]]/DB_STProjectsSOF[[#This Row],[Plan]],1.000011000011)</f>
        <v>1.1141205473673108</v>
      </c>
      <c r="AI327" s="34">
        <f>SUM(DB_STProjectsSOF[[#This Row],[Plan01]:[Plan12]])/valUnits2</f>
        <v>7.5853999999999999</v>
      </c>
      <c r="AJ327" s="34">
        <f>SUMPRODUCT(DB_STProjectsSOF[[#This Row],[Act01]:[Act12]],$P$3:$AA$3)/valUnits2</f>
        <v>8.4510499999999986</v>
      </c>
      <c r="AK327" s="34">
        <f>IF(DB_STProjectsSOF[[#This Row],[FY Plan]]&lt;&gt;0,DB_STProjectsSOF[[#This Row],[FY Actuals]]/DB_STProjectsSOF[[#This Row],[FY Plan]],1.000011000011)</f>
        <v>1.1141205473673108</v>
      </c>
    </row>
    <row r="328" spans="1:37" hidden="1" x14ac:dyDescent="0.2">
      <c r="A328">
        <f>SUBTOTAL(3,$B$6:B328)</f>
        <v>0</v>
      </c>
      <c r="B328" t="s">
        <v>959</v>
      </c>
      <c r="C328" t="s">
        <v>913</v>
      </c>
      <c r="D328">
        <v>0</v>
      </c>
      <c r="E328">
        <v>0</v>
      </c>
      <c r="F328">
        <v>0</v>
      </c>
      <c r="G328">
        <v>612.58299999999997</v>
      </c>
      <c r="H328">
        <v>705.08</v>
      </c>
      <c r="I328">
        <v>168.452</v>
      </c>
      <c r="J328">
        <v>168.452</v>
      </c>
      <c r="K328">
        <v>168.452</v>
      </c>
      <c r="L328">
        <v>168.452</v>
      </c>
      <c r="M328">
        <v>168.452</v>
      </c>
      <c r="N328">
        <v>168.452</v>
      </c>
      <c r="O328">
        <v>168.452</v>
      </c>
      <c r="P328">
        <v>0</v>
      </c>
      <c r="Q328">
        <v>0</v>
      </c>
      <c r="R328">
        <v>0</v>
      </c>
      <c r="S328">
        <v>609.09</v>
      </c>
      <c r="T328">
        <v>700.88</v>
      </c>
      <c r="U328">
        <v>1388.3400000000001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s="164">
        <v>40817</v>
      </c>
      <c r="AC328" s="164">
        <v>41639</v>
      </c>
      <c r="AD328" s="164">
        <v>41685</v>
      </c>
      <c r="AE328" s="34">
        <f>SUMPRODUCT(DB_STProjectsSOF[[#This Row],[Plan01]:[Plan12]],$D$4:$O$4)/valUnits2</f>
        <v>1.4861150000000001</v>
      </c>
      <c r="AF328" s="34">
        <f>SUMPRODUCT(DB_STProjectsSOF[[#This Row],[Act01]:[Act12]],$P$4:$AA$4)/valUnits2</f>
        <v>2.6983100000000002</v>
      </c>
      <c r="AG328" s="34">
        <f>DB_STProjectsSOF[[#This Row],[Actual]]-DB_STProjectsSOF[[#This Row],[Plan]]</f>
        <v>1.2121950000000001</v>
      </c>
      <c r="AH328" s="34">
        <f>IF(DB_STProjectsSOF[[#This Row],[Plan]]&lt;&gt;0,DB_STProjectsSOF[[#This Row],[Actual]]/DB_STProjectsSOF[[#This Row],[Plan]],1.000011000011)</f>
        <v>1.8156804823314481</v>
      </c>
      <c r="AI328" s="34">
        <f>SUM(DB_STProjectsSOF[[#This Row],[Plan01]:[Plan12]])/valUnits2</f>
        <v>2.4968270000000001</v>
      </c>
      <c r="AJ328" s="34">
        <f>SUMPRODUCT(DB_STProjectsSOF[[#This Row],[Act01]:[Act12]],$P$3:$AA$3)/valUnits2</f>
        <v>2.6983100000000002</v>
      </c>
      <c r="AK328" s="34">
        <f>IF(DB_STProjectsSOF[[#This Row],[FY Plan]]&lt;&gt;0,DB_STProjectsSOF[[#This Row],[FY Actuals]]/DB_STProjectsSOF[[#This Row],[FY Plan]],1.000011000011)</f>
        <v>1.0806956188794818</v>
      </c>
    </row>
    <row r="329" spans="1:37" hidden="1" x14ac:dyDescent="0.2">
      <c r="A329">
        <f>SUBTOTAL(3,$B$6:B329)</f>
        <v>0</v>
      </c>
      <c r="B329" t="s">
        <v>959</v>
      </c>
      <c r="C329" t="s">
        <v>915</v>
      </c>
      <c r="D329">
        <v>0</v>
      </c>
      <c r="E329">
        <v>0</v>
      </c>
      <c r="F329">
        <v>0</v>
      </c>
      <c r="G329">
        <v>0</v>
      </c>
      <c r="H329">
        <v>812.30200000000002</v>
      </c>
      <c r="I329">
        <v>87.908000000000001</v>
      </c>
      <c r="J329">
        <v>87.908000000000001</v>
      </c>
      <c r="K329">
        <v>87.908000000000001</v>
      </c>
      <c r="L329">
        <v>87.908000000000001</v>
      </c>
      <c r="M329">
        <v>87.908000000000001</v>
      </c>
      <c r="N329">
        <v>87.908000000000001</v>
      </c>
      <c r="O329">
        <v>87.908000000000001</v>
      </c>
      <c r="P329">
        <v>0</v>
      </c>
      <c r="Q329">
        <v>0</v>
      </c>
      <c r="R329">
        <v>0</v>
      </c>
      <c r="S329">
        <v>0</v>
      </c>
      <c r="T329">
        <v>819.98</v>
      </c>
      <c r="U329">
        <v>909.14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s="164">
        <v>41061</v>
      </c>
      <c r="AC329" s="164">
        <v>42155</v>
      </c>
      <c r="AD329" s="164">
        <v>42185</v>
      </c>
      <c r="AE329" s="34">
        <f>SUMPRODUCT(DB_STProjectsSOF[[#This Row],[Plan01]:[Plan12]],$D$4:$O$4)/valUnits2</f>
        <v>0.90021000000000007</v>
      </c>
      <c r="AF329" s="34">
        <f>SUMPRODUCT(DB_STProjectsSOF[[#This Row],[Act01]:[Act12]],$P$4:$AA$4)/valUnits2</f>
        <v>1.72912</v>
      </c>
      <c r="AG329" s="34">
        <f>DB_STProjectsSOF[[#This Row],[Actual]]-DB_STProjectsSOF[[#This Row],[Plan]]</f>
        <v>0.82890999999999992</v>
      </c>
      <c r="AH329" s="34">
        <f>IF(DB_STProjectsSOF[[#This Row],[Plan]]&lt;&gt;0,DB_STProjectsSOF[[#This Row],[Actual]]/DB_STProjectsSOF[[#This Row],[Plan]],1.000011000011)</f>
        <v>1.9207962586507592</v>
      </c>
      <c r="AI329" s="34">
        <f>SUM(DB_STProjectsSOF[[#This Row],[Plan01]:[Plan12]])/valUnits2</f>
        <v>1.4276579999999996</v>
      </c>
      <c r="AJ329" s="34">
        <f>SUMPRODUCT(DB_STProjectsSOF[[#This Row],[Act01]:[Act12]],$P$3:$AA$3)/valUnits2</f>
        <v>1.72912</v>
      </c>
      <c r="AK329" s="34">
        <f>IF(DB_STProjectsSOF[[#This Row],[FY Plan]]&lt;&gt;0,DB_STProjectsSOF[[#This Row],[FY Actuals]]/DB_STProjectsSOF[[#This Row],[FY Plan]],1.000011000011)</f>
        <v>1.2111584146903533</v>
      </c>
    </row>
    <row r="330" spans="1:37" hidden="1" x14ac:dyDescent="0.2">
      <c r="A330">
        <f>SUBTOTAL(3,$B$6:B330)</f>
        <v>0</v>
      </c>
      <c r="B330" t="s">
        <v>959</v>
      </c>
      <c r="C330" t="s">
        <v>356</v>
      </c>
      <c r="G330">
        <v>0</v>
      </c>
      <c r="H330">
        <v>0</v>
      </c>
      <c r="I330">
        <v>756.41599999999994</v>
      </c>
      <c r="S330">
        <v>0</v>
      </c>
      <c r="T330">
        <v>0</v>
      </c>
      <c r="U330">
        <v>0</v>
      </c>
      <c r="AB330" s="164">
        <v>41091</v>
      </c>
      <c r="AC330" s="164">
        <v>41455</v>
      </c>
      <c r="AD330" s="164">
        <v>41547</v>
      </c>
      <c r="AE330" s="34">
        <f>SUMPRODUCT(DB_STProjectsSOF[[#This Row],[Plan01]:[Plan12]],$D$4:$O$4)/valUnits2</f>
        <v>0.75641599999999998</v>
      </c>
      <c r="AF330" s="34">
        <f>SUMPRODUCT(DB_STProjectsSOF[[#This Row],[Act01]:[Act12]],$P$4:$AA$4)/valUnits2</f>
        <v>0</v>
      </c>
      <c r="AG330" s="34">
        <f>DB_STProjectsSOF[[#This Row],[Actual]]-DB_STProjectsSOF[[#This Row],[Plan]]</f>
        <v>-0.75641599999999998</v>
      </c>
      <c r="AH330" s="34">
        <f>IF(DB_STProjectsSOF[[#This Row],[Plan]]&lt;&gt;0,DB_STProjectsSOF[[#This Row],[Actual]]/DB_STProjectsSOF[[#This Row],[Plan]],1.000011000011)</f>
        <v>0</v>
      </c>
      <c r="AI330" s="34">
        <f>SUM(DB_STProjectsSOF[[#This Row],[Plan01]:[Plan12]])/valUnits2</f>
        <v>0.75641599999999998</v>
      </c>
      <c r="AJ330" s="34">
        <f>SUMPRODUCT(DB_STProjectsSOF[[#This Row],[Act01]:[Act12]],$P$3:$AA$3)/valUnits2</f>
        <v>0</v>
      </c>
      <c r="AK330" s="34">
        <f>IF(DB_STProjectsSOF[[#This Row],[FY Plan]]&lt;&gt;0,DB_STProjectsSOF[[#This Row],[FY Actuals]]/DB_STProjectsSOF[[#This Row],[FY Plan]],1.000011000011)</f>
        <v>0</v>
      </c>
    </row>
    <row r="331" spans="1:37" hidden="1" x14ac:dyDescent="0.2">
      <c r="A331">
        <f>SUBTOTAL(3,$B$6:B331)</f>
        <v>0</v>
      </c>
      <c r="B331" t="s">
        <v>959</v>
      </c>
      <c r="C331" t="s">
        <v>919</v>
      </c>
      <c r="D331">
        <v>0</v>
      </c>
      <c r="E331">
        <v>1034.3209999999999</v>
      </c>
      <c r="F331">
        <v>1230.154</v>
      </c>
      <c r="G331">
        <v>7685.2150000000001</v>
      </c>
      <c r="H331">
        <v>2026.375</v>
      </c>
      <c r="I331">
        <v>3303.1480000000001</v>
      </c>
      <c r="J331">
        <v>3303.1479999999997</v>
      </c>
      <c r="K331">
        <v>3303.1480000000001</v>
      </c>
      <c r="L331">
        <v>3303.1479999999997</v>
      </c>
      <c r="M331">
        <v>3303.1479999999997</v>
      </c>
      <c r="N331">
        <v>3303.1480000000001</v>
      </c>
      <c r="O331">
        <v>3303.1479999999997</v>
      </c>
      <c r="P331">
        <v>0</v>
      </c>
      <c r="Q331">
        <v>1056.01</v>
      </c>
      <c r="R331">
        <v>1241.29</v>
      </c>
      <c r="S331">
        <v>7689.04</v>
      </c>
      <c r="T331">
        <v>2001.8100000000002</v>
      </c>
      <c r="U331">
        <v>2451.66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s="164">
        <v>40878</v>
      </c>
      <c r="AC331" s="164">
        <v>42794</v>
      </c>
      <c r="AD331" s="164">
        <v>42978</v>
      </c>
      <c r="AE331" s="34">
        <f>SUMPRODUCT(DB_STProjectsSOF[[#This Row],[Plan01]:[Plan12]],$D$4:$O$4)/valUnits2</f>
        <v>15.279213</v>
      </c>
      <c r="AF331" s="34">
        <f>SUMPRODUCT(DB_STProjectsSOF[[#This Row],[Act01]:[Act12]],$P$4:$AA$4)/valUnits2</f>
        <v>14.43981</v>
      </c>
      <c r="AG331" s="34">
        <f>DB_STProjectsSOF[[#This Row],[Actual]]-DB_STProjectsSOF[[#This Row],[Plan]]</f>
        <v>-0.83940300000000079</v>
      </c>
      <c r="AH331" s="34">
        <f>IF(DB_STProjectsSOF[[#This Row],[Plan]]&lt;&gt;0,DB_STProjectsSOF[[#This Row],[Actual]]/DB_STProjectsSOF[[#This Row],[Plan]],1.000011000011)</f>
        <v>0.94506241911805267</v>
      </c>
      <c r="AI331" s="34">
        <f>SUM(DB_STProjectsSOF[[#This Row],[Plan01]:[Plan12]])/valUnits2</f>
        <v>35.098101</v>
      </c>
      <c r="AJ331" s="34">
        <f>SUMPRODUCT(DB_STProjectsSOF[[#This Row],[Act01]:[Act12]],$P$3:$AA$3)/valUnits2</f>
        <v>14.43981</v>
      </c>
      <c r="AK331" s="34">
        <f>IF(DB_STProjectsSOF[[#This Row],[FY Plan]]&lt;&gt;0,DB_STProjectsSOF[[#This Row],[FY Actuals]]/DB_STProjectsSOF[[#This Row],[FY Plan]],1.000011000011)</f>
        <v>0.41141285678105488</v>
      </c>
    </row>
    <row r="332" spans="1:37" hidden="1" x14ac:dyDescent="0.2">
      <c r="A332">
        <f>SUBTOTAL(3,$B$6:B332)</f>
        <v>0</v>
      </c>
      <c r="B332" t="s">
        <v>959</v>
      </c>
      <c r="C332" t="s">
        <v>921</v>
      </c>
      <c r="D332">
        <v>0</v>
      </c>
      <c r="E332">
        <v>586.76400000000001</v>
      </c>
      <c r="F332">
        <v>683.49900000000002</v>
      </c>
      <c r="H332">
        <v>352.012</v>
      </c>
      <c r="P332">
        <v>0</v>
      </c>
      <c r="Q332">
        <v>586.76</v>
      </c>
      <c r="R332">
        <v>679.07</v>
      </c>
      <c r="T332">
        <v>353.68</v>
      </c>
      <c r="AB332" s="164">
        <v>40909</v>
      </c>
      <c r="AC332" s="164">
        <v>41363</v>
      </c>
      <c r="AD332" s="164">
        <v>41389</v>
      </c>
      <c r="AE332" s="34">
        <f>SUMPRODUCT(DB_STProjectsSOF[[#This Row],[Plan01]:[Plan12]],$D$4:$O$4)/valUnits2</f>
        <v>1.6222749999999999</v>
      </c>
      <c r="AF332" s="34">
        <f>SUMPRODUCT(DB_STProjectsSOF[[#This Row],[Act01]:[Act12]],$P$4:$AA$4)/valUnits2</f>
        <v>1.61951</v>
      </c>
      <c r="AG332" s="34">
        <f>DB_STProjectsSOF[[#This Row],[Actual]]-DB_STProjectsSOF[[#This Row],[Plan]]</f>
        <v>-2.7649999999999064E-3</v>
      </c>
      <c r="AH332" s="34">
        <f>IF(DB_STProjectsSOF[[#This Row],[Plan]]&lt;&gt;0,DB_STProjectsSOF[[#This Row],[Actual]]/DB_STProjectsSOF[[#This Row],[Plan]],1.000011000011)</f>
        <v>0.99829560339646495</v>
      </c>
      <c r="AI332" s="34">
        <f>SUM(DB_STProjectsSOF[[#This Row],[Plan01]:[Plan12]])/valUnits2</f>
        <v>1.6222749999999999</v>
      </c>
      <c r="AJ332" s="34">
        <f>SUMPRODUCT(DB_STProjectsSOF[[#This Row],[Act01]:[Act12]],$P$3:$AA$3)/valUnits2</f>
        <v>1.61951</v>
      </c>
      <c r="AK332" s="34">
        <f>IF(DB_STProjectsSOF[[#This Row],[FY Plan]]&lt;&gt;0,DB_STProjectsSOF[[#This Row],[FY Actuals]]/DB_STProjectsSOF[[#This Row],[FY Plan]],1.000011000011)</f>
        <v>0.99829560339646495</v>
      </c>
    </row>
    <row r="333" spans="1:37" hidden="1" x14ac:dyDescent="0.2">
      <c r="A333">
        <f>SUBTOTAL(3,$B$6:B333)</f>
        <v>0</v>
      </c>
      <c r="B333" t="s">
        <v>959</v>
      </c>
      <c r="C333" t="s">
        <v>922</v>
      </c>
      <c r="D333">
        <v>0</v>
      </c>
      <c r="E333">
        <v>123.95099999999999</v>
      </c>
      <c r="F333">
        <v>156.87</v>
      </c>
      <c r="G333">
        <v>843.38800000000003</v>
      </c>
      <c r="H333">
        <v>337.50099999999998</v>
      </c>
      <c r="I333">
        <v>257.81799999999998</v>
      </c>
      <c r="J333">
        <v>257.81799999999998</v>
      </c>
      <c r="K333">
        <v>257.81799999999998</v>
      </c>
      <c r="L333">
        <v>257.81799999999998</v>
      </c>
      <c r="M333">
        <v>257.81799999999998</v>
      </c>
      <c r="N333">
        <v>257.81799999999998</v>
      </c>
      <c r="O333">
        <v>257.81799999999998</v>
      </c>
      <c r="P333">
        <v>0</v>
      </c>
      <c r="Q333">
        <v>126.55</v>
      </c>
      <c r="R333">
        <v>158.29</v>
      </c>
      <c r="S333">
        <v>844.44999999999993</v>
      </c>
      <c r="T333">
        <v>333.40999999999997</v>
      </c>
      <c r="U333">
        <v>395.32000000000005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s="164">
        <v>41000</v>
      </c>
      <c r="AC333" s="164">
        <v>41989</v>
      </c>
      <c r="AD333" s="164">
        <v>42078</v>
      </c>
      <c r="AE333" s="34">
        <f>SUMPRODUCT(DB_STProjectsSOF[[#This Row],[Plan01]:[Plan12]],$D$4:$O$4)/valUnits2</f>
        <v>1.7195279999999999</v>
      </c>
      <c r="AF333" s="34">
        <f>SUMPRODUCT(DB_STProjectsSOF[[#This Row],[Act01]:[Act12]],$P$4:$AA$4)/valUnits2</f>
        <v>1.85802</v>
      </c>
      <c r="AG333" s="34">
        <f>DB_STProjectsSOF[[#This Row],[Actual]]-DB_STProjectsSOF[[#This Row],[Plan]]</f>
        <v>0.13849200000000006</v>
      </c>
      <c r="AH333" s="34">
        <f>IF(DB_STProjectsSOF[[#This Row],[Plan]]&lt;&gt;0,DB_STProjectsSOF[[#This Row],[Actual]]/DB_STProjectsSOF[[#This Row],[Plan]],1.000011000011)</f>
        <v>1.0805407065194634</v>
      </c>
      <c r="AI333" s="34">
        <f>SUM(DB_STProjectsSOF[[#This Row],[Plan01]:[Plan12]])/valUnits2</f>
        <v>3.2664360000000006</v>
      </c>
      <c r="AJ333" s="34">
        <f>SUMPRODUCT(DB_STProjectsSOF[[#This Row],[Act01]:[Act12]],$P$3:$AA$3)/valUnits2</f>
        <v>1.85802</v>
      </c>
      <c r="AK333" s="34">
        <f>IF(DB_STProjectsSOF[[#This Row],[FY Plan]]&lt;&gt;0,DB_STProjectsSOF[[#This Row],[FY Actuals]]/DB_STProjectsSOF[[#This Row],[FY Plan]],1.000011000011)</f>
        <v>0.56882179843719571</v>
      </c>
    </row>
    <row r="334" spans="1:37" hidden="1" x14ac:dyDescent="0.2">
      <c r="A334">
        <f>SUBTOTAL(3,$B$6:B334)</f>
        <v>0</v>
      </c>
      <c r="B334" t="s">
        <v>959</v>
      </c>
      <c r="C334" t="s">
        <v>924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369.08800000000002</v>
      </c>
      <c r="J334">
        <v>369.08800000000002</v>
      </c>
      <c r="K334">
        <v>369.08800000000002</v>
      </c>
      <c r="L334">
        <v>369.08800000000002</v>
      </c>
      <c r="M334">
        <v>369.08800000000002</v>
      </c>
      <c r="N334">
        <v>369.08800000000002</v>
      </c>
      <c r="O334">
        <v>369.08800000000002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s="164">
        <v>40817</v>
      </c>
      <c r="AC334" s="164">
        <v>41639</v>
      </c>
      <c r="AD334" s="164">
        <v>41685</v>
      </c>
      <c r="AE334" s="34">
        <f>SUMPRODUCT(DB_STProjectsSOF[[#This Row],[Plan01]:[Plan12]],$D$4:$O$4)/valUnits2</f>
        <v>0.36908800000000003</v>
      </c>
      <c r="AF334" s="34">
        <f>SUMPRODUCT(DB_STProjectsSOF[[#This Row],[Act01]:[Act12]],$P$4:$AA$4)/valUnits2</f>
        <v>0</v>
      </c>
      <c r="AG334" s="34">
        <f>DB_STProjectsSOF[[#This Row],[Actual]]-DB_STProjectsSOF[[#This Row],[Plan]]</f>
        <v>-0.36908800000000003</v>
      </c>
      <c r="AH334" s="34">
        <f>IF(DB_STProjectsSOF[[#This Row],[Plan]]&lt;&gt;0,DB_STProjectsSOF[[#This Row],[Actual]]/DB_STProjectsSOF[[#This Row],[Plan]],1.000011000011)</f>
        <v>0</v>
      </c>
      <c r="AI334" s="34">
        <f>SUM(DB_STProjectsSOF[[#This Row],[Plan01]:[Plan12]])/valUnits2</f>
        <v>2.5836160000000006</v>
      </c>
      <c r="AJ334" s="34">
        <f>SUMPRODUCT(DB_STProjectsSOF[[#This Row],[Act01]:[Act12]],$P$3:$AA$3)/valUnits2</f>
        <v>0</v>
      </c>
      <c r="AK334" s="34">
        <f>IF(DB_STProjectsSOF[[#This Row],[FY Plan]]&lt;&gt;0,DB_STProjectsSOF[[#This Row],[FY Actuals]]/DB_STProjectsSOF[[#This Row],[FY Plan]],1.000011000011)</f>
        <v>0</v>
      </c>
    </row>
    <row r="335" spans="1:37" hidden="1" x14ac:dyDescent="0.2">
      <c r="A335">
        <f>SUBTOTAL(3,$B$6:B335)</f>
        <v>0</v>
      </c>
      <c r="B335" t="s">
        <v>959</v>
      </c>
      <c r="C335" t="s">
        <v>925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s="164">
        <v>40909</v>
      </c>
      <c r="AC335" s="164">
        <v>41639</v>
      </c>
      <c r="AD335" s="164">
        <v>41713</v>
      </c>
      <c r="AE335" s="34">
        <f>SUMPRODUCT(DB_STProjectsSOF[[#This Row],[Plan01]:[Plan12]],$D$4:$O$4)/valUnits2</f>
        <v>0</v>
      </c>
      <c r="AF335" s="34">
        <f>SUMPRODUCT(DB_STProjectsSOF[[#This Row],[Act01]:[Act12]],$P$4:$AA$4)/valUnits2</f>
        <v>0</v>
      </c>
      <c r="AG335" s="34">
        <f>DB_STProjectsSOF[[#This Row],[Actual]]-DB_STProjectsSOF[[#This Row],[Plan]]</f>
        <v>0</v>
      </c>
      <c r="AH335" s="34">
        <f>IF(DB_STProjectsSOF[[#This Row],[Plan]]&lt;&gt;0,DB_STProjectsSOF[[#This Row],[Actual]]/DB_STProjectsSOF[[#This Row],[Plan]],1.000011000011)</f>
        <v>1.0000110000110001</v>
      </c>
      <c r="AI335" s="34">
        <f>SUM(DB_STProjectsSOF[[#This Row],[Plan01]:[Plan12]])/valUnits2</f>
        <v>0</v>
      </c>
      <c r="AJ335" s="34">
        <f>SUMPRODUCT(DB_STProjectsSOF[[#This Row],[Act01]:[Act12]],$P$3:$AA$3)/valUnits2</f>
        <v>0</v>
      </c>
      <c r="AK335" s="34">
        <f>IF(DB_STProjectsSOF[[#This Row],[FY Plan]]&lt;&gt;0,DB_STProjectsSOF[[#This Row],[FY Actuals]]/DB_STProjectsSOF[[#This Row],[FY Plan]],1.000011000011)</f>
        <v>1.0000110000110001</v>
      </c>
    </row>
    <row r="336" spans="1:37" hidden="1" x14ac:dyDescent="0.2">
      <c r="A336">
        <f>SUBTOTAL(3,$B$6:B336)</f>
        <v>0</v>
      </c>
      <c r="B336" t="s">
        <v>959</v>
      </c>
      <c r="C336" t="s">
        <v>927</v>
      </c>
      <c r="D336">
        <v>0</v>
      </c>
      <c r="E336">
        <v>3937.0899999999997</v>
      </c>
      <c r="F336">
        <v>2515.14</v>
      </c>
      <c r="G336">
        <v>8343.2999999999993</v>
      </c>
      <c r="H336">
        <v>3032.08</v>
      </c>
      <c r="I336">
        <v>3404</v>
      </c>
      <c r="J336">
        <v>3404</v>
      </c>
      <c r="K336">
        <v>3404</v>
      </c>
      <c r="L336">
        <v>3404</v>
      </c>
      <c r="M336">
        <v>3404</v>
      </c>
      <c r="N336">
        <v>3404</v>
      </c>
      <c r="O336">
        <v>3404</v>
      </c>
      <c r="P336">
        <v>0</v>
      </c>
      <c r="Q336">
        <v>3937.09</v>
      </c>
      <c r="R336">
        <v>2515.14</v>
      </c>
      <c r="S336">
        <v>8343.3000000000011</v>
      </c>
      <c r="T336">
        <v>3032.08</v>
      </c>
      <c r="U336">
        <v>1239.33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s="164">
        <v>40817</v>
      </c>
      <c r="AC336" s="164">
        <v>42052</v>
      </c>
      <c r="AD336" s="164">
        <v>42141</v>
      </c>
      <c r="AE336" s="34">
        <f>SUMPRODUCT(DB_STProjectsSOF[[#This Row],[Plan01]:[Plan12]],$D$4:$O$4)/valUnits2</f>
        <v>21.23161</v>
      </c>
      <c r="AF336" s="34">
        <f>SUMPRODUCT(DB_STProjectsSOF[[#This Row],[Act01]:[Act12]],$P$4:$AA$4)/valUnits2</f>
        <v>19.066940000000002</v>
      </c>
      <c r="AG336" s="34">
        <f>DB_STProjectsSOF[[#This Row],[Actual]]-DB_STProjectsSOF[[#This Row],[Plan]]</f>
        <v>-2.1646699999999974</v>
      </c>
      <c r="AH336" s="34">
        <f>IF(DB_STProjectsSOF[[#This Row],[Plan]]&lt;&gt;0,DB_STProjectsSOF[[#This Row],[Actual]]/DB_STProjectsSOF[[#This Row],[Plan]],1.000011000011)</f>
        <v>0.89804494336510521</v>
      </c>
      <c r="AI336" s="34">
        <f>SUM(DB_STProjectsSOF[[#This Row],[Plan01]:[Plan12]])/valUnits2</f>
        <v>41.655610000000003</v>
      </c>
      <c r="AJ336" s="34">
        <f>SUMPRODUCT(DB_STProjectsSOF[[#This Row],[Act01]:[Act12]],$P$3:$AA$3)/valUnits2</f>
        <v>19.066940000000002</v>
      </c>
      <c r="AK336" s="34">
        <f>IF(DB_STProjectsSOF[[#This Row],[FY Plan]]&lt;&gt;0,DB_STProjectsSOF[[#This Row],[FY Actuals]]/DB_STProjectsSOF[[#This Row],[FY Plan]],1.000011000011)</f>
        <v>0.45772802270810586</v>
      </c>
    </row>
    <row r="337" spans="1:37" hidden="1" x14ac:dyDescent="0.2">
      <c r="A337">
        <f>SUBTOTAL(3,$B$6:B337)</f>
        <v>0</v>
      </c>
      <c r="B337" t="s">
        <v>959</v>
      </c>
      <c r="C337" t="s">
        <v>359</v>
      </c>
      <c r="G337">
        <v>0</v>
      </c>
      <c r="H337">
        <v>0</v>
      </c>
      <c r="I337">
        <v>167.91899999999998</v>
      </c>
      <c r="S337">
        <v>0</v>
      </c>
      <c r="T337">
        <v>0</v>
      </c>
      <c r="U337">
        <v>0</v>
      </c>
      <c r="AB337" s="164">
        <v>41275</v>
      </c>
      <c r="AC337" s="164">
        <v>41455</v>
      </c>
      <c r="AD337" s="164">
        <v>41547</v>
      </c>
      <c r="AE337" s="34">
        <f>SUMPRODUCT(DB_STProjectsSOF[[#This Row],[Plan01]:[Plan12]],$D$4:$O$4)/valUnits2</f>
        <v>0.16791899999999998</v>
      </c>
      <c r="AF337" s="34">
        <f>SUMPRODUCT(DB_STProjectsSOF[[#This Row],[Act01]:[Act12]],$P$4:$AA$4)/valUnits2</f>
        <v>0</v>
      </c>
      <c r="AG337" s="34">
        <f>DB_STProjectsSOF[[#This Row],[Actual]]-DB_STProjectsSOF[[#This Row],[Plan]]</f>
        <v>-0.16791899999999998</v>
      </c>
      <c r="AH337" s="34">
        <f>IF(DB_STProjectsSOF[[#This Row],[Plan]]&lt;&gt;0,DB_STProjectsSOF[[#This Row],[Actual]]/DB_STProjectsSOF[[#This Row],[Plan]],1.000011000011)</f>
        <v>0</v>
      </c>
      <c r="AI337" s="34">
        <f>SUM(DB_STProjectsSOF[[#This Row],[Plan01]:[Plan12]])/valUnits2</f>
        <v>0.16791899999999998</v>
      </c>
      <c r="AJ337" s="34">
        <f>SUMPRODUCT(DB_STProjectsSOF[[#This Row],[Act01]:[Act12]],$P$3:$AA$3)/valUnits2</f>
        <v>0</v>
      </c>
      <c r="AK337" s="34">
        <f>IF(DB_STProjectsSOF[[#This Row],[FY Plan]]&lt;&gt;0,DB_STProjectsSOF[[#This Row],[FY Actuals]]/DB_STProjectsSOF[[#This Row],[FY Plan]],1.000011000011)</f>
        <v>0</v>
      </c>
    </row>
    <row r="338" spans="1:37" hidden="1" x14ac:dyDescent="0.2">
      <c r="A338">
        <f>SUBTOTAL(3,$B$6:B338)</f>
        <v>0</v>
      </c>
      <c r="B338" t="s">
        <v>959</v>
      </c>
      <c r="C338" t="s">
        <v>360</v>
      </c>
      <c r="G338">
        <v>0</v>
      </c>
      <c r="H338">
        <v>0</v>
      </c>
      <c r="I338">
        <v>589.87300000000005</v>
      </c>
      <c r="S338">
        <v>0</v>
      </c>
      <c r="T338">
        <v>0</v>
      </c>
      <c r="U338">
        <v>0</v>
      </c>
      <c r="AB338" s="164">
        <v>41091</v>
      </c>
      <c r="AC338" s="164">
        <v>41455</v>
      </c>
      <c r="AD338" s="164">
        <v>41547</v>
      </c>
      <c r="AE338" s="34">
        <f>SUMPRODUCT(DB_STProjectsSOF[[#This Row],[Plan01]:[Plan12]],$D$4:$O$4)/valUnits2</f>
        <v>0.58987300000000009</v>
      </c>
      <c r="AF338" s="34">
        <f>SUMPRODUCT(DB_STProjectsSOF[[#This Row],[Act01]:[Act12]],$P$4:$AA$4)/valUnits2</f>
        <v>0</v>
      </c>
      <c r="AG338" s="34">
        <f>DB_STProjectsSOF[[#This Row],[Actual]]-DB_STProjectsSOF[[#This Row],[Plan]]</f>
        <v>-0.58987300000000009</v>
      </c>
      <c r="AH338" s="34">
        <f>IF(DB_STProjectsSOF[[#This Row],[Plan]]&lt;&gt;0,DB_STProjectsSOF[[#This Row],[Actual]]/DB_STProjectsSOF[[#This Row],[Plan]],1.000011000011)</f>
        <v>0</v>
      </c>
      <c r="AI338" s="34">
        <f>SUM(DB_STProjectsSOF[[#This Row],[Plan01]:[Plan12]])/valUnits2</f>
        <v>0.58987300000000009</v>
      </c>
      <c r="AJ338" s="34">
        <f>SUMPRODUCT(DB_STProjectsSOF[[#This Row],[Act01]:[Act12]],$P$3:$AA$3)/valUnits2</f>
        <v>0</v>
      </c>
      <c r="AK338" s="34">
        <f>IF(DB_STProjectsSOF[[#This Row],[FY Plan]]&lt;&gt;0,DB_STProjectsSOF[[#This Row],[FY Actuals]]/DB_STProjectsSOF[[#This Row],[FY Plan]],1.000011000011)</f>
        <v>0</v>
      </c>
    </row>
    <row r="339" spans="1:37" hidden="1" x14ac:dyDescent="0.2">
      <c r="A339">
        <f>SUBTOTAL(3,$B$6:B339)</f>
        <v>0</v>
      </c>
      <c r="B339" t="s">
        <v>959</v>
      </c>
      <c r="C339" t="s">
        <v>928</v>
      </c>
      <c r="D339">
        <v>0</v>
      </c>
      <c r="E339">
        <v>357.875</v>
      </c>
      <c r="F339">
        <v>355.303</v>
      </c>
      <c r="G339">
        <v>311.19499999999999</v>
      </c>
      <c r="I339">
        <v>0</v>
      </c>
      <c r="P339">
        <v>0</v>
      </c>
      <c r="Q339">
        <v>365.38</v>
      </c>
      <c r="R339">
        <v>358.52</v>
      </c>
      <c r="S339">
        <v>309.42</v>
      </c>
      <c r="U339">
        <v>-1033.32</v>
      </c>
      <c r="AB339" s="164">
        <v>40817</v>
      </c>
      <c r="AC339" s="164">
        <v>41305</v>
      </c>
      <c r="AD339" s="164">
        <v>41394</v>
      </c>
      <c r="AE339" s="34">
        <f>SUMPRODUCT(DB_STProjectsSOF[[#This Row],[Plan01]:[Plan12]],$D$4:$O$4)/valUnits2</f>
        <v>1.024373</v>
      </c>
      <c r="AF339" s="34">
        <f>SUMPRODUCT(DB_STProjectsSOF[[#This Row],[Act01]:[Act12]],$P$4:$AA$4)/valUnits2</f>
        <v>0</v>
      </c>
      <c r="AG339" s="34">
        <f>DB_STProjectsSOF[[#This Row],[Actual]]-DB_STProjectsSOF[[#This Row],[Plan]]</f>
        <v>-1.024373</v>
      </c>
      <c r="AH339" s="34">
        <f>IF(DB_STProjectsSOF[[#This Row],[Plan]]&lt;&gt;0,DB_STProjectsSOF[[#This Row],[Actual]]/DB_STProjectsSOF[[#This Row],[Plan]],1.000011000011)</f>
        <v>0</v>
      </c>
      <c r="AI339" s="34">
        <f>SUM(DB_STProjectsSOF[[#This Row],[Plan01]:[Plan12]])/valUnits2</f>
        <v>1.024373</v>
      </c>
      <c r="AJ339" s="34">
        <f>SUMPRODUCT(DB_STProjectsSOF[[#This Row],[Act01]:[Act12]],$P$3:$AA$3)/valUnits2</f>
        <v>0</v>
      </c>
      <c r="AK339" s="34">
        <f>IF(DB_STProjectsSOF[[#This Row],[FY Plan]]&lt;&gt;0,DB_STProjectsSOF[[#This Row],[FY Actuals]]/DB_STProjectsSOF[[#This Row],[FY Plan]],1.000011000011)</f>
        <v>0</v>
      </c>
    </row>
    <row r="340" spans="1:37" hidden="1" x14ac:dyDescent="0.2">
      <c r="A340">
        <f>SUBTOTAL(3,$B$6:B340)</f>
        <v>0</v>
      </c>
      <c r="B340" t="s">
        <v>959</v>
      </c>
      <c r="C340" t="s">
        <v>929</v>
      </c>
      <c r="F340">
        <v>0</v>
      </c>
      <c r="G340">
        <v>0</v>
      </c>
      <c r="H340">
        <v>314.13799999999998</v>
      </c>
      <c r="I340">
        <v>0</v>
      </c>
      <c r="R340">
        <v>0</v>
      </c>
      <c r="S340">
        <v>0</v>
      </c>
      <c r="T340">
        <v>310.33</v>
      </c>
      <c r="U340">
        <v>-310.33</v>
      </c>
      <c r="AB340" s="164">
        <v>41214</v>
      </c>
      <c r="AC340" s="164">
        <v>41379</v>
      </c>
      <c r="AD340" s="164">
        <v>41409</v>
      </c>
      <c r="AE340" s="34">
        <f>SUMPRODUCT(DB_STProjectsSOF[[#This Row],[Plan01]:[Plan12]],$D$4:$O$4)/valUnits2</f>
        <v>0.31413799999999997</v>
      </c>
      <c r="AF340" s="34">
        <f>SUMPRODUCT(DB_STProjectsSOF[[#This Row],[Act01]:[Act12]],$P$4:$AA$4)/valUnits2</f>
        <v>0</v>
      </c>
      <c r="AG340" s="34">
        <f>DB_STProjectsSOF[[#This Row],[Actual]]-DB_STProjectsSOF[[#This Row],[Plan]]</f>
        <v>-0.31413799999999997</v>
      </c>
      <c r="AH340" s="34">
        <f>IF(DB_STProjectsSOF[[#This Row],[Plan]]&lt;&gt;0,DB_STProjectsSOF[[#This Row],[Actual]]/DB_STProjectsSOF[[#This Row],[Plan]],1.000011000011)</f>
        <v>0</v>
      </c>
      <c r="AI340" s="34">
        <f>SUM(DB_STProjectsSOF[[#This Row],[Plan01]:[Plan12]])/valUnits2</f>
        <v>0.31413799999999997</v>
      </c>
      <c r="AJ340" s="34">
        <f>SUMPRODUCT(DB_STProjectsSOF[[#This Row],[Act01]:[Act12]],$P$3:$AA$3)/valUnits2</f>
        <v>0</v>
      </c>
      <c r="AK340" s="34">
        <f>IF(DB_STProjectsSOF[[#This Row],[FY Plan]]&lt;&gt;0,DB_STProjectsSOF[[#This Row],[FY Actuals]]/DB_STProjectsSOF[[#This Row],[FY Plan]],1.000011000011)</f>
        <v>0</v>
      </c>
    </row>
    <row r="341" spans="1:37" hidden="1" x14ac:dyDescent="0.2">
      <c r="A341">
        <f>SUBTOTAL(3,$B$6:B341)</f>
        <v>0</v>
      </c>
      <c r="B341" t="s">
        <v>959</v>
      </c>
      <c r="C341" t="s">
        <v>932</v>
      </c>
      <c r="G341">
        <v>356.3</v>
      </c>
      <c r="H341">
        <v>356.3</v>
      </c>
      <c r="I341">
        <v>356.3</v>
      </c>
      <c r="J341">
        <v>356.3</v>
      </c>
      <c r="K341">
        <v>356.3</v>
      </c>
      <c r="L341">
        <v>356.3</v>
      </c>
      <c r="M341">
        <v>356.3</v>
      </c>
      <c r="N341">
        <v>356.3</v>
      </c>
      <c r="O341">
        <v>356.3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s="164">
        <v>40909</v>
      </c>
      <c r="AC341" s="164">
        <v>41274</v>
      </c>
      <c r="AD341" s="164">
        <v>41305</v>
      </c>
      <c r="AE341" s="34">
        <f>SUMPRODUCT(DB_STProjectsSOF[[#This Row],[Plan01]:[Plan12]],$D$4:$O$4)/valUnits2</f>
        <v>1.0689000000000002</v>
      </c>
      <c r="AF341" s="34">
        <f>SUMPRODUCT(DB_STProjectsSOF[[#This Row],[Act01]:[Act12]],$P$4:$AA$4)/valUnits2</f>
        <v>0</v>
      </c>
      <c r="AG341" s="34">
        <f>DB_STProjectsSOF[[#This Row],[Actual]]-DB_STProjectsSOF[[#This Row],[Plan]]</f>
        <v>-1.0689000000000002</v>
      </c>
      <c r="AH341" s="34">
        <f>IF(DB_STProjectsSOF[[#This Row],[Plan]]&lt;&gt;0,DB_STProjectsSOF[[#This Row],[Actual]]/DB_STProjectsSOF[[#This Row],[Plan]],1.000011000011)</f>
        <v>0</v>
      </c>
      <c r="AI341" s="34">
        <f>SUM(DB_STProjectsSOF[[#This Row],[Plan01]:[Plan12]])/valUnits2</f>
        <v>3.2067000000000005</v>
      </c>
      <c r="AJ341" s="34">
        <f>SUMPRODUCT(DB_STProjectsSOF[[#This Row],[Act01]:[Act12]],$P$3:$AA$3)/valUnits2</f>
        <v>0</v>
      </c>
      <c r="AK341" s="34">
        <f>IF(DB_STProjectsSOF[[#This Row],[FY Plan]]&lt;&gt;0,DB_STProjectsSOF[[#This Row],[FY Actuals]]/DB_STProjectsSOF[[#This Row],[FY Plan]],1.000011000011)</f>
        <v>0</v>
      </c>
    </row>
    <row r="342" spans="1:37" hidden="1" x14ac:dyDescent="0.2">
      <c r="A342">
        <f>SUBTOTAL(3,$B$6:B342)</f>
        <v>0</v>
      </c>
      <c r="B342" t="s">
        <v>959</v>
      </c>
      <c r="C342" t="s">
        <v>933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s="164">
        <v>40817</v>
      </c>
      <c r="AC342" s="164">
        <v>42155</v>
      </c>
      <c r="AD342" s="164">
        <v>42217</v>
      </c>
      <c r="AE342" s="34">
        <f>SUMPRODUCT(DB_STProjectsSOF[[#This Row],[Plan01]:[Plan12]],$D$4:$O$4)/valUnits2</f>
        <v>0</v>
      </c>
      <c r="AF342" s="34">
        <f>SUMPRODUCT(DB_STProjectsSOF[[#This Row],[Act01]:[Act12]],$P$4:$AA$4)/valUnits2</f>
        <v>0</v>
      </c>
      <c r="AG342" s="34">
        <f>DB_STProjectsSOF[[#This Row],[Actual]]-DB_STProjectsSOF[[#This Row],[Plan]]</f>
        <v>0</v>
      </c>
      <c r="AH342" s="34">
        <f>IF(DB_STProjectsSOF[[#This Row],[Plan]]&lt;&gt;0,DB_STProjectsSOF[[#This Row],[Actual]]/DB_STProjectsSOF[[#This Row],[Plan]],1.000011000011)</f>
        <v>1.0000110000110001</v>
      </c>
      <c r="AI342" s="34">
        <f>SUM(DB_STProjectsSOF[[#This Row],[Plan01]:[Plan12]])/valUnits2</f>
        <v>0</v>
      </c>
      <c r="AJ342" s="34">
        <f>SUMPRODUCT(DB_STProjectsSOF[[#This Row],[Act01]:[Act12]],$P$3:$AA$3)/valUnits2</f>
        <v>0</v>
      </c>
      <c r="AK342" s="34">
        <f>IF(DB_STProjectsSOF[[#This Row],[FY Plan]]&lt;&gt;0,DB_STProjectsSOF[[#This Row],[FY Actuals]]/DB_STProjectsSOF[[#This Row],[FY Plan]],1.000011000011)</f>
        <v>1.0000110000110001</v>
      </c>
    </row>
    <row r="343" spans="1:37" hidden="1" x14ac:dyDescent="0.2">
      <c r="A343">
        <f>SUBTOTAL(3,$B$6:B343)</f>
        <v>0</v>
      </c>
      <c r="B343" t="s">
        <v>959</v>
      </c>
      <c r="C343" t="s">
        <v>935</v>
      </c>
      <c r="D343">
        <v>0</v>
      </c>
      <c r="E343">
        <v>1269.9349999999999</v>
      </c>
      <c r="F343">
        <v>1294.5839999999998</v>
      </c>
      <c r="G343">
        <v>2138.3629999999998</v>
      </c>
      <c r="H343">
        <v>1497.6220000000001</v>
      </c>
      <c r="I343">
        <v>921.91200000000003</v>
      </c>
      <c r="J343">
        <v>921.91200000000003</v>
      </c>
      <c r="K343">
        <v>921.91200000000003</v>
      </c>
      <c r="L343">
        <v>921.91200000000003</v>
      </c>
      <c r="M343">
        <v>921.91200000000003</v>
      </c>
      <c r="N343">
        <v>921.91200000000003</v>
      </c>
      <c r="O343">
        <v>921.91200000000003</v>
      </c>
      <c r="P343">
        <v>0</v>
      </c>
      <c r="Q343">
        <v>1300.1500000000001</v>
      </c>
      <c r="R343">
        <v>1287.3499999999999</v>
      </c>
      <c r="S343">
        <v>2122.8999999999996</v>
      </c>
      <c r="T343">
        <v>1527.23</v>
      </c>
      <c r="U343">
        <v>647.79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s="164">
        <v>41000</v>
      </c>
      <c r="AC343" s="164">
        <v>42094</v>
      </c>
      <c r="AD343" s="164">
        <v>42124</v>
      </c>
      <c r="AE343" s="34">
        <f>SUMPRODUCT(DB_STProjectsSOF[[#This Row],[Plan01]:[Plan12]],$D$4:$O$4)/valUnits2</f>
        <v>7.1224160000000003</v>
      </c>
      <c r="AF343" s="34">
        <f>SUMPRODUCT(DB_STProjectsSOF[[#This Row],[Act01]:[Act12]],$P$4:$AA$4)/valUnits2</f>
        <v>6.885419999999999</v>
      </c>
      <c r="AG343" s="34">
        <f>DB_STProjectsSOF[[#This Row],[Actual]]-DB_STProjectsSOF[[#This Row],[Plan]]</f>
        <v>-0.23699600000000132</v>
      </c>
      <c r="AH343" s="34">
        <f>IF(DB_STProjectsSOF[[#This Row],[Plan]]&lt;&gt;0,DB_STProjectsSOF[[#This Row],[Actual]]/DB_STProjectsSOF[[#This Row],[Plan]],1.000011000011)</f>
        <v>0.96672533589725718</v>
      </c>
      <c r="AI343" s="34">
        <f>SUM(DB_STProjectsSOF[[#This Row],[Plan01]:[Plan12]])/valUnits2</f>
        <v>12.653888</v>
      </c>
      <c r="AJ343" s="34">
        <f>SUMPRODUCT(DB_STProjectsSOF[[#This Row],[Act01]:[Act12]],$P$3:$AA$3)/valUnits2</f>
        <v>6.885419999999999</v>
      </c>
      <c r="AK343" s="34">
        <f>IF(DB_STProjectsSOF[[#This Row],[FY Plan]]&lt;&gt;0,DB_STProjectsSOF[[#This Row],[FY Actuals]]/DB_STProjectsSOF[[#This Row],[FY Plan]],1.000011000011)</f>
        <v>0.54413473550579861</v>
      </c>
    </row>
    <row r="344" spans="1:37" hidden="1" x14ac:dyDescent="0.2">
      <c r="A344">
        <f>SUBTOTAL(3,$B$6:B344)</f>
        <v>0</v>
      </c>
      <c r="B344" t="s">
        <v>959</v>
      </c>
      <c r="C344" t="s">
        <v>937</v>
      </c>
      <c r="G344">
        <v>0</v>
      </c>
      <c r="H344">
        <v>0</v>
      </c>
      <c r="I344">
        <v>750</v>
      </c>
      <c r="S344">
        <v>0</v>
      </c>
      <c r="T344">
        <v>0</v>
      </c>
      <c r="U344">
        <v>0</v>
      </c>
      <c r="AB344" s="164">
        <v>41275</v>
      </c>
      <c r="AC344" s="164">
        <v>43100</v>
      </c>
      <c r="AD344" s="164">
        <v>43159</v>
      </c>
      <c r="AE344" s="34">
        <f>SUMPRODUCT(DB_STProjectsSOF[[#This Row],[Plan01]:[Plan12]],$D$4:$O$4)/valUnits2</f>
        <v>0.75</v>
      </c>
      <c r="AF344" s="34">
        <f>SUMPRODUCT(DB_STProjectsSOF[[#This Row],[Act01]:[Act12]],$P$4:$AA$4)/valUnits2</f>
        <v>0</v>
      </c>
      <c r="AG344" s="34">
        <f>DB_STProjectsSOF[[#This Row],[Actual]]-DB_STProjectsSOF[[#This Row],[Plan]]</f>
        <v>-0.75</v>
      </c>
      <c r="AH344" s="34">
        <f>IF(DB_STProjectsSOF[[#This Row],[Plan]]&lt;&gt;0,DB_STProjectsSOF[[#This Row],[Actual]]/DB_STProjectsSOF[[#This Row],[Plan]],1.000011000011)</f>
        <v>0</v>
      </c>
      <c r="AI344" s="34">
        <f>SUM(DB_STProjectsSOF[[#This Row],[Plan01]:[Plan12]])/valUnits2</f>
        <v>0.75</v>
      </c>
      <c r="AJ344" s="34">
        <f>SUMPRODUCT(DB_STProjectsSOF[[#This Row],[Act01]:[Act12]],$P$3:$AA$3)/valUnits2</f>
        <v>0</v>
      </c>
      <c r="AK344" s="34">
        <f>IF(DB_STProjectsSOF[[#This Row],[FY Plan]]&lt;&gt;0,DB_STProjectsSOF[[#This Row],[FY Actuals]]/DB_STProjectsSOF[[#This Row],[FY Plan]],1.000011000011)</f>
        <v>0</v>
      </c>
    </row>
    <row r="345" spans="1:37" hidden="1" x14ac:dyDescent="0.2">
      <c r="A345">
        <f>SUBTOTAL(3,$B$6:B345)</f>
        <v>0</v>
      </c>
      <c r="B345" t="s">
        <v>984</v>
      </c>
      <c r="C345" t="s">
        <v>842</v>
      </c>
      <c r="H345">
        <v>8238.5650000000005</v>
      </c>
      <c r="I345">
        <v>0</v>
      </c>
      <c r="T345">
        <v>8252.3799999999992</v>
      </c>
      <c r="U345">
        <v>2465.2399999999998</v>
      </c>
      <c r="AB345" s="164">
        <v>41214</v>
      </c>
      <c r="AC345" s="164">
        <v>42308</v>
      </c>
      <c r="AD345" s="164">
        <v>42389</v>
      </c>
      <c r="AE345" s="34">
        <f>SUMPRODUCT(DB_STProjectsSOF[[#This Row],[Plan01]:[Plan12]],$D$4:$O$4)/valUnits2</f>
        <v>8.2385650000000012</v>
      </c>
      <c r="AF345" s="34">
        <f>SUMPRODUCT(DB_STProjectsSOF[[#This Row],[Act01]:[Act12]],$P$4:$AA$4)/valUnits2</f>
        <v>10.717619999999998</v>
      </c>
      <c r="AG345" s="34">
        <f>DB_STProjectsSOF[[#This Row],[Actual]]-DB_STProjectsSOF[[#This Row],[Plan]]</f>
        <v>2.4790549999999971</v>
      </c>
      <c r="AH345" s="34">
        <f>IF(DB_STProjectsSOF[[#This Row],[Plan]]&lt;&gt;0,DB_STProjectsSOF[[#This Row],[Actual]]/DB_STProjectsSOF[[#This Row],[Plan]],1.000011000011)</f>
        <v>1.3009085926978785</v>
      </c>
      <c r="AI345" s="34">
        <f>SUM(DB_STProjectsSOF[[#This Row],[Plan01]:[Plan12]])/valUnits2</f>
        <v>8.2385650000000012</v>
      </c>
      <c r="AJ345" s="34">
        <f>SUMPRODUCT(DB_STProjectsSOF[[#This Row],[Act01]:[Act12]],$P$3:$AA$3)/valUnits2</f>
        <v>10.717619999999998</v>
      </c>
      <c r="AK345" s="34">
        <f>IF(DB_STProjectsSOF[[#This Row],[FY Plan]]&lt;&gt;0,DB_STProjectsSOF[[#This Row],[FY Actuals]]/DB_STProjectsSOF[[#This Row],[FY Plan]],1.000011000011)</f>
        <v>1.3009085926978785</v>
      </c>
    </row>
    <row r="346" spans="1:37" hidden="1" x14ac:dyDescent="0.2">
      <c r="A346">
        <f>SUBTOTAL(3,$B$6:B346)</f>
        <v>0</v>
      </c>
      <c r="B346" t="s">
        <v>984</v>
      </c>
      <c r="C346" t="s">
        <v>845</v>
      </c>
      <c r="I346">
        <v>0</v>
      </c>
      <c r="U346">
        <v>247.09000000000003</v>
      </c>
      <c r="AB346" s="164">
        <v>41275</v>
      </c>
      <c r="AC346" s="164">
        <v>41639</v>
      </c>
      <c r="AD346" s="164">
        <v>41729</v>
      </c>
      <c r="AE346" s="34">
        <f>SUMPRODUCT(DB_STProjectsSOF[[#This Row],[Plan01]:[Plan12]],$D$4:$O$4)/valUnits2</f>
        <v>0</v>
      </c>
      <c r="AF346" s="34">
        <f>SUMPRODUCT(DB_STProjectsSOF[[#This Row],[Act01]:[Act12]],$P$4:$AA$4)/valUnits2</f>
        <v>0.24709000000000003</v>
      </c>
      <c r="AG346" s="34">
        <f>DB_STProjectsSOF[[#This Row],[Actual]]-DB_STProjectsSOF[[#This Row],[Plan]]</f>
        <v>0.24709000000000003</v>
      </c>
      <c r="AH346" s="34">
        <f>IF(DB_STProjectsSOF[[#This Row],[Plan]]&lt;&gt;0,DB_STProjectsSOF[[#This Row],[Actual]]/DB_STProjectsSOF[[#This Row],[Plan]],1.000011000011)</f>
        <v>1.0000110000110001</v>
      </c>
      <c r="AI346" s="34">
        <f>SUM(DB_STProjectsSOF[[#This Row],[Plan01]:[Plan12]])/valUnits2</f>
        <v>0</v>
      </c>
      <c r="AJ346" s="34">
        <f>SUMPRODUCT(DB_STProjectsSOF[[#This Row],[Act01]:[Act12]],$P$3:$AA$3)/valUnits2</f>
        <v>0.24709000000000003</v>
      </c>
      <c r="AK346" s="34">
        <f>IF(DB_STProjectsSOF[[#This Row],[FY Plan]]&lt;&gt;0,DB_STProjectsSOF[[#This Row],[FY Actuals]]/DB_STProjectsSOF[[#This Row],[FY Plan]],1.000011000011)</f>
        <v>1.0000110000110001</v>
      </c>
    </row>
    <row r="347" spans="1:37" hidden="1" x14ac:dyDescent="0.2">
      <c r="A347">
        <f>SUBTOTAL(3,$B$6:B347)</f>
        <v>0</v>
      </c>
      <c r="B347" t="s">
        <v>984</v>
      </c>
      <c r="C347" t="s">
        <v>850</v>
      </c>
      <c r="E347">
        <v>295.779</v>
      </c>
      <c r="G347">
        <v>135.27500000000001</v>
      </c>
      <c r="H347">
        <v>454.19100000000003</v>
      </c>
      <c r="I347">
        <v>0</v>
      </c>
      <c r="Q347">
        <v>295.77999999999997</v>
      </c>
      <c r="S347">
        <v>136.03</v>
      </c>
      <c r="T347">
        <v>450.25000000000006</v>
      </c>
      <c r="U347">
        <v>155.82999999999998</v>
      </c>
      <c r="AB347" s="164">
        <v>40817</v>
      </c>
      <c r="AC347" s="164">
        <v>41639</v>
      </c>
      <c r="AD347" s="164">
        <v>41820</v>
      </c>
      <c r="AE347" s="34">
        <f>SUMPRODUCT(DB_STProjectsSOF[[#This Row],[Plan01]:[Plan12]],$D$4:$O$4)/valUnits2</f>
        <v>0.88524500000000006</v>
      </c>
      <c r="AF347" s="34">
        <f>SUMPRODUCT(DB_STProjectsSOF[[#This Row],[Act01]:[Act12]],$P$4:$AA$4)/valUnits2</f>
        <v>1.03789</v>
      </c>
      <c r="AG347" s="34">
        <f>DB_STProjectsSOF[[#This Row],[Actual]]-DB_STProjectsSOF[[#This Row],[Plan]]</f>
        <v>0.15264499999999992</v>
      </c>
      <c r="AH347" s="34">
        <f>IF(DB_STProjectsSOF[[#This Row],[Plan]]&lt;&gt;0,DB_STProjectsSOF[[#This Row],[Actual]]/DB_STProjectsSOF[[#This Row],[Plan]],1.000011000011)</f>
        <v>1.1724324904404995</v>
      </c>
      <c r="AI347" s="34">
        <f>SUM(DB_STProjectsSOF[[#This Row],[Plan01]:[Plan12]])/valUnits2</f>
        <v>0.88524500000000006</v>
      </c>
      <c r="AJ347" s="34">
        <f>SUMPRODUCT(DB_STProjectsSOF[[#This Row],[Act01]:[Act12]],$P$3:$AA$3)/valUnits2</f>
        <v>1.03789</v>
      </c>
      <c r="AK347" s="34">
        <f>IF(DB_STProjectsSOF[[#This Row],[FY Plan]]&lt;&gt;0,DB_STProjectsSOF[[#This Row],[FY Actuals]]/DB_STProjectsSOF[[#This Row],[FY Plan]],1.000011000011)</f>
        <v>1.1724324904404995</v>
      </c>
    </row>
    <row r="348" spans="1:37" hidden="1" x14ac:dyDescent="0.2">
      <c r="A348">
        <f>SUBTOTAL(3,$B$6:B348)</f>
        <v>0</v>
      </c>
      <c r="B348" t="s">
        <v>984</v>
      </c>
      <c r="C348" t="s">
        <v>857</v>
      </c>
      <c r="E348">
        <v>1317.15</v>
      </c>
      <c r="H348">
        <v>-1317.15</v>
      </c>
      <c r="Q348">
        <v>1317.15</v>
      </c>
      <c r="T348">
        <v>-1317.15</v>
      </c>
      <c r="AB348" s="164">
        <v>40909</v>
      </c>
      <c r="AC348" s="164">
        <v>41274</v>
      </c>
      <c r="AD348" s="164">
        <v>41364</v>
      </c>
      <c r="AE348" s="34">
        <f>SUMPRODUCT(DB_STProjectsSOF[[#This Row],[Plan01]:[Plan12]],$D$4:$O$4)/valUnits2</f>
        <v>0</v>
      </c>
      <c r="AF348" s="34">
        <f>SUMPRODUCT(DB_STProjectsSOF[[#This Row],[Act01]:[Act12]],$P$4:$AA$4)/valUnits2</f>
        <v>0</v>
      </c>
      <c r="AG348" s="34">
        <f>DB_STProjectsSOF[[#This Row],[Actual]]-DB_STProjectsSOF[[#This Row],[Plan]]</f>
        <v>0</v>
      </c>
      <c r="AH348" s="34">
        <f>IF(DB_STProjectsSOF[[#This Row],[Plan]]&lt;&gt;0,DB_STProjectsSOF[[#This Row],[Actual]]/DB_STProjectsSOF[[#This Row],[Plan]],1.000011000011)</f>
        <v>1.0000110000110001</v>
      </c>
      <c r="AI348" s="34">
        <f>SUM(DB_STProjectsSOF[[#This Row],[Plan01]:[Plan12]])/valUnits2</f>
        <v>0</v>
      </c>
      <c r="AJ348" s="34">
        <f>SUMPRODUCT(DB_STProjectsSOF[[#This Row],[Act01]:[Act12]],$P$3:$AA$3)/valUnits2</f>
        <v>0</v>
      </c>
      <c r="AK348" s="34">
        <f>IF(DB_STProjectsSOF[[#This Row],[FY Plan]]&lt;&gt;0,DB_STProjectsSOF[[#This Row],[FY Actuals]]/DB_STProjectsSOF[[#This Row],[FY Plan]],1.000011000011)</f>
        <v>1.0000110000110001</v>
      </c>
    </row>
    <row r="349" spans="1:37" hidden="1" x14ac:dyDescent="0.2">
      <c r="A349">
        <f>SUBTOTAL(3,$B$6:B349)</f>
        <v>0</v>
      </c>
      <c r="B349" t="s">
        <v>984</v>
      </c>
      <c r="C349" t="s">
        <v>858</v>
      </c>
      <c r="E349">
        <v>5380.9</v>
      </c>
      <c r="F349">
        <v>2770.11</v>
      </c>
      <c r="G349">
        <v>6751.46</v>
      </c>
      <c r="H349">
        <v>2686.63</v>
      </c>
      <c r="I349">
        <v>0</v>
      </c>
      <c r="Q349">
        <v>5380.9</v>
      </c>
      <c r="R349">
        <v>2770.11</v>
      </c>
      <c r="S349">
        <v>6751.46</v>
      </c>
      <c r="T349">
        <v>2686.63</v>
      </c>
      <c r="U349">
        <v>6725.9</v>
      </c>
      <c r="AB349" s="164">
        <v>41275</v>
      </c>
      <c r="AC349" s="164">
        <v>41639</v>
      </c>
      <c r="AD349" s="164">
        <v>41784</v>
      </c>
      <c r="AE349" s="34">
        <f>SUMPRODUCT(DB_STProjectsSOF[[#This Row],[Plan01]:[Plan12]],$D$4:$O$4)/valUnits2</f>
        <v>17.589100000000002</v>
      </c>
      <c r="AF349" s="34">
        <f>SUMPRODUCT(DB_STProjectsSOF[[#This Row],[Act01]:[Act12]],$P$4:$AA$4)/valUnits2</f>
        <v>24.315000000000001</v>
      </c>
      <c r="AG349" s="34">
        <f>DB_STProjectsSOF[[#This Row],[Actual]]-DB_STProjectsSOF[[#This Row],[Plan]]</f>
        <v>6.7258999999999993</v>
      </c>
      <c r="AH349" s="34">
        <f>IF(DB_STProjectsSOF[[#This Row],[Plan]]&lt;&gt;0,DB_STProjectsSOF[[#This Row],[Actual]]/DB_STProjectsSOF[[#This Row],[Plan]],1.000011000011)</f>
        <v>1.3823902303130915</v>
      </c>
      <c r="AI349" s="34">
        <f>SUM(DB_STProjectsSOF[[#This Row],[Plan01]:[Plan12]])/valUnits2</f>
        <v>17.589100000000002</v>
      </c>
      <c r="AJ349" s="34">
        <f>SUMPRODUCT(DB_STProjectsSOF[[#This Row],[Act01]:[Act12]],$P$3:$AA$3)/valUnits2</f>
        <v>24.315000000000001</v>
      </c>
      <c r="AK349" s="34">
        <f>IF(DB_STProjectsSOF[[#This Row],[FY Plan]]&lt;&gt;0,DB_STProjectsSOF[[#This Row],[FY Actuals]]/DB_STProjectsSOF[[#This Row],[FY Plan]],1.000011000011)</f>
        <v>1.3823902303130915</v>
      </c>
    </row>
    <row r="350" spans="1:37" hidden="1" x14ac:dyDescent="0.2">
      <c r="A350">
        <f>SUBTOTAL(3,$B$6:B350)</f>
        <v>0</v>
      </c>
      <c r="B350" t="s">
        <v>984</v>
      </c>
      <c r="C350" t="s">
        <v>866</v>
      </c>
      <c r="D350">
        <v>321.63000000000005</v>
      </c>
      <c r="E350">
        <v>4656.43</v>
      </c>
      <c r="F350">
        <v>2266.54</v>
      </c>
      <c r="G350">
        <v>8153.9299999999994</v>
      </c>
      <c r="H350">
        <v>1535.79</v>
      </c>
      <c r="I350">
        <v>0</v>
      </c>
      <c r="P350">
        <v>321.63</v>
      </c>
      <c r="Q350">
        <v>4656.4299999999994</v>
      </c>
      <c r="R350">
        <v>2266.54</v>
      </c>
      <c r="S350">
        <v>8153.93</v>
      </c>
      <c r="T350">
        <v>1535.79</v>
      </c>
      <c r="U350">
        <v>6659.33</v>
      </c>
      <c r="AB350" s="164">
        <v>41275</v>
      </c>
      <c r="AC350" s="164">
        <v>41639</v>
      </c>
      <c r="AD350" s="164">
        <v>41760</v>
      </c>
      <c r="AE350" s="34">
        <f>SUMPRODUCT(DB_STProjectsSOF[[#This Row],[Plan01]:[Plan12]],$D$4:$O$4)/valUnits2</f>
        <v>16.93432</v>
      </c>
      <c r="AF350" s="34">
        <f>SUMPRODUCT(DB_STProjectsSOF[[#This Row],[Act01]:[Act12]],$P$4:$AA$4)/valUnits2</f>
        <v>23.59365</v>
      </c>
      <c r="AG350" s="34">
        <f>DB_STProjectsSOF[[#This Row],[Actual]]-DB_STProjectsSOF[[#This Row],[Plan]]</f>
        <v>6.6593300000000006</v>
      </c>
      <c r="AH350" s="34">
        <f>IF(DB_STProjectsSOF[[#This Row],[Plan]]&lt;&gt;0,DB_STProjectsSOF[[#This Row],[Actual]]/DB_STProjectsSOF[[#This Row],[Plan]],1.000011000011)</f>
        <v>1.3932446062197952</v>
      </c>
      <c r="AI350" s="34">
        <f>SUM(DB_STProjectsSOF[[#This Row],[Plan01]:[Plan12]])/valUnits2</f>
        <v>16.93432</v>
      </c>
      <c r="AJ350" s="34">
        <f>SUMPRODUCT(DB_STProjectsSOF[[#This Row],[Act01]:[Act12]],$P$3:$AA$3)/valUnits2</f>
        <v>23.59365</v>
      </c>
      <c r="AK350" s="34">
        <f>IF(DB_STProjectsSOF[[#This Row],[FY Plan]]&lt;&gt;0,DB_STProjectsSOF[[#This Row],[FY Actuals]]/DB_STProjectsSOF[[#This Row],[FY Plan]],1.000011000011)</f>
        <v>1.3932446062197952</v>
      </c>
    </row>
    <row r="351" spans="1:37" hidden="1" x14ac:dyDescent="0.2">
      <c r="A351">
        <f>SUBTOTAL(3,$B$6:B351)</f>
        <v>0</v>
      </c>
      <c r="B351" t="s">
        <v>984</v>
      </c>
      <c r="C351" t="s">
        <v>869</v>
      </c>
      <c r="D351">
        <v>0</v>
      </c>
      <c r="E351">
        <v>547.75</v>
      </c>
      <c r="F351">
        <v>581.37</v>
      </c>
      <c r="G351">
        <v>454.78</v>
      </c>
      <c r="H351">
        <v>214.71</v>
      </c>
      <c r="I351">
        <v>245</v>
      </c>
      <c r="J351">
        <v>245</v>
      </c>
      <c r="K351">
        <v>245</v>
      </c>
      <c r="L351">
        <v>245</v>
      </c>
      <c r="M351">
        <v>245</v>
      </c>
      <c r="N351">
        <v>245</v>
      </c>
      <c r="O351">
        <v>245</v>
      </c>
      <c r="P351">
        <v>0</v>
      </c>
      <c r="Q351">
        <v>547.75</v>
      </c>
      <c r="R351">
        <v>581.37</v>
      </c>
      <c r="S351">
        <v>454.78000000000003</v>
      </c>
      <c r="T351">
        <v>214.71</v>
      </c>
      <c r="U351">
        <v>245.22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s="164">
        <v>40817</v>
      </c>
      <c r="AC351" s="164">
        <v>42155</v>
      </c>
      <c r="AD351" s="164">
        <v>42217</v>
      </c>
      <c r="AE351" s="34">
        <f>SUMPRODUCT(DB_STProjectsSOF[[#This Row],[Plan01]:[Plan12]],$D$4:$O$4)/valUnits2</f>
        <v>2.0436099999999997</v>
      </c>
      <c r="AF351" s="34">
        <f>SUMPRODUCT(DB_STProjectsSOF[[#This Row],[Act01]:[Act12]],$P$4:$AA$4)/valUnits2</f>
        <v>2.0438299999999998</v>
      </c>
      <c r="AG351" s="34">
        <f>DB_STProjectsSOF[[#This Row],[Actual]]-DB_STProjectsSOF[[#This Row],[Plan]]</f>
        <v>2.20000000000109E-4</v>
      </c>
      <c r="AH351" s="34">
        <f>IF(DB_STProjectsSOF[[#This Row],[Plan]]&lt;&gt;0,DB_STProjectsSOF[[#This Row],[Actual]]/DB_STProjectsSOF[[#This Row],[Plan]],1.000011000011)</f>
        <v>1.0001076526343089</v>
      </c>
      <c r="AI351" s="34">
        <f>SUM(DB_STProjectsSOF[[#This Row],[Plan01]:[Plan12]])/valUnits2</f>
        <v>3.5136099999999995</v>
      </c>
      <c r="AJ351" s="34">
        <f>SUMPRODUCT(DB_STProjectsSOF[[#This Row],[Act01]:[Act12]],$P$3:$AA$3)/valUnits2</f>
        <v>2.0438299999999998</v>
      </c>
      <c r="AK351" s="34">
        <f>IF(DB_STProjectsSOF[[#This Row],[FY Plan]]&lt;&gt;0,DB_STProjectsSOF[[#This Row],[FY Actuals]]/DB_STProjectsSOF[[#This Row],[FY Plan]],1.000011000011)</f>
        <v>0.5816894874502293</v>
      </c>
    </row>
    <row r="352" spans="1:37" hidden="1" x14ac:dyDescent="0.2">
      <c r="A352">
        <f>SUBTOTAL(3,$B$6:B352)</f>
        <v>0</v>
      </c>
      <c r="B352" t="s">
        <v>984</v>
      </c>
      <c r="C352" t="s">
        <v>882</v>
      </c>
      <c r="D352">
        <v>399.35500000000002</v>
      </c>
      <c r="G352">
        <v>694.07400000000007</v>
      </c>
      <c r="H352">
        <v>862.42700000000002</v>
      </c>
      <c r="I352">
        <v>0</v>
      </c>
      <c r="P352">
        <v>393.45</v>
      </c>
      <c r="S352">
        <v>688.18999999999994</v>
      </c>
      <c r="T352">
        <v>866.81999999999994</v>
      </c>
      <c r="U352">
        <v>476.15000000000003</v>
      </c>
      <c r="AB352" s="164">
        <v>40817</v>
      </c>
      <c r="AC352" s="164">
        <v>41913</v>
      </c>
      <c r="AD352" s="164">
        <v>42005</v>
      </c>
      <c r="AE352" s="34">
        <f>SUMPRODUCT(DB_STProjectsSOF[[#This Row],[Plan01]:[Plan12]],$D$4:$O$4)/valUnits2</f>
        <v>1.9558560000000003</v>
      </c>
      <c r="AF352" s="34">
        <f>SUMPRODUCT(DB_STProjectsSOF[[#This Row],[Act01]:[Act12]],$P$4:$AA$4)/valUnits2</f>
        <v>2.4246099999999995</v>
      </c>
      <c r="AG352" s="34">
        <f>DB_STProjectsSOF[[#This Row],[Actual]]-DB_STProjectsSOF[[#This Row],[Plan]]</f>
        <v>0.46875399999999923</v>
      </c>
      <c r="AH352" s="34">
        <f>IF(DB_STProjectsSOF[[#This Row],[Plan]]&lt;&gt;0,DB_STProjectsSOF[[#This Row],[Actual]]/DB_STProjectsSOF[[#This Row],[Plan]],1.000011000011)</f>
        <v>1.2396669284446293</v>
      </c>
      <c r="AI352" s="34">
        <f>SUM(DB_STProjectsSOF[[#This Row],[Plan01]:[Plan12]])/valUnits2</f>
        <v>1.9558560000000003</v>
      </c>
      <c r="AJ352" s="34">
        <f>SUMPRODUCT(DB_STProjectsSOF[[#This Row],[Act01]:[Act12]],$P$3:$AA$3)/valUnits2</f>
        <v>2.4246099999999995</v>
      </c>
      <c r="AK352" s="34">
        <f>IF(DB_STProjectsSOF[[#This Row],[FY Plan]]&lt;&gt;0,DB_STProjectsSOF[[#This Row],[FY Actuals]]/DB_STProjectsSOF[[#This Row],[FY Plan]],1.000011000011)</f>
        <v>1.2396669284446293</v>
      </c>
    </row>
    <row r="353" spans="1:37" hidden="1" x14ac:dyDescent="0.2">
      <c r="A353">
        <f>SUBTOTAL(3,$B$6:B353)</f>
        <v>0</v>
      </c>
      <c r="B353" t="s">
        <v>984</v>
      </c>
      <c r="C353" t="s">
        <v>883</v>
      </c>
      <c r="D353">
        <v>61.866999999999997</v>
      </c>
      <c r="E353">
        <v>1155.296</v>
      </c>
      <c r="G353">
        <v>2712.2809999999999</v>
      </c>
      <c r="H353">
        <v>1213.635</v>
      </c>
      <c r="I353">
        <v>0</v>
      </c>
      <c r="P353">
        <v>62.19</v>
      </c>
      <c r="Q353">
        <v>1181.02</v>
      </c>
      <c r="S353">
        <v>2656.9</v>
      </c>
      <c r="T353">
        <v>1211.24</v>
      </c>
      <c r="U353">
        <v>1324.36</v>
      </c>
      <c r="AB353" s="164">
        <v>40940</v>
      </c>
      <c r="AC353" s="164">
        <v>41639</v>
      </c>
      <c r="AD353" s="164">
        <v>41698</v>
      </c>
      <c r="AE353" s="34">
        <f>SUMPRODUCT(DB_STProjectsSOF[[#This Row],[Plan01]:[Plan12]],$D$4:$O$4)/valUnits2</f>
        <v>5.1430789999999993</v>
      </c>
      <c r="AF353" s="34">
        <f>SUMPRODUCT(DB_STProjectsSOF[[#This Row],[Act01]:[Act12]],$P$4:$AA$4)/valUnits2</f>
        <v>6.4357100000000003</v>
      </c>
      <c r="AG353" s="34">
        <f>DB_STProjectsSOF[[#This Row],[Actual]]-DB_STProjectsSOF[[#This Row],[Plan]]</f>
        <v>1.292631000000001</v>
      </c>
      <c r="AH353" s="34">
        <f>IF(DB_STProjectsSOF[[#This Row],[Plan]]&lt;&gt;0,DB_STProjectsSOF[[#This Row],[Actual]]/DB_STProjectsSOF[[#This Row],[Plan]],1.000011000011)</f>
        <v>1.2513340743939576</v>
      </c>
      <c r="AI353" s="34">
        <f>SUM(DB_STProjectsSOF[[#This Row],[Plan01]:[Plan12]])/valUnits2</f>
        <v>5.1430789999999993</v>
      </c>
      <c r="AJ353" s="34">
        <f>SUMPRODUCT(DB_STProjectsSOF[[#This Row],[Act01]:[Act12]],$P$3:$AA$3)/valUnits2</f>
        <v>6.4357100000000003</v>
      </c>
      <c r="AK353" s="34">
        <f>IF(DB_STProjectsSOF[[#This Row],[FY Plan]]&lt;&gt;0,DB_STProjectsSOF[[#This Row],[FY Actuals]]/DB_STProjectsSOF[[#This Row],[FY Plan]],1.000011000011)</f>
        <v>1.2513340743939576</v>
      </c>
    </row>
    <row r="354" spans="1:37" hidden="1" x14ac:dyDescent="0.2">
      <c r="A354">
        <f>SUBTOTAL(3,$B$6:B354)</f>
        <v>0</v>
      </c>
      <c r="B354" t="s">
        <v>984</v>
      </c>
      <c r="C354" t="s">
        <v>885</v>
      </c>
      <c r="E354">
        <v>295.779</v>
      </c>
      <c r="G354">
        <v>315.64499999999998</v>
      </c>
      <c r="H354">
        <v>1059.7750000000001</v>
      </c>
      <c r="I354">
        <v>0</v>
      </c>
      <c r="Q354">
        <v>295.77999999999997</v>
      </c>
      <c r="S354">
        <v>317.41999999999996</v>
      </c>
      <c r="T354">
        <v>1050.54</v>
      </c>
      <c r="U354">
        <v>363.62</v>
      </c>
      <c r="AB354" s="164">
        <v>40817</v>
      </c>
      <c r="AC354" s="164">
        <v>41639</v>
      </c>
      <c r="AD354" s="164">
        <v>41820</v>
      </c>
      <c r="AE354" s="34">
        <f>SUMPRODUCT(DB_STProjectsSOF[[#This Row],[Plan01]:[Plan12]],$D$4:$O$4)/valUnits2</f>
        <v>1.6711990000000001</v>
      </c>
      <c r="AF354" s="34">
        <f>SUMPRODUCT(DB_STProjectsSOF[[#This Row],[Act01]:[Act12]],$P$4:$AA$4)/valUnits2</f>
        <v>2.0273599999999998</v>
      </c>
      <c r="AG354" s="34">
        <f>DB_STProjectsSOF[[#This Row],[Actual]]-DB_STProjectsSOF[[#This Row],[Plan]]</f>
        <v>0.35616099999999973</v>
      </c>
      <c r="AH354" s="34">
        <f>IF(DB_STProjectsSOF[[#This Row],[Plan]]&lt;&gt;0,DB_STProjectsSOF[[#This Row],[Actual]]/DB_STProjectsSOF[[#This Row],[Plan]],1.000011000011)</f>
        <v>1.2131170494956014</v>
      </c>
      <c r="AI354" s="34">
        <f>SUM(DB_STProjectsSOF[[#This Row],[Plan01]:[Plan12]])/valUnits2</f>
        <v>1.6711990000000001</v>
      </c>
      <c r="AJ354" s="34">
        <f>SUMPRODUCT(DB_STProjectsSOF[[#This Row],[Act01]:[Act12]],$P$3:$AA$3)/valUnits2</f>
        <v>2.0273599999999998</v>
      </c>
      <c r="AK354" s="34">
        <f>IF(DB_STProjectsSOF[[#This Row],[FY Plan]]&lt;&gt;0,DB_STProjectsSOF[[#This Row],[FY Actuals]]/DB_STProjectsSOF[[#This Row],[FY Plan]],1.000011000011)</f>
        <v>1.2131170494956014</v>
      </c>
    </row>
    <row r="355" spans="1:37" hidden="1" x14ac:dyDescent="0.2">
      <c r="A355">
        <f>SUBTOTAL(3,$B$6:B355)</f>
        <v>0</v>
      </c>
      <c r="B355" t="s">
        <v>984</v>
      </c>
      <c r="C355" t="s">
        <v>891</v>
      </c>
      <c r="I355">
        <v>0</v>
      </c>
      <c r="U355">
        <v>428.56000000000006</v>
      </c>
      <c r="AB355" s="164">
        <v>41214</v>
      </c>
      <c r="AC355" s="164">
        <v>42308</v>
      </c>
      <c r="AD355" s="164">
        <v>42389</v>
      </c>
      <c r="AE355" s="34">
        <f>SUMPRODUCT(DB_STProjectsSOF[[#This Row],[Plan01]:[Plan12]],$D$4:$O$4)/valUnits2</f>
        <v>0</v>
      </c>
      <c r="AF355" s="34">
        <f>SUMPRODUCT(DB_STProjectsSOF[[#This Row],[Act01]:[Act12]],$P$4:$AA$4)/valUnits2</f>
        <v>0.42856000000000005</v>
      </c>
      <c r="AG355" s="34">
        <f>DB_STProjectsSOF[[#This Row],[Actual]]-DB_STProjectsSOF[[#This Row],[Plan]]</f>
        <v>0.42856000000000005</v>
      </c>
      <c r="AH355" s="34">
        <f>IF(DB_STProjectsSOF[[#This Row],[Plan]]&lt;&gt;0,DB_STProjectsSOF[[#This Row],[Actual]]/DB_STProjectsSOF[[#This Row],[Plan]],1.000011000011)</f>
        <v>1.0000110000110001</v>
      </c>
      <c r="AI355" s="34">
        <f>SUM(DB_STProjectsSOF[[#This Row],[Plan01]:[Plan12]])/valUnits2</f>
        <v>0</v>
      </c>
      <c r="AJ355" s="34">
        <f>SUMPRODUCT(DB_STProjectsSOF[[#This Row],[Act01]:[Act12]],$P$3:$AA$3)/valUnits2</f>
        <v>0.42856000000000005</v>
      </c>
      <c r="AK355" s="34">
        <f>IF(DB_STProjectsSOF[[#This Row],[FY Plan]]&lt;&gt;0,DB_STProjectsSOF[[#This Row],[FY Actuals]]/DB_STProjectsSOF[[#This Row],[FY Plan]],1.000011000011)</f>
        <v>1.0000110000110001</v>
      </c>
    </row>
    <row r="356" spans="1:37" hidden="1" x14ac:dyDescent="0.2">
      <c r="A356">
        <f>SUBTOTAL(3,$B$6:B356)</f>
        <v>0</v>
      </c>
      <c r="B356" t="s">
        <v>984</v>
      </c>
      <c r="C356" t="s">
        <v>895</v>
      </c>
      <c r="E356">
        <v>311.18400000000003</v>
      </c>
      <c r="F356">
        <v>307.41800000000001</v>
      </c>
      <c r="G356">
        <v>462.71100000000001</v>
      </c>
      <c r="H356">
        <v>574.93100000000004</v>
      </c>
      <c r="I356">
        <v>0</v>
      </c>
      <c r="Q356">
        <v>317.70999999999998</v>
      </c>
      <c r="R356">
        <v>310.2</v>
      </c>
      <c r="S356">
        <v>458.78999999999996</v>
      </c>
      <c r="T356">
        <v>577.86</v>
      </c>
      <c r="U356">
        <v>317.43</v>
      </c>
      <c r="AB356" s="164">
        <v>40553</v>
      </c>
      <c r="AC356" s="164">
        <v>41897</v>
      </c>
      <c r="AD356" s="164">
        <v>41988</v>
      </c>
      <c r="AE356" s="34">
        <f>SUMPRODUCT(DB_STProjectsSOF[[#This Row],[Plan01]:[Plan12]],$D$4:$O$4)/valUnits2</f>
        <v>1.656244</v>
      </c>
      <c r="AF356" s="34">
        <f>SUMPRODUCT(DB_STProjectsSOF[[#This Row],[Act01]:[Act12]],$P$4:$AA$4)/valUnits2</f>
        <v>1.9819899999999999</v>
      </c>
      <c r="AG356" s="34">
        <f>DB_STProjectsSOF[[#This Row],[Actual]]-DB_STProjectsSOF[[#This Row],[Plan]]</f>
        <v>0.32574599999999987</v>
      </c>
      <c r="AH356" s="34">
        <f>IF(DB_STProjectsSOF[[#This Row],[Plan]]&lt;&gt;0,DB_STProjectsSOF[[#This Row],[Actual]]/DB_STProjectsSOF[[#This Row],[Plan]],1.000011000011)</f>
        <v>1.1966775426809093</v>
      </c>
      <c r="AI356" s="34">
        <f>SUM(DB_STProjectsSOF[[#This Row],[Plan01]:[Plan12]])/valUnits2</f>
        <v>1.656244</v>
      </c>
      <c r="AJ356" s="34">
        <f>SUMPRODUCT(DB_STProjectsSOF[[#This Row],[Act01]:[Act12]],$P$3:$AA$3)/valUnits2</f>
        <v>1.9819899999999999</v>
      </c>
      <c r="AK356" s="34">
        <f>IF(DB_STProjectsSOF[[#This Row],[FY Plan]]&lt;&gt;0,DB_STProjectsSOF[[#This Row],[FY Actuals]]/DB_STProjectsSOF[[#This Row],[FY Plan]],1.000011000011)</f>
        <v>1.1966775426809093</v>
      </c>
    </row>
    <row r="357" spans="1:37" hidden="1" x14ac:dyDescent="0.2">
      <c r="A357">
        <f>SUBTOTAL(3,$B$6:B357)</f>
        <v>0</v>
      </c>
      <c r="B357" t="s">
        <v>984</v>
      </c>
      <c r="C357" t="s">
        <v>896</v>
      </c>
      <c r="E357">
        <v>304.755</v>
      </c>
      <c r="G357">
        <v>450.93299999999999</v>
      </c>
      <c r="H357">
        <v>1513.953</v>
      </c>
      <c r="I357">
        <v>0</v>
      </c>
      <c r="Q357">
        <v>304.76</v>
      </c>
      <c r="S357">
        <v>453.46</v>
      </c>
      <c r="T357">
        <v>1500.78</v>
      </c>
      <c r="U357">
        <v>155.82999999999998</v>
      </c>
      <c r="AB357" s="164">
        <v>40817</v>
      </c>
      <c r="AC357" s="164">
        <v>41639</v>
      </c>
      <c r="AD357" s="164">
        <v>41820</v>
      </c>
      <c r="AE357" s="34">
        <f>SUMPRODUCT(DB_STProjectsSOF[[#This Row],[Plan01]:[Plan12]],$D$4:$O$4)/valUnits2</f>
        <v>2.269641</v>
      </c>
      <c r="AF357" s="34">
        <f>SUMPRODUCT(DB_STProjectsSOF[[#This Row],[Act01]:[Act12]],$P$4:$AA$4)/valUnits2</f>
        <v>2.4148299999999998</v>
      </c>
      <c r="AG357" s="34">
        <f>DB_STProjectsSOF[[#This Row],[Actual]]-DB_STProjectsSOF[[#This Row],[Plan]]</f>
        <v>0.14518899999999979</v>
      </c>
      <c r="AH357" s="34">
        <f>IF(DB_STProjectsSOF[[#This Row],[Plan]]&lt;&gt;0,DB_STProjectsSOF[[#This Row],[Actual]]/DB_STProjectsSOF[[#This Row],[Plan]],1.000011000011)</f>
        <v>1.0639700287402281</v>
      </c>
      <c r="AI357" s="34">
        <f>SUM(DB_STProjectsSOF[[#This Row],[Plan01]:[Plan12]])/valUnits2</f>
        <v>2.269641</v>
      </c>
      <c r="AJ357" s="34">
        <f>SUMPRODUCT(DB_STProjectsSOF[[#This Row],[Act01]:[Act12]],$P$3:$AA$3)/valUnits2</f>
        <v>2.4148299999999998</v>
      </c>
      <c r="AK357" s="34">
        <f>IF(DB_STProjectsSOF[[#This Row],[FY Plan]]&lt;&gt;0,DB_STProjectsSOF[[#This Row],[FY Actuals]]/DB_STProjectsSOF[[#This Row],[FY Plan]],1.000011000011)</f>
        <v>1.0639700287402281</v>
      </c>
    </row>
    <row r="358" spans="1:37" hidden="1" x14ac:dyDescent="0.2">
      <c r="A358">
        <f>SUBTOTAL(3,$B$6:B358)</f>
        <v>0</v>
      </c>
      <c r="B358" t="s">
        <v>984</v>
      </c>
      <c r="C358" t="s">
        <v>909</v>
      </c>
      <c r="E358">
        <v>820.35</v>
      </c>
      <c r="F358">
        <v>829.97</v>
      </c>
      <c r="G358">
        <v>113.69</v>
      </c>
      <c r="H358">
        <v>53.68</v>
      </c>
      <c r="I358">
        <v>0</v>
      </c>
      <c r="Q358">
        <v>820.35</v>
      </c>
      <c r="R358">
        <v>829.97</v>
      </c>
      <c r="S358">
        <v>113.69</v>
      </c>
      <c r="T358">
        <v>53.68</v>
      </c>
      <c r="U358">
        <v>61.3</v>
      </c>
      <c r="AB358" s="164">
        <v>40817</v>
      </c>
      <c r="AC358" s="164">
        <v>42155</v>
      </c>
      <c r="AD358" s="164">
        <v>42217</v>
      </c>
      <c r="AE358" s="34">
        <f>SUMPRODUCT(DB_STProjectsSOF[[#This Row],[Plan01]:[Plan12]],$D$4:$O$4)/valUnits2</f>
        <v>1.8176900000000002</v>
      </c>
      <c r="AF358" s="34">
        <f>SUMPRODUCT(DB_STProjectsSOF[[#This Row],[Act01]:[Act12]],$P$4:$AA$4)/valUnits2</f>
        <v>1.8789900000000002</v>
      </c>
      <c r="AG358" s="34">
        <f>DB_STProjectsSOF[[#This Row],[Actual]]-DB_STProjectsSOF[[#This Row],[Plan]]</f>
        <v>6.129999999999991E-2</v>
      </c>
      <c r="AH358" s="34">
        <f>IF(DB_STProjectsSOF[[#This Row],[Plan]]&lt;&gt;0,DB_STProjectsSOF[[#This Row],[Actual]]/DB_STProjectsSOF[[#This Row],[Plan]],1.000011000011)</f>
        <v>1.0337241223751024</v>
      </c>
      <c r="AI358" s="34">
        <f>SUM(DB_STProjectsSOF[[#This Row],[Plan01]:[Plan12]])/valUnits2</f>
        <v>1.8176900000000002</v>
      </c>
      <c r="AJ358" s="34">
        <f>SUMPRODUCT(DB_STProjectsSOF[[#This Row],[Act01]:[Act12]],$P$3:$AA$3)/valUnits2</f>
        <v>1.8789900000000002</v>
      </c>
      <c r="AK358" s="34">
        <f>IF(DB_STProjectsSOF[[#This Row],[FY Plan]]&lt;&gt;0,DB_STProjectsSOF[[#This Row],[FY Actuals]]/DB_STProjectsSOF[[#This Row],[FY Plan]],1.000011000011)</f>
        <v>1.0337241223751024</v>
      </c>
    </row>
    <row r="359" spans="1:37" hidden="1" x14ac:dyDescent="0.2">
      <c r="A359">
        <f>SUBTOTAL(3,$B$6:B359)</f>
        <v>0</v>
      </c>
      <c r="B359" t="s">
        <v>984</v>
      </c>
      <c r="C359" t="s">
        <v>915</v>
      </c>
      <c r="H359">
        <v>2423.7060000000001</v>
      </c>
      <c r="I359">
        <v>0</v>
      </c>
      <c r="T359">
        <v>2490.4299999999998</v>
      </c>
      <c r="U359">
        <v>674.41</v>
      </c>
      <c r="AB359" s="164">
        <v>41061</v>
      </c>
      <c r="AC359" s="164">
        <v>42155</v>
      </c>
      <c r="AD359" s="164">
        <v>42185</v>
      </c>
      <c r="AE359" s="34">
        <f>SUMPRODUCT(DB_STProjectsSOF[[#This Row],[Plan01]:[Plan12]],$D$4:$O$4)/valUnits2</f>
        <v>2.4237060000000001</v>
      </c>
      <c r="AF359" s="34">
        <f>SUMPRODUCT(DB_STProjectsSOF[[#This Row],[Act01]:[Act12]],$P$4:$AA$4)/valUnits2</f>
        <v>3.1648399999999999</v>
      </c>
      <c r="AG359" s="34">
        <f>DB_STProjectsSOF[[#This Row],[Actual]]-DB_STProjectsSOF[[#This Row],[Plan]]</f>
        <v>0.74113399999999974</v>
      </c>
      <c r="AH359" s="34">
        <f>IF(DB_STProjectsSOF[[#This Row],[Plan]]&lt;&gt;0,DB_STProjectsSOF[[#This Row],[Actual]]/DB_STProjectsSOF[[#This Row],[Plan]],1.000011000011)</f>
        <v>1.3057854376727209</v>
      </c>
      <c r="AI359" s="34">
        <f>SUM(DB_STProjectsSOF[[#This Row],[Plan01]:[Plan12]])/valUnits2</f>
        <v>2.4237060000000001</v>
      </c>
      <c r="AJ359" s="34">
        <f>SUMPRODUCT(DB_STProjectsSOF[[#This Row],[Act01]:[Act12]],$P$3:$AA$3)/valUnits2</f>
        <v>3.1648399999999999</v>
      </c>
      <c r="AK359" s="34">
        <f>IF(DB_STProjectsSOF[[#This Row],[FY Plan]]&lt;&gt;0,DB_STProjectsSOF[[#This Row],[FY Actuals]]/DB_STProjectsSOF[[#This Row],[FY Plan]],1.000011000011)</f>
        <v>1.3057854376727209</v>
      </c>
    </row>
    <row r="360" spans="1:37" hidden="1" x14ac:dyDescent="0.2">
      <c r="A360">
        <f>SUBTOTAL(3,$B$6:B360)</f>
        <v>0</v>
      </c>
      <c r="B360" t="s">
        <v>984</v>
      </c>
      <c r="C360" t="s">
        <v>927</v>
      </c>
      <c r="E360">
        <v>109.85</v>
      </c>
      <c r="F360">
        <v>126.36999999999999</v>
      </c>
      <c r="G360">
        <v>227.38</v>
      </c>
      <c r="H360">
        <v>107.33999999999999</v>
      </c>
      <c r="I360">
        <v>0</v>
      </c>
      <c r="Q360">
        <v>109.85</v>
      </c>
      <c r="R360">
        <v>126.36999999999999</v>
      </c>
      <c r="S360">
        <v>227.38</v>
      </c>
      <c r="T360">
        <v>107.33999999999999</v>
      </c>
      <c r="U360">
        <v>122.6</v>
      </c>
      <c r="AB360" s="164">
        <v>40817</v>
      </c>
      <c r="AC360" s="164">
        <v>42052</v>
      </c>
      <c r="AD360" s="164">
        <v>42141</v>
      </c>
      <c r="AE360" s="34">
        <f>SUMPRODUCT(DB_STProjectsSOF[[#This Row],[Plan01]:[Plan12]],$D$4:$O$4)/valUnits2</f>
        <v>0.57093999999999989</v>
      </c>
      <c r="AF360" s="34">
        <f>SUMPRODUCT(DB_STProjectsSOF[[#This Row],[Act01]:[Act12]],$P$4:$AA$4)/valUnits2</f>
        <v>0.69353999999999993</v>
      </c>
      <c r="AG360" s="34">
        <f>DB_STProjectsSOF[[#This Row],[Actual]]-DB_STProjectsSOF[[#This Row],[Plan]]</f>
        <v>0.12260000000000004</v>
      </c>
      <c r="AH360" s="34">
        <f>IF(DB_STProjectsSOF[[#This Row],[Plan]]&lt;&gt;0,DB_STProjectsSOF[[#This Row],[Actual]]/DB_STProjectsSOF[[#This Row],[Plan]],1.000011000011)</f>
        <v>1.2147335972256281</v>
      </c>
      <c r="AI360" s="34">
        <f>SUM(DB_STProjectsSOF[[#This Row],[Plan01]:[Plan12]])/valUnits2</f>
        <v>0.57093999999999989</v>
      </c>
      <c r="AJ360" s="34">
        <f>SUMPRODUCT(DB_STProjectsSOF[[#This Row],[Act01]:[Act12]],$P$3:$AA$3)/valUnits2</f>
        <v>0.69353999999999993</v>
      </c>
      <c r="AK360" s="34">
        <f>IF(DB_STProjectsSOF[[#This Row],[FY Plan]]&lt;&gt;0,DB_STProjectsSOF[[#This Row],[FY Actuals]]/DB_STProjectsSOF[[#This Row],[FY Plan]],1.000011000011)</f>
        <v>1.2147335972256281</v>
      </c>
    </row>
    <row r="361" spans="1:37" hidden="1" x14ac:dyDescent="0.2">
      <c r="A361">
        <f>SUBTOTAL(3,$B$6:B361)</f>
        <v>0</v>
      </c>
      <c r="B361" t="s">
        <v>984</v>
      </c>
      <c r="C361" t="s">
        <v>930</v>
      </c>
      <c r="E361">
        <v>164.76</v>
      </c>
      <c r="F361">
        <v>189.54</v>
      </c>
      <c r="G361">
        <v>341.06</v>
      </c>
      <c r="H361">
        <v>331.71</v>
      </c>
      <c r="I361">
        <v>0</v>
      </c>
      <c r="Q361">
        <v>164.76</v>
      </c>
      <c r="R361">
        <v>189.54000000000002</v>
      </c>
      <c r="S361">
        <v>341.06</v>
      </c>
      <c r="T361">
        <v>331.71</v>
      </c>
      <c r="U361">
        <v>183.9</v>
      </c>
      <c r="AB361" s="164">
        <v>40848</v>
      </c>
      <c r="AC361" s="164">
        <v>41729</v>
      </c>
      <c r="AD361" s="164">
        <v>41654</v>
      </c>
      <c r="AE361" s="34">
        <f>SUMPRODUCT(DB_STProjectsSOF[[#This Row],[Plan01]:[Plan12]],$D$4:$O$4)/valUnits2</f>
        <v>1.0270699999999999</v>
      </c>
      <c r="AF361" s="34">
        <f>SUMPRODUCT(DB_STProjectsSOF[[#This Row],[Act01]:[Act12]],$P$4:$AA$4)/valUnits2</f>
        <v>1.2109700000000001</v>
      </c>
      <c r="AG361" s="34">
        <f>DB_STProjectsSOF[[#This Row],[Actual]]-DB_STProjectsSOF[[#This Row],[Plan]]</f>
        <v>0.18390000000000017</v>
      </c>
      <c r="AH361" s="34">
        <f>IF(DB_STProjectsSOF[[#This Row],[Plan]]&lt;&gt;0,DB_STProjectsSOF[[#This Row],[Actual]]/DB_STProjectsSOF[[#This Row],[Plan]],1.000011000011)</f>
        <v>1.1790530343598782</v>
      </c>
      <c r="AI361" s="34">
        <f>SUM(DB_STProjectsSOF[[#This Row],[Plan01]:[Plan12]])/valUnits2</f>
        <v>1.0270699999999999</v>
      </c>
      <c r="AJ361" s="34">
        <f>SUMPRODUCT(DB_STProjectsSOF[[#This Row],[Act01]:[Act12]],$P$3:$AA$3)/valUnits2</f>
        <v>1.2109700000000001</v>
      </c>
      <c r="AK361" s="34">
        <f>IF(DB_STProjectsSOF[[#This Row],[FY Plan]]&lt;&gt;0,DB_STProjectsSOF[[#This Row],[FY Actuals]]/DB_STProjectsSOF[[#This Row],[FY Plan]],1.000011000011)</f>
        <v>1.1790530343598782</v>
      </c>
    </row>
    <row r="362" spans="1:37" hidden="1" x14ac:dyDescent="0.2">
      <c r="A362">
        <f>SUBTOTAL(3,$B$6:B362)</f>
        <v>0</v>
      </c>
      <c r="B362" t="s">
        <v>984</v>
      </c>
      <c r="C362" t="s">
        <v>935</v>
      </c>
      <c r="E362">
        <v>115.527</v>
      </c>
      <c r="F362">
        <v>144.68899999999999</v>
      </c>
      <c r="G362">
        <v>117.36499999999999</v>
      </c>
      <c r="H362">
        <v>117.732</v>
      </c>
      <c r="I362">
        <v>163.54399999999998</v>
      </c>
      <c r="J362">
        <v>163.54399999999998</v>
      </c>
      <c r="K362">
        <v>163.54399999999998</v>
      </c>
      <c r="L362">
        <v>163.54399999999998</v>
      </c>
      <c r="M362">
        <v>163.54399999999998</v>
      </c>
      <c r="N362">
        <v>163.54399999999998</v>
      </c>
      <c r="O362">
        <v>163.54399999999998</v>
      </c>
      <c r="Q362">
        <v>118.1</v>
      </c>
      <c r="R362">
        <v>143.88</v>
      </c>
      <c r="S362">
        <v>115.61</v>
      </c>
      <c r="T362">
        <v>117.5</v>
      </c>
      <c r="U362">
        <v>214.28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s="164">
        <v>41000</v>
      </c>
      <c r="AC362" s="164">
        <v>42094</v>
      </c>
      <c r="AD362" s="164">
        <v>42124</v>
      </c>
      <c r="AE362" s="34">
        <f>SUMPRODUCT(DB_STProjectsSOF[[#This Row],[Plan01]:[Plan12]],$D$4:$O$4)/valUnits2</f>
        <v>0.65885700000000003</v>
      </c>
      <c r="AF362" s="34">
        <f>SUMPRODUCT(DB_STProjectsSOF[[#This Row],[Act01]:[Act12]],$P$4:$AA$4)/valUnits2</f>
        <v>0.70937000000000006</v>
      </c>
      <c r="AG362" s="34">
        <f>DB_STProjectsSOF[[#This Row],[Actual]]-DB_STProjectsSOF[[#This Row],[Plan]]</f>
        <v>5.051300000000003E-2</v>
      </c>
      <c r="AH362" s="34">
        <f>IF(DB_STProjectsSOF[[#This Row],[Plan]]&lt;&gt;0,DB_STProjectsSOF[[#This Row],[Actual]]/DB_STProjectsSOF[[#This Row],[Plan]],1.000011000011)</f>
        <v>1.0766676228680883</v>
      </c>
      <c r="AI362" s="34">
        <f>SUM(DB_STProjectsSOF[[#This Row],[Plan01]:[Plan12]])/valUnits2</f>
        <v>1.6401209999999997</v>
      </c>
      <c r="AJ362" s="34">
        <f>SUMPRODUCT(DB_STProjectsSOF[[#This Row],[Act01]:[Act12]],$P$3:$AA$3)/valUnits2</f>
        <v>0.70937000000000006</v>
      </c>
      <c r="AK362" s="34">
        <f>IF(DB_STProjectsSOF[[#This Row],[FY Plan]]&lt;&gt;0,DB_STProjectsSOF[[#This Row],[FY Actuals]]/DB_STProjectsSOF[[#This Row],[FY Plan]],1.000011000011)</f>
        <v>0.43251077207108513</v>
      </c>
    </row>
    <row r="363" spans="1:37" hidden="1" x14ac:dyDescent="0.2">
      <c r="A363">
        <f>SUBTOTAL(3,$B$6:B363)</f>
        <v>0</v>
      </c>
      <c r="B363" t="s">
        <v>950</v>
      </c>
      <c r="C363" t="s">
        <v>858</v>
      </c>
      <c r="D363">
        <v>10627.640000000001</v>
      </c>
      <c r="E363">
        <v>13504.11</v>
      </c>
      <c r="F363">
        <v>16400.11</v>
      </c>
      <c r="G363">
        <v>10183.049999999999</v>
      </c>
      <c r="H363">
        <v>12674.94</v>
      </c>
      <c r="I363">
        <v>15299.603000000003</v>
      </c>
      <c r="J363">
        <v>15299.603000000003</v>
      </c>
      <c r="K363">
        <v>17769.601000000002</v>
      </c>
      <c r="L363">
        <v>15299.603000000003</v>
      </c>
      <c r="M363">
        <v>15299.603000000001</v>
      </c>
      <c r="N363">
        <v>15299.603000000003</v>
      </c>
      <c r="O363">
        <v>15299.603000000003</v>
      </c>
      <c r="P363">
        <v>10627.640000000001</v>
      </c>
      <c r="Q363">
        <v>13504.110000000002</v>
      </c>
      <c r="R363">
        <v>16400.11</v>
      </c>
      <c r="S363">
        <v>10362.23</v>
      </c>
      <c r="T363">
        <v>12674.94</v>
      </c>
      <c r="U363">
        <v>14755.19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s="164">
        <v>41275</v>
      </c>
      <c r="AC363" s="164">
        <v>41639</v>
      </c>
      <c r="AD363" s="164">
        <v>41784</v>
      </c>
      <c r="AE363" s="34">
        <f>SUMPRODUCT(DB_STProjectsSOF[[#This Row],[Plan01]:[Plan12]],$D$4:$O$4)/valUnits2</f>
        <v>78.689453000000015</v>
      </c>
      <c r="AF363" s="34">
        <f>SUMPRODUCT(DB_STProjectsSOF[[#This Row],[Act01]:[Act12]],$P$4:$AA$4)/valUnits2</f>
        <v>78.324219999999997</v>
      </c>
      <c r="AG363" s="34">
        <f>DB_STProjectsSOF[[#This Row],[Actual]]-DB_STProjectsSOF[[#This Row],[Plan]]</f>
        <v>-0.36523300000001768</v>
      </c>
      <c r="AH363" s="34">
        <f>IF(DB_STProjectsSOF[[#This Row],[Plan]]&lt;&gt;0,DB_STProjectsSOF[[#This Row],[Actual]]/DB_STProjectsSOF[[#This Row],[Plan]],1.000011000011)</f>
        <v>0.99535855205398338</v>
      </c>
      <c r="AI363" s="34">
        <f>SUM(DB_STProjectsSOF[[#This Row],[Plan01]:[Plan12]])/valUnits2</f>
        <v>172.95706900000002</v>
      </c>
      <c r="AJ363" s="34">
        <f>SUMPRODUCT(DB_STProjectsSOF[[#This Row],[Act01]:[Act12]],$P$3:$AA$3)/valUnits2</f>
        <v>78.324219999999997</v>
      </c>
      <c r="AK363" s="34">
        <f>IF(DB_STProjectsSOF[[#This Row],[FY Plan]]&lt;&gt;0,DB_STProjectsSOF[[#This Row],[FY Actuals]]/DB_STProjectsSOF[[#This Row],[FY Plan]],1.000011000011)</f>
        <v>0.45285353442246407</v>
      </c>
    </row>
    <row r="364" spans="1:37" hidden="1" x14ac:dyDescent="0.2">
      <c r="A364">
        <f>SUBTOTAL(3,$B$6:B364)</f>
        <v>0</v>
      </c>
      <c r="B364" t="s">
        <v>950</v>
      </c>
      <c r="C364" t="s">
        <v>905</v>
      </c>
      <c r="D364">
        <v>116.46000000000001</v>
      </c>
      <c r="E364">
        <v>0</v>
      </c>
      <c r="F364">
        <v>0</v>
      </c>
      <c r="G364">
        <v>5.53</v>
      </c>
      <c r="H364">
        <v>-121.99000000000001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116.46000000000001</v>
      </c>
      <c r="Q364">
        <v>0</v>
      </c>
      <c r="R364">
        <v>0</v>
      </c>
      <c r="S364">
        <v>5.53</v>
      </c>
      <c r="T364">
        <v>-121.99000000000001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s="164">
        <v>40909</v>
      </c>
      <c r="AC364" s="164">
        <v>41274</v>
      </c>
      <c r="AD364" s="164">
        <v>41364</v>
      </c>
      <c r="AE364" s="34">
        <f>SUMPRODUCT(DB_STProjectsSOF[[#This Row],[Plan01]:[Plan12]],$D$4:$O$4)/valUnits2</f>
        <v>0</v>
      </c>
      <c r="AF364" s="34">
        <f>SUMPRODUCT(DB_STProjectsSOF[[#This Row],[Act01]:[Act12]],$P$4:$AA$4)/valUnits2</f>
        <v>0</v>
      </c>
      <c r="AG364" s="34">
        <f>DB_STProjectsSOF[[#This Row],[Actual]]-DB_STProjectsSOF[[#This Row],[Plan]]</f>
        <v>0</v>
      </c>
      <c r="AH364" s="34">
        <f>IF(DB_STProjectsSOF[[#This Row],[Plan]]&lt;&gt;0,DB_STProjectsSOF[[#This Row],[Actual]]/DB_STProjectsSOF[[#This Row],[Plan]],1.000011000011)</f>
        <v>1.0000110000110001</v>
      </c>
      <c r="AI364" s="34">
        <f>SUM(DB_STProjectsSOF[[#This Row],[Plan01]:[Plan12]])/valUnits2</f>
        <v>0</v>
      </c>
      <c r="AJ364" s="34">
        <f>SUMPRODUCT(DB_STProjectsSOF[[#This Row],[Act01]:[Act12]],$P$3:$AA$3)/valUnits2</f>
        <v>0</v>
      </c>
      <c r="AK364" s="34">
        <f>IF(DB_STProjectsSOF[[#This Row],[FY Plan]]&lt;&gt;0,DB_STProjectsSOF[[#This Row],[FY Actuals]]/DB_STProjectsSOF[[#This Row],[FY Plan]],1.000011000011)</f>
        <v>1.0000110000110001</v>
      </c>
    </row>
    <row r="365" spans="1:37" hidden="1" x14ac:dyDescent="0.2">
      <c r="A365">
        <f>SUBTOTAL(3,$B$6:B365)</f>
        <v>0</v>
      </c>
      <c r="B365" t="s">
        <v>946</v>
      </c>
      <c r="C365" t="s">
        <v>843</v>
      </c>
      <c r="G365">
        <v>0</v>
      </c>
      <c r="H365">
        <v>0</v>
      </c>
      <c r="I365">
        <v>879.74599999999998</v>
      </c>
      <c r="J365">
        <v>879.74599999999998</v>
      </c>
      <c r="K365">
        <v>879.74599999999998</v>
      </c>
      <c r="L365">
        <v>879.74599999999998</v>
      </c>
      <c r="M365">
        <v>879.74599999999998</v>
      </c>
      <c r="N365">
        <v>879.74599999999998</v>
      </c>
      <c r="O365">
        <v>879.74599999999998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s="164">
        <v>41275</v>
      </c>
      <c r="AC365" s="164">
        <v>42369</v>
      </c>
      <c r="AD365" s="164">
        <v>42492</v>
      </c>
      <c r="AE365" s="34">
        <f>SUMPRODUCT(DB_STProjectsSOF[[#This Row],[Plan01]:[Plan12]],$D$4:$O$4)/valUnits2</f>
        <v>0.87974600000000003</v>
      </c>
      <c r="AF365" s="34">
        <f>SUMPRODUCT(DB_STProjectsSOF[[#This Row],[Act01]:[Act12]],$P$4:$AA$4)/valUnits2</f>
        <v>0</v>
      </c>
      <c r="AG365" s="34">
        <f>DB_STProjectsSOF[[#This Row],[Actual]]-DB_STProjectsSOF[[#This Row],[Plan]]</f>
        <v>-0.87974600000000003</v>
      </c>
      <c r="AH365" s="34">
        <f>IF(DB_STProjectsSOF[[#This Row],[Plan]]&lt;&gt;0,DB_STProjectsSOF[[#This Row],[Actual]]/DB_STProjectsSOF[[#This Row],[Plan]],1.000011000011)</f>
        <v>0</v>
      </c>
      <c r="AI365" s="34">
        <f>SUM(DB_STProjectsSOF[[#This Row],[Plan01]:[Plan12]])/valUnits2</f>
        <v>6.1582219999999994</v>
      </c>
      <c r="AJ365" s="34">
        <f>SUMPRODUCT(DB_STProjectsSOF[[#This Row],[Act01]:[Act12]],$P$3:$AA$3)/valUnits2</f>
        <v>0</v>
      </c>
      <c r="AK365" s="34">
        <f>IF(DB_STProjectsSOF[[#This Row],[FY Plan]]&lt;&gt;0,DB_STProjectsSOF[[#This Row],[FY Actuals]]/DB_STProjectsSOF[[#This Row],[FY Plan]],1.000011000011)</f>
        <v>0</v>
      </c>
    </row>
    <row r="366" spans="1:37" hidden="1" x14ac:dyDescent="0.2">
      <c r="A366">
        <f>SUBTOTAL(3,$B$6:B366)</f>
        <v>0</v>
      </c>
      <c r="B366" t="s">
        <v>946</v>
      </c>
      <c r="C366" t="s">
        <v>849</v>
      </c>
      <c r="G366">
        <v>0</v>
      </c>
      <c r="H366">
        <v>0</v>
      </c>
      <c r="S366">
        <v>0</v>
      </c>
      <c r="T366">
        <v>0</v>
      </c>
      <c r="AB366" s="164">
        <v>41153</v>
      </c>
      <c r="AC366" s="164">
        <v>41364</v>
      </c>
      <c r="AD366" s="164">
        <v>41424</v>
      </c>
      <c r="AE366" s="34">
        <f>SUMPRODUCT(DB_STProjectsSOF[[#This Row],[Plan01]:[Plan12]],$D$4:$O$4)/valUnits2</f>
        <v>0</v>
      </c>
      <c r="AF366" s="34">
        <f>SUMPRODUCT(DB_STProjectsSOF[[#This Row],[Act01]:[Act12]],$P$4:$AA$4)/valUnits2</f>
        <v>0</v>
      </c>
      <c r="AG366" s="34">
        <f>DB_STProjectsSOF[[#This Row],[Actual]]-DB_STProjectsSOF[[#This Row],[Plan]]</f>
        <v>0</v>
      </c>
      <c r="AH366" s="34">
        <f>IF(DB_STProjectsSOF[[#This Row],[Plan]]&lt;&gt;0,DB_STProjectsSOF[[#This Row],[Actual]]/DB_STProjectsSOF[[#This Row],[Plan]],1.000011000011)</f>
        <v>1.0000110000110001</v>
      </c>
      <c r="AI366" s="34">
        <f>SUM(DB_STProjectsSOF[[#This Row],[Plan01]:[Plan12]])/valUnits2</f>
        <v>0</v>
      </c>
      <c r="AJ366" s="34">
        <f>SUMPRODUCT(DB_STProjectsSOF[[#This Row],[Act01]:[Act12]],$P$3:$AA$3)/valUnits2</f>
        <v>0</v>
      </c>
      <c r="AK366" s="34">
        <f>IF(DB_STProjectsSOF[[#This Row],[FY Plan]]&lt;&gt;0,DB_STProjectsSOF[[#This Row],[FY Actuals]]/DB_STProjectsSOF[[#This Row],[FY Plan]],1.000011000011)</f>
        <v>1.0000110000110001</v>
      </c>
    </row>
    <row r="367" spans="1:37" hidden="1" x14ac:dyDescent="0.2">
      <c r="A367">
        <f>SUBTOTAL(3,$B$6:B367)</f>
        <v>0</v>
      </c>
      <c r="B367" t="s">
        <v>946</v>
      </c>
      <c r="C367" t="s">
        <v>850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170.35399999999998</v>
      </c>
      <c r="J367">
        <v>170.35399999999998</v>
      </c>
      <c r="K367">
        <v>170.35399999999998</v>
      </c>
      <c r="L367">
        <v>170.35399999999998</v>
      </c>
      <c r="M367">
        <v>170.35399999999998</v>
      </c>
      <c r="N367">
        <v>170.35399999999998</v>
      </c>
      <c r="O367">
        <v>170.35399999999998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s="164">
        <v>40817</v>
      </c>
      <c r="AC367" s="164">
        <v>41639</v>
      </c>
      <c r="AD367" s="164">
        <v>41820</v>
      </c>
      <c r="AE367" s="34">
        <f>SUMPRODUCT(DB_STProjectsSOF[[#This Row],[Plan01]:[Plan12]],$D$4:$O$4)/valUnits2</f>
        <v>0.17035399999999998</v>
      </c>
      <c r="AF367" s="34">
        <f>SUMPRODUCT(DB_STProjectsSOF[[#This Row],[Act01]:[Act12]],$P$4:$AA$4)/valUnits2</f>
        <v>0</v>
      </c>
      <c r="AG367" s="34">
        <f>DB_STProjectsSOF[[#This Row],[Actual]]-DB_STProjectsSOF[[#This Row],[Plan]]</f>
        <v>-0.17035399999999998</v>
      </c>
      <c r="AH367" s="34">
        <f>IF(DB_STProjectsSOF[[#This Row],[Plan]]&lt;&gt;0,DB_STProjectsSOF[[#This Row],[Actual]]/DB_STProjectsSOF[[#This Row],[Plan]],1.000011000011)</f>
        <v>0</v>
      </c>
      <c r="AI367" s="34">
        <f>SUM(DB_STProjectsSOF[[#This Row],[Plan01]:[Plan12]])/valUnits2</f>
        <v>1.1924780000000001</v>
      </c>
      <c r="AJ367" s="34">
        <f>SUMPRODUCT(DB_STProjectsSOF[[#This Row],[Act01]:[Act12]],$P$3:$AA$3)/valUnits2</f>
        <v>0</v>
      </c>
      <c r="AK367" s="34">
        <f>IF(DB_STProjectsSOF[[#This Row],[FY Plan]]&lt;&gt;0,DB_STProjectsSOF[[#This Row],[FY Actuals]]/DB_STProjectsSOF[[#This Row],[FY Plan]],1.000011000011)</f>
        <v>0</v>
      </c>
    </row>
    <row r="368" spans="1:37" hidden="1" x14ac:dyDescent="0.2">
      <c r="A368">
        <f>SUBTOTAL(3,$B$6:B368)</f>
        <v>0</v>
      </c>
      <c r="B368" t="s">
        <v>946</v>
      </c>
      <c r="C368" t="s">
        <v>853</v>
      </c>
      <c r="G368">
        <v>0</v>
      </c>
      <c r="H368">
        <v>0</v>
      </c>
      <c r="I368">
        <v>16.921999999999997</v>
      </c>
      <c r="J368">
        <v>16.921999999999997</v>
      </c>
      <c r="K368">
        <v>16.921999999999997</v>
      </c>
      <c r="L368">
        <v>16.921999999999997</v>
      </c>
      <c r="M368">
        <v>16.921999999999997</v>
      </c>
      <c r="N368">
        <v>16.921999999999997</v>
      </c>
      <c r="O368">
        <v>16.921999999999997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s="164">
        <v>41275</v>
      </c>
      <c r="AC368" s="164">
        <v>41639</v>
      </c>
      <c r="AD368" s="164">
        <v>41669</v>
      </c>
      <c r="AE368" s="34">
        <f>SUMPRODUCT(DB_STProjectsSOF[[#This Row],[Plan01]:[Plan12]],$D$4:$O$4)/valUnits2</f>
        <v>1.6921999999999996E-2</v>
      </c>
      <c r="AF368" s="34">
        <f>SUMPRODUCT(DB_STProjectsSOF[[#This Row],[Act01]:[Act12]],$P$4:$AA$4)/valUnits2</f>
        <v>0</v>
      </c>
      <c r="AG368" s="34">
        <f>DB_STProjectsSOF[[#This Row],[Actual]]-DB_STProjectsSOF[[#This Row],[Plan]]</f>
        <v>-1.6921999999999996E-2</v>
      </c>
      <c r="AH368" s="34">
        <f>IF(DB_STProjectsSOF[[#This Row],[Plan]]&lt;&gt;0,DB_STProjectsSOF[[#This Row],[Actual]]/DB_STProjectsSOF[[#This Row],[Plan]],1.000011000011)</f>
        <v>0</v>
      </c>
      <c r="AI368" s="34">
        <f>SUM(DB_STProjectsSOF[[#This Row],[Plan01]:[Plan12]])/valUnits2</f>
        <v>0.11845399999999998</v>
      </c>
      <c r="AJ368" s="34">
        <f>SUMPRODUCT(DB_STProjectsSOF[[#This Row],[Act01]:[Act12]],$P$3:$AA$3)/valUnits2</f>
        <v>0</v>
      </c>
      <c r="AK368" s="34">
        <f>IF(DB_STProjectsSOF[[#This Row],[FY Plan]]&lt;&gt;0,DB_STProjectsSOF[[#This Row],[FY Actuals]]/DB_STProjectsSOF[[#This Row],[FY Plan]],1.000011000011)</f>
        <v>0</v>
      </c>
    </row>
    <row r="369" spans="1:37" hidden="1" x14ac:dyDescent="0.2">
      <c r="A369">
        <f>SUBTOTAL(3,$B$6:B369)</f>
        <v>0</v>
      </c>
      <c r="B369" t="s">
        <v>946</v>
      </c>
      <c r="C369" t="s">
        <v>854</v>
      </c>
      <c r="F369">
        <v>0</v>
      </c>
      <c r="G369">
        <v>0</v>
      </c>
      <c r="H369">
        <v>0</v>
      </c>
      <c r="I369">
        <v>289.17700000000002</v>
      </c>
      <c r="J369">
        <v>289.17700000000002</v>
      </c>
      <c r="K369">
        <v>289.17700000000002</v>
      </c>
      <c r="L369">
        <v>289.17700000000002</v>
      </c>
      <c r="M369">
        <v>289.17700000000002</v>
      </c>
      <c r="N369">
        <v>289.17700000000002</v>
      </c>
      <c r="O369">
        <v>289.17700000000002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s="164">
        <v>40923</v>
      </c>
      <c r="AC369" s="164">
        <v>41698</v>
      </c>
      <c r="AD369" s="164">
        <v>41759</v>
      </c>
      <c r="AE369" s="34">
        <f>SUMPRODUCT(DB_STProjectsSOF[[#This Row],[Plan01]:[Plan12]],$D$4:$O$4)/valUnits2</f>
        <v>0.28917700000000002</v>
      </c>
      <c r="AF369" s="34">
        <f>SUMPRODUCT(DB_STProjectsSOF[[#This Row],[Act01]:[Act12]],$P$4:$AA$4)/valUnits2</f>
        <v>0</v>
      </c>
      <c r="AG369" s="34">
        <f>DB_STProjectsSOF[[#This Row],[Actual]]-DB_STProjectsSOF[[#This Row],[Plan]]</f>
        <v>-0.28917700000000002</v>
      </c>
      <c r="AH369" s="34">
        <f>IF(DB_STProjectsSOF[[#This Row],[Plan]]&lt;&gt;0,DB_STProjectsSOF[[#This Row],[Actual]]/DB_STProjectsSOF[[#This Row],[Plan]],1.000011000011)</f>
        <v>0</v>
      </c>
      <c r="AI369" s="34">
        <f>SUM(DB_STProjectsSOF[[#This Row],[Plan01]:[Plan12]])/valUnits2</f>
        <v>2.0242390000000006</v>
      </c>
      <c r="AJ369" s="34">
        <f>SUMPRODUCT(DB_STProjectsSOF[[#This Row],[Act01]:[Act12]],$P$3:$AA$3)/valUnits2</f>
        <v>0</v>
      </c>
      <c r="AK369" s="34">
        <f>IF(DB_STProjectsSOF[[#This Row],[FY Plan]]&lt;&gt;0,DB_STProjectsSOF[[#This Row],[FY Actuals]]/DB_STProjectsSOF[[#This Row],[FY Plan]],1.000011000011)</f>
        <v>0</v>
      </c>
    </row>
    <row r="370" spans="1:37" hidden="1" x14ac:dyDescent="0.2">
      <c r="A370">
        <f>SUBTOTAL(3,$B$6:B370)</f>
        <v>0</v>
      </c>
      <c r="B370" t="s">
        <v>946</v>
      </c>
      <c r="C370" t="s">
        <v>855</v>
      </c>
      <c r="G370">
        <v>0</v>
      </c>
      <c r="H370">
        <v>0</v>
      </c>
      <c r="I370">
        <v>553.59699999999998</v>
      </c>
      <c r="J370">
        <v>553.59699999999998</v>
      </c>
      <c r="K370">
        <v>553.59699999999998</v>
      </c>
      <c r="L370">
        <v>553.59699999999998</v>
      </c>
      <c r="M370">
        <v>553.59699999999998</v>
      </c>
      <c r="N370">
        <v>553.59699999999998</v>
      </c>
      <c r="O370">
        <v>553.59699999999998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s="164">
        <v>40817</v>
      </c>
      <c r="AC370" s="164">
        <v>41759</v>
      </c>
      <c r="AD370" s="164">
        <v>41820</v>
      </c>
      <c r="AE370" s="34">
        <f>SUMPRODUCT(DB_STProjectsSOF[[#This Row],[Plan01]:[Plan12]],$D$4:$O$4)/valUnits2</f>
        <v>0.55359700000000001</v>
      </c>
      <c r="AF370" s="34">
        <f>SUMPRODUCT(DB_STProjectsSOF[[#This Row],[Act01]:[Act12]],$P$4:$AA$4)/valUnits2</f>
        <v>0</v>
      </c>
      <c r="AG370" s="34">
        <f>DB_STProjectsSOF[[#This Row],[Actual]]-DB_STProjectsSOF[[#This Row],[Plan]]</f>
        <v>-0.55359700000000001</v>
      </c>
      <c r="AH370" s="34">
        <f>IF(DB_STProjectsSOF[[#This Row],[Plan]]&lt;&gt;0,DB_STProjectsSOF[[#This Row],[Actual]]/DB_STProjectsSOF[[#This Row],[Plan]],1.000011000011)</f>
        <v>0</v>
      </c>
      <c r="AI370" s="34">
        <f>SUM(DB_STProjectsSOF[[#This Row],[Plan01]:[Plan12]])/valUnits2</f>
        <v>3.8751789999999993</v>
      </c>
      <c r="AJ370" s="34">
        <f>SUMPRODUCT(DB_STProjectsSOF[[#This Row],[Act01]:[Act12]],$P$3:$AA$3)/valUnits2</f>
        <v>0</v>
      </c>
      <c r="AK370" s="34">
        <f>IF(DB_STProjectsSOF[[#This Row],[FY Plan]]&lt;&gt;0,DB_STProjectsSOF[[#This Row],[FY Actuals]]/DB_STProjectsSOF[[#This Row],[FY Plan]],1.000011000011)</f>
        <v>0</v>
      </c>
    </row>
    <row r="371" spans="1:37" hidden="1" x14ac:dyDescent="0.2">
      <c r="A371">
        <f>SUBTOTAL(3,$B$6:B371)</f>
        <v>0</v>
      </c>
      <c r="B371" t="s">
        <v>946</v>
      </c>
      <c r="C371" t="s">
        <v>856</v>
      </c>
      <c r="D371">
        <v>1377.2750000000001</v>
      </c>
      <c r="E371">
        <v>1851.3899999999999</v>
      </c>
      <c r="F371">
        <v>2870.5949999999998</v>
      </c>
      <c r="G371">
        <v>5919.5640000000003</v>
      </c>
      <c r="H371">
        <v>4420.7609999999995</v>
      </c>
      <c r="I371">
        <v>1377.2750000000001</v>
      </c>
      <c r="J371">
        <v>1377.2750000000001</v>
      </c>
      <c r="K371">
        <v>1377.2750000000001</v>
      </c>
      <c r="L371">
        <v>1377.2750000000001</v>
      </c>
      <c r="M371">
        <v>1377.2750000000001</v>
      </c>
      <c r="N371">
        <v>1377.2750000000001</v>
      </c>
      <c r="O371">
        <v>1377.2750000000001</v>
      </c>
      <c r="P371">
        <v>118.41999999999999</v>
      </c>
      <c r="Q371">
        <v>454.82000000000005</v>
      </c>
      <c r="R371">
        <v>1435.48</v>
      </c>
      <c r="S371">
        <v>4394.5599999999995</v>
      </c>
      <c r="T371">
        <v>2962.9900000000002</v>
      </c>
      <c r="U371">
        <v>1789.44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s="164">
        <v>40817</v>
      </c>
      <c r="AC371" s="164">
        <v>42338</v>
      </c>
      <c r="AD371" s="164">
        <v>42490</v>
      </c>
      <c r="AE371" s="34">
        <f>SUMPRODUCT(DB_STProjectsSOF[[#This Row],[Plan01]:[Plan12]],$D$4:$O$4)/valUnits2</f>
        <v>17.816860000000002</v>
      </c>
      <c r="AF371" s="34">
        <f>SUMPRODUCT(DB_STProjectsSOF[[#This Row],[Act01]:[Act12]],$P$4:$AA$4)/valUnits2</f>
        <v>11.155710000000001</v>
      </c>
      <c r="AG371" s="34">
        <f>DB_STProjectsSOF[[#This Row],[Actual]]-DB_STProjectsSOF[[#This Row],[Plan]]</f>
        <v>-6.661150000000001</v>
      </c>
      <c r="AH371" s="34">
        <f>IF(DB_STProjectsSOF[[#This Row],[Plan]]&lt;&gt;0,DB_STProjectsSOF[[#This Row],[Actual]]/DB_STProjectsSOF[[#This Row],[Plan]],1.000011000011)</f>
        <v>0.62613221409384145</v>
      </c>
      <c r="AI371" s="34">
        <f>SUM(DB_STProjectsSOF[[#This Row],[Plan01]:[Plan12]])/valUnits2</f>
        <v>26.080510000000011</v>
      </c>
      <c r="AJ371" s="34">
        <f>SUMPRODUCT(DB_STProjectsSOF[[#This Row],[Act01]:[Act12]],$P$3:$AA$3)/valUnits2</f>
        <v>11.155710000000001</v>
      </c>
      <c r="AK371" s="34">
        <f>IF(DB_STProjectsSOF[[#This Row],[FY Plan]]&lt;&gt;0,DB_STProjectsSOF[[#This Row],[FY Actuals]]/DB_STProjectsSOF[[#This Row],[FY Plan]],1.000011000011)</f>
        <v>0.42774125199238805</v>
      </c>
    </row>
    <row r="372" spans="1:37" hidden="1" x14ac:dyDescent="0.2">
      <c r="A372">
        <f>SUBTOTAL(3,$B$6:B372)</f>
        <v>0</v>
      </c>
      <c r="B372" t="s">
        <v>946</v>
      </c>
      <c r="C372" t="s">
        <v>857</v>
      </c>
      <c r="E372">
        <v>2247.46</v>
      </c>
      <c r="H372">
        <v>-2247.46</v>
      </c>
      <c r="Q372">
        <v>2247.4599999999996</v>
      </c>
      <c r="T372">
        <v>-2247.4599999999996</v>
      </c>
      <c r="AB372" s="164">
        <v>40909</v>
      </c>
      <c r="AC372" s="164">
        <v>41274</v>
      </c>
      <c r="AD372" s="164">
        <v>41364</v>
      </c>
      <c r="AE372" s="34">
        <f>SUMPRODUCT(DB_STProjectsSOF[[#This Row],[Plan01]:[Plan12]],$D$4:$O$4)/valUnits2</f>
        <v>0</v>
      </c>
      <c r="AF372" s="34">
        <f>SUMPRODUCT(DB_STProjectsSOF[[#This Row],[Act01]:[Act12]],$P$4:$AA$4)/valUnits2</f>
        <v>0</v>
      </c>
      <c r="AG372" s="34">
        <f>DB_STProjectsSOF[[#This Row],[Actual]]-DB_STProjectsSOF[[#This Row],[Plan]]</f>
        <v>0</v>
      </c>
      <c r="AH372" s="34">
        <f>IF(DB_STProjectsSOF[[#This Row],[Plan]]&lt;&gt;0,DB_STProjectsSOF[[#This Row],[Actual]]/DB_STProjectsSOF[[#This Row],[Plan]],1.000011000011)</f>
        <v>1.0000110000110001</v>
      </c>
      <c r="AI372" s="34">
        <f>SUM(DB_STProjectsSOF[[#This Row],[Plan01]:[Plan12]])/valUnits2</f>
        <v>0</v>
      </c>
      <c r="AJ372" s="34">
        <f>SUMPRODUCT(DB_STProjectsSOF[[#This Row],[Act01]:[Act12]],$P$3:$AA$3)/valUnits2</f>
        <v>0</v>
      </c>
      <c r="AK372" s="34">
        <f>IF(DB_STProjectsSOF[[#This Row],[FY Plan]]&lt;&gt;0,DB_STProjectsSOF[[#This Row],[FY Actuals]]/DB_STProjectsSOF[[#This Row],[FY Plan]],1.000011000011)</f>
        <v>1.0000110000110001</v>
      </c>
    </row>
    <row r="373" spans="1:37" hidden="1" x14ac:dyDescent="0.2">
      <c r="A373">
        <f>SUBTOTAL(3,$B$6:B373)</f>
        <v>0</v>
      </c>
      <c r="B373" t="s">
        <v>946</v>
      </c>
      <c r="C373" t="s">
        <v>858</v>
      </c>
      <c r="D373">
        <v>701.75</v>
      </c>
      <c r="G373">
        <v>451.65000000000009</v>
      </c>
      <c r="H373">
        <v>789.52</v>
      </c>
      <c r="I373">
        <v>0</v>
      </c>
      <c r="P373">
        <v>701.75</v>
      </c>
      <c r="S373">
        <v>451.65000000000009</v>
      </c>
      <c r="T373">
        <v>789.52</v>
      </c>
      <c r="U373">
        <v>640.54</v>
      </c>
      <c r="AB373" s="164">
        <v>41275</v>
      </c>
      <c r="AC373" s="164">
        <v>41639</v>
      </c>
      <c r="AD373" s="164">
        <v>41784</v>
      </c>
      <c r="AE373" s="34">
        <f>SUMPRODUCT(DB_STProjectsSOF[[#This Row],[Plan01]:[Plan12]],$D$4:$O$4)/valUnits2</f>
        <v>1.94292</v>
      </c>
      <c r="AF373" s="34">
        <f>SUMPRODUCT(DB_STProjectsSOF[[#This Row],[Act01]:[Act12]],$P$4:$AA$4)/valUnits2</f>
        <v>2.5834600000000001</v>
      </c>
      <c r="AG373" s="34">
        <f>DB_STProjectsSOF[[#This Row],[Actual]]-DB_STProjectsSOF[[#This Row],[Plan]]</f>
        <v>0.64054000000000011</v>
      </c>
      <c r="AH373" s="34">
        <f>IF(DB_STProjectsSOF[[#This Row],[Plan]]&lt;&gt;0,DB_STProjectsSOF[[#This Row],[Actual]]/DB_STProjectsSOF[[#This Row],[Plan]],1.000011000011)</f>
        <v>1.3296790397957714</v>
      </c>
      <c r="AI373" s="34">
        <f>SUM(DB_STProjectsSOF[[#This Row],[Plan01]:[Plan12]])/valUnits2</f>
        <v>1.94292</v>
      </c>
      <c r="AJ373" s="34">
        <f>SUMPRODUCT(DB_STProjectsSOF[[#This Row],[Act01]:[Act12]],$P$3:$AA$3)/valUnits2</f>
        <v>2.5834600000000001</v>
      </c>
      <c r="AK373" s="34">
        <f>IF(DB_STProjectsSOF[[#This Row],[FY Plan]]&lt;&gt;0,DB_STProjectsSOF[[#This Row],[FY Actuals]]/DB_STProjectsSOF[[#This Row],[FY Plan]],1.000011000011)</f>
        <v>1.3296790397957714</v>
      </c>
    </row>
    <row r="374" spans="1:37" hidden="1" x14ac:dyDescent="0.2">
      <c r="A374">
        <f>SUBTOTAL(3,$B$6:B374)</f>
        <v>0</v>
      </c>
      <c r="B374" t="s">
        <v>946</v>
      </c>
      <c r="C374" t="s">
        <v>860</v>
      </c>
      <c r="D374">
        <v>2.04</v>
      </c>
      <c r="P374">
        <v>2.04</v>
      </c>
      <c r="AB374" s="164">
        <v>40969</v>
      </c>
      <c r="AC374" s="164">
        <v>42643</v>
      </c>
      <c r="AD374" s="164">
        <v>42704</v>
      </c>
      <c r="AE374" s="34">
        <f>SUMPRODUCT(DB_STProjectsSOF[[#This Row],[Plan01]:[Plan12]],$D$4:$O$4)/valUnits2</f>
        <v>2.0400000000000001E-3</v>
      </c>
      <c r="AF374" s="34">
        <f>SUMPRODUCT(DB_STProjectsSOF[[#This Row],[Act01]:[Act12]],$P$4:$AA$4)/valUnits2</f>
        <v>2.0400000000000001E-3</v>
      </c>
      <c r="AG374" s="34">
        <f>DB_STProjectsSOF[[#This Row],[Actual]]-DB_STProjectsSOF[[#This Row],[Plan]]</f>
        <v>0</v>
      </c>
      <c r="AH374" s="34">
        <f>IF(DB_STProjectsSOF[[#This Row],[Plan]]&lt;&gt;0,DB_STProjectsSOF[[#This Row],[Actual]]/DB_STProjectsSOF[[#This Row],[Plan]],1.000011000011)</f>
        <v>1</v>
      </c>
      <c r="AI374" s="34">
        <f>SUM(DB_STProjectsSOF[[#This Row],[Plan01]:[Plan12]])/valUnits2</f>
        <v>2.0400000000000001E-3</v>
      </c>
      <c r="AJ374" s="34">
        <f>SUMPRODUCT(DB_STProjectsSOF[[#This Row],[Act01]:[Act12]],$P$3:$AA$3)/valUnits2</f>
        <v>2.0400000000000001E-3</v>
      </c>
      <c r="AK374" s="34">
        <f>IF(DB_STProjectsSOF[[#This Row],[FY Plan]]&lt;&gt;0,DB_STProjectsSOF[[#This Row],[FY Actuals]]/DB_STProjectsSOF[[#This Row],[FY Plan]],1.000011000011)</f>
        <v>1</v>
      </c>
    </row>
    <row r="375" spans="1:37" hidden="1" x14ac:dyDescent="0.2">
      <c r="A375">
        <f>SUBTOTAL(3,$B$6:B375)</f>
        <v>0</v>
      </c>
      <c r="B375" t="s">
        <v>946</v>
      </c>
      <c r="C375" t="s">
        <v>862</v>
      </c>
      <c r="G375">
        <v>450.59300000000002</v>
      </c>
      <c r="H375">
        <v>946.72299999999996</v>
      </c>
      <c r="I375">
        <v>512.62099999999998</v>
      </c>
      <c r="J375">
        <v>512.62099999999998</v>
      </c>
      <c r="K375">
        <v>512.62099999999998</v>
      </c>
      <c r="L375">
        <v>512.62099999999998</v>
      </c>
      <c r="M375">
        <v>512.62099999999998</v>
      </c>
      <c r="N375">
        <v>512.62099999999998</v>
      </c>
      <c r="O375">
        <v>512.62099999999998</v>
      </c>
      <c r="S375">
        <v>447.29</v>
      </c>
      <c r="T375">
        <v>956.95999999999992</v>
      </c>
      <c r="U375">
        <v>512.37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s="164">
        <v>41275</v>
      </c>
      <c r="AC375" s="164">
        <v>41639</v>
      </c>
      <c r="AD375" s="164">
        <v>3</v>
      </c>
      <c r="AE375" s="34">
        <f>SUMPRODUCT(DB_STProjectsSOF[[#This Row],[Plan01]:[Plan12]],$D$4:$O$4)/valUnits2</f>
        <v>1.909937</v>
      </c>
      <c r="AF375" s="34">
        <f>SUMPRODUCT(DB_STProjectsSOF[[#This Row],[Act01]:[Act12]],$P$4:$AA$4)/valUnits2</f>
        <v>1.91662</v>
      </c>
      <c r="AG375" s="34">
        <f>DB_STProjectsSOF[[#This Row],[Actual]]-DB_STProjectsSOF[[#This Row],[Plan]]</f>
        <v>6.6829999999999945E-3</v>
      </c>
      <c r="AH375" s="34">
        <f>IF(DB_STProjectsSOF[[#This Row],[Plan]]&lt;&gt;0,DB_STProjectsSOF[[#This Row],[Actual]]/DB_STProjectsSOF[[#This Row],[Plan]],1.000011000011)</f>
        <v>1.0034990682938756</v>
      </c>
      <c r="AI375" s="34">
        <f>SUM(DB_STProjectsSOF[[#This Row],[Plan01]:[Plan12]])/valUnits2</f>
        <v>4.9856630000000006</v>
      </c>
      <c r="AJ375" s="34">
        <f>SUMPRODUCT(DB_STProjectsSOF[[#This Row],[Act01]:[Act12]],$P$3:$AA$3)/valUnits2</f>
        <v>1.91662</v>
      </c>
      <c r="AK375" s="34">
        <f>IF(DB_STProjectsSOF[[#This Row],[FY Plan]]&lt;&gt;0,DB_STProjectsSOF[[#This Row],[FY Actuals]]/DB_STProjectsSOF[[#This Row],[FY Plan]],1.000011000011)</f>
        <v>0.38442630398404382</v>
      </c>
    </row>
    <row r="376" spans="1:37" hidden="1" x14ac:dyDescent="0.2">
      <c r="A376">
        <f>SUBTOTAL(3,$B$6:B376)</f>
        <v>0</v>
      </c>
      <c r="B376" t="s">
        <v>946</v>
      </c>
      <c r="C376" t="s">
        <v>866</v>
      </c>
      <c r="D376">
        <v>1654.14</v>
      </c>
      <c r="E376">
        <v>0</v>
      </c>
      <c r="F376">
        <v>0</v>
      </c>
      <c r="G376">
        <v>-461.46000000000009</v>
      </c>
      <c r="H376">
        <v>0</v>
      </c>
      <c r="I376">
        <v>1276.4449999999999</v>
      </c>
      <c r="J376">
        <v>1276.4449999999999</v>
      </c>
      <c r="K376">
        <v>1276.4449999999999</v>
      </c>
      <c r="L376">
        <v>1276.4449999999999</v>
      </c>
      <c r="P376">
        <v>1654.14</v>
      </c>
      <c r="Q376">
        <v>0</v>
      </c>
      <c r="R376">
        <v>0</v>
      </c>
      <c r="S376">
        <v>-117.03000000000003</v>
      </c>
      <c r="T376">
        <v>-344.43</v>
      </c>
      <c r="U376">
        <v>0</v>
      </c>
      <c r="V376">
        <v>0</v>
      </c>
      <c r="W376">
        <v>0</v>
      </c>
      <c r="X376">
        <v>0</v>
      </c>
      <c r="AB376" s="164">
        <v>41275</v>
      </c>
      <c r="AC376" s="164">
        <v>41639</v>
      </c>
      <c r="AD376" s="164">
        <v>41760</v>
      </c>
      <c r="AE376" s="34">
        <f>SUMPRODUCT(DB_STProjectsSOF[[#This Row],[Plan01]:[Plan12]],$D$4:$O$4)/valUnits2</f>
        <v>2.469125</v>
      </c>
      <c r="AF376" s="34">
        <f>SUMPRODUCT(DB_STProjectsSOF[[#This Row],[Act01]:[Act12]],$P$4:$AA$4)/valUnits2</f>
        <v>1.19268</v>
      </c>
      <c r="AG376" s="34">
        <f>DB_STProjectsSOF[[#This Row],[Actual]]-DB_STProjectsSOF[[#This Row],[Plan]]</f>
        <v>-1.2764450000000001</v>
      </c>
      <c r="AH376" s="34">
        <f>IF(DB_STProjectsSOF[[#This Row],[Plan]]&lt;&gt;0,DB_STProjectsSOF[[#This Row],[Actual]]/DB_STProjectsSOF[[#This Row],[Plan]],1.000011000011)</f>
        <v>0.48303751328912065</v>
      </c>
      <c r="AI376" s="34">
        <f>SUM(DB_STProjectsSOF[[#This Row],[Plan01]:[Plan12]])/valUnits2</f>
        <v>6.2984599999999995</v>
      </c>
      <c r="AJ376" s="34">
        <f>SUMPRODUCT(DB_STProjectsSOF[[#This Row],[Act01]:[Act12]],$P$3:$AA$3)/valUnits2</f>
        <v>1.19268</v>
      </c>
      <c r="AK376" s="34">
        <f>IF(DB_STProjectsSOF[[#This Row],[FY Plan]]&lt;&gt;0,DB_STProjectsSOF[[#This Row],[FY Actuals]]/DB_STProjectsSOF[[#This Row],[FY Plan]],1.000011000011)</f>
        <v>0.18936057385456129</v>
      </c>
    </row>
    <row r="377" spans="1:37" hidden="1" x14ac:dyDescent="0.2">
      <c r="A377">
        <f>SUBTOTAL(3,$B$6:B377)</f>
        <v>0</v>
      </c>
      <c r="B377" t="s">
        <v>946</v>
      </c>
      <c r="C377" t="s">
        <v>869</v>
      </c>
      <c r="D377">
        <v>4.84</v>
      </c>
      <c r="E377">
        <v>1493</v>
      </c>
      <c r="F377">
        <v>2136.5300000000002</v>
      </c>
      <c r="G377">
        <v>874.36</v>
      </c>
      <c r="H377">
        <v>571.46</v>
      </c>
      <c r="I377">
        <v>0</v>
      </c>
      <c r="P377">
        <v>4.84</v>
      </c>
      <c r="Q377">
        <v>1493</v>
      </c>
      <c r="R377">
        <v>2136.5300000000002</v>
      </c>
      <c r="S377">
        <v>874.36</v>
      </c>
      <c r="T377">
        <v>571.46</v>
      </c>
      <c r="U377">
        <v>282.61</v>
      </c>
      <c r="AB377" s="164">
        <v>40817</v>
      </c>
      <c r="AC377" s="164">
        <v>42155</v>
      </c>
      <c r="AD377" s="164">
        <v>42217</v>
      </c>
      <c r="AE377" s="34">
        <f>SUMPRODUCT(DB_STProjectsSOF[[#This Row],[Plan01]:[Plan12]],$D$4:$O$4)/valUnits2</f>
        <v>5.08019</v>
      </c>
      <c r="AF377" s="34">
        <f>SUMPRODUCT(DB_STProjectsSOF[[#This Row],[Act01]:[Act12]],$P$4:$AA$4)/valUnits2</f>
        <v>5.3627999999999991</v>
      </c>
      <c r="AG377" s="34">
        <f>DB_STProjectsSOF[[#This Row],[Actual]]-DB_STProjectsSOF[[#This Row],[Plan]]</f>
        <v>0.28260999999999914</v>
      </c>
      <c r="AH377" s="34">
        <f>IF(DB_STProjectsSOF[[#This Row],[Plan]]&lt;&gt;0,DB_STProjectsSOF[[#This Row],[Actual]]/DB_STProjectsSOF[[#This Row],[Plan]],1.000011000011)</f>
        <v>1.0556298091213123</v>
      </c>
      <c r="AI377" s="34">
        <f>SUM(DB_STProjectsSOF[[#This Row],[Plan01]:[Plan12]])/valUnits2</f>
        <v>5.08019</v>
      </c>
      <c r="AJ377" s="34">
        <f>SUMPRODUCT(DB_STProjectsSOF[[#This Row],[Act01]:[Act12]],$P$3:$AA$3)/valUnits2</f>
        <v>5.3627999999999991</v>
      </c>
      <c r="AK377" s="34">
        <f>IF(DB_STProjectsSOF[[#This Row],[FY Plan]]&lt;&gt;0,DB_STProjectsSOF[[#This Row],[FY Actuals]]/DB_STProjectsSOF[[#This Row],[FY Plan]],1.000011000011)</f>
        <v>1.0556298091213123</v>
      </c>
    </row>
    <row r="378" spans="1:37" hidden="1" x14ac:dyDescent="0.2">
      <c r="A378">
        <f>SUBTOTAL(3,$B$6:B378)</f>
        <v>0</v>
      </c>
      <c r="B378" t="s">
        <v>946</v>
      </c>
      <c r="C378" t="s">
        <v>874</v>
      </c>
      <c r="D378">
        <v>0</v>
      </c>
      <c r="E378">
        <v>0</v>
      </c>
      <c r="F378">
        <v>0</v>
      </c>
      <c r="G378">
        <v>906.28800000000001</v>
      </c>
      <c r="H378">
        <v>436.10700000000003</v>
      </c>
      <c r="I378">
        <v>371.988</v>
      </c>
      <c r="J378">
        <v>371.988</v>
      </c>
      <c r="K378">
        <v>371.988</v>
      </c>
      <c r="L378">
        <v>371.988</v>
      </c>
      <c r="M378">
        <v>371.988</v>
      </c>
      <c r="N378">
        <v>371.988</v>
      </c>
      <c r="O378">
        <v>371.988</v>
      </c>
      <c r="P378">
        <v>0</v>
      </c>
      <c r="Q378">
        <v>0</v>
      </c>
      <c r="R378">
        <v>0</v>
      </c>
      <c r="S378">
        <v>897.72</v>
      </c>
      <c r="T378">
        <v>430.82</v>
      </c>
      <c r="U378">
        <v>464.02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s="164">
        <v>40879</v>
      </c>
      <c r="AC378" s="164">
        <v>43071</v>
      </c>
      <c r="AD378" s="164">
        <v>43161</v>
      </c>
      <c r="AE378" s="34">
        <f>SUMPRODUCT(DB_STProjectsSOF[[#This Row],[Plan01]:[Plan12]],$D$4:$O$4)/valUnits2</f>
        <v>1.714383</v>
      </c>
      <c r="AF378" s="34">
        <f>SUMPRODUCT(DB_STProjectsSOF[[#This Row],[Act01]:[Act12]],$P$4:$AA$4)/valUnits2</f>
        <v>1.7925599999999999</v>
      </c>
      <c r="AG378" s="34">
        <f>DB_STProjectsSOF[[#This Row],[Actual]]-DB_STProjectsSOF[[#This Row],[Plan]]</f>
        <v>7.8176999999999941E-2</v>
      </c>
      <c r="AH378" s="34">
        <f>IF(DB_STProjectsSOF[[#This Row],[Plan]]&lt;&gt;0,DB_STProjectsSOF[[#This Row],[Actual]]/DB_STProjectsSOF[[#This Row],[Plan]],1.000011000011)</f>
        <v>1.0456006621624223</v>
      </c>
      <c r="AI378" s="34">
        <f>SUM(DB_STProjectsSOF[[#This Row],[Plan01]:[Plan12]])/valUnits2</f>
        <v>3.9463109999999992</v>
      </c>
      <c r="AJ378" s="34">
        <f>SUMPRODUCT(DB_STProjectsSOF[[#This Row],[Act01]:[Act12]],$P$3:$AA$3)/valUnits2</f>
        <v>1.7925599999999999</v>
      </c>
      <c r="AK378" s="34">
        <f>IF(DB_STProjectsSOF[[#This Row],[FY Plan]]&lt;&gt;0,DB_STProjectsSOF[[#This Row],[FY Actuals]]/DB_STProjectsSOF[[#This Row],[FY Plan]],1.000011000011)</f>
        <v>0.45423688097567583</v>
      </c>
    </row>
    <row r="379" spans="1:37" hidden="1" x14ac:dyDescent="0.2">
      <c r="A379">
        <f>SUBTOTAL(3,$B$6:B379)</f>
        <v>0</v>
      </c>
      <c r="B379" t="s">
        <v>946</v>
      </c>
      <c r="C379" t="s">
        <v>875</v>
      </c>
      <c r="F379">
        <v>0</v>
      </c>
      <c r="G379">
        <v>143.43899999999999</v>
      </c>
      <c r="H379">
        <v>55.082000000000001</v>
      </c>
      <c r="I379">
        <v>241.98700000000002</v>
      </c>
      <c r="J379">
        <v>241.98700000000002</v>
      </c>
      <c r="K379">
        <v>241.98700000000002</v>
      </c>
      <c r="L379">
        <v>241.98700000000002</v>
      </c>
      <c r="M379">
        <v>241.98700000000002</v>
      </c>
      <c r="N379">
        <v>241.98700000000002</v>
      </c>
      <c r="O379">
        <v>241.98700000000002</v>
      </c>
      <c r="R379">
        <v>0</v>
      </c>
      <c r="S379">
        <v>145.12</v>
      </c>
      <c r="T379">
        <v>55.78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s="164">
        <v>41275</v>
      </c>
      <c r="AC379" s="164">
        <v>41639</v>
      </c>
      <c r="AD379" s="164">
        <v>41649</v>
      </c>
      <c r="AE379" s="34">
        <f>SUMPRODUCT(DB_STProjectsSOF[[#This Row],[Plan01]:[Plan12]],$D$4:$O$4)/valUnits2</f>
        <v>0.44050800000000001</v>
      </c>
      <c r="AF379" s="34">
        <f>SUMPRODUCT(DB_STProjectsSOF[[#This Row],[Act01]:[Act12]],$P$4:$AA$4)/valUnits2</f>
        <v>0.2009</v>
      </c>
      <c r="AG379" s="34">
        <f>DB_STProjectsSOF[[#This Row],[Actual]]-DB_STProjectsSOF[[#This Row],[Plan]]</f>
        <v>-0.23960800000000002</v>
      </c>
      <c r="AH379" s="34">
        <f>IF(DB_STProjectsSOF[[#This Row],[Plan]]&lt;&gt;0,DB_STProjectsSOF[[#This Row],[Actual]]/DB_STProjectsSOF[[#This Row],[Plan]],1.000011000011)</f>
        <v>0.45606436205471862</v>
      </c>
      <c r="AI379" s="34">
        <f>SUM(DB_STProjectsSOF[[#This Row],[Plan01]:[Plan12]])/valUnits2</f>
        <v>1.8924300000000005</v>
      </c>
      <c r="AJ379" s="34">
        <f>SUMPRODUCT(DB_STProjectsSOF[[#This Row],[Act01]:[Act12]],$P$3:$AA$3)/valUnits2</f>
        <v>0.2009</v>
      </c>
      <c r="AK379" s="34">
        <f>IF(DB_STProjectsSOF[[#This Row],[FY Plan]]&lt;&gt;0,DB_STProjectsSOF[[#This Row],[FY Actuals]]/DB_STProjectsSOF[[#This Row],[FY Plan]],1.000011000011)</f>
        <v>0.10615980511828704</v>
      </c>
    </row>
    <row r="380" spans="1:37" hidden="1" x14ac:dyDescent="0.2">
      <c r="A380">
        <f>SUBTOTAL(3,$B$6:B380)</f>
        <v>0</v>
      </c>
      <c r="B380" t="s">
        <v>946</v>
      </c>
      <c r="C380" t="s">
        <v>878</v>
      </c>
      <c r="D380">
        <v>0</v>
      </c>
      <c r="E380">
        <v>0</v>
      </c>
      <c r="F380">
        <v>140.63800000000001</v>
      </c>
      <c r="G380">
        <v>140.63800000000001</v>
      </c>
      <c r="H380">
        <v>140.63800000000001</v>
      </c>
      <c r="I380">
        <v>140.63800000000001</v>
      </c>
      <c r="J380">
        <v>140.63800000000001</v>
      </c>
      <c r="K380">
        <v>140.63800000000001</v>
      </c>
      <c r="L380">
        <v>140.63800000000001</v>
      </c>
      <c r="M380">
        <v>140.63800000000001</v>
      </c>
      <c r="N380">
        <v>140.63800000000001</v>
      </c>
      <c r="O380">
        <v>140.63800000000001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s="164">
        <v>40969</v>
      </c>
      <c r="AC380" s="164">
        <v>41333</v>
      </c>
      <c r="AD380" s="164">
        <v>41364</v>
      </c>
      <c r="AE380" s="34">
        <f>SUMPRODUCT(DB_STProjectsSOF[[#This Row],[Plan01]:[Plan12]],$D$4:$O$4)/valUnits2</f>
        <v>0.56255200000000005</v>
      </c>
      <c r="AF380" s="34">
        <f>SUMPRODUCT(DB_STProjectsSOF[[#This Row],[Act01]:[Act12]],$P$4:$AA$4)/valUnits2</f>
        <v>0</v>
      </c>
      <c r="AG380" s="34">
        <f>DB_STProjectsSOF[[#This Row],[Actual]]-DB_STProjectsSOF[[#This Row],[Plan]]</f>
        <v>-0.56255200000000005</v>
      </c>
      <c r="AH380" s="34">
        <f>IF(DB_STProjectsSOF[[#This Row],[Plan]]&lt;&gt;0,DB_STProjectsSOF[[#This Row],[Actual]]/DB_STProjectsSOF[[#This Row],[Plan]],1.000011000011)</f>
        <v>0</v>
      </c>
      <c r="AI380" s="34">
        <f>SUM(DB_STProjectsSOF[[#This Row],[Plan01]:[Plan12]])/valUnits2</f>
        <v>1.40638</v>
      </c>
      <c r="AJ380" s="34">
        <f>SUMPRODUCT(DB_STProjectsSOF[[#This Row],[Act01]:[Act12]],$P$3:$AA$3)/valUnits2</f>
        <v>0</v>
      </c>
      <c r="AK380" s="34">
        <f>IF(DB_STProjectsSOF[[#This Row],[FY Plan]]&lt;&gt;0,DB_STProjectsSOF[[#This Row],[FY Actuals]]/DB_STProjectsSOF[[#This Row],[FY Plan]],1.000011000011)</f>
        <v>0</v>
      </c>
    </row>
    <row r="381" spans="1:37" hidden="1" x14ac:dyDescent="0.2">
      <c r="A381">
        <f>SUBTOTAL(3,$B$6:B381)</f>
        <v>0</v>
      </c>
      <c r="B381" t="s">
        <v>946</v>
      </c>
      <c r="C381" t="s">
        <v>881</v>
      </c>
      <c r="G381">
        <v>785.51</v>
      </c>
      <c r="H381">
        <v>376.98</v>
      </c>
      <c r="I381">
        <v>86.346999999999994</v>
      </c>
      <c r="J381">
        <v>172.69300000000001</v>
      </c>
      <c r="K381">
        <v>86.346999999999994</v>
      </c>
      <c r="L381">
        <v>86.346999999999994</v>
      </c>
      <c r="M381">
        <v>86.346999999999994</v>
      </c>
      <c r="N381">
        <v>86.346999999999994</v>
      </c>
      <c r="O381">
        <v>172.69300000000001</v>
      </c>
      <c r="S381">
        <v>785.51</v>
      </c>
      <c r="T381">
        <v>376.98</v>
      </c>
      <c r="U381">
        <v>406.02000000000004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s="164">
        <v>41275</v>
      </c>
      <c r="AC381" s="164">
        <v>41639</v>
      </c>
      <c r="AD381" s="164">
        <v>41685</v>
      </c>
      <c r="AE381" s="34">
        <f>SUMPRODUCT(DB_STProjectsSOF[[#This Row],[Plan01]:[Plan12]],$D$4:$O$4)/valUnits2</f>
        <v>1.248837</v>
      </c>
      <c r="AF381" s="34">
        <f>SUMPRODUCT(DB_STProjectsSOF[[#This Row],[Act01]:[Act12]],$P$4:$AA$4)/valUnits2</f>
        <v>1.5685100000000001</v>
      </c>
      <c r="AG381" s="34">
        <f>DB_STProjectsSOF[[#This Row],[Actual]]-DB_STProjectsSOF[[#This Row],[Plan]]</f>
        <v>0.3196730000000001</v>
      </c>
      <c r="AH381" s="34">
        <f>IF(DB_STProjectsSOF[[#This Row],[Plan]]&lt;&gt;0,DB_STProjectsSOF[[#This Row],[Actual]]/DB_STProjectsSOF[[#This Row],[Plan]],1.000011000011)</f>
        <v>1.2559765605919748</v>
      </c>
      <c r="AI381" s="34">
        <f>SUM(DB_STProjectsSOF[[#This Row],[Plan01]:[Plan12]])/valUnits2</f>
        <v>1.939611</v>
      </c>
      <c r="AJ381" s="34">
        <f>SUMPRODUCT(DB_STProjectsSOF[[#This Row],[Act01]:[Act12]],$P$3:$AA$3)/valUnits2</f>
        <v>1.5685100000000001</v>
      </c>
      <c r="AK381" s="34">
        <f>IF(DB_STProjectsSOF[[#This Row],[FY Plan]]&lt;&gt;0,DB_STProjectsSOF[[#This Row],[FY Actuals]]/DB_STProjectsSOF[[#This Row],[FY Plan]],1.000011000011)</f>
        <v>0.80867246061194753</v>
      </c>
    </row>
    <row r="382" spans="1:37" hidden="1" x14ac:dyDescent="0.2">
      <c r="A382">
        <f>SUBTOTAL(3,$B$6:B382)</f>
        <v>0</v>
      </c>
      <c r="B382" t="s">
        <v>946</v>
      </c>
      <c r="C382" t="s">
        <v>882</v>
      </c>
      <c r="D382">
        <v>0</v>
      </c>
      <c r="E382">
        <v>0</v>
      </c>
      <c r="F382">
        <v>0</v>
      </c>
      <c r="G382">
        <v>339.86399999999998</v>
      </c>
      <c r="H382">
        <v>163.54300000000001</v>
      </c>
      <c r="I382">
        <v>139.495</v>
      </c>
      <c r="J382">
        <v>139.495</v>
      </c>
      <c r="K382">
        <v>139.495</v>
      </c>
      <c r="L382">
        <v>139.495</v>
      </c>
      <c r="M382">
        <v>139.495</v>
      </c>
      <c r="N382">
        <v>139.495</v>
      </c>
      <c r="O382">
        <v>139.495</v>
      </c>
      <c r="P382">
        <v>0</v>
      </c>
      <c r="Q382">
        <v>0</v>
      </c>
      <c r="R382">
        <v>0</v>
      </c>
      <c r="S382">
        <v>336.65</v>
      </c>
      <c r="T382">
        <v>161.56</v>
      </c>
      <c r="U382">
        <v>174.01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s="164">
        <v>40817</v>
      </c>
      <c r="AC382" s="164">
        <v>41913</v>
      </c>
      <c r="AD382" s="164">
        <v>42005</v>
      </c>
      <c r="AE382" s="34">
        <f>SUMPRODUCT(DB_STProjectsSOF[[#This Row],[Plan01]:[Plan12]],$D$4:$O$4)/valUnits2</f>
        <v>0.64290200000000008</v>
      </c>
      <c r="AF382" s="34">
        <f>SUMPRODUCT(DB_STProjectsSOF[[#This Row],[Act01]:[Act12]],$P$4:$AA$4)/valUnits2</f>
        <v>0.67222000000000004</v>
      </c>
      <c r="AG382" s="34">
        <f>DB_STProjectsSOF[[#This Row],[Actual]]-DB_STProjectsSOF[[#This Row],[Plan]]</f>
        <v>2.9317999999999955E-2</v>
      </c>
      <c r="AH382" s="34">
        <f>IF(DB_STProjectsSOF[[#This Row],[Plan]]&lt;&gt;0,DB_STProjectsSOF[[#This Row],[Actual]]/DB_STProjectsSOF[[#This Row],[Plan]],1.000011000011)</f>
        <v>1.0456025957299868</v>
      </c>
      <c r="AI382" s="34">
        <f>SUM(DB_STProjectsSOF[[#This Row],[Plan01]:[Plan12]])/valUnits2</f>
        <v>1.4798719999999999</v>
      </c>
      <c r="AJ382" s="34">
        <f>SUMPRODUCT(DB_STProjectsSOF[[#This Row],[Act01]:[Act12]],$P$3:$AA$3)/valUnits2</f>
        <v>0.67222000000000004</v>
      </c>
      <c r="AK382" s="34">
        <f>IF(DB_STProjectsSOF[[#This Row],[FY Plan]]&lt;&gt;0,DB_STProjectsSOF[[#This Row],[FY Actuals]]/DB_STProjectsSOF[[#This Row],[FY Plan]],1.000011000011)</f>
        <v>0.45424198849630243</v>
      </c>
    </row>
    <row r="383" spans="1:37" hidden="1" x14ac:dyDescent="0.2">
      <c r="A383">
        <f>SUBTOTAL(3,$B$6:B383)</f>
        <v>0</v>
      </c>
      <c r="B383" t="s">
        <v>946</v>
      </c>
      <c r="C383" t="s">
        <v>883</v>
      </c>
      <c r="E383">
        <v>231.935</v>
      </c>
      <c r="G383">
        <v>1352.0159999999998</v>
      </c>
      <c r="H383">
        <v>589.33600000000001</v>
      </c>
      <c r="I383">
        <v>0</v>
      </c>
      <c r="Q383">
        <v>237.1</v>
      </c>
      <c r="S383">
        <v>1341.74</v>
      </c>
      <c r="T383">
        <v>592.81999999999994</v>
      </c>
      <c r="U383">
        <v>428.34000000000003</v>
      </c>
      <c r="AB383" s="164">
        <v>40940</v>
      </c>
      <c r="AC383" s="164">
        <v>41639</v>
      </c>
      <c r="AD383" s="164">
        <v>41698</v>
      </c>
      <c r="AE383" s="34">
        <f>SUMPRODUCT(DB_STProjectsSOF[[#This Row],[Plan01]:[Plan12]],$D$4:$O$4)/valUnits2</f>
        <v>2.1732869999999997</v>
      </c>
      <c r="AF383" s="34">
        <f>SUMPRODUCT(DB_STProjectsSOF[[#This Row],[Act01]:[Act12]],$P$4:$AA$4)/valUnits2</f>
        <v>2.6</v>
      </c>
      <c r="AG383" s="34">
        <f>DB_STProjectsSOF[[#This Row],[Actual]]-DB_STProjectsSOF[[#This Row],[Plan]]</f>
        <v>0.42671300000000034</v>
      </c>
      <c r="AH383" s="34">
        <f>IF(DB_STProjectsSOF[[#This Row],[Plan]]&lt;&gt;0,DB_STProjectsSOF[[#This Row],[Actual]]/DB_STProjectsSOF[[#This Row],[Plan]],1.000011000011)</f>
        <v>1.196344523295819</v>
      </c>
      <c r="AI383" s="34">
        <f>SUM(DB_STProjectsSOF[[#This Row],[Plan01]:[Plan12]])/valUnits2</f>
        <v>2.1732869999999997</v>
      </c>
      <c r="AJ383" s="34">
        <f>SUMPRODUCT(DB_STProjectsSOF[[#This Row],[Act01]:[Act12]],$P$3:$AA$3)/valUnits2</f>
        <v>2.6</v>
      </c>
      <c r="AK383" s="34">
        <f>IF(DB_STProjectsSOF[[#This Row],[FY Plan]]&lt;&gt;0,DB_STProjectsSOF[[#This Row],[FY Actuals]]/DB_STProjectsSOF[[#This Row],[FY Plan]],1.000011000011)</f>
        <v>1.196344523295819</v>
      </c>
    </row>
    <row r="384" spans="1:37" hidden="1" x14ac:dyDescent="0.2">
      <c r="A384">
        <f>SUBTOTAL(3,$B$6:B384)</f>
        <v>0</v>
      </c>
      <c r="B384" t="s">
        <v>946</v>
      </c>
      <c r="C384" t="s">
        <v>885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379.43700000000001</v>
      </c>
      <c r="J384">
        <v>379.43700000000001</v>
      </c>
      <c r="K384">
        <v>379.43700000000001</v>
      </c>
      <c r="L384">
        <v>379.43700000000001</v>
      </c>
      <c r="M384">
        <v>379.43700000000001</v>
      </c>
      <c r="N384">
        <v>379.43700000000001</v>
      </c>
      <c r="O384">
        <v>379.43700000000001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s="164">
        <v>40817</v>
      </c>
      <c r="AC384" s="164">
        <v>41639</v>
      </c>
      <c r="AD384" s="164">
        <v>41820</v>
      </c>
      <c r="AE384" s="34">
        <f>SUMPRODUCT(DB_STProjectsSOF[[#This Row],[Plan01]:[Plan12]],$D$4:$O$4)/valUnits2</f>
        <v>0.37943700000000002</v>
      </c>
      <c r="AF384" s="34">
        <f>SUMPRODUCT(DB_STProjectsSOF[[#This Row],[Act01]:[Act12]],$P$4:$AA$4)/valUnits2</f>
        <v>0</v>
      </c>
      <c r="AG384" s="34">
        <f>DB_STProjectsSOF[[#This Row],[Actual]]-DB_STProjectsSOF[[#This Row],[Plan]]</f>
        <v>-0.37943700000000002</v>
      </c>
      <c r="AH384" s="34">
        <f>IF(DB_STProjectsSOF[[#This Row],[Plan]]&lt;&gt;0,DB_STProjectsSOF[[#This Row],[Actual]]/DB_STProjectsSOF[[#This Row],[Plan]],1.000011000011)</f>
        <v>0</v>
      </c>
      <c r="AI384" s="34">
        <f>SUM(DB_STProjectsSOF[[#This Row],[Plan01]:[Plan12]])/valUnits2</f>
        <v>2.6560589999999999</v>
      </c>
      <c r="AJ384" s="34">
        <f>SUMPRODUCT(DB_STProjectsSOF[[#This Row],[Act01]:[Act12]],$P$3:$AA$3)/valUnits2</f>
        <v>0</v>
      </c>
      <c r="AK384" s="34">
        <f>IF(DB_STProjectsSOF[[#This Row],[FY Plan]]&lt;&gt;0,DB_STProjectsSOF[[#This Row],[FY Actuals]]/DB_STProjectsSOF[[#This Row],[FY Plan]],1.000011000011)</f>
        <v>0</v>
      </c>
    </row>
    <row r="385" spans="1:37" hidden="1" x14ac:dyDescent="0.2">
      <c r="A385">
        <f>SUBTOTAL(3,$B$6:B385)</f>
        <v>0</v>
      </c>
      <c r="B385" t="s">
        <v>946</v>
      </c>
      <c r="C385" t="s">
        <v>361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180.71299999999999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AB385" s="164">
        <v>41091</v>
      </c>
      <c r="AC385" s="164">
        <v>41455</v>
      </c>
      <c r="AD385" s="164">
        <v>41486</v>
      </c>
      <c r="AE385" s="34">
        <f>SUMPRODUCT(DB_STProjectsSOF[[#This Row],[Plan01]:[Plan12]],$D$4:$O$4)/valUnits2</f>
        <v>0.18071299999999998</v>
      </c>
      <c r="AF385" s="34">
        <f>SUMPRODUCT(DB_STProjectsSOF[[#This Row],[Act01]:[Act12]],$P$4:$AA$4)/valUnits2</f>
        <v>0</v>
      </c>
      <c r="AG385" s="34">
        <f>DB_STProjectsSOF[[#This Row],[Actual]]-DB_STProjectsSOF[[#This Row],[Plan]]</f>
        <v>-0.18071299999999998</v>
      </c>
      <c r="AH385" s="34">
        <f>IF(DB_STProjectsSOF[[#This Row],[Plan]]&lt;&gt;0,DB_STProjectsSOF[[#This Row],[Actual]]/DB_STProjectsSOF[[#This Row],[Plan]],1.000011000011)</f>
        <v>0</v>
      </c>
      <c r="AI385" s="34">
        <f>SUM(DB_STProjectsSOF[[#This Row],[Plan01]:[Plan12]])/valUnits2</f>
        <v>0.18071299999999998</v>
      </c>
      <c r="AJ385" s="34">
        <f>SUMPRODUCT(DB_STProjectsSOF[[#This Row],[Act01]:[Act12]],$P$3:$AA$3)/valUnits2</f>
        <v>0</v>
      </c>
      <c r="AK385" s="34">
        <f>IF(DB_STProjectsSOF[[#This Row],[FY Plan]]&lt;&gt;0,DB_STProjectsSOF[[#This Row],[FY Actuals]]/DB_STProjectsSOF[[#This Row],[FY Plan]],1.000011000011)</f>
        <v>0</v>
      </c>
    </row>
    <row r="386" spans="1:37" hidden="1" x14ac:dyDescent="0.2">
      <c r="A386">
        <f>SUBTOTAL(3,$B$6:B386)</f>
        <v>0</v>
      </c>
      <c r="B386" t="s">
        <v>946</v>
      </c>
      <c r="C386" t="s">
        <v>358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379.21199999999999</v>
      </c>
      <c r="J386">
        <v>379.21199999999999</v>
      </c>
      <c r="K386">
        <v>379.21199999999999</v>
      </c>
      <c r="L386">
        <v>379.21199999999999</v>
      </c>
      <c r="M386">
        <v>379.21199999999999</v>
      </c>
      <c r="N386">
        <v>379.21199999999999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B386" s="164">
        <v>41091</v>
      </c>
      <c r="AC386" s="164">
        <v>41455</v>
      </c>
      <c r="AD386" s="164">
        <v>41517</v>
      </c>
      <c r="AE386" s="34">
        <f>SUMPRODUCT(DB_STProjectsSOF[[#This Row],[Plan01]:[Plan12]],$D$4:$O$4)/valUnits2</f>
        <v>0.37921199999999999</v>
      </c>
      <c r="AF386" s="34">
        <f>SUMPRODUCT(DB_STProjectsSOF[[#This Row],[Act01]:[Act12]],$P$4:$AA$4)/valUnits2</f>
        <v>0</v>
      </c>
      <c r="AG386" s="34">
        <f>DB_STProjectsSOF[[#This Row],[Actual]]-DB_STProjectsSOF[[#This Row],[Plan]]</f>
        <v>-0.37921199999999999</v>
      </c>
      <c r="AH386" s="34">
        <f>IF(DB_STProjectsSOF[[#This Row],[Plan]]&lt;&gt;0,DB_STProjectsSOF[[#This Row],[Actual]]/DB_STProjectsSOF[[#This Row],[Plan]],1.000011000011)</f>
        <v>0</v>
      </c>
      <c r="AI386" s="34">
        <f>SUM(DB_STProjectsSOF[[#This Row],[Plan01]:[Plan12]])/valUnits2</f>
        <v>2.2752719999999997</v>
      </c>
      <c r="AJ386" s="34">
        <f>SUMPRODUCT(DB_STProjectsSOF[[#This Row],[Act01]:[Act12]],$P$3:$AA$3)/valUnits2</f>
        <v>0</v>
      </c>
      <c r="AK386" s="34">
        <f>IF(DB_STProjectsSOF[[#This Row],[FY Plan]]&lt;&gt;0,DB_STProjectsSOF[[#This Row],[FY Actuals]]/DB_STProjectsSOF[[#This Row],[FY Plan]],1.000011000011)</f>
        <v>0</v>
      </c>
    </row>
    <row r="387" spans="1:37" hidden="1" x14ac:dyDescent="0.2">
      <c r="A387">
        <f>SUBTOTAL(3,$B$6:B387)</f>
        <v>0</v>
      </c>
      <c r="B387" t="s">
        <v>946</v>
      </c>
      <c r="C387" t="s">
        <v>891</v>
      </c>
      <c r="H387">
        <v>0</v>
      </c>
      <c r="I387">
        <v>317.27199999999999</v>
      </c>
      <c r="J387">
        <v>317.27199999999999</v>
      </c>
      <c r="K387">
        <v>317.27199999999999</v>
      </c>
      <c r="L387">
        <v>317.27199999999999</v>
      </c>
      <c r="M387">
        <v>317.27199999999999</v>
      </c>
      <c r="N387">
        <v>317.27199999999999</v>
      </c>
      <c r="O387">
        <v>317.27199999999999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s="164">
        <v>41214</v>
      </c>
      <c r="AC387" s="164">
        <v>42308</v>
      </c>
      <c r="AD387" s="164">
        <v>42389</v>
      </c>
      <c r="AE387" s="34">
        <f>SUMPRODUCT(DB_STProjectsSOF[[#This Row],[Plan01]:[Plan12]],$D$4:$O$4)/valUnits2</f>
        <v>0.317272</v>
      </c>
      <c r="AF387" s="34">
        <f>SUMPRODUCT(DB_STProjectsSOF[[#This Row],[Act01]:[Act12]],$P$4:$AA$4)/valUnits2</f>
        <v>0</v>
      </c>
      <c r="AG387" s="34">
        <f>DB_STProjectsSOF[[#This Row],[Actual]]-DB_STProjectsSOF[[#This Row],[Plan]]</f>
        <v>-0.317272</v>
      </c>
      <c r="AH387" s="34">
        <f>IF(DB_STProjectsSOF[[#This Row],[Plan]]&lt;&gt;0,DB_STProjectsSOF[[#This Row],[Actual]]/DB_STProjectsSOF[[#This Row],[Plan]],1.000011000011)</f>
        <v>0</v>
      </c>
      <c r="AI387" s="34">
        <f>SUM(DB_STProjectsSOF[[#This Row],[Plan01]:[Plan12]])/valUnits2</f>
        <v>2.220904</v>
      </c>
      <c r="AJ387" s="34">
        <f>SUMPRODUCT(DB_STProjectsSOF[[#This Row],[Act01]:[Act12]],$P$3:$AA$3)/valUnits2</f>
        <v>0</v>
      </c>
      <c r="AK387" s="34">
        <f>IF(DB_STProjectsSOF[[#This Row],[FY Plan]]&lt;&gt;0,DB_STProjectsSOF[[#This Row],[FY Actuals]]/DB_STProjectsSOF[[#This Row],[FY Plan]],1.000011000011)</f>
        <v>0</v>
      </c>
    </row>
    <row r="388" spans="1:37" hidden="1" x14ac:dyDescent="0.2">
      <c r="A388">
        <f>SUBTOTAL(3,$B$6:B388)</f>
        <v>0</v>
      </c>
      <c r="B388" t="s">
        <v>946</v>
      </c>
      <c r="C388" t="s">
        <v>896</v>
      </c>
      <c r="D388">
        <v>0</v>
      </c>
      <c r="E388">
        <v>0</v>
      </c>
      <c r="F388">
        <v>0</v>
      </c>
      <c r="G388">
        <v>2321.1120000000001</v>
      </c>
      <c r="H388">
        <v>1583.3340000000001</v>
      </c>
      <c r="I388">
        <v>535.10300000000007</v>
      </c>
      <c r="J388">
        <v>535.10300000000007</v>
      </c>
      <c r="K388">
        <v>535.10300000000007</v>
      </c>
      <c r="L388">
        <v>535.10300000000007</v>
      </c>
      <c r="M388">
        <v>535.10300000000007</v>
      </c>
      <c r="N388">
        <v>535.10300000000007</v>
      </c>
      <c r="O388">
        <v>535.10300000000007</v>
      </c>
      <c r="P388">
        <v>0</v>
      </c>
      <c r="Q388">
        <v>0</v>
      </c>
      <c r="R388">
        <v>0</v>
      </c>
      <c r="S388">
        <v>2306.7599999999998</v>
      </c>
      <c r="T388">
        <v>1578.99</v>
      </c>
      <c r="U388">
        <v>1348.46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s="164">
        <v>40817</v>
      </c>
      <c r="AC388" s="164">
        <v>41639</v>
      </c>
      <c r="AD388" s="164">
        <v>41820</v>
      </c>
      <c r="AE388" s="34">
        <f>SUMPRODUCT(DB_STProjectsSOF[[#This Row],[Plan01]:[Plan12]],$D$4:$O$4)/valUnits2</f>
        <v>4.4395490000000004</v>
      </c>
      <c r="AF388" s="34">
        <f>SUMPRODUCT(DB_STProjectsSOF[[#This Row],[Act01]:[Act12]],$P$4:$AA$4)/valUnits2</f>
        <v>5.23421</v>
      </c>
      <c r="AG388" s="34">
        <f>DB_STProjectsSOF[[#This Row],[Actual]]-DB_STProjectsSOF[[#This Row],[Plan]]</f>
        <v>0.79466099999999962</v>
      </c>
      <c r="AH388" s="34">
        <f>IF(DB_STProjectsSOF[[#This Row],[Plan]]&lt;&gt;0,DB_STProjectsSOF[[#This Row],[Actual]]/DB_STProjectsSOF[[#This Row],[Plan]],1.000011000011)</f>
        <v>1.1789958844918706</v>
      </c>
      <c r="AI388" s="34">
        <f>SUM(DB_STProjectsSOF[[#This Row],[Plan01]:[Plan12]])/valUnits2</f>
        <v>7.6501670000000006</v>
      </c>
      <c r="AJ388" s="34">
        <f>SUMPRODUCT(DB_STProjectsSOF[[#This Row],[Act01]:[Act12]],$P$3:$AA$3)/valUnits2</f>
        <v>5.23421</v>
      </c>
      <c r="AK388" s="34">
        <f>IF(DB_STProjectsSOF[[#This Row],[FY Plan]]&lt;&gt;0,DB_STProjectsSOF[[#This Row],[FY Actuals]]/DB_STProjectsSOF[[#This Row],[FY Plan]],1.000011000011)</f>
        <v>0.68419552148338714</v>
      </c>
    </row>
    <row r="389" spans="1:37" hidden="1" x14ac:dyDescent="0.2">
      <c r="A389">
        <f>SUBTOTAL(3,$B$6:B389)</f>
        <v>0</v>
      </c>
      <c r="B389" t="s">
        <v>946</v>
      </c>
      <c r="C389" t="s">
        <v>903</v>
      </c>
      <c r="G389">
        <v>0</v>
      </c>
      <c r="H389">
        <v>0</v>
      </c>
      <c r="I389">
        <v>135.37700000000001</v>
      </c>
      <c r="J389">
        <v>135.37700000000001</v>
      </c>
      <c r="K389">
        <v>135.37700000000001</v>
      </c>
      <c r="L389">
        <v>135.37700000000001</v>
      </c>
      <c r="M389">
        <v>135.37700000000001</v>
      </c>
      <c r="N389">
        <v>135.37700000000001</v>
      </c>
      <c r="O389">
        <v>135.37700000000001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s="164">
        <v>41275</v>
      </c>
      <c r="AC389" s="164">
        <v>41639</v>
      </c>
      <c r="AD389" s="164">
        <v>41670</v>
      </c>
      <c r="AE389" s="34">
        <f>SUMPRODUCT(DB_STProjectsSOF[[#This Row],[Plan01]:[Plan12]],$D$4:$O$4)/valUnits2</f>
        <v>0.135377</v>
      </c>
      <c r="AF389" s="34">
        <f>SUMPRODUCT(DB_STProjectsSOF[[#This Row],[Act01]:[Act12]],$P$4:$AA$4)/valUnits2</f>
        <v>0</v>
      </c>
      <c r="AG389" s="34">
        <f>DB_STProjectsSOF[[#This Row],[Actual]]-DB_STProjectsSOF[[#This Row],[Plan]]</f>
        <v>-0.135377</v>
      </c>
      <c r="AH389" s="34">
        <f>IF(DB_STProjectsSOF[[#This Row],[Plan]]&lt;&gt;0,DB_STProjectsSOF[[#This Row],[Actual]]/DB_STProjectsSOF[[#This Row],[Plan]],1.000011000011)</f>
        <v>0</v>
      </c>
      <c r="AI389" s="34">
        <f>SUM(DB_STProjectsSOF[[#This Row],[Plan01]:[Plan12]])/valUnits2</f>
        <v>0.9476389999999999</v>
      </c>
      <c r="AJ389" s="34">
        <f>SUMPRODUCT(DB_STProjectsSOF[[#This Row],[Act01]:[Act12]],$P$3:$AA$3)/valUnits2</f>
        <v>0</v>
      </c>
      <c r="AK389" s="34">
        <f>IF(DB_STProjectsSOF[[#This Row],[FY Plan]]&lt;&gt;0,DB_STProjectsSOF[[#This Row],[FY Actuals]]/DB_STProjectsSOF[[#This Row],[FY Plan]],1.000011000011)</f>
        <v>0</v>
      </c>
    </row>
    <row r="390" spans="1:37" hidden="1" x14ac:dyDescent="0.2">
      <c r="A390">
        <f>SUBTOTAL(3,$B$6:B390)</f>
        <v>0</v>
      </c>
      <c r="B390" t="s">
        <v>946</v>
      </c>
      <c r="C390" t="s">
        <v>365</v>
      </c>
      <c r="G390">
        <v>0</v>
      </c>
      <c r="H390">
        <v>0</v>
      </c>
      <c r="I390">
        <v>52.024999999999999</v>
      </c>
      <c r="J390">
        <v>52.024999999999999</v>
      </c>
      <c r="K390">
        <v>52.024999999999999</v>
      </c>
      <c r="S390">
        <v>0</v>
      </c>
      <c r="T390">
        <v>0</v>
      </c>
      <c r="U390">
        <v>0</v>
      </c>
      <c r="V390">
        <v>0</v>
      </c>
      <c r="W390">
        <v>0</v>
      </c>
      <c r="AB390" s="164">
        <v>40878</v>
      </c>
      <c r="AC390" s="164">
        <v>41517</v>
      </c>
      <c r="AD390" s="164">
        <v>41547</v>
      </c>
      <c r="AE390" s="34">
        <f>SUMPRODUCT(DB_STProjectsSOF[[#This Row],[Plan01]:[Plan12]],$D$4:$O$4)/valUnits2</f>
        <v>5.2025000000000002E-2</v>
      </c>
      <c r="AF390" s="34">
        <f>SUMPRODUCT(DB_STProjectsSOF[[#This Row],[Act01]:[Act12]],$P$4:$AA$4)/valUnits2</f>
        <v>0</v>
      </c>
      <c r="AG390" s="34">
        <f>DB_STProjectsSOF[[#This Row],[Actual]]-DB_STProjectsSOF[[#This Row],[Plan]]</f>
        <v>-5.2025000000000002E-2</v>
      </c>
      <c r="AH390" s="34">
        <f>IF(DB_STProjectsSOF[[#This Row],[Plan]]&lt;&gt;0,DB_STProjectsSOF[[#This Row],[Actual]]/DB_STProjectsSOF[[#This Row],[Plan]],1.000011000011)</f>
        <v>0</v>
      </c>
      <c r="AI390" s="34">
        <f>SUM(DB_STProjectsSOF[[#This Row],[Plan01]:[Plan12]])/valUnits2</f>
        <v>0.15607499999999999</v>
      </c>
      <c r="AJ390" s="34">
        <f>SUMPRODUCT(DB_STProjectsSOF[[#This Row],[Act01]:[Act12]],$P$3:$AA$3)/valUnits2</f>
        <v>0</v>
      </c>
      <c r="AK390" s="34">
        <f>IF(DB_STProjectsSOF[[#This Row],[FY Plan]]&lt;&gt;0,DB_STProjectsSOF[[#This Row],[FY Actuals]]/DB_STProjectsSOF[[#This Row],[FY Plan]],1.000011000011)</f>
        <v>0</v>
      </c>
    </row>
    <row r="391" spans="1:37" hidden="1" x14ac:dyDescent="0.2">
      <c r="A391">
        <f>SUBTOTAL(3,$B$6:B391)</f>
        <v>0</v>
      </c>
      <c r="B391" t="s">
        <v>946</v>
      </c>
      <c r="C391" t="s">
        <v>904</v>
      </c>
      <c r="D391">
        <v>7.5190000000000001</v>
      </c>
      <c r="P391">
        <v>7.51</v>
      </c>
      <c r="AB391" s="164">
        <v>40817</v>
      </c>
      <c r="AC391" s="164">
        <v>41639</v>
      </c>
      <c r="AD391" s="164">
        <v>41698</v>
      </c>
      <c r="AE391" s="34">
        <f>SUMPRODUCT(DB_STProjectsSOF[[#This Row],[Plan01]:[Plan12]],$D$4:$O$4)/valUnits2</f>
        <v>7.5190000000000005E-3</v>
      </c>
      <c r="AF391" s="34">
        <f>SUMPRODUCT(DB_STProjectsSOF[[#This Row],[Act01]:[Act12]],$P$4:$AA$4)/valUnits2</f>
        <v>7.5100000000000002E-3</v>
      </c>
      <c r="AG391" s="34">
        <f>DB_STProjectsSOF[[#This Row],[Actual]]-DB_STProjectsSOF[[#This Row],[Plan]]</f>
        <v>-9.0000000000003272E-6</v>
      </c>
      <c r="AH391" s="34">
        <f>IF(DB_STProjectsSOF[[#This Row],[Plan]]&lt;&gt;0,DB_STProjectsSOF[[#This Row],[Actual]]/DB_STProjectsSOF[[#This Row],[Plan]],1.000011000011)</f>
        <v>0.99880303231812739</v>
      </c>
      <c r="AI391" s="34">
        <f>SUM(DB_STProjectsSOF[[#This Row],[Plan01]:[Plan12]])/valUnits2</f>
        <v>7.5190000000000005E-3</v>
      </c>
      <c r="AJ391" s="34">
        <f>SUMPRODUCT(DB_STProjectsSOF[[#This Row],[Act01]:[Act12]],$P$3:$AA$3)/valUnits2</f>
        <v>7.5100000000000002E-3</v>
      </c>
      <c r="AK391" s="34">
        <f>IF(DB_STProjectsSOF[[#This Row],[FY Plan]]&lt;&gt;0,DB_STProjectsSOF[[#This Row],[FY Actuals]]/DB_STProjectsSOF[[#This Row],[FY Plan]],1.000011000011)</f>
        <v>0.99880303231812739</v>
      </c>
    </row>
    <row r="392" spans="1:37" hidden="1" x14ac:dyDescent="0.2">
      <c r="A392">
        <f>SUBTOTAL(3,$B$6:B392)</f>
        <v>0</v>
      </c>
      <c r="B392" t="s">
        <v>946</v>
      </c>
      <c r="C392" t="s">
        <v>909</v>
      </c>
      <c r="D392">
        <v>31.33</v>
      </c>
      <c r="E392">
        <v>1230.48</v>
      </c>
      <c r="F392">
        <v>1694.4199999999998</v>
      </c>
      <c r="G392">
        <v>2354.4699999999998</v>
      </c>
      <c r="H392">
        <v>1330.21</v>
      </c>
      <c r="I392">
        <v>1193</v>
      </c>
      <c r="J392">
        <v>1193</v>
      </c>
      <c r="K392">
        <v>1193</v>
      </c>
      <c r="L392">
        <v>1193</v>
      </c>
      <c r="M392">
        <v>1193</v>
      </c>
      <c r="N392">
        <v>1193</v>
      </c>
      <c r="O392">
        <v>1193</v>
      </c>
      <c r="P392">
        <v>31.33</v>
      </c>
      <c r="Q392">
        <v>1230.48</v>
      </c>
      <c r="R392">
        <v>1694.4199999999998</v>
      </c>
      <c r="S392">
        <v>2354.4699999999998</v>
      </c>
      <c r="T392">
        <v>1330.2099999999998</v>
      </c>
      <c r="U392">
        <v>1082.6000000000001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s="164">
        <v>40817</v>
      </c>
      <c r="AC392" s="164">
        <v>42155</v>
      </c>
      <c r="AD392" s="164">
        <v>42217</v>
      </c>
      <c r="AE392" s="34">
        <f>SUMPRODUCT(DB_STProjectsSOF[[#This Row],[Plan01]:[Plan12]],$D$4:$O$4)/valUnits2</f>
        <v>7.8339099999999986</v>
      </c>
      <c r="AF392" s="34">
        <f>SUMPRODUCT(DB_STProjectsSOF[[#This Row],[Act01]:[Act12]],$P$4:$AA$4)/valUnits2</f>
        <v>7.7235099999999992</v>
      </c>
      <c r="AG392" s="34">
        <f>DB_STProjectsSOF[[#This Row],[Actual]]-DB_STProjectsSOF[[#This Row],[Plan]]</f>
        <v>-0.11039999999999939</v>
      </c>
      <c r="AH392" s="34">
        <f>IF(DB_STProjectsSOF[[#This Row],[Plan]]&lt;&gt;0,DB_STProjectsSOF[[#This Row],[Actual]]/DB_STProjectsSOF[[#This Row],[Plan]],1.000011000011)</f>
        <v>0.98590742043245339</v>
      </c>
      <c r="AI392" s="34">
        <f>SUM(DB_STProjectsSOF[[#This Row],[Plan01]:[Plan12]])/valUnits2</f>
        <v>14.991910000000001</v>
      </c>
      <c r="AJ392" s="34">
        <f>SUMPRODUCT(DB_STProjectsSOF[[#This Row],[Act01]:[Act12]],$P$3:$AA$3)/valUnits2</f>
        <v>7.7235099999999992</v>
      </c>
      <c r="AK392" s="34">
        <f>IF(DB_STProjectsSOF[[#This Row],[FY Plan]]&lt;&gt;0,DB_STProjectsSOF[[#This Row],[FY Actuals]]/DB_STProjectsSOF[[#This Row],[FY Plan]],1.000011000011)</f>
        <v>0.51517851961491223</v>
      </c>
    </row>
    <row r="393" spans="1:37" hidden="1" x14ac:dyDescent="0.2">
      <c r="A393">
        <f>SUBTOTAL(3,$B$6:B393)</f>
        <v>0</v>
      </c>
      <c r="B393" t="s">
        <v>946</v>
      </c>
      <c r="C393" t="s">
        <v>354</v>
      </c>
      <c r="G393">
        <v>0</v>
      </c>
      <c r="H393">
        <v>0</v>
      </c>
      <c r="I393">
        <v>297.35399999999998</v>
      </c>
      <c r="S393">
        <v>0</v>
      </c>
      <c r="T393">
        <v>0</v>
      </c>
      <c r="U393">
        <v>0</v>
      </c>
      <c r="AB393" s="164">
        <v>41091</v>
      </c>
      <c r="AC393" s="164">
        <v>41455</v>
      </c>
      <c r="AD393" s="164">
        <v>41517</v>
      </c>
      <c r="AE393" s="34">
        <f>SUMPRODUCT(DB_STProjectsSOF[[#This Row],[Plan01]:[Plan12]],$D$4:$O$4)/valUnits2</f>
        <v>0.29735400000000001</v>
      </c>
      <c r="AF393" s="34">
        <f>SUMPRODUCT(DB_STProjectsSOF[[#This Row],[Act01]:[Act12]],$P$4:$AA$4)/valUnits2</f>
        <v>0</v>
      </c>
      <c r="AG393" s="34">
        <f>DB_STProjectsSOF[[#This Row],[Actual]]-DB_STProjectsSOF[[#This Row],[Plan]]</f>
        <v>-0.29735400000000001</v>
      </c>
      <c r="AH393" s="34">
        <f>IF(DB_STProjectsSOF[[#This Row],[Plan]]&lt;&gt;0,DB_STProjectsSOF[[#This Row],[Actual]]/DB_STProjectsSOF[[#This Row],[Plan]],1.000011000011)</f>
        <v>0</v>
      </c>
      <c r="AI393" s="34">
        <f>SUM(DB_STProjectsSOF[[#This Row],[Plan01]:[Plan12]])/valUnits2</f>
        <v>0.29735400000000001</v>
      </c>
      <c r="AJ393" s="34">
        <f>SUMPRODUCT(DB_STProjectsSOF[[#This Row],[Act01]:[Act12]],$P$3:$AA$3)/valUnits2</f>
        <v>0</v>
      </c>
      <c r="AK393" s="34">
        <f>IF(DB_STProjectsSOF[[#This Row],[FY Plan]]&lt;&gt;0,DB_STProjectsSOF[[#This Row],[FY Actuals]]/DB_STProjectsSOF[[#This Row],[FY Plan]],1.000011000011)</f>
        <v>0</v>
      </c>
    </row>
    <row r="394" spans="1:37" hidden="1" x14ac:dyDescent="0.2">
      <c r="A394">
        <f>SUBTOTAL(3,$B$6:B394)</f>
        <v>0</v>
      </c>
      <c r="B394" t="s">
        <v>946</v>
      </c>
      <c r="C394" t="s">
        <v>911</v>
      </c>
      <c r="E394">
        <v>173.28</v>
      </c>
      <c r="F394">
        <v>245.71</v>
      </c>
      <c r="G394">
        <v>1013.63</v>
      </c>
      <c r="H394">
        <v>299.37</v>
      </c>
      <c r="I394">
        <v>0</v>
      </c>
      <c r="Q394">
        <v>173.28</v>
      </c>
      <c r="R394">
        <v>245.70999999999998</v>
      </c>
      <c r="S394">
        <v>1013.63</v>
      </c>
      <c r="T394">
        <v>299.37</v>
      </c>
      <c r="U394">
        <v>278.2</v>
      </c>
      <c r="AB394" s="164">
        <v>40817</v>
      </c>
      <c r="AC394" s="164">
        <v>41578</v>
      </c>
      <c r="AD394" s="164">
        <v>41639</v>
      </c>
      <c r="AE394" s="34">
        <f>SUMPRODUCT(DB_STProjectsSOF[[#This Row],[Plan01]:[Plan12]],$D$4:$O$4)/valUnits2</f>
        <v>1.7319899999999997</v>
      </c>
      <c r="AF394" s="34">
        <f>SUMPRODUCT(DB_STProjectsSOF[[#This Row],[Act01]:[Act12]],$P$4:$AA$4)/valUnits2</f>
        <v>2.0101899999999997</v>
      </c>
      <c r="AG394" s="34">
        <f>DB_STProjectsSOF[[#This Row],[Actual]]-DB_STProjectsSOF[[#This Row],[Plan]]</f>
        <v>0.2782</v>
      </c>
      <c r="AH394" s="34">
        <f>IF(DB_STProjectsSOF[[#This Row],[Plan]]&lt;&gt;0,DB_STProjectsSOF[[#This Row],[Actual]]/DB_STProjectsSOF[[#This Row],[Plan]],1.000011000011)</f>
        <v>1.1606244839750808</v>
      </c>
      <c r="AI394" s="34">
        <f>SUM(DB_STProjectsSOF[[#This Row],[Plan01]:[Plan12]])/valUnits2</f>
        <v>1.7319899999999997</v>
      </c>
      <c r="AJ394" s="34">
        <f>SUMPRODUCT(DB_STProjectsSOF[[#This Row],[Act01]:[Act12]],$P$3:$AA$3)/valUnits2</f>
        <v>2.0101899999999997</v>
      </c>
      <c r="AK394" s="34">
        <f>IF(DB_STProjectsSOF[[#This Row],[FY Plan]]&lt;&gt;0,DB_STProjectsSOF[[#This Row],[FY Actuals]]/DB_STProjectsSOF[[#This Row],[FY Plan]],1.000011000011)</f>
        <v>1.1606244839750808</v>
      </c>
    </row>
    <row r="395" spans="1:37" hidden="1" x14ac:dyDescent="0.2">
      <c r="A395">
        <f>SUBTOTAL(3,$B$6:B395)</f>
        <v>0</v>
      </c>
      <c r="B395" t="s">
        <v>946</v>
      </c>
      <c r="C395" t="s">
        <v>913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84.236000000000004</v>
      </c>
      <c r="J395">
        <v>84.236000000000004</v>
      </c>
      <c r="K395">
        <v>84.236000000000004</v>
      </c>
      <c r="L395">
        <v>84.236000000000004</v>
      </c>
      <c r="M395">
        <v>84.236000000000004</v>
      </c>
      <c r="N395">
        <v>84.236000000000004</v>
      </c>
      <c r="O395">
        <v>84.236000000000004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s="164">
        <v>40817</v>
      </c>
      <c r="AC395" s="164">
        <v>41639</v>
      </c>
      <c r="AD395" s="164">
        <v>41685</v>
      </c>
      <c r="AE395" s="34">
        <f>SUMPRODUCT(DB_STProjectsSOF[[#This Row],[Plan01]:[Plan12]],$D$4:$O$4)/valUnits2</f>
        <v>8.4236000000000005E-2</v>
      </c>
      <c r="AF395" s="34">
        <f>SUMPRODUCT(DB_STProjectsSOF[[#This Row],[Act01]:[Act12]],$P$4:$AA$4)/valUnits2</f>
        <v>0</v>
      </c>
      <c r="AG395" s="34">
        <f>DB_STProjectsSOF[[#This Row],[Actual]]-DB_STProjectsSOF[[#This Row],[Plan]]</f>
        <v>-8.4236000000000005E-2</v>
      </c>
      <c r="AH395" s="34">
        <f>IF(DB_STProjectsSOF[[#This Row],[Plan]]&lt;&gt;0,DB_STProjectsSOF[[#This Row],[Actual]]/DB_STProjectsSOF[[#This Row],[Plan]],1.000011000011)</f>
        <v>0</v>
      </c>
      <c r="AI395" s="34">
        <f>SUM(DB_STProjectsSOF[[#This Row],[Plan01]:[Plan12]])/valUnits2</f>
        <v>0.58965200000000006</v>
      </c>
      <c r="AJ395" s="34">
        <f>SUMPRODUCT(DB_STProjectsSOF[[#This Row],[Act01]:[Act12]],$P$3:$AA$3)/valUnits2</f>
        <v>0</v>
      </c>
      <c r="AK395" s="34">
        <f>IF(DB_STProjectsSOF[[#This Row],[FY Plan]]&lt;&gt;0,DB_STProjectsSOF[[#This Row],[FY Actuals]]/DB_STProjectsSOF[[#This Row],[FY Plan]],1.000011000011)</f>
        <v>0</v>
      </c>
    </row>
    <row r="396" spans="1:37" hidden="1" x14ac:dyDescent="0.2">
      <c r="A396">
        <f>SUBTOTAL(3,$B$6:B396)</f>
        <v>0</v>
      </c>
      <c r="B396" t="s">
        <v>946</v>
      </c>
      <c r="C396" t="s">
        <v>915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43.953000000000003</v>
      </c>
      <c r="J396">
        <v>43.953000000000003</v>
      </c>
      <c r="K396">
        <v>43.953000000000003</v>
      </c>
      <c r="L396">
        <v>43.953000000000003</v>
      </c>
      <c r="M396">
        <v>43.953000000000003</v>
      </c>
      <c r="N396">
        <v>43.953000000000003</v>
      </c>
      <c r="O396">
        <v>43.953000000000003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s="164">
        <v>41061</v>
      </c>
      <c r="AC396" s="164">
        <v>42155</v>
      </c>
      <c r="AD396" s="164">
        <v>42185</v>
      </c>
      <c r="AE396" s="34">
        <f>SUMPRODUCT(DB_STProjectsSOF[[#This Row],[Plan01]:[Plan12]],$D$4:$O$4)/valUnits2</f>
        <v>4.3953000000000006E-2</v>
      </c>
      <c r="AF396" s="34">
        <f>SUMPRODUCT(DB_STProjectsSOF[[#This Row],[Act01]:[Act12]],$P$4:$AA$4)/valUnits2</f>
        <v>0</v>
      </c>
      <c r="AG396" s="34">
        <f>DB_STProjectsSOF[[#This Row],[Actual]]-DB_STProjectsSOF[[#This Row],[Plan]]</f>
        <v>-4.3953000000000006E-2</v>
      </c>
      <c r="AH396" s="34">
        <f>IF(DB_STProjectsSOF[[#This Row],[Plan]]&lt;&gt;0,DB_STProjectsSOF[[#This Row],[Actual]]/DB_STProjectsSOF[[#This Row],[Plan]],1.000011000011)</f>
        <v>0</v>
      </c>
      <c r="AI396" s="34">
        <f>SUM(DB_STProjectsSOF[[#This Row],[Plan01]:[Plan12]])/valUnits2</f>
        <v>0.30767100000000003</v>
      </c>
      <c r="AJ396" s="34">
        <f>SUMPRODUCT(DB_STProjectsSOF[[#This Row],[Act01]:[Act12]],$P$3:$AA$3)/valUnits2</f>
        <v>0</v>
      </c>
      <c r="AK396" s="34">
        <f>IF(DB_STProjectsSOF[[#This Row],[FY Plan]]&lt;&gt;0,DB_STProjectsSOF[[#This Row],[FY Actuals]]/DB_STProjectsSOF[[#This Row],[FY Plan]],1.000011000011)</f>
        <v>0</v>
      </c>
    </row>
    <row r="397" spans="1:37" hidden="1" x14ac:dyDescent="0.2">
      <c r="A397">
        <f>SUBTOTAL(3,$B$6:B397)</f>
        <v>0</v>
      </c>
      <c r="B397" t="s">
        <v>946</v>
      </c>
      <c r="C397" t="s">
        <v>356</v>
      </c>
      <c r="G397">
        <v>0</v>
      </c>
      <c r="H397">
        <v>0</v>
      </c>
      <c r="I397">
        <v>378.20799999999997</v>
      </c>
      <c r="S397">
        <v>0</v>
      </c>
      <c r="T397">
        <v>0</v>
      </c>
      <c r="U397">
        <v>0</v>
      </c>
      <c r="AB397" s="164">
        <v>41091</v>
      </c>
      <c r="AC397" s="164">
        <v>41455</v>
      </c>
      <c r="AD397" s="164">
        <v>41547</v>
      </c>
      <c r="AE397" s="34">
        <f>SUMPRODUCT(DB_STProjectsSOF[[#This Row],[Plan01]:[Plan12]],$D$4:$O$4)/valUnits2</f>
        <v>0.37820799999999999</v>
      </c>
      <c r="AF397" s="34">
        <f>SUMPRODUCT(DB_STProjectsSOF[[#This Row],[Act01]:[Act12]],$P$4:$AA$4)/valUnits2</f>
        <v>0</v>
      </c>
      <c r="AG397" s="34">
        <f>DB_STProjectsSOF[[#This Row],[Actual]]-DB_STProjectsSOF[[#This Row],[Plan]]</f>
        <v>-0.37820799999999999</v>
      </c>
      <c r="AH397" s="34">
        <f>IF(DB_STProjectsSOF[[#This Row],[Plan]]&lt;&gt;0,DB_STProjectsSOF[[#This Row],[Actual]]/DB_STProjectsSOF[[#This Row],[Plan]],1.000011000011)</f>
        <v>0</v>
      </c>
      <c r="AI397" s="34">
        <f>SUM(DB_STProjectsSOF[[#This Row],[Plan01]:[Plan12]])/valUnits2</f>
        <v>0.37820799999999999</v>
      </c>
      <c r="AJ397" s="34">
        <f>SUMPRODUCT(DB_STProjectsSOF[[#This Row],[Act01]:[Act12]],$P$3:$AA$3)/valUnits2</f>
        <v>0</v>
      </c>
      <c r="AK397" s="34">
        <f>IF(DB_STProjectsSOF[[#This Row],[FY Plan]]&lt;&gt;0,DB_STProjectsSOF[[#This Row],[FY Actuals]]/DB_STProjectsSOF[[#This Row],[FY Plan]],1.000011000011)</f>
        <v>0</v>
      </c>
    </row>
    <row r="398" spans="1:37" hidden="1" x14ac:dyDescent="0.2">
      <c r="A398">
        <f>SUBTOTAL(3,$B$6:B398)</f>
        <v>0</v>
      </c>
      <c r="B398" t="s">
        <v>946</v>
      </c>
      <c r="C398" t="s">
        <v>919</v>
      </c>
      <c r="D398">
        <v>0</v>
      </c>
      <c r="E398">
        <v>0</v>
      </c>
      <c r="F398">
        <v>0</v>
      </c>
      <c r="G398">
        <v>478.745</v>
      </c>
      <c r="H398">
        <v>98.331999999999994</v>
      </c>
      <c r="I398">
        <v>47.578000000000003</v>
      </c>
      <c r="J398">
        <v>47.578000000000003</v>
      </c>
      <c r="K398">
        <v>47.578000000000003</v>
      </c>
      <c r="L398">
        <v>47.578000000000003</v>
      </c>
      <c r="M398">
        <v>47.578000000000003</v>
      </c>
      <c r="N398">
        <v>47.578000000000003</v>
      </c>
      <c r="O398">
        <v>47.578000000000003</v>
      </c>
      <c r="P398">
        <v>0</v>
      </c>
      <c r="Q398">
        <v>0</v>
      </c>
      <c r="R398">
        <v>0</v>
      </c>
      <c r="S398">
        <v>479.28</v>
      </c>
      <c r="T398">
        <v>97.14</v>
      </c>
      <c r="U398">
        <v>110.93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s="164">
        <v>40878</v>
      </c>
      <c r="AC398" s="164">
        <v>42794</v>
      </c>
      <c r="AD398" s="164">
        <v>42978</v>
      </c>
      <c r="AE398" s="34">
        <f>SUMPRODUCT(DB_STProjectsSOF[[#This Row],[Plan01]:[Plan12]],$D$4:$O$4)/valUnits2</f>
        <v>0.62465499999999996</v>
      </c>
      <c r="AF398" s="34">
        <f>SUMPRODUCT(DB_STProjectsSOF[[#This Row],[Act01]:[Act12]],$P$4:$AA$4)/valUnits2</f>
        <v>0.68734999999999991</v>
      </c>
      <c r="AG398" s="34">
        <f>DB_STProjectsSOF[[#This Row],[Actual]]-DB_STProjectsSOF[[#This Row],[Plan]]</f>
        <v>6.2694999999999945E-2</v>
      </c>
      <c r="AH398" s="34">
        <f>IF(DB_STProjectsSOF[[#This Row],[Plan]]&lt;&gt;0,DB_STProjectsSOF[[#This Row],[Actual]]/DB_STProjectsSOF[[#This Row],[Plan]],1.000011000011)</f>
        <v>1.100367402806349</v>
      </c>
      <c r="AI398" s="34">
        <f>SUM(DB_STProjectsSOF[[#This Row],[Plan01]:[Plan12]])/valUnits2</f>
        <v>0.91012299999999979</v>
      </c>
      <c r="AJ398" s="34">
        <f>SUMPRODUCT(DB_STProjectsSOF[[#This Row],[Act01]:[Act12]],$P$3:$AA$3)/valUnits2</f>
        <v>0.68734999999999991</v>
      </c>
      <c r="AK398" s="34">
        <f>IF(DB_STProjectsSOF[[#This Row],[FY Plan]]&lt;&gt;0,DB_STProjectsSOF[[#This Row],[FY Actuals]]/DB_STProjectsSOF[[#This Row],[FY Plan]],1.000011000011)</f>
        <v>0.75522759011694029</v>
      </c>
    </row>
    <row r="399" spans="1:37" hidden="1" x14ac:dyDescent="0.2">
      <c r="A399">
        <f>SUBTOTAL(3,$B$6:B399)</f>
        <v>0</v>
      </c>
      <c r="B399" t="s">
        <v>946</v>
      </c>
      <c r="C399" t="s">
        <v>921</v>
      </c>
      <c r="D399">
        <v>1.3660000000000001</v>
      </c>
      <c r="P399">
        <v>1.36</v>
      </c>
      <c r="AB399" s="164">
        <v>40909</v>
      </c>
      <c r="AC399" s="164">
        <v>41363</v>
      </c>
      <c r="AD399" s="164">
        <v>41389</v>
      </c>
      <c r="AE399" s="34">
        <f>SUMPRODUCT(DB_STProjectsSOF[[#This Row],[Plan01]:[Plan12]],$D$4:$O$4)/valUnits2</f>
        <v>1.366E-3</v>
      </c>
      <c r="AF399" s="34">
        <f>SUMPRODUCT(DB_STProjectsSOF[[#This Row],[Act01]:[Act12]],$P$4:$AA$4)/valUnits2</f>
        <v>1.3600000000000001E-3</v>
      </c>
      <c r="AG399" s="34">
        <f>DB_STProjectsSOF[[#This Row],[Actual]]-DB_STProjectsSOF[[#This Row],[Plan]]</f>
        <v>-5.999999999999929E-6</v>
      </c>
      <c r="AH399" s="34">
        <f>IF(DB_STProjectsSOF[[#This Row],[Plan]]&lt;&gt;0,DB_STProjectsSOF[[#This Row],[Actual]]/DB_STProjectsSOF[[#This Row],[Plan]],1.000011000011)</f>
        <v>0.99560761346998539</v>
      </c>
      <c r="AI399" s="34">
        <f>SUM(DB_STProjectsSOF[[#This Row],[Plan01]:[Plan12]])/valUnits2</f>
        <v>1.366E-3</v>
      </c>
      <c r="AJ399" s="34">
        <f>SUMPRODUCT(DB_STProjectsSOF[[#This Row],[Act01]:[Act12]],$P$3:$AA$3)/valUnits2</f>
        <v>1.3600000000000001E-3</v>
      </c>
      <c r="AK399" s="34">
        <f>IF(DB_STProjectsSOF[[#This Row],[FY Plan]]&lt;&gt;0,DB_STProjectsSOF[[#This Row],[FY Actuals]]/DB_STProjectsSOF[[#This Row],[FY Plan]],1.000011000011)</f>
        <v>0.99560761346998539</v>
      </c>
    </row>
    <row r="400" spans="1:37" hidden="1" x14ac:dyDescent="0.2">
      <c r="A400">
        <f>SUBTOTAL(3,$B$6:B400)</f>
        <v>0</v>
      </c>
      <c r="B400" t="s">
        <v>946</v>
      </c>
      <c r="C400" t="s">
        <v>922</v>
      </c>
      <c r="D400">
        <v>3.5289999999999999</v>
      </c>
      <c r="P400">
        <v>3.42</v>
      </c>
      <c r="AB400" s="164">
        <v>41000</v>
      </c>
      <c r="AC400" s="164">
        <v>41989</v>
      </c>
      <c r="AD400" s="164">
        <v>42078</v>
      </c>
      <c r="AE400" s="34">
        <f>SUMPRODUCT(DB_STProjectsSOF[[#This Row],[Plan01]:[Plan12]],$D$4:$O$4)/valUnits2</f>
        <v>3.529E-3</v>
      </c>
      <c r="AF400" s="34">
        <f>SUMPRODUCT(DB_STProjectsSOF[[#This Row],[Act01]:[Act12]],$P$4:$AA$4)/valUnits2</f>
        <v>3.4199999999999999E-3</v>
      </c>
      <c r="AG400" s="34">
        <f>DB_STProjectsSOF[[#This Row],[Actual]]-DB_STProjectsSOF[[#This Row],[Plan]]</f>
        <v>-1.0900000000000016E-4</v>
      </c>
      <c r="AH400" s="34">
        <f>IF(DB_STProjectsSOF[[#This Row],[Plan]]&lt;&gt;0,DB_STProjectsSOF[[#This Row],[Actual]]/DB_STProjectsSOF[[#This Row],[Plan]],1.000011000011)</f>
        <v>0.96911306319070556</v>
      </c>
      <c r="AI400" s="34">
        <f>SUM(DB_STProjectsSOF[[#This Row],[Plan01]:[Plan12]])/valUnits2</f>
        <v>3.529E-3</v>
      </c>
      <c r="AJ400" s="34">
        <f>SUMPRODUCT(DB_STProjectsSOF[[#This Row],[Act01]:[Act12]],$P$3:$AA$3)/valUnits2</f>
        <v>3.4199999999999999E-3</v>
      </c>
      <c r="AK400" s="34">
        <f>IF(DB_STProjectsSOF[[#This Row],[FY Plan]]&lt;&gt;0,DB_STProjectsSOF[[#This Row],[FY Actuals]]/DB_STProjectsSOF[[#This Row],[FY Plan]],1.000011000011)</f>
        <v>0.96911306319070556</v>
      </c>
    </row>
    <row r="401" spans="1:37" hidden="1" x14ac:dyDescent="0.2">
      <c r="A401">
        <f>SUBTOTAL(3,$B$6:B401)</f>
        <v>0</v>
      </c>
      <c r="B401" t="s">
        <v>946</v>
      </c>
      <c r="C401" t="s">
        <v>924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184.54399999999998</v>
      </c>
      <c r="J401">
        <v>184.54399999999998</v>
      </c>
      <c r="K401">
        <v>184.54399999999998</v>
      </c>
      <c r="L401">
        <v>184.54399999999998</v>
      </c>
      <c r="M401">
        <v>184.54399999999998</v>
      </c>
      <c r="N401">
        <v>184.54399999999998</v>
      </c>
      <c r="O401">
        <v>184.54399999999998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s="164">
        <v>40817</v>
      </c>
      <c r="AC401" s="164">
        <v>41639</v>
      </c>
      <c r="AD401" s="164">
        <v>41685</v>
      </c>
      <c r="AE401" s="34">
        <f>SUMPRODUCT(DB_STProjectsSOF[[#This Row],[Plan01]:[Plan12]],$D$4:$O$4)/valUnits2</f>
        <v>0.18454399999999999</v>
      </c>
      <c r="AF401" s="34">
        <f>SUMPRODUCT(DB_STProjectsSOF[[#This Row],[Act01]:[Act12]],$P$4:$AA$4)/valUnits2</f>
        <v>0</v>
      </c>
      <c r="AG401" s="34">
        <f>DB_STProjectsSOF[[#This Row],[Actual]]-DB_STProjectsSOF[[#This Row],[Plan]]</f>
        <v>-0.18454399999999999</v>
      </c>
      <c r="AH401" s="34">
        <f>IF(DB_STProjectsSOF[[#This Row],[Plan]]&lt;&gt;0,DB_STProjectsSOF[[#This Row],[Actual]]/DB_STProjectsSOF[[#This Row],[Plan]],1.000011000011)</f>
        <v>0</v>
      </c>
      <c r="AI401" s="34">
        <f>SUM(DB_STProjectsSOF[[#This Row],[Plan01]:[Plan12]])/valUnits2</f>
        <v>1.2918080000000001</v>
      </c>
      <c r="AJ401" s="34">
        <f>SUMPRODUCT(DB_STProjectsSOF[[#This Row],[Act01]:[Act12]],$P$3:$AA$3)/valUnits2</f>
        <v>0</v>
      </c>
      <c r="AK401" s="34">
        <f>IF(DB_STProjectsSOF[[#This Row],[FY Plan]]&lt;&gt;0,DB_STProjectsSOF[[#This Row],[FY Actuals]]/DB_STProjectsSOF[[#This Row],[FY Plan]],1.000011000011)</f>
        <v>0</v>
      </c>
    </row>
    <row r="402" spans="1:37" hidden="1" x14ac:dyDescent="0.2">
      <c r="A402">
        <f>SUBTOTAL(3,$B$6:B402)</f>
        <v>0</v>
      </c>
      <c r="B402" t="s">
        <v>946</v>
      </c>
      <c r="C402" t="s">
        <v>927</v>
      </c>
      <c r="E402">
        <v>201.83</v>
      </c>
      <c r="F402">
        <v>281.77999999999997</v>
      </c>
      <c r="G402">
        <v>2271.5499999999997</v>
      </c>
      <c r="H402">
        <v>1494.56</v>
      </c>
      <c r="I402">
        <v>0</v>
      </c>
      <c r="Q402">
        <v>201.82999999999998</v>
      </c>
      <c r="R402">
        <v>281.77999999999997</v>
      </c>
      <c r="S402">
        <v>2271.5500000000002</v>
      </c>
      <c r="T402">
        <v>1494.56</v>
      </c>
      <c r="U402">
        <v>1101.3399999999999</v>
      </c>
      <c r="AB402" s="164">
        <v>40817</v>
      </c>
      <c r="AC402" s="164">
        <v>42052</v>
      </c>
      <c r="AD402" s="164">
        <v>42141</v>
      </c>
      <c r="AE402" s="34">
        <f>SUMPRODUCT(DB_STProjectsSOF[[#This Row],[Plan01]:[Plan12]],$D$4:$O$4)/valUnits2</f>
        <v>4.2497199999999991</v>
      </c>
      <c r="AF402" s="34">
        <f>SUMPRODUCT(DB_STProjectsSOF[[#This Row],[Act01]:[Act12]],$P$4:$AA$4)/valUnits2</f>
        <v>5.3510600000000004</v>
      </c>
      <c r="AG402" s="34">
        <f>DB_STProjectsSOF[[#This Row],[Actual]]-DB_STProjectsSOF[[#This Row],[Plan]]</f>
        <v>1.1013400000000013</v>
      </c>
      <c r="AH402" s="34">
        <f>IF(DB_STProjectsSOF[[#This Row],[Plan]]&lt;&gt;0,DB_STProjectsSOF[[#This Row],[Actual]]/DB_STProjectsSOF[[#This Row],[Plan]],1.000011000011)</f>
        <v>1.2591558973297068</v>
      </c>
      <c r="AI402" s="34">
        <f>SUM(DB_STProjectsSOF[[#This Row],[Plan01]:[Plan12]])/valUnits2</f>
        <v>4.2497199999999991</v>
      </c>
      <c r="AJ402" s="34">
        <f>SUMPRODUCT(DB_STProjectsSOF[[#This Row],[Act01]:[Act12]],$P$3:$AA$3)/valUnits2</f>
        <v>5.3510600000000004</v>
      </c>
      <c r="AK402" s="34">
        <f>IF(DB_STProjectsSOF[[#This Row],[FY Plan]]&lt;&gt;0,DB_STProjectsSOF[[#This Row],[FY Actuals]]/DB_STProjectsSOF[[#This Row],[FY Plan]],1.000011000011)</f>
        <v>1.2591558973297068</v>
      </c>
    </row>
    <row r="403" spans="1:37" hidden="1" x14ac:dyDescent="0.2">
      <c r="A403">
        <f>SUBTOTAL(3,$B$6:B403)</f>
        <v>0</v>
      </c>
      <c r="B403" t="s">
        <v>946</v>
      </c>
      <c r="C403" t="s">
        <v>359</v>
      </c>
      <c r="G403">
        <v>0</v>
      </c>
      <c r="H403">
        <v>0</v>
      </c>
      <c r="I403">
        <v>83.958999999999989</v>
      </c>
      <c r="S403">
        <v>0</v>
      </c>
      <c r="T403">
        <v>0</v>
      </c>
      <c r="U403">
        <v>0</v>
      </c>
      <c r="AB403" s="164">
        <v>41275</v>
      </c>
      <c r="AC403" s="164">
        <v>41455</v>
      </c>
      <c r="AD403" s="164">
        <v>41547</v>
      </c>
      <c r="AE403" s="34">
        <f>SUMPRODUCT(DB_STProjectsSOF[[#This Row],[Plan01]:[Plan12]],$D$4:$O$4)/valUnits2</f>
        <v>8.3958999999999992E-2</v>
      </c>
      <c r="AF403" s="34">
        <f>SUMPRODUCT(DB_STProjectsSOF[[#This Row],[Act01]:[Act12]],$P$4:$AA$4)/valUnits2</f>
        <v>0</v>
      </c>
      <c r="AG403" s="34">
        <f>DB_STProjectsSOF[[#This Row],[Actual]]-DB_STProjectsSOF[[#This Row],[Plan]]</f>
        <v>-8.3958999999999992E-2</v>
      </c>
      <c r="AH403" s="34">
        <f>IF(DB_STProjectsSOF[[#This Row],[Plan]]&lt;&gt;0,DB_STProjectsSOF[[#This Row],[Actual]]/DB_STProjectsSOF[[#This Row],[Plan]],1.000011000011)</f>
        <v>0</v>
      </c>
      <c r="AI403" s="34">
        <f>SUM(DB_STProjectsSOF[[#This Row],[Plan01]:[Plan12]])/valUnits2</f>
        <v>8.3958999999999992E-2</v>
      </c>
      <c r="AJ403" s="34">
        <f>SUMPRODUCT(DB_STProjectsSOF[[#This Row],[Act01]:[Act12]],$P$3:$AA$3)/valUnits2</f>
        <v>0</v>
      </c>
      <c r="AK403" s="34">
        <f>IF(DB_STProjectsSOF[[#This Row],[FY Plan]]&lt;&gt;0,DB_STProjectsSOF[[#This Row],[FY Actuals]]/DB_STProjectsSOF[[#This Row],[FY Plan]],1.000011000011)</f>
        <v>0</v>
      </c>
    </row>
    <row r="404" spans="1:37" hidden="1" x14ac:dyDescent="0.2">
      <c r="A404">
        <f>SUBTOTAL(3,$B$6:B404)</f>
        <v>0</v>
      </c>
      <c r="B404" t="s">
        <v>946</v>
      </c>
      <c r="C404" t="s">
        <v>360</v>
      </c>
      <c r="G404">
        <v>0</v>
      </c>
      <c r="H404">
        <v>0</v>
      </c>
      <c r="I404">
        <v>294.93599999999998</v>
      </c>
      <c r="S404">
        <v>0</v>
      </c>
      <c r="T404">
        <v>0</v>
      </c>
      <c r="U404">
        <v>0</v>
      </c>
      <c r="AB404" s="164">
        <v>41091</v>
      </c>
      <c r="AC404" s="164">
        <v>41455</v>
      </c>
      <c r="AD404" s="164">
        <v>41547</v>
      </c>
      <c r="AE404" s="34">
        <f>SUMPRODUCT(DB_STProjectsSOF[[#This Row],[Plan01]:[Plan12]],$D$4:$O$4)/valUnits2</f>
        <v>0.29493599999999998</v>
      </c>
      <c r="AF404" s="34">
        <f>SUMPRODUCT(DB_STProjectsSOF[[#This Row],[Act01]:[Act12]],$P$4:$AA$4)/valUnits2</f>
        <v>0</v>
      </c>
      <c r="AG404" s="34">
        <f>DB_STProjectsSOF[[#This Row],[Actual]]-DB_STProjectsSOF[[#This Row],[Plan]]</f>
        <v>-0.29493599999999998</v>
      </c>
      <c r="AH404" s="34">
        <f>IF(DB_STProjectsSOF[[#This Row],[Plan]]&lt;&gt;0,DB_STProjectsSOF[[#This Row],[Actual]]/DB_STProjectsSOF[[#This Row],[Plan]],1.000011000011)</f>
        <v>0</v>
      </c>
      <c r="AI404" s="34">
        <f>SUM(DB_STProjectsSOF[[#This Row],[Plan01]:[Plan12]])/valUnits2</f>
        <v>0.29493599999999998</v>
      </c>
      <c r="AJ404" s="34">
        <f>SUMPRODUCT(DB_STProjectsSOF[[#This Row],[Act01]:[Act12]],$P$3:$AA$3)/valUnits2</f>
        <v>0</v>
      </c>
      <c r="AK404" s="34">
        <f>IF(DB_STProjectsSOF[[#This Row],[FY Plan]]&lt;&gt;0,DB_STProjectsSOF[[#This Row],[FY Actuals]]/DB_STProjectsSOF[[#This Row],[FY Plan]],1.000011000011)</f>
        <v>0</v>
      </c>
    </row>
    <row r="405" spans="1:37" hidden="1" x14ac:dyDescent="0.2">
      <c r="A405">
        <f>SUBTOTAL(3,$B$6:B405)</f>
        <v>0</v>
      </c>
      <c r="B405" t="s">
        <v>946</v>
      </c>
      <c r="C405" t="s">
        <v>930</v>
      </c>
      <c r="D405">
        <v>6.83</v>
      </c>
      <c r="P405">
        <v>6.83</v>
      </c>
      <c r="AB405" s="164">
        <v>40848</v>
      </c>
      <c r="AC405" s="164">
        <v>41729</v>
      </c>
      <c r="AD405" s="164">
        <v>41654</v>
      </c>
      <c r="AE405" s="34">
        <f>SUMPRODUCT(DB_STProjectsSOF[[#This Row],[Plan01]:[Plan12]],$D$4:$O$4)/valUnits2</f>
        <v>6.8300000000000001E-3</v>
      </c>
      <c r="AF405" s="34">
        <f>SUMPRODUCT(DB_STProjectsSOF[[#This Row],[Act01]:[Act12]],$P$4:$AA$4)/valUnits2</f>
        <v>6.8300000000000001E-3</v>
      </c>
      <c r="AG405" s="34">
        <f>DB_STProjectsSOF[[#This Row],[Actual]]-DB_STProjectsSOF[[#This Row],[Plan]]</f>
        <v>0</v>
      </c>
      <c r="AH405" s="34">
        <f>IF(DB_STProjectsSOF[[#This Row],[Plan]]&lt;&gt;0,DB_STProjectsSOF[[#This Row],[Actual]]/DB_STProjectsSOF[[#This Row],[Plan]],1.000011000011)</f>
        <v>1</v>
      </c>
      <c r="AI405" s="34">
        <f>SUM(DB_STProjectsSOF[[#This Row],[Plan01]:[Plan12]])/valUnits2</f>
        <v>6.8300000000000001E-3</v>
      </c>
      <c r="AJ405" s="34">
        <f>SUMPRODUCT(DB_STProjectsSOF[[#This Row],[Act01]:[Act12]],$P$3:$AA$3)/valUnits2</f>
        <v>6.8300000000000001E-3</v>
      </c>
      <c r="AK405" s="34">
        <f>IF(DB_STProjectsSOF[[#This Row],[FY Plan]]&lt;&gt;0,DB_STProjectsSOF[[#This Row],[FY Actuals]]/DB_STProjectsSOF[[#This Row],[FY Plan]],1.000011000011)</f>
        <v>1</v>
      </c>
    </row>
    <row r="406" spans="1:37" hidden="1" x14ac:dyDescent="0.2">
      <c r="A406">
        <f>SUBTOTAL(3,$B$6:B406)</f>
        <v>0</v>
      </c>
      <c r="B406" t="s">
        <v>946</v>
      </c>
      <c r="C406" t="s">
        <v>932</v>
      </c>
      <c r="G406">
        <v>178.14999999999998</v>
      </c>
      <c r="H406">
        <v>178.14999999999998</v>
      </c>
      <c r="I406">
        <v>178.14999999999998</v>
      </c>
      <c r="J406">
        <v>178.14999999999998</v>
      </c>
      <c r="K406">
        <v>178.14999999999998</v>
      </c>
      <c r="L406">
        <v>178.14999999999998</v>
      </c>
      <c r="M406">
        <v>178.14999999999998</v>
      </c>
      <c r="N406">
        <v>178.14999999999998</v>
      </c>
      <c r="O406">
        <v>178.14999999999998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s="164">
        <v>40909</v>
      </c>
      <c r="AC406" s="164">
        <v>41274</v>
      </c>
      <c r="AD406" s="164">
        <v>41305</v>
      </c>
      <c r="AE406" s="34">
        <f>SUMPRODUCT(DB_STProjectsSOF[[#This Row],[Plan01]:[Plan12]],$D$4:$O$4)/valUnits2</f>
        <v>0.53444999999999998</v>
      </c>
      <c r="AF406" s="34">
        <f>SUMPRODUCT(DB_STProjectsSOF[[#This Row],[Act01]:[Act12]],$P$4:$AA$4)/valUnits2</f>
        <v>0</v>
      </c>
      <c r="AG406" s="34">
        <f>DB_STProjectsSOF[[#This Row],[Actual]]-DB_STProjectsSOF[[#This Row],[Plan]]</f>
        <v>-0.53444999999999998</v>
      </c>
      <c r="AH406" s="34">
        <f>IF(DB_STProjectsSOF[[#This Row],[Plan]]&lt;&gt;0,DB_STProjectsSOF[[#This Row],[Actual]]/DB_STProjectsSOF[[#This Row],[Plan]],1.000011000011)</f>
        <v>0</v>
      </c>
      <c r="AI406" s="34">
        <f>SUM(DB_STProjectsSOF[[#This Row],[Plan01]:[Plan12]])/valUnits2</f>
        <v>1.6033499999999998</v>
      </c>
      <c r="AJ406" s="34">
        <f>SUMPRODUCT(DB_STProjectsSOF[[#This Row],[Act01]:[Act12]],$P$3:$AA$3)/valUnits2</f>
        <v>0</v>
      </c>
      <c r="AK406" s="34">
        <f>IF(DB_STProjectsSOF[[#This Row],[FY Plan]]&lt;&gt;0,DB_STProjectsSOF[[#This Row],[FY Actuals]]/DB_STProjectsSOF[[#This Row],[FY Plan]],1.000011000011)</f>
        <v>0</v>
      </c>
    </row>
    <row r="407" spans="1:37" hidden="1" x14ac:dyDescent="0.2">
      <c r="A407">
        <f>SUBTOTAL(3,$B$6:B407)</f>
        <v>0</v>
      </c>
      <c r="B407" t="s">
        <v>946</v>
      </c>
      <c r="C407" t="s">
        <v>933</v>
      </c>
      <c r="F407">
        <v>0</v>
      </c>
      <c r="G407">
        <v>0</v>
      </c>
      <c r="H407">
        <v>0</v>
      </c>
      <c r="R407">
        <v>0</v>
      </c>
      <c r="S407">
        <v>0</v>
      </c>
      <c r="T407">
        <v>0</v>
      </c>
      <c r="AB407" s="164">
        <v>40817</v>
      </c>
      <c r="AC407" s="164">
        <v>42155</v>
      </c>
      <c r="AD407" s="164">
        <v>42217</v>
      </c>
      <c r="AE407" s="34">
        <f>SUMPRODUCT(DB_STProjectsSOF[[#This Row],[Plan01]:[Plan12]],$D$4:$O$4)/valUnits2</f>
        <v>0</v>
      </c>
      <c r="AF407" s="34">
        <f>SUMPRODUCT(DB_STProjectsSOF[[#This Row],[Act01]:[Act12]],$P$4:$AA$4)/valUnits2</f>
        <v>0</v>
      </c>
      <c r="AG407" s="34">
        <f>DB_STProjectsSOF[[#This Row],[Actual]]-DB_STProjectsSOF[[#This Row],[Plan]]</f>
        <v>0</v>
      </c>
      <c r="AH407" s="34">
        <f>IF(DB_STProjectsSOF[[#This Row],[Plan]]&lt;&gt;0,DB_STProjectsSOF[[#This Row],[Actual]]/DB_STProjectsSOF[[#This Row],[Plan]],1.000011000011)</f>
        <v>1.0000110000110001</v>
      </c>
      <c r="AI407" s="34">
        <f>SUM(DB_STProjectsSOF[[#This Row],[Plan01]:[Plan12]])/valUnits2</f>
        <v>0</v>
      </c>
      <c r="AJ407" s="34">
        <f>SUMPRODUCT(DB_STProjectsSOF[[#This Row],[Act01]:[Act12]],$P$3:$AA$3)/valUnits2</f>
        <v>0</v>
      </c>
      <c r="AK407" s="34">
        <f>IF(DB_STProjectsSOF[[#This Row],[FY Plan]]&lt;&gt;0,DB_STProjectsSOF[[#This Row],[FY Actuals]]/DB_STProjectsSOF[[#This Row],[FY Plan]],1.000011000011)</f>
        <v>1.0000110000110001</v>
      </c>
    </row>
    <row r="408" spans="1:37" hidden="1" x14ac:dyDescent="0.2">
      <c r="A408">
        <f>SUBTOTAL(3,$B$6:B408)</f>
        <v>0</v>
      </c>
      <c r="B408" t="s">
        <v>946</v>
      </c>
      <c r="C408" t="s">
        <v>935</v>
      </c>
      <c r="D408">
        <v>0</v>
      </c>
      <c r="G408">
        <v>229.142</v>
      </c>
      <c r="H408">
        <v>107.93300000000001</v>
      </c>
      <c r="I408">
        <v>119.40299999999999</v>
      </c>
      <c r="J408">
        <v>119.40299999999999</v>
      </c>
      <c r="K408">
        <v>119.40299999999999</v>
      </c>
      <c r="L408">
        <v>119.40299999999999</v>
      </c>
      <c r="M408">
        <v>119.40299999999999</v>
      </c>
      <c r="N408">
        <v>119.40299999999999</v>
      </c>
      <c r="O408">
        <v>119.40299999999999</v>
      </c>
      <c r="P408">
        <v>0</v>
      </c>
      <c r="S408">
        <v>224.44000000000003</v>
      </c>
      <c r="T408">
        <v>107.72</v>
      </c>
      <c r="U408">
        <v>116.02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s="164">
        <v>41000</v>
      </c>
      <c r="AC408" s="164">
        <v>42094</v>
      </c>
      <c r="AD408" s="164">
        <v>42124</v>
      </c>
      <c r="AE408" s="34">
        <f>SUMPRODUCT(DB_STProjectsSOF[[#This Row],[Plan01]:[Plan12]],$D$4:$O$4)/valUnits2</f>
        <v>0.45647799999999994</v>
      </c>
      <c r="AF408" s="34">
        <f>SUMPRODUCT(DB_STProjectsSOF[[#This Row],[Act01]:[Act12]],$P$4:$AA$4)/valUnits2</f>
        <v>0.44818000000000002</v>
      </c>
      <c r="AG408" s="34">
        <f>DB_STProjectsSOF[[#This Row],[Actual]]-DB_STProjectsSOF[[#This Row],[Plan]]</f>
        <v>-8.2979999999999166E-3</v>
      </c>
      <c r="AH408" s="34">
        <f>IF(DB_STProjectsSOF[[#This Row],[Plan]]&lt;&gt;0,DB_STProjectsSOF[[#This Row],[Actual]]/DB_STProjectsSOF[[#This Row],[Plan]],1.000011000011)</f>
        <v>0.98182168691590854</v>
      </c>
      <c r="AI408" s="34">
        <f>SUM(DB_STProjectsSOF[[#This Row],[Plan01]:[Plan12]])/valUnits2</f>
        <v>1.1728959999999999</v>
      </c>
      <c r="AJ408" s="34">
        <f>SUMPRODUCT(DB_STProjectsSOF[[#This Row],[Act01]:[Act12]],$P$3:$AA$3)/valUnits2</f>
        <v>0.44818000000000002</v>
      </c>
      <c r="AK408" s="34">
        <f>IF(DB_STProjectsSOF[[#This Row],[FY Plan]]&lt;&gt;0,DB_STProjectsSOF[[#This Row],[FY Actuals]]/DB_STProjectsSOF[[#This Row],[FY Plan]],1.000011000011)</f>
        <v>0.38211401522385618</v>
      </c>
    </row>
    <row r="409" spans="1:37" hidden="1" x14ac:dyDescent="0.2">
      <c r="A409">
        <f>SUBTOTAL(3,$B$6:B409)</f>
        <v>0</v>
      </c>
      <c r="B409" t="s">
        <v>976</v>
      </c>
      <c r="C409" t="s">
        <v>846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36.899000000000001</v>
      </c>
      <c r="J409">
        <v>36.899000000000001</v>
      </c>
      <c r="K409">
        <v>36.899000000000001</v>
      </c>
      <c r="L409">
        <v>36.899000000000001</v>
      </c>
      <c r="M409">
        <v>36.899000000000001</v>
      </c>
      <c r="N409">
        <v>36.899000000000001</v>
      </c>
      <c r="O409">
        <v>36.899000000000001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s="164">
        <v>40817</v>
      </c>
      <c r="AC409" s="164">
        <v>41599</v>
      </c>
      <c r="AD409" s="164">
        <v>41305</v>
      </c>
      <c r="AE409" s="34">
        <f>SUMPRODUCT(DB_STProjectsSOF[[#This Row],[Plan01]:[Plan12]],$D$4:$O$4)/valUnits2</f>
        <v>3.6899000000000001E-2</v>
      </c>
      <c r="AF409" s="34">
        <f>SUMPRODUCT(DB_STProjectsSOF[[#This Row],[Act01]:[Act12]],$P$4:$AA$4)/valUnits2</f>
        <v>0</v>
      </c>
      <c r="AG409" s="34">
        <f>DB_STProjectsSOF[[#This Row],[Actual]]-DB_STProjectsSOF[[#This Row],[Plan]]</f>
        <v>-3.6899000000000001E-2</v>
      </c>
      <c r="AH409" s="34">
        <f>IF(DB_STProjectsSOF[[#This Row],[Plan]]&lt;&gt;0,DB_STProjectsSOF[[#This Row],[Actual]]/DB_STProjectsSOF[[#This Row],[Plan]],1.000011000011)</f>
        <v>0</v>
      </c>
      <c r="AI409" s="34">
        <f>SUM(DB_STProjectsSOF[[#This Row],[Plan01]:[Plan12]])/valUnits2</f>
        <v>0.25829299999999999</v>
      </c>
      <c r="AJ409" s="34">
        <f>SUMPRODUCT(DB_STProjectsSOF[[#This Row],[Act01]:[Act12]],$P$3:$AA$3)/valUnits2</f>
        <v>0</v>
      </c>
      <c r="AK409" s="34">
        <f>IF(DB_STProjectsSOF[[#This Row],[FY Plan]]&lt;&gt;0,DB_STProjectsSOF[[#This Row],[FY Actuals]]/DB_STProjectsSOF[[#This Row],[FY Plan]],1.000011000011)</f>
        <v>0</v>
      </c>
    </row>
    <row r="410" spans="1:37" hidden="1" x14ac:dyDescent="0.2">
      <c r="A410">
        <f>SUBTOTAL(3,$B$6:B410)</f>
        <v>0</v>
      </c>
      <c r="B410" t="s">
        <v>976</v>
      </c>
      <c r="C410" t="s">
        <v>856</v>
      </c>
      <c r="D410">
        <v>881.45699999999999</v>
      </c>
      <c r="E410">
        <v>1491.98</v>
      </c>
      <c r="F410">
        <v>1697.9850000000001</v>
      </c>
      <c r="G410">
        <v>2321.4</v>
      </c>
      <c r="H410">
        <v>1477.375</v>
      </c>
      <c r="I410">
        <v>881.45699999999999</v>
      </c>
      <c r="J410">
        <v>881.45699999999999</v>
      </c>
      <c r="K410">
        <v>881.45699999999999</v>
      </c>
      <c r="L410">
        <v>881.45699999999999</v>
      </c>
      <c r="M410">
        <v>881.45699999999999</v>
      </c>
      <c r="N410">
        <v>881.45699999999999</v>
      </c>
      <c r="O410">
        <v>881.45699999999999</v>
      </c>
      <c r="P410">
        <v>0</v>
      </c>
      <c r="Q410">
        <v>585.68000000000006</v>
      </c>
      <c r="R410">
        <v>784.7</v>
      </c>
      <c r="S410">
        <v>1381.49</v>
      </c>
      <c r="T410">
        <v>580.16</v>
      </c>
      <c r="U410">
        <v>695.2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s="164">
        <v>40817</v>
      </c>
      <c r="AC410" s="164">
        <v>42338</v>
      </c>
      <c r="AD410" s="164">
        <v>42490</v>
      </c>
      <c r="AE410" s="34">
        <f>SUMPRODUCT(DB_STProjectsSOF[[#This Row],[Plan01]:[Plan12]],$D$4:$O$4)/valUnits2</f>
        <v>8.7516540000000003</v>
      </c>
      <c r="AF410" s="34">
        <f>SUMPRODUCT(DB_STProjectsSOF[[#This Row],[Act01]:[Act12]],$P$4:$AA$4)/valUnits2</f>
        <v>4.0272299999999994</v>
      </c>
      <c r="AG410" s="34">
        <f>DB_STProjectsSOF[[#This Row],[Actual]]-DB_STProjectsSOF[[#This Row],[Plan]]</f>
        <v>-4.7244240000000008</v>
      </c>
      <c r="AH410" s="34">
        <f>IF(DB_STProjectsSOF[[#This Row],[Plan]]&lt;&gt;0,DB_STProjectsSOF[[#This Row],[Actual]]/DB_STProjectsSOF[[#This Row],[Plan]],1.000011000011)</f>
        <v>0.46016787226734507</v>
      </c>
      <c r="AI410" s="34">
        <f>SUM(DB_STProjectsSOF[[#This Row],[Plan01]:[Plan12]])/valUnits2</f>
        <v>14.040396000000003</v>
      </c>
      <c r="AJ410" s="34">
        <f>SUMPRODUCT(DB_STProjectsSOF[[#This Row],[Act01]:[Act12]],$P$3:$AA$3)/valUnits2</f>
        <v>4.0272299999999994</v>
      </c>
      <c r="AK410" s="34">
        <f>IF(DB_STProjectsSOF[[#This Row],[FY Plan]]&lt;&gt;0,DB_STProjectsSOF[[#This Row],[FY Actuals]]/DB_STProjectsSOF[[#This Row],[FY Plan]],1.000011000011)</f>
        <v>0.28683165346618417</v>
      </c>
    </row>
    <row r="411" spans="1:37" hidden="1" x14ac:dyDescent="0.2">
      <c r="A411">
        <f>SUBTOTAL(3,$B$6:B411)</f>
        <v>0</v>
      </c>
      <c r="B411" t="s">
        <v>976</v>
      </c>
      <c r="C411" t="s">
        <v>857</v>
      </c>
      <c r="D411">
        <v>-1996.32</v>
      </c>
      <c r="P411">
        <v>-1996.32</v>
      </c>
      <c r="AB411" s="164">
        <v>40909</v>
      </c>
      <c r="AC411" s="164">
        <v>41274</v>
      </c>
      <c r="AD411" s="164">
        <v>41364</v>
      </c>
      <c r="AE411" s="34">
        <f>SUMPRODUCT(DB_STProjectsSOF[[#This Row],[Plan01]:[Plan12]],$D$4:$O$4)/valUnits2</f>
        <v>-1.9963199999999999</v>
      </c>
      <c r="AF411" s="34">
        <f>SUMPRODUCT(DB_STProjectsSOF[[#This Row],[Act01]:[Act12]],$P$4:$AA$4)/valUnits2</f>
        <v>-1.9963199999999999</v>
      </c>
      <c r="AG411" s="34">
        <f>DB_STProjectsSOF[[#This Row],[Actual]]-DB_STProjectsSOF[[#This Row],[Plan]]</f>
        <v>0</v>
      </c>
      <c r="AH411" s="34">
        <f>IF(DB_STProjectsSOF[[#This Row],[Plan]]&lt;&gt;0,DB_STProjectsSOF[[#This Row],[Actual]]/DB_STProjectsSOF[[#This Row],[Plan]],1.000011000011)</f>
        <v>1</v>
      </c>
      <c r="AI411" s="34">
        <f>SUM(DB_STProjectsSOF[[#This Row],[Plan01]:[Plan12]])/valUnits2</f>
        <v>-1.9963199999999999</v>
      </c>
      <c r="AJ411" s="34">
        <f>SUMPRODUCT(DB_STProjectsSOF[[#This Row],[Act01]:[Act12]],$P$3:$AA$3)/valUnits2</f>
        <v>-1.9963199999999999</v>
      </c>
      <c r="AK411" s="34">
        <f>IF(DB_STProjectsSOF[[#This Row],[FY Plan]]&lt;&gt;0,DB_STProjectsSOF[[#This Row],[FY Actuals]]/DB_STProjectsSOF[[#This Row],[FY Plan]],1.000011000011)</f>
        <v>1</v>
      </c>
    </row>
    <row r="412" spans="1:37" hidden="1" x14ac:dyDescent="0.2">
      <c r="A412">
        <f>SUBTOTAL(3,$B$6:B412)</f>
        <v>0</v>
      </c>
      <c r="B412" t="s">
        <v>976</v>
      </c>
      <c r="C412" t="s">
        <v>860</v>
      </c>
      <c r="I412">
        <v>0</v>
      </c>
      <c r="U412">
        <v>9.99</v>
      </c>
      <c r="AB412" s="164">
        <v>40969</v>
      </c>
      <c r="AC412" s="164">
        <v>42643</v>
      </c>
      <c r="AD412" s="164">
        <v>42704</v>
      </c>
      <c r="AE412" s="34">
        <f>SUMPRODUCT(DB_STProjectsSOF[[#This Row],[Plan01]:[Plan12]],$D$4:$O$4)/valUnits2</f>
        <v>0</v>
      </c>
      <c r="AF412" s="34">
        <f>SUMPRODUCT(DB_STProjectsSOF[[#This Row],[Act01]:[Act12]],$P$4:$AA$4)/valUnits2</f>
        <v>9.9900000000000006E-3</v>
      </c>
      <c r="AG412" s="34">
        <f>DB_STProjectsSOF[[#This Row],[Actual]]-DB_STProjectsSOF[[#This Row],[Plan]]</f>
        <v>9.9900000000000006E-3</v>
      </c>
      <c r="AH412" s="34">
        <f>IF(DB_STProjectsSOF[[#This Row],[Plan]]&lt;&gt;0,DB_STProjectsSOF[[#This Row],[Actual]]/DB_STProjectsSOF[[#This Row],[Plan]],1.000011000011)</f>
        <v>1.0000110000110001</v>
      </c>
      <c r="AI412" s="34">
        <f>SUM(DB_STProjectsSOF[[#This Row],[Plan01]:[Plan12]])/valUnits2</f>
        <v>0</v>
      </c>
      <c r="AJ412" s="34">
        <f>SUMPRODUCT(DB_STProjectsSOF[[#This Row],[Act01]:[Act12]],$P$3:$AA$3)/valUnits2</f>
        <v>9.9900000000000006E-3</v>
      </c>
      <c r="AK412" s="34">
        <f>IF(DB_STProjectsSOF[[#This Row],[FY Plan]]&lt;&gt;0,DB_STProjectsSOF[[#This Row],[FY Actuals]]/DB_STProjectsSOF[[#This Row],[FY Plan]],1.000011000011)</f>
        <v>1.0000110000110001</v>
      </c>
    </row>
    <row r="413" spans="1:37" hidden="1" x14ac:dyDescent="0.2">
      <c r="A413">
        <f>SUBTOTAL(3,$B$6:B413)</f>
        <v>0</v>
      </c>
      <c r="B413" t="s">
        <v>976</v>
      </c>
      <c r="C413" t="s">
        <v>866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1276.4449999999999</v>
      </c>
      <c r="J413">
        <v>1276.4449999999999</v>
      </c>
      <c r="K413">
        <v>1276.4449999999999</v>
      </c>
      <c r="L413">
        <v>1276.4449999999999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AB413" s="164">
        <v>41275</v>
      </c>
      <c r="AC413" s="164">
        <v>41639</v>
      </c>
      <c r="AD413" s="164">
        <v>41760</v>
      </c>
      <c r="AE413" s="34">
        <f>SUMPRODUCT(DB_STProjectsSOF[[#This Row],[Plan01]:[Plan12]],$D$4:$O$4)/valUnits2</f>
        <v>1.2764449999999998</v>
      </c>
      <c r="AF413" s="34">
        <f>SUMPRODUCT(DB_STProjectsSOF[[#This Row],[Act01]:[Act12]],$P$4:$AA$4)/valUnits2</f>
        <v>0</v>
      </c>
      <c r="AG413" s="34">
        <f>DB_STProjectsSOF[[#This Row],[Actual]]-DB_STProjectsSOF[[#This Row],[Plan]]</f>
        <v>-1.2764449999999998</v>
      </c>
      <c r="AH413" s="34">
        <f>IF(DB_STProjectsSOF[[#This Row],[Plan]]&lt;&gt;0,DB_STProjectsSOF[[#This Row],[Actual]]/DB_STProjectsSOF[[#This Row],[Plan]],1.000011000011)</f>
        <v>0</v>
      </c>
      <c r="AI413" s="34">
        <f>SUM(DB_STProjectsSOF[[#This Row],[Plan01]:[Plan12]])/valUnits2</f>
        <v>5.1057799999999993</v>
      </c>
      <c r="AJ413" s="34">
        <f>SUMPRODUCT(DB_STProjectsSOF[[#This Row],[Act01]:[Act12]],$P$3:$AA$3)/valUnits2</f>
        <v>0</v>
      </c>
      <c r="AK413" s="34">
        <f>IF(DB_STProjectsSOF[[#This Row],[FY Plan]]&lt;&gt;0,DB_STProjectsSOF[[#This Row],[FY Actuals]]/DB_STProjectsSOF[[#This Row],[FY Plan]],1.000011000011)</f>
        <v>0</v>
      </c>
    </row>
    <row r="414" spans="1:37" hidden="1" x14ac:dyDescent="0.2">
      <c r="A414">
        <f>SUBTOTAL(3,$B$6:B414)</f>
        <v>0</v>
      </c>
      <c r="B414" t="s">
        <v>976</v>
      </c>
      <c r="C414" t="s">
        <v>869</v>
      </c>
      <c r="D414">
        <v>10.28</v>
      </c>
      <c r="E414">
        <v>897.68</v>
      </c>
      <c r="F414">
        <v>1239.48</v>
      </c>
      <c r="G414">
        <v>1271.74</v>
      </c>
      <c r="H414">
        <v>514.79999999999995</v>
      </c>
      <c r="I414">
        <v>487</v>
      </c>
      <c r="J414">
        <v>487</v>
      </c>
      <c r="K414">
        <v>487</v>
      </c>
      <c r="L414">
        <v>487</v>
      </c>
      <c r="M414">
        <v>487</v>
      </c>
      <c r="N414">
        <v>487</v>
      </c>
      <c r="O414">
        <v>487</v>
      </c>
      <c r="P414">
        <v>10.28</v>
      </c>
      <c r="Q414">
        <v>897.68000000000006</v>
      </c>
      <c r="R414">
        <v>1239.48</v>
      </c>
      <c r="S414">
        <v>1271.74</v>
      </c>
      <c r="T414">
        <v>514.79999999999995</v>
      </c>
      <c r="U414">
        <v>587.98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s="164">
        <v>40817</v>
      </c>
      <c r="AC414" s="164">
        <v>42155</v>
      </c>
      <c r="AD414" s="164">
        <v>42217</v>
      </c>
      <c r="AE414" s="34">
        <f>SUMPRODUCT(DB_STProjectsSOF[[#This Row],[Plan01]:[Plan12]],$D$4:$O$4)/valUnits2</f>
        <v>4.4209800000000001</v>
      </c>
      <c r="AF414" s="34">
        <f>SUMPRODUCT(DB_STProjectsSOF[[#This Row],[Act01]:[Act12]],$P$4:$AA$4)/valUnits2</f>
        <v>4.5219600000000009</v>
      </c>
      <c r="AG414" s="34">
        <f>DB_STProjectsSOF[[#This Row],[Actual]]-DB_STProjectsSOF[[#This Row],[Plan]]</f>
        <v>0.10098000000000074</v>
      </c>
      <c r="AH414" s="34">
        <f>IF(DB_STProjectsSOF[[#This Row],[Plan]]&lt;&gt;0,DB_STProjectsSOF[[#This Row],[Actual]]/DB_STProjectsSOF[[#This Row],[Plan]],1.000011000011)</f>
        <v>1.0228410895321853</v>
      </c>
      <c r="AI414" s="34">
        <f>SUM(DB_STProjectsSOF[[#This Row],[Plan01]:[Plan12]])/valUnits2</f>
        <v>7.3429800000000007</v>
      </c>
      <c r="AJ414" s="34">
        <f>SUMPRODUCT(DB_STProjectsSOF[[#This Row],[Act01]:[Act12]],$P$3:$AA$3)/valUnits2</f>
        <v>4.5219600000000009</v>
      </c>
      <c r="AK414" s="34">
        <f>IF(DB_STProjectsSOF[[#This Row],[FY Plan]]&lt;&gt;0,DB_STProjectsSOF[[#This Row],[FY Actuals]]/DB_STProjectsSOF[[#This Row],[FY Plan]],1.000011000011)</f>
        <v>0.61582082478775657</v>
      </c>
    </row>
    <row r="415" spans="1:37" hidden="1" x14ac:dyDescent="0.2">
      <c r="A415">
        <f>SUBTOTAL(3,$B$6:B415)</f>
        <v>0</v>
      </c>
      <c r="B415" t="s">
        <v>976</v>
      </c>
      <c r="C415" t="s">
        <v>883</v>
      </c>
      <c r="D415">
        <v>0</v>
      </c>
      <c r="E415">
        <v>555.24599999999998</v>
      </c>
      <c r="G415">
        <v>1388.0320000000002</v>
      </c>
      <c r="H415">
        <v>567.66999999999996</v>
      </c>
      <c r="I415">
        <v>0</v>
      </c>
      <c r="P415">
        <v>0</v>
      </c>
      <c r="Q415">
        <v>567.6099999999999</v>
      </c>
      <c r="S415">
        <v>1385.7900000000002</v>
      </c>
      <c r="T415">
        <v>566.54999999999995</v>
      </c>
      <c r="U415">
        <v>647.07000000000005</v>
      </c>
      <c r="AB415" s="164">
        <v>40940</v>
      </c>
      <c r="AC415" s="164">
        <v>41639</v>
      </c>
      <c r="AD415" s="164">
        <v>41698</v>
      </c>
      <c r="AE415" s="34">
        <f>SUMPRODUCT(DB_STProjectsSOF[[#This Row],[Plan01]:[Plan12]],$D$4:$O$4)/valUnits2</f>
        <v>2.5109480000000004</v>
      </c>
      <c r="AF415" s="34">
        <f>SUMPRODUCT(DB_STProjectsSOF[[#This Row],[Act01]:[Act12]],$P$4:$AA$4)/valUnits2</f>
        <v>3.1670199999999999</v>
      </c>
      <c r="AG415" s="34">
        <f>DB_STProjectsSOF[[#This Row],[Actual]]-DB_STProjectsSOF[[#This Row],[Plan]]</f>
        <v>0.65607199999999954</v>
      </c>
      <c r="AH415" s="34">
        <f>IF(DB_STProjectsSOF[[#This Row],[Plan]]&lt;&gt;0,DB_STProjectsSOF[[#This Row],[Actual]]/DB_STProjectsSOF[[#This Row],[Plan]],1.000011000011)</f>
        <v>1.2612845825560703</v>
      </c>
      <c r="AI415" s="34">
        <f>SUM(DB_STProjectsSOF[[#This Row],[Plan01]:[Plan12]])/valUnits2</f>
        <v>2.5109480000000004</v>
      </c>
      <c r="AJ415" s="34">
        <f>SUMPRODUCT(DB_STProjectsSOF[[#This Row],[Act01]:[Act12]],$P$3:$AA$3)/valUnits2</f>
        <v>3.1670199999999999</v>
      </c>
      <c r="AK415" s="34">
        <f>IF(DB_STProjectsSOF[[#This Row],[FY Plan]]&lt;&gt;0,DB_STProjectsSOF[[#This Row],[FY Actuals]]/DB_STProjectsSOF[[#This Row],[FY Plan]],1.000011000011)</f>
        <v>1.2612845825560703</v>
      </c>
    </row>
    <row r="416" spans="1:37" hidden="1" x14ac:dyDescent="0.2">
      <c r="A416">
        <f>SUBTOTAL(3,$B$6:B416)</f>
        <v>0</v>
      </c>
      <c r="B416" t="s">
        <v>976</v>
      </c>
      <c r="C416" t="s">
        <v>891</v>
      </c>
      <c r="G416">
        <v>0</v>
      </c>
      <c r="H416">
        <v>0</v>
      </c>
      <c r="I416">
        <v>118.761</v>
      </c>
      <c r="J416">
        <v>118.761</v>
      </c>
      <c r="K416">
        <v>118.761</v>
      </c>
      <c r="L416">
        <v>118.761</v>
      </c>
      <c r="M416">
        <v>118.761</v>
      </c>
      <c r="N416">
        <v>118.761</v>
      </c>
      <c r="O416">
        <v>118.761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s="164">
        <v>41214</v>
      </c>
      <c r="AC416" s="164">
        <v>42308</v>
      </c>
      <c r="AD416" s="164">
        <v>42389</v>
      </c>
      <c r="AE416" s="34">
        <f>SUMPRODUCT(DB_STProjectsSOF[[#This Row],[Plan01]:[Plan12]],$D$4:$O$4)/valUnits2</f>
        <v>0.11876099999999999</v>
      </c>
      <c r="AF416" s="34">
        <f>SUMPRODUCT(DB_STProjectsSOF[[#This Row],[Act01]:[Act12]],$P$4:$AA$4)/valUnits2</f>
        <v>0</v>
      </c>
      <c r="AG416" s="34">
        <f>DB_STProjectsSOF[[#This Row],[Actual]]-DB_STProjectsSOF[[#This Row],[Plan]]</f>
        <v>-0.11876099999999999</v>
      </c>
      <c r="AH416" s="34">
        <f>IF(DB_STProjectsSOF[[#This Row],[Plan]]&lt;&gt;0,DB_STProjectsSOF[[#This Row],[Actual]]/DB_STProjectsSOF[[#This Row],[Plan]],1.000011000011)</f>
        <v>0</v>
      </c>
      <c r="AI416" s="34">
        <f>SUM(DB_STProjectsSOF[[#This Row],[Plan01]:[Plan12]])/valUnits2</f>
        <v>0.83132699999999993</v>
      </c>
      <c r="AJ416" s="34">
        <f>SUMPRODUCT(DB_STProjectsSOF[[#This Row],[Act01]:[Act12]],$P$3:$AA$3)/valUnits2</f>
        <v>0</v>
      </c>
      <c r="AK416" s="34">
        <f>IF(DB_STProjectsSOF[[#This Row],[FY Plan]]&lt;&gt;0,DB_STProjectsSOF[[#This Row],[FY Actuals]]/DB_STProjectsSOF[[#This Row],[FY Plan]],1.000011000011)</f>
        <v>0</v>
      </c>
    </row>
    <row r="417" spans="1:37" hidden="1" x14ac:dyDescent="0.2">
      <c r="A417">
        <f>SUBTOTAL(3,$B$6:B417)</f>
        <v>0</v>
      </c>
      <c r="B417" t="s">
        <v>976</v>
      </c>
      <c r="C417" t="s">
        <v>368</v>
      </c>
      <c r="D417">
        <v>0</v>
      </c>
      <c r="E417">
        <v>0</v>
      </c>
      <c r="H417">
        <v>1523.5619999999999</v>
      </c>
      <c r="I417">
        <v>1523.5619999999999</v>
      </c>
      <c r="J417">
        <v>1523.5619999999999</v>
      </c>
      <c r="K417">
        <v>1523.5619999999999</v>
      </c>
      <c r="L417">
        <v>1523.5619999999999</v>
      </c>
      <c r="M417">
        <v>1523.5619999999999</v>
      </c>
      <c r="N417">
        <v>1523.5619999999999</v>
      </c>
      <c r="P417">
        <v>0</v>
      </c>
      <c r="Q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B417" s="164">
        <v>41000</v>
      </c>
      <c r="AC417" s="164">
        <v>41820</v>
      </c>
      <c r="AD417" s="164">
        <v>41517</v>
      </c>
      <c r="AE417" s="34">
        <f>SUMPRODUCT(DB_STProjectsSOF[[#This Row],[Plan01]:[Plan12]],$D$4:$O$4)/valUnits2</f>
        <v>3.0471239999999997</v>
      </c>
      <c r="AF417" s="34">
        <f>SUMPRODUCT(DB_STProjectsSOF[[#This Row],[Act01]:[Act12]],$P$4:$AA$4)/valUnits2</f>
        <v>0</v>
      </c>
      <c r="AG417" s="34">
        <f>DB_STProjectsSOF[[#This Row],[Actual]]-DB_STProjectsSOF[[#This Row],[Plan]]</f>
        <v>-3.0471239999999997</v>
      </c>
      <c r="AH417" s="34">
        <f>IF(DB_STProjectsSOF[[#This Row],[Plan]]&lt;&gt;0,DB_STProjectsSOF[[#This Row],[Actual]]/DB_STProjectsSOF[[#This Row],[Plan]],1.000011000011)</f>
        <v>0</v>
      </c>
      <c r="AI417" s="34">
        <f>SUM(DB_STProjectsSOF[[#This Row],[Plan01]:[Plan12]])/valUnits2</f>
        <v>10.664933999999999</v>
      </c>
      <c r="AJ417" s="34">
        <f>SUMPRODUCT(DB_STProjectsSOF[[#This Row],[Act01]:[Act12]],$P$3:$AA$3)/valUnits2</f>
        <v>0</v>
      </c>
      <c r="AK417" s="34">
        <f>IF(DB_STProjectsSOF[[#This Row],[FY Plan]]&lt;&gt;0,DB_STProjectsSOF[[#This Row],[FY Actuals]]/DB_STProjectsSOF[[#This Row],[FY Plan]],1.000011000011)</f>
        <v>0</v>
      </c>
    </row>
    <row r="418" spans="1:37" hidden="1" x14ac:dyDescent="0.2">
      <c r="A418">
        <f>SUBTOTAL(3,$B$6:B418)</f>
        <v>0</v>
      </c>
      <c r="B418" t="s">
        <v>976</v>
      </c>
      <c r="C418" t="s">
        <v>896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s="164">
        <v>40817</v>
      </c>
      <c r="AC418" s="164">
        <v>41639</v>
      </c>
      <c r="AD418" s="164">
        <v>41820</v>
      </c>
      <c r="AE418" s="34">
        <f>SUMPRODUCT(DB_STProjectsSOF[[#This Row],[Plan01]:[Plan12]],$D$4:$O$4)/valUnits2</f>
        <v>0</v>
      </c>
      <c r="AF418" s="34">
        <f>SUMPRODUCT(DB_STProjectsSOF[[#This Row],[Act01]:[Act12]],$P$4:$AA$4)/valUnits2</f>
        <v>0</v>
      </c>
      <c r="AG418" s="34">
        <f>DB_STProjectsSOF[[#This Row],[Actual]]-DB_STProjectsSOF[[#This Row],[Plan]]</f>
        <v>0</v>
      </c>
      <c r="AH418" s="34">
        <f>IF(DB_STProjectsSOF[[#This Row],[Plan]]&lt;&gt;0,DB_STProjectsSOF[[#This Row],[Actual]]/DB_STProjectsSOF[[#This Row],[Plan]],1.000011000011)</f>
        <v>1.0000110000110001</v>
      </c>
      <c r="AI418" s="34">
        <f>SUM(DB_STProjectsSOF[[#This Row],[Plan01]:[Plan12]])/valUnits2</f>
        <v>0</v>
      </c>
      <c r="AJ418" s="34">
        <f>SUMPRODUCT(DB_STProjectsSOF[[#This Row],[Act01]:[Act12]],$P$3:$AA$3)/valUnits2</f>
        <v>0</v>
      </c>
      <c r="AK418" s="34">
        <f>IF(DB_STProjectsSOF[[#This Row],[FY Plan]]&lt;&gt;0,DB_STProjectsSOF[[#This Row],[FY Actuals]]/DB_STProjectsSOF[[#This Row],[FY Plan]],1.000011000011)</f>
        <v>1.0000110000110001</v>
      </c>
    </row>
    <row r="419" spans="1:37" hidden="1" x14ac:dyDescent="0.2">
      <c r="A419">
        <f>SUBTOTAL(3,$B$6:B419)</f>
        <v>0</v>
      </c>
      <c r="B419" t="s">
        <v>976</v>
      </c>
      <c r="C419" t="s">
        <v>904</v>
      </c>
      <c r="I419">
        <v>0</v>
      </c>
      <c r="U419">
        <v>21.23</v>
      </c>
      <c r="AB419" s="164">
        <v>40817</v>
      </c>
      <c r="AC419" s="164">
        <v>41639</v>
      </c>
      <c r="AD419" s="164">
        <v>41698</v>
      </c>
      <c r="AE419" s="34">
        <f>SUMPRODUCT(DB_STProjectsSOF[[#This Row],[Plan01]:[Plan12]],$D$4:$O$4)/valUnits2</f>
        <v>0</v>
      </c>
      <c r="AF419" s="34">
        <f>SUMPRODUCT(DB_STProjectsSOF[[#This Row],[Act01]:[Act12]],$P$4:$AA$4)/valUnits2</f>
        <v>2.1229999999999999E-2</v>
      </c>
      <c r="AG419" s="34">
        <f>DB_STProjectsSOF[[#This Row],[Actual]]-DB_STProjectsSOF[[#This Row],[Plan]]</f>
        <v>2.1229999999999999E-2</v>
      </c>
      <c r="AH419" s="34">
        <f>IF(DB_STProjectsSOF[[#This Row],[Plan]]&lt;&gt;0,DB_STProjectsSOF[[#This Row],[Actual]]/DB_STProjectsSOF[[#This Row],[Plan]],1.000011000011)</f>
        <v>1.0000110000110001</v>
      </c>
      <c r="AI419" s="34">
        <f>SUM(DB_STProjectsSOF[[#This Row],[Plan01]:[Plan12]])/valUnits2</f>
        <v>0</v>
      </c>
      <c r="AJ419" s="34">
        <f>SUMPRODUCT(DB_STProjectsSOF[[#This Row],[Act01]:[Act12]],$P$3:$AA$3)/valUnits2</f>
        <v>2.1229999999999999E-2</v>
      </c>
      <c r="AK419" s="34">
        <f>IF(DB_STProjectsSOF[[#This Row],[FY Plan]]&lt;&gt;0,DB_STProjectsSOF[[#This Row],[FY Actuals]]/DB_STProjectsSOF[[#This Row],[FY Plan]],1.000011000011)</f>
        <v>1.0000110000110001</v>
      </c>
    </row>
    <row r="420" spans="1:37" hidden="1" x14ac:dyDescent="0.2">
      <c r="A420">
        <f>SUBTOTAL(3,$B$6:B420)</f>
        <v>0</v>
      </c>
      <c r="B420" t="s">
        <v>976</v>
      </c>
      <c r="C420" t="s">
        <v>909</v>
      </c>
      <c r="D420">
        <v>0</v>
      </c>
      <c r="E420">
        <v>975.28</v>
      </c>
      <c r="F420">
        <v>1294.67</v>
      </c>
      <c r="G420">
        <v>2429.4199999999996</v>
      </c>
      <c r="H420">
        <v>977.91</v>
      </c>
      <c r="I420">
        <v>1461</v>
      </c>
      <c r="J420">
        <v>1461</v>
      </c>
      <c r="K420">
        <v>1461</v>
      </c>
      <c r="L420">
        <v>1461</v>
      </c>
      <c r="M420">
        <v>1461</v>
      </c>
      <c r="N420">
        <v>1461</v>
      </c>
      <c r="O420">
        <v>1461</v>
      </c>
      <c r="P420">
        <v>0</v>
      </c>
      <c r="Q420">
        <v>975.28</v>
      </c>
      <c r="R420">
        <v>1294.6699999999998</v>
      </c>
      <c r="S420">
        <v>2429.42</v>
      </c>
      <c r="T420">
        <v>977.91</v>
      </c>
      <c r="U420">
        <v>823.77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s="164">
        <v>40817</v>
      </c>
      <c r="AC420" s="164">
        <v>42155</v>
      </c>
      <c r="AD420" s="164">
        <v>42217</v>
      </c>
      <c r="AE420" s="34">
        <f>SUMPRODUCT(DB_STProjectsSOF[[#This Row],[Plan01]:[Plan12]],$D$4:$O$4)/valUnits2</f>
        <v>7.1382799999999991</v>
      </c>
      <c r="AF420" s="34">
        <f>SUMPRODUCT(DB_STProjectsSOF[[#This Row],[Act01]:[Act12]],$P$4:$AA$4)/valUnits2</f>
        <v>6.5010499999999993</v>
      </c>
      <c r="AG420" s="34">
        <f>DB_STProjectsSOF[[#This Row],[Actual]]-DB_STProjectsSOF[[#This Row],[Plan]]</f>
        <v>-0.63722999999999974</v>
      </c>
      <c r="AH420" s="34">
        <f>IF(DB_STProjectsSOF[[#This Row],[Plan]]&lt;&gt;0,DB_STProjectsSOF[[#This Row],[Actual]]/DB_STProjectsSOF[[#This Row],[Plan]],1.000011000011)</f>
        <v>0.91073059616602325</v>
      </c>
      <c r="AI420" s="34">
        <f>SUM(DB_STProjectsSOF[[#This Row],[Plan01]:[Plan12]])/valUnits2</f>
        <v>15.904279999999998</v>
      </c>
      <c r="AJ420" s="34">
        <f>SUMPRODUCT(DB_STProjectsSOF[[#This Row],[Act01]:[Act12]],$P$3:$AA$3)/valUnits2</f>
        <v>6.5010499999999993</v>
      </c>
      <c r="AK420" s="34">
        <f>IF(DB_STProjectsSOF[[#This Row],[FY Plan]]&lt;&gt;0,DB_STProjectsSOF[[#This Row],[FY Actuals]]/DB_STProjectsSOF[[#This Row],[FY Plan]],1.000011000011)</f>
        <v>0.40876103790929236</v>
      </c>
    </row>
    <row r="421" spans="1:37" hidden="1" x14ac:dyDescent="0.2">
      <c r="A421">
        <f>SUBTOTAL(3,$B$6:B421)</f>
        <v>0</v>
      </c>
      <c r="B421" t="s">
        <v>976</v>
      </c>
      <c r="C421" t="s">
        <v>911</v>
      </c>
      <c r="D421">
        <v>284.161</v>
      </c>
      <c r="E421">
        <v>529.91399999999999</v>
      </c>
      <c r="F421">
        <v>826.88599999999997</v>
      </c>
      <c r="G421">
        <v>909.90599999999995</v>
      </c>
      <c r="H421">
        <v>785.30600000000004</v>
      </c>
      <c r="I421">
        <v>681.82600000000002</v>
      </c>
      <c r="J421">
        <v>681.82600000000002</v>
      </c>
      <c r="K421">
        <v>681.82600000000002</v>
      </c>
      <c r="L421">
        <v>681.82600000000002</v>
      </c>
      <c r="M421">
        <v>681.82600000000002</v>
      </c>
      <c r="P421">
        <v>0</v>
      </c>
      <c r="Q421">
        <v>106.64</v>
      </c>
      <c r="R421">
        <v>145.06</v>
      </c>
      <c r="S421">
        <v>228.08</v>
      </c>
      <c r="T421">
        <v>103.47999999999999</v>
      </c>
      <c r="U421">
        <v>118.2</v>
      </c>
      <c r="V421">
        <v>0</v>
      </c>
      <c r="W421">
        <v>0</v>
      </c>
      <c r="X421">
        <v>0</v>
      </c>
      <c r="Y421">
        <v>0</v>
      </c>
      <c r="AB421" s="164">
        <v>40817</v>
      </c>
      <c r="AC421" s="164">
        <v>41578</v>
      </c>
      <c r="AD421" s="164">
        <v>41639</v>
      </c>
      <c r="AE421" s="34">
        <f>SUMPRODUCT(DB_STProjectsSOF[[#This Row],[Plan01]:[Plan12]],$D$4:$O$4)/valUnits2</f>
        <v>4.0179990000000005</v>
      </c>
      <c r="AF421" s="34">
        <f>SUMPRODUCT(DB_STProjectsSOF[[#This Row],[Act01]:[Act12]],$P$4:$AA$4)/valUnits2</f>
        <v>0.70146000000000008</v>
      </c>
      <c r="AG421" s="34">
        <f>DB_STProjectsSOF[[#This Row],[Actual]]-DB_STProjectsSOF[[#This Row],[Plan]]</f>
        <v>-3.3165390000000006</v>
      </c>
      <c r="AH421" s="34">
        <f>IF(DB_STProjectsSOF[[#This Row],[Plan]]&lt;&gt;0,DB_STProjectsSOF[[#This Row],[Actual]]/DB_STProjectsSOF[[#This Row],[Plan]],1.000011000011)</f>
        <v>0.17457943618203986</v>
      </c>
      <c r="AI421" s="34">
        <f>SUM(DB_STProjectsSOF[[#This Row],[Plan01]:[Plan12]])/valUnits2</f>
        <v>6.7453030000000007</v>
      </c>
      <c r="AJ421" s="34">
        <f>SUMPRODUCT(DB_STProjectsSOF[[#This Row],[Act01]:[Act12]],$P$3:$AA$3)/valUnits2</f>
        <v>0.70146000000000008</v>
      </c>
      <c r="AK421" s="34">
        <f>IF(DB_STProjectsSOF[[#This Row],[FY Plan]]&lt;&gt;0,DB_STProjectsSOF[[#This Row],[FY Actuals]]/DB_STProjectsSOF[[#This Row],[FY Plan]],1.000011000011)</f>
        <v>0.10399236327856584</v>
      </c>
    </row>
    <row r="422" spans="1:37" hidden="1" x14ac:dyDescent="0.2">
      <c r="A422">
        <f>SUBTOTAL(3,$B$6:B422)</f>
        <v>0</v>
      </c>
      <c r="B422" t="s">
        <v>976</v>
      </c>
      <c r="C422" t="s">
        <v>356</v>
      </c>
      <c r="G422">
        <v>290.64300000000003</v>
      </c>
      <c r="I422">
        <v>0</v>
      </c>
      <c r="S422">
        <v>292.33999999999997</v>
      </c>
      <c r="U422">
        <v>54.19</v>
      </c>
      <c r="AB422" s="164">
        <v>41091</v>
      </c>
      <c r="AC422" s="164">
        <v>41455</v>
      </c>
      <c r="AD422" s="164">
        <v>41547</v>
      </c>
      <c r="AE422" s="34">
        <f>SUMPRODUCT(DB_STProjectsSOF[[#This Row],[Plan01]:[Plan12]],$D$4:$O$4)/valUnits2</f>
        <v>0.29064300000000004</v>
      </c>
      <c r="AF422" s="34">
        <f>SUMPRODUCT(DB_STProjectsSOF[[#This Row],[Act01]:[Act12]],$P$4:$AA$4)/valUnits2</f>
        <v>0.34652999999999995</v>
      </c>
      <c r="AG422" s="34">
        <f>DB_STProjectsSOF[[#This Row],[Actual]]-DB_STProjectsSOF[[#This Row],[Plan]]</f>
        <v>5.5886999999999909E-2</v>
      </c>
      <c r="AH422" s="34">
        <f>IF(DB_STProjectsSOF[[#This Row],[Plan]]&lt;&gt;0,DB_STProjectsSOF[[#This Row],[Actual]]/DB_STProjectsSOF[[#This Row],[Plan]],1.000011000011)</f>
        <v>1.1922874454227348</v>
      </c>
      <c r="AI422" s="34">
        <f>SUM(DB_STProjectsSOF[[#This Row],[Plan01]:[Plan12]])/valUnits2</f>
        <v>0.29064300000000004</v>
      </c>
      <c r="AJ422" s="34">
        <f>SUMPRODUCT(DB_STProjectsSOF[[#This Row],[Act01]:[Act12]],$P$3:$AA$3)/valUnits2</f>
        <v>0.34652999999999995</v>
      </c>
      <c r="AK422" s="34">
        <f>IF(DB_STProjectsSOF[[#This Row],[FY Plan]]&lt;&gt;0,DB_STProjectsSOF[[#This Row],[FY Actuals]]/DB_STProjectsSOF[[#This Row],[FY Plan]],1.000011000011)</f>
        <v>1.1922874454227348</v>
      </c>
    </row>
    <row r="423" spans="1:37" hidden="1" x14ac:dyDescent="0.2">
      <c r="A423">
        <f>SUBTOTAL(3,$B$6:B423)</f>
        <v>0</v>
      </c>
      <c r="B423" t="s">
        <v>976</v>
      </c>
      <c r="C423" t="s">
        <v>919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s="164">
        <v>40878</v>
      </c>
      <c r="AC423" s="164">
        <v>42794</v>
      </c>
      <c r="AD423" s="164">
        <v>42978</v>
      </c>
      <c r="AE423" s="34">
        <f>SUMPRODUCT(DB_STProjectsSOF[[#This Row],[Plan01]:[Plan12]],$D$4:$O$4)/valUnits2</f>
        <v>0</v>
      </c>
      <c r="AF423" s="34">
        <f>SUMPRODUCT(DB_STProjectsSOF[[#This Row],[Act01]:[Act12]],$P$4:$AA$4)/valUnits2</f>
        <v>0</v>
      </c>
      <c r="AG423" s="34">
        <f>DB_STProjectsSOF[[#This Row],[Actual]]-DB_STProjectsSOF[[#This Row],[Plan]]</f>
        <v>0</v>
      </c>
      <c r="AH423" s="34">
        <f>IF(DB_STProjectsSOF[[#This Row],[Plan]]&lt;&gt;0,DB_STProjectsSOF[[#This Row],[Actual]]/DB_STProjectsSOF[[#This Row],[Plan]],1.000011000011)</f>
        <v>1.0000110000110001</v>
      </c>
      <c r="AI423" s="34">
        <f>SUM(DB_STProjectsSOF[[#This Row],[Plan01]:[Plan12]])/valUnits2</f>
        <v>0</v>
      </c>
      <c r="AJ423" s="34">
        <f>SUMPRODUCT(DB_STProjectsSOF[[#This Row],[Act01]:[Act12]],$P$3:$AA$3)/valUnits2</f>
        <v>0</v>
      </c>
      <c r="AK423" s="34">
        <f>IF(DB_STProjectsSOF[[#This Row],[FY Plan]]&lt;&gt;0,DB_STProjectsSOF[[#This Row],[FY Actuals]]/DB_STProjectsSOF[[#This Row],[FY Plan]],1.000011000011)</f>
        <v>1.0000110000110001</v>
      </c>
    </row>
    <row r="424" spans="1:37" hidden="1" x14ac:dyDescent="0.2">
      <c r="A424">
        <f>SUBTOTAL(3,$B$6:B424)</f>
        <v>0</v>
      </c>
      <c r="B424" t="s">
        <v>976</v>
      </c>
      <c r="C424" t="s">
        <v>930</v>
      </c>
      <c r="D424">
        <v>0</v>
      </c>
      <c r="E424">
        <v>274.81</v>
      </c>
      <c r="F424">
        <v>339.16999999999996</v>
      </c>
      <c r="G424">
        <v>232.39000000000001</v>
      </c>
      <c r="H424">
        <v>89.9</v>
      </c>
      <c r="I424">
        <v>117.77500000000001</v>
      </c>
      <c r="J424">
        <v>117.77500000000001</v>
      </c>
      <c r="K424">
        <v>117.77500000000001</v>
      </c>
      <c r="L424">
        <v>117.77500000000001</v>
      </c>
      <c r="M424">
        <v>117.77500000000001</v>
      </c>
      <c r="N424">
        <v>117.77500000000001</v>
      </c>
      <c r="O424">
        <v>117.77500000000001</v>
      </c>
      <c r="P424">
        <v>0</v>
      </c>
      <c r="Q424">
        <v>274.81</v>
      </c>
      <c r="R424">
        <v>339.16999999999996</v>
      </c>
      <c r="S424">
        <v>232.39000000000001</v>
      </c>
      <c r="T424">
        <v>89.9</v>
      </c>
      <c r="U424">
        <v>161.38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s="164">
        <v>40848</v>
      </c>
      <c r="AC424" s="164">
        <v>41729</v>
      </c>
      <c r="AD424" s="164">
        <v>41654</v>
      </c>
      <c r="AE424" s="34">
        <f>SUMPRODUCT(DB_STProjectsSOF[[#This Row],[Plan01]:[Plan12]],$D$4:$O$4)/valUnits2</f>
        <v>1.0540450000000001</v>
      </c>
      <c r="AF424" s="34">
        <f>SUMPRODUCT(DB_STProjectsSOF[[#This Row],[Act01]:[Act12]],$P$4:$AA$4)/valUnits2</f>
        <v>1.09765</v>
      </c>
      <c r="AG424" s="34">
        <f>DB_STProjectsSOF[[#This Row],[Actual]]-DB_STProjectsSOF[[#This Row],[Plan]]</f>
        <v>4.3604999999999894E-2</v>
      </c>
      <c r="AH424" s="34">
        <f>IF(DB_STProjectsSOF[[#This Row],[Plan]]&lt;&gt;0,DB_STProjectsSOF[[#This Row],[Actual]]/DB_STProjectsSOF[[#This Row],[Plan]],1.000011000011)</f>
        <v>1.0413692015046794</v>
      </c>
      <c r="AI424" s="34">
        <f>SUM(DB_STProjectsSOF[[#This Row],[Plan01]:[Plan12]])/valUnits2</f>
        <v>1.7606950000000006</v>
      </c>
      <c r="AJ424" s="34">
        <f>SUMPRODUCT(DB_STProjectsSOF[[#This Row],[Act01]:[Act12]],$P$3:$AA$3)/valUnits2</f>
        <v>1.09765</v>
      </c>
      <c r="AK424" s="34">
        <f>IF(DB_STProjectsSOF[[#This Row],[FY Plan]]&lt;&gt;0,DB_STProjectsSOF[[#This Row],[FY Actuals]]/DB_STProjectsSOF[[#This Row],[FY Plan]],1.000011000011)</f>
        <v>0.62341859322597026</v>
      </c>
    </row>
    <row r="425" spans="1:37" hidden="1" x14ac:dyDescent="0.2">
      <c r="A425">
        <f>SUBTOTAL(3,$B$6:B425)</f>
        <v>0</v>
      </c>
      <c r="B425" t="s">
        <v>976</v>
      </c>
      <c r="C425" t="s">
        <v>933</v>
      </c>
      <c r="F425">
        <v>0</v>
      </c>
      <c r="G425">
        <v>0</v>
      </c>
      <c r="H425">
        <v>0</v>
      </c>
      <c r="R425">
        <v>0</v>
      </c>
      <c r="S425">
        <v>0</v>
      </c>
      <c r="T425">
        <v>0</v>
      </c>
      <c r="AB425" s="164">
        <v>40817</v>
      </c>
      <c r="AC425" s="164">
        <v>42155</v>
      </c>
      <c r="AD425" s="164">
        <v>42217</v>
      </c>
      <c r="AE425" s="34">
        <f>SUMPRODUCT(DB_STProjectsSOF[[#This Row],[Plan01]:[Plan12]],$D$4:$O$4)/valUnits2</f>
        <v>0</v>
      </c>
      <c r="AF425" s="34">
        <f>SUMPRODUCT(DB_STProjectsSOF[[#This Row],[Act01]:[Act12]],$P$4:$AA$4)/valUnits2</f>
        <v>0</v>
      </c>
      <c r="AG425" s="34">
        <f>DB_STProjectsSOF[[#This Row],[Actual]]-DB_STProjectsSOF[[#This Row],[Plan]]</f>
        <v>0</v>
      </c>
      <c r="AH425" s="34">
        <f>IF(DB_STProjectsSOF[[#This Row],[Plan]]&lt;&gt;0,DB_STProjectsSOF[[#This Row],[Actual]]/DB_STProjectsSOF[[#This Row],[Plan]],1.000011000011)</f>
        <v>1.0000110000110001</v>
      </c>
      <c r="AI425" s="34">
        <f>SUM(DB_STProjectsSOF[[#This Row],[Plan01]:[Plan12]])/valUnits2</f>
        <v>0</v>
      </c>
      <c r="AJ425" s="34">
        <f>SUMPRODUCT(DB_STProjectsSOF[[#This Row],[Act01]:[Act12]],$P$3:$AA$3)/valUnits2</f>
        <v>0</v>
      </c>
      <c r="AK425" s="34">
        <f>IF(DB_STProjectsSOF[[#This Row],[FY Plan]]&lt;&gt;0,DB_STProjectsSOF[[#This Row],[FY Actuals]]/DB_STProjectsSOF[[#This Row],[FY Plan]],1.000011000011)</f>
        <v>1.0000110000110001</v>
      </c>
    </row>
    <row r="426" spans="1:37" hidden="1" x14ac:dyDescent="0.2">
      <c r="A426">
        <f>SUBTOTAL(3,$B$6:B426)</f>
        <v>0</v>
      </c>
      <c r="B426" t="s">
        <v>947</v>
      </c>
      <c r="C426" t="s">
        <v>842</v>
      </c>
      <c r="I426">
        <v>0</v>
      </c>
      <c r="U426">
        <v>265.95999999999998</v>
      </c>
      <c r="AB426" s="164">
        <v>41214</v>
      </c>
      <c r="AC426" s="164">
        <v>42308</v>
      </c>
      <c r="AD426" s="164">
        <v>42389</v>
      </c>
      <c r="AE426" s="34">
        <f>SUMPRODUCT(DB_STProjectsSOF[[#This Row],[Plan01]:[Plan12]],$D$4:$O$4)/valUnits2</f>
        <v>0</v>
      </c>
      <c r="AF426" s="34">
        <f>SUMPRODUCT(DB_STProjectsSOF[[#This Row],[Act01]:[Act12]],$P$4:$AA$4)/valUnits2</f>
        <v>0.26595999999999997</v>
      </c>
      <c r="AG426" s="34">
        <f>DB_STProjectsSOF[[#This Row],[Actual]]-DB_STProjectsSOF[[#This Row],[Plan]]</f>
        <v>0.26595999999999997</v>
      </c>
      <c r="AH426" s="34">
        <f>IF(DB_STProjectsSOF[[#This Row],[Plan]]&lt;&gt;0,DB_STProjectsSOF[[#This Row],[Actual]]/DB_STProjectsSOF[[#This Row],[Plan]],1.000011000011)</f>
        <v>1.0000110000110001</v>
      </c>
      <c r="AI426" s="34">
        <f>SUM(DB_STProjectsSOF[[#This Row],[Plan01]:[Plan12]])/valUnits2</f>
        <v>0</v>
      </c>
      <c r="AJ426" s="34">
        <f>SUMPRODUCT(DB_STProjectsSOF[[#This Row],[Act01]:[Act12]],$P$3:$AA$3)/valUnits2</f>
        <v>0.26595999999999997</v>
      </c>
      <c r="AK426" s="34">
        <f>IF(DB_STProjectsSOF[[#This Row],[FY Plan]]&lt;&gt;0,DB_STProjectsSOF[[#This Row],[FY Actuals]]/DB_STProjectsSOF[[#This Row],[FY Plan]],1.000011000011)</f>
        <v>1.0000110000110001</v>
      </c>
    </row>
    <row r="427" spans="1:37" hidden="1" x14ac:dyDescent="0.2">
      <c r="A427">
        <f>SUBTOTAL(3,$B$6:B427)</f>
        <v>0</v>
      </c>
      <c r="B427" t="s">
        <v>947</v>
      </c>
      <c r="C427" t="s">
        <v>843</v>
      </c>
      <c r="H427">
        <v>584.17899999999997</v>
      </c>
      <c r="I427">
        <v>0</v>
      </c>
      <c r="T427">
        <v>577.24</v>
      </c>
      <c r="U427">
        <v>447.12</v>
      </c>
      <c r="AB427" s="164">
        <v>41275</v>
      </c>
      <c r="AC427" s="164">
        <v>42369</v>
      </c>
      <c r="AD427" s="164">
        <v>42492</v>
      </c>
      <c r="AE427" s="34">
        <f>SUMPRODUCT(DB_STProjectsSOF[[#This Row],[Plan01]:[Plan12]],$D$4:$O$4)/valUnits2</f>
        <v>0.584179</v>
      </c>
      <c r="AF427" s="34">
        <f>SUMPRODUCT(DB_STProjectsSOF[[#This Row],[Act01]:[Act12]],$P$4:$AA$4)/valUnits2</f>
        <v>1.0243600000000002</v>
      </c>
      <c r="AG427" s="34">
        <f>DB_STProjectsSOF[[#This Row],[Actual]]-DB_STProjectsSOF[[#This Row],[Plan]]</f>
        <v>0.44018100000000016</v>
      </c>
      <c r="AH427" s="34">
        <f>IF(DB_STProjectsSOF[[#This Row],[Plan]]&lt;&gt;0,DB_STProjectsSOF[[#This Row],[Actual]]/DB_STProjectsSOF[[#This Row],[Plan]],1.000011000011)</f>
        <v>1.7535036350159801</v>
      </c>
      <c r="AI427" s="34">
        <f>SUM(DB_STProjectsSOF[[#This Row],[Plan01]:[Plan12]])/valUnits2</f>
        <v>0.584179</v>
      </c>
      <c r="AJ427" s="34">
        <f>SUMPRODUCT(DB_STProjectsSOF[[#This Row],[Act01]:[Act12]],$P$3:$AA$3)/valUnits2</f>
        <v>1.0243600000000002</v>
      </c>
      <c r="AK427" s="34">
        <f>IF(DB_STProjectsSOF[[#This Row],[FY Plan]]&lt;&gt;0,DB_STProjectsSOF[[#This Row],[FY Actuals]]/DB_STProjectsSOF[[#This Row],[FY Plan]],1.000011000011)</f>
        <v>1.7535036350159801</v>
      </c>
    </row>
    <row r="428" spans="1:37" hidden="1" x14ac:dyDescent="0.2">
      <c r="A428">
        <f>SUBTOTAL(3,$B$6:B428)</f>
        <v>0</v>
      </c>
      <c r="B428" t="s">
        <v>947</v>
      </c>
      <c r="C428" t="s">
        <v>853</v>
      </c>
      <c r="I428">
        <v>0</v>
      </c>
      <c r="U428">
        <v>9.48</v>
      </c>
      <c r="AB428" s="164">
        <v>41275</v>
      </c>
      <c r="AC428" s="164">
        <v>41639</v>
      </c>
      <c r="AD428" s="164">
        <v>41669</v>
      </c>
      <c r="AE428" s="34">
        <f>SUMPRODUCT(DB_STProjectsSOF[[#This Row],[Plan01]:[Plan12]],$D$4:$O$4)/valUnits2</f>
        <v>0</v>
      </c>
      <c r="AF428" s="34">
        <f>SUMPRODUCT(DB_STProjectsSOF[[#This Row],[Act01]:[Act12]],$P$4:$AA$4)/valUnits2</f>
        <v>9.4800000000000006E-3</v>
      </c>
      <c r="AG428" s="34">
        <f>DB_STProjectsSOF[[#This Row],[Actual]]-DB_STProjectsSOF[[#This Row],[Plan]]</f>
        <v>9.4800000000000006E-3</v>
      </c>
      <c r="AH428" s="34">
        <f>IF(DB_STProjectsSOF[[#This Row],[Plan]]&lt;&gt;0,DB_STProjectsSOF[[#This Row],[Actual]]/DB_STProjectsSOF[[#This Row],[Plan]],1.000011000011)</f>
        <v>1.0000110000110001</v>
      </c>
      <c r="AI428" s="34">
        <f>SUM(DB_STProjectsSOF[[#This Row],[Plan01]:[Plan12]])/valUnits2</f>
        <v>0</v>
      </c>
      <c r="AJ428" s="34">
        <f>SUMPRODUCT(DB_STProjectsSOF[[#This Row],[Act01]:[Act12]],$P$3:$AA$3)/valUnits2</f>
        <v>9.4800000000000006E-3</v>
      </c>
      <c r="AK428" s="34">
        <f>IF(DB_STProjectsSOF[[#This Row],[FY Plan]]&lt;&gt;0,DB_STProjectsSOF[[#This Row],[FY Actuals]]/DB_STProjectsSOF[[#This Row],[FY Plan]],1.000011000011)</f>
        <v>1.0000110000110001</v>
      </c>
    </row>
    <row r="429" spans="1:37" hidden="1" x14ac:dyDescent="0.2">
      <c r="A429">
        <f>SUBTOTAL(3,$B$6:B429)</f>
        <v>0</v>
      </c>
      <c r="B429" t="s">
        <v>947</v>
      </c>
      <c r="C429" t="s">
        <v>856</v>
      </c>
      <c r="D429">
        <v>1660.424</v>
      </c>
      <c r="E429">
        <v>2011.325</v>
      </c>
      <c r="F429">
        <v>1859.02</v>
      </c>
      <c r="G429">
        <v>33.859000000000002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1569.91</v>
      </c>
      <c r="Q429">
        <v>1929.5</v>
      </c>
      <c r="R429">
        <v>1786.56</v>
      </c>
      <c r="S429">
        <v>32.479999999999997</v>
      </c>
      <c r="T429">
        <v>0</v>
      </c>
      <c r="U429">
        <v>985.2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s="164">
        <v>40817</v>
      </c>
      <c r="AC429" s="164">
        <v>42338</v>
      </c>
      <c r="AD429" s="164">
        <v>42490</v>
      </c>
      <c r="AE429" s="34">
        <f>SUMPRODUCT(DB_STProjectsSOF[[#This Row],[Plan01]:[Plan12]],$D$4:$O$4)/valUnits2</f>
        <v>5.5646280000000008</v>
      </c>
      <c r="AF429" s="34">
        <f>SUMPRODUCT(DB_STProjectsSOF[[#This Row],[Act01]:[Act12]],$P$4:$AA$4)/valUnits2</f>
        <v>6.3036499999999984</v>
      </c>
      <c r="AG429" s="34">
        <f>DB_STProjectsSOF[[#This Row],[Actual]]-DB_STProjectsSOF[[#This Row],[Plan]]</f>
        <v>0.73902199999999763</v>
      </c>
      <c r="AH429" s="34">
        <f>IF(DB_STProjectsSOF[[#This Row],[Plan]]&lt;&gt;0,DB_STProjectsSOF[[#This Row],[Actual]]/DB_STProjectsSOF[[#This Row],[Plan]],1.000011000011)</f>
        <v>1.1328070807248927</v>
      </c>
      <c r="AI429" s="34">
        <f>SUM(DB_STProjectsSOF[[#This Row],[Plan01]:[Plan12]])/valUnits2</f>
        <v>5.5646280000000008</v>
      </c>
      <c r="AJ429" s="34">
        <f>SUMPRODUCT(DB_STProjectsSOF[[#This Row],[Act01]:[Act12]],$P$3:$AA$3)/valUnits2</f>
        <v>6.3036499999999984</v>
      </c>
      <c r="AK429" s="34">
        <f>IF(DB_STProjectsSOF[[#This Row],[FY Plan]]&lt;&gt;0,DB_STProjectsSOF[[#This Row],[FY Actuals]]/DB_STProjectsSOF[[#This Row],[FY Plan]],1.000011000011)</f>
        <v>1.1328070807248927</v>
      </c>
    </row>
    <row r="430" spans="1:37" hidden="1" x14ac:dyDescent="0.2">
      <c r="A430">
        <f>SUBTOTAL(3,$B$6:B430)</f>
        <v>0</v>
      </c>
      <c r="B430" t="s">
        <v>947</v>
      </c>
      <c r="C430" t="s">
        <v>857</v>
      </c>
      <c r="E430">
        <v>2609.21</v>
      </c>
      <c r="H430">
        <v>-2609.21</v>
      </c>
      <c r="Q430">
        <v>2609.21</v>
      </c>
      <c r="T430">
        <v>-2609.21</v>
      </c>
      <c r="AB430" s="164">
        <v>40909</v>
      </c>
      <c r="AC430" s="164">
        <v>41274</v>
      </c>
      <c r="AD430" s="164">
        <v>41364</v>
      </c>
      <c r="AE430" s="34">
        <f>SUMPRODUCT(DB_STProjectsSOF[[#This Row],[Plan01]:[Plan12]],$D$4:$O$4)/valUnits2</f>
        <v>0</v>
      </c>
      <c r="AF430" s="34">
        <f>SUMPRODUCT(DB_STProjectsSOF[[#This Row],[Act01]:[Act12]],$P$4:$AA$4)/valUnits2</f>
        <v>0</v>
      </c>
      <c r="AG430" s="34">
        <f>DB_STProjectsSOF[[#This Row],[Actual]]-DB_STProjectsSOF[[#This Row],[Plan]]</f>
        <v>0</v>
      </c>
      <c r="AH430" s="34">
        <f>IF(DB_STProjectsSOF[[#This Row],[Plan]]&lt;&gt;0,DB_STProjectsSOF[[#This Row],[Actual]]/DB_STProjectsSOF[[#This Row],[Plan]],1.000011000011)</f>
        <v>1.0000110000110001</v>
      </c>
      <c r="AI430" s="34">
        <f>SUM(DB_STProjectsSOF[[#This Row],[Plan01]:[Plan12]])/valUnits2</f>
        <v>0</v>
      </c>
      <c r="AJ430" s="34">
        <f>SUMPRODUCT(DB_STProjectsSOF[[#This Row],[Act01]:[Act12]],$P$3:$AA$3)/valUnits2</f>
        <v>0</v>
      </c>
      <c r="AK430" s="34">
        <f>IF(DB_STProjectsSOF[[#This Row],[FY Plan]]&lt;&gt;0,DB_STProjectsSOF[[#This Row],[FY Actuals]]/DB_STProjectsSOF[[#This Row],[FY Plan]],1.000011000011)</f>
        <v>1.0000110000110001</v>
      </c>
    </row>
    <row r="431" spans="1:37" hidden="1" x14ac:dyDescent="0.2">
      <c r="A431">
        <f>SUBTOTAL(3,$B$6:B431)</f>
        <v>0</v>
      </c>
      <c r="B431" t="s">
        <v>947</v>
      </c>
      <c r="C431" t="s">
        <v>858</v>
      </c>
      <c r="G431">
        <v>567.02</v>
      </c>
      <c r="H431">
        <v>1684.6999999999998</v>
      </c>
      <c r="I431">
        <v>0</v>
      </c>
      <c r="S431">
        <v>567.02</v>
      </c>
      <c r="T431">
        <v>1684.6999999999998</v>
      </c>
      <c r="U431">
        <v>783.98</v>
      </c>
      <c r="AB431" s="164">
        <v>41275</v>
      </c>
      <c r="AC431" s="164">
        <v>41639</v>
      </c>
      <c r="AD431" s="164">
        <v>41784</v>
      </c>
      <c r="AE431" s="34">
        <f>SUMPRODUCT(DB_STProjectsSOF[[#This Row],[Plan01]:[Plan12]],$D$4:$O$4)/valUnits2</f>
        <v>2.2517199999999997</v>
      </c>
      <c r="AF431" s="34">
        <f>SUMPRODUCT(DB_STProjectsSOF[[#This Row],[Act01]:[Act12]],$P$4:$AA$4)/valUnits2</f>
        <v>3.0356999999999998</v>
      </c>
      <c r="AG431" s="34">
        <f>DB_STProjectsSOF[[#This Row],[Actual]]-DB_STProjectsSOF[[#This Row],[Plan]]</f>
        <v>0.78398000000000012</v>
      </c>
      <c r="AH431" s="34">
        <f>IF(DB_STProjectsSOF[[#This Row],[Plan]]&lt;&gt;0,DB_STProjectsSOF[[#This Row],[Actual]]/DB_STProjectsSOF[[#This Row],[Plan]],1.000011000011)</f>
        <v>1.3481693993924646</v>
      </c>
      <c r="AI431" s="34">
        <f>SUM(DB_STProjectsSOF[[#This Row],[Plan01]:[Plan12]])/valUnits2</f>
        <v>2.2517199999999997</v>
      </c>
      <c r="AJ431" s="34">
        <f>SUMPRODUCT(DB_STProjectsSOF[[#This Row],[Act01]:[Act12]],$P$3:$AA$3)/valUnits2</f>
        <v>3.0356999999999998</v>
      </c>
      <c r="AK431" s="34">
        <f>IF(DB_STProjectsSOF[[#This Row],[FY Plan]]&lt;&gt;0,DB_STProjectsSOF[[#This Row],[FY Actuals]]/DB_STProjectsSOF[[#This Row],[FY Plan]],1.000011000011)</f>
        <v>1.3481693993924646</v>
      </c>
    </row>
    <row r="432" spans="1:37" hidden="1" x14ac:dyDescent="0.2">
      <c r="A432">
        <f>SUBTOTAL(3,$B$6:B432)</f>
        <v>0</v>
      </c>
      <c r="B432" t="s">
        <v>947</v>
      </c>
      <c r="C432" t="s">
        <v>860</v>
      </c>
      <c r="D432">
        <v>1009.3</v>
      </c>
      <c r="E432">
        <v>52.94</v>
      </c>
      <c r="F432">
        <v>58.21</v>
      </c>
      <c r="G432">
        <v>6.15</v>
      </c>
      <c r="H432">
        <v>396.67999999999995</v>
      </c>
      <c r="I432">
        <v>0</v>
      </c>
      <c r="P432">
        <v>1009.3</v>
      </c>
      <c r="Q432">
        <v>52.940000000000005</v>
      </c>
      <c r="R432">
        <v>58.209999999999994</v>
      </c>
      <c r="S432">
        <v>6.15</v>
      </c>
      <c r="T432">
        <v>396.68</v>
      </c>
      <c r="U432">
        <v>115.39000000000001</v>
      </c>
      <c r="AB432" s="164">
        <v>40969</v>
      </c>
      <c r="AC432" s="164">
        <v>42643</v>
      </c>
      <c r="AD432" s="164">
        <v>42704</v>
      </c>
      <c r="AE432" s="34">
        <f>SUMPRODUCT(DB_STProjectsSOF[[#This Row],[Plan01]:[Plan12]],$D$4:$O$4)/valUnits2</f>
        <v>1.5232800000000002</v>
      </c>
      <c r="AF432" s="34">
        <f>SUMPRODUCT(DB_STProjectsSOF[[#This Row],[Act01]:[Act12]],$P$4:$AA$4)/valUnits2</f>
        <v>1.6386700000000003</v>
      </c>
      <c r="AG432" s="34">
        <f>DB_STProjectsSOF[[#This Row],[Actual]]-DB_STProjectsSOF[[#This Row],[Plan]]</f>
        <v>0.1153900000000001</v>
      </c>
      <c r="AH432" s="34">
        <f>IF(DB_STProjectsSOF[[#This Row],[Plan]]&lt;&gt;0,DB_STProjectsSOF[[#This Row],[Actual]]/DB_STProjectsSOF[[#This Row],[Plan]],1.000011000011)</f>
        <v>1.0757510109763144</v>
      </c>
      <c r="AI432" s="34">
        <f>SUM(DB_STProjectsSOF[[#This Row],[Plan01]:[Plan12]])/valUnits2</f>
        <v>1.5232800000000002</v>
      </c>
      <c r="AJ432" s="34">
        <f>SUMPRODUCT(DB_STProjectsSOF[[#This Row],[Act01]:[Act12]],$P$3:$AA$3)/valUnits2</f>
        <v>1.6386700000000003</v>
      </c>
      <c r="AK432" s="34">
        <f>IF(DB_STProjectsSOF[[#This Row],[FY Plan]]&lt;&gt;0,DB_STProjectsSOF[[#This Row],[FY Actuals]]/DB_STProjectsSOF[[#This Row],[FY Plan]],1.000011000011)</f>
        <v>1.0757510109763144</v>
      </c>
    </row>
    <row r="433" spans="1:37" hidden="1" x14ac:dyDescent="0.2">
      <c r="A433">
        <f>SUBTOTAL(3,$B$6:B433)</f>
        <v>0</v>
      </c>
      <c r="B433" t="s">
        <v>947</v>
      </c>
      <c r="C433" t="s">
        <v>866</v>
      </c>
      <c r="D433">
        <v>2358.27</v>
      </c>
      <c r="E433">
        <v>808.99</v>
      </c>
      <c r="F433">
        <v>0</v>
      </c>
      <c r="G433">
        <v>-2916.6400000000003</v>
      </c>
      <c r="H433">
        <v>180.11</v>
      </c>
      <c r="I433">
        <v>2552.7780000000002</v>
      </c>
      <c r="J433">
        <v>2552.7780000000002</v>
      </c>
      <c r="K433">
        <v>2552.7780000000002</v>
      </c>
      <c r="L433">
        <v>2552.7780000000002</v>
      </c>
      <c r="P433">
        <v>2358.27</v>
      </c>
      <c r="Q433">
        <v>808.99</v>
      </c>
      <c r="R433">
        <v>0</v>
      </c>
      <c r="S433">
        <v>-2916.64</v>
      </c>
      <c r="T433">
        <v>180.11</v>
      </c>
      <c r="U433">
        <v>0</v>
      </c>
      <c r="V433">
        <v>0</v>
      </c>
      <c r="W433">
        <v>0</v>
      </c>
      <c r="X433">
        <v>0</v>
      </c>
      <c r="AB433" s="164">
        <v>41275</v>
      </c>
      <c r="AC433" s="164">
        <v>41639</v>
      </c>
      <c r="AD433" s="164">
        <v>41760</v>
      </c>
      <c r="AE433" s="34">
        <f>SUMPRODUCT(DB_STProjectsSOF[[#This Row],[Plan01]:[Plan12]],$D$4:$O$4)/valUnits2</f>
        <v>2.983508</v>
      </c>
      <c r="AF433" s="34">
        <f>SUMPRODUCT(DB_STProjectsSOF[[#This Row],[Act01]:[Act12]],$P$4:$AA$4)/valUnits2</f>
        <v>0.43073000000000033</v>
      </c>
      <c r="AG433" s="34">
        <f>DB_STProjectsSOF[[#This Row],[Actual]]-DB_STProjectsSOF[[#This Row],[Plan]]</f>
        <v>-2.5527779999999995</v>
      </c>
      <c r="AH433" s="34">
        <f>IF(DB_STProjectsSOF[[#This Row],[Plan]]&lt;&gt;0,DB_STProjectsSOF[[#This Row],[Actual]]/DB_STProjectsSOF[[#This Row],[Plan]],1.000011000011)</f>
        <v>0.14437031843051881</v>
      </c>
      <c r="AI433" s="34">
        <f>SUM(DB_STProjectsSOF[[#This Row],[Plan01]:[Plan12]])/valUnits2</f>
        <v>10.641842</v>
      </c>
      <c r="AJ433" s="34">
        <f>SUMPRODUCT(DB_STProjectsSOF[[#This Row],[Act01]:[Act12]],$P$3:$AA$3)/valUnits2</f>
        <v>0.43073000000000033</v>
      </c>
      <c r="AK433" s="34">
        <f>IF(DB_STProjectsSOF[[#This Row],[FY Plan]]&lt;&gt;0,DB_STProjectsSOF[[#This Row],[FY Actuals]]/DB_STProjectsSOF[[#This Row],[FY Plan]],1.000011000011)</f>
        <v>4.047513578946204E-2</v>
      </c>
    </row>
    <row r="434" spans="1:37" hidden="1" x14ac:dyDescent="0.2">
      <c r="A434">
        <f>SUBTOTAL(3,$B$6:B434)</f>
        <v>0</v>
      </c>
      <c r="B434" t="s">
        <v>947</v>
      </c>
      <c r="C434" t="s">
        <v>869</v>
      </c>
      <c r="E434">
        <v>3265.8300000000004</v>
      </c>
      <c r="F434">
        <v>1639.18</v>
      </c>
      <c r="I434">
        <v>0</v>
      </c>
      <c r="Q434">
        <v>3265.8300000000004</v>
      </c>
      <c r="R434">
        <v>1639.18</v>
      </c>
      <c r="U434">
        <v>-1637.1200000000001</v>
      </c>
      <c r="AB434" s="164">
        <v>40817</v>
      </c>
      <c r="AC434" s="164">
        <v>42155</v>
      </c>
      <c r="AD434" s="164">
        <v>42217</v>
      </c>
      <c r="AE434" s="34">
        <f>SUMPRODUCT(DB_STProjectsSOF[[#This Row],[Plan01]:[Plan12]],$D$4:$O$4)/valUnits2</f>
        <v>4.9050099999999999</v>
      </c>
      <c r="AF434" s="34">
        <f>SUMPRODUCT(DB_STProjectsSOF[[#This Row],[Act01]:[Act12]],$P$4:$AA$4)/valUnits2</f>
        <v>3.2678900000000004</v>
      </c>
      <c r="AG434" s="34">
        <f>DB_STProjectsSOF[[#This Row],[Actual]]-DB_STProjectsSOF[[#This Row],[Plan]]</f>
        <v>-1.6371199999999995</v>
      </c>
      <c r="AH434" s="34">
        <f>IF(DB_STProjectsSOF[[#This Row],[Plan]]&lt;&gt;0,DB_STProjectsSOF[[#This Row],[Actual]]/DB_STProjectsSOF[[#This Row],[Plan]],1.000011000011)</f>
        <v>0.66623513509656462</v>
      </c>
      <c r="AI434" s="34">
        <f>SUM(DB_STProjectsSOF[[#This Row],[Plan01]:[Plan12]])/valUnits2</f>
        <v>4.9050099999999999</v>
      </c>
      <c r="AJ434" s="34">
        <f>SUMPRODUCT(DB_STProjectsSOF[[#This Row],[Act01]:[Act12]],$P$3:$AA$3)/valUnits2</f>
        <v>3.2678900000000004</v>
      </c>
      <c r="AK434" s="34">
        <f>IF(DB_STProjectsSOF[[#This Row],[FY Plan]]&lt;&gt;0,DB_STProjectsSOF[[#This Row],[FY Actuals]]/DB_STProjectsSOF[[#This Row],[FY Plan]],1.000011000011)</f>
        <v>0.66623513509656462</v>
      </c>
    </row>
    <row r="435" spans="1:37" hidden="1" x14ac:dyDescent="0.2">
      <c r="A435">
        <f>SUBTOTAL(3,$B$6:B435)</f>
        <v>0</v>
      </c>
      <c r="B435" t="s">
        <v>947</v>
      </c>
      <c r="C435" t="s">
        <v>875</v>
      </c>
      <c r="G435">
        <v>390.03899999999999</v>
      </c>
      <c r="H435">
        <v>1122.614</v>
      </c>
      <c r="I435">
        <v>0</v>
      </c>
      <c r="S435">
        <v>384.29999999999995</v>
      </c>
      <c r="T435">
        <v>1155.69</v>
      </c>
      <c r="U435">
        <v>414.47</v>
      </c>
      <c r="AB435" s="164">
        <v>41275</v>
      </c>
      <c r="AC435" s="164">
        <v>41639</v>
      </c>
      <c r="AD435" s="164">
        <v>41649</v>
      </c>
      <c r="AE435" s="34">
        <f>SUMPRODUCT(DB_STProjectsSOF[[#This Row],[Plan01]:[Plan12]],$D$4:$O$4)/valUnits2</f>
        <v>1.512653</v>
      </c>
      <c r="AF435" s="34">
        <f>SUMPRODUCT(DB_STProjectsSOF[[#This Row],[Act01]:[Act12]],$P$4:$AA$4)/valUnits2</f>
        <v>1.9544600000000001</v>
      </c>
      <c r="AG435" s="34">
        <f>DB_STProjectsSOF[[#This Row],[Actual]]-DB_STProjectsSOF[[#This Row],[Plan]]</f>
        <v>0.44180700000000006</v>
      </c>
      <c r="AH435" s="34">
        <f>IF(DB_STProjectsSOF[[#This Row],[Plan]]&lt;&gt;0,DB_STProjectsSOF[[#This Row],[Actual]]/DB_STProjectsSOF[[#This Row],[Plan]],1.000011000011)</f>
        <v>1.2920742562901075</v>
      </c>
      <c r="AI435" s="34">
        <f>SUM(DB_STProjectsSOF[[#This Row],[Plan01]:[Plan12]])/valUnits2</f>
        <v>1.512653</v>
      </c>
      <c r="AJ435" s="34">
        <f>SUMPRODUCT(DB_STProjectsSOF[[#This Row],[Act01]:[Act12]],$P$3:$AA$3)/valUnits2</f>
        <v>1.9544600000000001</v>
      </c>
      <c r="AK435" s="34">
        <f>IF(DB_STProjectsSOF[[#This Row],[FY Plan]]&lt;&gt;0,DB_STProjectsSOF[[#This Row],[FY Actuals]]/DB_STProjectsSOF[[#This Row],[FY Plan]],1.000011000011)</f>
        <v>1.2920742562901075</v>
      </c>
    </row>
    <row r="436" spans="1:37" hidden="1" x14ac:dyDescent="0.2">
      <c r="A436">
        <f>SUBTOTAL(3,$B$6:B436)</f>
        <v>0</v>
      </c>
      <c r="B436" t="s">
        <v>947</v>
      </c>
      <c r="C436" t="s">
        <v>876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AB436" s="164">
        <v>40817</v>
      </c>
      <c r="AC436" s="164">
        <v>41820</v>
      </c>
      <c r="AD436" s="164">
        <v>41835</v>
      </c>
      <c r="AE436" s="34">
        <f>SUMPRODUCT(DB_STProjectsSOF[[#This Row],[Plan01]:[Plan12]],$D$4:$O$4)/valUnits2</f>
        <v>0</v>
      </c>
      <c r="AF436" s="34">
        <f>SUMPRODUCT(DB_STProjectsSOF[[#This Row],[Act01]:[Act12]],$P$4:$AA$4)/valUnits2</f>
        <v>0</v>
      </c>
      <c r="AG436" s="34">
        <f>DB_STProjectsSOF[[#This Row],[Actual]]-DB_STProjectsSOF[[#This Row],[Plan]]</f>
        <v>0</v>
      </c>
      <c r="AH436" s="34">
        <f>IF(DB_STProjectsSOF[[#This Row],[Plan]]&lt;&gt;0,DB_STProjectsSOF[[#This Row],[Actual]]/DB_STProjectsSOF[[#This Row],[Plan]],1.000011000011)</f>
        <v>1.0000110000110001</v>
      </c>
      <c r="AI436" s="34">
        <f>SUM(DB_STProjectsSOF[[#This Row],[Plan01]:[Plan12]])/valUnits2</f>
        <v>0</v>
      </c>
      <c r="AJ436" s="34">
        <f>SUMPRODUCT(DB_STProjectsSOF[[#This Row],[Act01]:[Act12]],$P$3:$AA$3)/valUnits2</f>
        <v>0</v>
      </c>
      <c r="AK436" s="34">
        <f>IF(DB_STProjectsSOF[[#This Row],[FY Plan]]&lt;&gt;0,DB_STProjectsSOF[[#This Row],[FY Actuals]]/DB_STProjectsSOF[[#This Row],[FY Plan]],1.000011000011)</f>
        <v>1.0000110000110001</v>
      </c>
    </row>
    <row r="437" spans="1:37" hidden="1" x14ac:dyDescent="0.2">
      <c r="A437">
        <f>SUBTOTAL(3,$B$6:B437)</f>
        <v>0</v>
      </c>
      <c r="B437" t="s">
        <v>947</v>
      </c>
      <c r="C437" t="s">
        <v>881</v>
      </c>
      <c r="G437">
        <v>32.479999999999997</v>
      </c>
      <c r="H437">
        <v>0</v>
      </c>
      <c r="I437">
        <v>172.69300000000001</v>
      </c>
      <c r="J437">
        <v>345.38700000000006</v>
      </c>
      <c r="K437">
        <v>172.69300000000001</v>
      </c>
      <c r="L437">
        <v>172.69300000000001</v>
      </c>
      <c r="M437">
        <v>172.69300000000001</v>
      </c>
      <c r="N437">
        <v>172.69300000000001</v>
      </c>
      <c r="O437">
        <v>345.38700000000006</v>
      </c>
      <c r="S437">
        <v>32.479999999999997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s="164">
        <v>41275</v>
      </c>
      <c r="AC437" s="164">
        <v>41639</v>
      </c>
      <c r="AD437" s="164">
        <v>41685</v>
      </c>
      <c r="AE437" s="34">
        <f>SUMPRODUCT(DB_STProjectsSOF[[#This Row],[Plan01]:[Plan12]],$D$4:$O$4)/valUnits2</f>
        <v>0.20517299999999999</v>
      </c>
      <c r="AF437" s="34">
        <f>SUMPRODUCT(DB_STProjectsSOF[[#This Row],[Act01]:[Act12]],$P$4:$AA$4)/valUnits2</f>
        <v>3.2479999999999995E-2</v>
      </c>
      <c r="AG437" s="34">
        <f>DB_STProjectsSOF[[#This Row],[Actual]]-DB_STProjectsSOF[[#This Row],[Plan]]</f>
        <v>-0.17269299999999999</v>
      </c>
      <c r="AH437" s="34">
        <f>IF(DB_STProjectsSOF[[#This Row],[Plan]]&lt;&gt;0,DB_STProjectsSOF[[#This Row],[Actual]]/DB_STProjectsSOF[[#This Row],[Plan]],1.000011000011)</f>
        <v>0.15830543005171244</v>
      </c>
      <c r="AI437" s="34">
        <f>SUM(DB_STProjectsSOF[[#This Row],[Plan01]:[Plan12]])/valUnits2</f>
        <v>1.586719</v>
      </c>
      <c r="AJ437" s="34">
        <f>SUMPRODUCT(DB_STProjectsSOF[[#This Row],[Act01]:[Act12]],$P$3:$AA$3)/valUnits2</f>
        <v>3.2479999999999995E-2</v>
      </c>
      <c r="AK437" s="34">
        <f>IF(DB_STProjectsSOF[[#This Row],[FY Plan]]&lt;&gt;0,DB_STProjectsSOF[[#This Row],[FY Actuals]]/DB_STProjectsSOF[[#This Row],[FY Plan]],1.000011000011)</f>
        <v>2.0469913072194885E-2</v>
      </c>
    </row>
    <row r="438" spans="1:37" hidden="1" x14ac:dyDescent="0.2">
      <c r="A438">
        <f>SUBTOTAL(3,$B$6:B438)</f>
        <v>0</v>
      </c>
      <c r="B438" t="s">
        <v>947</v>
      </c>
      <c r="C438" t="s">
        <v>882</v>
      </c>
      <c r="E438">
        <v>342.39100000000002</v>
      </c>
      <c r="F438">
        <v>414.51599999999996</v>
      </c>
      <c r="G438">
        <v>211.78100000000001</v>
      </c>
      <c r="H438">
        <v>312.31299999999999</v>
      </c>
      <c r="Q438">
        <v>349.57000000000005</v>
      </c>
      <c r="R438">
        <v>418.27</v>
      </c>
      <c r="S438">
        <v>209.13</v>
      </c>
      <c r="T438">
        <v>319.01</v>
      </c>
      <c r="AB438" s="164">
        <v>40817</v>
      </c>
      <c r="AC438" s="164">
        <v>41913</v>
      </c>
      <c r="AD438" s="164">
        <v>42005</v>
      </c>
      <c r="AE438" s="34">
        <f>SUMPRODUCT(DB_STProjectsSOF[[#This Row],[Plan01]:[Plan12]],$D$4:$O$4)/valUnits2</f>
        <v>1.2810009999999998</v>
      </c>
      <c r="AF438" s="34">
        <f>SUMPRODUCT(DB_STProjectsSOF[[#This Row],[Act01]:[Act12]],$P$4:$AA$4)/valUnits2</f>
        <v>1.2959799999999999</v>
      </c>
      <c r="AG438" s="34">
        <f>DB_STProjectsSOF[[#This Row],[Actual]]-DB_STProjectsSOF[[#This Row],[Plan]]</f>
        <v>1.4979000000000076E-2</v>
      </c>
      <c r="AH438" s="34">
        <f>IF(DB_STProjectsSOF[[#This Row],[Plan]]&lt;&gt;0,DB_STProjectsSOF[[#This Row],[Actual]]/DB_STProjectsSOF[[#This Row],[Plan]],1.000011000011)</f>
        <v>1.0116931993027329</v>
      </c>
      <c r="AI438" s="34">
        <f>SUM(DB_STProjectsSOF[[#This Row],[Plan01]:[Plan12]])/valUnits2</f>
        <v>1.2810009999999998</v>
      </c>
      <c r="AJ438" s="34">
        <f>SUMPRODUCT(DB_STProjectsSOF[[#This Row],[Act01]:[Act12]],$P$3:$AA$3)/valUnits2</f>
        <v>1.2959799999999999</v>
      </c>
      <c r="AK438" s="34">
        <f>IF(DB_STProjectsSOF[[#This Row],[FY Plan]]&lt;&gt;0,DB_STProjectsSOF[[#This Row],[FY Actuals]]/DB_STProjectsSOF[[#This Row],[FY Plan]],1.000011000011)</f>
        <v>1.0116931993027329</v>
      </c>
    </row>
    <row r="439" spans="1:37" hidden="1" x14ac:dyDescent="0.2">
      <c r="A439">
        <f>SUBTOTAL(3,$B$6:B439)</f>
        <v>0</v>
      </c>
      <c r="B439" t="s">
        <v>947</v>
      </c>
      <c r="C439" t="s">
        <v>883</v>
      </c>
      <c r="E439">
        <v>341.95600000000002</v>
      </c>
      <c r="G439">
        <v>214.506</v>
      </c>
      <c r="H439">
        <v>306.57100000000003</v>
      </c>
      <c r="Q439">
        <v>349.57000000000005</v>
      </c>
      <c r="S439">
        <v>209.13</v>
      </c>
      <c r="T439">
        <v>319.01</v>
      </c>
      <c r="AB439" s="164">
        <v>40940</v>
      </c>
      <c r="AC439" s="164">
        <v>41639</v>
      </c>
      <c r="AD439" s="164">
        <v>41698</v>
      </c>
      <c r="AE439" s="34">
        <f>SUMPRODUCT(DB_STProjectsSOF[[#This Row],[Plan01]:[Plan12]],$D$4:$O$4)/valUnits2</f>
        <v>0.86303300000000005</v>
      </c>
      <c r="AF439" s="34">
        <f>SUMPRODUCT(DB_STProjectsSOF[[#This Row],[Act01]:[Act12]],$P$4:$AA$4)/valUnits2</f>
        <v>0.87770999999999999</v>
      </c>
      <c r="AG439" s="34">
        <f>DB_STProjectsSOF[[#This Row],[Actual]]-DB_STProjectsSOF[[#This Row],[Plan]]</f>
        <v>1.467699999999994E-2</v>
      </c>
      <c r="AH439" s="34">
        <f>IF(DB_STProjectsSOF[[#This Row],[Plan]]&lt;&gt;0,DB_STProjectsSOF[[#This Row],[Actual]]/DB_STProjectsSOF[[#This Row],[Plan]],1.000011000011)</f>
        <v>1.0170063021923843</v>
      </c>
      <c r="AI439" s="34">
        <f>SUM(DB_STProjectsSOF[[#This Row],[Plan01]:[Plan12]])/valUnits2</f>
        <v>0.86303300000000005</v>
      </c>
      <c r="AJ439" s="34">
        <f>SUMPRODUCT(DB_STProjectsSOF[[#This Row],[Act01]:[Act12]],$P$3:$AA$3)/valUnits2</f>
        <v>0.87770999999999999</v>
      </c>
      <c r="AK439" s="34">
        <f>IF(DB_STProjectsSOF[[#This Row],[FY Plan]]&lt;&gt;0,DB_STProjectsSOF[[#This Row],[FY Actuals]]/DB_STProjectsSOF[[#This Row],[FY Plan]],1.000011000011)</f>
        <v>1.0170063021923843</v>
      </c>
    </row>
    <row r="440" spans="1:37" hidden="1" x14ac:dyDescent="0.2">
      <c r="A440">
        <f>SUBTOTAL(3,$B$6:B440)</f>
        <v>0</v>
      </c>
      <c r="B440" t="s">
        <v>947</v>
      </c>
      <c r="C440" t="s">
        <v>358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AB440" s="164">
        <v>41091</v>
      </c>
      <c r="AC440" s="164">
        <v>41455</v>
      </c>
      <c r="AD440" s="164">
        <v>41517</v>
      </c>
      <c r="AE440" s="34">
        <f>SUMPRODUCT(DB_STProjectsSOF[[#This Row],[Plan01]:[Plan12]],$D$4:$O$4)/valUnits2</f>
        <v>0</v>
      </c>
      <c r="AF440" s="34">
        <f>SUMPRODUCT(DB_STProjectsSOF[[#This Row],[Act01]:[Act12]],$P$4:$AA$4)/valUnits2</f>
        <v>0</v>
      </c>
      <c r="AG440" s="34">
        <f>DB_STProjectsSOF[[#This Row],[Actual]]-DB_STProjectsSOF[[#This Row],[Plan]]</f>
        <v>0</v>
      </c>
      <c r="AH440" s="34">
        <f>IF(DB_STProjectsSOF[[#This Row],[Plan]]&lt;&gt;0,DB_STProjectsSOF[[#This Row],[Actual]]/DB_STProjectsSOF[[#This Row],[Plan]],1.000011000011)</f>
        <v>1.0000110000110001</v>
      </c>
      <c r="AI440" s="34">
        <f>SUM(DB_STProjectsSOF[[#This Row],[Plan01]:[Plan12]])/valUnits2</f>
        <v>0</v>
      </c>
      <c r="AJ440" s="34">
        <f>SUMPRODUCT(DB_STProjectsSOF[[#This Row],[Act01]:[Act12]],$P$3:$AA$3)/valUnits2</f>
        <v>0</v>
      </c>
      <c r="AK440" s="34">
        <f>IF(DB_STProjectsSOF[[#This Row],[FY Plan]]&lt;&gt;0,DB_STProjectsSOF[[#This Row],[FY Actuals]]/DB_STProjectsSOF[[#This Row],[FY Plan]],1.000011000011)</f>
        <v>1.0000110000110001</v>
      </c>
    </row>
    <row r="441" spans="1:37" hidden="1" x14ac:dyDescent="0.2">
      <c r="A441">
        <f>SUBTOTAL(3,$B$6:B441)</f>
        <v>0</v>
      </c>
      <c r="B441" t="s">
        <v>947</v>
      </c>
      <c r="C441" t="s">
        <v>890</v>
      </c>
      <c r="G441">
        <v>371.01400000000001</v>
      </c>
      <c r="H441">
        <v>756.38699999999994</v>
      </c>
      <c r="I441">
        <v>0</v>
      </c>
      <c r="S441">
        <v>365.46999999999997</v>
      </c>
      <c r="T441">
        <v>761.28</v>
      </c>
      <c r="U441">
        <v>418.65</v>
      </c>
      <c r="AB441" s="164">
        <v>40817</v>
      </c>
      <c r="AC441" s="164">
        <v>41639</v>
      </c>
      <c r="AD441" s="164">
        <v>41639</v>
      </c>
      <c r="AE441" s="34">
        <f>SUMPRODUCT(DB_STProjectsSOF[[#This Row],[Plan01]:[Plan12]],$D$4:$O$4)/valUnits2</f>
        <v>1.1274009999999999</v>
      </c>
      <c r="AF441" s="34">
        <f>SUMPRODUCT(DB_STProjectsSOF[[#This Row],[Act01]:[Act12]],$P$4:$AA$4)/valUnits2</f>
        <v>1.5454000000000001</v>
      </c>
      <c r="AG441" s="34">
        <f>DB_STProjectsSOF[[#This Row],[Actual]]-DB_STProjectsSOF[[#This Row],[Plan]]</f>
        <v>0.41799900000000023</v>
      </c>
      <c r="AH441" s="34">
        <f>IF(DB_STProjectsSOF[[#This Row],[Plan]]&lt;&gt;0,DB_STProjectsSOF[[#This Row],[Actual]]/DB_STProjectsSOF[[#This Row],[Plan]],1.000011000011)</f>
        <v>1.3707633752320605</v>
      </c>
      <c r="AI441" s="34">
        <f>SUM(DB_STProjectsSOF[[#This Row],[Plan01]:[Plan12]])/valUnits2</f>
        <v>1.1274009999999999</v>
      </c>
      <c r="AJ441" s="34">
        <f>SUMPRODUCT(DB_STProjectsSOF[[#This Row],[Act01]:[Act12]],$P$3:$AA$3)/valUnits2</f>
        <v>1.5454000000000001</v>
      </c>
      <c r="AK441" s="34">
        <f>IF(DB_STProjectsSOF[[#This Row],[FY Plan]]&lt;&gt;0,DB_STProjectsSOF[[#This Row],[FY Actuals]]/DB_STProjectsSOF[[#This Row],[FY Plan]],1.000011000011)</f>
        <v>1.3707633752320605</v>
      </c>
    </row>
    <row r="442" spans="1:37" hidden="1" x14ac:dyDescent="0.2">
      <c r="A442">
        <f>SUBTOTAL(3,$B$6:B442)</f>
        <v>0</v>
      </c>
      <c r="B442" t="s">
        <v>947</v>
      </c>
      <c r="C442" t="s">
        <v>891</v>
      </c>
      <c r="E442">
        <v>11.282</v>
      </c>
      <c r="G442">
        <v>5782.4629999999997</v>
      </c>
      <c r="H442">
        <v>7304.4070000000002</v>
      </c>
      <c r="I442">
        <v>0</v>
      </c>
      <c r="Q442">
        <v>11.27</v>
      </c>
      <c r="S442">
        <v>5780.6100000000006</v>
      </c>
      <c r="T442">
        <v>7346.72</v>
      </c>
      <c r="U442">
        <v>3240.7799999999997</v>
      </c>
      <c r="AB442" s="164">
        <v>41214</v>
      </c>
      <c r="AC442" s="164">
        <v>42308</v>
      </c>
      <c r="AD442" s="164">
        <v>42389</v>
      </c>
      <c r="AE442" s="34">
        <f>SUMPRODUCT(DB_STProjectsSOF[[#This Row],[Plan01]:[Plan12]],$D$4:$O$4)/valUnits2</f>
        <v>13.098152000000001</v>
      </c>
      <c r="AF442" s="34">
        <f>SUMPRODUCT(DB_STProjectsSOF[[#This Row],[Act01]:[Act12]],$P$4:$AA$4)/valUnits2</f>
        <v>16.379380000000001</v>
      </c>
      <c r="AG442" s="34">
        <f>DB_STProjectsSOF[[#This Row],[Actual]]-DB_STProjectsSOF[[#This Row],[Plan]]</f>
        <v>3.2812280000000005</v>
      </c>
      <c r="AH442" s="34">
        <f>IF(DB_STProjectsSOF[[#This Row],[Plan]]&lt;&gt;0,DB_STProjectsSOF[[#This Row],[Actual]]/DB_STProjectsSOF[[#This Row],[Plan]],1.000011000011)</f>
        <v>1.2505107590750206</v>
      </c>
      <c r="AI442" s="34">
        <f>SUM(DB_STProjectsSOF[[#This Row],[Plan01]:[Plan12]])/valUnits2</f>
        <v>13.098152000000001</v>
      </c>
      <c r="AJ442" s="34">
        <f>SUMPRODUCT(DB_STProjectsSOF[[#This Row],[Act01]:[Act12]],$P$3:$AA$3)/valUnits2</f>
        <v>16.379380000000001</v>
      </c>
      <c r="AK442" s="34">
        <f>IF(DB_STProjectsSOF[[#This Row],[FY Plan]]&lt;&gt;0,DB_STProjectsSOF[[#This Row],[FY Actuals]]/DB_STProjectsSOF[[#This Row],[FY Plan]],1.000011000011)</f>
        <v>1.2505107590750206</v>
      </c>
    </row>
    <row r="443" spans="1:37" hidden="1" x14ac:dyDescent="0.2">
      <c r="A443">
        <f>SUBTOTAL(3,$B$6:B443)</f>
        <v>0</v>
      </c>
      <c r="B443" t="s">
        <v>947</v>
      </c>
      <c r="C443" t="s">
        <v>368</v>
      </c>
      <c r="G443">
        <v>456.84</v>
      </c>
      <c r="H443">
        <v>1932.67</v>
      </c>
      <c r="I443">
        <v>0</v>
      </c>
      <c r="S443">
        <v>456.84000000000003</v>
      </c>
      <c r="T443">
        <v>1932.67</v>
      </c>
      <c r="U443">
        <v>1635.5500000000002</v>
      </c>
      <c r="AB443" s="164">
        <v>41000</v>
      </c>
      <c r="AC443" s="164">
        <v>41820</v>
      </c>
      <c r="AD443" s="164">
        <v>41517</v>
      </c>
      <c r="AE443" s="34">
        <f>SUMPRODUCT(DB_STProjectsSOF[[#This Row],[Plan01]:[Plan12]],$D$4:$O$4)/valUnits2</f>
        <v>2.38951</v>
      </c>
      <c r="AF443" s="34">
        <f>SUMPRODUCT(DB_STProjectsSOF[[#This Row],[Act01]:[Act12]],$P$4:$AA$4)/valUnits2</f>
        <v>4.0250600000000007</v>
      </c>
      <c r="AG443" s="34">
        <f>DB_STProjectsSOF[[#This Row],[Actual]]-DB_STProjectsSOF[[#This Row],[Plan]]</f>
        <v>1.6355500000000007</v>
      </c>
      <c r="AH443" s="34">
        <f>IF(DB_STProjectsSOF[[#This Row],[Plan]]&lt;&gt;0,DB_STProjectsSOF[[#This Row],[Actual]]/DB_STProjectsSOF[[#This Row],[Plan]],1.000011000011)</f>
        <v>1.6844708747818593</v>
      </c>
      <c r="AI443" s="34">
        <f>SUM(DB_STProjectsSOF[[#This Row],[Plan01]:[Plan12]])/valUnits2</f>
        <v>2.38951</v>
      </c>
      <c r="AJ443" s="34">
        <f>SUMPRODUCT(DB_STProjectsSOF[[#This Row],[Act01]:[Act12]],$P$3:$AA$3)/valUnits2</f>
        <v>4.0250600000000007</v>
      </c>
      <c r="AK443" s="34">
        <f>IF(DB_STProjectsSOF[[#This Row],[FY Plan]]&lt;&gt;0,DB_STProjectsSOF[[#This Row],[FY Actuals]]/DB_STProjectsSOF[[#This Row],[FY Plan]],1.000011000011)</f>
        <v>1.6844708747818593</v>
      </c>
    </row>
    <row r="444" spans="1:37" hidden="1" x14ac:dyDescent="0.2">
      <c r="A444">
        <f>SUBTOTAL(3,$B$6:B444)</f>
        <v>0</v>
      </c>
      <c r="B444" t="s">
        <v>947</v>
      </c>
      <c r="C444" t="s">
        <v>904</v>
      </c>
      <c r="D444">
        <v>98.721999999999994</v>
      </c>
      <c r="E444">
        <v>38.131</v>
      </c>
      <c r="F444">
        <v>11.154</v>
      </c>
      <c r="G444">
        <v>10.746</v>
      </c>
      <c r="H444">
        <v>79.777000000000001</v>
      </c>
      <c r="I444">
        <v>0</v>
      </c>
      <c r="P444">
        <v>98.73</v>
      </c>
      <c r="Q444">
        <v>38.130000000000003</v>
      </c>
      <c r="R444">
        <v>11.06</v>
      </c>
      <c r="S444">
        <v>10.77</v>
      </c>
      <c r="T444">
        <v>80.13</v>
      </c>
      <c r="U444">
        <v>46.52</v>
      </c>
      <c r="AB444" s="164">
        <v>40817</v>
      </c>
      <c r="AC444" s="164">
        <v>41639</v>
      </c>
      <c r="AD444" s="164">
        <v>41698</v>
      </c>
      <c r="AE444" s="34">
        <f>SUMPRODUCT(DB_STProjectsSOF[[#This Row],[Plan01]:[Plan12]],$D$4:$O$4)/valUnits2</f>
        <v>0.23853000000000002</v>
      </c>
      <c r="AF444" s="34">
        <f>SUMPRODUCT(DB_STProjectsSOF[[#This Row],[Act01]:[Act12]],$P$4:$AA$4)/valUnits2</f>
        <v>0.28534000000000004</v>
      </c>
      <c r="AG444" s="34">
        <f>DB_STProjectsSOF[[#This Row],[Actual]]-DB_STProjectsSOF[[#This Row],[Plan]]</f>
        <v>4.6810000000000018E-2</v>
      </c>
      <c r="AH444" s="34">
        <f>IF(DB_STProjectsSOF[[#This Row],[Plan]]&lt;&gt;0,DB_STProjectsSOF[[#This Row],[Actual]]/DB_STProjectsSOF[[#This Row],[Plan]],1.000011000011)</f>
        <v>1.1962436590785226</v>
      </c>
      <c r="AI444" s="34">
        <f>SUM(DB_STProjectsSOF[[#This Row],[Plan01]:[Plan12]])/valUnits2</f>
        <v>0.23853000000000002</v>
      </c>
      <c r="AJ444" s="34">
        <f>SUMPRODUCT(DB_STProjectsSOF[[#This Row],[Act01]:[Act12]],$P$3:$AA$3)/valUnits2</f>
        <v>0.28534000000000004</v>
      </c>
      <c r="AK444" s="34">
        <f>IF(DB_STProjectsSOF[[#This Row],[FY Plan]]&lt;&gt;0,DB_STProjectsSOF[[#This Row],[FY Actuals]]/DB_STProjectsSOF[[#This Row],[FY Plan]],1.000011000011)</f>
        <v>1.1962436590785226</v>
      </c>
    </row>
    <row r="445" spans="1:37" hidden="1" x14ac:dyDescent="0.2">
      <c r="A445">
        <f>SUBTOTAL(3,$B$6:B445)</f>
        <v>0</v>
      </c>
      <c r="B445" t="s">
        <v>947</v>
      </c>
      <c r="C445" t="s">
        <v>909</v>
      </c>
      <c r="D445">
        <v>174.51000000000013</v>
      </c>
      <c r="E445">
        <v>3570.7099999999996</v>
      </c>
      <c r="F445">
        <v>4186.82</v>
      </c>
      <c r="G445">
        <v>4557.8999999999987</v>
      </c>
      <c r="H445">
        <v>2155.42</v>
      </c>
      <c r="I445">
        <v>0</v>
      </c>
      <c r="P445">
        <v>174.51000000000002</v>
      </c>
      <c r="Q445">
        <v>3570.71</v>
      </c>
      <c r="R445">
        <v>4186.82</v>
      </c>
      <c r="S445">
        <v>4557.9000000000005</v>
      </c>
      <c r="T445">
        <v>2155.42</v>
      </c>
      <c r="U445">
        <v>4834.4099999999989</v>
      </c>
      <c r="AB445" s="164">
        <v>40817</v>
      </c>
      <c r="AC445" s="164">
        <v>42155</v>
      </c>
      <c r="AD445" s="164">
        <v>42217</v>
      </c>
      <c r="AE445" s="34">
        <f>SUMPRODUCT(DB_STProjectsSOF[[#This Row],[Plan01]:[Plan12]],$D$4:$O$4)/valUnits2</f>
        <v>14.645359999999998</v>
      </c>
      <c r="AF445" s="34">
        <f>SUMPRODUCT(DB_STProjectsSOF[[#This Row],[Act01]:[Act12]],$P$4:$AA$4)/valUnits2</f>
        <v>19.479770000000002</v>
      </c>
      <c r="AG445" s="34">
        <f>DB_STProjectsSOF[[#This Row],[Actual]]-DB_STProjectsSOF[[#This Row],[Plan]]</f>
        <v>4.8344100000000036</v>
      </c>
      <c r="AH445" s="34">
        <f>IF(DB_STProjectsSOF[[#This Row],[Plan]]&lt;&gt;0,DB_STProjectsSOF[[#This Row],[Actual]]/DB_STProjectsSOF[[#This Row],[Plan]],1.000011000011)</f>
        <v>1.3300984065943073</v>
      </c>
      <c r="AI445" s="34">
        <f>SUM(DB_STProjectsSOF[[#This Row],[Plan01]:[Plan12]])/valUnits2</f>
        <v>14.645359999999998</v>
      </c>
      <c r="AJ445" s="34">
        <f>SUMPRODUCT(DB_STProjectsSOF[[#This Row],[Act01]:[Act12]],$P$3:$AA$3)/valUnits2</f>
        <v>19.479770000000002</v>
      </c>
      <c r="AK445" s="34">
        <f>IF(DB_STProjectsSOF[[#This Row],[FY Plan]]&lt;&gt;0,DB_STProjectsSOF[[#This Row],[FY Actuals]]/DB_STProjectsSOF[[#This Row],[FY Plan]],1.000011000011)</f>
        <v>1.3300984065943073</v>
      </c>
    </row>
    <row r="446" spans="1:37" hidden="1" x14ac:dyDescent="0.2">
      <c r="A446">
        <f>SUBTOTAL(3,$B$6:B446)</f>
        <v>0</v>
      </c>
      <c r="B446" t="s">
        <v>947</v>
      </c>
      <c r="C446" t="s">
        <v>354</v>
      </c>
      <c r="G446">
        <v>92.724000000000004</v>
      </c>
      <c r="H446">
        <v>185.34200000000001</v>
      </c>
      <c r="I446">
        <v>0</v>
      </c>
      <c r="S446">
        <v>91.36</v>
      </c>
      <c r="T446">
        <v>190.33</v>
      </c>
      <c r="U446">
        <v>104.67</v>
      </c>
      <c r="AB446" s="164">
        <v>41091</v>
      </c>
      <c r="AC446" s="164">
        <v>41455</v>
      </c>
      <c r="AD446" s="164">
        <v>41517</v>
      </c>
      <c r="AE446" s="34">
        <f>SUMPRODUCT(DB_STProjectsSOF[[#This Row],[Plan01]:[Plan12]],$D$4:$O$4)/valUnits2</f>
        <v>0.27806600000000004</v>
      </c>
      <c r="AF446" s="34">
        <f>SUMPRODUCT(DB_STProjectsSOF[[#This Row],[Act01]:[Act12]],$P$4:$AA$4)/valUnits2</f>
        <v>0.38636000000000004</v>
      </c>
      <c r="AG446" s="34">
        <f>DB_STProjectsSOF[[#This Row],[Actual]]-DB_STProjectsSOF[[#This Row],[Plan]]</f>
        <v>0.108294</v>
      </c>
      <c r="AH446" s="34">
        <f>IF(DB_STProjectsSOF[[#This Row],[Plan]]&lt;&gt;0,DB_STProjectsSOF[[#This Row],[Actual]]/DB_STProjectsSOF[[#This Row],[Plan]],1.000011000011)</f>
        <v>1.3894543022160206</v>
      </c>
      <c r="AI446" s="34">
        <f>SUM(DB_STProjectsSOF[[#This Row],[Plan01]:[Plan12]])/valUnits2</f>
        <v>0.27806600000000004</v>
      </c>
      <c r="AJ446" s="34">
        <f>SUMPRODUCT(DB_STProjectsSOF[[#This Row],[Act01]:[Act12]],$P$3:$AA$3)/valUnits2</f>
        <v>0.38636000000000004</v>
      </c>
      <c r="AK446" s="34">
        <f>IF(DB_STProjectsSOF[[#This Row],[FY Plan]]&lt;&gt;0,DB_STProjectsSOF[[#This Row],[FY Actuals]]/DB_STProjectsSOF[[#This Row],[FY Plan]],1.000011000011)</f>
        <v>1.3894543022160206</v>
      </c>
    </row>
    <row r="447" spans="1:37" hidden="1" x14ac:dyDescent="0.2">
      <c r="A447">
        <f>SUBTOTAL(3,$B$6:B447)</f>
        <v>0</v>
      </c>
      <c r="B447" t="s">
        <v>947</v>
      </c>
      <c r="C447" t="s">
        <v>911</v>
      </c>
      <c r="E447">
        <v>139.44</v>
      </c>
      <c r="G447">
        <v>21.65</v>
      </c>
      <c r="H447">
        <v>206.03</v>
      </c>
      <c r="I447">
        <v>0</v>
      </c>
      <c r="Q447">
        <v>139.44</v>
      </c>
      <c r="S447">
        <v>21.65</v>
      </c>
      <c r="T447">
        <v>206.03</v>
      </c>
      <c r="U447">
        <v>315.49</v>
      </c>
      <c r="AB447" s="164">
        <v>40817</v>
      </c>
      <c r="AC447" s="164">
        <v>41578</v>
      </c>
      <c r="AD447" s="164">
        <v>41639</v>
      </c>
      <c r="AE447" s="34">
        <f>SUMPRODUCT(DB_STProjectsSOF[[#This Row],[Plan01]:[Plan12]],$D$4:$O$4)/valUnits2</f>
        <v>0.36712</v>
      </c>
      <c r="AF447" s="34">
        <f>SUMPRODUCT(DB_STProjectsSOF[[#This Row],[Act01]:[Act12]],$P$4:$AA$4)/valUnits2</f>
        <v>0.68261000000000005</v>
      </c>
      <c r="AG447" s="34">
        <f>DB_STProjectsSOF[[#This Row],[Actual]]-DB_STProjectsSOF[[#This Row],[Plan]]</f>
        <v>0.31549000000000005</v>
      </c>
      <c r="AH447" s="34">
        <f>IF(DB_STProjectsSOF[[#This Row],[Plan]]&lt;&gt;0,DB_STProjectsSOF[[#This Row],[Actual]]/DB_STProjectsSOF[[#This Row],[Plan]],1.000011000011)</f>
        <v>1.8593647853562869</v>
      </c>
      <c r="AI447" s="34">
        <f>SUM(DB_STProjectsSOF[[#This Row],[Plan01]:[Plan12]])/valUnits2</f>
        <v>0.36712</v>
      </c>
      <c r="AJ447" s="34">
        <f>SUMPRODUCT(DB_STProjectsSOF[[#This Row],[Act01]:[Act12]],$P$3:$AA$3)/valUnits2</f>
        <v>0.68261000000000005</v>
      </c>
      <c r="AK447" s="34">
        <f>IF(DB_STProjectsSOF[[#This Row],[FY Plan]]&lt;&gt;0,DB_STProjectsSOF[[#This Row],[FY Actuals]]/DB_STProjectsSOF[[#This Row],[FY Plan]],1.000011000011)</f>
        <v>1.8593647853562869</v>
      </c>
    </row>
    <row r="448" spans="1:37" hidden="1" x14ac:dyDescent="0.2">
      <c r="A448">
        <f>SUBTOTAL(3,$B$6:B448)</f>
        <v>0</v>
      </c>
      <c r="B448" t="s">
        <v>947</v>
      </c>
      <c r="C448" t="s">
        <v>917</v>
      </c>
      <c r="D448">
        <v>818.38400000000001</v>
      </c>
      <c r="E448">
        <v>-108.315</v>
      </c>
      <c r="I448">
        <v>0</v>
      </c>
      <c r="P448">
        <v>818.4</v>
      </c>
      <c r="Q448">
        <v>-108.29</v>
      </c>
      <c r="U448">
        <v>2410.48</v>
      </c>
      <c r="AB448" s="164">
        <v>40817</v>
      </c>
      <c r="AC448" s="164">
        <v>42155</v>
      </c>
      <c r="AD448" s="164">
        <v>42246</v>
      </c>
      <c r="AE448" s="34">
        <f>SUMPRODUCT(DB_STProjectsSOF[[#This Row],[Plan01]:[Plan12]],$D$4:$O$4)/valUnits2</f>
        <v>0.71006899999999995</v>
      </c>
      <c r="AF448" s="34">
        <f>SUMPRODUCT(DB_STProjectsSOF[[#This Row],[Act01]:[Act12]],$P$4:$AA$4)/valUnits2</f>
        <v>3.12059</v>
      </c>
      <c r="AG448" s="34">
        <f>DB_STProjectsSOF[[#This Row],[Actual]]-DB_STProjectsSOF[[#This Row],[Plan]]</f>
        <v>2.4105210000000001</v>
      </c>
      <c r="AH448" s="34">
        <f>IF(DB_STProjectsSOF[[#This Row],[Plan]]&lt;&gt;0,DB_STProjectsSOF[[#This Row],[Actual]]/DB_STProjectsSOF[[#This Row],[Plan]],1.000011000011)</f>
        <v>4.3947700857240637</v>
      </c>
      <c r="AI448" s="34">
        <f>SUM(DB_STProjectsSOF[[#This Row],[Plan01]:[Plan12]])/valUnits2</f>
        <v>0.71006899999999995</v>
      </c>
      <c r="AJ448" s="34">
        <f>SUMPRODUCT(DB_STProjectsSOF[[#This Row],[Act01]:[Act12]],$P$3:$AA$3)/valUnits2</f>
        <v>3.12059</v>
      </c>
      <c r="AK448" s="34">
        <f>IF(DB_STProjectsSOF[[#This Row],[FY Plan]]&lt;&gt;0,DB_STProjectsSOF[[#This Row],[FY Actuals]]/DB_STProjectsSOF[[#This Row],[FY Plan]],1.000011000011)</f>
        <v>4.3947700857240637</v>
      </c>
    </row>
    <row r="449" spans="1:37" hidden="1" x14ac:dyDescent="0.2">
      <c r="A449">
        <f>SUBTOTAL(3,$B$6:B449)</f>
        <v>0</v>
      </c>
      <c r="B449" t="s">
        <v>947</v>
      </c>
      <c r="C449" t="s">
        <v>356</v>
      </c>
      <c r="G449">
        <v>92.197000000000003</v>
      </c>
      <c r="H449">
        <v>183.02600000000001</v>
      </c>
      <c r="I449">
        <v>0</v>
      </c>
      <c r="S449">
        <v>91.36</v>
      </c>
      <c r="T449">
        <v>190.33</v>
      </c>
      <c r="U449">
        <v>104.66</v>
      </c>
      <c r="AB449" s="164">
        <v>41091</v>
      </c>
      <c r="AC449" s="164">
        <v>41455</v>
      </c>
      <c r="AD449" s="164">
        <v>41547</v>
      </c>
      <c r="AE449" s="34">
        <f>SUMPRODUCT(DB_STProjectsSOF[[#This Row],[Plan01]:[Plan12]],$D$4:$O$4)/valUnits2</f>
        <v>0.275223</v>
      </c>
      <c r="AF449" s="34">
        <f>SUMPRODUCT(DB_STProjectsSOF[[#This Row],[Act01]:[Act12]],$P$4:$AA$4)/valUnits2</f>
        <v>0.38635000000000003</v>
      </c>
      <c r="AG449" s="34">
        <f>DB_STProjectsSOF[[#This Row],[Actual]]-DB_STProjectsSOF[[#This Row],[Plan]]</f>
        <v>0.11112700000000003</v>
      </c>
      <c r="AH449" s="34">
        <f>IF(DB_STProjectsSOF[[#This Row],[Plan]]&lt;&gt;0,DB_STProjectsSOF[[#This Row],[Actual]]/DB_STProjectsSOF[[#This Row],[Plan]],1.000011000011)</f>
        <v>1.4037707604378995</v>
      </c>
      <c r="AI449" s="34">
        <f>SUM(DB_STProjectsSOF[[#This Row],[Plan01]:[Plan12]])/valUnits2</f>
        <v>0.275223</v>
      </c>
      <c r="AJ449" s="34">
        <f>SUMPRODUCT(DB_STProjectsSOF[[#This Row],[Act01]:[Act12]],$P$3:$AA$3)/valUnits2</f>
        <v>0.38635000000000003</v>
      </c>
      <c r="AK449" s="34">
        <f>IF(DB_STProjectsSOF[[#This Row],[FY Plan]]&lt;&gt;0,DB_STProjectsSOF[[#This Row],[FY Actuals]]/DB_STProjectsSOF[[#This Row],[FY Plan]],1.000011000011)</f>
        <v>1.4037707604378995</v>
      </c>
    </row>
    <row r="450" spans="1:37" hidden="1" x14ac:dyDescent="0.2">
      <c r="A450">
        <f>SUBTOTAL(3,$B$6:B450)</f>
        <v>0</v>
      </c>
      <c r="B450" t="s">
        <v>947</v>
      </c>
      <c r="C450" t="s">
        <v>919</v>
      </c>
      <c r="D450">
        <v>0</v>
      </c>
      <c r="E450">
        <v>461.53199999999998</v>
      </c>
      <c r="F450">
        <v>0</v>
      </c>
      <c r="G450">
        <v>255.68600000000001</v>
      </c>
      <c r="H450">
        <v>0</v>
      </c>
      <c r="I450">
        <v>1231.71</v>
      </c>
      <c r="J450">
        <v>1231.71</v>
      </c>
      <c r="K450">
        <v>1231.71</v>
      </c>
      <c r="L450">
        <v>1231.71</v>
      </c>
      <c r="M450">
        <v>1231.71</v>
      </c>
      <c r="N450">
        <v>1231.71</v>
      </c>
      <c r="O450">
        <v>1231.71</v>
      </c>
      <c r="P450">
        <v>0</v>
      </c>
      <c r="Q450">
        <v>471.21000000000004</v>
      </c>
      <c r="R450">
        <v>0</v>
      </c>
      <c r="S450">
        <v>256.94000000000005</v>
      </c>
      <c r="T450">
        <v>0</v>
      </c>
      <c r="U450">
        <v>366.71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s="164">
        <v>40878</v>
      </c>
      <c r="AC450" s="164">
        <v>42794</v>
      </c>
      <c r="AD450" s="164">
        <v>42978</v>
      </c>
      <c r="AE450" s="34">
        <f>SUMPRODUCT(DB_STProjectsSOF[[#This Row],[Plan01]:[Plan12]],$D$4:$O$4)/valUnits2</f>
        <v>1.948928</v>
      </c>
      <c r="AF450" s="34">
        <f>SUMPRODUCT(DB_STProjectsSOF[[#This Row],[Act01]:[Act12]],$P$4:$AA$4)/valUnits2</f>
        <v>1.0948600000000002</v>
      </c>
      <c r="AG450" s="34">
        <f>DB_STProjectsSOF[[#This Row],[Actual]]-DB_STProjectsSOF[[#This Row],[Plan]]</f>
        <v>-0.85406799999999983</v>
      </c>
      <c r="AH450" s="34">
        <f>IF(DB_STProjectsSOF[[#This Row],[Plan]]&lt;&gt;0,DB_STProjectsSOF[[#This Row],[Actual]]/DB_STProjectsSOF[[#This Row],[Plan]],1.000011000011)</f>
        <v>0.5617754991461974</v>
      </c>
      <c r="AI450" s="34">
        <f>SUM(DB_STProjectsSOF[[#This Row],[Plan01]:[Plan12]])/valUnits2</f>
        <v>9.339188</v>
      </c>
      <c r="AJ450" s="34">
        <f>SUMPRODUCT(DB_STProjectsSOF[[#This Row],[Act01]:[Act12]],$P$3:$AA$3)/valUnits2</f>
        <v>1.0948600000000002</v>
      </c>
      <c r="AK450" s="34">
        <f>IF(DB_STProjectsSOF[[#This Row],[FY Plan]]&lt;&gt;0,DB_STProjectsSOF[[#This Row],[FY Actuals]]/DB_STProjectsSOF[[#This Row],[FY Plan]],1.000011000011)</f>
        <v>0.11723289005425312</v>
      </c>
    </row>
    <row r="451" spans="1:37" hidden="1" x14ac:dyDescent="0.2">
      <c r="A451">
        <f>SUBTOTAL(3,$B$6:B451)</f>
        <v>0</v>
      </c>
      <c r="B451" t="s">
        <v>947</v>
      </c>
      <c r="C451" t="s">
        <v>921</v>
      </c>
      <c r="D451">
        <v>55.013000000000005</v>
      </c>
      <c r="E451">
        <v>17.863</v>
      </c>
      <c r="F451">
        <v>13.076000000000001</v>
      </c>
      <c r="P451">
        <v>55.009999999999991</v>
      </c>
      <c r="Q451">
        <v>17.71</v>
      </c>
      <c r="R451">
        <v>12.98</v>
      </c>
      <c r="AB451" s="164">
        <v>40909</v>
      </c>
      <c r="AC451" s="164">
        <v>41363</v>
      </c>
      <c r="AD451" s="164">
        <v>41389</v>
      </c>
      <c r="AE451" s="34">
        <f>SUMPRODUCT(DB_STProjectsSOF[[#This Row],[Plan01]:[Plan12]],$D$4:$O$4)/valUnits2</f>
        <v>8.5952000000000001E-2</v>
      </c>
      <c r="AF451" s="34">
        <f>SUMPRODUCT(DB_STProjectsSOF[[#This Row],[Act01]:[Act12]],$P$4:$AA$4)/valUnits2</f>
        <v>8.5699999999999998E-2</v>
      </c>
      <c r="AG451" s="34">
        <f>DB_STProjectsSOF[[#This Row],[Actual]]-DB_STProjectsSOF[[#This Row],[Plan]]</f>
        <v>-2.5200000000000222E-4</v>
      </c>
      <c r="AH451" s="34">
        <f>IF(DB_STProjectsSOF[[#This Row],[Plan]]&lt;&gt;0,DB_STProjectsSOF[[#This Row],[Actual]]/DB_STProjectsSOF[[#This Row],[Plan]],1.000011000011)</f>
        <v>0.99706813104988823</v>
      </c>
      <c r="AI451" s="34">
        <f>SUM(DB_STProjectsSOF[[#This Row],[Plan01]:[Plan12]])/valUnits2</f>
        <v>8.5952000000000001E-2</v>
      </c>
      <c r="AJ451" s="34">
        <f>SUMPRODUCT(DB_STProjectsSOF[[#This Row],[Act01]:[Act12]],$P$3:$AA$3)/valUnits2</f>
        <v>8.5699999999999998E-2</v>
      </c>
      <c r="AK451" s="34">
        <f>IF(DB_STProjectsSOF[[#This Row],[FY Plan]]&lt;&gt;0,DB_STProjectsSOF[[#This Row],[FY Actuals]]/DB_STProjectsSOF[[#This Row],[FY Plan]],1.000011000011)</f>
        <v>0.99706813104988823</v>
      </c>
    </row>
    <row r="452" spans="1:37" hidden="1" x14ac:dyDescent="0.2">
      <c r="A452">
        <f>SUBTOTAL(3,$B$6:B452)</f>
        <v>0</v>
      </c>
      <c r="B452" t="s">
        <v>947</v>
      </c>
      <c r="C452" t="s">
        <v>922</v>
      </c>
      <c r="D452">
        <v>95.248000000000005</v>
      </c>
      <c r="E452">
        <v>16.974</v>
      </c>
      <c r="H452">
        <v>23.42</v>
      </c>
      <c r="I452">
        <v>0</v>
      </c>
      <c r="P452">
        <v>93.84</v>
      </c>
      <c r="Q452">
        <v>17.329999999999998</v>
      </c>
      <c r="T452">
        <v>23.48</v>
      </c>
      <c r="U452">
        <v>21.14</v>
      </c>
      <c r="AB452" s="164">
        <v>41000</v>
      </c>
      <c r="AC452" s="164">
        <v>41989</v>
      </c>
      <c r="AD452" s="164">
        <v>42078</v>
      </c>
      <c r="AE452" s="34">
        <f>SUMPRODUCT(DB_STProjectsSOF[[#This Row],[Plan01]:[Plan12]],$D$4:$O$4)/valUnits2</f>
        <v>0.13564199999999998</v>
      </c>
      <c r="AF452" s="34">
        <f>SUMPRODUCT(DB_STProjectsSOF[[#This Row],[Act01]:[Act12]],$P$4:$AA$4)/valUnits2</f>
        <v>0.15579000000000001</v>
      </c>
      <c r="AG452" s="34">
        <f>DB_STProjectsSOF[[#This Row],[Actual]]-DB_STProjectsSOF[[#This Row],[Plan]]</f>
        <v>2.0148000000000027E-2</v>
      </c>
      <c r="AH452" s="34">
        <f>IF(DB_STProjectsSOF[[#This Row],[Plan]]&lt;&gt;0,DB_STProjectsSOF[[#This Row],[Actual]]/DB_STProjectsSOF[[#This Row],[Plan]],1.000011000011)</f>
        <v>1.1485380634316806</v>
      </c>
      <c r="AI452" s="34">
        <f>SUM(DB_STProjectsSOF[[#This Row],[Plan01]:[Plan12]])/valUnits2</f>
        <v>0.13564199999999998</v>
      </c>
      <c r="AJ452" s="34">
        <f>SUMPRODUCT(DB_STProjectsSOF[[#This Row],[Act01]:[Act12]],$P$3:$AA$3)/valUnits2</f>
        <v>0.15579000000000001</v>
      </c>
      <c r="AK452" s="34">
        <f>IF(DB_STProjectsSOF[[#This Row],[FY Plan]]&lt;&gt;0,DB_STProjectsSOF[[#This Row],[FY Actuals]]/DB_STProjectsSOF[[#This Row],[FY Plan]],1.000011000011)</f>
        <v>1.1485380634316806</v>
      </c>
    </row>
    <row r="453" spans="1:37" hidden="1" x14ac:dyDescent="0.2">
      <c r="A453">
        <f>SUBTOTAL(3,$B$6:B453)</f>
        <v>0</v>
      </c>
      <c r="B453" t="s">
        <v>947</v>
      </c>
      <c r="C453" t="s">
        <v>927</v>
      </c>
      <c r="E453">
        <v>183.44</v>
      </c>
      <c r="G453">
        <v>446.91999999999996</v>
      </c>
      <c r="H453">
        <v>1152.27</v>
      </c>
      <c r="I453">
        <v>0</v>
      </c>
      <c r="Q453">
        <v>183.44</v>
      </c>
      <c r="S453">
        <v>446.92</v>
      </c>
      <c r="T453">
        <v>1152.27</v>
      </c>
      <c r="U453">
        <v>467.87</v>
      </c>
      <c r="AB453" s="164">
        <v>40817</v>
      </c>
      <c r="AC453" s="164">
        <v>42052</v>
      </c>
      <c r="AD453" s="164">
        <v>42141</v>
      </c>
      <c r="AE453" s="34">
        <f>SUMPRODUCT(DB_STProjectsSOF[[#This Row],[Plan01]:[Plan12]],$D$4:$O$4)/valUnits2</f>
        <v>1.7826299999999999</v>
      </c>
      <c r="AF453" s="34">
        <f>SUMPRODUCT(DB_STProjectsSOF[[#This Row],[Act01]:[Act12]],$P$4:$AA$4)/valUnits2</f>
        <v>2.2505000000000002</v>
      </c>
      <c r="AG453" s="34">
        <f>DB_STProjectsSOF[[#This Row],[Actual]]-DB_STProjectsSOF[[#This Row],[Plan]]</f>
        <v>0.46787000000000023</v>
      </c>
      <c r="AH453" s="34">
        <f>IF(DB_STProjectsSOF[[#This Row],[Plan]]&lt;&gt;0,DB_STProjectsSOF[[#This Row],[Actual]]/DB_STProjectsSOF[[#This Row],[Plan]],1.000011000011)</f>
        <v>1.2624605218132761</v>
      </c>
      <c r="AI453" s="34">
        <f>SUM(DB_STProjectsSOF[[#This Row],[Plan01]:[Plan12]])/valUnits2</f>
        <v>1.7826299999999999</v>
      </c>
      <c r="AJ453" s="34">
        <f>SUMPRODUCT(DB_STProjectsSOF[[#This Row],[Act01]:[Act12]],$P$3:$AA$3)/valUnits2</f>
        <v>2.2505000000000002</v>
      </c>
      <c r="AK453" s="34">
        <f>IF(DB_STProjectsSOF[[#This Row],[FY Plan]]&lt;&gt;0,DB_STProjectsSOF[[#This Row],[FY Actuals]]/DB_STProjectsSOF[[#This Row],[FY Plan]],1.000011000011)</f>
        <v>1.2624605218132761</v>
      </c>
    </row>
    <row r="454" spans="1:37" hidden="1" x14ac:dyDescent="0.2">
      <c r="A454">
        <f>SUBTOTAL(3,$B$6:B454)</f>
        <v>0</v>
      </c>
      <c r="B454" t="s">
        <v>947</v>
      </c>
      <c r="C454" t="s">
        <v>930</v>
      </c>
      <c r="D454">
        <v>641.72</v>
      </c>
      <c r="E454">
        <v>34.659999999999997</v>
      </c>
      <c r="F454">
        <v>63.94</v>
      </c>
      <c r="H454">
        <v>266.37</v>
      </c>
      <c r="I454">
        <v>0</v>
      </c>
      <c r="P454">
        <v>641.72</v>
      </c>
      <c r="Q454">
        <v>34.659999999999997</v>
      </c>
      <c r="R454">
        <v>63.94</v>
      </c>
      <c r="T454">
        <v>266.37</v>
      </c>
      <c r="U454">
        <v>42.28</v>
      </c>
      <c r="AB454" s="164">
        <v>40848</v>
      </c>
      <c r="AC454" s="164">
        <v>41729</v>
      </c>
      <c r="AD454" s="164">
        <v>41654</v>
      </c>
      <c r="AE454" s="34">
        <f>SUMPRODUCT(DB_STProjectsSOF[[#This Row],[Plan01]:[Plan12]],$D$4:$O$4)/valUnits2</f>
        <v>1.0066899999999999</v>
      </c>
      <c r="AF454" s="34">
        <f>SUMPRODUCT(DB_STProjectsSOF[[#This Row],[Act01]:[Act12]],$P$4:$AA$4)/valUnits2</f>
        <v>1.04897</v>
      </c>
      <c r="AG454" s="34">
        <f>DB_STProjectsSOF[[#This Row],[Actual]]-DB_STProjectsSOF[[#This Row],[Plan]]</f>
        <v>4.2280000000000095E-2</v>
      </c>
      <c r="AH454" s="34">
        <f>IF(DB_STProjectsSOF[[#This Row],[Plan]]&lt;&gt;0,DB_STProjectsSOF[[#This Row],[Actual]]/DB_STProjectsSOF[[#This Row],[Plan]],1.000011000011)</f>
        <v>1.0419990265126307</v>
      </c>
      <c r="AI454" s="34">
        <f>SUM(DB_STProjectsSOF[[#This Row],[Plan01]:[Plan12]])/valUnits2</f>
        <v>1.0066899999999999</v>
      </c>
      <c r="AJ454" s="34">
        <f>SUMPRODUCT(DB_STProjectsSOF[[#This Row],[Act01]:[Act12]],$P$3:$AA$3)/valUnits2</f>
        <v>1.04897</v>
      </c>
      <c r="AK454" s="34">
        <f>IF(DB_STProjectsSOF[[#This Row],[FY Plan]]&lt;&gt;0,DB_STProjectsSOF[[#This Row],[FY Actuals]]/DB_STProjectsSOF[[#This Row],[FY Plan]],1.000011000011)</f>
        <v>1.0419990265126307</v>
      </c>
    </row>
    <row r="455" spans="1:37" hidden="1" x14ac:dyDescent="0.2">
      <c r="A455">
        <f>SUBTOTAL(3,$B$6:B455)</f>
        <v>0</v>
      </c>
      <c r="B455" t="s">
        <v>947</v>
      </c>
      <c r="C455" t="s">
        <v>933</v>
      </c>
      <c r="D455">
        <v>12.09</v>
      </c>
      <c r="E455">
        <v>20.03</v>
      </c>
      <c r="F455">
        <v>46.89</v>
      </c>
      <c r="G455">
        <v>9.9700000000000006</v>
      </c>
      <c r="H455">
        <v>7.55</v>
      </c>
      <c r="I455">
        <v>0</v>
      </c>
      <c r="P455">
        <v>12.09</v>
      </c>
      <c r="Q455">
        <v>20.03</v>
      </c>
      <c r="R455">
        <v>144.79</v>
      </c>
      <c r="S455">
        <v>9.9700000000000006</v>
      </c>
      <c r="T455">
        <v>7.5500000000000007</v>
      </c>
      <c r="U455">
        <v>34.07</v>
      </c>
      <c r="AB455" s="164">
        <v>40817</v>
      </c>
      <c r="AC455" s="164">
        <v>42155</v>
      </c>
      <c r="AD455" s="164">
        <v>42217</v>
      </c>
      <c r="AE455" s="34">
        <f>SUMPRODUCT(DB_STProjectsSOF[[#This Row],[Plan01]:[Plan12]],$D$4:$O$4)/valUnits2</f>
        <v>9.6530000000000005E-2</v>
      </c>
      <c r="AF455" s="34">
        <f>SUMPRODUCT(DB_STProjectsSOF[[#This Row],[Act01]:[Act12]],$P$4:$AA$4)/valUnits2</f>
        <v>0.22850000000000001</v>
      </c>
      <c r="AG455" s="34">
        <f>DB_STProjectsSOF[[#This Row],[Actual]]-DB_STProjectsSOF[[#This Row],[Plan]]</f>
        <v>0.13197</v>
      </c>
      <c r="AH455" s="34">
        <f>IF(DB_STProjectsSOF[[#This Row],[Plan]]&lt;&gt;0,DB_STProjectsSOF[[#This Row],[Actual]]/DB_STProjectsSOF[[#This Row],[Plan]],1.000011000011)</f>
        <v>2.3671397493007356</v>
      </c>
      <c r="AI455" s="34">
        <f>SUM(DB_STProjectsSOF[[#This Row],[Plan01]:[Plan12]])/valUnits2</f>
        <v>9.6530000000000005E-2</v>
      </c>
      <c r="AJ455" s="34">
        <f>SUMPRODUCT(DB_STProjectsSOF[[#This Row],[Act01]:[Act12]],$P$3:$AA$3)/valUnits2</f>
        <v>0.22850000000000001</v>
      </c>
      <c r="AK455" s="34">
        <f>IF(DB_STProjectsSOF[[#This Row],[FY Plan]]&lt;&gt;0,DB_STProjectsSOF[[#This Row],[FY Actuals]]/DB_STProjectsSOF[[#This Row],[FY Plan]],1.000011000011)</f>
        <v>2.3671397493007356</v>
      </c>
    </row>
    <row r="456" spans="1:37" hidden="1" x14ac:dyDescent="0.2">
      <c r="A456">
        <f>SUBTOTAL(3,$B$6:B456)</f>
        <v>0</v>
      </c>
      <c r="B456" t="s">
        <v>947</v>
      </c>
      <c r="C456" t="s">
        <v>935</v>
      </c>
      <c r="G456">
        <v>771.74</v>
      </c>
      <c r="H456">
        <v>101.119</v>
      </c>
      <c r="I456">
        <v>126.646</v>
      </c>
      <c r="J456">
        <v>126.646</v>
      </c>
      <c r="K456">
        <v>126.646</v>
      </c>
      <c r="L456">
        <v>126.646</v>
      </c>
      <c r="M456">
        <v>126.646</v>
      </c>
      <c r="N456">
        <v>126.646</v>
      </c>
      <c r="O456">
        <v>126.646</v>
      </c>
      <c r="S456">
        <v>760.21</v>
      </c>
      <c r="T456">
        <v>100.92</v>
      </c>
      <c r="U456">
        <v>103.41000000000001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s="164">
        <v>41000</v>
      </c>
      <c r="AC456" s="164">
        <v>42094</v>
      </c>
      <c r="AD456" s="164">
        <v>42124</v>
      </c>
      <c r="AE456" s="34">
        <f>SUMPRODUCT(DB_STProjectsSOF[[#This Row],[Plan01]:[Plan12]],$D$4:$O$4)/valUnits2</f>
        <v>0.99950499999999998</v>
      </c>
      <c r="AF456" s="34">
        <f>SUMPRODUCT(DB_STProjectsSOF[[#This Row],[Act01]:[Act12]],$P$4:$AA$4)/valUnits2</f>
        <v>0.96453999999999995</v>
      </c>
      <c r="AG456" s="34">
        <f>DB_STProjectsSOF[[#This Row],[Actual]]-DB_STProjectsSOF[[#This Row],[Plan]]</f>
        <v>-3.4965000000000024E-2</v>
      </c>
      <c r="AH456" s="34">
        <f>IF(DB_STProjectsSOF[[#This Row],[Plan]]&lt;&gt;0,DB_STProjectsSOF[[#This Row],[Actual]]/DB_STProjectsSOF[[#This Row],[Plan]],1.000011000011)</f>
        <v>0.96501768375345798</v>
      </c>
      <c r="AI456" s="34">
        <f>SUM(DB_STProjectsSOF[[#This Row],[Plan01]:[Plan12]])/valUnits2</f>
        <v>1.7593809999999999</v>
      </c>
      <c r="AJ456" s="34">
        <f>SUMPRODUCT(DB_STProjectsSOF[[#This Row],[Act01]:[Act12]],$P$3:$AA$3)/valUnits2</f>
        <v>0.96453999999999995</v>
      </c>
      <c r="AK456" s="34">
        <f>IF(DB_STProjectsSOF[[#This Row],[FY Plan]]&lt;&gt;0,DB_STProjectsSOF[[#This Row],[FY Actuals]]/DB_STProjectsSOF[[#This Row],[FY Plan]],1.000011000011)</f>
        <v>0.54822690480345082</v>
      </c>
    </row>
    <row r="457" spans="1:37" hidden="1" x14ac:dyDescent="0.2">
      <c r="A457">
        <f>SUBTOTAL(3,$B$6:B457)</f>
        <v>0</v>
      </c>
      <c r="B457" t="s">
        <v>964</v>
      </c>
      <c r="C457" t="s">
        <v>866</v>
      </c>
      <c r="I457">
        <v>0</v>
      </c>
      <c r="U457">
        <v>588.1</v>
      </c>
      <c r="AB457" s="164">
        <v>41275</v>
      </c>
      <c r="AC457" s="164">
        <v>41639</v>
      </c>
      <c r="AD457" s="164">
        <v>41760</v>
      </c>
      <c r="AE457" s="34">
        <f>SUMPRODUCT(DB_STProjectsSOF[[#This Row],[Plan01]:[Plan12]],$D$4:$O$4)/valUnits2</f>
        <v>0</v>
      </c>
      <c r="AF457" s="34">
        <f>SUMPRODUCT(DB_STProjectsSOF[[#This Row],[Act01]:[Act12]],$P$4:$AA$4)/valUnits2</f>
        <v>0.58810000000000007</v>
      </c>
      <c r="AG457" s="34">
        <f>DB_STProjectsSOF[[#This Row],[Actual]]-DB_STProjectsSOF[[#This Row],[Plan]]</f>
        <v>0.58810000000000007</v>
      </c>
      <c r="AH457" s="34">
        <f>IF(DB_STProjectsSOF[[#This Row],[Plan]]&lt;&gt;0,DB_STProjectsSOF[[#This Row],[Actual]]/DB_STProjectsSOF[[#This Row],[Plan]],1.000011000011)</f>
        <v>1.0000110000110001</v>
      </c>
      <c r="AI457" s="34">
        <f>SUM(DB_STProjectsSOF[[#This Row],[Plan01]:[Plan12]])/valUnits2</f>
        <v>0</v>
      </c>
      <c r="AJ457" s="34">
        <f>SUMPRODUCT(DB_STProjectsSOF[[#This Row],[Act01]:[Act12]],$P$3:$AA$3)/valUnits2</f>
        <v>0.58810000000000007</v>
      </c>
      <c r="AK457" s="34">
        <f>IF(DB_STProjectsSOF[[#This Row],[FY Plan]]&lt;&gt;0,DB_STProjectsSOF[[#This Row],[FY Actuals]]/DB_STProjectsSOF[[#This Row],[FY Plan]],1.000011000011)</f>
        <v>1.0000110000110001</v>
      </c>
    </row>
    <row r="458" spans="1:37" hidden="1" x14ac:dyDescent="0.2">
      <c r="A458">
        <f>SUBTOTAL(3,$B$6:B458)</f>
        <v>0</v>
      </c>
      <c r="B458" t="s">
        <v>964</v>
      </c>
      <c r="C458" t="s">
        <v>890</v>
      </c>
      <c r="I458">
        <v>0</v>
      </c>
      <c r="U458">
        <v>0.1</v>
      </c>
      <c r="AB458" s="164">
        <v>40817</v>
      </c>
      <c r="AC458" s="164">
        <v>41639</v>
      </c>
      <c r="AD458" s="164">
        <v>41639</v>
      </c>
      <c r="AE458" s="34">
        <f>SUMPRODUCT(DB_STProjectsSOF[[#This Row],[Plan01]:[Plan12]],$D$4:$O$4)/valUnits2</f>
        <v>0</v>
      </c>
      <c r="AF458" s="34">
        <f>SUMPRODUCT(DB_STProjectsSOF[[#This Row],[Act01]:[Act12]],$P$4:$AA$4)/valUnits2</f>
        <v>1E-4</v>
      </c>
      <c r="AG458" s="34">
        <f>DB_STProjectsSOF[[#This Row],[Actual]]-DB_STProjectsSOF[[#This Row],[Plan]]</f>
        <v>1E-4</v>
      </c>
      <c r="AH458" s="34">
        <f>IF(DB_STProjectsSOF[[#This Row],[Plan]]&lt;&gt;0,DB_STProjectsSOF[[#This Row],[Actual]]/DB_STProjectsSOF[[#This Row],[Plan]],1.000011000011)</f>
        <v>1.0000110000110001</v>
      </c>
      <c r="AI458" s="34">
        <f>SUM(DB_STProjectsSOF[[#This Row],[Plan01]:[Plan12]])/valUnits2</f>
        <v>0</v>
      </c>
      <c r="AJ458" s="34">
        <f>SUMPRODUCT(DB_STProjectsSOF[[#This Row],[Act01]:[Act12]],$P$3:$AA$3)/valUnits2</f>
        <v>1E-4</v>
      </c>
      <c r="AK458" s="34">
        <f>IF(DB_STProjectsSOF[[#This Row],[FY Plan]]&lt;&gt;0,DB_STProjectsSOF[[#This Row],[FY Actuals]]/DB_STProjectsSOF[[#This Row],[FY Plan]],1.000011000011)</f>
        <v>1.0000110000110001</v>
      </c>
    </row>
    <row r="459" spans="1:37" hidden="1" x14ac:dyDescent="0.2">
      <c r="A459">
        <f>SUBTOTAL(3,$B$6:B459)</f>
        <v>0</v>
      </c>
      <c r="B459" t="s">
        <v>964</v>
      </c>
      <c r="C459" t="s">
        <v>368</v>
      </c>
      <c r="D459">
        <v>26.3</v>
      </c>
      <c r="P459">
        <v>26.3</v>
      </c>
      <c r="AB459" s="164">
        <v>41000</v>
      </c>
      <c r="AC459" s="164">
        <v>41820</v>
      </c>
      <c r="AD459" s="164">
        <v>41517</v>
      </c>
      <c r="AE459" s="34">
        <f>SUMPRODUCT(DB_STProjectsSOF[[#This Row],[Plan01]:[Plan12]],$D$4:$O$4)/valUnits2</f>
        <v>2.63E-2</v>
      </c>
      <c r="AF459" s="34">
        <f>SUMPRODUCT(DB_STProjectsSOF[[#This Row],[Act01]:[Act12]],$P$4:$AA$4)/valUnits2</f>
        <v>2.63E-2</v>
      </c>
      <c r="AG459" s="34">
        <f>DB_STProjectsSOF[[#This Row],[Actual]]-DB_STProjectsSOF[[#This Row],[Plan]]</f>
        <v>0</v>
      </c>
      <c r="AH459" s="34">
        <f>IF(DB_STProjectsSOF[[#This Row],[Plan]]&lt;&gt;0,DB_STProjectsSOF[[#This Row],[Actual]]/DB_STProjectsSOF[[#This Row],[Plan]],1.000011000011)</f>
        <v>1</v>
      </c>
      <c r="AI459" s="34">
        <f>SUM(DB_STProjectsSOF[[#This Row],[Plan01]:[Plan12]])/valUnits2</f>
        <v>2.63E-2</v>
      </c>
      <c r="AJ459" s="34">
        <f>SUMPRODUCT(DB_STProjectsSOF[[#This Row],[Act01]:[Act12]],$P$3:$AA$3)/valUnits2</f>
        <v>2.63E-2</v>
      </c>
      <c r="AK459" s="34">
        <f>IF(DB_STProjectsSOF[[#This Row],[FY Plan]]&lt;&gt;0,DB_STProjectsSOF[[#This Row],[FY Actuals]]/DB_STProjectsSOF[[#This Row],[FY Plan]],1.000011000011)</f>
        <v>1</v>
      </c>
    </row>
    <row r="460" spans="1:37" hidden="1" x14ac:dyDescent="0.2">
      <c r="A460">
        <f>SUBTOTAL(3,$B$6:B460)</f>
        <v>0</v>
      </c>
      <c r="B460" t="s">
        <v>964</v>
      </c>
      <c r="C460" t="s">
        <v>913</v>
      </c>
      <c r="G460">
        <v>1305.654</v>
      </c>
      <c r="H460">
        <v>5367.0060000000003</v>
      </c>
      <c r="I460">
        <v>0</v>
      </c>
      <c r="S460">
        <v>1298.21</v>
      </c>
      <c r="T460">
        <v>5395.34</v>
      </c>
      <c r="U460">
        <v>1436.29</v>
      </c>
      <c r="AB460" s="164">
        <v>40817</v>
      </c>
      <c r="AC460" s="164">
        <v>41639</v>
      </c>
      <c r="AD460" s="164">
        <v>41685</v>
      </c>
      <c r="AE460" s="34">
        <f>SUMPRODUCT(DB_STProjectsSOF[[#This Row],[Plan01]:[Plan12]],$D$4:$O$4)/valUnits2</f>
        <v>6.6726599999999996</v>
      </c>
      <c r="AF460" s="34">
        <f>SUMPRODUCT(DB_STProjectsSOF[[#This Row],[Act01]:[Act12]],$P$4:$AA$4)/valUnits2</f>
        <v>8.1298399999999997</v>
      </c>
      <c r="AG460" s="34">
        <f>DB_STProjectsSOF[[#This Row],[Actual]]-DB_STProjectsSOF[[#This Row],[Plan]]</f>
        <v>1.4571800000000001</v>
      </c>
      <c r="AH460" s="34">
        <f>IF(DB_STProjectsSOF[[#This Row],[Plan]]&lt;&gt;0,DB_STProjectsSOF[[#This Row],[Actual]]/DB_STProjectsSOF[[#This Row],[Plan]],1.000011000011)</f>
        <v>1.2183806757724807</v>
      </c>
      <c r="AI460" s="34">
        <f>SUM(DB_STProjectsSOF[[#This Row],[Plan01]:[Plan12]])/valUnits2</f>
        <v>6.6726599999999996</v>
      </c>
      <c r="AJ460" s="34">
        <f>SUMPRODUCT(DB_STProjectsSOF[[#This Row],[Act01]:[Act12]],$P$3:$AA$3)/valUnits2</f>
        <v>8.1298399999999997</v>
      </c>
      <c r="AK460" s="34">
        <f>IF(DB_STProjectsSOF[[#This Row],[FY Plan]]&lt;&gt;0,DB_STProjectsSOF[[#This Row],[FY Actuals]]/DB_STProjectsSOF[[#This Row],[FY Plan]],1.000011000011)</f>
        <v>1.2183806757724807</v>
      </c>
    </row>
    <row r="461" spans="1:37" hidden="1" x14ac:dyDescent="0.2">
      <c r="A461">
        <f>SUBTOTAL(3,$B$6:B461)</f>
        <v>0</v>
      </c>
      <c r="B461" t="s">
        <v>990</v>
      </c>
      <c r="C461" t="s">
        <v>858</v>
      </c>
      <c r="H461">
        <v>73.17</v>
      </c>
      <c r="T461">
        <v>73.17</v>
      </c>
      <c r="AB461" s="164">
        <v>41275</v>
      </c>
      <c r="AC461" s="164">
        <v>41639</v>
      </c>
      <c r="AD461" s="164">
        <v>41784</v>
      </c>
      <c r="AE461" s="34">
        <f>SUMPRODUCT(DB_STProjectsSOF[[#This Row],[Plan01]:[Plan12]],$D$4:$O$4)/valUnits2</f>
        <v>7.3169999999999999E-2</v>
      </c>
      <c r="AF461" s="34">
        <f>SUMPRODUCT(DB_STProjectsSOF[[#This Row],[Act01]:[Act12]],$P$4:$AA$4)/valUnits2</f>
        <v>7.3169999999999999E-2</v>
      </c>
      <c r="AG461" s="34">
        <f>DB_STProjectsSOF[[#This Row],[Actual]]-DB_STProjectsSOF[[#This Row],[Plan]]</f>
        <v>0</v>
      </c>
      <c r="AH461" s="34">
        <f>IF(DB_STProjectsSOF[[#This Row],[Plan]]&lt;&gt;0,DB_STProjectsSOF[[#This Row],[Actual]]/DB_STProjectsSOF[[#This Row],[Plan]],1.000011000011)</f>
        <v>1</v>
      </c>
      <c r="AI461" s="34">
        <f>SUM(DB_STProjectsSOF[[#This Row],[Plan01]:[Plan12]])/valUnits2</f>
        <v>7.3169999999999999E-2</v>
      </c>
      <c r="AJ461" s="34">
        <f>SUMPRODUCT(DB_STProjectsSOF[[#This Row],[Act01]:[Act12]],$P$3:$AA$3)/valUnits2</f>
        <v>7.3169999999999999E-2</v>
      </c>
      <c r="AK461" s="34">
        <f>IF(DB_STProjectsSOF[[#This Row],[FY Plan]]&lt;&gt;0,DB_STProjectsSOF[[#This Row],[FY Actuals]]/DB_STProjectsSOF[[#This Row],[FY Plan]],1.000011000011)</f>
        <v>1</v>
      </c>
    </row>
    <row r="462" spans="1:37" hidden="1" x14ac:dyDescent="0.2">
      <c r="A462">
        <f>SUBTOTAL(3,$B$6:B462)</f>
        <v>0</v>
      </c>
      <c r="B462" t="s">
        <v>990</v>
      </c>
      <c r="C462" t="s">
        <v>874</v>
      </c>
      <c r="F462">
        <v>14.179</v>
      </c>
      <c r="G462">
        <v>6.15</v>
      </c>
      <c r="H462">
        <v>20.295999999999999</v>
      </c>
      <c r="R462">
        <v>14.23</v>
      </c>
      <c r="S462">
        <v>6.03</v>
      </c>
      <c r="T462">
        <v>20.13</v>
      </c>
      <c r="AB462" s="164">
        <v>40879</v>
      </c>
      <c r="AC462" s="164">
        <v>43071</v>
      </c>
      <c r="AD462" s="164">
        <v>43161</v>
      </c>
      <c r="AE462" s="34">
        <f>SUMPRODUCT(DB_STProjectsSOF[[#This Row],[Plan01]:[Plan12]],$D$4:$O$4)/valUnits2</f>
        <v>4.0625000000000001E-2</v>
      </c>
      <c r="AF462" s="34">
        <f>SUMPRODUCT(DB_STProjectsSOF[[#This Row],[Act01]:[Act12]],$P$4:$AA$4)/valUnits2</f>
        <v>4.0390000000000002E-2</v>
      </c>
      <c r="AG462" s="34">
        <f>DB_STProjectsSOF[[#This Row],[Actual]]-DB_STProjectsSOF[[#This Row],[Plan]]</f>
        <v>-2.349999999999991E-4</v>
      </c>
      <c r="AH462" s="34">
        <f>IF(DB_STProjectsSOF[[#This Row],[Plan]]&lt;&gt;0,DB_STProjectsSOF[[#This Row],[Actual]]/DB_STProjectsSOF[[#This Row],[Plan]],1.000011000011)</f>
        <v>0.99421538461538461</v>
      </c>
      <c r="AI462" s="34">
        <f>SUM(DB_STProjectsSOF[[#This Row],[Plan01]:[Plan12]])/valUnits2</f>
        <v>4.0625000000000001E-2</v>
      </c>
      <c r="AJ462" s="34">
        <f>SUMPRODUCT(DB_STProjectsSOF[[#This Row],[Act01]:[Act12]],$P$3:$AA$3)/valUnits2</f>
        <v>4.0390000000000002E-2</v>
      </c>
      <c r="AK462" s="34">
        <f>IF(DB_STProjectsSOF[[#This Row],[FY Plan]]&lt;&gt;0,DB_STProjectsSOF[[#This Row],[FY Actuals]]/DB_STProjectsSOF[[#This Row],[FY Plan]],1.000011000011)</f>
        <v>0.99421538461538461</v>
      </c>
    </row>
    <row r="463" spans="1:37" hidden="1" x14ac:dyDescent="0.2">
      <c r="A463">
        <f>SUBTOTAL(3,$B$6:B463)</f>
        <v>0</v>
      </c>
      <c r="B463" t="s">
        <v>990</v>
      </c>
      <c r="C463" t="s">
        <v>881</v>
      </c>
      <c r="H463">
        <v>65.989999999999995</v>
      </c>
      <c r="T463">
        <v>65.990000000000009</v>
      </c>
      <c r="AB463" s="164">
        <v>41275</v>
      </c>
      <c r="AC463" s="164">
        <v>41639</v>
      </c>
      <c r="AD463" s="164">
        <v>41685</v>
      </c>
      <c r="AE463" s="34">
        <f>SUMPRODUCT(DB_STProjectsSOF[[#This Row],[Plan01]:[Plan12]],$D$4:$O$4)/valUnits2</f>
        <v>6.5989999999999993E-2</v>
      </c>
      <c r="AF463" s="34">
        <f>SUMPRODUCT(DB_STProjectsSOF[[#This Row],[Act01]:[Act12]],$P$4:$AA$4)/valUnits2</f>
        <v>6.5990000000000007E-2</v>
      </c>
      <c r="AG463" s="34">
        <f>DB_STProjectsSOF[[#This Row],[Actual]]-DB_STProjectsSOF[[#This Row],[Plan]]</f>
        <v>0</v>
      </c>
      <c r="AH463" s="34">
        <f>IF(DB_STProjectsSOF[[#This Row],[Plan]]&lt;&gt;0,DB_STProjectsSOF[[#This Row],[Actual]]/DB_STProjectsSOF[[#This Row],[Plan]],1.000011000011)</f>
        <v>1.0000000000000002</v>
      </c>
      <c r="AI463" s="34">
        <f>SUM(DB_STProjectsSOF[[#This Row],[Plan01]:[Plan12]])/valUnits2</f>
        <v>6.5989999999999993E-2</v>
      </c>
      <c r="AJ463" s="34">
        <f>SUMPRODUCT(DB_STProjectsSOF[[#This Row],[Act01]:[Act12]],$P$3:$AA$3)/valUnits2</f>
        <v>6.5990000000000007E-2</v>
      </c>
      <c r="AK463" s="34">
        <f>IF(DB_STProjectsSOF[[#This Row],[FY Plan]]&lt;&gt;0,DB_STProjectsSOF[[#This Row],[FY Actuals]]/DB_STProjectsSOF[[#This Row],[FY Plan]],1.000011000011)</f>
        <v>1.0000000000000002</v>
      </c>
    </row>
    <row r="464" spans="1:37" hidden="1" x14ac:dyDescent="0.2">
      <c r="A464">
        <f>SUBTOTAL(3,$B$6:B464)</f>
        <v>0</v>
      </c>
      <c r="B464" t="s">
        <v>990</v>
      </c>
      <c r="C464" t="s">
        <v>884</v>
      </c>
      <c r="D464">
        <v>4166.6670000000004</v>
      </c>
      <c r="E464">
        <v>4166.6670000000004</v>
      </c>
      <c r="F464">
        <v>4166.6670000000004</v>
      </c>
      <c r="G464">
        <v>4166.6670000000004</v>
      </c>
      <c r="H464">
        <v>4166.6670000000004</v>
      </c>
      <c r="I464">
        <v>4166.6670000000004</v>
      </c>
      <c r="J464">
        <v>4166.6670000000004</v>
      </c>
      <c r="K464">
        <v>4166.6670000000004</v>
      </c>
      <c r="L464">
        <v>4166.6670000000004</v>
      </c>
      <c r="M464">
        <v>4166.6670000000004</v>
      </c>
      <c r="N464">
        <v>4166.6670000000004</v>
      </c>
      <c r="O464">
        <v>4166.6670000000004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s="164">
        <v>40909</v>
      </c>
      <c r="AC464" s="164">
        <v>41274</v>
      </c>
      <c r="AD464" s="164">
        <v>41364</v>
      </c>
      <c r="AE464" s="34">
        <f>SUMPRODUCT(DB_STProjectsSOF[[#This Row],[Plan01]:[Plan12]],$D$4:$O$4)/valUnits2</f>
        <v>25.000002000000006</v>
      </c>
      <c r="AF464" s="34">
        <f>SUMPRODUCT(DB_STProjectsSOF[[#This Row],[Act01]:[Act12]],$P$4:$AA$4)/valUnits2</f>
        <v>0</v>
      </c>
      <c r="AG464" s="34">
        <f>DB_STProjectsSOF[[#This Row],[Actual]]-DB_STProjectsSOF[[#This Row],[Plan]]</f>
        <v>-25.000002000000006</v>
      </c>
      <c r="AH464" s="34">
        <f>IF(DB_STProjectsSOF[[#This Row],[Plan]]&lt;&gt;0,DB_STProjectsSOF[[#This Row],[Actual]]/DB_STProjectsSOF[[#This Row],[Plan]],1.000011000011)</f>
        <v>0</v>
      </c>
      <c r="AI464" s="34">
        <f>SUM(DB_STProjectsSOF[[#This Row],[Plan01]:[Plan12]])/valUnits2</f>
        <v>50.000004000000011</v>
      </c>
      <c r="AJ464" s="34">
        <f>SUMPRODUCT(DB_STProjectsSOF[[#This Row],[Act01]:[Act12]],$P$3:$AA$3)/valUnits2</f>
        <v>0</v>
      </c>
      <c r="AK464" s="34">
        <f>IF(DB_STProjectsSOF[[#This Row],[FY Plan]]&lt;&gt;0,DB_STProjectsSOF[[#This Row],[FY Actuals]]/DB_STProjectsSOF[[#This Row],[FY Plan]],1.000011000011)</f>
        <v>0</v>
      </c>
    </row>
    <row r="465" spans="1:37" hidden="1" x14ac:dyDescent="0.2">
      <c r="A465">
        <f>SUBTOTAL(3,$B$6:B465)</f>
        <v>0</v>
      </c>
      <c r="B465" t="s">
        <v>990</v>
      </c>
      <c r="C465" t="s">
        <v>896</v>
      </c>
      <c r="E465">
        <v>25.175000000000001</v>
      </c>
      <c r="F465">
        <v>16.41</v>
      </c>
      <c r="Q465">
        <v>25.17</v>
      </c>
      <c r="R465">
        <v>16.29</v>
      </c>
      <c r="AB465" s="164">
        <v>40817</v>
      </c>
      <c r="AC465" s="164">
        <v>41639</v>
      </c>
      <c r="AD465" s="164">
        <v>41820</v>
      </c>
      <c r="AE465" s="34">
        <f>SUMPRODUCT(DB_STProjectsSOF[[#This Row],[Plan01]:[Plan12]],$D$4:$O$4)/valUnits2</f>
        <v>4.1585000000000004E-2</v>
      </c>
      <c r="AF465" s="34">
        <f>SUMPRODUCT(DB_STProjectsSOF[[#This Row],[Act01]:[Act12]],$P$4:$AA$4)/valUnits2</f>
        <v>4.1460000000000004E-2</v>
      </c>
      <c r="AG465" s="34">
        <f>DB_STProjectsSOF[[#This Row],[Actual]]-DB_STProjectsSOF[[#This Row],[Plan]]</f>
        <v>-1.2500000000000011E-4</v>
      </c>
      <c r="AH465" s="34">
        <f>IF(DB_STProjectsSOF[[#This Row],[Plan]]&lt;&gt;0,DB_STProjectsSOF[[#This Row],[Actual]]/DB_STProjectsSOF[[#This Row],[Plan]],1.000011000011)</f>
        <v>0.99699410845256697</v>
      </c>
      <c r="AI465" s="34">
        <f>SUM(DB_STProjectsSOF[[#This Row],[Plan01]:[Plan12]])/valUnits2</f>
        <v>4.1585000000000004E-2</v>
      </c>
      <c r="AJ465" s="34">
        <f>SUMPRODUCT(DB_STProjectsSOF[[#This Row],[Act01]:[Act12]],$P$3:$AA$3)/valUnits2</f>
        <v>4.1460000000000004E-2</v>
      </c>
      <c r="AK465" s="34">
        <f>IF(DB_STProjectsSOF[[#This Row],[FY Plan]]&lt;&gt;0,DB_STProjectsSOF[[#This Row],[FY Actuals]]/DB_STProjectsSOF[[#This Row],[FY Plan]],1.000011000011)</f>
        <v>0.99699410845256697</v>
      </c>
    </row>
    <row r="466" spans="1:37" hidden="1" x14ac:dyDescent="0.2">
      <c r="A466">
        <f>SUBTOTAL(3,$B$6:B466)</f>
        <v>0</v>
      </c>
      <c r="B466" t="s">
        <v>990</v>
      </c>
      <c r="C466" t="s">
        <v>909</v>
      </c>
      <c r="D466">
        <v>50.44</v>
      </c>
      <c r="E466">
        <v>7.6</v>
      </c>
      <c r="P466">
        <v>50.44</v>
      </c>
      <c r="Q466">
        <v>7.6</v>
      </c>
      <c r="AB466" s="164">
        <v>40817</v>
      </c>
      <c r="AC466" s="164">
        <v>42155</v>
      </c>
      <c r="AD466" s="164">
        <v>42217</v>
      </c>
      <c r="AE466" s="34">
        <f>SUMPRODUCT(DB_STProjectsSOF[[#This Row],[Plan01]:[Plan12]],$D$4:$O$4)/valUnits2</f>
        <v>5.8040000000000001E-2</v>
      </c>
      <c r="AF466" s="34">
        <f>SUMPRODUCT(DB_STProjectsSOF[[#This Row],[Act01]:[Act12]],$P$4:$AA$4)/valUnits2</f>
        <v>5.8040000000000001E-2</v>
      </c>
      <c r="AG466" s="34">
        <f>DB_STProjectsSOF[[#This Row],[Actual]]-DB_STProjectsSOF[[#This Row],[Plan]]</f>
        <v>0</v>
      </c>
      <c r="AH466" s="34">
        <f>IF(DB_STProjectsSOF[[#This Row],[Plan]]&lt;&gt;0,DB_STProjectsSOF[[#This Row],[Actual]]/DB_STProjectsSOF[[#This Row],[Plan]],1.000011000011)</f>
        <v>1</v>
      </c>
      <c r="AI466" s="34">
        <f>SUM(DB_STProjectsSOF[[#This Row],[Plan01]:[Plan12]])/valUnits2</f>
        <v>5.8040000000000001E-2</v>
      </c>
      <c r="AJ466" s="34">
        <f>SUMPRODUCT(DB_STProjectsSOF[[#This Row],[Act01]:[Act12]],$P$3:$AA$3)/valUnits2</f>
        <v>5.8040000000000001E-2</v>
      </c>
      <c r="AK466" s="34">
        <f>IF(DB_STProjectsSOF[[#This Row],[FY Plan]]&lt;&gt;0,DB_STProjectsSOF[[#This Row],[FY Actuals]]/DB_STProjectsSOF[[#This Row],[FY Plan]],1.000011000011)</f>
        <v>1</v>
      </c>
    </row>
    <row r="467" spans="1:37" hidden="1" x14ac:dyDescent="0.2">
      <c r="A467">
        <f>SUBTOTAL(3,$B$6:B467)</f>
        <v>0</v>
      </c>
      <c r="B467" t="s">
        <v>990</v>
      </c>
      <c r="C467" t="s">
        <v>913</v>
      </c>
      <c r="F467">
        <v>11.228999999999999</v>
      </c>
      <c r="R467">
        <v>11.45</v>
      </c>
      <c r="AB467" s="164">
        <v>40817</v>
      </c>
      <c r="AC467" s="164">
        <v>41639</v>
      </c>
      <c r="AD467" s="164">
        <v>41685</v>
      </c>
      <c r="AE467" s="34">
        <f>SUMPRODUCT(DB_STProjectsSOF[[#This Row],[Plan01]:[Plan12]],$D$4:$O$4)/valUnits2</f>
        <v>1.1228999999999999E-2</v>
      </c>
      <c r="AF467" s="34">
        <f>SUMPRODUCT(DB_STProjectsSOF[[#This Row],[Act01]:[Act12]],$P$4:$AA$4)/valUnits2</f>
        <v>1.145E-2</v>
      </c>
      <c r="AG467" s="34">
        <f>DB_STProjectsSOF[[#This Row],[Actual]]-DB_STProjectsSOF[[#This Row],[Plan]]</f>
        <v>2.2100000000000071E-4</v>
      </c>
      <c r="AH467" s="34">
        <f>IF(DB_STProjectsSOF[[#This Row],[Plan]]&lt;&gt;0,DB_STProjectsSOF[[#This Row],[Actual]]/DB_STProjectsSOF[[#This Row],[Plan]],1.000011000011)</f>
        <v>1.0196811826520618</v>
      </c>
      <c r="AI467" s="34">
        <f>SUM(DB_STProjectsSOF[[#This Row],[Plan01]:[Plan12]])/valUnits2</f>
        <v>1.1228999999999999E-2</v>
      </c>
      <c r="AJ467" s="34">
        <f>SUMPRODUCT(DB_STProjectsSOF[[#This Row],[Act01]:[Act12]],$P$3:$AA$3)/valUnits2</f>
        <v>1.145E-2</v>
      </c>
      <c r="AK467" s="34">
        <f>IF(DB_STProjectsSOF[[#This Row],[FY Plan]]&lt;&gt;0,DB_STProjectsSOF[[#This Row],[FY Actuals]]/DB_STProjectsSOF[[#This Row],[FY Plan]],1.000011000011)</f>
        <v>1.0196811826520618</v>
      </c>
    </row>
    <row r="468" spans="1:37" hidden="1" x14ac:dyDescent="0.2">
      <c r="A468">
        <f>SUBTOTAL(3,$B$6:B468)</f>
        <v>0</v>
      </c>
      <c r="B468" t="s">
        <v>990</v>
      </c>
      <c r="C468" t="s">
        <v>919</v>
      </c>
      <c r="G468">
        <v>202.42</v>
      </c>
      <c r="H468">
        <v>133.62100000000001</v>
      </c>
      <c r="S468">
        <v>198.5</v>
      </c>
      <c r="T468">
        <v>132</v>
      </c>
      <c r="AB468" s="164">
        <v>40878</v>
      </c>
      <c r="AC468" s="164">
        <v>42794</v>
      </c>
      <c r="AD468" s="164">
        <v>42978</v>
      </c>
      <c r="AE468" s="34">
        <f>SUMPRODUCT(DB_STProjectsSOF[[#This Row],[Plan01]:[Plan12]],$D$4:$O$4)/valUnits2</f>
        <v>0.33604099999999998</v>
      </c>
      <c r="AF468" s="34">
        <f>SUMPRODUCT(DB_STProjectsSOF[[#This Row],[Act01]:[Act12]],$P$4:$AA$4)/valUnits2</f>
        <v>0.33050000000000002</v>
      </c>
      <c r="AG468" s="34">
        <f>DB_STProjectsSOF[[#This Row],[Actual]]-DB_STProjectsSOF[[#This Row],[Plan]]</f>
        <v>-5.5409999999999626E-3</v>
      </c>
      <c r="AH468" s="34">
        <f>IF(DB_STProjectsSOF[[#This Row],[Plan]]&lt;&gt;0,DB_STProjectsSOF[[#This Row],[Actual]]/DB_STProjectsSOF[[#This Row],[Plan]],1.000011000011)</f>
        <v>0.98351094062926858</v>
      </c>
      <c r="AI468" s="34">
        <f>SUM(DB_STProjectsSOF[[#This Row],[Plan01]:[Plan12]])/valUnits2</f>
        <v>0.33604099999999998</v>
      </c>
      <c r="AJ468" s="34">
        <f>SUMPRODUCT(DB_STProjectsSOF[[#This Row],[Act01]:[Act12]],$P$3:$AA$3)/valUnits2</f>
        <v>0.33050000000000002</v>
      </c>
      <c r="AK468" s="34">
        <f>IF(DB_STProjectsSOF[[#This Row],[FY Plan]]&lt;&gt;0,DB_STProjectsSOF[[#This Row],[FY Actuals]]/DB_STProjectsSOF[[#This Row],[FY Plan]],1.000011000011)</f>
        <v>0.98351094062926858</v>
      </c>
    </row>
    <row r="469" spans="1:37" hidden="1" x14ac:dyDescent="0.2">
      <c r="A469">
        <f>SUBTOTAL(3,$B$6:B469)</f>
        <v>0</v>
      </c>
      <c r="B469" t="s">
        <v>990</v>
      </c>
      <c r="C469" t="s">
        <v>927</v>
      </c>
      <c r="H469">
        <v>66.010000000000005</v>
      </c>
      <c r="T469">
        <v>66.010000000000005</v>
      </c>
      <c r="AB469" s="164">
        <v>40817</v>
      </c>
      <c r="AC469" s="164">
        <v>42052</v>
      </c>
      <c r="AD469" s="164">
        <v>42141</v>
      </c>
      <c r="AE469" s="34">
        <f>SUMPRODUCT(DB_STProjectsSOF[[#This Row],[Plan01]:[Plan12]],$D$4:$O$4)/valUnits2</f>
        <v>6.6009999999999999E-2</v>
      </c>
      <c r="AF469" s="34">
        <f>SUMPRODUCT(DB_STProjectsSOF[[#This Row],[Act01]:[Act12]],$P$4:$AA$4)/valUnits2</f>
        <v>6.6009999999999999E-2</v>
      </c>
      <c r="AG469" s="34">
        <f>DB_STProjectsSOF[[#This Row],[Actual]]-DB_STProjectsSOF[[#This Row],[Plan]]</f>
        <v>0</v>
      </c>
      <c r="AH469" s="34">
        <f>IF(DB_STProjectsSOF[[#This Row],[Plan]]&lt;&gt;0,DB_STProjectsSOF[[#This Row],[Actual]]/DB_STProjectsSOF[[#This Row],[Plan]],1.000011000011)</f>
        <v>1</v>
      </c>
      <c r="AI469" s="34">
        <f>SUM(DB_STProjectsSOF[[#This Row],[Plan01]:[Plan12]])/valUnits2</f>
        <v>6.6009999999999999E-2</v>
      </c>
      <c r="AJ469" s="34">
        <f>SUMPRODUCT(DB_STProjectsSOF[[#This Row],[Act01]:[Act12]],$P$3:$AA$3)/valUnits2</f>
        <v>6.6009999999999999E-2</v>
      </c>
      <c r="AK469" s="34">
        <f>IF(DB_STProjectsSOF[[#This Row],[FY Plan]]&lt;&gt;0,DB_STProjectsSOF[[#This Row],[FY Actuals]]/DB_STProjectsSOF[[#This Row],[FY Plan]],1.000011000011)</f>
        <v>1</v>
      </c>
    </row>
    <row r="470" spans="1:37" hidden="1" x14ac:dyDescent="0.2">
      <c r="A470">
        <f>SUBTOTAL(3,$B$6:B470)</f>
        <v>0</v>
      </c>
      <c r="B470" t="s">
        <v>977</v>
      </c>
      <c r="C470" t="s">
        <v>873</v>
      </c>
      <c r="F470">
        <v>-34974.351000000002</v>
      </c>
      <c r="R470">
        <v>-34749.879999999997</v>
      </c>
      <c r="AB470" s="164"/>
      <c r="AC470" s="164"/>
      <c r="AD470" s="164"/>
      <c r="AE470" s="34">
        <f>SUMPRODUCT(DB_STProjectsSOF[[#This Row],[Plan01]:[Plan12]],$D$4:$O$4)/valUnits2</f>
        <v>-34.974351000000006</v>
      </c>
      <c r="AF470" s="34">
        <f>SUMPRODUCT(DB_STProjectsSOF[[#This Row],[Act01]:[Act12]],$P$4:$AA$4)/valUnits2</f>
        <v>-34.749879999999997</v>
      </c>
      <c r="AG470" s="34">
        <f>DB_STProjectsSOF[[#This Row],[Actual]]-DB_STProjectsSOF[[#This Row],[Plan]]</f>
        <v>0.2244710000000083</v>
      </c>
      <c r="AH470" s="34">
        <f>IF(DB_STProjectsSOF[[#This Row],[Plan]]&lt;&gt;0,DB_STProjectsSOF[[#This Row],[Actual]]/DB_STProjectsSOF[[#This Row],[Plan]],1.000011000011)</f>
        <v>0.99358183944571243</v>
      </c>
      <c r="AI470" s="34">
        <f>SUM(DB_STProjectsSOF[[#This Row],[Plan01]:[Plan12]])/valUnits2</f>
        <v>-34.974351000000006</v>
      </c>
      <c r="AJ470" s="34">
        <f>SUMPRODUCT(DB_STProjectsSOF[[#This Row],[Act01]:[Act12]],$P$3:$AA$3)/valUnits2</f>
        <v>-34.749879999999997</v>
      </c>
      <c r="AK470" s="34">
        <f>IF(DB_STProjectsSOF[[#This Row],[FY Plan]]&lt;&gt;0,DB_STProjectsSOF[[#This Row],[FY Actuals]]/DB_STProjectsSOF[[#This Row],[FY Plan]],1.000011000011)</f>
        <v>0.99358183944571243</v>
      </c>
    </row>
    <row r="471" spans="1:37" hidden="1" x14ac:dyDescent="0.2">
      <c r="A471">
        <f>SUBTOTAL(3,$B$6:B471)</f>
        <v>0</v>
      </c>
      <c r="B471" t="s">
        <v>938</v>
      </c>
      <c r="C471" t="s">
        <v>357</v>
      </c>
      <c r="D471">
        <v>866.66</v>
      </c>
      <c r="E471">
        <v>949.6799999999995</v>
      </c>
      <c r="F471">
        <v>39692.370000000003</v>
      </c>
      <c r="G471">
        <v>925.32</v>
      </c>
      <c r="H471">
        <v>5159.9799999999996</v>
      </c>
      <c r="I471">
        <v>5297.402</v>
      </c>
      <c r="J471">
        <v>0</v>
      </c>
      <c r="P471">
        <v>866.66</v>
      </c>
      <c r="Q471">
        <v>949.67999999999938</v>
      </c>
      <c r="R471">
        <v>39692.370000000003</v>
      </c>
      <c r="S471">
        <v>925.32</v>
      </c>
      <c r="T471">
        <v>5159.9799999999996</v>
      </c>
      <c r="U471">
        <v>63372.459999999992</v>
      </c>
      <c r="V471">
        <v>-3.19</v>
      </c>
      <c r="AB471" s="164">
        <v>40817</v>
      </c>
      <c r="AC471" s="164">
        <v>41455</v>
      </c>
      <c r="AD471" s="164">
        <v>41517</v>
      </c>
      <c r="AE471" s="34">
        <f>SUMPRODUCT(DB_STProjectsSOF[[#This Row],[Plan01]:[Plan12]],$D$4:$O$4)/valUnits2</f>
        <v>52.891411999999995</v>
      </c>
      <c r="AF471" s="34">
        <f>SUMPRODUCT(DB_STProjectsSOF[[#This Row],[Act01]:[Act12]],$P$4:$AA$4)/valUnits2</f>
        <v>110.96646999999999</v>
      </c>
      <c r="AG471" s="34">
        <f>DB_STProjectsSOF[[#This Row],[Actual]]-DB_STProjectsSOF[[#This Row],[Plan]]</f>
        <v>58.075057999999991</v>
      </c>
      <c r="AH471" s="34">
        <f>IF(DB_STProjectsSOF[[#This Row],[Plan]]&lt;&gt;0,DB_STProjectsSOF[[#This Row],[Actual]]/DB_STProjectsSOF[[#This Row],[Plan]],1.000011000011)</f>
        <v>2.0980054380094826</v>
      </c>
      <c r="AI471" s="34">
        <f>SUM(DB_STProjectsSOF[[#This Row],[Plan01]:[Plan12]])/valUnits2</f>
        <v>52.891411999999995</v>
      </c>
      <c r="AJ471" s="34">
        <f>SUMPRODUCT(DB_STProjectsSOF[[#This Row],[Act01]:[Act12]],$P$3:$AA$3)/valUnits2</f>
        <v>110.96646999999999</v>
      </c>
      <c r="AK471" s="34">
        <f>IF(DB_STProjectsSOF[[#This Row],[FY Plan]]&lt;&gt;0,DB_STProjectsSOF[[#This Row],[FY Actuals]]/DB_STProjectsSOF[[#This Row],[FY Plan]],1.000011000011)</f>
        <v>2.0980054380094826</v>
      </c>
    </row>
    <row r="472" spans="1:37" hidden="1" x14ac:dyDescent="0.2">
      <c r="A472">
        <f>SUBTOTAL(3,$B$6:B472)</f>
        <v>0</v>
      </c>
      <c r="B472" t="s">
        <v>938</v>
      </c>
      <c r="C472" t="s">
        <v>846</v>
      </c>
      <c r="D472">
        <v>10113.969999999999</v>
      </c>
      <c r="E472">
        <v>86.5</v>
      </c>
      <c r="F472">
        <v>79.169999999999945</v>
      </c>
      <c r="G472">
        <v>2765.04</v>
      </c>
      <c r="H472">
        <v>2810.61</v>
      </c>
      <c r="I472">
        <v>4089.3270000000002</v>
      </c>
      <c r="J472">
        <v>4089.3270000000002</v>
      </c>
      <c r="K472">
        <v>4089.3270000000002</v>
      </c>
      <c r="L472">
        <v>4089.3270000000002</v>
      </c>
      <c r="M472">
        <v>4089.3270000000002</v>
      </c>
      <c r="N472">
        <v>4089.3270000000002</v>
      </c>
      <c r="O472">
        <v>4089.3270000000002</v>
      </c>
      <c r="P472">
        <v>10113.969999999999</v>
      </c>
      <c r="Q472">
        <v>86.5</v>
      </c>
      <c r="R472">
        <v>79.169999999999931</v>
      </c>
      <c r="S472">
        <v>2765.0400000000004</v>
      </c>
      <c r="T472">
        <v>2810.61</v>
      </c>
      <c r="U472">
        <v>2630.05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s="164">
        <v>40817</v>
      </c>
      <c r="AC472" s="164">
        <v>41599</v>
      </c>
      <c r="AD472" s="164">
        <v>41305</v>
      </c>
      <c r="AE472" s="34">
        <f>SUMPRODUCT(DB_STProjectsSOF[[#This Row],[Plan01]:[Plan12]],$D$4:$O$4)/valUnits2</f>
        <v>19.944617000000001</v>
      </c>
      <c r="AF472" s="34">
        <f>SUMPRODUCT(DB_STProjectsSOF[[#This Row],[Act01]:[Act12]],$P$4:$AA$4)/valUnits2</f>
        <v>18.485340000000001</v>
      </c>
      <c r="AG472" s="34">
        <f>DB_STProjectsSOF[[#This Row],[Actual]]-DB_STProjectsSOF[[#This Row],[Plan]]</f>
        <v>-1.4592770000000002</v>
      </c>
      <c r="AH472" s="34">
        <f>IF(DB_STProjectsSOF[[#This Row],[Plan]]&lt;&gt;0,DB_STProjectsSOF[[#This Row],[Actual]]/DB_STProjectsSOF[[#This Row],[Plan]],1.000011000011)</f>
        <v>0.926833541100338</v>
      </c>
      <c r="AI472" s="34">
        <f>SUM(DB_STProjectsSOF[[#This Row],[Plan01]:[Plan12]])/valUnits2</f>
        <v>44.480578999999999</v>
      </c>
      <c r="AJ472" s="34">
        <f>SUMPRODUCT(DB_STProjectsSOF[[#This Row],[Act01]:[Act12]],$P$3:$AA$3)/valUnits2</f>
        <v>18.485340000000001</v>
      </c>
      <c r="AK472" s="34">
        <f>IF(DB_STProjectsSOF[[#This Row],[FY Plan]]&lt;&gt;0,DB_STProjectsSOF[[#This Row],[FY Actuals]]/DB_STProjectsSOF[[#This Row],[FY Plan]],1.000011000011)</f>
        <v>0.4155822701858265</v>
      </c>
    </row>
    <row r="473" spans="1:37" hidden="1" x14ac:dyDescent="0.2">
      <c r="A473">
        <f>SUBTOTAL(3,$B$6:B473)</f>
        <v>0</v>
      </c>
      <c r="B473" t="s">
        <v>938</v>
      </c>
      <c r="C473" t="s">
        <v>366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1356.4160000000002</v>
      </c>
      <c r="J473">
        <v>678.20900000000006</v>
      </c>
      <c r="K473">
        <v>1356.4160000000002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23634.82</v>
      </c>
      <c r="V473">
        <v>0</v>
      </c>
      <c r="W473">
        <v>0</v>
      </c>
      <c r="AB473" s="164">
        <v>41153</v>
      </c>
      <c r="AC473" s="164">
        <v>41517</v>
      </c>
      <c r="AD473" s="164">
        <v>41567</v>
      </c>
      <c r="AE473" s="34">
        <f>SUMPRODUCT(DB_STProjectsSOF[[#This Row],[Plan01]:[Plan12]],$D$4:$O$4)/valUnits2</f>
        <v>1.3564160000000001</v>
      </c>
      <c r="AF473" s="34">
        <f>SUMPRODUCT(DB_STProjectsSOF[[#This Row],[Act01]:[Act12]],$P$4:$AA$4)/valUnits2</f>
        <v>23.634820000000001</v>
      </c>
      <c r="AG473" s="34">
        <f>DB_STProjectsSOF[[#This Row],[Actual]]-DB_STProjectsSOF[[#This Row],[Plan]]</f>
        <v>22.278404000000002</v>
      </c>
      <c r="AH473" s="34">
        <f>IF(DB_STProjectsSOF[[#This Row],[Plan]]&lt;&gt;0,DB_STProjectsSOF[[#This Row],[Actual]]/DB_STProjectsSOF[[#This Row],[Plan]],1.000011000011)</f>
        <v>17.42446270170803</v>
      </c>
      <c r="AI473" s="34">
        <f>SUM(DB_STProjectsSOF[[#This Row],[Plan01]:[Plan12]])/valUnits2</f>
        <v>3.391041</v>
      </c>
      <c r="AJ473" s="34">
        <f>SUMPRODUCT(DB_STProjectsSOF[[#This Row],[Act01]:[Act12]],$P$3:$AA$3)/valUnits2</f>
        <v>23.634820000000001</v>
      </c>
      <c r="AK473" s="34">
        <f>IF(DB_STProjectsSOF[[#This Row],[FY Plan]]&lt;&gt;0,DB_STProjectsSOF[[#This Row],[FY Actuals]]/DB_STProjectsSOF[[#This Row],[FY Plan]],1.000011000011)</f>
        <v>6.9697830253305701</v>
      </c>
    </row>
    <row r="474" spans="1:37" hidden="1" x14ac:dyDescent="0.2">
      <c r="A474">
        <f>SUBTOTAL(3,$B$6:B474)</f>
        <v>0</v>
      </c>
      <c r="B474" t="s">
        <v>938</v>
      </c>
      <c r="C474" t="s">
        <v>863</v>
      </c>
      <c r="D474">
        <v>-2877.63</v>
      </c>
      <c r="E474">
        <v>168.67</v>
      </c>
      <c r="F474">
        <v>1033.82</v>
      </c>
      <c r="G474">
        <v>6467.68</v>
      </c>
      <c r="H474">
        <v>703.97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-2877.6300000000019</v>
      </c>
      <c r="Q474">
        <v>168.67</v>
      </c>
      <c r="R474">
        <v>1033.82</v>
      </c>
      <c r="S474">
        <v>6467.68</v>
      </c>
      <c r="T474">
        <v>703.97</v>
      </c>
      <c r="U474">
        <v>271.08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s="164">
        <v>40817</v>
      </c>
      <c r="AC474" s="164">
        <v>41365</v>
      </c>
      <c r="AD474" s="164">
        <v>41730</v>
      </c>
      <c r="AE474" s="34">
        <f>SUMPRODUCT(DB_STProjectsSOF[[#This Row],[Plan01]:[Plan12]],$D$4:$O$4)/valUnits2</f>
        <v>5.4965099999999998</v>
      </c>
      <c r="AF474" s="34">
        <f>SUMPRODUCT(DB_STProjectsSOF[[#This Row],[Act01]:[Act12]],$P$4:$AA$4)/valUnits2</f>
        <v>5.7675899999999984</v>
      </c>
      <c r="AG474" s="34">
        <f>DB_STProjectsSOF[[#This Row],[Actual]]-DB_STProjectsSOF[[#This Row],[Plan]]</f>
        <v>0.27107999999999866</v>
      </c>
      <c r="AH474" s="34">
        <f>IF(DB_STProjectsSOF[[#This Row],[Plan]]&lt;&gt;0,DB_STProjectsSOF[[#This Row],[Actual]]/DB_STProjectsSOF[[#This Row],[Plan]],1.000011000011)</f>
        <v>1.049318567600168</v>
      </c>
      <c r="AI474" s="34">
        <f>SUM(DB_STProjectsSOF[[#This Row],[Plan01]:[Plan12]])/valUnits2</f>
        <v>5.4965099999999998</v>
      </c>
      <c r="AJ474" s="34">
        <f>SUMPRODUCT(DB_STProjectsSOF[[#This Row],[Act01]:[Act12]],$P$3:$AA$3)/valUnits2</f>
        <v>5.7675899999999984</v>
      </c>
      <c r="AK474" s="34">
        <f>IF(DB_STProjectsSOF[[#This Row],[FY Plan]]&lt;&gt;0,DB_STProjectsSOF[[#This Row],[FY Actuals]]/DB_STProjectsSOF[[#This Row],[FY Plan]],1.000011000011)</f>
        <v>1.049318567600168</v>
      </c>
    </row>
    <row r="475" spans="1:37" hidden="1" x14ac:dyDescent="0.2">
      <c r="A475">
        <f>SUBTOTAL(3,$B$6:B475)</f>
        <v>0</v>
      </c>
      <c r="B475" t="s">
        <v>938</v>
      </c>
      <c r="C475" t="s">
        <v>868</v>
      </c>
      <c r="F475">
        <v>0</v>
      </c>
      <c r="I475">
        <v>0</v>
      </c>
      <c r="R475">
        <v>0</v>
      </c>
      <c r="U475">
        <v>10715.31</v>
      </c>
      <c r="AB475" s="164">
        <v>40817</v>
      </c>
      <c r="AC475" s="164">
        <v>41455</v>
      </c>
      <c r="AD475" s="164">
        <v>41639</v>
      </c>
      <c r="AE475" s="34">
        <f>SUMPRODUCT(DB_STProjectsSOF[[#This Row],[Plan01]:[Plan12]],$D$4:$O$4)/valUnits2</f>
        <v>0</v>
      </c>
      <c r="AF475" s="34">
        <f>SUMPRODUCT(DB_STProjectsSOF[[#This Row],[Act01]:[Act12]],$P$4:$AA$4)/valUnits2</f>
        <v>10.715309999999999</v>
      </c>
      <c r="AG475" s="34">
        <f>DB_STProjectsSOF[[#This Row],[Actual]]-DB_STProjectsSOF[[#This Row],[Plan]]</f>
        <v>10.715309999999999</v>
      </c>
      <c r="AH475" s="34">
        <f>IF(DB_STProjectsSOF[[#This Row],[Plan]]&lt;&gt;0,DB_STProjectsSOF[[#This Row],[Actual]]/DB_STProjectsSOF[[#This Row],[Plan]],1.000011000011)</f>
        <v>1.0000110000110001</v>
      </c>
      <c r="AI475" s="34">
        <f>SUM(DB_STProjectsSOF[[#This Row],[Plan01]:[Plan12]])/valUnits2</f>
        <v>0</v>
      </c>
      <c r="AJ475" s="34">
        <f>SUMPRODUCT(DB_STProjectsSOF[[#This Row],[Act01]:[Act12]],$P$3:$AA$3)/valUnits2</f>
        <v>10.715309999999999</v>
      </c>
      <c r="AK475" s="34">
        <f>IF(DB_STProjectsSOF[[#This Row],[FY Plan]]&lt;&gt;0,DB_STProjectsSOF[[#This Row],[FY Actuals]]/DB_STProjectsSOF[[#This Row],[FY Plan]],1.000011000011)</f>
        <v>1.0000110000110001</v>
      </c>
    </row>
    <row r="476" spans="1:37" hidden="1" x14ac:dyDescent="0.2">
      <c r="A476">
        <f>SUBTOTAL(3,$B$6:B476)</f>
        <v>0</v>
      </c>
      <c r="B476" t="s">
        <v>938</v>
      </c>
      <c r="C476" t="s">
        <v>888</v>
      </c>
      <c r="D476">
        <v>7181.5839999999998</v>
      </c>
      <c r="E476">
        <v>-7864.9250000000002</v>
      </c>
      <c r="F476">
        <v>750.12400000000002</v>
      </c>
      <c r="P476">
        <v>7176.88</v>
      </c>
      <c r="Q476">
        <v>-7955.51</v>
      </c>
      <c r="R476">
        <v>782.23</v>
      </c>
      <c r="AB476" s="164">
        <v>40940</v>
      </c>
      <c r="AC476" s="164">
        <v>41274</v>
      </c>
      <c r="AD476" s="164">
        <v>41288</v>
      </c>
      <c r="AE476" s="34">
        <f>SUMPRODUCT(DB_STProjectsSOF[[#This Row],[Plan01]:[Plan12]],$D$4:$O$4)/valUnits2</f>
        <v>6.6782999999999676E-2</v>
      </c>
      <c r="AF476" s="34">
        <f>SUMPRODUCT(DB_STProjectsSOF[[#This Row],[Act01]:[Act12]],$P$4:$AA$4)/valUnits2</f>
        <v>3.5999999999999093E-3</v>
      </c>
      <c r="AG476" s="34">
        <f>DB_STProjectsSOF[[#This Row],[Actual]]-DB_STProjectsSOF[[#This Row],[Plan]]</f>
        <v>-6.3182999999999767E-2</v>
      </c>
      <c r="AH476" s="34">
        <f>IF(DB_STProjectsSOF[[#This Row],[Plan]]&lt;&gt;0,DB_STProjectsSOF[[#This Row],[Actual]]/DB_STProjectsSOF[[#This Row],[Plan]],1.000011000011)</f>
        <v>5.3905934144916019E-2</v>
      </c>
      <c r="AI476" s="34">
        <f>SUM(DB_STProjectsSOF[[#This Row],[Plan01]:[Plan12]])/valUnits2</f>
        <v>6.6782999999999676E-2</v>
      </c>
      <c r="AJ476" s="34">
        <f>SUMPRODUCT(DB_STProjectsSOF[[#This Row],[Act01]:[Act12]],$P$3:$AA$3)/valUnits2</f>
        <v>3.5999999999999093E-3</v>
      </c>
      <c r="AK476" s="34">
        <f>IF(DB_STProjectsSOF[[#This Row],[FY Plan]]&lt;&gt;0,DB_STProjectsSOF[[#This Row],[FY Actuals]]/DB_STProjectsSOF[[#This Row],[FY Plan]],1.000011000011)</f>
        <v>5.3905934144916019E-2</v>
      </c>
    </row>
    <row r="477" spans="1:37" hidden="1" x14ac:dyDescent="0.2">
      <c r="A477">
        <f>SUBTOTAL(3,$B$6:B477)</f>
        <v>0</v>
      </c>
      <c r="B477" t="s">
        <v>938</v>
      </c>
      <c r="C477" t="s">
        <v>368</v>
      </c>
      <c r="D477">
        <v>76955.98</v>
      </c>
      <c r="E477">
        <v>9915.739999999998</v>
      </c>
      <c r="F477">
        <v>56368.61</v>
      </c>
      <c r="G477">
        <v>112902.03</v>
      </c>
      <c r="H477">
        <v>462306.44799999992</v>
      </c>
      <c r="I477">
        <v>435920.88799999998</v>
      </c>
      <c r="J477">
        <v>437188.88799999992</v>
      </c>
      <c r="K477">
        <v>438220.88799999992</v>
      </c>
      <c r="L477">
        <v>438220.88799999998</v>
      </c>
      <c r="M477">
        <v>328078.06699999998</v>
      </c>
      <c r="N477">
        <v>384687.88799999992</v>
      </c>
      <c r="P477">
        <v>76955.98000000001</v>
      </c>
      <c r="Q477">
        <v>9915.739999999998</v>
      </c>
      <c r="R477">
        <v>56368.609999999979</v>
      </c>
      <c r="S477">
        <v>112902.03</v>
      </c>
      <c r="T477">
        <v>25385.560000000005</v>
      </c>
      <c r="U477">
        <v>57654.14</v>
      </c>
      <c r="V477">
        <v>1993.2</v>
      </c>
      <c r="W477">
        <v>0</v>
      </c>
      <c r="X477">
        <v>0</v>
      </c>
      <c r="Y477">
        <v>0</v>
      </c>
      <c r="Z477">
        <v>0</v>
      </c>
      <c r="AB477" s="164">
        <v>41000</v>
      </c>
      <c r="AC477" s="164">
        <v>41820</v>
      </c>
      <c r="AD477" s="164">
        <v>41517</v>
      </c>
      <c r="AE477" s="34">
        <f>SUMPRODUCT(DB_STProjectsSOF[[#This Row],[Plan01]:[Plan12]],$D$4:$O$4)/valUnits2</f>
        <v>1154.369696</v>
      </c>
      <c r="AF477" s="34">
        <f>SUMPRODUCT(DB_STProjectsSOF[[#This Row],[Act01]:[Act12]],$P$4:$AA$4)/valUnits2</f>
        <v>339.18205999999998</v>
      </c>
      <c r="AG477" s="34">
        <f>DB_STProjectsSOF[[#This Row],[Actual]]-DB_STProjectsSOF[[#This Row],[Plan]]</f>
        <v>-815.187636</v>
      </c>
      <c r="AH477" s="34">
        <f>IF(DB_STProjectsSOF[[#This Row],[Plan]]&lt;&gt;0,DB_STProjectsSOF[[#This Row],[Actual]]/DB_STProjectsSOF[[#This Row],[Plan]],1.000011000011)</f>
        <v>0.293824466438523</v>
      </c>
      <c r="AI477" s="34">
        <f>SUM(DB_STProjectsSOF[[#This Row],[Plan01]:[Plan12]])/valUnits2</f>
        <v>3180.7663149999989</v>
      </c>
      <c r="AJ477" s="34">
        <f>SUMPRODUCT(DB_STProjectsSOF[[#This Row],[Act01]:[Act12]],$P$3:$AA$3)/valUnits2</f>
        <v>339.18205999999998</v>
      </c>
      <c r="AK477" s="34">
        <f>IF(DB_STProjectsSOF[[#This Row],[FY Plan]]&lt;&gt;0,DB_STProjectsSOF[[#This Row],[FY Actuals]]/DB_STProjectsSOF[[#This Row],[FY Plan]],1.000011000011)</f>
        <v>0.10663532822278397</v>
      </c>
    </row>
    <row r="478" spans="1:37" hidden="1" x14ac:dyDescent="0.2">
      <c r="A478">
        <f>SUBTOTAL(3,$B$6:B478)</f>
        <v>0</v>
      </c>
      <c r="B478" t="s">
        <v>938</v>
      </c>
      <c r="C478" t="s">
        <v>911</v>
      </c>
      <c r="D478">
        <v>109309.92000000003</v>
      </c>
      <c r="E478">
        <v>392794.84900000005</v>
      </c>
      <c r="F478">
        <v>367754.52800000005</v>
      </c>
      <c r="G478">
        <v>449800.17300000013</v>
      </c>
      <c r="H478">
        <v>398372.7730000001</v>
      </c>
      <c r="I478">
        <v>288365.37300000002</v>
      </c>
      <c r="J478">
        <v>261773.02299999999</v>
      </c>
      <c r="K478">
        <v>276729.12300000002</v>
      </c>
      <c r="L478">
        <v>265285.82299999997</v>
      </c>
      <c r="M478">
        <v>268199.87300000002</v>
      </c>
      <c r="P478">
        <v>14203.989999999998</v>
      </c>
      <c r="Q478">
        <v>220825.26</v>
      </c>
      <c r="R478">
        <v>185700.18999999997</v>
      </c>
      <c r="S478">
        <v>161434.79999999996</v>
      </c>
      <c r="T478">
        <v>136827.52000000002</v>
      </c>
      <c r="U478">
        <v>78427.420000000013</v>
      </c>
      <c r="V478">
        <v>11046.51</v>
      </c>
      <c r="W478">
        <v>0</v>
      </c>
      <c r="X478">
        <v>0</v>
      </c>
      <c r="Y478">
        <v>0</v>
      </c>
      <c r="AB478" s="164">
        <v>40817</v>
      </c>
      <c r="AC478" s="164">
        <v>41578</v>
      </c>
      <c r="AD478" s="164">
        <v>41639</v>
      </c>
      <c r="AE478" s="34">
        <f>SUMPRODUCT(DB_STProjectsSOF[[#This Row],[Plan01]:[Plan12]],$D$4:$O$4)/valUnits2</f>
        <v>2006.3976160000004</v>
      </c>
      <c r="AF478" s="34">
        <f>SUMPRODUCT(DB_STProjectsSOF[[#This Row],[Act01]:[Act12]],$P$4:$AA$4)/valUnits2</f>
        <v>797.41917999999998</v>
      </c>
      <c r="AG478" s="34">
        <f>DB_STProjectsSOF[[#This Row],[Actual]]-DB_STProjectsSOF[[#This Row],[Plan]]</f>
        <v>-1208.9784360000003</v>
      </c>
      <c r="AH478" s="34">
        <f>IF(DB_STProjectsSOF[[#This Row],[Plan]]&lt;&gt;0,DB_STProjectsSOF[[#This Row],[Actual]]/DB_STProjectsSOF[[#This Row],[Plan]],1.000011000011)</f>
        <v>0.3974382613102147</v>
      </c>
      <c r="AI478" s="34">
        <f>SUM(DB_STProjectsSOF[[#This Row],[Plan01]:[Plan12]])/valUnits2</f>
        <v>3078.3854580000007</v>
      </c>
      <c r="AJ478" s="34">
        <f>SUMPRODUCT(DB_STProjectsSOF[[#This Row],[Act01]:[Act12]],$P$3:$AA$3)/valUnits2</f>
        <v>797.41917999999998</v>
      </c>
      <c r="AK478" s="34">
        <f>IF(DB_STProjectsSOF[[#This Row],[FY Plan]]&lt;&gt;0,DB_STProjectsSOF[[#This Row],[FY Actuals]]/DB_STProjectsSOF[[#This Row],[FY Plan]],1.000011000011)</f>
        <v>0.25903811945566946</v>
      </c>
    </row>
    <row r="479" spans="1:37" hidden="1" x14ac:dyDescent="0.2">
      <c r="A479">
        <f>SUBTOTAL(3,$B$6:B479)</f>
        <v>0</v>
      </c>
      <c r="B479" t="s">
        <v>938</v>
      </c>
      <c r="C479" t="s">
        <v>931</v>
      </c>
      <c r="D479">
        <v>14371.314</v>
      </c>
      <c r="E479">
        <v>-13696.876</v>
      </c>
      <c r="F479">
        <v>-750.12400000000002</v>
      </c>
      <c r="P479">
        <v>14358.650000000001</v>
      </c>
      <c r="Q479">
        <v>-13854.63</v>
      </c>
      <c r="R479">
        <v>-782.23</v>
      </c>
      <c r="AB479" s="164">
        <v>40940</v>
      </c>
      <c r="AC479" s="164">
        <v>41274</v>
      </c>
      <c r="AD479" s="164">
        <v>41288</v>
      </c>
      <c r="AE479" s="34">
        <f>SUMPRODUCT(DB_STProjectsSOF[[#This Row],[Plan01]:[Plan12]],$D$4:$O$4)/valUnits2</f>
        <v>-7.568599999999992E-2</v>
      </c>
      <c r="AF479" s="34">
        <f>SUMPRODUCT(DB_STProjectsSOF[[#This Row],[Act01]:[Act12]],$P$4:$AA$4)/valUnits2</f>
        <v>-0.27820999999999774</v>
      </c>
      <c r="AG479" s="34">
        <f>DB_STProjectsSOF[[#This Row],[Actual]]-DB_STProjectsSOF[[#This Row],[Plan]]</f>
        <v>-0.20252399999999782</v>
      </c>
      <c r="AH479" s="34">
        <f>IF(DB_STProjectsSOF[[#This Row],[Plan]]&lt;&gt;0,DB_STProjectsSOF[[#This Row],[Actual]]/DB_STProjectsSOF[[#This Row],[Plan]],1.000011000011)</f>
        <v>3.6758449382976774</v>
      </c>
      <c r="AI479" s="34">
        <f>SUM(DB_STProjectsSOF[[#This Row],[Plan01]:[Plan12]])/valUnits2</f>
        <v>-7.568599999999992E-2</v>
      </c>
      <c r="AJ479" s="34">
        <f>SUMPRODUCT(DB_STProjectsSOF[[#This Row],[Act01]:[Act12]],$P$3:$AA$3)/valUnits2</f>
        <v>-0.27820999999999774</v>
      </c>
      <c r="AK479" s="34">
        <f>IF(DB_STProjectsSOF[[#This Row],[FY Plan]]&lt;&gt;0,DB_STProjectsSOF[[#This Row],[FY Actuals]]/DB_STProjectsSOF[[#This Row],[FY Plan]],1.000011000011)</f>
        <v>3.6758449382976774</v>
      </c>
    </row>
    <row r="480" spans="1:37" hidden="1" x14ac:dyDescent="0.2">
      <c r="A480">
        <f>SUBTOTAL(3,$B$6:B480)</f>
        <v>0</v>
      </c>
      <c r="B480" t="s">
        <v>939</v>
      </c>
      <c r="C480" t="s">
        <v>871</v>
      </c>
      <c r="D480">
        <v>308.12</v>
      </c>
      <c r="P480">
        <v>308.12</v>
      </c>
      <c r="AB480" s="164">
        <v>40817</v>
      </c>
      <c r="AC480" s="164">
        <v>41274</v>
      </c>
      <c r="AD480" s="164">
        <v>41305</v>
      </c>
      <c r="AE480" s="34">
        <f>SUMPRODUCT(DB_STProjectsSOF[[#This Row],[Plan01]:[Plan12]],$D$4:$O$4)/valUnits2</f>
        <v>0.30812</v>
      </c>
      <c r="AF480" s="34">
        <f>SUMPRODUCT(DB_STProjectsSOF[[#This Row],[Act01]:[Act12]],$P$4:$AA$4)/valUnits2</f>
        <v>0.30812</v>
      </c>
      <c r="AG480" s="34">
        <f>DB_STProjectsSOF[[#This Row],[Actual]]-DB_STProjectsSOF[[#This Row],[Plan]]</f>
        <v>0</v>
      </c>
      <c r="AH480" s="34">
        <f>IF(DB_STProjectsSOF[[#This Row],[Plan]]&lt;&gt;0,DB_STProjectsSOF[[#This Row],[Actual]]/DB_STProjectsSOF[[#This Row],[Plan]],1.000011000011)</f>
        <v>1</v>
      </c>
      <c r="AI480" s="34">
        <f>SUM(DB_STProjectsSOF[[#This Row],[Plan01]:[Plan12]])/valUnits2</f>
        <v>0.30812</v>
      </c>
      <c r="AJ480" s="34">
        <f>SUMPRODUCT(DB_STProjectsSOF[[#This Row],[Act01]:[Act12]],$P$3:$AA$3)/valUnits2</f>
        <v>0.30812</v>
      </c>
      <c r="AK480" s="34">
        <f>IF(DB_STProjectsSOF[[#This Row],[FY Plan]]&lt;&gt;0,DB_STProjectsSOF[[#This Row],[FY Actuals]]/DB_STProjectsSOF[[#This Row],[FY Plan]],1.000011000011)</f>
        <v>1</v>
      </c>
    </row>
    <row r="481" spans="1:37" hidden="1" x14ac:dyDescent="0.2">
      <c r="A481">
        <f>SUBTOTAL(3,$B$6:B481)</f>
        <v>0</v>
      </c>
      <c r="B481" t="s">
        <v>939</v>
      </c>
      <c r="C481" t="s">
        <v>884</v>
      </c>
      <c r="D481">
        <v>2500</v>
      </c>
      <c r="E481">
        <v>2500</v>
      </c>
      <c r="F481">
        <v>2500</v>
      </c>
      <c r="G481">
        <v>2500</v>
      </c>
      <c r="H481">
        <v>2500</v>
      </c>
      <c r="I481">
        <v>2500</v>
      </c>
      <c r="J481">
        <v>2500</v>
      </c>
      <c r="K481">
        <v>2500</v>
      </c>
      <c r="L481">
        <v>2500</v>
      </c>
      <c r="M481">
        <v>2500</v>
      </c>
      <c r="N481">
        <v>2500</v>
      </c>
      <c r="O481">
        <v>2500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s="164">
        <v>40909</v>
      </c>
      <c r="AC481" s="164">
        <v>41274</v>
      </c>
      <c r="AD481" s="164">
        <v>41364</v>
      </c>
      <c r="AE481" s="34">
        <f>SUMPRODUCT(DB_STProjectsSOF[[#This Row],[Plan01]:[Plan12]],$D$4:$O$4)/valUnits2</f>
        <v>15</v>
      </c>
      <c r="AF481" s="34">
        <f>SUMPRODUCT(DB_STProjectsSOF[[#This Row],[Act01]:[Act12]],$P$4:$AA$4)/valUnits2</f>
        <v>0</v>
      </c>
      <c r="AG481" s="34">
        <f>DB_STProjectsSOF[[#This Row],[Actual]]-DB_STProjectsSOF[[#This Row],[Plan]]</f>
        <v>-15</v>
      </c>
      <c r="AH481" s="34">
        <f>IF(DB_STProjectsSOF[[#This Row],[Plan]]&lt;&gt;0,DB_STProjectsSOF[[#This Row],[Actual]]/DB_STProjectsSOF[[#This Row],[Plan]],1.000011000011)</f>
        <v>0</v>
      </c>
      <c r="AI481" s="34">
        <f>SUM(DB_STProjectsSOF[[#This Row],[Plan01]:[Plan12]])/valUnits2</f>
        <v>30</v>
      </c>
      <c r="AJ481" s="34">
        <f>SUMPRODUCT(DB_STProjectsSOF[[#This Row],[Act01]:[Act12]],$P$3:$AA$3)/valUnits2</f>
        <v>0</v>
      </c>
      <c r="AK481" s="34">
        <f>IF(DB_STProjectsSOF[[#This Row],[FY Plan]]&lt;&gt;0,DB_STProjectsSOF[[#This Row],[FY Actuals]]/DB_STProjectsSOF[[#This Row],[FY Plan]],1.000011000011)</f>
        <v>0</v>
      </c>
    </row>
    <row r="482" spans="1:37" hidden="1" x14ac:dyDescent="0.2">
      <c r="A482">
        <f>SUBTOTAL(3,$B$6:B482)</f>
        <v>0</v>
      </c>
      <c r="B482" t="s">
        <v>939</v>
      </c>
      <c r="C482" t="s">
        <v>937</v>
      </c>
      <c r="G482">
        <v>39632.149999999994</v>
      </c>
      <c r="H482">
        <v>8378.82</v>
      </c>
      <c r="I482">
        <v>36789.993999999999</v>
      </c>
      <c r="S482">
        <v>39632.150000000009</v>
      </c>
      <c r="T482">
        <v>8378.8200000000015</v>
      </c>
      <c r="U482">
        <v>9232.15</v>
      </c>
      <c r="AB482" s="164">
        <v>41275</v>
      </c>
      <c r="AC482" s="164">
        <v>43100</v>
      </c>
      <c r="AD482" s="164">
        <v>43159</v>
      </c>
      <c r="AE482" s="34">
        <f>SUMPRODUCT(DB_STProjectsSOF[[#This Row],[Plan01]:[Plan12]],$D$4:$O$4)/valUnits2</f>
        <v>84.800963999999993</v>
      </c>
      <c r="AF482" s="34">
        <f>SUMPRODUCT(DB_STProjectsSOF[[#This Row],[Act01]:[Act12]],$P$4:$AA$4)/valUnits2</f>
        <v>57.243120000000012</v>
      </c>
      <c r="AG482" s="34">
        <f>DB_STProjectsSOF[[#This Row],[Actual]]-DB_STProjectsSOF[[#This Row],[Plan]]</f>
        <v>-27.557843999999982</v>
      </c>
      <c r="AH482" s="34">
        <f>IF(DB_STProjectsSOF[[#This Row],[Plan]]&lt;&gt;0,DB_STProjectsSOF[[#This Row],[Actual]]/DB_STProjectsSOF[[#This Row],[Plan]],1.000011000011)</f>
        <v>0.67502911877275373</v>
      </c>
      <c r="AI482" s="34">
        <f>SUM(DB_STProjectsSOF[[#This Row],[Plan01]:[Plan12]])/valUnits2</f>
        <v>84.800963999999993</v>
      </c>
      <c r="AJ482" s="34">
        <f>SUMPRODUCT(DB_STProjectsSOF[[#This Row],[Act01]:[Act12]],$P$3:$AA$3)/valUnits2</f>
        <v>57.243120000000012</v>
      </c>
      <c r="AK482" s="34">
        <f>IF(DB_STProjectsSOF[[#This Row],[FY Plan]]&lt;&gt;0,DB_STProjectsSOF[[#This Row],[FY Actuals]]/DB_STProjectsSOF[[#This Row],[FY Plan]],1.000011000011)</f>
        <v>0.67502911877275373</v>
      </c>
    </row>
    <row r="483" spans="1:37" hidden="1" x14ac:dyDescent="0.2">
      <c r="A483">
        <f>SUBTOTAL(3,$B$6:B483)</f>
        <v>0</v>
      </c>
      <c r="B483" t="s">
        <v>954</v>
      </c>
      <c r="C483" t="s">
        <v>883</v>
      </c>
      <c r="D483">
        <v>3945.6210000000001</v>
      </c>
      <c r="E483">
        <v>3139.0209999999997</v>
      </c>
      <c r="F483">
        <v>31243.805</v>
      </c>
      <c r="G483">
        <v>3524.4970000000003</v>
      </c>
      <c r="H483">
        <v>4479.3769999999995</v>
      </c>
      <c r="I483">
        <v>160033.67899999997</v>
      </c>
      <c r="J483">
        <v>20603.374</v>
      </c>
      <c r="K483">
        <v>155463.17599999995</v>
      </c>
      <c r="L483">
        <v>21731.73</v>
      </c>
      <c r="M483">
        <v>158944.774</v>
      </c>
      <c r="N483">
        <v>23220.115000000002</v>
      </c>
      <c r="O483">
        <v>148760.23300000001</v>
      </c>
      <c r="P483">
        <v>3976.6700000000005</v>
      </c>
      <c r="Q483">
        <v>3221.4100000000003</v>
      </c>
      <c r="R483">
        <v>31074.829999999998</v>
      </c>
      <c r="S483">
        <v>3492.9200000000005</v>
      </c>
      <c r="T483">
        <v>4464.7400000000007</v>
      </c>
      <c r="U483">
        <v>1745.9799999999998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s="164">
        <v>40940</v>
      </c>
      <c r="AC483" s="164">
        <v>41639</v>
      </c>
      <c r="AD483" s="164">
        <v>41698</v>
      </c>
      <c r="AE483" s="34">
        <f>SUMPRODUCT(DB_STProjectsSOF[[#This Row],[Plan01]:[Plan12]],$D$4:$O$4)/valUnits2</f>
        <v>206.36599999999996</v>
      </c>
      <c r="AF483" s="34">
        <f>SUMPRODUCT(DB_STProjectsSOF[[#This Row],[Act01]:[Act12]],$P$4:$AA$4)/valUnits2</f>
        <v>47.976549999999996</v>
      </c>
      <c r="AG483" s="34">
        <f>DB_STProjectsSOF[[#This Row],[Actual]]-DB_STProjectsSOF[[#This Row],[Plan]]</f>
        <v>-158.38944999999995</v>
      </c>
      <c r="AH483" s="34">
        <f>IF(DB_STProjectsSOF[[#This Row],[Plan]]&lt;&gt;0,DB_STProjectsSOF[[#This Row],[Actual]]/DB_STProjectsSOF[[#This Row],[Plan]],1.000011000011)</f>
        <v>0.23248282178265803</v>
      </c>
      <c r="AI483" s="34">
        <f>SUM(DB_STProjectsSOF[[#This Row],[Plan01]:[Plan12]])/valUnits2</f>
        <v>735.08940199999984</v>
      </c>
      <c r="AJ483" s="34">
        <f>SUMPRODUCT(DB_STProjectsSOF[[#This Row],[Act01]:[Act12]],$P$3:$AA$3)/valUnits2</f>
        <v>47.976549999999996</v>
      </c>
      <c r="AK483" s="34">
        <f>IF(DB_STProjectsSOF[[#This Row],[FY Plan]]&lt;&gt;0,DB_STProjectsSOF[[#This Row],[FY Actuals]]/DB_STProjectsSOF[[#This Row],[FY Plan]],1.000011000011)</f>
        <v>6.5266278998809463E-2</v>
      </c>
    </row>
    <row r="484" spans="1:37" hidden="1" x14ac:dyDescent="0.2">
      <c r="A484">
        <f>SUBTOTAL(3,$B$6:B484)</f>
        <v>0</v>
      </c>
      <c r="B484" t="s">
        <v>954</v>
      </c>
      <c r="C484" t="s">
        <v>884</v>
      </c>
      <c r="D484">
        <v>2250</v>
      </c>
      <c r="E484">
        <v>2250</v>
      </c>
      <c r="F484">
        <v>2250</v>
      </c>
      <c r="G484">
        <v>2250</v>
      </c>
      <c r="H484">
        <v>2250</v>
      </c>
      <c r="I484">
        <v>2250</v>
      </c>
      <c r="J484">
        <v>2250</v>
      </c>
      <c r="K484">
        <v>2250</v>
      </c>
      <c r="L484">
        <v>2250</v>
      </c>
      <c r="M484">
        <v>2250</v>
      </c>
      <c r="N484">
        <v>2250</v>
      </c>
      <c r="O484">
        <v>2250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s="164">
        <v>40909</v>
      </c>
      <c r="AC484" s="164">
        <v>41274</v>
      </c>
      <c r="AD484" s="164">
        <v>41364</v>
      </c>
      <c r="AE484" s="34">
        <f>SUMPRODUCT(DB_STProjectsSOF[[#This Row],[Plan01]:[Plan12]],$D$4:$O$4)/valUnits2</f>
        <v>13.5</v>
      </c>
      <c r="AF484" s="34">
        <f>SUMPRODUCT(DB_STProjectsSOF[[#This Row],[Act01]:[Act12]],$P$4:$AA$4)/valUnits2</f>
        <v>0</v>
      </c>
      <c r="AG484" s="34">
        <f>DB_STProjectsSOF[[#This Row],[Actual]]-DB_STProjectsSOF[[#This Row],[Plan]]</f>
        <v>-13.5</v>
      </c>
      <c r="AH484" s="34">
        <f>IF(DB_STProjectsSOF[[#This Row],[Plan]]&lt;&gt;0,DB_STProjectsSOF[[#This Row],[Actual]]/DB_STProjectsSOF[[#This Row],[Plan]],1.000011000011)</f>
        <v>0</v>
      </c>
      <c r="AI484" s="34">
        <f>SUM(DB_STProjectsSOF[[#This Row],[Plan01]:[Plan12]])/valUnits2</f>
        <v>27</v>
      </c>
      <c r="AJ484" s="34">
        <f>SUMPRODUCT(DB_STProjectsSOF[[#This Row],[Act01]:[Act12]],$P$3:$AA$3)/valUnits2</f>
        <v>0</v>
      </c>
      <c r="AK484" s="34">
        <f>IF(DB_STProjectsSOF[[#This Row],[FY Plan]]&lt;&gt;0,DB_STProjectsSOF[[#This Row],[FY Actuals]]/DB_STProjectsSOF[[#This Row],[FY Plan]],1.000011000011)</f>
        <v>0</v>
      </c>
    </row>
    <row r="485" spans="1:37" hidden="1" x14ac:dyDescent="0.2">
      <c r="A485">
        <f>SUBTOTAL(3,$B$6:B485)</f>
        <v>0</v>
      </c>
      <c r="B485" t="s">
        <v>954</v>
      </c>
      <c r="C485" t="s">
        <v>911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AB485" s="164">
        <v>40817</v>
      </c>
      <c r="AC485" s="164">
        <v>41578</v>
      </c>
      <c r="AD485" s="164">
        <v>41639</v>
      </c>
      <c r="AE485" s="34">
        <f>SUMPRODUCT(DB_STProjectsSOF[[#This Row],[Plan01]:[Plan12]],$D$4:$O$4)/valUnits2</f>
        <v>0</v>
      </c>
      <c r="AF485" s="34">
        <f>SUMPRODUCT(DB_STProjectsSOF[[#This Row],[Act01]:[Act12]],$P$4:$AA$4)/valUnits2</f>
        <v>0</v>
      </c>
      <c r="AG485" s="34">
        <f>DB_STProjectsSOF[[#This Row],[Actual]]-DB_STProjectsSOF[[#This Row],[Plan]]</f>
        <v>0</v>
      </c>
      <c r="AH485" s="34">
        <f>IF(DB_STProjectsSOF[[#This Row],[Plan]]&lt;&gt;0,DB_STProjectsSOF[[#This Row],[Actual]]/DB_STProjectsSOF[[#This Row],[Plan]],1.000011000011)</f>
        <v>1.0000110000110001</v>
      </c>
      <c r="AI485" s="34">
        <f>SUM(DB_STProjectsSOF[[#This Row],[Plan01]:[Plan12]])/valUnits2</f>
        <v>0</v>
      </c>
      <c r="AJ485" s="34">
        <f>SUMPRODUCT(DB_STProjectsSOF[[#This Row],[Act01]:[Act12]],$P$3:$AA$3)/valUnits2</f>
        <v>0</v>
      </c>
      <c r="AK485" s="34">
        <f>IF(DB_STProjectsSOF[[#This Row],[FY Plan]]&lt;&gt;0,DB_STProjectsSOF[[#This Row],[FY Actuals]]/DB_STProjectsSOF[[#This Row],[FY Plan]],1.000011000011)</f>
        <v>1.0000110000110001</v>
      </c>
    </row>
    <row r="486" spans="1:37" hidden="1" x14ac:dyDescent="0.2">
      <c r="A486">
        <f>SUBTOTAL(3,$B$6:B486)</f>
        <v>0</v>
      </c>
      <c r="B486" t="s">
        <v>960</v>
      </c>
      <c r="C486" t="s">
        <v>911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AB486" s="164">
        <v>40817</v>
      </c>
      <c r="AC486" s="164">
        <v>41578</v>
      </c>
      <c r="AD486" s="164">
        <v>41639</v>
      </c>
      <c r="AE486" s="34">
        <f>SUMPRODUCT(DB_STProjectsSOF[[#This Row],[Plan01]:[Plan12]],$D$4:$O$4)/valUnits2</f>
        <v>0</v>
      </c>
      <c r="AF486" s="34">
        <f>SUMPRODUCT(DB_STProjectsSOF[[#This Row],[Act01]:[Act12]],$P$4:$AA$4)/valUnits2</f>
        <v>0</v>
      </c>
      <c r="AG486" s="34">
        <f>DB_STProjectsSOF[[#This Row],[Actual]]-DB_STProjectsSOF[[#This Row],[Plan]]</f>
        <v>0</v>
      </c>
      <c r="AH486" s="34">
        <f>IF(DB_STProjectsSOF[[#This Row],[Plan]]&lt;&gt;0,DB_STProjectsSOF[[#This Row],[Actual]]/DB_STProjectsSOF[[#This Row],[Plan]],1.000011000011)</f>
        <v>1.0000110000110001</v>
      </c>
      <c r="AI486" s="34">
        <f>SUM(DB_STProjectsSOF[[#This Row],[Plan01]:[Plan12]])/valUnits2</f>
        <v>0</v>
      </c>
      <c r="AJ486" s="34">
        <f>SUMPRODUCT(DB_STProjectsSOF[[#This Row],[Act01]:[Act12]],$P$3:$AA$3)/valUnits2</f>
        <v>0</v>
      </c>
      <c r="AK486" s="34">
        <f>IF(DB_STProjectsSOF[[#This Row],[FY Plan]]&lt;&gt;0,DB_STProjectsSOF[[#This Row],[FY Actuals]]/DB_STProjectsSOF[[#This Row],[FY Plan]],1.000011000011)</f>
        <v>1.0000110000110001</v>
      </c>
    </row>
    <row r="487" spans="1:37" hidden="1" x14ac:dyDescent="0.2">
      <c r="A487">
        <f>SUBTOTAL(3,$B$6:B487)</f>
        <v>0</v>
      </c>
      <c r="B487" t="s">
        <v>989</v>
      </c>
      <c r="C487" t="s">
        <v>911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AB487" s="164">
        <v>40817</v>
      </c>
      <c r="AC487" s="164">
        <v>41578</v>
      </c>
      <c r="AD487" s="164">
        <v>41639</v>
      </c>
      <c r="AE487" s="34">
        <f>SUMPRODUCT(DB_STProjectsSOF[[#This Row],[Plan01]:[Plan12]],$D$4:$O$4)/valUnits2</f>
        <v>0</v>
      </c>
      <c r="AF487" s="34">
        <f>SUMPRODUCT(DB_STProjectsSOF[[#This Row],[Act01]:[Act12]],$P$4:$AA$4)/valUnits2</f>
        <v>0</v>
      </c>
      <c r="AG487" s="34">
        <f>DB_STProjectsSOF[[#This Row],[Actual]]-DB_STProjectsSOF[[#This Row],[Plan]]</f>
        <v>0</v>
      </c>
      <c r="AH487" s="34">
        <f>IF(DB_STProjectsSOF[[#This Row],[Plan]]&lt;&gt;0,DB_STProjectsSOF[[#This Row],[Actual]]/DB_STProjectsSOF[[#This Row],[Plan]],1.000011000011)</f>
        <v>1.0000110000110001</v>
      </c>
      <c r="AI487" s="34">
        <f>SUM(DB_STProjectsSOF[[#This Row],[Plan01]:[Plan12]])/valUnits2</f>
        <v>0</v>
      </c>
      <c r="AJ487" s="34">
        <f>SUMPRODUCT(DB_STProjectsSOF[[#This Row],[Act01]:[Act12]],$P$3:$AA$3)/valUnits2</f>
        <v>0</v>
      </c>
      <c r="AK487" s="34">
        <f>IF(DB_STProjectsSOF[[#This Row],[FY Plan]]&lt;&gt;0,DB_STProjectsSOF[[#This Row],[FY Actuals]]/DB_STProjectsSOF[[#This Row],[FY Plan]],1.000011000011)</f>
        <v>1.0000110000110001</v>
      </c>
    </row>
    <row r="488" spans="1:37" hidden="1" x14ac:dyDescent="0.2">
      <c r="A488">
        <f>SUBTOTAL(3,$B$6:B488)</f>
        <v>0</v>
      </c>
      <c r="B488" t="s">
        <v>971</v>
      </c>
      <c r="C488" t="s">
        <v>858</v>
      </c>
      <c r="D488">
        <v>7855.1799999999994</v>
      </c>
      <c r="E488">
        <v>11163.539999999999</v>
      </c>
      <c r="F488">
        <v>18728.959999999995</v>
      </c>
      <c r="G488">
        <v>16707.73</v>
      </c>
      <c r="H488">
        <v>13666.1</v>
      </c>
      <c r="I488">
        <v>34528.481</v>
      </c>
      <c r="J488">
        <v>51195.146999999997</v>
      </c>
      <c r="K488">
        <v>38476.390000000007</v>
      </c>
      <c r="L488">
        <v>36528.481</v>
      </c>
      <c r="M488">
        <v>73933.938999999998</v>
      </c>
      <c r="N488">
        <v>34528.481</v>
      </c>
      <c r="O488">
        <v>67861.811000000002</v>
      </c>
      <c r="P488">
        <v>7855.1799999999994</v>
      </c>
      <c r="Q488">
        <v>11229.45</v>
      </c>
      <c r="R488">
        <v>18728.959999999995</v>
      </c>
      <c r="S488">
        <v>16761.439999999999</v>
      </c>
      <c r="T488">
        <v>13726.420000000002</v>
      </c>
      <c r="U488">
        <v>64857.44000000001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s="164">
        <v>41275</v>
      </c>
      <c r="AC488" s="164">
        <v>41639</v>
      </c>
      <c r="AD488" s="164">
        <v>41784</v>
      </c>
      <c r="AE488" s="34">
        <f>SUMPRODUCT(DB_STProjectsSOF[[#This Row],[Plan01]:[Plan12]],$D$4:$O$4)/valUnits2</f>
        <v>102.649991</v>
      </c>
      <c r="AF488" s="34">
        <f>SUMPRODUCT(DB_STProjectsSOF[[#This Row],[Act01]:[Act12]],$P$4:$AA$4)/valUnits2</f>
        <v>133.15889000000001</v>
      </c>
      <c r="AG488" s="34">
        <f>DB_STProjectsSOF[[#This Row],[Actual]]-DB_STProjectsSOF[[#This Row],[Plan]]</f>
        <v>30.508899000000014</v>
      </c>
      <c r="AH488" s="34">
        <f>IF(DB_STProjectsSOF[[#This Row],[Plan]]&lt;&gt;0,DB_STProjectsSOF[[#This Row],[Actual]]/DB_STProjectsSOF[[#This Row],[Plan]],1.000011000011)</f>
        <v>1.2972128755471592</v>
      </c>
      <c r="AI488" s="34">
        <f>SUM(DB_STProjectsSOF[[#This Row],[Plan01]:[Plan12]])/valUnits2</f>
        <v>405.17424</v>
      </c>
      <c r="AJ488" s="34">
        <f>SUMPRODUCT(DB_STProjectsSOF[[#This Row],[Act01]:[Act12]],$P$3:$AA$3)/valUnits2</f>
        <v>133.15889000000001</v>
      </c>
      <c r="AK488" s="34">
        <f>IF(DB_STProjectsSOF[[#This Row],[FY Plan]]&lt;&gt;0,DB_STProjectsSOF[[#This Row],[FY Actuals]]/DB_STProjectsSOF[[#This Row],[FY Plan]],1.000011000011)</f>
        <v>0.32864599190708671</v>
      </c>
    </row>
    <row r="489" spans="1:37" hidden="1" x14ac:dyDescent="0.2">
      <c r="A489">
        <f>SUBTOTAL(3,$B$6:B489)</f>
        <v>0</v>
      </c>
      <c r="B489" t="s">
        <v>971</v>
      </c>
      <c r="C489" t="s">
        <v>905</v>
      </c>
      <c r="D489">
        <v>182.39</v>
      </c>
      <c r="E489">
        <v>428.47999999999996</v>
      </c>
      <c r="F489">
        <v>664.37</v>
      </c>
      <c r="G489">
        <v>371.24</v>
      </c>
      <c r="H489">
        <v>-1110.8599999999999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182.39</v>
      </c>
      <c r="Q489">
        <v>428.47999999999996</v>
      </c>
      <c r="R489">
        <v>664.37</v>
      </c>
      <c r="S489">
        <v>371.24</v>
      </c>
      <c r="T489">
        <v>-1110.8599999999999</v>
      </c>
      <c r="U489">
        <v>-19.079999999999998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s="164">
        <v>40909</v>
      </c>
      <c r="AC489" s="164">
        <v>41274</v>
      </c>
      <c r="AD489" s="164">
        <v>41364</v>
      </c>
      <c r="AE489" s="34">
        <f>SUMPRODUCT(DB_STProjectsSOF[[#This Row],[Plan01]:[Plan12]],$D$4:$O$4)/valUnits2</f>
        <v>0.53561999999999987</v>
      </c>
      <c r="AF489" s="34">
        <f>SUMPRODUCT(DB_STProjectsSOF[[#This Row],[Act01]:[Act12]],$P$4:$AA$4)/valUnits2</f>
        <v>0.51653999999999989</v>
      </c>
      <c r="AG489" s="34">
        <f>DB_STProjectsSOF[[#This Row],[Actual]]-DB_STProjectsSOF[[#This Row],[Plan]]</f>
        <v>-1.9079999999999986E-2</v>
      </c>
      <c r="AH489" s="34">
        <f>IF(DB_STProjectsSOF[[#This Row],[Plan]]&lt;&gt;0,DB_STProjectsSOF[[#This Row],[Actual]]/DB_STProjectsSOF[[#This Row],[Plan]],1.000011000011)</f>
        <v>0.96437773048056463</v>
      </c>
      <c r="AI489" s="34">
        <f>SUM(DB_STProjectsSOF[[#This Row],[Plan01]:[Plan12]])/valUnits2</f>
        <v>0.53561999999999987</v>
      </c>
      <c r="AJ489" s="34">
        <f>SUMPRODUCT(DB_STProjectsSOF[[#This Row],[Act01]:[Act12]],$P$3:$AA$3)/valUnits2</f>
        <v>0.51653999999999989</v>
      </c>
      <c r="AK489" s="34">
        <f>IF(DB_STProjectsSOF[[#This Row],[FY Plan]]&lt;&gt;0,DB_STProjectsSOF[[#This Row],[FY Actuals]]/DB_STProjectsSOF[[#This Row],[FY Plan]],1.000011000011)</f>
        <v>0.96437773048056463</v>
      </c>
    </row>
    <row r="490" spans="1:37" hidden="1" x14ac:dyDescent="0.2">
      <c r="A490">
        <f>SUBTOTAL(3,$B$6:B490)</f>
        <v>0</v>
      </c>
      <c r="B490" t="s">
        <v>971</v>
      </c>
      <c r="C490" t="s">
        <v>930</v>
      </c>
      <c r="D490">
        <v>20829.650000000005</v>
      </c>
      <c r="E490">
        <v>23579.48</v>
      </c>
      <c r="F490">
        <v>35265.119999999995</v>
      </c>
      <c r="G490">
        <v>24690.97</v>
      </c>
      <c r="H490">
        <v>23585.780000000002</v>
      </c>
      <c r="I490">
        <v>62731.120999999999</v>
      </c>
      <c r="J490">
        <v>69731.120999999999</v>
      </c>
      <c r="K490">
        <v>39731.120999999999</v>
      </c>
      <c r="L490">
        <v>38851.120999999999</v>
      </c>
      <c r="M490">
        <v>32231.120999999999</v>
      </c>
      <c r="N490">
        <v>32231.120999999999</v>
      </c>
      <c r="O490">
        <v>25013.355</v>
      </c>
      <c r="P490">
        <v>20829.649999999998</v>
      </c>
      <c r="Q490">
        <v>23579.480000000003</v>
      </c>
      <c r="R490">
        <v>35265.120000000003</v>
      </c>
      <c r="S490">
        <v>24690.97</v>
      </c>
      <c r="T490">
        <v>23585.78</v>
      </c>
      <c r="U490">
        <v>41456.529999999992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s="164">
        <v>40848</v>
      </c>
      <c r="AC490" s="164">
        <v>41729</v>
      </c>
      <c r="AD490" s="164">
        <v>41654</v>
      </c>
      <c r="AE490" s="34">
        <f>SUMPRODUCT(DB_STProjectsSOF[[#This Row],[Plan01]:[Plan12]],$D$4:$O$4)/valUnits2</f>
        <v>190.682121</v>
      </c>
      <c r="AF490" s="34">
        <f>SUMPRODUCT(DB_STProjectsSOF[[#This Row],[Act01]:[Act12]],$P$4:$AA$4)/valUnits2</f>
        <v>169.40753000000001</v>
      </c>
      <c r="AG490" s="34">
        <f>DB_STProjectsSOF[[#This Row],[Actual]]-DB_STProjectsSOF[[#This Row],[Plan]]</f>
        <v>-21.274590999999987</v>
      </c>
      <c r="AH490" s="34">
        <f>IF(DB_STProjectsSOF[[#This Row],[Plan]]&lt;&gt;0,DB_STProjectsSOF[[#This Row],[Actual]]/DB_STProjectsSOF[[#This Row],[Plan]],1.000011000011)</f>
        <v>0.88842902056874018</v>
      </c>
      <c r="AI490" s="34">
        <f>SUM(DB_STProjectsSOF[[#This Row],[Plan01]:[Plan12]])/valUnits2</f>
        <v>428.47108099999991</v>
      </c>
      <c r="AJ490" s="34">
        <f>SUMPRODUCT(DB_STProjectsSOF[[#This Row],[Act01]:[Act12]],$P$3:$AA$3)/valUnits2</f>
        <v>169.40753000000001</v>
      </c>
      <c r="AK490" s="34">
        <f>IF(DB_STProjectsSOF[[#This Row],[FY Plan]]&lt;&gt;0,DB_STProjectsSOF[[#This Row],[FY Actuals]]/DB_STProjectsSOF[[#This Row],[FY Plan]],1.000011000011)</f>
        <v>0.39537681190670609</v>
      </c>
    </row>
    <row r="491" spans="1:37" hidden="1" x14ac:dyDescent="0.2">
      <c r="A491">
        <f>SUBTOTAL(3,$B$6:B491)</f>
        <v>0</v>
      </c>
      <c r="B491" t="s">
        <v>956</v>
      </c>
      <c r="C491" t="s">
        <v>869</v>
      </c>
      <c r="D491">
        <v>111634.08999999998</v>
      </c>
      <c r="E491">
        <v>7996.0800000000036</v>
      </c>
      <c r="F491">
        <v>19427.309999999998</v>
      </c>
      <c r="G491">
        <v>132146.93</v>
      </c>
      <c r="H491">
        <v>30170.62</v>
      </c>
      <c r="I491">
        <v>10295</v>
      </c>
      <c r="J491">
        <v>10295</v>
      </c>
      <c r="K491">
        <v>10295</v>
      </c>
      <c r="L491">
        <v>10295</v>
      </c>
      <c r="M491">
        <v>10295</v>
      </c>
      <c r="N491">
        <v>10295</v>
      </c>
      <c r="O491">
        <v>10295</v>
      </c>
      <c r="P491">
        <v>111634.09</v>
      </c>
      <c r="Q491">
        <v>7996.0800000000017</v>
      </c>
      <c r="R491">
        <v>19427.310000000001</v>
      </c>
      <c r="S491">
        <v>132146.93</v>
      </c>
      <c r="T491">
        <v>30170.62000000001</v>
      </c>
      <c r="U491">
        <v>9375.6800000000021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s="164">
        <v>40817</v>
      </c>
      <c r="AC491" s="164">
        <v>42155</v>
      </c>
      <c r="AD491" s="164">
        <v>42217</v>
      </c>
      <c r="AE491" s="34">
        <f>SUMPRODUCT(DB_STProjectsSOF[[#This Row],[Plan01]:[Plan12]],$D$4:$O$4)/valUnits2</f>
        <v>311.67003</v>
      </c>
      <c r="AF491" s="34">
        <f>SUMPRODUCT(DB_STProjectsSOF[[#This Row],[Act01]:[Act12]],$P$4:$AA$4)/valUnits2</f>
        <v>310.75071000000003</v>
      </c>
      <c r="AG491" s="34">
        <f>DB_STProjectsSOF[[#This Row],[Actual]]-DB_STProjectsSOF[[#This Row],[Plan]]</f>
        <v>-0.91931999999997061</v>
      </c>
      <c r="AH491" s="34">
        <f>IF(DB_STProjectsSOF[[#This Row],[Plan]]&lt;&gt;0,DB_STProjectsSOF[[#This Row],[Actual]]/DB_STProjectsSOF[[#This Row],[Plan]],1.000011000011)</f>
        <v>0.99705034199149667</v>
      </c>
      <c r="AI491" s="34">
        <f>SUM(DB_STProjectsSOF[[#This Row],[Plan01]:[Plan12]])/valUnits2</f>
        <v>373.44002999999998</v>
      </c>
      <c r="AJ491" s="34">
        <f>SUMPRODUCT(DB_STProjectsSOF[[#This Row],[Act01]:[Act12]],$P$3:$AA$3)/valUnits2</f>
        <v>310.75071000000003</v>
      </c>
      <c r="AK491" s="34">
        <f>IF(DB_STProjectsSOF[[#This Row],[FY Plan]]&lt;&gt;0,DB_STProjectsSOF[[#This Row],[FY Actuals]]/DB_STProjectsSOF[[#This Row],[FY Plan]],1.000011000011)</f>
        <v>0.83213015487386299</v>
      </c>
    </row>
    <row r="492" spans="1:37" hidden="1" x14ac:dyDescent="0.2">
      <c r="A492">
        <f>SUBTOTAL(3,$B$6:B492)</f>
        <v>0</v>
      </c>
      <c r="B492" t="s">
        <v>956</v>
      </c>
      <c r="C492" t="s">
        <v>875</v>
      </c>
      <c r="D492">
        <v>1044.6479999999999</v>
      </c>
      <c r="E492">
        <v>692.01299999999992</v>
      </c>
      <c r="F492">
        <v>2483.8330000000001</v>
      </c>
      <c r="G492">
        <v>3811.8990000000003</v>
      </c>
      <c r="H492">
        <v>41019.810999999987</v>
      </c>
      <c r="I492">
        <v>8468.5399999999991</v>
      </c>
      <c r="J492">
        <v>8468.5399999999991</v>
      </c>
      <c r="K492">
        <v>8468.5399999999991</v>
      </c>
      <c r="L492">
        <v>8468.5399999999991</v>
      </c>
      <c r="M492">
        <v>8468.5400000000009</v>
      </c>
      <c r="N492">
        <v>8468.5400000000009</v>
      </c>
      <c r="O492">
        <v>8468.5399999999991</v>
      </c>
      <c r="P492">
        <v>1065.98</v>
      </c>
      <c r="Q492">
        <v>690.57</v>
      </c>
      <c r="R492">
        <v>2541.88</v>
      </c>
      <c r="S492">
        <v>3746.29</v>
      </c>
      <c r="T492">
        <v>42246.05999999999</v>
      </c>
      <c r="U492">
        <v>3853.0200000000004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s="164">
        <v>41275</v>
      </c>
      <c r="AC492" s="164">
        <v>41639</v>
      </c>
      <c r="AD492" s="164">
        <v>41649</v>
      </c>
      <c r="AE492" s="34">
        <f>SUMPRODUCT(DB_STProjectsSOF[[#This Row],[Plan01]:[Plan12]],$D$4:$O$4)/valUnits2</f>
        <v>57.520743999999986</v>
      </c>
      <c r="AF492" s="34">
        <f>SUMPRODUCT(DB_STProjectsSOF[[#This Row],[Act01]:[Act12]],$P$4:$AA$4)/valUnits2</f>
        <v>54.143799999999992</v>
      </c>
      <c r="AG492" s="34">
        <f>DB_STProjectsSOF[[#This Row],[Actual]]-DB_STProjectsSOF[[#This Row],[Plan]]</f>
        <v>-3.3769439999999946</v>
      </c>
      <c r="AH492" s="34">
        <f>IF(DB_STProjectsSOF[[#This Row],[Plan]]&lt;&gt;0,DB_STProjectsSOF[[#This Row],[Actual]]/DB_STProjectsSOF[[#This Row],[Plan]],1.000011000011)</f>
        <v>0.94129171903617948</v>
      </c>
      <c r="AI492" s="34">
        <f>SUM(DB_STProjectsSOF[[#This Row],[Plan01]:[Plan12]])/valUnits2</f>
        <v>108.33198399999998</v>
      </c>
      <c r="AJ492" s="34">
        <f>SUMPRODUCT(DB_STProjectsSOF[[#This Row],[Act01]:[Act12]],$P$3:$AA$3)/valUnits2</f>
        <v>54.143799999999992</v>
      </c>
      <c r="AK492" s="34">
        <f>IF(DB_STProjectsSOF[[#This Row],[FY Plan]]&lt;&gt;0,DB_STProjectsSOF[[#This Row],[FY Actuals]]/DB_STProjectsSOF[[#This Row],[FY Plan]],1.000011000011)</f>
        <v>0.49979514821772308</v>
      </c>
    </row>
    <row r="493" spans="1:37" hidden="1" x14ac:dyDescent="0.2">
      <c r="A493">
        <f>SUBTOTAL(3,$B$6:B493)</f>
        <v>0</v>
      </c>
      <c r="B493" t="s">
        <v>956</v>
      </c>
      <c r="C493" t="s">
        <v>876</v>
      </c>
      <c r="D493">
        <v>5338.03</v>
      </c>
      <c r="E493">
        <v>76531.8</v>
      </c>
      <c r="F493">
        <v>55713.140000000007</v>
      </c>
      <c r="G493">
        <v>-6317.05</v>
      </c>
      <c r="H493">
        <v>30890.21</v>
      </c>
      <c r="I493">
        <v>52960.398000000001</v>
      </c>
      <c r="J493">
        <v>14677.691999999999</v>
      </c>
      <c r="K493">
        <v>14677.691999999999</v>
      </c>
      <c r="L493">
        <v>14677.691999999999</v>
      </c>
      <c r="P493">
        <v>5338.0299999999816</v>
      </c>
      <c r="Q493">
        <v>76555.14999999998</v>
      </c>
      <c r="R493">
        <v>55713.14</v>
      </c>
      <c r="S493">
        <v>-6317.0499999999975</v>
      </c>
      <c r="T493">
        <v>30890.21</v>
      </c>
      <c r="U493">
        <v>46429.409999999996</v>
      </c>
      <c r="V493">
        <v>449.41</v>
      </c>
      <c r="W493">
        <v>0</v>
      </c>
      <c r="X493">
        <v>0</v>
      </c>
      <c r="AB493" s="164">
        <v>40817</v>
      </c>
      <c r="AC493" s="164">
        <v>41820</v>
      </c>
      <c r="AD493" s="164">
        <v>41835</v>
      </c>
      <c r="AE493" s="34">
        <f>SUMPRODUCT(DB_STProjectsSOF[[#This Row],[Plan01]:[Plan12]],$D$4:$O$4)/valUnits2</f>
        <v>215.11652799999999</v>
      </c>
      <c r="AF493" s="34">
        <f>SUMPRODUCT(DB_STProjectsSOF[[#This Row],[Act01]:[Act12]],$P$4:$AA$4)/valUnits2</f>
        <v>208.60888999999995</v>
      </c>
      <c r="AG493" s="34">
        <f>DB_STProjectsSOF[[#This Row],[Actual]]-DB_STProjectsSOF[[#This Row],[Plan]]</f>
        <v>-6.5076380000000427</v>
      </c>
      <c r="AH493" s="34">
        <f>IF(DB_STProjectsSOF[[#This Row],[Plan]]&lt;&gt;0,DB_STProjectsSOF[[#This Row],[Actual]]/DB_STProjectsSOF[[#This Row],[Plan]],1.000011000011)</f>
        <v>0.96974831241233106</v>
      </c>
      <c r="AI493" s="34">
        <f>SUM(DB_STProjectsSOF[[#This Row],[Plan01]:[Plan12]])/valUnits2</f>
        <v>259.14960400000001</v>
      </c>
      <c r="AJ493" s="34">
        <f>SUMPRODUCT(DB_STProjectsSOF[[#This Row],[Act01]:[Act12]],$P$3:$AA$3)/valUnits2</f>
        <v>208.60888999999995</v>
      </c>
      <c r="AK493" s="34">
        <f>IF(DB_STProjectsSOF[[#This Row],[FY Plan]]&lt;&gt;0,DB_STProjectsSOF[[#This Row],[FY Actuals]]/DB_STProjectsSOF[[#This Row],[FY Plan]],1.000011000011)</f>
        <v>0.80497475890412684</v>
      </c>
    </row>
    <row r="494" spans="1:37" hidden="1" x14ac:dyDescent="0.2">
      <c r="A494">
        <f>SUBTOTAL(3,$B$6:B494)</f>
        <v>0</v>
      </c>
      <c r="B494" t="s">
        <v>956</v>
      </c>
      <c r="C494" t="s">
        <v>879</v>
      </c>
      <c r="E494">
        <v>1347.7660000000001</v>
      </c>
      <c r="F494">
        <v>26199.86</v>
      </c>
      <c r="G494">
        <v>0</v>
      </c>
      <c r="H494">
        <v>58059.58</v>
      </c>
      <c r="I494">
        <v>10048.280000000001</v>
      </c>
      <c r="J494">
        <v>10083.751</v>
      </c>
      <c r="K494">
        <v>10048.279999999999</v>
      </c>
      <c r="L494">
        <v>10048.281000000001</v>
      </c>
      <c r="M494">
        <v>10048.280999999999</v>
      </c>
      <c r="N494">
        <v>10048.280999999999</v>
      </c>
      <c r="O494">
        <v>10048.280999999999</v>
      </c>
      <c r="Q494">
        <v>1346.3</v>
      </c>
      <c r="R494">
        <v>26928.3</v>
      </c>
      <c r="S494">
        <v>0</v>
      </c>
      <c r="T494">
        <v>59748.399999999994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s="164">
        <v>41275</v>
      </c>
      <c r="AC494" s="164">
        <v>41639</v>
      </c>
      <c r="AD494" s="164">
        <v>41649</v>
      </c>
      <c r="AE494" s="34">
        <f>SUMPRODUCT(DB_STProjectsSOF[[#This Row],[Plan01]:[Plan12]],$D$4:$O$4)/valUnits2</f>
        <v>95.65548600000001</v>
      </c>
      <c r="AF494" s="34">
        <f>SUMPRODUCT(DB_STProjectsSOF[[#This Row],[Act01]:[Act12]],$P$4:$AA$4)/valUnits2</f>
        <v>88.022999999999996</v>
      </c>
      <c r="AG494" s="34">
        <f>DB_STProjectsSOF[[#This Row],[Actual]]-DB_STProjectsSOF[[#This Row],[Plan]]</f>
        <v>-7.6324860000000143</v>
      </c>
      <c r="AH494" s="34">
        <f>IF(DB_STProjectsSOF[[#This Row],[Plan]]&lt;&gt;0,DB_STProjectsSOF[[#This Row],[Actual]]/DB_STProjectsSOF[[#This Row],[Plan]],1.000011000011)</f>
        <v>0.92020859106815878</v>
      </c>
      <c r="AI494" s="34">
        <f>SUM(DB_STProjectsSOF[[#This Row],[Plan01]:[Plan12]])/valUnits2</f>
        <v>155.98064099999996</v>
      </c>
      <c r="AJ494" s="34">
        <f>SUMPRODUCT(DB_STProjectsSOF[[#This Row],[Act01]:[Act12]],$P$3:$AA$3)/valUnits2</f>
        <v>88.022999999999996</v>
      </c>
      <c r="AK494" s="34">
        <f>IF(DB_STProjectsSOF[[#This Row],[FY Plan]]&lt;&gt;0,DB_STProjectsSOF[[#This Row],[FY Actuals]]/DB_STProjectsSOF[[#This Row],[FY Plan]],1.000011000011)</f>
        <v>0.56432002994525465</v>
      </c>
    </row>
    <row r="495" spans="1:37" hidden="1" x14ac:dyDescent="0.2">
      <c r="A495">
        <f>SUBTOTAL(3,$B$6:B495)</f>
        <v>0</v>
      </c>
      <c r="B495" t="s">
        <v>956</v>
      </c>
      <c r="C495" t="s">
        <v>891</v>
      </c>
      <c r="D495">
        <v>1201.345</v>
      </c>
      <c r="E495">
        <v>3866.3090000000002</v>
      </c>
      <c r="F495">
        <v>4404.1810000000005</v>
      </c>
      <c r="G495">
        <v>5184.1419999999998</v>
      </c>
      <c r="H495">
        <v>5679.05</v>
      </c>
      <c r="I495">
        <v>17559.864000000001</v>
      </c>
      <c r="J495">
        <v>16096.863999999998</v>
      </c>
      <c r="K495">
        <v>12925.016000000001</v>
      </c>
      <c r="L495">
        <v>13383.478999999999</v>
      </c>
      <c r="M495">
        <v>12726.108999999999</v>
      </c>
      <c r="N495">
        <v>13769.553</v>
      </c>
      <c r="O495">
        <v>14030.413999999999</v>
      </c>
      <c r="P495">
        <v>1182.8899999999999</v>
      </c>
      <c r="Q495">
        <v>3950.35</v>
      </c>
      <c r="R495">
        <v>4457.7599999999993</v>
      </c>
      <c r="S495">
        <v>5149.5800000000008</v>
      </c>
      <c r="T495">
        <v>5678.5700000000006</v>
      </c>
      <c r="U495">
        <v>7472.9000000000033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s="164">
        <v>41214</v>
      </c>
      <c r="AC495" s="164">
        <v>42308</v>
      </c>
      <c r="AD495" s="164">
        <v>42389</v>
      </c>
      <c r="AE495" s="34">
        <f>SUMPRODUCT(DB_STProjectsSOF[[#This Row],[Plan01]:[Plan12]],$D$4:$O$4)/valUnits2</f>
        <v>37.894891000000001</v>
      </c>
      <c r="AF495" s="34">
        <f>SUMPRODUCT(DB_STProjectsSOF[[#This Row],[Act01]:[Act12]],$P$4:$AA$4)/valUnits2</f>
        <v>27.892050000000005</v>
      </c>
      <c r="AG495" s="34">
        <f>DB_STProjectsSOF[[#This Row],[Actual]]-DB_STProjectsSOF[[#This Row],[Plan]]</f>
        <v>-10.002840999999997</v>
      </c>
      <c r="AH495" s="34">
        <f>IF(DB_STProjectsSOF[[#This Row],[Plan]]&lt;&gt;0,DB_STProjectsSOF[[#This Row],[Actual]]/DB_STProjectsSOF[[#This Row],[Plan]],1.000011000011)</f>
        <v>0.73603721409305556</v>
      </c>
      <c r="AI495" s="34">
        <f>SUM(DB_STProjectsSOF[[#This Row],[Plan01]:[Plan12]])/valUnits2</f>
        <v>120.82632599999999</v>
      </c>
      <c r="AJ495" s="34">
        <f>SUMPRODUCT(DB_STProjectsSOF[[#This Row],[Act01]:[Act12]],$P$3:$AA$3)/valUnits2</f>
        <v>27.892050000000005</v>
      </c>
      <c r="AK495" s="34">
        <f>IF(DB_STProjectsSOF[[#This Row],[FY Plan]]&lt;&gt;0,DB_STProjectsSOF[[#This Row],[FY Actuals]]/DB_STProjectsSOF[[#This Row],[FY Plan]],1.000011000011)</f>
        <v>0.2308441456707043</v>
      </c>
    </row>
    <row r="496" spans="1:37" hidden="1" x14ac:dyDescent="0.2">
      <c r="A496">
        <f>SUBTOTAL(3,$B$6:B496)</f>
        <v>0</v>
      </c>
      <c r="B496" t="s">
        <v>956</v>
      </c>
      <c r="C496" t="s">
        <v>365</v>
      </c>
      <c r="D496">
        <v>9656.07</v>
      </c>
      <c r="E496">
        <v>48.295999999999999</v>
      </c>
      <c r="F496">
        <v>26.175999999999998</v>
      </c>
      <c r="G496">
        <v>0</v>
      </c>
      <c r="H496">
        <v>16580.026999999998</v>
      </c>
      <c r="I496">
        <v>7952.771999999999</v>
      </c>
      <c r="J496">
        <v>10185.606</v>
      </c>
      <c r="K496">
        <v>10185.606</v>
      </c>
      <c r="P496">
        <v>9651.16</v>
      </c>
      <c r="Q496">
        <v>47.96</v>
      </c>
      <c r="R496">
        <v>26.34</v>
      </c>
      <c r="S496">
        <v>0</v>
      </c>
      <c r="T496">
        <v>17039.41</v>
      </c>
      <c r="U496">
        <v>83.83</v>
      </c>
      <c r="V496">
        <v>0</v>
      </c>
      <c r="W496">
        <v>0</v>
      </c>
      <c r="AB496" s="164">
        <v>40878</v>
      </c>
      <c r="AC496" s="164">
        <v>41517</v>
      </c>
      <c r="AD496" s="164">
        <v>41547</v>
      </c>
      <c r="AE496" s="34">
        <f>SUMPRODUCT(DB_STProjectsSOF[[#This Row],[Plan01]:[Plan12]],$D$4:$O$4)/valUnits2</f>
        <v>34.26334099999999</v>
      </c>
      <c r="AF496" s="34">
        <f>SUMPRODUCT(DB_STProjectsSOF[[#This Row],[Act01]:[Act12]],$P$4:$AA$4)/valUnits2</f>
        <v>26.848700000000001</v>
      </c>
      <c r="AG496" s="34">
        <f>DB_STProjectsSOF[[#This Row],[Actual]]-DB_STProjectsSOF[[#This Row],[Plan]]</f>
        <v>-7.4146409999999889</v>
      </c>
      <c r="AH496" s="34">
        <f>IF(DB_STProjectsSOF[[#This Row],[Plan]]&lt;&gt;0,DB_STProjectsSOF[[#This Row],[Actual]]/DB_STProjectsSOF[[#This Row],[Plan]],1.000011000011)</f>
        <v>0.78359842374974487</v>
      </c>
      <c r="AI496" s="34">
        <f>SUM(DB_STProjectsSOF[[#This Row],[Plan01]:[Plan12]])/valUnits2</f>
        <v>54.63455299999999</v>
      </c>
      <c r="AJ496" s="34">
        <f>SUMPRODUCT(DB_STProjectsSOF[[#This Row],[Act01]:[Act12]],$P$3:$AA$3)/valUnits2</f>
        <v>26.848700000000001</v>
      </c>
      <c r="AK496" s="34">
        <f>IF(DB_STProjectsSOF[[#This Row],[FY Plan]]&lt;&gt;0,DB_STProjectsSOF[[#This Row],[FY Actuals]]/DB_STProjectsSOF[[#This Row],[FY Plan]],1.000011000011)</f>
        <v>0.49142344040043678</v>
      </c>
    </row>
    <row r="497" spans="1:37" hidden="1" x14ac:dyDescent="0.2">
      <c r="A497">
        <f>SUBTOTAL(3,$B$6:B497)</f>
        <v>0</v>
      </c>
      <c r="B497" t="s">
        <v>956</v>
      </c>
      <c r="C497" t="s">
        <v>906</v>
      </c>
      <c r="D497">
        <v>149.51</v>
      </c>
      <c r="E497">
        <v>-1449.3440000000001</v>
      </c>
      <c r="P497">
        <v>112.57000000000016</v>
      </c>
      <c r="Q497">
        <v>-1545.67</v>
      </c>
      <c r="AB497" s="164">
        <v>40909</v>
      </c>
      <c r="AC497" s="164">
        <v>41274</v>
      </c>
      <c r="AD497" s="164">
        <v>41305</v>
      </c>
      <c r="AE497" s="34">
        <f>SUMPRODUCT(DB_STProjectsSOF[[#This Row],[Plan01]:[Plan12]],$D$4:$O$4)/valUnits2</f>
        <v>-1.2998340000000002</v>
      </c>
      <c r="AF497" s="34">
        <f>SUMPRODUCT(DB_STProjectsSOF[[#This Row],[Act01]:[Act12]],$P$4:$AA$4)/valUnits2</f>
        <v>-1.4330999999999998</v>
      </c>
      <c r="AG497" s="34">
        <f>DB_STProjectsSOF[[#This Row],[Actual]]-DB_STProjectsSOF[[#This Row],[Plan]]</f>
        <v>-0.13326599999999966</v>
      </c>
      <c r="AH497" s="34">
        <f>IF(DB_STProjectsSOF[[#This Row],[Plan]]&lt;&gt;0,DB_STProjectsSOF[[#This Row],[Actual]]/DB_STProjectsSOF[[#This Row],[Plan]],1.000011000011)</f>
        <v>1.1025253993971535</v>
      </c>
      <c r="AI497" s="34">
        <f>SUM(DB_STProjectsSOF[[#This Row],[Plan01]:[Plan12]])/valUnits2</f>
        <v>-1.2998340000000002</v>
      </c>
      <c r="AJ497" s="34">
        <f>SUMPRODUCT(DB_STProjectsSOF[[#This Row],[Act01]:[Act12]],$P$3:$AA$3)/valUnits2</f>
        <v>-1.4330999999999998</v>
      </c>
      <c r="AK497" s="34">
        <f>IF(DB_STProjectsSOF[[#This Row],[FY Plan]]&lt;&gt;0,DB_STProjectsSOF[[#This Row],[FY Actuals]]/DB_STProjectsSOF[[#This Row],[FY Plan]],1.000011000011)</f>
        <v>1.1025253993971535</v>
      </c>
    </row>
    <row r="498" spans="1:37" hidden="1" x14ac:dyDescent="0.2">
      <c r="A498">
        <f>SUBTOTAL(3,$B$6:B498)</f>
        <v>0</v>
      </c>
      <c r="B498" t="s">
        <v>956</v>
      </c>
      <c r="C498" t="s">
        <v>909</v>
      </c>
      <c r="D498">
        <v>103097.75</v>
      </c>
      <c r="E498">
        <v>10615.769999999979</v>
      </c>
      <c r="F498">
        <v>14804.089999999993</v>
      </c>
      <c r="G498">
        <v>135064.90999999995</v>
      </c>
      <c r="H498">
        <v>187311.38999999993</v>
      </c>
      <c r="I498">
        <v>109053.83000000002</v>
      </c>
      <c r="J498">
        <v>109053.83</v>
      </c>
      <c r="K498">
        <v>109053.83</v>
      </c>
      <c r="L498">
        <v>158311.82999999999</v>
      </c>
      <c r="M498">
        <v>159053.82999999999</v>
      </c>
      <c r="N498">
        <v>176788.83</v>
      </c>
      <c r="O498">
        <v>109053.83</v>
      </c>
      <c r="P498">
        <v>103097.74999999999</v>
      </c>
      <c r="Q498">
        <v>10615.770000000022</v>
      </c>
      <c r="R498">
        <v>14804.090000000013</v>
      </c>
      <c r="S498">
        <v>135064.91000000006</v>
      </c>
      <c r="T498">
        <v>187311.38999999993</v>
      </c>
      <c r="U498">
        <v>8666.8599999999587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s="164">
        <v>40817</v>
      </c>
      <c r="AC498" s="164">
        <v>42155</v>
      </c>
      <c r="AD498" s="164">
        <v>42217</v>
      </c>
      <c r="AE498" s="34">
        <f>SUMPRODUCT(DB_STProjectsSOF[[#This Row],[Plan01]:[Plan12]],$D$4:$O$4)/valUnits2</f>
        <v>559.94773999999973</v>
      </c>
      <c r="AF498" s="34">
        <f>SUMPRODUCT(DB_STProjectsSOF[[#This Row],[Act01]:[Act12]],$P$4:$AA$4)/valUnits2</f>
        <v>459.56076999999999</v>
      </c>
      <c r="AG498" s="34">
        <f>DB_STProjectsSOF[[#This Row],[Actual]]-DB_STProjectsSOF[[#This Row],[Plan]]</f>
        <v>-100.38696999999974</v>
      </c>
      <c r="AH498" s="34">
        <f>IF(DB_STProjectsSOF[[#This Row],[Plan]]&lt;&gt;0,DB_STProjectsSOF[[#This Row],[Actual]]/DB_STProjectsSOF[[#This Row],[Plan]],1.000011000011)</f>
        <v>0.82072082298251658</v>
      </c>
      <c r="AI498" s="34">
        <f>SUM(DB_STProjectsSOF[[#This Row],[Plan01]:[Plan12]])/valUnits2</f>
        <v>1381.2637199999997</v>
      </c>
      <c r="AJ498" s="34">
        <f>SUMPRODUCT(DB_STProjectsSOF[[#This Row],[Act01]:[Act12]],$P$3:$AA$3)/valUnits2</f>
        <v>459.56076999999999</v>
      </c>
      <c r="AK498" s="34">
        <f>IF(DB_STProjectsSOF[[#This Row],[FY Plan]]&lt;&gt;0,DB_STProjectsSOF[[#This Row],[FY Actuals]]/DB_STProjectsSOF[[#This Row],[FY Plan]],1.000011000011)</f>
        <v>0.33271037481531773</v>
      </c>
    </row>
    <row r="499" spans="1:37" hidden="1" x14ac:dyDescent="0.2">
      <c r="A499">
        <f>SUBTOTAL(3,$B$6:B499)</f>
        <v>0</v>
      </c>
      <c r="B499" t="s">
        <v>956</v>
      </c>
      <c r="C499" t="s">
        <v>917</v>
      </c>
      <c r="D499">
        <v>10948.574000000001</v>
      </c>
      <c r="E499">
        <v>4768.2910000000002</v>
      </c>
      <c r="F499">
        <v>0</v>
      </c>
      <c r="G499">
        <v>1073.396</v>
      </c>
      <c r="H499">
        <v>1077.5340000000001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10943.62</v>
      </c>
      <c r="Q499">
        <v>4753.18</v>
      </c>
      <c r="R499">
        <v>0</v>
      </c>
      <c r="S499">
        <v>1079.42</v>
      </c>
      <c r="T499">
        <v>1082.6299999999999</v>
      </c>
      <c r="U499">
        <v>2036.4499999999998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s="164">
        <v>40817</v>
      </c>
      <c r="AC499" s="164">
        <v>42155</v>
      </c>
      <c r="AD499" s="164">
        <v>42246</v>
      </c>
      <c r="AE499" s="34">
        <f>SUMPRODUCT(DB_STProjectsSOF[[#This Row],[Plan01]:[Plan12]],$D$4:$O$4)/valUnits2</f>
        <v>17.867795000000001</v>
      </c>
      <c r="AF499" s="34">
        <f>SUMPRODUCT(DB_STProjectsSOF[[#This Row],[Act01]:[Act12]],$P$4:$AA$4)/valUnits2</f>
        <v>19.895300000000002</v>
      </c>
      <c r="AG499" s="34">
        <f>DB_STProjectsSOF[[#This Row],[Actual]]-DB_STProjectsSOF[[#This Row],[Plan]]</f>
        <v>2.0275050000000014</v>
      </c>
      <c r="AH499" s="34">
        <f>IF(DB_STProjectsSOF[[#This Row],[Plan]]&lt;&gt;0,DB_STProjectsSOF[[#This Row],[Actual]]/DB_STProjectsSOF[[#This Row],[Plan]],1.000011000011)</f>
        <v>1.11347259132982</v>
      </c>
      <c r="AI499" s="34">
        <f>SUM(DB_STProjectsSOF[[#This Row],[Plan01]:[Plan12]])/valUnits2</f>
        <v>17.867795000000001</v>
      </c>
      <c r="AJ499" s="34">
        <f>SUMPRODUCT(DB_STProjectsSOF[[#This Row],[Act01]:[Act12]],$P$3:$AA$3)/valUnits2</f>
        <v>19.895300000000002</v>
      </c>
      <c r="AK499" s="34">
        <f>IF(DB_STProjectsSOF[[#This Row],[FY Plan]]&lt;&gt;0,DB_STProjectsSOF[[#This Row],[FY Actuals]]/DB_STProjectsSOF[[#This Row],[FY Plan]],1.000011000011)</f>
        <v>1.11347259132982</v>
      </c>
    </row>
    <row r="500" spans="1:37" hidden="1" x14ac:dyDescent="0.2">
      <c r="A500">
        <f>SUBTOTAL(3,$B$6:B500)</f>
        <v>0</v>
      </c>
      <c r="B500" t="s">
        <v>956</v>
      </c>
      <c r="C500" t="s">
        <v>922</v>
      </c>
      <c r="D500">
        <v>4938.1909999999998</v>
      </c>
      <c r="E500">
        <v>8108.5539999999983</v>
      </c>
      <c r="F500">
        <v>12100.385999999999</v>
      </c>
      <c r="G500">
        <v>6925.5629999999992</v>
      </c>
      <c r="H500">
        <v>8256.0329999999994</v>
      </c>
      <c r="I500">
        <v>8802.25</v>
      </c>
      <c r="J500">
        <v>8802.25</v>
      </c>
      <c r="K500">
        <v>8802.25</v>
      </c>
      <c r="L500">
        <v>8802.25</v>
      </c>
      <c r="M500">
        <v>8802.25</v>
      </c>
      <c r="N500">
        <v>8802.25</v>
      </c>
      <c r="O500">
        <v>8802.25</v>
      </c>
      <c r="P500">
        <v>4850.2699999999995</v>
      </c>
      <c r="Q500">
        <v>8309.869999999999</v>
      </c>
      <c r="R500">
        <v>12241.169999999998</v>
      </c>
      <c r="S500">
        <v>6880.14</v>
      </c>
      <c r="T500">
        <v>8210.0499999999993</v>
      </c>
      <c r="U500">
        <v>13599.84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s="164">
        <v>41000</v>
      </c>
      <c r="AC500" s="164">
        <v>41989</v>
      </c>
      <c r="AD500" s="164">
        <v>42078</v>
      </c>
      <c r="AE500" s="34">
        <f>SUMPRODUCT(DB_STProjectsSOF[[#This Row],[Plan01]:[Plan12]],$D$4:$O$4)/valUnits2</f>
        <v>49.130977000000001</v>
      </c>
      <c r="AF500" s="34">
        <f>SUMPRODUCT(DB_STProjectsSOF[[#This Row],[Act01]:[Act12]],$P$4:$AA$4)/valUnits2</f>
        <v>54.091339999999995</v>
      </c>
      <c r="AG500" s="34">
        <f>DB_STProjectsSOF[[#This Row],[Actual]]-DB_STProjectsSOF[[#This Row],[Plan]]</f>
        <v>4.9603629999999939</v>
      </c>
      <c r="AH500" s="34">
        <f>IF(DB_STProjectsSOF[[#This Row],[Plan]]&lt;&gt;0,DB_STProjectsSOF[[#This Row],[Actual]]/DB_STProjectsSOF[[#This Row],[Plan]],1.000011000011)</f>
        <v>1.1009620264624493</v>
      </c>
      <c r="AI500" s="34">
        <f>SUM(DB_STProjectsSOF[[#This Row],[Plan01]:[Plan12]])/valUnits2</f>
        <v>101.94447699999999</v>
      </c>
      <c r="AJ500" s="34">
        <f>SUMPRODUCT(DB_STProjectsSOF[[#This Row],[Act01]:[Act12]],$P$3:$AA$3)/valUnits2</f>
        <v>54.091339999999995</v>
      </c>
      <c r="AK500" s="34">
        <f>IF(DB_STProjectsSOF[[#This Row],[FY Plan]]&lt;&gt;0,DB_STProjectsSOF[[#This Row],[FY Actuals]]/DB_STProjectsSOF[[#This Row],[FY Plan]],1.000011000011)</f>
        <v>0.53059608123743673</v>
      </c>
    </row>
    <row r="501" spans="1:37" hidden="1" x14ac:dyDescent="0.2">
      <c r="A501">
        <f>SUBTOTAL(3,$B$6:B501)</f>
        <v>0</v>
      </c>
      <c r="B501" t="s">
        <v>956</v>
      </c>
      <c r="C501" t="s">
        <v>933</v>
      </c>
      <c r="D501">
        <v>54161.510000000009</v>
      </c>
      <c r="E501">
        <v>14573.820000000002</v>
      </c>
      <c r="F501">
        <v>71841.47</v>
      </c>
      <c r="G501">
        <v>86226.55</v>
      </c>
      <c r="H501">
        <v>59762.140000000007</v>
      </c>
      <c r="I501">
        <v>89542.5</v>
      </c>
      <c r="J501">
        <v>54115.5</v>
      </c>
      <c r="K501">
        <v>54114</v>
      </c>
      <c r="L501">
        <v>54114</v>
      </c>
      <c r="M501">
        <v>54114</v>
      </c>
      <c r="N501">
        <v>54114</v>
      </c>
      <c r="O501">
        <v>54114</v>
      </c>
      <c r="P501">
        <v>54161.51</v>
      </c>
      <c r="Q501">
        <v>14573.820000000005</v>
      </c>
      <c r="R501">
        <v>71841.470000000016</v>
      </c>
      <c r="S501">
        <v>86249.000000000029</v>
      </c>
      <c r="T501">
        <v>59762.14</v>
      </c>
      <c r="U501">
        <v>74012.029999999984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s="164">
        <v>40817</v>
      </c>
      <c r="AC501" s="164">
        <v>42155</v>
      </c>
      <c r="AD501" s="164">
        <v>42217</v>
      </c>
      <c r="AE501" s="34">
        <f>SUMPRODUCT(DB_STProjectsSOF[[#This Row],[Plan01]:[Plan12]],$D$4:$O$4)/valUnits2</f>
        <v>376.10799000000003</v>
      </c>
      <c r="AF501" s="34">
        <f>SUMPRODUCT(DB_STProjectsSOF[[#This Row],[Act01]:[Act12]],$P$4:$AA$4)/valUnits2</f>
        <v>360.59997000000004</v>
      </c>
      <c r="AG501" s="34">
        <f>DB_STProjectsSOF[[#This Row],[Actual]]-DB_STProjectsSOF[[#This Row],[Plan]]</f>
        <v>-15.508019999999988</v>
      </c>
      <c r="AH501" s="34">
        <f>IF(DB_STProjectsSOF[[#This Row],[Plan]]&lt;&gt;0,DB_STProjectsSOF[[#This Row],[Actual]]/DB_STProjectsSOF[[#This Row],[Plan]],1.000011000011)</f>
        <v>0.95876710835098189</v>
      </c>
      <c r="AI501" s="34">
        <f>SUM(DB_STProjectsSOF[[#This Row],[Plan01]:[Plan12]])/valUnits2</f>
        <v>700.79349000000002</v>
      </c>
      <c r="AJ501" s="34">
        <f>SUMPRODUCT(DB_STProjectsSOF[[#This Row],[Act01]:[Act12]],$P$3:$AA$3)/valUnits2</f>
        <v>360.59997000000004</v>
      </c>
      <c r="AK501" s="34">
        <f>IF(DB_STProjectsSOF[[#This Row],[FY Plan]]&lt;&gt;0,DB_STProjectsSOF[[#This Row],[FY Actuals]]/DB_STProjectsSOF[[#This Row],[FY Plan]],1.000011000011)</f>
        <v>0.51455953165318369</v>
      </c>
    </row>
    <row r="502" spans="1:37" hidden="1" x14ac:dyDescent="0.2">
      <c r="A502">
        <f>SUBTOTAL(3,$B$6:B502)</f>
        <v>0</v>
      </c>
      <c r="B502" t="s">
        <v>956</v>
      </c>
      <c r="C502" t="s">
        <v>934</v>
      </c>
      <c r="D502">
        <v>0</v>
      </c>
      <c r="E502">
        <v>0</v>
      </c>
      <c r="F502">
        <v>0</v>
      </c>
      <c r="G502">
        <v>1605695.61</v>
      </c>
      <c r="H502">
        <v>0</v>
      </c>
      <c r="I502">
        <v>1491983.7069999999</v>
      </c>
      <c r="J502">
        <v>0</v>
      </c>
      <c r="K502">
        <v>0</v>
      </c>
      <c r="L502">
        <v>1491983.7069999999</v>
      </c>
      <c r="M502">
        <v>0</v>
      </c>
      <c r="N502">
        <v>0</v>
      </c>
      <c r="O502">
        <v>1478955.7069999999</v>
      </c>
      <c r="P502">
        <v>0</v>
      </c>
      <c r="Q502">
        <v>0</v>
      </c>
      <c r="R502">
        <v>0</v>
      </c>
      <c r="S502">
        <v>1605695.61</v>
      </c>
      <c r="T502">
        <v>0</v>
      </c>
      <c r="U502">
        <v>572741.81999999995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s="164">
        <v>40817</v>
      </c>
      <c r="AC502" s="164">
        <v>42155</v>
      </c>
      <c r="AD502" s="164">
        <v>42247</v>
      </c>
      <c r="AE502" s="34">
        <f>SUMPRODUCT(DB_STProjectsSOF[[#This Row],[Plan01]:[Plan12]],$D$4:$O$4)/valUnits2</f>
        <v>3097.6793169999996</v>
      </c>
      <c r="AF502" s="34">
        <f>SUMPRODUCT(DB_STProjectsSOF[[#This Row],[Act01]:[Act12]],$P$4:$AA$4)/valUnits2</f>
        <v>2178.4374299999999</v>
      </c>
      <c r="AG502" s="34">
        <f>DB_STProjectsSOF[[#This Row],[Actual]]-DB_STProjectsSOF[[#This Row],[Plan]]</f>
        <v>-919.24188699999968</v>
      </c>
      <c r="AH502" s="34">
        <f>IF(DB_STProjectsSOF[[#This Row],[Plan]]&lt;&gt;0,DB_STProjectsSOF[[#This Row],[Actual]]/DB_STProjectsSOF[[#This Row],[Plan]],1.000011000011)</f>
        <v>0.70324820843938907</v>
      </c>
      <c r="AI502" s="34">
        <f>SUM(DB_STProjectsSOF[[#This Row],[Plan01]:[Plan12]])/valUnits2</f>
        <v>6068.6187310000005</v>
      </c>
      <c r="AJ502" s="34">
        <f>SUMPRODUCT(DB_STProjectsSOF[[#This Row],[Act01]:[Act12]],$P$3:$AA$3)/valUnits2</f>
        <v>2178.4374299999999</v>
      </c>
      <c r="AK502" s="34">
        <f>IF(DB_STProjectsSOF[[#This Row],[FY Plan]]&lt;&gt;0,DB_STProjectsSOF[[#This Row],[FY Actuals]]/DB_STProjectsSOF[[#This Row],[FY Plan]],1.000011000011)</f>
        <v>0.35896758827045838</v>
      </c>
    </row>
    <row r="503" spans="1:37" hidden="1" x14ac:dyDescent="0.2">
      <c r="A503">
        <f>SUBTOTAL(3,$B$6:B503)</f>
        <v>0</v>
      </c>
      <c r="B503" t="s">
        <v>979</v>
      </c>
      <c r="C503" t="s">
        <v>860</v>
      </c>
      <c r="D503">
        <v>0</v>
      </c>
      <c r="E503">
        <v>0</v>
      </c>
      <c r="F503">
        <v>0</v>
      </c>
      <c r="G503">
        <v>684.36</v>
      </c>
      <c r="H503">
        <v>5196.57</v>
      </c>
      <c r="I503">
        <v>31678.894000000004</v>
      </c>
      <c r="J503">
        <v>31678.894</v>
      </c>
      <c r="K503">
        <v>31678.894</v>
      </c>
      <c r="L503">
        <v>31782.894000000004</v>
      </c>
      <c r="P503">
        <v>0</v>
      </c>
      <c r="Q503">
        <v>0</v>
      </c>
      <c r="R503">
        <v>0</v>
      </c>
      <c r="S503">
        <v>684.36</v>
      </c>
      <c r="T503">
        <v>5196.57</v>
      </c>
      <c r="U503">
        <v>4760.0499999999993</v>
      </c>
      <c r="V503">
        <v>0</v>
      </c>
      <c r="W503">
        <v>0</v>
      </c>
      <c r="X503">
        <v>0</v>
      </c>
      <c r="AB503" s="164">
        <v>40969</v>
      </c>
      <c r="AC503" s="164">
        <v>42643</v>
      </c>
      <c r="AD503" s="164">
        <v>42704</v>
      </c>
      <c r="AE503" s="34">
        <f>SUMPRODUCT(DB_STProjectsSOF[[#This Row],[Plan01]:[Plan12]],$D$4:$O$4)/valUnits2</f>
        <v>37.559823999999999</v>
      </c>
      <c r="AF503" s="34">
        <f>SUMPRODUCT(DB_STProjectsSOF[[#This Row],[Act01]:[Act12]],$P$4:$AA$4)/valUnits2</f>
        <v>10.640979999999999</v>
      </c>
      <c r="AG503" s="34">
        <f>DB_STProjectsSOF[[#This Row],[Actual]]-DB_STProjectsSOF[[#This Row],[Plan]]</f>
        <v>-26.918844</v>
      </c>
      <c r="AH503" s="34">
        <f>IF(DB_STProjectsSOF[[#This Row],[Plan]]&lt;&gt;0,DB_STProjectsSOF[[#This Row],[Actual]]/DB_STProjectsSOF[[#This Row],[Plan]],1.000011000011)</f>
        <v>0.28330750431631413</v>
      </c>
      <c r="AI503" s="34">
        <f>SUM(DB_STProjectsSOF[[#This Row],[Plan01]:[Plan12]])/valUnits2</f>
        <v>132.70050599999999</v>
      </c>
      <c r="AJ503" s="34">
        <f>SUMPRODUCT(DB_STProjectsSOF[[#This Row],[Act01]:[Act12]],$P$3:$AA$3)/valUnits2</f>
        <v>10.640979999999999</v>
      </c>
      <c r="AK503" s="34">
        <f>IF(DB_STProjectsSOF[[#This Row],[FY Plan]]&lt;&gt;0,DB_STProjectsSOF[[#This Row],[FY Actuals]]/DB_STProjectsSOF[[#This Row],[FY Plan]],1.000011000011)</f>
        <v>8.018793839414598E-2</v>
      </c>
    </row>
    <row r="504" spans="1:37" hidden="1" x14ac:dyDescent="0.2">
      <c r="A504">
        <f>SUBTOTAL(3,$B$6:B504)</f>
        <v>0</v>
      </c>
      <c r="B504" t="s">
        <v>1000</v>
      </c>
      <c r="C504" t="s">
        <v>860</v>
      </c>
      <c r="D504">
        <v>10791.550000000001</v>
      </c>
      <c r="E504">
        <v>17596.89</v>
      </c>
      <c r="F504">
        <v>429401.63000000006</v>
      </c>
      <c r="G504">
        <v>276425.63</v>
      </c>
      <c r="H504">
        <v>47985.64</v>
      </c>
      <c r="I504">
        <v>124506.917</v>
      </c>
      <c r="J504">
        <v>124506.91700000002</v>
      </c>
      <c r="K504">
        <v>124506.91700000002</v>
      </c>
      <c r="L504">
        <v>124506.91700000002</v>
      </c>
      <c r="M504">
        <v>0</v>
      </c>
      <c r="N504">
        <v>0</v>
      </c>
      <c r="O504">
        <v>0</v>
      </c>
      <c r="P504">
        <v>10791.55</v>
      </c>
      <c r="Q504">
        <v>17618.440000000002</v>
      </c>
      <c r="R504">
        <v>429401.63000000018</v>
      </c>
      <c r="S504">
        <v>276425.63</v>
      </c>
      <c r="T504">
        <v>47985.64</v>
      </c>
      <c r="U504">
        <v>40203.200000000026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s="164">
        <v>40969</v>
      </c>
      <c r="AC504" s="164">
        <v>42643</v>
      </c>
      <c r="AD504" s="164">
        <v>42704</v>
      </c>
      <c r="AE504" s="34">
        <f>SUMPRODUCT(DB_STProjectsSOF[[#This Row],[Plan01]:[Plan12]],$D$4:$O$4)/valUnits2</f>
        <v>906.70825700000012</v>
      </c>
      <c r="AF504" s="34">
        <f>SUMPRODUCT(DB_STProjectsSOF[[#This Row],[Act01]:[Act12]],$P$4:$AA$4)/valUnits2</f>
        <v>822.42609000000027</v>
      </c>
      <c r="AG504" s="34">
        <f>DB_STProjectsSOF[[#This Row],[Actual]]-DB_STProjectsSOF[[#This Row],[Plan]]</f>
        <v>-84.282166999999845</v>
      </c>
      <c r="AH504" s="34">
        <f>IF(DB_STProjectsSOF[[#This Row],[Plan]]&lt;&gt;0,DB_STProjectsSOF[[#This Row],[Actual]]/DB_STProjectsSOF[[#This Row],[Plan]],1.000011000011)</f>
        <v>0.90704599153109966</v>
      </c>
      <c r="AI504" s="34">
        <f>SUM(DB_STProjectsSOF[[#This Row],[Plan01]:[Plan12]])/valUnits2</f>
        <v>1280.229008</v>
      </c>
      <c r="AJ504" s="34">
        <f>SUMPRODUCT(DB_STProjectsSOF[[#This Row],[Act01]:[Act12]],$P$3:$AA$3)/valUnits2</f>
        <v>822.42609000000027</v>
      </c>
      <c r="AK504" s="34">
        <f>IF(DB_STProjectsSOF[[#This Row],[FY Plan]]&lt;&gt;0,DB_STProjectsSOF[[#This Row],[FY Actuals]]/DB_STProjectsSOF[[#This Row],[FY Plan]],1.000011000011)</f>
        <v>0.64240544844770475</v>
      </c>
    </row>
    <row r="505" spans="1:37" hidden="1" x14ac:dyDescent="0.2">
      <c r="A505">
        <f>SUBTOTAL(3,$B$6:B505)</f>
        <v>0</v>
      </c>
      <c r="B505" t="s">
        <v>944</v>
      </c>
      <c r="C505" t="s">
        <v>843</v>
      </c>
      <c r="G505">
        <v>71414.804999999993</v>
      </c>
      <c r="H505">
        <v>44609.921999999999</v>
      </c>
      <c r="I505">
        <v>44265.897000000004</v>
      </c>
      <c r="J505">
        <v>44265.897000000004</v>
      </c>
      <c r="K505">
        <v>44265.897000000004</v>
      </c>
      <c r="L505">
        <v>44265.896999999997</v>
      </c>
      <c r="M505">
        <v>44265.896999999997</v>
      </c>
      <c r="N505">
        <v>44265.896999999997</v>
      </c>
      <c r="O505">
        <v>44265.897000000004</v>
      </c>
      <c r="S505">
        <v>72844.440000000017</v>
      </c>
      <c r="T505">
        <v>44488.500000000029</v>
      </c>
      <c r="U505">
        <v>7139.550000000002</v>
      </c>
      <c r="V505">
        <v>681</v>
      </c>
      <c r="W505">
        <v>0</v>
      </c>
      <c r="X505">
        <v>0</v>
      </c>
      <c r="Y505">
        <v>0</v>
      </c>
      <c r="Z505">
        <v>0</v>
      </c>
      <c r="AA505">
        <v>0</v>
      </c>
      <c r="AB505" s="164">
        <v>41275</v>
      </c>
      <c r="AC505" s="164">
        <v>42369</v>
      </c>
      <c r="AD505" s="164">
        <v>42492</v>
      </c>
      <c r="AE505" s="34">
        <f>SUMPRODUCT(DB_STProjectsSOF[[#This Row],[Plan01]:[Plan12]],$D$4:$O$4)/valUnits2</f>
        <v>160.29062399999998</v>
      </c>
      <c r="AF505" s="34">
        <f>SUMPRODUCT(DB_STProjectsSOF[[#This Row],[Act01]:[Act12]],$P$4:$AA$4)/valUnits2</f>
        <v>124.47249000000005</v>
      </c>
      <c r="AG505" s="34">
        <f>DB_STProjectsSOF[[#This Row],[Actual]]-DB_STProjectsSOF[[#This Row],[Plan]]</f>
        <v>-35.81813399999993</v>
      </c>
      <c r="AH505" s="34">
        <f>IF(DB_STProjectsSOF[[#This Row],[Plan]]&lt;&gt;0,DB_STProjectsSOF[[#This Row],[Actual]]/DB_STProjectsSOF[[#This Row],[Plan]],1.000011000011)</f>
        <v>0.77654255061107047</v>
      </c>
      <c r="AI505" s="34">
        <f>SUM(DB_STProjectsSOF[[#This Row],[Plan01]:[Plan12]])/valUnits2</f>
        <v>425.88600599999995</v>
      </c>
      <c r="AJ505" s="34">
        <f>SUMPRODUCT(DB_STProjectsSOF[[#This Row],[Act01]:[Act12]],$P$3:$AA$3)/valUnits2</f>
        <v>124.47249000000005</v>
      </c>
      <c r="AK505" s="34">
        <f>IF(DB_STProjectsSOF[[#This Row],[FY Plan]]&lt;&gt;0,DB_STProjectsSOF[[#This Row],[FY Actuals]]/DB_STProjectsSOF[[#This Row],[FY Plan]],1.000011000011)</f>
        <v>0.29226715188195235</v>
      </c>
    </row>
    <row r="506" spans="1:37" hidden="1" x14ac:dyDescent="0.2">
      <c r="A506">
        <f>SUBTOTAL(3,$B$6:B506)</f>
        <v>0</v>
      </c>
      <c r="B506" t="s">
        <v>944</v>
      </c>
      <c r="C506" t="s">
        <v>850</v>
      </c>
      <c r="D506">
        <v>6209.75</v>
      </c>
      <c r="E506">
        <v>3670.5280000000012</v>
      </c>
      <c r="F506">
        <v>6615.0839999999998</v>
      </c>
      <c r="G506">
        <v>44641.317000000003</v>
      </c>
      <c r="H506">
        <v>20136.372000000007</v>
      </c>
      <c r="I506">
        <v>18407.532999999999</v>
      </c>
      <c r="J506">
        <v>18407.532999999999</v>
      </c>
      <c r="K506">
        <v>18407.532999999999</v>
      </c>
      <c r="L506">
        <v>18407.532999999999</v>
      </c>
      <c r="M506">
        <v>18407.532999999999</v>
      </c>
      <c r="N506">
        <v>18407.532999999999</v>
      </c>
      <c r="O506">
        <v>18407.532999999999</v>
      </c>
      <c r="P506">
        <v>6209.75</v>
      </c>
      <c r="Q506">
        <v>3738.900000000001</v>
      </c>
      <c r="R506">
        <v>6613.7699999999995</v>
      </c>
      <c r="S506">
        <v>44863.480000000018</v>
      </c>
      <c r="T506">
        <v>20162.610000000004</v>
      </c>
      <c r="U506">
        <v>8727.6</v>
      </c>
      <c r="V506">
        <v>1324</v>
      </c>
      <c r="W506">
        <v>0</v>
      </c>
      <c r="X506">
        <v>0</v>
      </c>
      <c r="Y506">
        <v>0</v>
      </c>
      <c r="Z506">
        <v>0</v>
      </c>
      <c r="AA506">
        <v>0</v>
      </c>
      <c r="AB506" s="164">
        <v>40817</v>
      </c>
      <c r="AC506" s="164">
        <v>41639</v>
      </c>
      <c r="AD506" s="164">
        <v>41820</v>
      </c>
      <c r="AE506" s="34">
        <f>SUMPRODUCT(DB_STProjectsSOF[[#This Row],[Plan01]:[Plan12]],$D$4:$O$4)/valUnits2</f>
        <v>99.680583999999996</v>
      </c>
      <c r="AF506" s="34">
        <f>SUMPRODUCT(DB_STProjectsSOF[[#This Row],[Act01]:[Act12]],$P$4:$AA$4)/valUnits2</f>
        <v>90.316110000000023</v>
      </c>
      <c r="AG506" s="34">
        <f>DB_STProjectsSOF[[#This Row],[Actual]]-DB_STProjectsSOF[[#This Row],[Plan]]</f>
        <v>-9.3644739999999729</v>
      </c>
      <c r="AH506" s="34">
        <f>IF(DB_STProjectsSOF[[#This Row],[Plan]]&lt;&gt;0,DB_STProjectsSOF[[#This Row],[Actual]]/DB_STProjectsSOF[[#This Row],[Plan]],1.000011000011)</f>
        <v>0.90605518523045603</v>
      </c>
      <c r="AI506" s="34">
        <f>SUM(DB_STProjectsSOF[[#This Row],[Plan01]:[Plan12]])/valUnits2</f>
        <v>210.12578199999999</v>
      </c>
      <c r="AJ506" s="34">
        <f>SUMPRODUCT(DB_STProjectsSOF[[#This Row],[Act01]:[Act12]],$P$3:$AA$3)/valUnits2</f>
        <v>90.316110000000023</v>
      </c>
      <c r="AK506" s="34">
        <f>IF(DB_STProjectsSOF[[#This Row],[FY Plan]]&lt;&gt;0,DB_STProjectsSOF[[#This Row],[FY Actuals]]/DB_STProjectsSOF[[#This Row],[FY Plan]],1.000011000011)</f>
        <v>0.42981926891770011</v>
      </c>
    </row>
    <row r="507" spans="1:37" hidden="1" x14ac:dyDescent="0.2">
      <c r="A507">
        <f>SUBTOTAL(3,$B$6:B507)</f>
        <v>0</v>
      </c>
      <c r="B507" t="s">
        <v>944</v>
      </c>
      <c r="C507" t="s">
        <v>851</v>
      </c>
      <c r="F507">
        <v>0</v>
      </c>
      <c r="G507">
        <v>403.30500000000001</v>
      </c>
      <c r="H507">
        <v>6206.9159999999993</v>
      </c>
      <c r="I507">
        <v>4750.6330000000007</v>
      </c>
      <c r="J507">
        <v>4750.6330000000007</v>
      </c>
      <c r="K507">
        <v>4750.6330000000007</v>
      </c>
      <c r="L507">
        <v>4750.6330000000007</v>
      </c>
      <c r="M507">
        <v>4750.6330000000007</v>
      </c>
      <c r="N507">
        <v>4750.6330000000007</v>
      </c>
      <c r="O507">
        <v>4750.6330000000007</v>
      </c>
      <c r="R507">
        <v>0</v>
      </c>
      <c r="S507">
        <v>400.34999999999997</v>
      </c>
      <c r="T507">
        <v>6247.6799999999994</v>
      </c>
      <c r="U507">
        <v>13505.09</v>
      </c>
      <c r="V507">
        <v>453</v>
      </c>
      <c r="W507">
        <v>0</v>
      </c>
      <c r="X507">
        <v>0</v>
      </c>
      <c r="Y507">
        <v>0</v>
      </c>
      <c r="Z507">
        <v>0</v>
      </c>
      <c r="AA507">
        <v>0</v>
      </c>
      <c r="AB507" s="164">
        <v>41275</v>
      </c>
      <c r="AC507" s="164">
        <v>41639</v>
      </c>
      <c r="AD507" s="164">
        <v>41685</v>
      </c>
      <c r="AE507" s="34">
        <f>SUMPRODUCT(DB_STProjectsSOF[[#This Row],[Plan01]:[Plan12]],$D$4:$O$4)/valUnits2</f>
        <v>11.360854</v>
      </c>
      <c r="AF507" s="34">
        <f>SUMPRODUCT(DB_STProjectsSOF[[#This Row],[Act01]:[Act12]],$P$4:$AA$4)/valUnits2</f>
        <v>20.153119999999998</v>
      </c>
      <c r="AG507" s="34">
        <f>DB_STProjectsSOF[[#This Row],[Actual]]-DB_STProjectsSOF[[#This Row],[Plan]]</f>
        <v>8.7922659999999979</v>
      </c>
      <c r="AH507" s="34">
        <f>IF(DB_STProjectsSOF[[#This Row],[Plan]]&lt;&gt;0,DB_STProjectsSOF[[#This Row],[Actual]]/DB_STProjectsSOF[[#This Row],[Plan]],1.000011000011)</f>
        <v>1.7739088980458686</v>
      </c>
      <c r="AI507" s="34">
        <f>SUM(DB_STProjectsSOF[[#This Row],[Plan01]:[Plan12]])/valUnits2</f>
        <v>39.864652000000007</v>
      </c>
      <c r="AJ507" s="34">
        <f>SUMPRODUCT(DB_STProjectsSOF[[#This Row],[Act01]:[Act12]],$P$3:$AA$3)/valUnits2</f>
        <v>20.153119999999998</v>
      </c>
      <c r="AK507" s="34">
        <f>IF(DB_STProjectsSOF[[#This Row],[FY Plan]]&lt;&gt;0,DB_STProjectsSOF[[#This Row],[FY Actuals]]/DB_STProjectsSOF[[#This Row],[FY Plan]],1.000011000011)</f>
        <v>0.50553859093013009</v>
      </c>
    </row>
    <row r="508" spans="1:37" hidden="1" x14ac:dyDescent="0.2">
      <c r="A508">
        <f>SUBTOTAL(3,$B$6:B508)</f>
        <v>0</v>
      </c>
      <c r="B508" t="s">
        <v>944</v>
      </c>
      <c r="C508" t="s">
        <v>895</v>
      </c>
      <c r="D508">
        <v>57408.741000000016</v>
      </c>
      <c r="E508">
        <v>407.61400000000361</v>
      </c>
      <c r="F508">
        <v>70415.627999999997</v>
      </c>
      <c r="G508">
        <v>1744.254000000009</v>
      </c>
      <c r="H508">
        <v>47011.360999999997</v>
      </c>
      <c r="I508">
        <v>37403.968000000001</v>
      </c>
      <c r="J508">
        <v>24360.919000000009</v>
      </c>
      <c r="K508">
        <v>27023.005000000008</v>
      </c>
      <c r="L508">
        <v>24360.919000000005</v>
      </c>
      <c r="M508">
        <v>24360.919000000005</v>
      </c>
      <c r="N508">
        <v>29152.935000000012</v>
      </c>
      <c r="O508">
        <v>24360.919000000005</v>
      </c>
      <c r="P508">
        <v>56568.000000000007</v>
      </c>
      <c r="Q508">
        <v>416.46999999999849</v>
      </c>
      <c r="R508">
        <v>71053.039999999979</v>
      </c>
      <c r="S508">
        <v>1734.9799999999896</v>
      </c>
      <c r="T508">
        <v>47117.709999999992</v>
      </c>
      <c r="U508">
        <v>44895.400000000016</v>
      </c>
      <c r="V508">
        <v>57</v>
      </c>
      <c r="W508">
        <v>0</v>
      </c>
      <c r="X508">
        <v>0</v>
      </c>
      <c r="Y508">
        <v>0</v>
      </c>
      <c r="Z508">
        <v>0</v>
      </c>
      <c r="AA508">
        <v>0</v>
      </c>
      <c r="AB508" s="164">
        <v>40553</v>
      </c>
      <c r="AC508" s="164">
        <v>41897</v>
      </c>
      <c r="AD508" s="164">
        <v>41988</v>
      </c>
      <c r="AE508" s="34">
        <f>SUMPRODUCT(DB_STProjectsSOF[[#This Row],[Plan01]:[Plan12]],$D$4:$O$4)/valUnits2</f>
        <v>214.39156600000001</v>
      </c>
      <c r="AF508" s="34">
        <f>SUMPRODUCT(DB_STProjectsSOF[[#This Row],[Act01]:[Act12]],$P$4:$AA$4)/valUnits2</f>
        <v>221.78559999999999</v>
      </c>
      <c r="AG508" s="34">
        <f>DB_STProjectsSOF[[#This Row],[Actual]]-DB_STProjectsSOF[[#This Row],[Plan]]</f>
        <v>7.3940339999999765</v>
      </c>
      <c r="AH508" s="34">
        <f>IF(DB_STProjectsSOF[[#This Row],[Plan]]&lt;&gt;0,DB_STProjectsSOF[[#This Row],[Actual]]/DB_STProjectsSOF[[#This Row],[Plan]],1.000011000011)</f>
        <v>1.0344884555766525</v>
      </c>
      <c r="AI508" s="34">
        <f>SUM(DB_STProjectsSOF[[#This Row],[Plan01]:[Plan12]])/valUnits2</f>
        <v>368.01118200000002</v>
      </c>
      <c r="AJ508" s="34">
        <f>SUMPRODUCT(DB_STProjectsSOF[[#This Row],[Act01]:[Act12]],$P$3:$AA$3)/valUnits2</f>
        <v>221.78559999999999</v>
      </c>
      <c r="AK508" s="34">
        <f>IF(DB_STProjectsSOF[[#This Row],[FY Plan]]&lt;&gt;0,DB_STProjectsSOF[[#This Row],[FY Actuals]]/DB_STProjectsSOF[[#This Row],[FY Plan]],1.000011000011)</f>
        <v>0.60265994852297711</v>
      </c>
    </row>
    <row r="509" spans="1:37" hidden="1" x14ac:dyDescent="0.2">
      <c r="A509">
        <f>SUBTOTAL(3,$B$6:B509)</f>
        <v>0</v>
      </c>
      <c r="B509" t="s">
        <v>944</v>
      </c>
      <c r="C509" t="s">
        <v>907</v>
      </c>
      <c r="D509">
        <v>2101.1689999999999</v>
      </c>
      <c r="E509">
        <v>1132.0940000000001</v>
      </c>
      <c r="F509">
        <v>0</v>
      </c>
      <c r="G509">
        <v>-97.852000000000004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2072.52</v>
      </c>
      <c r="Q509">
        <v>1098.7100000000007</v>
      </c>
      <c r="R509">
        <v>0</v>
      </c>
      <c r="S509">
        <v>-100.25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s="164">
        <v>40909</v>
      </c>
      <c r="AC509" s="164">
        <v>41274</v>
      </c>
      <c r="AD509" s="164">
        <v>41320</v>
      </c>
      <c r="AE509" s="34">
        <f>SUMPRODUCT(DB_STProjectsSOF[[#This Row],[Plan01]:[Plan12]],$D$4:$O$4)/valUnits2</f>
        <v>3.1354109999999999</v>
      </c>
      <c r="AF509" s="34">
        <f>SUMPRODUCT(DB_STProjectsSOF[[#This Row],[Act01]:[Act12]],$P$4:$AA$4)/valUnits2</f>
        <v>3.0709800000000005</v>
      </c>
      <c r="AG509" s="34">
        <f>DB_STProjectsSOF[[#This Row],[Actual]]-DB_STProjectsSOF[[#This Row],[Plan]]</f>
        <v>-6.4430999999999461E-2</v>
      </c>
      <c r="AH509" s="34">
        <f>IF(DB_STProjectsSOF[[#This Row],[Plan]]&lt;&gt;0,DB_STProjectsSOF[[#This Row],[Actual]]/DB_STProjectsSOF[[#This Row],[Plan]],1.000011000011)</f>
        <v>0.97945054093386819</v>
      </c>
      <c r="AI509" s="34">
        <f>SUM(DB_STProjectsSOF[[#This Row],[Plan01]:[Plan12]])/valUnits2</f>
        <v>3.1354109999999999</v>
      </c>
      <c r="AJ509" s="34">
        <f>SUMPRODUCT(DB_STProjectsSOF[[#This Row],[Act01]:[Act12]],$P$3:$AA$3)/valUnits2</f>
        <v>3.0709800000000005</v>
      </c>
      <c r="AK509" s="34">
        <f>IF(DB_STProjectsSOF[[#This Row],[FY Plan]]&lt;&gt;0,DB_STProjectsSOF[[#This Row],[FY Actuals]]/DB_STProjectsSOF[[#This Row],[FY Plan]],1.000011000011)</f>
        <v>0.97945054093386819</v>
      </c>
    </row>
    <row r="510" spans="1:37" hidden="1" x14ac:dyDescent="0.2">
      <c r="A510">
        <f>SUBTOTAL(3,$B$6:B510)</f>
        <v>0</v>
      </c>
      <c r="B510" t="s">
        <v>996</v>
      </c>
      <c r="C510" t="s">
        <v>848</v>
      </c>
      <c r="D510">
        <v>83.542000000000002</v>
      </c>
      <c r="E510">
        <v>84.763000000000005</v>
      </c>
      <c r="F510">
        <v>544.44199999999989</v>
      </c>
      <c r="G510">
        <v>7541.7799999999988</v>
      </c>
      <c r="H510">
        <v>1660.3120000000001</v>
      </c>
      <c r="P510">
        <v>0</v>
      </c>
      <c r="Q510">
        <v>0</v>
      </c>
      <c r="R510">
        <v>459.67999999999995</v>
      </c>
      <c r="S510">
        <v>3876.5600000000004</v>
      </c>
      <c r="T510">
        <v>1642.52</v>
      </c>
      <c r="AB510" s="164">
        <v>40817</v>
      </c>
      <c r="AC510" s="164">
        <v>41090</v>
      </c>
      <c r="AD510" s="164">
        <v>41090</v>
      </c>
      <c r="AE510" s="34">
        <f>SUMPRODUCT(DB_STProjectsSOF[[#This Row],[Plan01]:[Plan12]],$D$4:$O$4)/valUnits2</f>
        <v>9.9148389999999988</v>
      </c>
      <c r="AF510" s="34">
        <f>SUMPRODUCT(DB_STProjectsSOF[[#This Row],[Act01]:[Act12]],$P$4:$AA$4)/valUnits2</f>
        <v>5.9787600000000003</v>
      </c>
      <c r="AG510" s="34">
        <f>DB_STProjectsSOF[[#This Row],[Actual]]-DB_STProjectsSOF[[#This Row],[Plan]]</f>
        <v>-3.9360789999999986</v>
      </c>
      <c r="AH510" s="34">
        <f>IF(DB_STProjectsSOF[[#This Row],[Plan]]&lt;&gt;0,DB_STProjectsSOF[[#This Row],[Actual]]/DB_STProjectsSOF[[#This Row],[Plan]],1.000011000011)</f>
        <v>0.60301130457085594</v>
      </c>
      <c r="AI510" s="34">
        <f>SUM(DB_STProjectsSOF[[#This Row],[Plan01]:[Plan12]])/valUnits2</f>
        <v>9.9148389999999988</v>
      </c>
      <c r="AJ510" s="34">
        <f>SUMPRODUCT(DB_STProjectsSOF[[#This Row],[Act01]:[Act12]],$P$3:$AA$3)/valUnits2</f>
        <v>5.9787600000000003</v>
      </c>
      <c r="AK510" s="34">
        <f>IF(DB_STProjectsSOF[[#This Row],[FY Plan]]&lt;&gt;0,DB_STProjectsSOF[[#This Row],[FY Actuals]]/DB_STProjectsSOF[[#This Row],[FY Plan]],1.000011000011)</f>
        <v>0.60301130457085594</v>
      </c>
    </row>
    <row r="511" spans="1:37" hidden="1" x14ac:dyDescent="0.2">
      <c r="A511">
        <f>SUBTOTAL(3,$B$6:B511)</f>
        <v>0</v>
      </c>
      <c r="B511" t="s">
        <v>996</v>
      </c>
      <c r="C511" t="s">
        <v>887</v>
      </c>
      <c r="D511">
        <v>383.459</v>
      </c>
      <c r="E511">
        <v>1555.423</v>
      </c>
      <c r="F511">
        <v>4858.4859999999999</v>
      </c>
      <c r="G511">
        <v>6355.0380000000005</v>
      </c>
      <c r="H511">
        <v>-972.90999999999985</v>
      </c>
      <c r="P511">
        <v>383.46</v>
      </c>
      <c r="Q511">
        <v>1555.41</v>
      </c>
      <c r="R511">
        <v>4838.74</v>
      </c>
      <c r="S511">
        <v>6298.74</v>
      </c>
      <c r="T511">
        <v>-961.03999999999974</v>
      </c>
      <c r="AB511" s="164">
        <v>40817</v>
      </c>
      <c r="AC511" s="164">
        <v>41364</v>
      </c>
      <c r="AD511" s="164">
        <v>41389</v>
      </c>
      <c r="AE511" s="34">
        <f>SUMPRODUCT(DB_STProjectsSOF[[#This Row],[Plan01]:[Plan12]],$D$4:$O$4)/valUnits2</f>
        <v>12.179496</v>
      </c>
      <c r="AF511" s="34">
        <f>SUMPRODUCT(DB_STProjectsSOF[[#This Row],[Act01]:[Act12]],$P$4:$AA$4)/valUnits2</f>
        <v>12.115309999999999</v>
      </c>
      <c r="AG511" s="34">
        <f>DB_STProjectsSOF[[#This Row],[Actual]]-DB_STProjectsSOF[[#This Row],[Plan]]</f>
        <v>-6.4186000000001187E-2</v>
      </c>
      <c r="AH511" s="34">
        <f>IF(DB_STProjectsSOF[[#This Row],[Plan]]&lt;&gt;0,DB_STProjectsSOF[[#This Row],[Actual]]/DB_STProjectsSOF[[#This Row],[Plan]],1.000011000011)</f>
        <v>0.99472999539554008</v>
      </c>
      <c r="AI511" s="34">
        <f>SUM(DB_STProjectsSOF[[#This Row],[Plan01]:[Plan12]])/valUnits2</f>
        <v>12.179496</v>
      </c>
      <c r="AJ511" s="34">
        <f>SUMPRODUCT(DB_STProjectsSOF[[#This Row],[Act01]:[Act12]],$P$3:$AA$3)/valUnits2</f>
        <v>12.115309999999999</v>
      </c>
      <c r="AK511" s="34">
        <f>IF(DB_STProjectsSOF[[#This Row],[FY Plan]]&lt;&gt;0,DB_STProjectsSOF[[#This Row],[FY Actuals]]/DB_STProjectsSOF[[#This Row],[FY Plan]],1.000011000011)</f>
        <v>0.99472999539554008</v>
      </c>
    </row>
    <row r="512" spans="1:37" hidden="1" x14ac:dyDescent="0.2">
      <c r="A512">
        <f>SUBTOTAL(3,$B$6:B512)</f>
        <v>0</v>
      </c>
      <c r="B512" t="s">
        <v>996</v>
      </c>
      <c r="C512" t="s">
        <v>932</v>
      </c>
      <c r="G512">
        <v>3367.5149999999999</v>
      </c>
      <c r="H512">
        <v>1721.943</v>
      </c>
      <c r="S512">
        <v>3336.95</v>
      </c>
      <c r="T512">
        <v>1855.28</v>
      </c>
      <c r="AB512" s="164">
        <v>40909</v>
      </c>
      <c r="AC512" s="164">
        <v>41274</v>
      </c>
      <c r="AD512" s="164">
        <v>41305</v>
      </c>
      <c r="AE512" s="34">
        <f>SUMPRODUCT(DB_STProjectsSOF[[#This Row],[Plan01]:[Plan12]],$D$4:$O$4)/valUnits2</f>
        <v>5.0894579999999996</v>
      </c>
      <c r="AF512" s="34">
        <f>SUMPRODUCT(DB_STProjectsSOF[[#This Row],[Act01]:[Act12]],$P$4:$AA$4)/valUnits2</f>
        <v>5.1922299999999995</v>
      </c>
      <c r="AG512" s="34">
        <f>DB_STProjectsSOF[[#This Row],[Actual]]-DB_STProjectsSOF[[#This Row],[Plan]]</f>
        <v>0.10277199999999986</v>
      </c>
      <c r="AH512" s="34">
        <f>IF(DB_STProjectsSOF[[#This Row],[Plan]]&lt;&gt;0,DB_STProjectsSOF[[#This Row],[Actual]]/DB_STProjectsSOF[[#This Row],[Plan]],1.000011000011)</f>
        <v>1.0201931129012165</v>
      </c>
      <c r="AI512" s="34">
        <f>SUM(DB_STProjectsSOF[[#This Row],[Plan01]:[Plan12]])/valUnits2</f>
        <v>5.0894579999999996</v>
      </c>
      <c r="AJ512" s="34">
        <f>SUMPRODUCT(DB_STProjectsSOF[[#This Row],[Act01]:[Act12]],$P$3:$AA$3)/valUnits2</f>
        <v>5.1922299999999995</v>
      </c>
      <c r="AK512" s="34">
        <f>IF(DB_STProjectsSOF[[#This Row],[FY Plan]]&lt;&gt;0,DB_STProjectsSOF[[#This Row],[FY Actuals]]/DB_STProjectsSOF[[#This Row],[FY Plan]],1.000011000011)</f>
        <v>1.0201931129012165</v>
      </c>
    </row>
    <row r="513" spans="1:37" hidden="1" x14ac:dyDescent="0.2">
      <c r="A513">
        <f>SUBTOTAL(3,$B$6:B513)</f>
        <v>0</v>
      </c>
      <c r="B513" t="s">
        <v>951</v>
      </c>
      <c r="C513" t="s">
        <v>887</v>
      </c>
      <c r="F513">
        <v>942.30700000000002</v>
      </c>
      <c r="R513">
        <v>936.19</v>
      </c>
      <c r="AB513" s="164">
        <v>40817</v>
      </c>
      <c r="AC513" s="164">
        <v>41364</v>
      </c>
      <c r="AD513" s="164">
        <v>41389</v>
      </c>
      <c r="AE513" s="34">
        <f>SUMPRODUCT(DB_STProjectsSOF[[#This Row],[Plan01]:[Plan12]],$D$4:$O$4)/valUnits2</f>
        <v>0.94230700000000001</v>
      </c>
      <c r="AF513" s="34">
        <f>SUMPRODUCT(DB_STProjectsSOF[[#This Row],[Act01]:[Act12]],$P$4:$AA$4)/valUnits2</f>
        <v>0.93619000000000008</v>
      </c>
      <c r="AG513" s="34">
        <f>DB_STProjectsSOF[[#This Row],[Actual]]-DB_STProjectsSOF[[#This Row],[Plan]]</f>
        <v>-6.1169999999999281E-3</v>
      </c>
      <c r="AH513" s="34">
        <f>IF(DB_STProjectsSOF[[#This Row],[Plan]]&lt;&gt;0,DB_STProjectsSOF[[#This Row],[Actual]]/DB_STProjectsSOF[[#This Row],[Plan]],1.000011000011)</f>
        <v>0.99350848502664213</v>
      </c>
      <c r="AI513" s="34">
        <f>SUM(DB_STProjectsSOF[[#This Row],[Plan01]:[Plan12]])/valUnits2</f>
        <v>0.94230700000000001</v>
      </c>
      <c r="AJ513" s="34">
        <f>SUMPRODUCT(DB_STProjectsSOF[[#This Row],[Act01]:[Act12]],$P$3:$AA$3)/valUnits2</f>
        <v>0.93619000000000008</v>
      </c>
      <c r="AK513" s="34">
        <f>IF(DB_STProjectsSOF[[#This Row],[FY Plan]]&lt;&gt;0,DB_STProjectsSOF[[#This Row],[FY Actuals]]/DB_STProjectsSOF[[#This Row],[FY Plan]],1.000011000011)</f>
        <v>0.99350848502664213</v>
      </c>
    </row>
    <row r="514" spans="1:37" hidden="1" x14ac:dyDescent="0.2">
      <c r="A514">
        <f>SUBTOTAL(3,$B$6:B514)</f>
        <v>0</v>
      </c>
      <c r="B514" t="s">
        <v>951</v>
      </c>
      <c r="C514" t="s">
        <v>932</v>
      </c>
      <c r="G514">
        <v>11574.745000000001</v>
      </c>
      <c r="S514">
        <v>11651.449999999999</v>
      </c>
      <c r="AB514" s="164">
        <v>40909</v>
      </c>
      <c r="AC514" s="164">
        <v>41274</v>
      </c>
      <c r="AD514" s="164">
        <v>41305</v>
      </c>
      <c r="AE514" s="34">
        <f>SUMPRODUCT(DB_STProjectsSOF[[#This Row],[Plan01]:[Plan12]],$D$4:$O$4)/valUnits2</f>
        <v>11.574745</v>
      </c>
      <c r="AF514" s="34">
        <f>SUMPRODUCT(DB_STProjectsSOF[[#This Row],[Act01]:[Act12]],$P$4:$AA$4)/valUnits2</f>
        <v>11.651449999999999</v>
      </c>
      <c r="AG514" s="34">
        <f>DB_STProjectsSOF[[#This Row],[Actual]]-DB_STProjectsSOF[[#This Row],[Plan]]</f>
        <v>7.6704999999998691E-2</v>
      </c>
      <c r="AH514" s="34">
        <f>IF(DB_STProjectsSOF[[#This Row],[Plan]]&lt;&gt;0,DB_STProjectsSOF[[#This Row],[Actual]]/DB_STProjectsSOF[[#This Row],[Plan]],1.000011000011)</f>
        <v>1.0066269278502462</v>
      </c>
      <c r="AI514" s="34">
        <f>SUM(DB_STProjectsSOF[[#This Row],[Plan01]:[Plan12]])/valUnits2</f>
        <v>11.574745</v>
      </c>
      <c r="AJ514" s="34">
        <f>SUMPRODUCT(DB_STProjectsSOF[[#This Row],[Act01]:[Act12]],$P$3:$AA$3)/valUnits2</f>
        <v>11.651449999999999</v>
      </c>
      <c r="AK514" s="34">
        <f>IF(DB_STProjectsSOF[[#This Row],[FY Plan]]&lt;&gt;0,DB_STProjectsSOF[[#This Row],[FY Actuals]]/DB_STProjectsSOF[[#This Row],[FY Plan]],1.000011000011)</f>
        <v>1.0066269278502462</v>
      </c>
    </row>
    <row r="515" spans="1:37" hidden="1" x14ac:dyDescent="0.2">
      <c r="A515">
        <f>SUBTOTAL(3,$B$6:B515)</f>
        <v>0</v>
      </c>
      <c r="B515" t="s">
        <v>955</v>
      </c>
      <c r="C515" t="s">
        <v>362</v>
      </c>
      <c r="D515">
        <v>0</v>
      </c>
      <c r="G515">
        <v>773.56600000000003</v>
      </c>
      <c r="H515">
        <v>11320.175999999998</v>
      </c>
      <c r="I515">
        <v>9854.0659999999971</v>
      </c>
      <c r="P515">
        <v>0</v>
      </c>
      <c r="S515">
        <v>762.01</v>
      </c>
      <c r="T515">
        <v>11343.030000000002</v>
      </c>
      <c r="U515">
        <v>62096.54</v>
      </c>
      <c r="AB515" s="164">
        <v>40909</v>
      </c>
      <c r="AC515" s="164">
        <v>41486</v>
      </c>
      <c r="AD515" s="164">
        <v>41670</v>
      </c>
      <c r="AE515" s="34">
        <f>SUMPRODUCT(DB_STProjectsSOF[[#This Row],[Plan01]:[Plan12]],$D$4:$O$4)/valUnits2</f>
        <v>21.947807999999998</v>
      </c>
      <c r="AF515" s="34">
        <f>SUMPRODUCT(DB_STProjectsSOF[[#This Row],[Act01]:[Act12]],$P$4:$AA$4)/valUnits2</f>
        <v>74.201580000000007</v>
      </c>
      <c r="AG515" s="34">
        <f>DB_STProjectsSOF[[#This Row],[Actual]]-DB_STProjectsSOF[[#This Row],[Plan]]</f>
        <v>52.253772000000012</v>
      </c>
      <c r="AH515" s="34">
        <f>IF(DB_STProjectsSOF[[#This Row],[Plan]]&lt;&gt;0,DB_STProjectsSOF[[#This Row],[Actual]]/DB_STProjectsSOF[[#This Row],[Plan]],1.000011000011)</f>
        <v>3.3808196244472346</v>
      </c>
      <c r="AI515" s="34">
        <f>SUM(DB_STProjectsSOF[[#This Row],[Plan01]:[Plan12]])/valUnits2</f>
        <v>21.947807999999998</v>
      </c>
      <c r="AJ515" s="34">
        <f>SUMPRODUCT(DB_STProjectsSOF[[#This Row],[Act01]:[Act12]],$P$3:$AA$3)/valUnits2</f>
        <v>74.201580000000007</v>
      </c>
      <c r="AK515" s="34">
        <f>IF(DB_STProjectsSOF[[#This Row],[FY Plan]]&lt;&gt;0,DB_STProjectsSOF[[#This Row],[FY Actuals]]/DB_STProjectsSOF[[#This Row],[FY Plan]],1.000011000011)</f>
        <v>3.3808196244472346</v>
      </c>
    </row>
    <row r="516" spans="1:37" hidden="1" x14ac:dyDescent="0.2">
      <c r="A516">
        <f>SUBTOTAL(3,$B$6:B516)</f>
        <v>0</v>
      </c>
      <c r="B516" t="s">
        <v>955</v>
      </c>
      <c r="C516" t="s">
        <v>358</v>
      </c>
      <c r="D516">
        <v>1612.9280000000001</v>
      </c>
      <c r="E516">
        <v>2464.7570000000001</v>
      </c>
      <c r="F516">
        <v>2427.3879999999995</v>
      </c>
      <c r="G516">
        <v>37145.897999999994</v>
      </c>
      <c r="H516">
        <v>7729.2829999999976</v>
      </c>
      <c r="I516">
        <v>28963.570000000003</v>
      </c>
      <c r="J516">
        <v>31603.296999999999</v>
      </c>
      <c r="K516">
        <v>33861.678</v>
      </c>
      <c r="L516">
        <v>37505.089000000007</v>
      </c>
      <c r="M516">
        <v>37362.669000000009</v>
      </c>
      <c r="N516">
        <v>37564.241999999998</v>
      </c>
      <c r="P516">
        <v>1645.5099999999998</v>
      </c>
      <c r="Q516">
        <v>2491.69</v>
      </c>
      <c r="R516">
        <v>2454.5100000000002</v>
      </c>
      <c r="S516">
        <v>36971.219999999994</v>
      </c>
      <c r="T516">
        <v>7857.800000000002</v>
      </c>
      <c r="U516">
        <v>78227.63</v>
      </c>
      <c r="V516">
        <v>0</v>
      </c>
      <c r="W516">
        <v>0</v>
      </c>
      <c r="X516">
        <v>0</v>
      </c>
      <c r="Y516">
        <v>0</v>
      </c>
      <c r="Z516">
        <v>0</v>
      </c>
      <c r="AB516" s="164">
        <v>41091</v>
      </c>
      <c r="AC516" s="164">
        <v>41455</v>
      </c>
      <c r="AD516" s="164">
        <v>41517</v>
      </c>
      <c r="AE516" s="34">
        <f>SUMPRODUCT(DB_STProjectsSOF[[#This Row],[Plan01]:[Plan12]],$D$4:$O$4)/valUnits2</f>
        <v>80.343823999999998</v>
      </c>
      <c r="AF516" s="34">
        <f>SUMPRODUCT(DB_STProjectsSOF[[#This Row],[Act01]:[Act12]],$P$4:$AA$4)/valUnits2</f>
        <v>129.64836</v>
      </c>
      <c r="AG516" s="34">
        <f>DB_STProjectsSOF[[#This Row],[Actual]]-DB_STProjectsSOF[[#This Row],[Plan]]</f>
        <v>49.304535999999999</v>
      </c>
      <c r="AH516" s="34">
        <f>IF(DB_STProjectsSOF[[#This Row],[Plan]]&lt;&gt;0,DB_STProjectsSOF[[#This Row],[Actual]]/DB_STProjectsSOF[[#This Row],[Plan]],1.000011000011)</f>
        <v>1.6136692722019306</v>
      </c>
      <c r="AI516" s="34">
        <f>SUM(DB_STProjectsSOF[[#This Row],[Plan01]:[Plan12]])/valUnits2</f>
        <v>258.24079900000004</v>
      </c>
      <c r="AJ516" s="34">
        <f>SUMPRODUCT(DB_STProjectsSOF[[#This Row],[Act01]:[Act12]],$P$3:$AA$3)/valUnits2</f>
        <v>129.64836</v>
      </c>
      <c r="AK516" s="34">
        <f>IF(DB_STProjectsSOF[[#This Row],[FY Plan]]&lt;&gt;0,DB_STProjectsSOF[[#This Row],[FY Actuals]]/DB_STProjectsSOF[[#This Row],[FY Plan]],1.000011000011)</f>
        <v>0.50204445038136669</v>
      </c>
    </row>
    <row r="517" spans="1:37" hidden="1" x14ac:dyDescent="0.2">
      <c r="A517">
        <f>SUBTOTAL(3,$B$6:B517)</f>
        <v>0</v>
      </c>
      <c r="B517" t="s">
        <v>955</v>
      </c>
      <c r="C517" t="s">
        <v>928</v>
      </c>
      <c r="D517">
        <v>13773.96800000001</v>
      </c>
      <c r="E517">
        <v>4404.3419999999996</v>
      </c>
      <c r="F517">
        <v>3943.9870000000001</v>
      </c>
      <c r="G517">
        <v>23190.711000000003</v>
      </c>
      <c r="H517">
        <v>386.22800000000001</v>
      </c>
      <c r="I517">
        <v>0</v>
      </c>
      <c r="P517">
        <v>13426.629999999997</v>
      </c>
      <c r="Q517">
        <v>4502.01</v>
      </c>
      <c r="R517">
        <v>3992.2799999999997</v>
      </c>
      <c r="S517">
        <v>22991.829999999998</v>
      </c>
      <c r="T517">
        <v>385.57000000000005</v>
      </c>
      <c r="U517">
        <v>-22224.769999999997</v>
      </c>
      <c r="AB517" s="164">
        <v>40817</v>
      </c>
      <c r="AC517" s="164">
        <v>41305</v>
      </c>
      <c r="AD517" s="164">
        <v>41394</v>
      </c>
      <c r="AE517" s="34">
        <f>SUMPRODUCT(DB_STProjectsSOF[[#This Row],[Plan01]:[Plan12]],$D$4:$O$4)/valUnits2</f>
        <v>45.69923600000002</v>
      </c>
      <c r="AF517" s="34">
        <f>SUMPRODUCT(DB_STProjectsSOF[[#This Row],[Act01]:[Act12]],$P$4:$AA$4)/valUnits2</f>
        <v>23.073550000000004</v>
      </c>
      <c r="AG517" s="34">
        <f>DB_STProjectsSOF[[#This Row],[Actual]]-DB_STProjectsSOF[[#This Row],[Plan]]</f>
        <v>-22.625686000000016</v>
      </c>
      <c r="AH517" s="34">
        <f>IF(DB_STProjectsSOF[[#This Row],[Plan]]&lt;&gt;0,DB_STProjectsSOF[[#This Row],[Actual]]/DB_STProjectsSOF[[#This Row],[Plan]],1.000011000011)</f>
        <v>0.50490012568262621</v>
      </c>
      <c r="AI517" s="34">
        <f>SUM(DB_STProjectsSOF[[#This Row],[Plan01]:[Plan12]])/valUnits2</f>
        <v>45.69923600000002</v>
      </c>
      <c r="AJ517" s="34">
        <f>SUMPRODUCT(DB_STProjectsSOF[[#This Row],[Act01]:[Act12]],$P$3:$AA$3)/valUnits2</f>
        <v>23.073550000000004</v>
      </c>
      <c r="AK517" s="34">
        <f>IF(DB_STProjectsSOF[[#This Row],[FY Plan]]&lt;&gt;0,DB_STProjectsSOF[[#This Row],[FY Actuals]]/DB_STProjectsSOF[[#This Row],[FY Plan]],1.000011000011)</f>
        <v>0.50490012568262621</v>
      </c>
    </row>
    <row r="518" spans="1:37" hidden="1" x14ac:dyDescent="0.2">
      <c r="A518">
        <f>SUBTOTAL(3,$B$6:B518)</f>
        <v>0</v>
      </c>
      <c r="B518" t="s">
        <v>966</v>
      </c>
      <c r="C518" t="s">
        <v>359</v>
      </c>
      <c r="D518">
        <v>0</v>
      </c>
      <c r="E518">
        <v>0</v>
      </c>
      <c r="F518">
        <v>2453.7269999999999</v>
      </c>
      <c r="G518">
        <v>4211.6930000000002</v>
      </c>
      <c r="H518">
        <v>348.37899999999991</v>
      </c>
      <c r="I518">
        <v>4348.768</v>
      </c>
      <c r="J518">
        <v>0</v>
      </c>
      <c r="P518">
        <v>0</v>
      </c>
      <c r="Q518">
        <v>0</v>
      </c>
      <c r="R518">
        <v>2425.6799999999998</v>
      </c>
      <c r="S518">
        <v>4242.33</v>
      </c>
      <c r="T518">
        <v>353.37000000000012</v>
      </c>
      <c r="U518">
        <v>534.29999999999939</v>
      </c>
      <c r="V518">
        <v>238.23</v>
      </c>
      <c r="AB518" s="164">
        <v>41275</v>
      </c>
      <c r="AC518" s="164">
        <v>41455</v>
      </c>
      <c r="AD518" s="164">
        <v>41547</v>
      </c>
      <c r="AE518" s="34">
        <f>SUMPRODUCT(DB_STProjectsSOF[[#This Row],[Plan01]:[Plan12]],$D$4:$O$4)/valUnits2</f>
        <v>11.362566999999999</v>
      </c>
      <c r="AF518" s="34">
        <f>SUMPRODUCT(DB_STProjectsSOF[[#This Row],[Act01]:[Act12]],$P$4:$AA$4)/valUnits2</f>
        <v>7.5556799999999997</v>
      </c>
      <c r="AG518" s="34">
        <f>DB_STProjectsSOF[[#This Row],[Actual]]-DB_STProjectsSOF[[#This Row],[Plan]]</f>
        <v>-3.8068869999999988</v>
      </c>
      <c r="AH518" s="34">
        <f>IF(DB_STProjectsSOF[[#This Row],[Plan]]&lt;&gt;0,DB_STProjectsSOF[[#This Row],[Actual]]/DB_STProjectsSOF[[#This Row],[Plan]],1.000011000011)</f>
        <v>0.66496241562315983</v>
      </c>
      <c r="AI518" s="34">
        <f>SUM(DB_STProjectsSOF[[#This Row],[Plan01]:[Plan12]])/valUnits2</f>
        <v>11.362566999999999</v>
      </c>
      <c r="AJ518" s="34">
        <f>SUMPRODUCT(DB_STProjectsSOF[[#This Row],[Act01]:[Act12]],$P$3:$AA$3)/valUnits2</f>
        <v>7.5556799999999997</v>
      </c>
      <c r="AK518" s="34">
        <f>IF(DB_STProjectsSOF[[#This Row],[FY Plan]]&lt;&gt;0,DB_STProjectsSOF[[#This Row],[FY Actuals]]/DB_STProjectsSOF[[#This Row],[FY Plan]],1.000011000011)</f>
        <v>0.66496241562315983</v>
      </c>
    </row>
    <row r="519" spans="1:37" hidden="1" x14ac:dyDescent="0.2">
      <c r="A519">
        <f>SUBTOTAL(3,$B$6:B519)</f>
        <v>0</v>
      </c>
      <c r="B519" t="s">
        <v>966</v>
      </c>
      <c r="C519" t="s">
        <v>360</v>
      </c>
      <c r="D519">
        <v>1081.4570000000001</v>
      </c>
      <c r="E519">
        <v>3682.498</v>
      </c>
      <c r="F519">
        <v>13794.330000000002</v>
      </c>
      <c r="G519">
        <v>19136.292999999998</v>
      </c>
      <c r="H519">
        <v>2495.6530000000002</v>
      </c>
      <c r="I519">
        <v>15802.603999999998</v>
      </c>
      <c r="J519">
        <v>0</v>
      </c>
      <c r="P519">
        <v>1091.95</v>
      </c>
      <c r="Q519">
        <v>3753.04</v>
      </c>
      <c r="R519">
        <v>13656.68</v>
      </c>
      <c r="S519">
        <v>19282</v>
      </c>
      <c r="T519">
        <v>2549.41</v>
      </c>
      <c r="U519">
        <v>2753.2699999999982</v>
      </c>
      <c r="V519">
        <v>1085.23</v>
      </c>
      <c r="AB519" s="164">
        <v>41091</v>
      </c>
      <c r="AC519" s="164">
        <v>41455</v>
      </c>
      <c r="AD519" s="164">
        <v>41547</v>
      </c>
      <c r="AE519" s="34">
        <f>SUMPRODUCT(DB_STProjectsSOF[[#This Row],[Plan01]:[Plan12]],$D$4:$O$4)/valUnits2</f>
        <v>55.992834999999999</v>
      </c>
      <c r="AF519" s="34">
        <f>SUMPRODUCT(DB_STProjectsSOF[[#This Row],[Act01]:[Act12]],$P$4:$AA$4)/valUnits2</f>
        <v>43.086349999999996</v>
      </c>
      <c r="AG519" s="34">
        <f>DB_STProjectsSOF[[#This Row],[Actual]]-DB_STProjectsSOF[[#This Row],[Plan]]</f>
        <v>-12.906485000000004</v>
      </c>
      <c r="AH519" s="34">
        <f>IF(DB_STProjectsSOF[[#This Row],[Plan]]&lt;&gt;0,DB_STProjectsSOF[[#This Row],[Actual]]/DB_STProjectsSOF[[#This Row],[Plan]],1.000011000011)</f>
        <v>0.76949756160765925</v>
      </c>
      <c r="AI519" s="34">
        <f>SUM(DB_STProjectsSOF[[#This Row],[Plan01]:[Plan12]])/valUnits2</f>
        <v>55.992834999999999</v>
      </c>
      <c r="AJ519" s="34">
        <f>SUMPRODUCT(DB_STProjectsSOF[[#This Row],[Act01]:[Act12]],$P$3:$AA$3)/valUnits2</f>
        <v>43.086349999999996</v>
      </c>
      <c r="AK519" s="34">
        <f>IF(DB_STProjectsSOF[[#This Row],[FY Plan]]&lt;&gt;0,DB_STProjectsSOF[[#This Row],[FY Actuals]]/DB_STProjectsSOF[[#This Row],[FY Plan]],1.000011000011)</f>
        <v>0.76949756160765925</v>
      </c>
    </row>
    <row r="520" spans="1:37" hidden="1" x14ac:dyDescent="0.2">
      <c r="A520">
        <f>SUBTOTAL(3,$B$6:B520)</f>
        <v>0</v>
      </c>
      <c r="B520" t="s">
        <v>987</v>
      </c>
      <c r="C520" t="s">
        <v>361</v>
      </c>
      <c r="D520">
        <v>29175.425000000003</v>
      </c>
      <c r="E520">
        <v>5391.5889999999999</v>
      </c>
      <c r="F520">
        <v>3659.3919999999998</v>
      </c>
      <c r="G520">
        <v>15298.187999999998</v>
      </c>
      <c r="H520">
        <v>5988.0910000000003</v>
      </c>
      <c r="I520">
        <v>14621.733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29736.309999999998</v>
      </c>
      <c r="Q520">
        <v>5419.8799999999983</v>
      </c>
      <c r="R520">
        <v>3689.6899999999996</v>
      </c>
      <c r="S520">
        <v>14909.330000000002</v>
      </c>
      <c r="T520">
        <v>6076.8099999999995</v>
      </c>
      <c r="U520">
        <v>19202.490000000002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s="164">
        <v>41091</v>
      </c>
      <c r="AC520" s="164">
        <v>41455</v>
      </c>
      <c r="AD520" s="164">
        <v>41486</v>
      </c>
      <c r="AE520" s="34">
        <f>SUMPRODUCT(DB_STProjectsSOF[[#This Row],[Plan01]:[Plan12]],$D$4:$O$4)/valUnits2</f>
        <v>74.134418000000011</v>
      </c>
      <c r="AF520" s="34">
        <f>SUMPRODUCT(DB_STProjectsSOF[[#This Row],[Act01]:[Act12]],$P$4:$AA$4)/valUnits2</f>
        <v>79.034509999999997</v>
      </c>
      <c r="AG520" s="34">
        <f>DB_STProjectsSOF[[#This Row],[Actual]]-DB_STProjectsSOF[[#This Row],[Plan]]</f>
        <v>4.9000919999999866</v>
      </c>
      <c r="AH520" s="34">
        <f>IF(DB_STProjectsSOF[[#This Row],[Plan]]&lt;&gt;0,DB_STProjectsSOF[[#This Row],[Actual]]/DB_STProjectsSOF[[#This Row],[Plan]],1.000011000011)</f>
        <v>1.0660973962188518</v>
      </c>
      <c r="AI520" s="34">
        <f>SUM(DB_STProjectsSOF[[#This Row],[Plan01]:[Plan12]])/valUnits2</f>
        <v>74.134418000000011</v>
      </c>
      <c r="AJ520" s="34">
        <f>SUMPRODUCT(DB_STProjectsSOF[[#This Row],[Act01]:[Act12]],$P$3:$AA$3)/valUnits2</f>
        <v>79.034509999999997</v>
      </c>
      <c r="AK520" s="34">
        <f>IF(DB_STProjectsSOF[[#This Row],[FY Plan]]&lt;&gt;0,DB_STProjectsSOF[[#This Row],[FY Actuals]]/DB_STProjectsSOF[[#This Row],[FY Plan]],1.000011000011)</f>
        <v>1.0660973962188518</v>
      </c>
    </row>
    <row r="521" spans="1:37" hidden="1" x14ac:dyDescent="0.2">
      <c r="A521">
        <f>SUBTOTAL(3,$B$6:B521)</f>
        <v>0</v>
      </c>
      <c r="B521" t="s">
        <v>987</v>
      </c>
      <c r="C521" t="s">
        <v>900</v>
      </c>
      <c r="F521">
        <v>-9.4999999996446149E-2</v>
      </c>
      <c r="R521">
        <v>-8.9999999999577085E-2</v>
      </c>
      <c r="AB521" s="164">
        <v>40817</v>
      </c>
      <c r="AC521" s="164">
        <v>41090</v>
      </c>
      <c r="AD521" s="164">
        <v>41109</v>
      </c>
      <c r="AE521" s="34">
        <f>SUMPRODUCT(DB_STProjectsSOF[[#This Row],[Plan01]:[Plan12]],$D$4:$O$4)/valUnits2</f>
        <v>-9.4999999996446153E-5</v>
      </c>
      <c r="AF521" s="34">
        <f>SUMPRODUCT(DB_STProjectsSOF[[#This Row],[Act01]:[Act12]],$P$4:$AA$4)/valUnits2</f>
        <v>-8.9999999999577086E-5</v>
      </c>
      <c r="AG521" s="34">
        <f>DB_STProjectsSOF[[#This Row],[Actual]]-DB_STProjectsSOF[[#This Row],[Plan]]</f>
        <v>4.9999999968690676E-6</v>
      </c>
      <c r="AH521" s="34">
        <f>IF(DB_STProjectsSOF[[#This Row],[Plan]]&lt;&gt;0,DB_STProjectsSOF[[#This Row],[Actual]]/DB_STProjectsSOF[[#This Row],[Plan]],1.000011000011)</f>
        <v>0.94736842108361985</v>
      </c>
      <c r="AI521" s="34">
        <f>SUM(DB_STProjectsSOF[[#This Row],[Plan01]:[Plan12]])/valUnits2</f>
        <v>-9.4999999996446153E-5</v>
      </c>
      <c r="AJ521" s="34">
        <f>SUMPRODUCT(DB_STProjectsSOF[[#This Row],[Act01]:[Act12]],$P$3:$AA$3)/valUnits2</f>
        <v>-8.9999999999577086E-5</v>
      </c>
      <c r="AK521" s="34">
        <f>IF(DB_STProjectsSOF[[#This Row],[FY Plan]]&lt;&gt;0,DB_STProjectsSOF[[#This Row],[FY Actuals]]/DB_STProjectsSOF[[#This Row],[FY Plan]],1.000011000011)</f>
        <v>0.94736842108361985</v>
      </c>
    </row>
    <row r="522" spans="1:37" hidden="1" x14ac:dyDescent="0.2">
      <c r="A522">
        <f>SUBTOTAL(3,$B$6:B522)</f>
        <v>0</v>
      </c>
      <c r="B522" t="s">
        <v>967</v>
      </c>
      <c r="C522" t="s">
        <v>928</v>
      </c>
      <c r="D522">
        <v>4215.1239999999998</v>
      </c>
      <c r="E522">
        <v>4144.5030000000006</v>
      </c>
      <c r="F522">
        <v>3940.9319999999998</v>
      </c>
      <c r="G522">
        <v>4317.5479999999998</v>
      </c>
      <c r="I522">
        <v>0</v>
      </c>
      <c r="P522">
        <v>4152.7900000000009</v>
      </c>
      <c r="Q522">
        <v>4231.41</v>
      </c>
      <c r="R522">
        <v>3977.13</v>
      </c>
      <c r="S522">
        <v>4292.93</v>
      </c>
      <c r="U522">
        <v>-12501.470000000001</v>
      </c>
      <c r="AB522" s="164">
        <v>40817</v>
      </c>
      <c r="AC522" s="164">
        <v>41305</v>
      </c>
      <c r="AD522" s="164">
        <v>41394</v>
      </c>
      <c r="AE522" s="34">
        <f>SUMPRODUCT(DB_STProjectsSOF[[#This Row],[Plan01]:[Plan12]],$D$4:$O$4)/valUnits2</f>
        <v>16.618106999999998</v>
      </c>
      <c r="AF522" s="34">
        <f>SUMPRODUCT(DB_STProjectsSOF[[#This Row],[Act01]:[Act12]],$P$4:$AA$4)/valUnits2</f>
        <v>4.1527900000000013</v>
      </c>
      <c r="AG522" s="34">
        <f>DB_STProjectsSOF[[#This Row],[Actual]]-DB_STProjectsSOF[[#This Row],[Plan]]</f>
        <v>-12.465316999999997</v>
      </c>
      <c r="AH522" s="34">
        <f>IF(DB_STProjectsSOF[[#This Row],[Plan]]&lt;&gt;0,DB_STProjectsSOF[[#This Row],[Actual]]/DB_STProjectsSOF[[#This Row],[Plan]],1.000011000011)</f>
        <v>0.24989549050322046</v>
      </c>
      <c r="AI522" s="34">
        <f>SUM(DB_STProjectsSOF[[#This Row],[Plan01]:[Plan12]])/valUnits2</f>
        <v>16.618106999999998</v>
      </c>
      <c r="AJ522" s="34">
        <f>SUMPRODUCT(DB_STProjectsSOF[[#This Row],[Act01]:[Act12]],$P$3:$AA$3)/valUnits2</f>
        <v>4.1527900000000013</v>
      </c>
      <c r="AK522" s="34">
        <f>IF(DB_STProjectsSOF[[#This Row],[FY Plan]]&lt;&gt;0,DB_STProjectsSOF[[#This Row],[FY Actuals]]/DB_STProjectsSOF[[#This Row],[FY Plan]],1.000011000011)</f>
        <v>0.24989549050322046</v>
      </c>
    </row>
    <row r="523" spans="1:37" hidden="1" x14ac:dyDescent="0.2">
      <c r="A523">
        <f>SUBTOTAL(3,$B$6:B523)</f>
        <v>0</v>
      </c>
      <c r="B523" t="s">
        <v>953</v>
      </c>
      <c r="C523" t="s">
        <v>853</v>
      </c>
      <c r="F523">
        <v>336.26799999999997</v>
      </c>
      <c r="G523">
        <v>320.65600000000001</v>
      </c>
      <c r="H523">
        <v>175.089</v>
      </c>
      <c r="I523">
        <v>554.19899999999996</v>
      </c>
      <c r="J523">
        <v>1924.893</v>
      </c>
      <c r="K523">
        <v>1924.893</v>
      </c>
      <c r="L523">
        <v>554.19900000000007</v>
      </c>
      <c r="M523">
        <v>1924.893</v>
      </c>
      <c r="N523">
        <v>1924.893</v>
      </c>
      <c r="O523">
        <v>554.19900000000007</v>
      </c>
      <c r="R523">
        <v>335.14</v>
      </c>
      <c r="S523">
        <v>314.67000000000007</v>
      </c>
      <c r="T523">
        <v>175.92000000000002</v>
      </c>
      <c r="U523">
        <v>597.64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s="164">
        <v>41275</v>
      </c>
      <c r="AC523" s="164">
        <v>41639</v>
      </c>
      <c r="AD523" s="164">
        <v>41669</v>
      </c>
      <c r="AE523" s="34">
        <f>SUMPRODUCT(DB_STProjectsSOF[[#This Row],[Plan01]:[Plan12]],$D$4:$O$4)/valUnits2</f>
        <v>1.386212</v>
      </c>
      <c r="AF523" s="34">
        <f>SUMPRODUCT(DB_STProjectsSOF[[#This Row],[Act01]:[Act12]],$P$4:$AA$4)/valUnits2</f>
        <v>1.4233699999999998</v>
      </c>
      <c r="AG523" s="34">
        <f>DB_STProjectsSOF[[#This Row],[Actual]]-DB_STProjectsSOF[[#This Row],[Plan]]</f>
        <v>3.7157999999999802E-2</v>
      </c>
      <c r="AH523" s="34">
        <f>IF(DB_STProjectsSOF[[#This Row],[Plan]]&lt;&gt;0,DB_STProjectsSOF[[#This Row],[Actual]]/DB_STProjectsSOF[[#This Row],[Plan]],1.000011000011)</f>
        <v>1.026805423701425</v>
      </c>
      <c r="AI523" s="34">
        <f>SUM(DB_STProjectsSOF[[#This Row],[Plan01]:[Plan12]])/valUnits2</f>
        <v>10.194182000000001</v>
      </c>
      <c r="AJ523" s="34">
        <f>SUMPRODUCT(DB_STProjectsSOF[[#This Row],[Act01]:[Act12]],$P$3:$AA$3)/valUnits2</f>
        <v>1.4233699999999998</v>
      </c>
      <c r="AK523" s="34">
        <f>IF(DB_STProjectsSOF[[#This Row],[FY Plan]]&lt;&gt;0,DB_STProjectsSOF[[#This Row],[FY Actuals]]/DB_STProjectsSOF[[#This Row],[FY Plan]],1.000011000011)</f>
        <v>0.13962571984686947</v>
      </c>
    </row>
    <row r="524" spans="1:37" hidden="1" x14ac:dyDescent="0.2">
      <c r="A524">
        <f>SUBTOTAL(3,$B$6:B524)</f>
        <v>0</v>
      </c>
      <c r="B524" t="s">
        <v>957</v>
      </c>
      <c r="C524" t="s">
        <v>858</v>
      </c>
      <c r="D524">
        <v>1531.98</v>
      </c>
      <c r="E524">
        <v>2067.5500000000002</v>
      </c>
      <c r="F524">
        <v>2275.65</v>
      </c>
      <c r="G524">
        <v>2495.92</v>
      </c>
      <c r="H524">
        <v>6837.23</v>
      </c>
      <c r="I524">
        <v>6140.0830000000005</v>
      </c>
      <c r="J524">
        <v>6140.0830000000005</v>
      </c>
      <c r="K524">
        <v>7015.0830000000005</v>
      </c>
      <c r="L524">
        <v>6140.0830000000005</v>
      </c>
      <c r="M524">
        <v>6140.0830000000005</v>
      </c>
      <c r="N524">
        <v>6140.0830000000005</v>
      </c>
      <c r="O524">
        <v>6140.0829999999996</v>
      </c>
      <c r="P524">
        <v>1531.98</v>
      </c>
      <c r="Q524">
        <v>2067.5500000000002</v>
      </c>
      <c r="R524">
        <v>2275.65</v>
      </c>
      <c r="S524">
        <v>2495.92</v>
      </c>
      <c r="T524">
        <v>6837.23</v>
      </c>
      <c r="U524">
        <v>4994.3999999999996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s="164">
        <v>41275</v>
      </c>
      <c r="AC524" s="164">
        <v>41639</v>
      </c>
      <c r="AD524" s="164">
        <v>41784</v>
      </c>
      <c r="AE524" s="34">
        <f>SUMPRODUCT(DB_STProjectsSOF[[#This Row],[Plan01]:[Plan12]],$D$4:$O$4)/valUnits2</f>
        <v>21.348413000000001</v>
      </c>
      <c r="AF524" s="34">
        <f>SUMPRODUCT(DB_STProjectsSOF[[#This Row],[Act01]:[Act12]],$P$4:$AA$4)/valUnits2</f>
        <v>20.202729999999999</v>
      </c>
      <c r="AG524" s="34">
        <f>DB_STProjectsSOF[[#This Row],[Actual]]-DB_STProjectsSOF[[#This Row],[Plan]]</f>
        <v>-1.1456830000000018</v>
      </c>
      <c r="AH524" s="34">
        <f>IF(DB_STProjectsSOF[[#This Row],[Plan]]&lt;&gt;0,DB_STProjectsSOF[[#This Row],[Actual]]/DB_STProjectsSOF[[#This Row],[Plan]],1.000011000011)</f>
        <v>0.94633404365935769</v>
      </c>
      <c r="AI524" s="34">
        <f>SUM(DB_STProjectsSOF[[#This Row],[Plan01]:[Plan12]])/valUnits2</f>
        <v>59.06391099999999</v>
      </c>
      <c r="AJ524" s="34">
        <f>SUMPRODUCT(DB_STProjectsSOF[[#This Row],[Act01]:[Act12]],$P$3:$AA$3)/valUnits2</f>
        <v>20.202729999999999</v>
      </c>
      <c r="AK524" s="34">
        <f>IF(DB_STProjectsSOF[[#This Row],[FY Plan]]&lt;&gt;0,DB_STProjectsSOF[[#This Row],[FY Actuals]]/DB_STProjectsSOF[[#This Row],[FY Plan]],1.000011000011)</f>
        <v>0.34204863270906666</v>
      </c>
    </row>
    <row r="525" spans="1:37" hidden="1" x14ac:dyDescent="0.2">
      <c r="A525">
        <f>SUBTOTAL(3,$B$6:B525)</f>
        <v>0</v>
      </c>
      <c r="B525" t="s">
        <v>957</v>
      </c>
      <c r="C525" t="s">
        <v>859</v>
      </c>
      <c r="D525">
        <v>-3797.5699999999956</v>
      </c>
      <c r="E525">
        <v>26265.154999999995</v>
      </c>
      <c r="F525">
        <v>1074.7699999999945</v>
      </c>
      <c r="G525">
        <v>129110.208</v>
      </c>
      <c r="H525">
        <v>5634.0660000000053</v>
      </c>
      <c r="I525">
        <v>90752.037000000011</v>
      </c>
      <c r="J525">
        <v>45084.934000000008</v>
      </c>
      <c r="K525">
        <v>45318.159000000021</v>
      </c>
      <c r="L525">
        <v>42878.477000000014</v>
      </c>
      <c r="M525">
        <v>41226.447000000007</v>
      </c>
      <c r="N525">
        <v>63712.292000000016</v>
      </c>
      <c r="O525">
        <v>52670.436000000023</v>
      </c>
      <c r="P525">
        <v>-3699.7099999999909</v>
      </c>
      <c r="Q525">
        <v>27140.720000000001</v>
      </c>
      <c r="R525">
        <v>1085.9100000000003</v>
      </c>
      <c r="S525">
        <v>127526.94</v>
      </c>
      <c r="T525">
        <v>5640.9299999999894</v>
      </c>
      <c r="U525">
        <v>7776.0099999999838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s="164">
        <v>40909</v>
      </c>
      <c r="AC525" s="164">
        <v>42004</v>
      </c>
      <c r="AD525" s="164">
        <v>42094</v>
      </c>
      <c r="AE525" s="34">
        <f>SUMPRODUCT(DB_STProjectsSOF[[#This Row],[Plan01]:[Plan12]],$D$4:$O$4)/valUnits2</f>
        <v>249.03866600000001</v>
      </c>
      <c r="AF525" s="34">
        <f>SUMPRODUCT(DB_STProjectsSOF[[#This Row],[Act01]:[Act12]],$P$4:$AA$4)/valUnits2</f>
        <v>165.4708</v>
      </c>
      <c r="AG525" s="34">
        <f>DB_STProjectsSOF[[#This Row],[Actual]]-DB_STProjectsSOF[[#This Row],[Plan]]</f>
        <v>-83.567866000000009</v>
      </c>
      <c r="AH525" s="34">
        <f>IF(DB_STProjectsSOF[[#This Row],[Plan]]&lt;&gt;0,DB_STProjectsSOF[[#This Row],[Actual]]/DB_STProjectsSOF[[#This Row],[Plan]],1.000011000011)</f>
        <v>0.66443818808441579</v>
      </c>
      <c r="AI525" s="34">
        <f>SUM(DB_STProjectsSOF[[#This Row],[Plan01]:[Plan12]])/valUnits2</f>
        <v>539.92941100000007</v>
      </c>
      <c r="AJ525" s="34">
        <f>SUMPRODUCT(DB_STProjectsSOF[[#This Row],[Act01]:[Act12]],$P$3:$AA$3)/valUnits2</f>
        <v>165.4708</v>
      </c>
      <c r="AK525" s="34">
        <f>IF(DB_STProjectsSOF[[#This Row],[FY Plan]]&lt;&gt;0,DB_STProjectsSOF[[#This Row],[FY Actuals]]/DB_STProjectsSOF[[#This Row],[FY Plan]],1.000011000011)</f>
        <v>0.30646746894845478</v>
      </c>
    </row>
    <row r="526" spans="1:37" hidden="1" x14ac:dyDescent="0.2">
      <c r="A526">
        <f>SUBTOTAL(3,$B$6:B526)</f>
        <v>0</v>
      </c>
      <c r="B526" t="s">
        <v>957</v>
      </c>
      <c r="C526" t="s">
        <v>862</v>
      </c>
      <c r="F526">
        <v>99.876999999999995</v>
      </c>
      <c r="G526">
        <v>6930.0259999999998</v>
      </c>
      <c r="H526">
        <v>80476.503000000012</v>
      </c>
      <c r="I526">
        <v>31600.264999999996</v>
      </c>
      <c r="J526">
        <v>31600.264999999996</v>
      </c>
      <c r="K526">
        <v>31600.264999999999</v>
      </c>
      <c r="L526">
        <v>31600.264999999999</v>
      </c>
      <c r="M526">
        <v>31600.264999999999</v>
      </c>
      <c r="N526">
        <v>31600.264999999999</v>
      </c>
      <c r="O526">
        <v>31600.264999999999</v>
      </c>
      <c r="R526">
        <v>101.13</v>
      </c>
      <c r="S526">
        <v>6973.49</v>
      </c>
      <c r="T526">
        <v>79531.429999999978</v>
      </c>
      <c r="U526">
        <v>13190.53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s="164">
        <v>41275</v>
      </c>
      <c r="AC526" s="164">
        <v>41639</v>
      </c>
      <c r="AD526" s="164">
        <v>3</v>
      </c>
      <c r="AE526" s="34">
        <f>SUMPRODUCT(DB_STProjectsSOF[[#This Row],[Plan01]:[Plan12]],$D$4:$O$4)/valUnits2</f>
        <v>119.10667100000002</v>
      </c>
      <c r="AF526" s="34">
        <f>SUMPRODUCT(DB_STProjectsSOF[[#This Row],[Act01]:[Act12]],$P$4:$AA$4)/valUnits2</f>
        <v>99.796579999999977</v>
      </c>
      <c r="AG526" s="34">
        <f>DB_STProjectsSOF[[#This Row],[Actual]]-DB_STProjectsSOF[[#This Row],[Plan]]</f>
        <v>-19.310091000000043</v>
      </c>
      <c r="AH526" s="34">
        <f>IF(DB_STProjectsSOF[[#This Row],[Plan]]&lt;&gt;0,DB_STProjectsSOF[[#This Row],[Actual]]/DB_STProjectsSOF[[#This Row],[Plan]],1.000011000011)</f>
        <v>0.83787565517635831</v>
      </c>
      <c r="AI526" s="34">
        <f>SUM(DB_STProjectsSOF[[#This Row],[Plan01]:[Plan12]])/valUnits2</f>
        <v>308.70826100000005</v>
      </c>
      <c r="AJ526" s="34">
        <f>SUMPRODUCT(DB_STProjectsSOF[[#This Row],[Act01]:[Act12]],$P$3:$AA$3)/valUnits2</f>
        <v>99.796579999999977</v>
      </c>
      <c r="AK526" s="34">
        <f>IF(DB_STProjectsSOF[[#This Row],[FY Plan]]&lt;&gt;0,DB_STProjectsSOF[[#This Row],[FY Actuals]]/DB_STProjectsSOF[[#This Row],[FY Plan]],1.000011000011)</f>
        <v>0.32327149159121454</v>
      </c>
    </row>
    <row r="527" spans="1:37" hidden="1" x14ac:dyDescent="0.2">
      <c r="A527">
        <f>SUBTOTAL(3,$B$6:B527)</f>
        <v>0</v>
      </c>
      <c r="B527" t="s">
        <v>957</v>
      </c>
      <c r="C527" t="s">
        <v>865</v>
      </c>
      <c r="D527">
        <v>865.33799999999997</v>
      </c>
      <c r="E527">
        <v>-877.99099999999999</v>
      </c>
      <c r="F527">
        <v>0</v>
      </c>
      <c r="G527">
        <v>0</v>
      </c>
      <c r="H527">
        <v>11295.225999999999</v>
      </c>
      <c r="I527">
        <v>2932.069</v>
      </c>
      <c r="J527">
        <v>2932.069</v>
      </c>
      <c r="K527">
        <v>2932.069</v>
      </c>
      <c r="L527">
        <v>2932.069</v>
      </c>
      <c r="M527">
        <v>2932.069</v>
      </c>
      <c r="N527">
        <v>2932.069</v>
      </c>
      <c r="O527">
        <v>2932.069</v>
      </c>
      <c r="P527">
        <v>865.34</v>
      </c>
      <c r="Q527">
        <v>-864.9</v>
      </c>
      <c r="R527">
        <v>0</v>
      </c>
      <c r="S527">
        <v>0</v>
      </c>
      <c r="T527">
        <v>11310.3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s="164">
        <v>40817</v>
      </c>
      <c r="AC527" s="164">
        <v>41639</v>
      </c>
      <c r="AD527" s="164">
        <v>41820</v>
      </c>
      <c r="AE527" s="34">
        <f>SUMPRODUCT(DB_STProjectsSOF[[#This Row],[Plan01]:[Plan12]],$D$4:$O$4)/valUnits2</f>
        <v>14.214641999999998</v>
      </c>
      <c r="AF527" s="34">
        <f>SUMPRODUCT(DB_STProjectsSOF[[#This Row],[Act01]:[Act12]],$P$4:$AA$4)/valUnits2</f>
        <v>11.310739999999999</v>
      </c>
      <c r="AG527" s="34">
        <f>DB_STProjectsSOF[[#This Row],[Actual]]-DB_STProjectsSOF[[#This Row],[Plan]]</f>
        <v>-2.9039019999999987</v>
      </c>
      <c r="AH527" s="34">
        <f>IF(DB_STProjectsSOF[[#This Row],[Plan]]&lt;&gt;0,DB_STProjectsSOF[[#This Row],[Actual]]/DB_STProjectsSOF[[#This Row],[Plan]],1.000011000011)</f>
        <v>0.79571050751753025</v>
      </c>
      <c r="AI527" s="34">
        <f>SUM(DB_STProjectsSOF[[#This Row],[Plan01]:[Plan12]])/valUnits2</f>
        <v>31.807055999999996</v>
      </c>
      <c r="AJ527" s="34">
        <f>SUMPRODUCT(DB_STProjectsSOF[[#This Row],[Act01]:[Act12]],$P$3:$AA$3)/valUnits2</f>
        <v>11.310739999999999</v>
      </c>
      <c r="AK527" s="34">
        <f>IF(DB_STProjectsSOF[[#This Row],[FY Plan]]&lt;&gt;0,DB_STProjectsSOF[[#This Row],[FY Actuals]]/DB_STProjectsSOF[[#This Row],[FY Plan]],1.000011000011)</f>
        <v>0.35560474380275875</v>
      </c>
    </row>
    <row r="528" spans="1:37" hidden="1" x14ac:dyDescent="0.2">
      <c r="A528">
        <f>SUBTOTAL(3,$B$6:B528)</f>
        <v>0</v>
      </c>
      <c r="B528" t="s">
        <v>957</v>
      </c>
      <c r="C528" t="s">
        <v>885</v>
      </c>
      <c r="D528">
        <v>25890.054000000004</v>
      </c>
      <c r="E528">
        <v>-15561.596000000001</v>
      </c>
      <c r="F528">
        <v>2978.6980000000003</v>
      </c>
      <c r="G528">
        <v>93326.723999999973</v>
      </c>
      <c r="H528">
        <v>73304.005999999979</v>
      </c>
      <c r="I528">
        <v>40621.507000000005</v>
      </c>
      <c r="J528">
        <v>40621.507000000005</v>
      </c>
      <c r="K528">
        <v>40621.507000000005</v>
      </c>
      <c r="L528">
        <v>40621.507000000005</v>
      </c>
      <c r="M528">
        <v>40621.507000000005</v>
      </c>
      <c r="N528">
        <v>40621.507000000005</v>
      </c>
      <c r="O528">
        <v>40621.507000000005</v>
      </c>
      <c r="P528">
        <v>25890.05</v>
      </c>
      <c r="Q528">
        <v>-15235.919999999998</v>
      </c>
      <c r="R528">
        <v>2978.86</v>
      </c>
      <c r="S528">
        <v>93688.950000000026</v>
      </c>
      <c r="T528">
        <v>73630.3</v>
      </c>
      <c r="U528">
        <v>7543.1099999999924</v>
      </c>
      <c r="V528">
        <v>11032.87</v>
      </c>
      <c r="W528">
        <v>0</v>
      </c>
      <c r="X528">
        <v>0</v>
      </c>
      <c r="Y528">
        <v>0</v>
      </c>
      <c r="Z528">
        <v>0</v>
      </c>
      <c r="AA528">
        <v>0</v>
      </c>
      <c r="AB528" s="164">
        <v>40817</v>
      </c>
      <c r="AC528" s="164">
        <v>41639</v>
      </c>
      <c r="AD528" s="164">
        <v>41820</v>
      </c>
      <c r="AE528" s="34">
        <f>SUMPRODUCT(DB_STProjectsSOF[[#This Row],[Plan01]:[Plan12]],$D$4:$O$4)/valUnits2</f>
        <v>220.55939299999994</v>
      </c>
      <c r="AF528" s="34">
        <f>SUMPRODUCT(DB_STProjectsSOF[[#This Row],[Act01]:[Act12]],$P$4:$AA$4)/valUnits2</f>
        <v>188.49535000000003</v>
      </c>
      <c r="AG528" s="34">
        <f>DB_STProjectsSOF[[#This Row],[Actual]]-DB_STProjectsSOF[[#This Row],[Plan]]</f>
        <v>-32.064042999999913</v>
      </c>
      <c r="AH528" s="34">
        <f>IF(DB_STProjectsSOF[[#This Row],[Plan]]&lt;&gt;0,DB_STProjectsSOF[[#This Row],[Actual]]/DB_STProjectsSOF[[#This Row],[Plan]],1.000011000011)</f>
        <v>0.85462399690227697</v>
      </c>
      <c r="AI528" s="34">
        <f>SUM(DB_STProjectsSOF[[#This Row],[Plan01]:[Plan12]])/valUnits2</f>
        <v>464.28843499999988</v>
      </c>
      <c r="AJ528" s="34">
        <f>SUMPRODUCT(DB_STProjectsSOF[[#This Row],[Act01]:[Act12]],$P$3:$AA$3)/valUnits2</f>
        <v>188.49535000000003</v>
      </c>
      <c r="AK528" s="34">
        <f>IF(DB_STProjectsSOF[[#This Row],[FY Plan]]&lt;&gt;0,DB_STProjectsSOF[[#This Row],[FY Actuals]]/DB_STProjectsSOF[[#This Row],[FY Plan]],1.000011000011)</f>
        <v>0.40598760552801638</v>
      </c>
    </row>
    <row r="529" spans="1:37" hidden="1" x14ac:dyDescent="0.2">
      <c r="A529">
        <f>SUBTOTAL(3,$B$6:B529)</f>
        <v>0</v>
      </c>
      <c r="B529" t="s">
        <v>957</v>
      </c>
      <c r="C529" t="s">
        <v>894</v>
      </c>
      <c r="D529">
        <v>4243.8900000000003</v>
      </c>
      <c r="E529">
        <v>-4204.5349999999999</v>
      </c>
      <c r="F529">
        <v>-242.30099999999999</v>
      </c>
      <c r="G529">
        <v>9433.9760000000006</v>
      </c>
      <c r="H529">
        <v>9589.4180000000015</v>
      </c>
      <c r="I529">
        <v>4154.3329999999996</v>
      </c>
      <c r="J529">
        <v>4154.3329999999996</v>
      </c>
      <c r="K529">
        <v>4154.3329999999996</v>
      </c>
      <c r="L529">
        <v>4154.3329999999996</v>
      </c>
      <c r="M529">
        <v>4154.3329999999996</v>
      </c>
      <c r="N529">
        <v>4154.3329999999996</v>
      </c>
      <c r="O529">
        <v>4154.3329999999996</v>
      </c>
      <c r="P529">
        <v>4256.37</v>
      </c>
      <c r="Q529">
        <v>-4117</v>
      </c>
      <c r="R529">
        <v>-246.06000000000023</v>
      </c>
      <c r="S529">
        <v>9444.2000000000007</v>
      </c>
      <c r="T529">
        <v>9987.7999999999993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s="164">
        <v>40817</v>
      </c>
      <c r="AC529" s="164">
        <v>41639</v>
      </c>
      <c r="AD529" s="164">
        <v>41820</v>
      </c>
      <c r="AE529" s="34">
        <f>SUMPRODUCT(DB_STProjectsSOF[[#This Row],[Plan01]:[Plan12]],$D$4:$O$4)/valUnits2</f>
        <v>22.974781000000004</v>
      </c>
      <c r="AF529" s="34">
        <f>SUMPRODUCT(DB_STProjectsSOF[[#This Row],[Act01]:[Act12]],$P$4:$AA$4)/valUnits2</f>
        <v>19.325309999999998</v>
      </c>
      <c r="AG529" s="34">
        <f>DB_STProjectsSOF[[#This Row],[Actual]]-DB_STProjectsSOF[[#This Row],[Plan]]</f>
        <v>-3.6494710000000055</v>
      </c>
      <c r="AH529" s="34">
        <f>IF(DB_STProjectsSOF[[#This Row],[Plan]]&lt;&gt;0,DB_STProjectsSOF[[#This Row],[Actual]]/DB_STProjectsSOF[[#This Row],[Plan]],1.000011000011)</f>
        <v>0.84115317573647364</v>
      </c>
      <c r="AI529" s="34">
        <f>SUM(DB_STProjectsSOF[[#This Row],[Plan01]:[Plan12]])/valUnits2</f>
        <v>47.900778999999993</v>
      </c>
      <c r="AJ529" s="34">
        <f>SUMPRODUCT(DB_STProjectsSOF[[#This Row],[Act01]:[Act12]],$P$3:$AA$3)/valUnits2</f>
        <v>19.325309999999998</v>
      </c>
      <c r="AK529" s="34">
        <f>IF(DB_STProjectsSOF[[#This Row],[FY Plan]]&lt;&gt;0,DB_STProjectsSOF[[#This Row],[FY Actuals]]/DB_STProjectsSOF[[#This Row],[FY Plan]],1.000011000011)</f>
        <v>0.40344458698677949</v>
      </c>
    </row>
    <row r="530" spans="1:37" hidden="1" x14ac:dyDescent="0.2">
      <c r="A530">
        <f>SUBTOTAL(3,$B$6:B530)</f>
        <v>0</v>
      </c>
      <c r="B530" t="s">
        <v>957</v>
      </c>
      <c r="C530" t="s">
        <v>905</v>
      </c>
      <c r="D530">
        <v>-2459.02</v>
      </c>
      <c r="E530">
        <v>615.39</v>
      </c>
      <c r="F530">
        <v>0</v>
      </c>
      <c r="G530">
        <v>0</v>
      </c>
      <c r="H530">
        <v>1917.8700000000003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-2459.02</v>
      </c>
      <c r="Q530">
        <v>615.39</v>
      </c>
      <c r="R530">
        <v>0</v>
      </c>
      <c r="S530">
        <v>0</v>
      </c>
      <c r="T530">
        <v>1917.8700000000003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s="164">
        <v>40909</v>
      </c>
      <c r="AC530" s="164">
        <v>41274</v>
      </c>
      <c r="AD530" s="164">
        <v>41364</v>
      </c>
      <c r="AE530" s="34">
        <f>SUMPRODUCT(DB_STProjectsSOF[[#This Row],[Plan01]:[Plan12]],$D$4:$O$4)/valUnits2</f>
        <v>7.4240000000000236E-2</v>
      </c>
      <c r="AF530" s="34">
        <f>SUMPRODUCT(DB_STProjectsSOF[[#This Row],[Act01]:[Act12]],$P$4:$AA$4)/valUnits2</f>
        <v>7.4240000000000236E-2</v>
      </c>
      <c r="AG530" s="34">
        <f>DB_STProjectsSOF[[#This Row],[Actual]]-DB_STProjectsSOF[[#This Row],[Plan]]</f>
        <v>0</v>
      </c>
      <c r="AH530" s="34">
        <f>IF(DB_STProjectsSOF[[#This Row],[Plan]]&lt;&gt;0,DB_STProjectsSOF[[#This Row],[Actual]]/DB_STProjectsSOF[[#This Row],[Plan]],1.000011000011)</f>
        <v>1</v>
      </c>
      <c r="AI530" s="34">
        <f>SUM(DB_STProjectsSOF[[#This Row],[Plan01]:[Plan12]])/valUnits2</f>
        <v>7.4240000000000236E-2</v>
      </c>
      <c r="AJ530" s="34">
        <f>SUMPRODUCT(DB_STProjectsSOF[[#This Row],[Act01]:[Act12]],$P$3:$AA$3)/valUnits2</f>
        <v>7.4240000000000236E-2</v>
      </c>
      <c r="AK530" s="34">
        <f>IF(DB_STProjectsSOF[[#This Row],[FY Plan]]&lt;&gt;0,DB_STProjectsSOF[[#This Row],[FY Actuals]]/DB_STProjectsSOF[[#This Row],[FY Plan]],1.000011000011)</f>
        <v>1</v>
      </c>
    </row>
    <row r="531" spans="1:37" hidden="1" x14ac:dyDescent="0.2">
      <c r="A531">
        <f>SUBTOTAL(3,$B$6:B531)</f>
        <v>0</v>
      </c>
      <c r="B531" t="s">
        <v>957</v>
      </c>
      <c r="C531" t="s">
        <v>354</v>
      </c>
      <c r="D531">
        <v>1996.9120000000007</v>
      </c>
      <c r="E531">
        <v>3437.3149999999991</v>
      </c>
      <c r="F531">
        <v>5048.5190000000011</v>
      </c>
      <c r="G531">
        <v>3517.1330000000007</v>
      </c>
      <c r="H531">
        <v>15796.521000000001</v>
      </c>
      <c r="I531">
        <v>12748.554</v>
      </c>
      <c r="P531">
        <v>2037.2299999999996</v>
      </c>
      <c r="Q531">
        <v>3454.9300000000007</v>
      </c>
      <c r="R531">
        <v>5130.9600000000009</v>
      </c>
      <c r="S531">
        <v>3462.8300000000004</v>
      </c>
      <c r="T531">
        <v>16039.03</v>
      </c>
      <c r="U531">
        <v>7768.5099999999993</v>
      </c>
      <c r="AB531" s="164">
        <v>41091</v>
      </c>
      <c r="AC531" s="164">
        <v>41455</v>
      </c>
      <c r="AD531" s="164">
        <v>41517</v>
      </c>
      <c r="AE531" s="34">
        <f>SUMPRODUCT(DB_STProjectsSOF[[#This Row],[Plan01]:[Plan12]],$D$4:$O$4)/valUnits2</f>
        <v>42.544953999999997</v>
      </c>
      <c r="AF531" s="34">
        <f>SUMPRODUCT(DB_STProjectsSOF[[#This Row],[Act01]:[Act12]],$P$4:$AA$4)/valUnits2</f>
        <v>37.893490000000007</v>
      </c>
      <c r="AG531" s="34">
        <f>DB_STProjectsSOF[[#This Row],[Actual]]-DB_STProjectsSOF[[#This Row],[Plan]]</f>
        <v>-4.6514639999999901</v>
      </c>
      <c r="AH531" s="34">
        <f>IF(DB_STProjectsSOF[[#This Row],[Plan]]&lt;&gt;0,DB_STProjectsSOF[[#This Row],[Actual]]/DB_STProjectsSOF[[#This Row],[Plan]],1.000011000011)</f>
        <v>0.89066943167925416</v>
      </c>
      <c r="AI531" s="34">
        <f>SUM(DB_STProjectsSOF[[#This Row],[Plan01]:[Plan12]])/valUnits2</f>
        <v>42.544953999999997</v>
      </c>
      <c r="AJ531" s="34">
        <f>SUMPRODUCT(DB_STProjectsSOF[[#This Row],[Act01]:[Act12]],$P$3:$AA$3)/valUnits2</f>
        <v>37.893490000000007</v>
      </c>
      <c r="AK531" s="34">
        <f>IF(DB_STProjectsSOF[[#This Row],[FY Plan]]&lt;&gt;0,DB_STProjectsSOF[[#This Row],[FY Actuals]]/DB_STProjectsSOF[[#This Row],[FY Plan]],1.000011000011)</f>
        <v>0.89066943167925416</v>
      </c>
    </row>
    <row r="532" spans="1:37" hidden="1" x14ac:dyDescent="0.2">
      <c r="A532">
        <f>SUBTOTAL(3,$B$6:B532)</f>
        <v>0</v>
      </c>
      <c r="B532" t="s">
        <v>957</v>
      </c>
      <c r="C532" t="s">
        <v>918</v>
      </c>
      <c r="D532">
        <v>70933.030999999988</v>
      </c>
      <c r="E532">
        <v>21.822999999996682</v>
      </c>
      <c r="F532">
        <v>41.058000000001755</v>
      </c>
      <c r="G532">
        <v>14378.821999999998</v>
      </c>
      <c r="H532">
        <v>1913.9569999999967</v>
      </c>
      <c r="I532">
        <v>17263.381999999994</v>
      </c>
      <c r="J532">
        <v>18152.125</v>
      </c>
      <c r="K532">
        <v>16340.862000000005</v>
      </c>
      <c r="L532">
        <v>15073.969000000005</v>
      </c>
      <c r="M532">
        <v>20780.716000000004</v>
      </c>
      <c r="N532">
        <v>14654.361000000001</v>
      </c>
      <c r="O532">
        <v>13990.391999999998</v>
      </c>
      <c r="P532">
        <v>68741.8</v>
      </c>
      <c r="Q532">
        <v>22.559999999994716</v>
      </c>
      <c r="R532">
        <v>41.740000000001601</v>
      </c>
      <c r="S532">
        <v>14296.000000000002</v>
      </c>
      <c r="T532">
        <v>1899.6300000000072</v>
      </c>
      <c r="U532">
        <v>16703.549999999996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s="164">
        <v>41091</v>
      </c>
      <c r="AC532" s="164">
        <v>42185</v>
      </c>
      <c r="AD532" s="164">
        <v>42247</v>
      </c>
      <c r="AE532" s="34">
        <f>SUMPRODUCT(DB_STProjectsSOF[[#This Row],[Plan01]:[Plan12]],$D$4:$O$4)/valUnits2</f>
        <v>104.55207299999999</v>
      </c>
      <c r="AF532" s="34">
        <f>SUMPRODUCT(DB_STProjectsSOF[[#This Row],[Act01]:[Act12]],$P$4:$AA$4)/valUnits2</f>
        <v>101.70528</v>
      </c>
      <c r="AG532" s="34">
        <f>DB_STProjectsSOF[[#This Row],[Actual]]-DB_STProjectsSOF[[#This Row],[Plan]]</f>
        <v>-2.846792999999991</v>
      </c>
      <c r="AH532" s="34">
        <f>IF(DB_STProjectsSOF[[#This Row],[Plan]]&lt;&gt;0,DB_STProjectsSOF[[#This Row],[Actual]]/DB_STProjectsSOF[[#This Row],[Plan]],1.000011000011)</f>
        <v>0.97277152983853332</v>
      </c>
      <c r="AI532" s="34">
        <f>SUM(DB_STProjectsSOF[[#This Row],[Plan01]:[Plan12]])/valUnits2</f>
        <v>203.54449800000003</v>
      </c>
      <c r="AJ532" s="34">
        <f>SUMPRODUCT(DB_STProjectsSOF[[#This Row],[Act01]:[Act12]],$P$3:$AA$3)/valUnits2</f>
        <v>101.70528</v>
      </c>
      <c r="AK532" s="34">
        <f>IF(DB_STProjectsSOF[[#This Row],[FY Plan]]&lt;&gt;0,DB_STProjectsSOF[[#This Row],[FY Actuals]]/DB_STProjectsSOF[[#This Row],[FY Plan]],1.000011000011)</f>
        <v>0.49967098594824205</v>
      </c>
    </row>
    <row r="533" spans="1:37" hidden="1" x14ac:dyDescent="0.2">
      <c r="A533">
        <f>SUBTOTAL(3,$B$6:B533)</f>
        <v>0</v>
      </c>
      <c r="B533" t="s">
        <v>957</v>
      </c>
      <c r="C533" t="s">
        <v>923</v>
      </c>
      <c r="G533">
        <v>0</v>
      </c>
      <c r="H533">
        <v>0</v>
      </c>
      <c r="I533">
        <v>5075.4619999999995</v>
      </c>
      <c r="J533">
        <v>5075.4619999999995</v>
      </c>
      <c r="K533">
        <v>5075.4619999999995</v>
      </c>
      <c r="L533">
        <v>5075.4619999999995</v>
      </c>
      <c r="M533">
        <v>5075.4619999999995</v>
      </c>
      <c r="N533">
        <v>5075.4619999999995</v>
      </c>
      <c r="O533">
        <v>5075.4619999999995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s="164">
        <v>41275</v>
      </c>
      <c r="AC533" s="164">
        <v>41639</v>
      </c>
      <c r="AD533" s="164">
        <v>41685</v>
      </c>
      <c r="AE533" s="34">
        <f>SUMPRODUCT(DB_STProjectsSOF[[#This Row],[Plan01]:[Plan12]],$D$4:$O$4)/valUnits2</f>
        <v>5.0754619999999999</v>
      </c>
      <c r="AF533" s="34">
        <f>SUMPRODUCT(DB_STProjectsSOF[[#This Row],[Act01]:[Act12]],$P$4:$AA$4)/valUnits2</f>
        <v>0</v>
      </c>
      <c r="AG533" s="34">
        <f>DB_STProjectsSOF[[#This Row],[Actual]]-DB_STProjectsSOF[[#This Row],[Plan]]</f>
        <v>-5.0754619999999999</v>
      </c>
      <c r="AH533" s="34">
        <f>IF(DB_STProjectsSOF[[#This Row],[Plan]]&lt;&gt;0,DB_STProjectsSOF[[#This Row],[Actual]]/DB_STProjectsSOF[[#This Row],[Plan]],1.000011000011)</f>
        <v>0</v>
      </c>
      <c r="AI533" s="34">
        <f>SUM(DB_STProjectsSOF[[#This Row],[Plan01]:[Plan12]])/valUnits2</f>
        <v>35.528233999999998</v>
      </c>
      <c r="AJ533" s="34">
        <f>SUMPRODUCT(DB_STProjectsSOF[[#This Row],[Act01]:[Act12]],$P$3:$AA$3)/valUnits2</f>
        <v>0</v>
      </c>
      <c r="AK533" s="34">
        <f>IF(DB_STProjectsSOF[[#This Row],[FY Plan]]&lt;&gt;0,DB_STProjectsSOF[[#This Row],[FY Actuals]]/DB_STProjectsSOF[[#This Row],[FY Plan]],1.000011000011)</f>
        <v>0</v>
      </c>
    </row>
    <row r="534" spans="1:37" hidden="1" x14ac:dyDescent="0.2">
      <c r="A534">
        <f>SUBTOTAL(3,$B$6:B534)</f>
        <v>0</v>
      </c>
      <c r="B534" t="s">
        <v>957</v>
      </c>
      <c r="C534" t="s">
        <v>925</v>
      </c>
      <c r="D534">
        <v>6819.9470000000001</v>
      </c>
      <c r="E534">
        <v>-3413.87</v>
      </c>
      <c r="F534">
        <v>0</v>
      </c>
      <c r="G534">
        <v>-3348.2700000000004</v>
      </c>
      <c r="H534">
        <v>580.32799999999997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6736.45</v>
      </c>
      <c r="Q534">
        <v>-3322.34</v>
      </c>
      <c r="R534">
        <v>0</v>
      </c>
      <c r="S534">
        <v>-3411.53</v>
      </c>
      <c r="T534">
        <v>583.55000000000007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s="164">
        <v>40909</v>
      </c>
      <c r="AC534" s="164">
        <v>41639</v>
      </c>
      <c r="AD534" s="164">
        <v>41713</v>
      </c>
      <c r="AE534" s="34">
        <f>SUMPRODUCT(DB_STProjectsSOF[[#This Row],[Plan01]:[Plan12]],$D$4:$O$4)/valUnits2</f>
        <v>0.63813499999999979</v>
      </c>
      <c r="AF534" s="34">
        <f>SUMPRODUCT(DB_STProjectsSOF[[#This Row],[Act01]:[Act12]],$P$4:$AA$4)/valUnits2</f>
        <v>0.5861299999999996</v>
      </c>
      <c r="AG534" s="34">
        <f>DB_STProjectsSOF[[#This Row],[Actual]]-DB_STProjectsSOF[[#This Row],[Plan]]</f>
        <v>-5.200500000000019E-2</v>
      </c>
      <c r="AH534" s="34">
        <f>IF(DB_STProjectsSOF[[#This Row],[Plan]]&lt;&gt;0,DB_STProjectsSOF[[#This Row],[Actual]]/DB_STProjectsSOF[[#This Row],[Plan]],1.000011000011)</f>
        <v>0.91850470511725546</v>
      </c>
      <c r="AI534" s="34">
        <f>SUM(DB_STProjectsSOF[[#This Row],[Plan01]:[Plan12]])/valUnits2</f>
        <v>0.63813499999999979</v>
      </c>
      <c r="AJ534" s="34">
        <f>SUMPRODUCT(DB_STProjectsSOF[[#This Row],[Act01]:[Act12]],$P$3:$AA$3)/valUnits2</f>
        <v>0.5861299999999996</v>
      </c>
      <c r="AK534" s="34">
        <f>IF(DB_STProjectsSOF[[#This Row],[FY Plan]]&lt;&gt;0,DB_STProjectsSOF[[#This Row],[FY Actuals]]/DB_STProjectsSOF[[#This Row],[FY Plan]],1.000011000011)</f>
        <v>0.91850470511725546</v>
      </c>
    </row>
    <row r="535" spans="1:37" hidden="1" x14ac:dyDescent="0.2">
      <c r="A535">
        <f>SUBTOTAL(3,$B$6:B535)</f>
        <v>0</v>
      </c>
      <c r="B535" t="s">
        <v>945</v>
      </c>
      <c r="C535" t="s">
        <v>856</v>
      </c>
      <c r="D535">
        <v>140577.72100000002</v>
      </c>
      <c r="E535">
        <v>94060.826000000001</v>
      </c>
      <c r="F535">
        <v>190511.98500000002</v>
      </c>
      <c r="G535">
        <v>158423.66399999999</v>
      </c>
      <c r="H535">
        <v>228074.43300000002</v>
      </c>
      <c r="I535">
        <v>61980.573000000004</v>
      </c>
      <c r="J535">
        <v>89863.986999999994</v>
      </c>
      <c r="K535">
        <v>89863.986999999994</v>
      </c>
      <c r="L535">
        <v>89863.986999999994</v>
      </c>
      <c r="M535">
        <v>89863.986999999994</v>
      </c>
      <c r="N535">
        <v>89863.987000000008</v>
      </c>
      <c r="O535">
        <v>89863.986999999994</v>
      </c>
      <c r="P535">
        <v>102200.32000000001</v>
      </c>
      <c r="Q535">
        <v>57106.250000000007</v>
      </c>
      <c r="R535">
        <v>151338.07</v>
      </c>
      <c r="S535">
        <v>94046.639999999985</v>
      </c>
      <c r="T535">
        <v>161603.94000000003</v>
      </c>
      <c r="U535">
        <v>114442.76999999999</v>
      </c>
      <c r="V535">
        <v>5924.21</v>
      </c>
      <c r="W535">
        <v>0</v>
      </c>
      <c r="X535">
        <v>0</v>
      </c>
      <c r="Y535">
        <v>0</v>
      </c>
      <c r="Z535">
        <v>0</v>
      </c>
      <c r="AA535">
        <v>0</v>
      </c>
      <c r="AB535" s="164">
        <v>40817</v>
      </c>
      <c r="AC535" s="164">
        <v>42338</v>
      </c>
      <c r="AD535" s="164">
        <v>42490</v>
      </c>
      <c r="AE535" s="34">
        <f>SUMPRODUCT(DB_STProjectsSOF[[#This Row],[Plan01]:[Plan12]],$D$4:$O$4)/valUnits2</f>
        <v>873.62920199999996</v>
      </c>
      <c r="AF535" s="34">
        <f>SUMPRODUCT(DB_STProjectsSOF[[#This Row],[Act01]:[Act12]],$P$4:$AA$4)/valUnits2</f>
        <v>680.73799000000008</v>
      </c>
      <c r="AG535" s="34">
        <f>DB_STProjectsSOF[[#This Row],[Actual]]-DB_STProjectsSOF[[#This Row],[Plan]]</f>
        <v>-192.89121199999988</v>
      </c>
      <c r="AH535" s="34">
        <f>IF(DB_STProjectsSOF[[#This Row],[Plan]]&lt;&gt;0,DB_STProjectsSOF[[#This Row],[Actual]]/DB_STProjectsSOF[[#This Row],[Plan]],1.000011000011)</f>
        <v>0.7792070004546392</v>
      </c>
      <c r="AI535" s="34">
        <f>SUM(DB_STProjectsSOF[[#This Row],[Plan01]:[Plan12]])/valUnits2</f>
        <v>1412.8131239999998</v>
      </c>
      <c r="AJ535" s="34">
        <f>SUMPRODUCT(DB_STProjectsSOF[[#This Row],[Act01]:[Act12]],$P$3:$AA$3)/valUnits2</f>
        <v>680.73799000000008</v>
      </c>
      <c r="AK535" s="34">
        <f>IF(DB_STProjectsSOF[[#This Row],[FY Plan]]&lt;&gt;0,DB_STProjectsSOF[[#This Row],[FY Actuals]]/DB_STProjectsSOF[[#This Row],[FY Plan]],1.000011000011)</f>
        <v>0.4818315872326227</v>
      </c>
    </row>
    <row r="536" spans="1:37" hidden="1" x14ac:dyDescent="0.2">
      <c r="A536">
        <f>SUBTOTAL(3,$B$6:B536)</f>
        <v>0</v>
      </c>
      <c r="B536" t="s">
        <v>948</v>
      </c>
      <c r="C536" t="s">
        <v>856</v>
      </c>
      <c r="D536">
        <v>0</v>
      </c>
      <c r="E536">
        <v>0</v>
      </c>
      <c r="F536">
        <v>0</v>
      </c>
      <c r="G536">
        <v>875.94500000000005</v>
      </c>
      <c r="H536">
        <v>863.30100000000004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850.24</v>
      </c>
      <c r="T536">
        <v>840.46</v>
      </c>
      <c r="U536">
        <v>65.81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s="164">
        <v>40817</v>
      </c>
      <c r="AC536" s="164">
        <v>42338</v>
      </c>
      <c r="AD536" s="164">
        <v>42490</v>
      </c>
      <c r="AE536" s="34">
        <f>SUMPRODUCT(DB_STProjectsSOF[[#This Row],[Plan01]:[Plan12]],$D$4:$O$4)/valUnits2</f>
        <v>1.7392460000000001</v>
      </c>
      <c r="AF536" s="34">
        <f>SUMPRODUCT(DB_STProjectsSOF[[#This Row],[Act01]:[Act12]],$P$4:$AA$4)/valUnits2</f>
        <v>1.75651</v>
      </c>
      <c r="AG536" s="34">
        <f>DB_STProjectsSOF[[#This Row],[Actual]]-DB_STProjectsSOF[[#This Row],[Plan]]</f>
        <v>1.7263999999999946E-2</v>
      </c>
      <c r="AH536" s="34">
        <f>IF(DB_STProjectsSOF[[#This Row],[Plan]]&lt;&gt;0,DB_STProjectsSOF[[#This Row],[Actual]]/DB_STProjectsSOF[[#This Row],[Plan]],1.000011000011)</f>
        <v>1.0099261404079698</v>
      </c>
      <c r="AI536" s="34">
        <f>SUM(DB_STProjectsSOF[[#This Row],[Plan01]:[Plan12]])/valUnits2</f>
        <v>1.7392460000000001</v>
      </c>
      <c r="AJ536" s="34">
        <f>SUMPRODUCT(DB_STProjectsSOF[[#This Row],[Act01]:[Act12]],$P$3:$AA$3)/valUnits2</f>
        <v>1.75651</v>
      </c>
      <c r="AK536" s="34">
        <f>IF(DB_STProjectsSOF[[#This Row],[FY Plan]]&lt;&gt;0,DB_STProjectsSOF[[#This Row],[FY Actuals]]/DB_STProjectsSOF[[#This Row],[FY Plan]],1.000011000011)</f>
        <v>1.0099261404079698</v>
      </c>
    </row>
    <row r="537" spans="1:37" hidden="1" x14ac:dyDescent="0.2">
      <c r="A537">
        <f>SUBTOTAL(3,$B$6:B537)</f>
        <v>0</v>
      </c>
      <c r="B537" t="s">
        <v>952</v>
      </c>
      <c r="C537" t="s">
        <v>856</v>
      </c>
      <c r="D537">
        <v>33202.271000000001</v>
      </c>
      <c r="E537">
        <v>33202.270999999957</v>
      </c>
      <c r="F537">
        <v>33202.272000000004</v>
      </c>
      <c r="G537">
        <v>706688.054</v>
      </c>
      <c r="H537">
        <v>33202.271000000001</v>
      </c>
      <c r="I537">
        <v>33202.271000000001</v>
      </c>
      <c r="J537">
        <v>611132.19899999991</v>
      </c>
      <c r="K537">
        <v>33202.271000000001</v>
      </c>
      <c r="L537">
        <v>33202.271000000001</v>
      </c>
      <c r="M537">
        <v>558405.25500000012</v>
      </c>
      <c r="N537">
        <v>33202.271000000001</v>
      </c>
      <c r="O537">
        <v>573061.68200000003</v>
      </c>
      <c r="P537">
        <v>0</v>
      </c>
      <c r="Q537">
        <v>4.9999999986610533E-2</v>
      </c>
      <c r="R537">
        <v>-1.0000000000218279E-2</v>
      </c>
      <c r="S537">
        <v>0</v>
      </c>
      <c r="T537">
        <v>0</v>
      </c>
      <c r="U537">
        <v>907929.05999999994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s="164">
        <v>40817</v>
      </c>
      <c r="AC537" s="164">
        <v>42338</v>
      </c>
      <c r="AD537" s="164">
        <v>42490</v>
      </c>
      <c r="AE537" s="34">
        <f>SUMPRODUCT(DB_STProjectsSOF[[#This Row],[Plan01]:[Plan12]],$D$4:$O$4)/valUnits2</f>
        <v>872.69940999999994</v>
      </c>
      <c r="AF537" s="34">
        <f>SUMPRODUCT(DB_STProjectsSOF[[#This Row],[Act01]:[Act12]],$P$4:$AA$4)/valUnits2</f>
        <v>907.92909999999995</v>
      </c>
      <c r="AG537" s="34">
        <f>DB_STProjectsSOF[[#This Row],[Actual]]-DB_STProjectsSOF[[#This Row],[Plan]]</f>
        <v>35.229690000000005</v>
      </c>
      <c r="AH537" s="34">
        <f>IF(DB_STProjectsSOF[[#This Row],[Plan]]&lt;&gt;0,DB_STProjectsSOF[[#This Row],[Actual]]/DB_STProjectsSOF[[#This Row],[Plan]],1.000011000011)</f>
        <v>1.0403686419359446</v>
      </c>
      <c r="AI537" s="34">
        <f>SUM(DB_STProjectsSOF[[#This Row],[Plan01]:[Plan12]])/valUnits2</f>
        <v>2714.9053589999999</v>
      </c>
      <c r="AJ537" s="34">
        <f>SUMPRODUCT(DB_STProjectsSOF[[#This Row],[Act01]:[Act12]],$P$3:$AA$3)/valUnits2</f>
        <v>907.92909999999995</v>
      </c>
      <c r="AK537" s="34">
        <f>IF(DB_STProjectsSOF[[#This Row],[FY Plan]]&lt;&gt;0,DB_STProjectsSOF[[#This Row],[FY Actuals]]/DB_STProjectsSOF[[#This Row],[FY Plan]],1.000011000011)</f>
        <v>0.33442384906353562</v>
      </c>
    </row>
    <row r="538" spans="1:37" hidden="1" x14ac:dyDescent="0.2">
      <c r="A538">
        <f>SUBTOTAL(3,$B$6:B538)</f>
        <v>0</v>
      </c>
      <c r="B538" t="s">
        <v>963</v>
      </c>
      <c r="C538" t="s">
        <v>856</v>
      </c>
      <c r="H538">
        <v>0</v>
      </c>
      <c r="I538">
        <v>0</v>
      </c>
      <c r="T538">
        <v>0</v>
      </c>
      <c r="U538">
        <v>81741.789999999994</v>
      </c>
      <c r="AB538" s="164">
        <v>40817</v>
      </c>
      <c r="AC538" s="164">
        <v>42338</v>
      </c>
      <c r="AD538" s="164">
        <v>42490</v>
      </c>
      <c r="AE538" s="34">
        <f>SUMPRODUCT(DB_STProjectsSOF[[#This Row],[Plan01]:[Plan12]],$D$4:$O$4)/valUnits2</f>
        <v>0</v>
      </c>
      <c r="AF538" s="34">
        <f>SUMPRODUCT(DB_STProjectsSOF[[#This Row],[Act01]:[Act12]],$P$4:$AA$4)/valUnits2</f>
        <v>81.741789999999995</v>
      </c>
      <c r="AG538" s="34">
        <f>DB_STProjectsSOF[[#This Row],[Actual]]-DB_STProjectsSOF[[#This Row],[Plan]]</f>
        <v>81.741789999999995</v>
      </c>
      <c r="AH538" s="34">
        <f>IF(DB_STProjectsSOF[[#This Row],[Plan]]&lt;&gt;0,DB_STProjectsSOF[[#This Row],[Actual]]/DB_STProjectsSOF[[#This Row],[Plan]],1.000011000011)</f>
        <v>1.0000110000110001</v>
      </c>
      <c r="AI538" s="34">
        <f>SUM(DB_STProjectsSOF[[#This Row],[Plan01]:[Plan12]])/valUnits2</f>
        <v>0</v>
      </c>
      <c r="AJ538" s="34">
        <f>SUMPRODUCT(DB_STProjectsSOF[[#This Row],[Act01]:[Act12]],$P$3:$AA$3)/valUnits2</f>
        <v>81.741789999999995</v>
      </c>
      <c r="AK538" s="34">
        <f>IF(DB_STProjectsSOF[[#This Row],[FY Plan]]&lt;&gt;0,DB_STProjectsSOF[[#This Row],[FY Actuals]]/DB_STProjectsSOF[[#This Row],[FY Plan]],1.000011000011)</f>
        <v>1.0000110000110001</v>
      </c>
    </row>
    <row r="539" spans="1:37" hidden="1" x14ac:dyDescent="0.2">
      <c r="A539">
        <f>SUBTOTAL(3,$B$6:B539)</f>
        <v>0</v>
      </c>
      <c r="B539" t="s">
        <v>973</v>
      </c>
      <c r="C539" t="s">
        <v>856</v>
      </c>
      <c r="D539">
        <v>0</v>
      </c>
      <c r="E539">
        <v>0</v>
      </c>
      <c r="F539">
        <v>0</v>
      </c>
      <c r="G539">
        <v>54235.468999999997</v>
      </c>
      <c r="H539">
        <v>0</v>
      </c>
      <c r="I539">
        <v>0</v>
      </c>
      <c r="J539">
        <v>21182.812999999998</v>
      </c>
      <c r="K539">
        <v>0</v>
      </c>
      <c r="L539">
        <v>0</v>
      </c>
      <c r="M539">
        <v>25956.75</v>
      </c>
      <c r="N539">
        <v>0</v>
      </c>
      <c r="O539">
        <v>128763.156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-5532.14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s="164">
        <v>40817</v>
      </c>
      <c r="AC539" s="164">
        <v>42338</v>
      </c>
      <c r="AD539" s="164">
        <v>42490</v>
      </c>
      <c r="AE539" s="34">
        <f>SUMPRODUCT(DB_STProjectsSOF[[#This Row],[Plan01]:[Plan12]],$D$4:$O$4)/valUnits2</f>
        <v>54.235468999999995</v>
      </c>
      <c r="AF539" s="34">
        <f>SUMPRODUCT(DB_STProjectsSOF[[#This Row],[Act01]:[Act12]],$P$4:$AA$4)/valUnits2</f>
        <v>-5.5321400000000001</v>
      </c>
      <c r="AG539" s="34">
        <f>DB_STProjectsSOF[[#This Row],[Actual]]-DB_STProjectsSOF[[#This Row],[Plan]]</f>
        <v>-59.767608999999993</v>
      </c>
      <c r="AH539" s="34">
        <f>IF(DB_STProjectsSOF[[#This Row],[Plan]]&lt;&gt;0,DB_STProjectsSOF[[#This Row],[Actual]]/DB_STProjectsSOF[[#This Row],[Plan]],1.000011000011)</f>
        <v>-0.10200225243742246</v>
      </c>
      <c r="AI539" s="34">
        <f>SUM(DB_STProjectsSOF[[#This Row],[Plan01]:[Plan12]])/valUnits2</f>
        <v>230.13818799999999</v>
      </c>
      <c r="AJ539" s="34">
        <f>SUMPRODUCT(DB_STProjectsSOF[[#This Row],[Act01]:[Act12]],$P$3:$AA$3)/valUnits2</f>
        <v>-5.5321400000000001</v>
      </c>
      <c r="AK539" s="34">
        <f>IF(DB_STProjectsSOF[[#This Row],[FY Plan]]&lt;&gt;0,DB_STProjectsSOF[[#This Row],[FY Actuals]]/DB_STProjectsSOF[[#This Row],[FY Plan]],1.000011000011)</f>
        <v>-2.4038339955992007E-2</v>
      </c>
    </row>
    <row r="540" spans="1:37" hidden="1" x14ac:dyDescent="0.2">
      <c r="A540">
        <f>SUBTOTAL(3,$B$6:B540)</f>
        <v>0</v>
      </c>
      <c r="B540" t="s">
        <v>973</v>
      </c>
      <c r="C540" t="s">
        <v>902</v>
      </c>
      <c r="E540">
        <v>1657.84</v>
      </c>
      <c r="G540">
        <v>0</v>
      </c>
      <c r="I540">
        <v>409.24</v>
      </c>
      <c r="L540">
        <v>409.24</v>
      </c>
      <c r="O540">
        <v>409.24</v>
      </c>
      <c r="Q540">
        <v>1657.84</v>
      </c>
      <c r="S540">
        <v>0</v>
      </c>
      <c r="U540">
        <v>0</v>
      </c>
      <c r="X540">
        <v>0</v>
      </c>
      <c r="AA540">
        <v>0</v>
      </c>
      <c r="AB540" s="164">
        <v>40817</v>
      </c>
      <c r="AC540" s="164">
        <v>42277</v>
      </c>
      <c r="AD540" s="164">
        <v>42308</v>
      </c>
      <c r="AE540" s="34">
        <f>SUMPRODUCT(DB_STProjectsSOF[[#This Row],[Plan01]:[Plan12]],$D$4:$O$4)/valUnits2</f>
        <v>2.0670799999999998</v>
      </c>
      <c r="AF540" s="34">
        <f>SUMPRODUCT(DB_STProjectsSOF[[#This Row],[Act01]:[Act12]],$P$4:$AA$4)/valUnits2</f>
        <v>1.65784</v>
      </c>
      <c r="AG540" s="34">
        <f>DB_STProjectsSOF[[#This Row],[Actual]]-DB_STProjectsSOF[[#This Row],[Plan]]</f>
        <v>-0.40923999999999983</v>
      </c>
      <c r="AH540" s="34">
        <f>IF(DB_STProjectsSOF[[#This Row],[Plan]]&lt;&gt;0,DB_STProjectsSOF[[#This Row],[Actual]]/DB_STProjectsSOF[[#This Row],[Plan]],1.000011000011)</f>
        <v>0.8020202411130678</v>
      </c>
      <c r="AI540" s="34">
        <f>SUM(DB_STProjectsSOF[[#This Row],[Plan01]:[Plan12]])/valUnits2</f>
        <v>2.8855599999999995</v>
      </c>
      <c r="AJ540" s="34">
        <f>SUMPRODUCT(DB_STProjectsSOF[[#This Row],[Act01]:[Act12]],$P$3:$AA$3)/valUnits2</f>
        <v>1.65784</v>
      </c>
      <c r="AK540" s="34">
        <f>IF(DB_STProjectsSOF[[#This Row],[FY Plan]]&lt;&gt;0,DB_STProjectsSOF[[#This Row],[FY Actuals]]/DB_STProjectsSOF[[#This Row],[FY Plan]],1.000011000011)</f>
        <v>0.57452972733195651</v>
      </c>
    </row>
    <row r="541" spans="1:37" hidden="1" x14ac:dyDescent="0.2">
      <c r="A541">
        <f>SUBTOTAL(3,$B$6:B541)</f>
        <v>0</v>
      </c>
      <c r="B541" t="s">
        <v>991</v>
      </c>
      <c r="C541" t="s">
        <v>856</v>
      </c>
      <c r="D541">
        <v>1118.7</v>
      </c>
      <c r="I541">
        <v>0</v>
      </c>
      <c r="P541">
        <v>1118.7</v>
      </c>
      <c r="U541">
        <v>172.62</v>
      </c>
      <c r="AB541" s="164">
        <v>40817</v>
      </c>
      <c r="AC541" s="164">
        <v>42338</v>
      </c>
      <c r="AD541" s="164">
        <v>42490</v>
      </c>
      <c r="AE541" s="34">
        <f>SUMPRODUCT(DB_STProjectsSOF[[#This Row],[Plan01]:[Plan12]],$D$4:$O$4)/valUnits2</f>
        <v>1.1187</v>
      </c>
      <c r="AF541" s="34">
        <f>SUMPRODUCT(DB_STProjectsSOF[[#This Row],[Act01]:[Act12]],$P$4:$AA$4)/valUnits2</f>
        <v>1.2913200000000002</v>
      </c>
      <c r="AG541" s="34">
        <f>DB_STProjectsSOF[[#This Row],[Actual]]-DB_STProjectsSOF[[#This Row],[Plan]]</f>
        <v>0.17262000000000022</v>
      </c>
      <c r="AH541" s="34">
        <f>IF(DB_STProjectsSOF[[#This Row],[Plan]]&lt;&gt;0,DB_STProjectsSOF[[#This Row],[Actual]]/DB_STProjectsSOF[[#This Row],[Plan]],1.000011000011)</f>
        <v>1.1543041029766696</v>
      </c>
      <c r="AI541" s="34">
        <f>SUM(DB_STProjectsSOF[[#This Row],[Plan01]:[Plan12]])/valUnits2</f>
        <v>1.1187</v>
      </c>
      <c r="AJ541" s="34">
        <f>SUMPRODUCT(DB_STProjectsSOF[[#This Row],[Act01]:[Act12]],$P$3:$AA$3)/valUnits2</f>
        <v>1.2913200000000002</v>
      </c>
      <c r="AK541" s="34">
        <f>IF(DB_STProjectsSOF[[#This Row],[FY Plan]]&lt;&gt;0,DB_STProjectsSOF[[#This Row],[FY Actuals]]/DB_STProjectsSOF[[#This Row],[FY Plan]],1.000011000011)</f>
        <v>1.1543041029766696</v>
      </c>
    </row>
    <row r="542" spans="1:37" hidden="1" x14ac:dyDescent="0.2">
      <c r="A542">
        <f>SUBTOTAL(3,$B$6:B542)</f>
        <v>0</v>
      </c>
      <c r="B542" t="s">
        <v>1001</v>
      </c>
      <c r="C542" t="s">
        <v>856</v>
      </c>
      <c r="D542">
        <v>13028.226000000001</v>
      </c>
      <c r="E542">
        <v>13028.225999999999</v>
      </c>
      <c r="F542">
        <v>13028.226000000001</v>
      </c>
      <c r="G542">
        <v>758258.16599999985</v>
      </c>
      <c r="H542">
        <v>13028.226000000001</v>
      </c>
      <c r="I542">
        <v>13028.226000000001</v>
      </c>
      <c r="J542">
        <v>634588.65099999995</v>
      </c>
      <c r="K542">
        <v>13028.226000000001</v>
      </c>
      <c r="L542">
        <v>13028.225999999999</v>
      </c>
      <c r="M542">
        <v>598115.50899999996</v>
      </c>
      <c r="N542">
        <v>13028.226000000001</v>
      </c>
      <c r="O542">
        <v>596603.47799999989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1087668.3600000001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s="164">
        <v>40817</v>
      </c>
      <c r="AC542" s="164">
        <v>42338</v>
      </c>
      <c r="AD542" s="164">
        <v>42490</v>
      </c>
      <c r="AE542" s="34">
        <f>SUMPRODUCT(DB_STProjectsSOF[[#This Row],[Plan01]:[Plan12]],$D$4:$O$4)/valUnits2</f>
        <v>823.39929599999982</v>
      </c>
      <c r="AF542" s="34">
        <f>SUMPRODUCT(DB_STProjectsSOF[[#This Row],[Act01]:[Act12]],$P$4:$AA$4)/valUnits2</f>
        <v>1087.6683600000001</v>
      </c>
      <c r="AG542" s="34">
        <f>DB_STProjectsSOF[[#This Row],[Actual]]-DB_STProjectsSOF[[#This Row],[Plan]]</f>
        <v>264.2690640000003</v>
      </c>
      <c r="AH542" s="34">
        <f>IF(DB_STProjectsSOF[[#This Row],[Plan]]&lt;&gt;0,DB_STProjectsSOF[[#This Row],[Actual]]/DB_STProjectsSOF[[#This Row],[Plan]],1.000011000011)</f>
        <v>1.3209488583288762</v>
      </c>
      <c r="AI542" s="34">
        <f>SUM(DB_STProjectsSOF[[#This Row],[Plan01]:[Plan12]])/valUnits2</f>
        <v>2691.7916119999995</v>
      </c>
      <c r="AJ542" s="34">
        <f>SUMPRODUCT(DB_STProjectsSOF[[#This Row],[Act01]:[Act12]],$P$3:$AA$3)/valUnits2</f>
        <v>1087.6683600000001</v>
      </c>
      <c r="AK542" s="34">
        <f>IF(DB_STProjectsSOF[[#This Row],[FY Plan]]&lt;&gt;0,DB_STProjectsSOF[[#This Row],[FY Actuals]]/DB_STProjectsSOF[[#This Row],[FY Plan]],1.000011000011)</f>
        <v>0.40406855982133894</v>
      </c>
    </row>
    <row r="543" spans="1:37" hidden="1" x14ac:dyDescent="0.2">
      <c r="A543">
        <f>SUBTOTAL(3,$B$6:B543)</f>
        <v>0</v>
      </c>
      <c r="B543" t="s">
        <v>1002</v>
      </c>
      <c r="C543" t="s">
        <v>856</v>
      </c>
      <c r="D543">
        <v>0</v>
      </c>
      <c r="E543">
        <v>0</v>
      </c>
      <c r="F543">
        <v>0</v>
      </c>
      <c r="G543">
        <v>79195.593999999997</v>
      </c>
      <c r="H543">
        <v>0</v>
      </c>
      <c r="I543">
        <v>0</v>
      </c>
      <c r="J543">
        <v>122621.942</v>
      </c>
      <c r="K543">
        <v>0</v>
      </c>
      <c r="L543">
        <v>0</v>
      </c>
      <c r="M543">
        <v>101561.269</v>
      </c>
      <c r="N543">
        <v>0</v>
      </c>
      <c r="O543">
        <v>101310.019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211188.41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s="164">
        <v>40817</v>
      </c>
      <c r="AC543" s="164">
        <v>42338</v>
      </c>
      <c r="AD543" s="164">
        <v>42490</v>
      </c>
      <c r="AE543" s="34">
        <f>SUMPRODUCT(DB_STProjectsSOF[[#This Row],[Plan01]:[Plan12]],$D$4:$O$4)/valUnits2</f>
        <v>79.195594</v>
      </c>
      <c r="AF543" s="34">
        <f>SUMPRODUCT(DB_STProjectsSOF[[#This Row],[Act01]:[Act12]],$P$4:$AA$4)/valUnits2</f>
        <v>211.18841</v>
      </c>
      <c r="AG543" s="34">
        <f>DB_STProjectsSOF[[#This Row],[Actual]]-DB_STProjectsSOF[[#This Row],[Plan]]</f>
        <v>131.992816</v>
      </c>
      <c r="AH543" s="34">
        <f>IF(DB_STProjectsSOF[[#This Row],[Plan]]&lt;&gt;0,DB_STProjectsSOF[[#This Row],[Actual]]/DB_STProjectsSOF[[#This Row],[Plan]],1.000011000011)</f>
        <v>2.6666686785631031</v>
      </c>
      <c r="AI543" s="34">
        <f>SUM(DB_STProjectsSOF[[#This Row],[Plan01]:[Plan12]])/valUnits2</f>
        <v>404.68882400000001</v>
      </c>
      <c r="AJ543" s="34">
        <f>SUMPRODUCT(DB_STProjectsSOF[[#This Row],[Act01]:[Act12]],$P$3:$AA$3)/valUnits2</f>
        <v>211.18841</v>
      </c>
      <c r="AK543" s="34">
        <f>IF(DB_STProjectsSOF[[#This Row],[FY Plan]]&lt;&gt;0,DB_STProjectsSOF[[#This Row],[FY Actuals]]/DB_STProjectsSOF[[#This Row],[FY Plan]],1.000011000011)</f>
        <v>0.52185382317353046</v>
      </c>
    </row>
    <row r="544" spans="1:37" hidden="1" x14ac:dyDescent="0.2">
      <c r="A544">
        <f>SUBTOTAL(3,$B$6:B544)</f>
        <v>0</v>
      </c>
      <c r="B544" t="s">
        <v>949</v>
      </c>
      <c r="C544" t="s">
        <v>856</v>
      </c>
      <c r="D544">
        <v>-405.262</v>
      </c>
      <c r="P544">
        <v>-387.54</v>
      </c>
      <c r="AB544" s="164">
        <v>40817</v>
      </c>
      <c r="AC544" s="164">
        <v>42338</v>
      </c>
      <c r="AD544" s="164">
        <v>42490</v>
      </c>
      <c r="AE544" s="34">
        <f>SUMPRODUCT(DB_STProjectsSOF[[#This Row],[Plan01]:[Plan12]],$D$4:$O$4)/valUnits2</f>
        <v>-0.40526200000000001</v>
      </c>
      <c r="AF544" s="34">
        <f>SUMPRODUCT(DB_STProjectsSOF[[#This Row],[Act01]:[Act12]],$P$4:$AA$4)/valUnits2</f>
        <v>-0.38754</v>
      </c>
      <c r="AG544" s="34">
        <f>DB_STProjectsSOF[[#This Row],[Actual]]-DB_STProjectsSOF[[#This Row],[Plan]]</f>
        <v>1.7722000000000016E-2</v>
      </c>
      <c r="AH544" s="34">
        <f>IF(DB_STProjectsSOF[[#This Row],[Plan]]&lt;&gt;0,DB_STProjectsSOF[[#This Row],[Actual]]/DB_STProjectsSOF[[#This Row],[Plan]],1.000011000011)</f>
        <v>0.95627026466828857</v>
      </c>
      <c r="AI544" s="34">
        <f>SUM(DB_STProjectsSOF[[#This Row],[Plan01]:[Plan12]])/valUnits2</f>
        <v>-0.40526200000000001</v>
      </c>
      <c r="AJ544" s="34">
        <f>SUMPRODUCT(DB_STProjectsSOF[[#This Row],[Act01]:[Act12]],$P$3:$AA$3)/valUnits2</f>
        <v>-0.38754</v>
      </c>
      <c r="AK544" s="34">
        <f>IF(DB_STProjectsSOF[[#This Row],[FY Plan]]&lt;&gt;0,DB_STProjectsSOF[[#This Row],[FY Actuals]]/DB_STProjectsSOF[[#This Row],[FY Plan]],1.000011000011)</f>
        <v>0.95627026466828857</v>
      </c>
    </row>
    <row r="545" spans="1:37" hidden="1" x14ac:dyDescent="0.2">
      <c r="A545">
        <f>SUBTOTAL(3,$B$6:B545)</f>
        <v>0</v>
      </c>
      <c r="B545" t="s">
        <v>961</v>
      </c>
      <c r="C545" t="s">
        <v>856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s="164">
        <v>40817</v>
      </c>
      <c r="AC545" s="164">
        <v>42338</v>
      </c>
      <c r="AD545" s="164">
        <v>42490</v>
      </c>
      <c r="AE545" s="34">
        <f>SUMPRODUCT(DB_STProjectsSOF[[#This Row],[Plan01]:[Plan12]],$D$4:$O$4)/valUnits2</f>
        <v>0</v>
      </c>
      <c r="AF545" s="34">
        <f>SUMPRODUCT(DB_STProjectsSOF[[#This Row],[Act01]:[Act12]],$P$4:$AA$4)/valUnits2</f>
        <v>0</v>
      </c>
      <c r="AG545" s="34">
        <f>DB_STProjectsSOF[[#This Row],[Actual]]-DB_STProjectsSOF[[#This Row],[Plan]]</f>
        <v>0</v>
      </c>
      <c r="AH545" s="34">
        <f>IF(DB_STProjectsSOF[[#This Row],[Plan]]&lt;&gt;0,DB_STProjectsSOF[[#This Row],[Actual]]/DB_STProjectsSOF[[#This Row],[Plan]],1.000011000011)</f>
        <v>1.0000110000110001</v>
      </c>
      <c r="AI545" s="34">
        <f>SUM(DB_STProjectsSOF[[#This Row],[Plan01]:[Plan12]])/valUnits2</f>
        <v>0</v>
      </c>
      <c r="AJ545" s="34">
        <f>SUMPRODUCT(DB_STProjectsSOF[[#This Row],[Act01]:[Act12]],$P$3:$AA$3)/valUnits2</f>
        <v>0</v>
      </c>
      <c r="AK545" s="34">
        <f>IF(DB_STProjectsSOF[[#This Row],[FY Plan]]&lt;&gt;0,DB_STProjectsSOF[[#This Row],[FY Actuals]]/DB_STProjectsSOF[[#This Row],[FY Plan]],1.000011000011)</f>
        <v>1.0000110000110001</v>
      </c>
    </row>
    <row r="546" spans="1:37" hidden="1" x14ac:dyDescent="0.2">
      <c r="A546">
        <f>SUBTOTAL(3,$B$6:B546)</f>
        <v>0</v>
      </c>
      <c r="B546" t="s">
        <v>962</v>
      </c>
      <c r="C546" t="s">
        <v>856</v>
      </c>
      <c r="G546">
        <v>62592.341999999997</v>
      </c>
      <c r="I546">
        <v>0</v>
      </c>
      <c r="J546">
        <v>50087.85</v>
      </c>
      <c r="S546">
        <v>0</v>
      </c>
      <c r="U546">
        <v>91478.83</v>
      </c>
      <c r="V546">
        <v>0</v>
      </c>
      <c r="AB546" s="164">
        <v>40817</v>
      </c>
      <c r="AC546" s="164">
        <v>42338</v>
      </c>
      <c r="AD546" s="164">
        <v>42490</v>
      </c>
      <c r="AE546" s="34">
        <f>SUMPRODUCT(DB_STProjectsSOF[[#This Row],[Plan01]:[Plan12]],$D$4:$O$4)/valUnits2</f>
        <v>62.592341999999995</v>
      </c>
      <c r="AF546" s="34">
        <f>SUMPRODUCT(DB_STProjectsSOF[[#This Row],[Act01]:[Act12]],$P$4:$AA$4)/valUnits2</f>
        <v>91.478830000000002</v>
      </c>
      <c r="AG546" s="34">
        <f>DB_STProjectsSOF[[#This Row],[Actual]]-DB_STProjectsSOF[[#This Row],[Plan]]</f>
        <v>28.886488000000007</v>
      </c>
      <c r="AH546" s="34">
        <f>IF(DB_STProjectsSOF[[#This Row],[Plan]]&lt;&gt;0,DB_STProjectsSOF[[#This Row],[Actual]]/DB_STProjectsSOF[[#This Row],[Plan]],1.000011000011)</f>
        <v>1.4615019517882877</v>
      </c>
      <c r="AI546" s="34">
        <f>SUM(DB_STProjectsSOF[[#This Row],[Plan01]:[Plan12]])/valUnits2</f>
        <v>112.68019199999999</v>
      </c>
      <c r="AJ546" s="34">
        <f>SUMPRODUCT(DB_STProjectsSOF[[#This Row],[Act01]:[Act12]],$P$3:$AA$3)/valUnits2</f>
        <v>91.478830000000002</v>
      </c>
      <c r="AK546" s="34">
        <f>IF(DB_STProjectsSOF[[#This Row],[FY Plan]]&lt;&gt;0,DB_STProjectsSOF[[#This Row],[FY Actuals]]/DB_STProjectsSOF[[#This Row],[FY Plan]],1.000011000011)</f>
        <v>0.81184481829778932</v>
      </c>
    </row>
    <row r="547" spans="1:37" hidden="1" x14ac:dyDescent="0.2">
      <c r="A547">
        <f>SUBTOTAL(3,$B$6:B547)</f>
        <v>0</v>
      </c>
      <c r="B547" t="s">
        <v>970</v>
      </c>
      <c r="C547" t="s">
        <v>869</v>
      </c>
      <c r="D547">
        <v>6657.1100000000079</v>
      </c>
      <c r="E547">
        <v>136997.63</v>
      </c>
      <c r="F547">
        <v>87911.99</v>
      </c>
      <c r="G547">
        <v>5121.0699999999924</v>
      </c>
      <c r="H547">
        <v>156116.83999999997</v>
      </c>
      <c r="I547">
        <v>5042.5</v>
      </c>
      <c r="J547">
        <v>5042.5</v>
      </c>
      <c r="K547">
        <v>5042.5</v>
      </c>
      <c r="L547">
        <v>5042.5</v>
      </c>
      <c r="M547">
        <v>5042.5</v>
      </c>
      <c r="N547">
        <v>5042.5</v>
      </c>
      <c r="O547">
        <v>5042.5</v>
      </c>
      <c r="P547">
        <v>6657.1100000000097</v>
      </c>
      <c r="Q547">
        <v>136997.63</v>
      </c>
      <c r="R547">
        <v>87911.990000000034</v>
      </c>
      <c r="S547">
        <v>5121.069999999997</v>
      </c>
      <c r="T547">
        <v>156116.84000000003</v>
      </c>
      <c r="U547">
        <v>9420.4299999999985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s="164">
        <v>40817</v>
      </c>
      <c r="AC547" s="164">
        <v>42155</v>
      </c>
      <c r="AD547" s="164">
        <v>42217</v>
      </c>
      <c r="AE547" s="34">
        <f>SUMPRODUCT(DB_STProjectsSOF[[#This Row],[Plan01]:[Plan12]],$D$4:$O$4)/valUnits2</f>
        <v>397.84714000000002</v>
      </c>
      <c r="AF547" s="34">
        <f>SUMPRODUCT(DB_STProjectsSOF[[#This Row],[Act01]:[Act12]],$P$4:$AA$4)/valUnits2</f>
        <v>402.22507000000007</v>
      </c>
      <c r="AG547" s="34">
        <f>DB_STProjectsSOF[[#This Row],[Actual]]-DB_STProjectsSOF[[#This Row],[Plan]]</f>
        <v>4.3779300000000489</v>
      </c>
      <c r="AH547" s="34">
        <f>IF(DB_STProjectsSOF[[#This Row],[Plan]]&lt;&gt;0,DB_STProjectsSOF[[#This Row],[Actual]]/DB_STProjectsSOF[[#This Row],[Plan]],1.000011000011)</f>
        <v>1.0110040504501303</v>
      </c>
      <c r="AI547" s="34">
        <f>SUM(DB_STProjectsSOF[[#This Row],[Plan01]:[Plan12]])/valUnits2</f>
        <v>428.10214000000002</v>
      </c>
      <c r="AJ547" s="34">
        <f>SUMPRODUCT(DB_STProjectsSOF[[#This Row],[Act01]:[Act12]],$P$3:$AA$3)/valUnits2</f>
        <v>402.22507000000007</v>
      </c>
      <c r="AK547" s="34">
        <f>IF(DB_STProjectsSOF[[#This Row],[FY Plan]]&lt;&gt;0,DB_STProjectsSOF[[#This Row],[FY Actuals]]/DB_STProjectsSOF[[#This Row],[FY Plan]],1.000011000011)</f>
        <v>0.93955398120644773</v>
      </c>
    </row>
    <row r="548" spans="1:37" hidden="1" x14ac:dyDescent="0.2">
      <c r="A548">
        <f>SUBTOTAL(3,$B$6:B548)</f>
        <v>0</v>
      </c>
      <c r="B548" t="s">
        <v>970</v>
      </c>
      <c r="C548" t="s">
        <v>909</v>
      </c>
      <c r="D548">
        <v>7561.5900000000111</v>
      </c>
      <c r="E548">
        <v>-12364.12000000001</v>
      </c>
      <c r="F548">
        <v>196305.82</v>
      </c>
      <c r="G548">
        <v>60318.259999999995</v>
      </c>
      <c r="H548">
        <v>10084.099999999995</v>
      </c>
      <c r="I548">
        <v>80681</v>
      </c>
      <c r="J548">
        <v>80681</v>
      </c>
      <c r="K548">
        <v>80681</v>
      </c>
      <c r="L548">
        <v>80681.000000000015</v>
      </c>
      <c r="M548">
        <v>80681</v>
      </c>
      <c r="N548">
        <v>80681</v>
      </c>
      <c r="O548">
        <v>80681</v>
      </c>
      <c r="P548">
        <v>7561.5900000000065</v>
      </c>
      <c r="Q548">
        <v>-12364.120000000019</v>
      </c>
      <c r="R548">
        <v>196305.81999999998</v>
      </c>
      <c r="S548">
        <v>60318.259999999995</v>
      </c>
      <c r="T548">
        <v>10084.099999999997</v>
      </c>
      <c r="U548">
        <v>81911.77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s="164">
        <v>40817</v>
      </c>
      <c r="AC548" s="164">
        <v>42155</v>
      </c>
      <c r="AD548" s="164">
        <v>42217</v>
      </c>
      <c r="AE548" s="34">
        <f>SUMPRODUCT(DB_STProjectsSOF[[#This Row],[Plan01]:[Plan12]],$D$4:$O$4)/valUnits2</f>
        <v>342.58665000000002</v>
      </c>
      <c r="AF548" s="34">
        <f>SUMPRODUCT(DB_STProjectsSOF[[#This Row],[Act01]:[Act12]],$P$4:$AA$4)/valUnits2</f>
        <v>343.81741999999997</v>
      </c>
      <c r="AG548" s="34">
        <f>DB_STProjectsSOF[[#This Row],[Actual]]-DB_STProjectsSOF[[#This Row],[Plan]]</f>
        <v>1.23076999999995</v>
      </c>
      <c r="AH548" s="34">
        <f>IF(DB_STProjectsSOF[[#This Row],[Plan]]&lt;&gt;0,DB_STProjectsSOF[[#This Row],[Actual]]/DB_STProjectsSOF[[#This Row],[Plan]],1.000011000011)</f>
        <v>1.0035925801545389</v>
      </c>
      <c r="AI548" s="34">
        <f>SUM(DB_STProjectsSOF[[#This Row],[Plan01]:[Plan12]])/valUnits2</f>
        <v>826.67264999999998</v>
      </c>
      <c r="AJ548" s="34">
        <f>SUMPRODUCT(DB_STProjectsSOF[[#This Row],[Act01]:[Act12]],$P$3:$AA$3)/valUnits2</f>
        <v>343.81741999999997</v>
      </c>
      <c r="AK548" s="34">
        <f>IF(DB_STProjectsSOF[[#This Row],[FY Plan]]&lt;&gt;0,DB_STProjectsSOF[[#This Row],[FY Actuals]]/DB_STProjectsSOF[[#This Row],[FY Plan]],1.000011000011)</f>
        <v>0.41590515907354619</v>
      </c>
    </row>
    <row r="549" spans="1:37" hidden="1" x14ac:dyDescent="0.2">
      <c r="A549">
        <f>SUBTOTAL(3,$B$6:B549)</f>
        <v>0</v>
      </c>
      <c r="B549" t="s">
        <v>970</v>
      </c>
      <c r="C549" t="s">
        <v>917</v>
      </c>
      <c r="D549">
        <v>12.03</v>
      </c>
      <c r="E549">
        <v>35635.362999999998</v>
      </c>
      <c r="F549">
        <v>1484.577</v>
      </c>
      <c r="G549">
        <v>562.78399999999999</v>
      </c>
      <c r="H549">
        <v>435.65499999999997</v>
      </c>
      <c r="I549">
        <v>10713.348</v>
      </c>
      <c r="J549">
        <v>4214.2909999999993</v>
      </c>
      <c r="K549">
        <v>4214.2909999999993</v>
      </c>
      <c r="L549">
        <v>4214.2909999999993</v>
      </c>
      <c r="M549">
        <v>4214.2909999999993</v>
      </c>
      <c r="N549">
        <v>4214.2909999999993</v>
      </c>
      <c r="O549">
        <v>4214.2909999999993</v>
      </c>
      <c r="P549">
        <v>12.02</v>
      </c>
      <c r="Q549">
        <v>34787.82</v>
      </c>
      <c r="R549">
        <v>1474.94</v>
      </c>
      <c r="S549">
        <v>565.65</v>
      </c>
      <c r="T549">
        <v>437.77</v>
      </c>
      <c r="U549">
        <v>17375.8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s="164">
        <v>40817</v>
      </c>
      <c r="AC549" s="164">
        <v>42155</v>
      </c>
      <c r="AD549" s="164">
        <v>42246</v>
      </c>
      <c r="AE549" s="34">
        <f>SUMPRODUCT(DB_STProjectsSOF[[#This Row],[Plan01]:[Plan12]],$D$4:$O$4)/valUnits2</f>
        <v>48.843756999999989</v>
      </c>
      <c r="AF549" s="34">
        <f>SUMPRODUCT(DB_STProjectsSOF[[#This Row],[Act01]:[Act12]],$P$4:$AA$4)/valUnits2</f>
        <v>54.654000000000003</v>
      </c>
      <c r="AG549" s="34">
        <f>DB_STProjectsSOF[[#This Row],[Actual]]-DB_STProjectsSOF[[#This Row],[Plan]]</f>
        <v>5.810243000000014</v>
      </c>
      <c r="AH549" s="34">
        <f>IF(DB_STProjectsSOF[[#This Row],[Plan]]&lt;&gt;0,DB_STProjectsSOF[[#This Row],[Actual]]/DB_STProjectsSOF[[#This Row],[Plan]],1.000011000011)</f>
        <v>1.1189556937645073</v>
      </c>
      <c r="AI549" s="34">
        <f>SUM(DB_STProjectsSOF[[#This Row],[Plan01]:[Plan12]])/valUnits2</f>
        <v>74.129502999999985</v>
      </c>
      <c r="AJ549" s="34">
        <f>SUMPRODUCT(DB_STProjectsSOF[[#This Row],[Act01]:[Act12]],$P$3:$AA$3)/valUnits2</f>
        <v>54.654000000000003</v>
      </c>
      <c r="AK549" s="34">
        <f>IF(DB_STProjectsSOF[[#This Row],[FY Plan]]&lt;&gt;0,DB_STProjectsSOF[[#This Row],[FY Actuals]]/DB_STProjectsSOF[[#This Row],[FY Plan]],1.000011000011)</f>
        <v>0.73727730239874956</v>
      </c>
    </row>
    <row r="550" spans="1:37" hidden="1" x14ac:dyDescent="0.2">
      <c r="A550">
        <f>SUBTOTAL(3,$B$6:B550)</f>
        <v>0</v>
      </c>
      <c r="B550" t="s">
        <v>970</v>
      </c>
      <c r="C550" t="s">
        <v>921</v>
      </c>
      <c r="D550">
        <v>3501.5159999999996</v>
      </c>
      <c r="E550">
        <v>4336.1219999999994</v>
      </c>
      <c r="F550">
        <v>3894.6919999999996</v>
      </c>
      <c r="G550">
        <v>10573.311999999998</v>
      </c>
      <c r="H550">
        <v>4979.51</v>
      </c>
      <c r="P550">
        <v>3501.2799999999997</v>
      </c>
      <c r="Q550">
        <v>4329.8400000000011</v>
      </c>
      <c r="R550">
        <v>3869.04</v>
      </c>
      <c r="S550">
        <v>10434.459999999999</v>
      </c>
      <c r="T550">
        <v>4997.68</v>
      </c>
      <c r="AB550" s="164">
        <v>40909</v>
      </c>
      <c r="AC550" s="164">
        <v>41363</v>
      </c>
      <c r="AD550" s="164">
        <v>41389</v>
      </c>
      <c r="AE550" s="34">
        <f>SUMPRODUCT(DB_STProjectsSOF[[#This Row],[Plan01]:[Plan12]],$D$4:$O$4)/valUnits2</f>
        <v>27.285151999999993</v>
      </c>
      <c r="AF550" s="34">
        <f>SUMPRODUCT(DB_STProjectsSOF[[#This Row],[Act01]:[Act12]],$P$4:$AA$4)/valUnits2</f>
        <v>27.132300000000001</v>
      </c>
      <c r="AG550" s="34">
        <f>DB_STProjectsSOF[[#This Row],[Actual]]-DB_STProjectsSOF[[#This Row],[Plan]]</f>
        <v>-0.15285199999999222</v>
      </c>
      <c r="AH550" s="34">
        <f>IF(DB_STProjectsSOF[[#This Row],[Plan]]&lt;&gt;0,DB_STProjectsSOF[[#This Row],[Actual]]/DB_STProjectsSOF[[#This Row],[Plan]],1.000011000011)</f>
        <v>0.99439797879813929</v>
      </c>
      <c r="AI550" s="34">
        <f>SUM(DB_STProjectsSOF[[#This Row],[Plan01]:[Plan12]])/valUnits2</f>
        <v>27.285151999999993</v>
      </c>
      <c r="AJ550" s="34">
        <f>SUMPRODUCT(DB_STProjectsSOF[[#This Row],[Act01]:[Act12]],$P$3:$AA$3)/valUnits2</f>
        <v>27.132300000000001</v>
      </c>
      <c r="AK550" s="34">
        <f>IF(DB_STProjectsSOF[[#This Row],[FY Plan]]&lt;&gt;0,DB_STProjectsSOF[[#This Row],[FY Actuals]]/DB_STProjectsSOF[[#This Row],[FY Plan]],1.000011000011)</f>
        <v>0.99439797879813929</v>
      </c>
    </row>
    <row r="551" spans="1:37" hidden="1" x14ac:dyDescent="0.2">
      <c r="A551">
        <f>SUBTOTAL(3,$B$6:B551)</f>
        <v>0</v>
      </c>
      <c r="B551" t="s">
        <v>970</v>
      </c>
      <c r="C551" t="s">
        <v>933</v>
      </c>
      <c r="D551">
        <v>0</v>
      </c>
      <c r="E551">
        <v>11.280000000000001</v>
      </c>
      <c r="F551">
        <v>0</v>
      </c>
      <c r="G551">
        <v>1087.1799999999998</v>
      </c>
      <c r="H551">
        <v>1039.8500000000001</v>
      </c>
      <c r="I551">
        <v>15428.250999999998</v>
      </c>
      <c r="J551">
        <v>15428.251</v>
      </c>
      <c r="K551">
        <v>15428.250999999998</v>
      </c>
      <c r="L551">
        <v>15428.251</v>
      </c>
      <c r="M551">
        <v>15428.251</v>
      </c>
      <c r="N551">
        <v>15428.251</v>
      </c>
      <c r="O551">
        <v>15428.250999999998</v>
      </c>
      <c r="P551">
        <v>0</v>
      </c>
      <c r="Q551">
        <v>11.280000000000001</v>
      </c>
      <c r="R551">
        <v>0</v>
      </c>
      <c r="S551">
        <v>1087.18</v>
      </c>
      <c r="T551">
        <v>1039.8500000000001</v>
      </c>
      <c r="U551">
        <v>1159.47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s="164">
        <v>40817</v>
      </c>
      <c r="AC551" s="164">
        <v>42155</v>
      </c>
      <c r="AD551" s="164">
        <v>42217</v>
      </c>
      <c r="AE551" s="34">
        <f>SUMPRODUCT(DB_STProjectsSOF[[#This Row],[Plan01]:[Plan12]],$D$4:$O$4)/valUnits2</f>
        <v>17.566560999999997</v>
      </c>
      <c r="AF551" s="34">
        <f>SUMPRODUCT(DB_STProjectsSOF[[#This Row],[Act01]:[Act12]],$P$4:$AA$4)/valUnits2</f>
        <v>3.2977800000000008</v>
      </c>
      <c r="AG551" s="34">
        <f>DB_STProjectsSOF[[#This Row],[Actual]]-DB_STProjectsSOF[[#This Row],[Plan]]</f>
        <v>-14.268780999999995</v>
      </c>
      <c r="AH551" s="34">
        <f>IF(DB_STProjectsSOF[[#This Row],[Plan]]&lt;&gt;0,DB_STProjectsSOF[[#This Row],[Actual]]/DB_STProjectsSOF[[#This Row],[Plan]],1.000011000011)</f>
        <v>0.18773054099775144</v>
      </c>
      <c r="AI551" s="34">
        <f>SUM(DB_STProjectsSOF[[#This Row],[Plan01]:[Plan12]])/valUnits2</f>
        <v>110.13606700000001</v>
      </c>
      <c r="AJ551" s="34">
        <f>SUMPRODUCT(DB_STProjectsSOF[[#This Row],[Act01]:[Act12]],$P$3:$AA$3)/valUnits2</f>
        <v>3.2977800000000008</v>
      </c>
      <c r="AK551" s="34">
        <f>IF(DB_STProjectsSOF[[#This Row],[FY Plan]]&lt;&gt;0,DB_STProjectsSOF[[#This Row],[FY Actuals]]/DB_STProjectsSOF[[#This Row],[FY Plan]],1.000011000011)</f>
        <v>2.9942779779851776E-2</v>
      </c>
    </row>
    <row r="552" spans="1:37" hidden="1" x14ac:dyDescent="0.2">
      <c r="A552">
        <f>SUBTOTAL(3,$B$6:B552)</f>
        <v>0</v>
      </c>
      <c r="B552" t="s">
        <v>981</v>
      </c>
      <c r="C552" t="s">
        <v>842</v>
      </c>
      <c r="D552">
        <v>0</v>
      </c>
      <c r="E552">
        <v>0</v>
      </c>
      <c r="F552">
        <v>205.351</v>
      </c>
      <c r="G552">
        <v>16.495000000000001</v>
      </c>
      <c r="H552">
        <v>41168.82699999999</v>
      </c>
      <c r="I552">
        <v>13974.606</v>
      </c>
      <c r="J552">
        <v>35153.910000000003</v>
      </c>
      <c r="K552">
        <v>13974.605999999998</v>
      </c>
      <c r="L552">
        <v>13974.606</v>
      </c>
      <c r="M552">
        <v>13974.606</v>
      </c>
      <c r="N552">
        <v>13974.606</v>
      </c>
      <c r="O552">
        <v>39656.370000000003</v>
      </c>
      <c r="P552">
        <v>0</v>
      </c>
      <c r="Q552">
        <v>0</v>
      </c>
      <c r="R552">
        <v>207.21</v>
      </c>
      <c r="S552">
        <v>16.47</v>
      </c>
      <c r="T552">
        <v>41060.94000000001</v>
      </c>
      <c r="U552">
        <v>11836.960000000003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s="164">
        <v>41214</v>
      </c>
      <c r="AC552" s="164">
        <v>42308</v>
      </c>
      <c r="AD552" s="164">
        <v>42389</v>
      </c>
      <c r="AE552" s="34">
        <f>SUMPRODUCT(DB_STProjectsSOF[[#This Row],[Plan01]:[Plan12]],$D$4:$O$4)/valUnits2</f>
        <v>55.365278999999987</v>
      </c>
      <c r="AF552" s="34">
        <f>SUMPRODUCT(DB_STProjectsSOF[[#This Row],[Act01]:[Act12]],$P$4:$AA$4)/valUnits2</f>
        <v>53.121580000000016</v>
      </c>
      <c r="AG552" s="34">
        <f>DB_STProjectsSOF[[#This Row],[Actual]]-DB_STProjectsSOF[[#This Row],[Plan]]</f>
        <v>-2.243698999999971</v>
      </c>
      <c r="AH552" s="34">
        <f>IF(DB_STProjectsSOF[[#This Row],[Plan]]&lt;&gt;0,DB_STProjectsSOF[[#This Row],[Actual]]/DB_STProjectsSOF[[#This Row],[Plan]],1.000011000011)</f>
        <v>0.95947461946322044</v>
      </c>
      <c r="AI552" s="34">
        <f>SUM(DB_STProjectsSOF[[#This Row],[Plan01]:[Plan12]])/valUnits2</f>
        <v>186.07398299999997</v>
      </c>
      <c r="AJ552" s="34">
        <f>SUMPRODUCT(DB_STProjectsSOF[[#This Row],[Act01]:[Act12]],$P$3:$AA$3)/valUnits2</f>
        <v>53.121580000000016</v>
      </c>
      <c r="AK552" s="34">
        <f>IF(DB_STProjectsSOF[[#This Row],[FY Plan]]&lt;&gt;0,DB_STProjectsSOF[[#This Row],[FY Actuals]]/DB_STProjectsSOF[[#This Row],[FY Plan]],1.000011000011)</f>
        <v>0.28548633797987771</v>
      </c>
    </row>
    <row r="553" spans="1:37" hidden="1" x14ac:dyDescent="0.2">
      <c r="A553">
        <f>SUBTOTAL(3,$B$6:B553)</f>
        <v>0</v>
      </c>
      <c r="B553" t="s">
        <v>981</v>
      </c>
      <c r="C553" t="s">
        <v>845</v>
      </c>
      <c r="H553">
        <v>4802.6399999999994</v>
      </c>
      <c r="T553">
        <v>4802.6400000000003</v>
      </c>
      <c r="AB553" s="164">
        <v>41275</v>
      </c>
      <c r="AC553" s="164">
        <v>41639</v>
      </c>
      <c r="AD553" s="164">
        <v>41729</v>
      </c>
      <c r="AE553" s="34">
        <f>SUMPRODUCT(DB_STProjectsSOF[[#This Row],[Plan01]:[Plan12]],$D$4:$O$4)/valUnits2</f>
        <v>4.8026399999999994</v>
      </c>
      <c r="AF553" s="34">
        <f>SUMPRODUCT(DB_STProjectsSOF[[#This Row],[Act01]:[Act12]],$P$4:$AA$4)/valUnits2</f>
        <v>4.8026400000000002</v>
      </c>
      <c r="AG553" s="34">
        <f>DB_STProjectsSOF[[#This Row],[Actual]]-DB_STProjectsSOF[[#This Row],[Plan]]</f>
        <v>0</v>
      </c>
      <c r="AH553" s="34">
        <f>IF(DB_STProjectsSOF[[#This Row],[Plan]]&lt;&gt;0,DB_STProjectsSOF[[#This Row],[Actual]]/DB_STProjectsSOF[[#This Row],[Plan]],1.000011000011)</f>
        <v>1.0000000000000002</v>
      </c>
      <c r="AI553" s="34">
        <f>SUM(DB_STProjectsSOF[[#This Row],[Plan01]:[Plan12]])/valUnits2</f>
        <v>4.8026399999999994</v>
      </c>
      <c r="AJ553" s="34">
        <f>SUMPRODUCT(DB_STProjectsSOF[[#This Row],[Act01]:[Act12]],$P$3:$AA$3)/valUnits2</f>
        <v>4.8026400000000002</v>
      </c>
      <c r="AK553" s="34">
        <f>IF(DB_STProjectsSOF[[#This Row],[FY Plan]]&lt;&gt;0,DB_STProjectsSOF[[#This Row],[FY Actuals]]/DB_STProjectsSOF[[#This Row],[FY Plan]],1.000011000011)</f>
        <v>1.0000000000000002</v>
      </c>
    </row>
    <row r="554" spans="1:37" hidden="1" x14ac:dyDescent="0.2">
      <c r="A554">
        <f>SUBTOTAL(3,$B$6:B554)</f>
        <v>0</v>
      </c>
      <c r="B554" t="s">
        <v>981</v>
      </c>
      <c r="C554" t="s">
        <v>884</v>
      </c>
      <c r="D554">
        <v>16331.869999999999</v>
      </c>
      <c r="E554">
        <v>16937.14</v>
      </c>
      <c r="F554">
        <v>15001.25</v>
      </c>
      <c r="G554">
        <v>15001.25</v>
      </c>
      <c r="H554">
        <v>11734.74</v>
      </c>
      <c r="I554">
        <v>15001.25</v>
      </c>
      <c r="J554">
        <v>8506.25</v>
      </c>
      <c r="K554">
        <v>8506.25</v>
      </c>
      <c r="L554">
        <v>8506.25</v>
      </c>
      <c r="M554">
        <v>8506.25</v>
      </c>
      <c r="N554">
        <v>8506.25</v>
      </c>
      <c r="O554">
        <v>8506.25</v>
      </c>
      <c r="P554">
        <v>1330.62</v>
      </c>
      <c r="Q554">
        <v>1935.8899999999999</v>
      </c>
      <c r="R554">
        <v>0</v>
      </c>
      <c r="S554">
        <v>0</v>
      </c>
      <c r="T554">
        <v>-3266.51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s="164">
        <v>40909</v>
      </c>
      <c r="AC554" s="164">
        <v>41274</v>
      </c>
      <c r="AD554" s="164">
        <v>41364</v>
      </c>
      <c r="AE554" s="34">
        <f>SUMPRODUCT(DB_STProjectsSOF[[#This Row],[Plan01]:[Plan12]],$D$4:$O$4)/valUnits2</f>
        <v>90.007499999999993</v>
      </c>
      <c r="AF554" s="34">
        <f>SUMPRODUCT(DB_STProjectsSOF[[#This Row],[Act01]:[Act12]],$P$4:$AA$4)/valUnits2</f>
        <v>-4.5474735088646413E-16</v>
      </c>
      <c r="AG554" s="34">
        <f>DB_STProjectsSOF[[#This Row],[Actual]]-DB_STProjectsSOF[[#This Row],[Plan]]</f>
        <v>-90.007499999999993</v>
      </c>
      <c r="AH554" s="34">
        <f>IF(DB_STProjectsSOF[[#This Row],[Plan]]&lt;&gt;0,DB_STProjectsSOF[[#This Row],[Actual]]/DB_STProjectsSOF[[#This Row],[Plan]],1.000011000011)</f>
        <v>-5.0523273159066099E-18</v>
      </c>
      <c r="AI554" s="34">
        <f>SUM(DB_STProjectsSOF[[#This Row],[Plan01]:[Plan12]])/valUnits2</f>
        <v>141.04499999999999</v>
      </c>
      <c r="AJ554" s="34">
        <f>SUMPRODUCT(DB_STProjectsSOF[[#This Row],[Act01]:[Act12]],$P$3:$AA$3)/valUnits2</f>
        <v>-4.5474735088646413E-16</v>
      </c>
      <c r="AK554" s="34">
        <f>IF(DB_STProjectsSOF[[#This Row],[FY Plan]]&lt;&gt;0,DB_STProjectsSOF[[#This Row],[FY Actuals]]/DB_STProjectsSOF[[#This Row],[FY Plan]],1.000011000011)</f>
        <v>-3.2241295394126994E-18</v>
      </c>
    </row>
    <row r="555" spans="1:37" hidden="1" x14ac:dyDescent="0.2">
      <c r="A555">
        <f>SUBTOTAL(3,$B$6:B555)</f>
        <v>0</v>
      </c>
      <c r="B555" t="s">
        <v>981</v>
      </c>
      <c r="C555" t="s">
        <v>908</v>
      </c>
      <c r="D555">
        <v>23436.929</v>
      </c>
      <c r="E555">
        <v>165.84600000000404</v>
      </c>
      <c r="F555">
        <v>507.72199999999998</v>
      </c>
      <c r="G555">
        <v>5520.0909999999994</v>
      </c>
      <c r="H555">
        <v>8047.431999999998</v>
      </c>
      <c r="I555">
        <v>27771.098000000002</v>
      </c>
      <c r="J555">
        <v>32519.343999999997</v>
      </c>
      <c r="K555">
        <v>10722.265000000003</v>
      </c>
      <c r="L555">
        <v>10813.645000000002</v>
      </c>
      <c r="M555">
        <v>10722.264999999999</v>
      </c>
      <c r="N555">
        <v>10722.264999999999</v>
      </c>
      <c r="O555">
        <v>68897.528999999995</v>
      </c>
      <c r="P555">
        <v>23911.99</v>
      </c>
      <c r="Q555">
        <v>171.5400000000007</v>
      </c>
      <c r="R555">
        <v>501.67000000000007</v>
      </c>
      <c r="S555">
        <v>5446.8499999999985</v>
      </c>
      <c r="T555">
        <v>8159.2400000000016</v>
      </c>
      <c r="U555">
        <v>38301.560000000005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s="164">
        <v>40909</v>
      </c>
      <c r="AC555" s="164">
        <v>42003</v>
      </c>
      <c r="AD555" s="164">
        <v>42063</v>
      </c>
      <c r="AE555" s="34">
        <f>SUMPRODUCT(DB_STProjectsSOF[[#This Row],[Plan01]:[Plan12]],$D$4:$O$4)/valUnits2</f>
        <v>65.449117999999999</v>
      </c>
      <c r="AF555" s="34">
        <f>SUMPRODUCT(DB_STProjectsSOF[[#This Row],[Act01]:[Act12]],$P$4:$AA$4)/valUnits2</f>
        <v>76.492850000000004</v>
      </c>
      <c r="AG555" s="34">
        <f>DB_STProjectsSOF[[#This Row],[Actual]]-DB_STProjectsSOF[[#This Row],[Plan]]</f>
        <v>11.043732000000006</v>
      </c>
      <c r="AH555" s="34">
        <f>IF(DB_STProjectsSOF[[#This Row],[Plan]]&lt;&gt;0,DB_STProjectsSOF[[#This Row],[Actual]]/DB_STProjectsSOF[[#This Row],[Plan]],1.000011000011)</f>
        <v>1.1687376749675986</v>
      </c>
      <c r="AI555" s="34">
        <f>SUM(DB_STProjectsSOF[[#This Row],[Plan01]:[Plan12]])/valUnits2</f>
        <v>209.846431</v>
      </c>
      <c r="AJ555" s="34">
        <f>SUMPRODUCT(DB_STProjectsSOF[[#This Row],[Act01]:[Act12]],$P$3:$AA$3)/valUnits2</f>
        <v>76.492850000000004</v>
      </c>
      <c r="AK555" s="34">
        <f>IF(DB_STProjectsSOF[[#This Row],[FY Plan]]&lt;&gt;0,DB_STProjectsSOF[[#This Row],[FY Actuals]]/DB_STProjectsSOF[[#This Row],[FY Plan]],1.000011000011)</f>
        <v>0.36451823190645549</v>
      </c>
    </row>
    <row r="556" spans="1:37" hidden="1" x14ac:dyDescent="0.2">
      <c r="A556">
        <f>SUBTOTAL(3,$B$6:B556)</f>
        <v>0</v>
      </c>
      <c r="B556" t="s">
        <v>981</v>
      </c>
      <c r="C556" t="s">
        <v>914</v>
      </c>
      <c r="F556">
        <v>559.72</v>
      </c>
      <c r="R556">
        <v>559.72</v>
      </c>
      <c r="AB556" s="164"/>
      <c r="AC556" s="164"/>
      <c r="AD556" s="164"/>
      <c r="AE556" s="34">
        <f>SUMPRODUCT(DB_STProjectsSOF[[#This Row],[Plan01]:[Plan12]],$D$4:$O$4)/valUnits2</f>
        <v>0.55972</v>
      </c>
      <c r="AF556" s="34">
        <f>SUMPRODUCT(DB_STProjectsSOF[[#This Row],[Act01]:[Act12]],$P$4:$AA$4)/valUnits2</f>
        <v>0.55972</v>
      </c>
      <c r="AG556" s="34">
        <f>DB_STProjectsSOF[[#This Row],[Actual]]-DB_STProjectsSOF[[#This Row],[Plan]]</f>
        <v>0</v>
      </c>
      <c r="AH556" s="34">
        <f>IF(DB_STProjectsSOF[[#This Row],[Plan]]&lt;&gt;0,DB_STProjectsSOF[[#This Row],[Actual]]/DB_STProjectsSOF[[#This Row],[Plan]],1.000011000011)</f>
        <v>1</v>
      </c>
      <c r="AI556" s="34">
        <f>SUM(DB_STProjectsSOF[[#This Row],[Plan01]:[Plan12]])/valUnits2</f>
        <v>0.55972</v>
      </c>
      <c r="AJ556" s="34">
        <f>SUMPRODUCT(DB_STProjectsSOF[[#This Row],[Act01]:[Act12]],$P$3:$AA$3)/valUnits2</f>
        <v>0.55972</v>
      </c>
      <c r="AK556" s="34">
        <f>IF(DB_STProjectsSOF[[#This Row],[FY Plan]]&lt;&gt;0,DB_STProjectsSOF[[#This Row],[FY Actuals]]/DB_STProjectsSOF[[#This Row],[FY Plan]],1.000011000011)</f>
        <v>1</v>
      </c>
    </row>
    <row r="557" spans="1:37" hidden="1" x14ac:dyDescent="0.2">
      <c r="A557">
        <f>SUBTOTAL(3,$B$6:B557)</f>
        <v>0</v>
      </c>
      <c r="B557" t="s">
        <v>981</v>
      </c>
      <c r="C557" t="s">
        <v>920</v>
      </c>
      <c r="H557">
        <v>774.19</v>
      </c>
      <c r="T557">
        <v>774.19</v>
      </c>
      <c r="AB557" s="164">
        <v>40817</v>
      </c>
      <c r="AC557" s="164">
        <v>41409</v>
      </c>
      <c r="AD557" s="164">
        <v>41426</v>
      </c>
      <c r="AE557" s="34">
        <f>SUMPRODUCT(DB_STProjectsSOF[[#This Row],[Plan01]:[Plan12]],$D$4:$O$4)/valUnits2</f>
        <v>0.77419000000000004</v>
      </c>
      <c r="AF557" s="34">
        <f>SUMPRODUCT(DB_STProjectsSOF[[#This Row],[Act01]:[Act12]],$P$4:$AA$4)/valUnits2</f>
        <v>0.77419000000000004</v>
      </c>
      <c r="AG557" s="34">
        <f>DB_STProjectsSOF[[#This Row],[Actual]]-DB_STProjectsSOF[[#This Row],[Plan]]</f>
        <v>0</v>
      </c>
      <c r="AH557" s="34">
        <f>IF(DB_STProjectsSOF[[#This Row],[Plan]]&lt;&gt;0,DB_STProjectsSOF[[#This Row],[Actual]]/DB_STProjectsSOF[[#This Row],[Plan]],1.000011000011)</f>
        <v>1</v>
      </c>
      <c r="AI557" s="34">
        <f>SUM(DB_STProjectsSOF[[#This Row],[Plan01]:[Plan12]])/valUnits2</f>
        <v>0.77419000000000004</v>
      </c>
      <c r="AJ557" s="34">
        <f>SUMPRODUCT(DB_STProjectsSOF[[#This Row],[Act01]:[Act12]],$P$3:$AA$3)/valUnits2</f>
        <v>0.77419000000000004</v>
      </c>
      <c r="AK557" s="34">
        <f>IF(DB_STProjectsSOF[[#This Row],[FY Plan]]&lt;&gt;0,DB_STProjectsSOF[[#This Row],[FY Actuals]]/DB_STProjectsSOF[[#This Row],[FY Plan]],1.000011000011)</f>
        <v>1</v>
      </c>
    </row>
    <row r="558" spans="1:37" hidden="1" x14ac:dyDescent="0.2">
      <c r="A558">
        <f>SUBTOTAL(3,$B$6:B558)</f>
        <v>0</v>
      </c>
      <c r="B558" t="s">
        <v>981</v>
      </c>
      <c r="C558" t="s">
        <v>935</v>
      </c>
      <c r="D558">
        <v>206122.92199999999</v>
      </c>
      <c r="E558">
        <v>466811.75699999993</v>
      </c>
      <c r="F558">
        <v>258729.29500000004</v>
      </c>
      <c r="G558">
        <v>379156.32900000003</v>
      </c>
      <c r="H558">
        <v>204923.70899999994</v>
      </c>
      <c r="I558">
        <v>268840.46800000011</v>
      </c>
      <c r="J558">
        <v>268840.46800000011</v>
      </c>
      <c r="K558">
        <v>215962.99899999998</v>
      </c>
      <c r="L558">
        <v>215962.99899999998</v>
      </c>
      <c r="M558">
        <v>215962.99899999998</v>
      </c>
      <c r="N558">
        <v>215962.99899999992</v>
      </c>
      <c r="O558">
        <v>228875.01799999995</v>
      </c>
      <c r="P558">
        <v>209143.62000000005</v>
      </c>
      <c r="Q558">
        <v>483719.52999999991</v>
      </c>
      <c r="R558">
        <v>258212.73999999982</v>
      </c>
      <c r="S558">
        <v>374190.04000000004</v>
      </c>
      <c r="T558">
        <v>204641.57000000015</v>
      </c>
      <c r="U558">
        <v>411393.25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s="164">
        <v>41000</v>
      </c>
      <c r="AC558" s="164">
        <v>42094</v>
      </c>
      <c r="AD558" s="164">
        <v>42124</v>
      </c>
      <c r="AE558" s="34">
        <f>SUMPRODUCT(DB_STProjectsSOF[[#This Row],[Plan01]:[Plan12]],$D$4:$O$4)/valUnits2</f>
        <v>1784.58448</v>
      </c>
      <c r="AF558" s="34">
        <f>SUMPRODUCT(DB_STProjectsSOF[[#This Row],[Act01]:[Act12]],$P$4:$AA$4)/valUnits2</f>
        <v>1941.3007499999999</v>
      </c>
      <c r="AG558" s="34">
        <f>DB_STProjectsSOF[[#This Row],[Actual]]-DB_STProjectsSOF[[#This Row],[Plan]]</f>
        <v>156.71626999999989</v>
      </c>
      <c r="AH558" s="34">
        <f>IF(DB_STProjectsSOF[[#This Row],[Plan]]&lt;&gt;0,DB_STProjectsSOF[[#This Row],[Actual]]/DB_STProjectsSOF[[#This Row],[Plan]],1.000011000011)</f>
        <v>1.0878166720356102</v>
      </c>
      <c r="AI558" s="34">
        <f>SUM(DB_STProjectsSOF[[#This Row],[Plan01]:[Plan12]])/valUnits2</f>
        <v>3146.1519619999999</v>
      </c>
      <c r="AJ558" s="34">
        <f>SUMPRODUCT(DB_STProjectsSOF[[#This Row],[Act01]:[Act12]],$P$3:$AA$3)/valUnits2</f>
        <v>1941.3007499999999</v>
      </c>
      <c r="AK558" s="34">
        <f>IF(DB_STProjectsSOF[[#This Row],[FY Plan]]&lt;&gt;0,DB_STProjectsSOF[[#This Row],[FY Actuals]]/DB_STProjectsSOF[[#This Row],[FY Plan]],1.000011000011)</f>
        <v>0.61703972772056459</v>
      </c>
    </row>
    <row r="559" spans="1:37" hidden="1" x14ac:dyDescent="0.2">
      <c r="A559">
        <f>SUBTOTAL(3,$B$6:B559)</f>
        <v>0</v>
      </c>
      <c r="B559" t="s">
        <v>993</v>
      </c>
      <c r="C559" t="s">
        <v>924</v>
      </c>
      <c r="D559">
        <v>1237.7170000000001</v>
      </c>
      <c r="E559">
        <v>35113.851999999999</v>
      </c>
      <c r="F559">
        <v>1396.4089999999997</v>
      </c>
      <c r="G559">
        <v>39902.920999999995</v>
      </c>
      <c r="H559">
        <v>1930.5280000000007</v>
      </c>
      <c r="I559">
        <v>18191.548000000003</v>
      </c>
      <c r="J559">
        <v>15011.754000000001</v>
      </c>
      <c r="K559">
        <v>12982.258</v>
      </c>
      <c r="L559">
        <v>15554.333000000001</v>
      </c>
      <c r="M559">
        <v>11717.338</v>
      </c>
      <c r="N559">
        <v>14066.043</v>
      </c>
      <c r="O559">
        <v>11475.656000000001</v>
      </c>
      <c r="P559">
        <v>1218.6500000000001</v>
      </c>
      <c r="Q559">
        <v>36087.75</v>
      </c>
      <c r="R559">
        <v>1409.0500000000006</v>
      </c>
      <c r="S559">
        <v>39763.079999999994</v>
      </c>
      <c r="T559">
        <v>1917.3400000000011</v>
      </c>
      <c r="U559">
        <v>1392.9900000000007</v>
      </c>
      <c r="V559">
        <v>37226.519999999997</v>
      </c>
      <c r="W559">
        <v>0</v>
      </c>
      <c r="X559">
        <v>0</v>
      </c>
      <c r="Y559">
        <v>0</v>
      </c>
      <c r="Z559">
        <v>0</v>
      </c>
      <c r="AA559">
        <v>0</v>
      </c>
      <c r="AB559" s="164">
        <v>40817</v>
      </c>
      <c r="AC559" s="164">
        <v>41639</v>
      </c>
      <c r="AD559" s="164">
        <v>41685</v>
      </c>
      <c r="AE559" s="34">
        <f>SUMPRODUCT(DB_STProjectsSOF[[#This Row],[Plan01]:[Plan12]],$D$4:$O$4)/valUnits2</f>
        <v>97.772975000000002</v>
      </c>
      <c r="AF559" s="34">
        <f>SUMPRODUCT(DB_STProjectsSOF[[#This Row],[Act01]:[Act12]],$P$4:$AA$4)/valUnits2</f>
        <v>81.78886</v>
      </c>
      <c r="AG559" s="34">
        <f>DB_STProjectsSOF[[#This Row],[Actual]]-DB_STProjectsSOF[[#This Row],[Plan]]</f>
        <v>-15.984115000000003</v>
      </c>
      <c r="AH559" s="34">
        <f>IF(DB_STProjectsSOF[[#This Row],[Plan]]&lt;&gt;0,DB_STProjectsSOF[[#This Row],[Actual]]/DB_STProjectsSOF[[#This Row],[Plan]],1.000011000011)</f>
        <v>0.83651806646979898</v>
      </c>
      <c r="AI559" s="34">
        <f>SUM(DB_STProjectsSOF[[#This Row],[Plan01]:[Plan12]])/valUnits2</f>
        <v>178.58035699999999</v>
      </c>
      <c r="AJ559" s="34">
        <f>SUMPRODUCT(DB_STProjectsSOF[[#This Row],[Act01]:[Act12]],$P$3:$AA$3)/valUnits2</f>
        <v>81.78886</v>
      </c>
      <c r="AK559" s="34">
        <f>IF(DB_STProjectsSOF[[#This Row],[FY Plan]]&lt;&gt;0,DB_STProjectsSOF[[#This Row],[FY Actuals]]/DB_STProjectsSOF[[#This Row],[FY Plan]],1.000011000011)</f>
        <v>0.45799471663056424</v>
      </c>
    </row>
    <row r="560" spans="1:37" hidden="1" x14ac:dyDescent="0.2">
      <c r="A560">
        <f>SUBTOTAL(3,$B$6:B560)</f>
        <v>0</v>
      </c>
      <c r="B560" t="s">
        <v>942</v>
      </c>
      <c r="C560" t="s">
        <v>845</v>
      </c>
      <c r="I560">
        <v>0</v>
      </c>
      <c r="U560">
        <v>7889.6</v>
      </c>
      <c r="AB560" s="164">
        <v>41275</v>
      </c>
      <c r="AC560" s="164">
        <v>41639</v>
      </c>
      <c r="AD560" s="164">
        <v>41729</v>
      </c>
      <c r="AE560" s="34">
        <f>SUMPRODUCT(DB_STProjectsSOF[[#This Row],[Plan01]:[Plan12]],$D$4:$O$4)/valUnits2</f>
        <v>0</v>
      </c>
      <c r="AF560" s="34">
        <f>SUMPRODUCT(DB_STProjectsSOF[[#This Row],[Act01]:[Act12]],$P$4:$AA$4)/valUnits2</f>
        <v>7.8896000000000006</v>
      </c>
      <c r="AG560" s="34">
        <f>DB_STProjectsSOF[[#This Row],[Actual]]-DB_STProjectsSOF[[#This Row],[Plan]]</f>
        <v>7.8896000000000006</v>
      </c>
      <c r="AH560" s="34">
        <f>IF(DB_STProjectsSOF[[#This Row],[Plan]]&lt;&gt;0,DB_STProjectsSOF[[#This Row],[Actual]]/DB_STProjectsSOF[[#This Row],[Plan]],1.000011000011)</f>
        <v>1.0000110000110001</v>
      </c>
      <c r="AI560" s="34">
        <f>SUM(DB_STProjectsSOF[[#This Row],[Plan01]:[Plan12]])/valUnits2</f>
        <v>0</v>
      </c>
      <c r="AJ560" s="34">
        <f>SUMPRODUCT(DB_STProjectsSOF[[#This Row],[Act01]:[Act12]],$P$3:$AA$3)/valUnits2</f>
        <v>7.8896000000000006</v>
      </c>
      <c r="AK560" s="34">
        <f>IF(DB_STProjectsSOF[[#This Row],[FY Plan]]&lt;&gt;0,DB_STProjectsSOF[[#This Row],[FY Actuals]]/DB_STProjectsSOF[[#This Row],[FY Plan]],1.000011000011)</f>
        <v>1.0000110000110001</v>
      </c>
    </row>
    <row r="561" spans="1:37" hidden="1" x14ac:dyDescent="0.2">
      <c r="A561">
        <f>SUBTOTAL(3,$B$6:B561)</f>
        <v>0</v>
      </c>
      <c r="B561" t="s">
        <v>942</v>
      </c>
      <c r="C561" t="s">
        <v>858</v>
      </c>
      <c r="D561">
        <v>0</v>
      </c>
      <c r="E561">
        <v>0</v>
      </c>
      <c r="F561">
        <v>0</v>
      </c>
      <c r="G561">
        <v>255.96</v>
      </c>
      <c r="H561">
        <v>630.76</v>
      </c>
      <c r="I561">
        <v>1416.6660000000002</v>
      </c>
      <c r="J561">
        <v>1416.6660000000002</v>
      </c>
      <c r="K561">
        <v>1499.999</v>
      </c>
      <c r="L561">
        <v>1416.6660000000002</v>
      </c>
      <c r="M561">
        <v>1416.6660000000002</v>
      </c>
      <c r="N561">
        <v>1416.6660000000002</v>
      </c>
      <c r="O561">
        <v>1416.6660000000002</v>
      </c>
      <c r="P561">
        <v>0</v>
      </c>
      <c r="Q561">
        <v>0</v>
      </c>
      <c r="R561">
        <v>0</v>
      </c>
      <c r="S561">
        <v>255.96</v>
      </c>
      <c r="T561">
        <v>630.76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s="164">
        <v>41275</v>
      </c>
      <c r="AC561" s="164">
        <v>41639</v>
      </c>
      <c r="AD561" s="164">
        <v>41784</v>
      </c>
      <c r="AE561" s="34">
        <f>SUMPRODUCT(DB_STProjectsSOF[[#This Row],[Plan01]:[Plan12]],$D$4:$O$4)/valUnits2</f>
        <v>2.3033860000000006</v>
      </c>
      <c r="AF561" s="34">
        <f>SUMPRODUCT(DB_STProjectsSOF[[#This Row],[Act01]:[Act12]],$P$4:$AA$4)/valUnits2</f>
        <v>0.88672000000000006</v>
      </c>
      <c r="AG561" s="34">
        <f>DB_STProjectsSOF[[#This Row],[Actual]]-DB_STProjectsSOF[[#This Row],[Plan]]</f>
        <v>-1.4166660000000006</v>
      </c>
      <c r="AH561" s="34">
        <f>IF(DB_STProjectsSOF[[#This Row],[Plan]]&lt;&gt;0,DB_STProjectsSOF[[#This Row],[Actual]]/DB_STProjectsSOF[[#This Row],[Plan]],1.000011000011)</f>
        <v>0.38496370126413887</v>
      </c>
      <c r="AI561" s="34">
        <f>SUM(DB_STProjectsSOF[[#This Row],[Plan01]:[Plan12]])/valUnits2</f>
        <v>10.886715000000001</v>
      </c>
      <c r="AJ561" s="34">
        <f>SUMPRODUCT(DB_STProjectsSOF[[#This Row],[Act01]:[Act12]],$P$3:$AA$3)/valUnits2</f>
        <v>0.88672000000000006</v>
      </c>
      <c r="AK561" s="34">
        <f>IF(DB_STProjectsSOF[[#This Row],[FY Plan]]&lt;&gt;0,DB_STProjectsSOF[[#This Row],[FY Actuals]]/DB_STProjectsSOF[[#This Row],[FY Plan]],1.000011000011)</f>
        <v>8.144973024461466E-2</v>
      </c>
    </row>
    <row r="562" spans="1:37" hidden="1" x14ac:dyDescent="0.2">
      <c r="A562">
        <f>SUBTOTAL(3,$B$6:B562)</f>
        <v>0</v>
      </c>
      <c r="B562" t="s">
        <v>942</v>
      </c>
      <c r="C562" t="s">
        <v>870</v>
      </c>
      <c r="D562">
        <v>0</v>
      </c>
      <c r="G562">
        <v>0</v>
      </c>
      <c r="J562">
        <v>0</v>
      </c>
      <c r="M562">
        <v>0</v>
      </c>
      <c r="P562">
        <v>0</v>
      </c>
      <c r="S562">
        <v>0</v>
      </c>
      <c r="V562">
        <v>0</v>
      </c>
      <c r="Y562">
        <v>0</v>
      </c>
      <c r="AB562" s="164">
        <v>40909</v>
      </c>
      <c r="AC562" s="164">
        <v>41274</v>
      </c>
      <c r="AD562" s="164">
        <v>41305</v>
      </c>
      <c r="AE562" s="34">
        <f>SUMPRODUCT(DB_STProjectsSOF[[#This Row],[Plan01]:[Plan12]],$D$4:$O$4)/valUnits2</f>
        <v>0</v>
      </c>
      <c r="AF562" s="34">
        <f>SUMPRODUCT(DB_STProjectsSOF[[#This Row],[Act01]:[Act12]],$P$4:$AA$4)/valUnits2</f>
        <v>0</v>
      </c>
      <c r="AG562" s="34">
        <f>DB_STProjectsSOF[[#This Row],[Actual]]-DB_STProjectsSOF[[#This Row],[Plan]]</f>
        <v>0</v>
      </c>
      <c r="AH562" s="34">
        <f>IF(DB_STProjectsSOF[[#This Row],[Plan]]&lt;&gt;0,DB_STProjectsSOF[[#This Row],[Actual]]/DB_STProjectsSOF[[#This Row],[Plan]],1.000011000011)</f>
        <v>1.0000110000110001</v>
      </c>
      <c r="AI562" s="34">
        <f>SUM(DB_STProjectsSOF[[#This Row],[Plan01]:[Plan12]])/valUnits2</f>
        <v>0</v>
      </c>
      <c r="AJ562" s="34">
        <f>SUMPRODUCT(DB_STProjectsSOF[[#This Row],[Act01]:[Act12]],$P$3:$AA$3)/valUnits2</f>
        <v>0</v>
      </c>
      <c r="AK562" s="34">
        <f>IF(DB_STProjectsSOF[[#This Row],[FY Plan]]&lt;&gt;0,DB_STProjectsSOF[[#This Row],[FY Actuals]]/DB_STProjectsSOF[[#This Row],[FY Plan]],1.000011000011)</f>
        <v>1.0000110000110001</v>
      </c>
    </row>
    <row r="563" spans="1:37" hidden="1" x14ac:dyDescent="0.2">
      <c r="A563">
        <f>SUBTOTAL(3,$B$6:B563)</f>
        <v>0</v>
      </c>
      <c r="B563" t="s">
        <v>942</v>
      </c>
      <c r="C563" t="s">
        <v>872</v>
      </c>
      <c r="E563">
        <v>509.88800000000003</v>
      </c>
      <c r="F563">
        <v>22256.657999999999</v>
      </c>
      <c r="G563">
        <v>10177.259000000002</v>
      </c>
      <c r="H563">
        <v>-32305.672999999995</v>
      </c>
      <c r="I563">
        <v>16657.033000000003</v>
      </c>
      <c r="J563">
        <v>16657.032999999999</v>
      </c>
      <c r="K563">
        <v>16657.032999999999</v>
      </c>
      <c r="L563">
        <v>19804.550999999999</v>
      </c>
      <c r="M563">
        <v>27419.517</v>
      </c>
      <c r="N563">
        <v>19804.550999999999</v>
      </c>
      <c r="O563">
        <v>16657.032999999999</v>
      </c>
      <c r="Q563">
        <v>515.74</v>
      </c>
      <c r="R563">
        <v>22178.149999999994</v>
      </c>
      <c r="S563">
        <v>10021.84</v>
      </c>
      <c r="T563">
        <v>-32182.619999999992</v>
      </c>
      <c r="U563">
        <v>1446.1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s="164">
        <v>41275</v>
      </c>
      <c r="AC563" s="164">
        <v>41639</v>
      </c>
      <c r="AD563" s="164">
        <v>41669</v>
      </c>
      <c r="AE563" s="34">
        <f>SUMPRODUCT(DB_STProjectsSOF[[#This Row],[Plan01]:[Plan12]],$D$4:$O$4)/valUnits2</f>
        <v>17.295165000000008</v>
      </c>
      <c r="AF563" s="34">
        <f>SUMPRODUCT(DB_STProjectsSOF[[#This Row],[Act01]:[Act12]],$P$4:$AA$4)/valUnits2</f>
        <v>1.9792100000000041</v>
      </c>
      <c r="AG563" s="34">
        <f>DB_STProjectsSOF[[#This Row],[Actual]]-DB_STProjectsSOF[[#This Row],[Plan]]</f>
        <v>-15.315955000000004</v>
      </c>
      <c r="AH563" s="34">
        <f>IF(DB_STProjectsSOF[[#This Row],[Plan]]&lt;&gt;0,DB_STProjectsSOF[[#This Row],[Actual]]/DB_STProjectsSOF[[#This Row],[Plan]],1.000011000011)</f>
        <v>0.11443718519019641</v>
      </c>
      <c r="AI563" s="34">
        <f>SUM(DB_STProjectsSOF[[#This Row],[Plan01]:[Plan12]])/valUnits2</f>
        <v>134.294883</v>
      </c>
      <c r="AJ563" s="34">
        <f>SUMPRODUCT(DB_STProjectsSOF[[#This Row],[Act01]:[Act12]],$P$3:$AA$3)/valUnits2</f>
        <v>1.9792100000000041</v>
      </c>
      <c r="AK563" s="34">
        <f>IF(DB_STProjectsSOF[[#This Row],[FY Plan]]&lt;&gt;0,DB_STProjectsSOF[[#This Row],[FY Actuals]]/DB_STProjectsSOF[[#This Row],[FY Plan]],1.000011000011)</f>
        <v>1.4737791610422001E-2</v>
      </c>
    </row>
    <row r="564" spans="1:37" hidden="1" x14ac:dyDescent="0.2">
      <c r="A564">
        <f>SUBTOTAL(3,$B$6:B564)</f>
        <v>0</v>
      </c>
      <c r="B564" t="s">
        <v>942</v>
      </c>
      <c r="C564" t="s">
        <v>884</v>
      </c>
      <c r="D564">
        <v>5025.0829999999996</v>
      </c>
      <c r="E564">
        <v>5025.0829999999996</v>
      </c>
      <c r="F564">
        <v>5025.0829999999996</v>
      </c>
      <c r="G564">
        <v>5025.0829999999996</v>
      </c>
      <c r="H564">
        <v>5025.0829999999996</v>
      </c>
      <c r="I564">
        <v>5025.0829999999996</v>
      </c>
      <c r="J564">
        <v>5025.0829999999996</v>
      </c>
      <c r="K564">
        <v>5025.0829999999996</v>
      </c>
      <c r="L564">
        <v>5025.0829999999996</v>
      </c>
      <c r="M564">
        <v>5025.0829999999996</v>
      </c>
      <c r="N564">
        <v>5025.0829999999996</v>
      </c>
      <c r="O564">
        <v>5025.0829999999996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s="164">
        <v>40909</v>
      </c>
      <c r="AC564" s="164">
        <v>41274</v>
      </c>
      <c r="AD564" s="164">
        <v>41364</v>
      </c>
      <c r="AE564" s="34">
        <f>SUMPRODUCT(DB_STProjectsSOF[[#This Row],[Plan01]:[Plan12]],$D$4:$O$4)/valUnits2</f>
        <v>30.150497999999995</v>
      </c>
      <c r="AF564" s="34">
        <f>SUMPRODUCT(DB_STProjectsSOF[[#This Row],[Act01]:[Act12]],$P$4:$AA$4)/valUnits2</f>
        <v>0</v>
      </c>
      <c r="AG564" s="34">
        <f>DB_STProjectsSOF[[#This Row],[Actual]]-DB_STProjectsSOF[[#This Row],[Plan]]</f>
        <v>-30.150497999999995</v>
      </c>
      <c r="AH564" s="34">
        <f>IF(DB_STProjectsSOF[[#This Row],[Plan]]&lt;&gt;0,DB_STProjectsSOF[[#This Row],[Actual]]/DB_STProjectsSOF[[#This Row],[Plan]],1.000011000011)</f>
        <v>0</v>
      </c>
      <c r="AI564" s="34">
        <f>SUM(DB_STProjectsSOF[[#This Row],[Plan01]:[Plan12]])/valUnits2</f>
        <v>60.300995999999991</v>
      </c>
      <c r="AJ564" s="34">
        <f>SUMPRODUCT(DB_STProjectsSOF[[#This Row],[Act01]:[Act12]],$P$3:$AA$3)/valUnits2</f>
        <v>0</v>
      </c>
      <c r="AK564" s="34">
        <f>IF(DB_STProjectsSOF[[#This Row],[FY Plan]]&lt;&gt;0,DB_STProjectsSOF[[#This Row],[FY Actuals]]/DB_STProjectsSOF[[#This Row],[FY Plan]],1.000011000011)</f>
        <v>0</v>
      </c>
    </row>
    <row r="565" spans="1:37" hidden="1" x14ac:dyDescent="0.2">
      <c r="A565">
        <f>SUBTOTAL(3,$B$6:B565)</f>
        <v>0</v>
      </c>
      <c r="B565" t="s">
        <v>942</v>
      </c>
      <c r="C565" t="s">
        <v>904</v>
      </c>
      <c r="D565">
        <v>3365.3399999999997</v>
      </c>
      <c r="E565">
        <v>13206.280999999997</v>
      </c>
      <c r="F565">
        <v>21975.558000000005</v>
      </c>
      <c r="G565">
        <v>8719.4790000000012</v>
      </c>
      <c r="H565">
        <v>17431.623</v>
      </c>
      <c r="I565">
        <v>7114.1509999999998</v>
      </c>
      <c r="J565">
        <v>5317.808</v>
      </c>
      <c r="K565">
        <v>5317.808</v>
      </c>
      <c r="L565">
        <v>5514.2969999999996</v>
      </c>
      <c r="M565">
        <v>4806.4210000000003</v>
      </c>
      <c r="N565">
        <v>3567.0270000000005</v>
      </c>
      <c r="O565">
        <v>3370.5380000000005</v>
      </c>
      <c r="P565">
        <v>3365.28</v>
      </c>
      <c r="Q565">
        <v>13193.47</v>
      </c>
      <c r="R565">
        <v>21827.27</v>
      </c>
      <c r="S565">
        <v>8761.7100000000028</v>
      </c>
      <c r="T565">
        <v>17471.510000000002</v>
      </c>
      <c r="U565">
        <v>-3405.7600000000007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s="164">
        <v>40817</v>
      </c>
      <c r="AC565" s="164">
        <v>41639</v>
      </c>
      <c r="AD565" s="164">
        <v>41698</v>
      </c>
      <c r="AE565" s="34">
        <f>SUMPRODUCT(DB_STProjectsSOF[[#This Row],[Plan01]:[Plan12]],$D$4:$O$4)/valUnits2</f>
        <v>71.812432000000001</v>
      </c>
      <c r="AF565" s="34">
        <f>SUMPRODUCT(DB_STProjectsSOF[[#This Row],[Act01]:[Act12]],$P$4:$AA$4)/valUnits2</f>
        <v>61.213480000000011</v>
      </c>
      <c r="AG565" s="34">
        <f>DB_STProjectsSOF[[#This Row],[Actual]]-DB_STProjectsSOF[[#This Row],[Plan]]</f>
        <v>-10.59895199999999</v>
      </c>
      <c r="AH565" s="34">
        <f>IF(DB_STProjectsSOF[[#This Row],[Plan]]&lt;&gt;0,DB_STProjectsSOF[[#This Row],[Actual]]/DB_STProjectsSOF[[#This Row],[Plan]],1.000011000011)</f>
        <v>0.85240783935572617</v>
      </c>
      <c r="AI565" s="34">
        <f>SUM(DB_STProjectsSOF[[#This Row],[Plan01]:[Plan12]])/valUnits2</f>
        <v>99.70633100000002</v>
      </c>
      <c r="AJ565" s="34">
        <f>SUMPRODUCT(DB_STProjectsSOF[[#This Row],[Act01]:[Act12]],$P$3:$AA$3)/valUnits2</f>
        <v>61.213480000000011</v>
      </c>
      <c r="AK565" s="34">
        <f>IF(DB_STProjectsSOF[[#This Row],[FY Plan]]&lt;&gt;0,DB_STProjectsSOF[[#This Row],[FY Actuals]]/DB_STProjectsSOF[[#This Row],[FY Plan]],1.000011000011)</f>
        <v>0.61393774483588204</v>
      </c>
    </row>
    <row r="566" spans="1:37" hidden="1" x14ac:dyDescent="0.2">
      <c r="A566">
        <f>SUBTOTAL(3,$B$6:B566)</f>
        <v>0</v>
      </c>
      <c r="B566" t="s">
        <v>942</v>
      </c>
      <c r="C566" t="s">
        <v>905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s="164">
        <v>40909</v>
      </c>
      <c r="AC566" s="164">
        <v>41274</v>
      </c>
      <c r="AD566" s="164">
        <v>41364</v>
      </c>
      <c r="AE566" s="34">
        <f>SUMPRODUCT(DB_STProjectsSOF[[#This Row],[Plan01]:[Plan12]],$D$4:$O$4)/valUnits2</f>
        <v>0</v>
      </c>
      <c r="AF566" s="34">
        <f>SUMPRODUCT(DB_STProjectsSOF[[#This Row],[Act01]:[Act12]],$P$4:$AA$4)/valUnits2</f>
        <v>0</v>
      </c>
      <c r="AG566" s="34">
        <f>DB_STProjectsSOF[[#This Row],[Actual]]-DB_STProjectsSOF[[#This Row],[Plan]]</f>
        <v>0</v>
      </c>
      <c r="AH566" s="34">
        <f>IF(DB_STProjectsSOF[[#This Row],[Plan]]&lt;&gt;0,DB_STProjectsSOF[[#This Row],[Actual]]/DB_STProjectsSOF[[#This Row],[Plan]],1.000011000011)</f>
        <v>1.0000110000110001</v>
      </c>
      <c r="AI566" s="34">
        <f>SUM(DB_STProjectsSOF[[#This Row],[Plan01]:[Plan12]])/valUnits2</f>
        <v>0</v>
      </c>
      <c r="AJ566" s="34">
        <f>SUMPRODUCT(DB_STProjectsSOF[[#This Row],[Act01]:[Act12]],$P$3:$AA$3)/valUnits2</f>
        <v>0</v>
      </c>
      <c r="AK566" s="34">
        <f>IF(DB_STProjectsSOF[[#This Row],[FY Plan]]&lt;&gt;0,DB_STProjectsSOF[[#This Row],[FY Actuals]]/DB_STProjectsSOF[[#This Row],[FY Plan]],1.000011000011)</f>
        <v>1.0000110000110001</v>
      </c>
    </row>
    <row r="567" spans="1:37" hidden="1" x14ac:dyDescent="0.2">
      <c r="A567">
        <f>SUBTOTAL(3,$B$6:B567)</f>
        <v>0</v>
      </c>
      <c r="B567" t="s">
        <v>942</v>
      </c>
      <c r="C567" t="s">
        <v>352</v>
      </c>
      <c r="G567">
        <v>0</v>
      </c>
      <c r="H567">
        <v>0</v>
      </c>
      <c r="S567">
        <v>0</v>
      </c>
      <c r="T567">
        <v>0</v>
      </c>
      <c r="AB567" s="164">
        <v>40817</v>
      </c>
      <c r="AC567" s="164">
        <v>41424</v>
      </c>
      <c r="AD567" s="164">
        <v>41487</v>
      </c>
      <c r="AE567" s="34">
        <f>SUMPRODUCT(DB_STProjectsSOF[[#This Row],[Plan01]:[Plan12]],$D$4:$O$4)/valUnits2</f>
        <v>0</v>
      </c>
      <c r="AF567" s="34">
        <f>SUMPRODUCT(DB_STProjectsSOF[[#This Row],[Act01]:[Act12]],$P$4:$AA$4)/valUnits2</f>
        <v>0</v>
      </c>
      <c r="AG567" s="34">
        <f>DB_STProjectsSOF[[#This Row],[Actual]]-DB_STProjectsSOF[[#This Row],[Plan]]</f>
        <v>0</v>
      </c>
      <c r="AH567" s="34">
        <f>IF(DB_STProjectsSOF[[#This Row],[Plan]]&lt;&gt;0,DB_STProjectsSOF[[#This Row],[Actual]]/DB_STProjectsSOF[[#This Row],[Plan]],1.000011000011)</f>
        <v>1.0000110000110001</v>
      </c>
      <c r="AI567" s="34">
        <f>SUM(DB_STProjectsSOF[[#This Row],[Plan01]:[Plan12]])/valUnits2</f>
        <v>0</v>
      </c>
      <c r="AJ567" s="34">
        <f>SUMPRODUCT(DB_STProjectsSOF[[#This Row],[Act01]:[Act12]],$P$3:$AA$3)/valUnits2</f>
        <v>0</v>
      </c>
      <c r="AK567" s="34">
        <f>IF(DB_STProjectsSOF[[#This Row],[FY Plan]]&lt;&gt;0,DB_STProjectsSOF[[#This Row],[FY Actuals]]/DB_STProjectsSOF[[#This Row],[FY Plan]],1.000011000011)</f>
        <v>1.0000110000110001</v>
      </c>
    </row>
    <row r="568" spans="1:37" hidden="1" x14ac:dyDescent="0.2">
      <c r="A568">
        <f>SUBTOTAL(3,$B$6:B568)</f>
        <v>0</v>
      </c>
      <c r="B568" t="s">
        <v>940</v>
      </c>
      <c r="C568" t="s">
        <v>854</v>
      </c>
      <c r="D568">
        <v>10.851000000000001</v>
      </c>
      <c r="E568">
        <v>387.96699999999998</v>
      </c>
      <c r="F568">
        <v>140.29400000000001</v>
      </c>
      <c r="G568">
        <v>9715.5190000000002</v>
      </c>
      <c r="H568">
        <v>1785.4860000000001</v>
      </c>
      <c r="I568">
        <v>1880.8790000000001</v>
      </c>
      <c r="J568">
        <v>1880.8790000000001</v>
      </c>
      <c r="K568">
        <v>1880.8790000000001</v>
      </c>
      <c r="L568">
        <v>1880.8790000000001</v>
      </c>
      <c r="M568">
        <v>1880.8790000000001</v>
      </c>
      <c r="N568">
        <v>1880.8790000000001</v>
      </c>
      <c r="O568">
        <v>1880.8790000000001</v>
      </c>
      <c r="P568">
        <v>10.9</v>
      </c>
      <c r="Q568">
        <v>395.52000000000004</v>
      </c>
      <c r="R568">
        <v>139.77000000000001</v>
      </c>
      <c r="S568">
        <v>9751.92</v>
      </c>
      <c r="T568">
        <v>1809.73</v>
      </c>
      <c r="U568">
        <v>-250.13000000000005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s="164">
        <v>40923</v>
      </c>
      <c r="AC568" s="164">
        <v>41698</v>
      </c>
      <c r="AD568" s="164">
        <v>41759</v>
      </c>
      <c r="AE568" s="34">
        <f>SUMPRODUCT(DB_STProjectsSOF[[#This Row],[Plan01]:[Plan12]],$D$4:$O$4)/valUnits2</f>
        <v>13.920996000000001</v>
      </c>
      <c r="AF568" s="34">
        <f>SUMPRODUCT(DB_STProjectsSOF[[#This Row],[Act01]:[Act12]],$P$4:$AA$4)/valUnits2</f>
        <v>11.857710000000001</v>
      </c>
      <c r="AG568" s="34">
        <f>DB_STProjectsSOF[[#This Row],[Actual]]-DB_STProjectsSOF[[#This Row],[Plan]]</f>
        <v>-2.0632859999999997</v>
      </c>
      <c r="AH568" s="34">
        <f>IF(DB_STProjectsSOF[[#This Row],[Plan]]&lt;&gt;0,DB_STProjectsSOF[[#This Row],[Actual]]/DB_STProjectsSOF[[#This Row],[Plan]],1.000011000011)</f>
        <v>0.85178603599914837</v>
      </c>
      <c r="AI568" s="34">
        <f>SUM(DB_STProjectsSOF[[#This Row],[Plan01]:[Plan12]])/valUnits2</f>
        <v>25.206270000000004</v>
      </c>
      <c r="AJ568" s="34">
        <f>SUMPRODUCT(DB_STProjectsSOF[[#This Row],[Act01]:[Act12]],$P$3:$AA$3)/valUnits2</f>
        <v>11.857710000000001</v>
      </c>
      <c r="AK568" s="34">
        <f>IF(DB_STProjectsSOF[[#This Row],[FY Plan]]&lt;&gt;0,DB_STProjectsSOF[[#This Row],[FY Actuals]]/DB_STProjectsSOF[[#This Row],[FY Plan]],1.000011000011)</f>
        <v>0.47042700090096629</v>
      </c>
    </row>
    <row r="569" spans="1:37" hidden="1" x14ac:dyDescent="0.2">
      <c r="A569">
        <f>SUBTOTAL(3,$B$6:B569)</f>
        <v>0</v>
      </c>
      <c r="B569" t="s">
        <v>940</v>
      </c>
      <c r="C569" t="s">
        <v>901</v>
      </c>
      <c r="F569">
        <v>-48.728999999999999</v>
      </c>
      <c r="R569">
        <v>71.91</v>
      </c>
      <c r="AB569" s="164"/>
      <c r="AC569" s="164"/>
      <c r="AD569" s="164"/>
      <c r="AE569" s="34">
        <f>SUMPRODUCT(DB_STProjectsSOF[[#This Row],[Plan01]:[Plan12]],$D$4:$O$4)/valUnits2</f>
        <v>-4.8729000000000001E-2</v>
      </c>
      <c r="AF569" s="34">
        <f>SUMPRODUCT(DB_STProjectsSOF[[#This Row],[Act01]:[Act12]],$P$4:$AA$4)/valUnits2</f>
        <v>7.1910000000000002E-2</v>
      </c>
      <c r="AG569" s="34">
        <f>DB_STProjectsSOF[[#This Row],[Actual]]-DB_STProjectsSOF[[#This Row],[Plan]]</f>
        <v>0.120639</v>
      </c>
      <c r="AH569" s="34">
        <f>IF(DB_STProjectsSOF[[#This Row],[Plan]]&lt;&gt;0,DB_STProjectsSOF[[#This Row],[Actual]]/DB_STProjectsSOF[[#This Row],[Plan]],1.000011000011)</f>
        <v>-1.4757126146647788</v>
      </c>
      <c r="AI569" s="34">
        <f>SUM(DB_STProjectsSOF[[#This Row],[Plan01]:[Plan12]])/valUnits2</f>
        <v>-4.8729000000000001E-2</v>
      </c>
      <c r="AJ569" s="34">
        <f>SUMPRODUCT(DB_STProjectsSOF[[#This Row],[Act01]:[Act12]],$P$3:$AA$3)/valUnits2</f>
        <v>7.1910000000000002E-2</v>
      </c>
      <c r="AK569" s="34">
        <f>IF(DB_STProjectsSOF[[#This Row],[FY Plan]]&lt;&gt;0,DB_STProjectsSOF[[#This Row],[FY Actuals]]/DB_STProjectsSOF[[#This Row],[FY Plan]],1.000011000011)</f>
        <v>-1.4757126146647788</v>
      </c>
    </row>
    <row r="570" spans="1:37" hidden="1" x14ac:dyDescent="0.2">
      <c r="A570">
        <f>SUBTOTAL(3,$B$6:B570)</f>
        <v>0</v>
      </c>
      <c r="B570" t="s">
        <v>940</v>
      </c>
      <c r="C570" t="s">
        <v>936</v>
      </c>
      <c r="F570">
        <v>664</v>
      </c>
      <c r="R570">
        <v>638.44000000000005</v>
      </c>
      <c r="AB570" s="164">
        <v>40817</v>
      </c>
      <c r="AC570" s="164">
        <v>41090</v>
      </c>
      <c r="AD570" s="164">
        <v>41118</v>
      </c>
      <c r="AE570" s="34">
        <f>SUMPRODUCT(DB_STProjectsSOF[[#This Row],[Plan01]:[Plan12]],$D$4:$O$4)/valUnits2</f>
        <v>0.66400000000000003</v>
      </c>
      <c r="AF570" s="34">
        <f>SUMPRODUCT(DB_STProjectsSOF[[#This Row],[Act01]:[Act12]],$P$4:$AA$4)/valUnits2</f>
        <v>0.63844000000000001</v>
      </c>
      <c r="AG570" s="34">
        <f>DB_STProjectsSOF[[#This Row],[Actual]]-DB_STProjectsSOF[[#This Row],[Plan]]</f>
        <v>-2.5560000000000027E-2</v>
      </c>
      <c r="AH570" s="34">
        <f>IF(DB_STProjectsSOF[[#This Row],[Plan]]&lt;&gt;0,DB_STProjectsSOF[[#This Row],[Actual]]/DB_STProjectsSOF[[#This Row],[Plan]],1.000011000011)</f>
        <v>0.96150602409638553</v>
      </c>
      <c r="AI570" s="34">
        <f>SUM(DB_STProjectsSOF[[#This Row],[Plan01]:[Plan12]])/valUnits2</f>
        <v>0.66400000000000003</v>
      </c>
      <c r="AJ570" s="34">
        <f>SUMPRODUCT(DB_STProjectsSOF[[#This Row],[Act01]:[Act12]],$P$3:$AA$3)/valUnits2</f>
        <v>0.63844000000000001</v>
      </c>
      <c r="AK570" s="34">
        <f>IF(DB_STProjectsSOF[[#This Row],[FY Plan]]&lt;&gt;0,DB_STProjectsSOF[[#This Row],[FY Actuals]]/DB_STProjectsSOF[[#This Row],[FY Plan]],1.000011000011)</f>
        <v>0.96150602409638553</v>
      </c>
    </row>
    <row r="571" spans="1:37" hidden="1" x14ac:dyDescent="0.2">
      <c r="A571">
        <f>SUBTOTAL(3,$B$6:B571)</f>
        <v>0</v>
      </c>
      <c r="B571" t="s">
        <v>978</v>
      </c>
      <c r="C571" t="s">
        <v>866</v>
      </c>
      <c r="G571">
        <v>65.539999999999992</v>
      </c>
      <c r="H571">
        <v>2562.48</v>
      </c>
      <c r="I571">
        <v>0</v>
      </c>
      <c r="S571">
        <v>65.539999999999992</v>
      </c>
      <c r="T571">
        <v>2562.48</v>
      </c>
      <c r="U571">
        <v>-2398.81</v>
      </c>
      <c r="AB571" s="164">
        <v>41275</v>
      </c>
      <c r="AC571" s="164">
        <v>41639</v>
      </c>
      <c r="AD571" s="164">
        <v>41760</v>
      </c>
      <c r="AE571" s="34">
        <f>SUMPRODUCT(DB_STProjectsSOF[[#This Row],[Plan01]:[Plan12]],$D$4:$O$4)/valUnits2</f>
        <v>2.6280199999999998</v>
      </c>
      <c r="AF571" s="34">
        <f>SUMPRODUCT(DB_STProjectsSOF[[#This Row],[Act01]:[Act12]],$P$4:$AA$4)/valUnits2</f>
        <v>0.22921000000000002</v>
      </c>
      <c r="AG571" s="34">
        <f>DB_STProjectsSOF[[#This Row],[Actual]]-DB_STProjectsSOF[[#This Row],[Plan]]</f>
        <v>-2.3988099999999997</v>
      </c>
      <c r="AH571" s="34">
        <f>IF(DB_STProjectsSOF[[#This Row],[Plan]]&lt;&gt;0,DB_STProjectsSOF[[#This Row],[Actual]]/DB_STProjectsSOF[[#This Row],[Plan]],1.000011000011)</f>
        <v>8.7217753289548797E-2</v>
      </c>
      <c r="AI571" s="34">
        <f>SUM(DB_STProjectsSOF[[#This Row],[Plan01]:[Plan12]])/valUnits2</f>
        <v>2.6280199999999998</v>
      </c>
      <c r="AJ571" s="34">
        <f>SUMPRODUCT(DB_STProjectsSOF[[#This Row],[Act01]:[Act12]],$P$3:$AA$3)/valUnits2</f>
        <v>0.22921000000000002</v>
      </c>
      <c r="AK571" s="34">
        <f>IF(DB_STProjectsSOF[[#This Row],[FY Plan]]&lt;&gt;0,DB_STProjectsSOF[[#This Row],[FY Actuals]]/DB_STProjectsSOF[[#This Row],[FY Plan]],1.000011000011)</f>
        <v>8.7217753289548797E-2</v>
      </c>
    </row>
    <row r="572" spans="1:37" hidden="1" x14ac:dyDescent="0.2">
      <c r="A572">
        <f>SUBTOTAL(3,$B$6:B572)</f>
        <v>0</v>
      </c>
      <c r="B572" t="s">
        <v>978</v>
      </c>
      <c r="C572" t="s">
        <v>913</v>
      </c>
      <c r="D572">
        <v>0</v>
      </c>
      <c r="G572">
        <v>0</v>
      </c>
      <c r="J572">
        <v>0</v>
      </c>
      <c r="M572">
        <v>0</v>
      </c>
      <c r="P572">
        <v>0</v>
      </c>
      <c r="S572">
        <v>0</v>
      </c>
      <c r="V572">
        <v>0</v>
      </c>
      <c r="Y572">
        <v>0</v>
      </c>
      <c r="AB572" s="164">
        <v>40817</v>
      </c>
      <c r="AC572" s="164">
        <v>41639</v>
      </c>
      <c r="AD572" s="164">
        <v>41685</v>
      </c>
      <c r="AE572" s="34">
        <f>SUMPRODUCT(DB_STProjectsSOF[[#This Row],[Plan01]:[Plan12]],$D$4:$O$4)/valUnits2</f>
        <v>0</v>
      </c>
      <c r="AF572" s="34">
        <f>SUMPRODUCT(DB_STProjectsSOF[[#This Row],[Act01]:[Act12]],$P$4:$AA$4)/valUnits2</f>
        <v>0</v>
      </c>
      <c r="AG572" s="34">
        <f>DB_STProjectsSOF[[#This Row],[Actual]]-DB_STProjectsSOF[[#This Row],[Plan]]</f>
        <v>0</v>
      </c>
      <c r="AH572" s="34">
        <f>IF(DB_STProjectsSOF[[#This Row],[Plan]]&lt;&gt;0,DB_STProjectsSOF[[#This Row],[Actual]]/DB_STProjectsSOF[[#This Row],[Plan]],1.000011000011)</f>
        <v>1.0000110000110001</v>
      </c>
      <c r="AI572" s="34">
        <f>SUM(DB_STProjectsSOF[[#This Row],[Plan01]:[Plan12]])/valUnits2</f>
        <v>0</v>
      </c>
      <c r="AJ572" s="34">
        <f>SUMPRODUCT(DB_STProjectsSOF[[#This Row],[Act01]:[Act12]],$P$3:$AA$3)/valUnits2</f>
        <v>0</v>
      </c>
      <c r="AK572" s="34">
        <f>IF(DB_STProjectsSOF[[#This Row],[FY Plan]]&lt;&gt;0,DB_STProjectsSOF[[#This Row],[FY Actuals]]/DB_STProjectsSOF[[#This Row],[FY Plan]],1.000011000011)</f>
        <v>1.0000110000110001</v>
      </c>
    </row>
    <row r="573" spans="1:37" hidden="1" x14ac:dyDescent="0.2">
      <c r="A573">
        <f>SUBTOTAL(3,$B$6:B573)</f>
        <v>0</v>
      </c>
      <c r="B573" t="s">
        <v>983</v>
      </c>
      <c r="C573" t="s">
        <v>843</v>
      </c>
      <c r="G573">
        <v>460.18400000000003</v>
      </c>
      <c r="H573">
        <v>418.95699999999999</v>
      </c>
      <c r="I573">
        <v>24559.218000000001</v>
      </c>
      <c r="J573">
        <v>24559.218000000001</v>
      </c>
      <c r="K573">
        <v>24559.217999999997</v>
      </c>
      <c r="L573">
        <v>24559.217999999997</v>
      </c>
      <c r="M573">
        <v>24559.217999999997</v>
      </c>
      <c r="N573">
        <v>24559.217999999997</v>
      </c>
      <c r="O573">
        <v>24559.217999999997</v>
      </c>
      <c r="S573">
        <v>445.75</v>
      </c>
      <c r="T573">
        <v>413.97999999999996</v>
      </c>
      <c r="U573">
        <v>88187.77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s="164">
        <v>41275</v>
      </c>
      <c r="AC573" s="164">
        <v>42369</v>
      </c>
      <c r="AD573" s="164">
        <v>42492</v>
      </c>
      <c r="AE573" s="34">
        <f>SUMPRODUCT(DB_STProjectsSOF[[#This Row],[Plan01]:[Plan12]],$D$4:$O$4)/valUnits2</f>
        <v>25.438359000000002</v>
      </c>
      <c r="AF573" s="34">
        <f>SUMPRODUCT(DB_STProjectsSOF[[#This Row],[Act01]:[Act12]],$P$4:$AA$4)/valUnits2</f>
        <v>89.047499999999999</v>
      </c>
      <c r="AG573" s="34">
        <f>DB_STProjectsSOF[[#This Row],[Actual]]-DB_STProjectsSOF[[#This Row],[Plan]]</f>
        <v>63.609140999999994</v>
      </c>
      <c r="AH573" s="34">
        <f>IF(DB_STProjectsSOF[[#This Row],[Plan]]&lt;&gt;0,DB_STProjectsSOF[[#This Row],[Actual]]/DB_STProjectsSOF[[#This Row],[Plan]],1.000011000011)</f>
        <v>3.5005206114120804</v>
      </c>
      <c r="AI573" s="34">
        <f>SUM(DB_STProjectsSOF[[#This Row],[Plan01]:[Plan12]])/valUnits2</f>
        <v>172.793667</v>
      </c>
      <c r="AJ573" s="34">
        <f>SUMPRODUCT(DB_STProjectsSOF[[#This Row],[Act01]:[Act12]],$P$3:$AA$3)/valUnits2</f>
        <v>89.047499999999999</v>
      </c>
      <c r="AK573" s="34">
        <f>IF(DB_STProjectsSOF[[#This Row],[FY Plan]]&lt;&gt;0,DB_STProjectsSOF[[#This Row],[FY Actuals]]/DB_STProjectsSOF[[#This Row],[FY Plan]],1.000011000011)</f>
        <v>0.51534006741115113</v>
      </c>
    </row>
    <row r="574" spans="1:37" hidden="1" x14ac:dyDescent="0.2">
      <c r="A574">
        <f>SUBTOTAL(3,$B$6:B574)</f>
        <v>0</v>
      </c>
      <c r="B574" t="s">
        <v>983</v>
      </c>
      <c r="C574" t="s">
        <v>845</v>
      </c>
      <c r="H574">
        <v>6959.3499999999995</v>
      </c>
      <c r="I574">
        <v>0</v>
      </c>
      <c r="T574">
        <v>6959.35</v>
      </c>
      <c r="U574">
        <v>12265.57</v>
      </c>
      <c r="AB574" s="164">
        <v>41275</v>
      </c>
      <c r="AC574" s="164">
        <v>41639</v>
      </c>
      <c r="AD574" s="164">
        <v>41729</v>
      </c>
      <c r="AE574" s="34">
        <f>SUMPRODUCT(DB_STProjectsSOF[[#This Row],[Plan01]:[Plan12]],$D$4:$O$4)/valUnits2</f>
        <v>6.9593499999999997</v>
      </c>
      <c r="AF574" s="34">
        <f>SUMPRODUCT(DB_STProjectsSOF[[#This Row],[Act01]:[Act12]],$P$4:$AA$4)/valUnits2</f>
        <v>19.224919999999997</v>
      </c>
      <c r="AG574" s="34">
        <f>DB_STProjectsSOF[[#This Row],[Actual]]-DB_STProjectsSOF[[#This Row],[Plan]]</f>
        <v>12.265569999999997</v>
      </c>
      <c r="AH574" s="34">
        <f>IF(DB_STProjectsSOF[[#This Row],[Plan]]&lt;&gt;0,DB_STProjectsSOF[[#This Row],[Actual]]/DB_STProjectsSOF[[#This Row],[Plan]],1.000011000011)</f>
        <v>2.7624591377068257</v>
      </c>
      <c r="AI574" s="34">
        <f>SUM(DB_STProjectsSOF[[#This Row],[Plan01]:[Plan12]])/valUnits2</f>
        <v>6.9593499999999997</v>
      </c>
      <c r="AJ574" s="34">
        <f>SUMPRODUCT(DB_STProjectsSOF[[#This Row],[Act01]:[Act12]],$P$3:$AA$3)/valUnits2</f>
        <v>19.224919999999997</v>
      </c>
      <c r="AK574" s="34">
        <f>IF(DB_STProjectsSOF[[#This Row],[FY Plan]]&lt;&gt;0,DB_STProjectsSOF[[#This Row],[FY Actuals]]/DB_STProjectsSOF[[#This Row],[FY Plan]],1.000011000011)</f>
        <v>2.7624591377068257</v>
      </c>
    </row>
    <row r="575" spans="1:37" hidden="1" x14ac:dyDescent="0.2">
      <c r="A575">
        <f>SUBTOTAL(3,$B$6:B575)</f>
        <v>0</v>
      </c>
      <c r="B575" t="s">
        <v>983</v>
      </c>
      <c r="C575" t="s">
        <v>364</v>
      </c>
      <c r="D575">
        <v>11.88</v>
      </c>
      <c r="E575">
        <v>9.1999999999999993</v>
      </c>
      <c r="F575">
        <v>7.83</v>
      </c>
      <c r="G575">
        <v>0</v>
      </c>
      <c r="H575">
        <v>72.399999999999991</v>
      </c>
      <c r="I575">
        <v>3505.6389999999997</v>
      </c>
      <c r="J575">
        <v>3505.6389999999997</v>
      </c>
      <c r="K575">
        <v>1749.9290000000001</v>
      </c>
      <c r="P575">
        <v>11.88</v>
      </c>
      <c r="Q575">
        <v>9.1999999999999993</v>
      </c>
      <c r="R575">
        <v>7.83</v>
      </c>
      <c r="S575">
        <v>0</v>
      </c>
      <c r="T575">
        <v>72.399999999999991</v>
      </c>
      <c r="U575">
        <v>0</v>
      </c>
      <c r="V575">
        <v>0</v>
      </c>
      <c r="W575">
        <v>0</v>
      </c>
      <c r="AB575" s="164">
        <v>40817</v>
      </c>
      <c r="AC575" s="164">
        <v>41500</v>
      </c>
      <c r="AD575" s="164">
        <v>41547</v>
      </c>
      <c r="AE575" s="34">
        <f>SUMPRODUCT(DB_STProjectsSOF[[#This Row],[Plan01]:[Plan12]],$D$4:$O$4)/valUnits2</f>
        <v>3.6069489999999997</v>
      </c>
      <c r="AF575" s="34">
        <f>SUMPRODUCT(DB_STProjectsSOF[[#This Row],[Act01]:[Act12]],$P$4:$AA$4)/valUnits2</f>
        <v>0.10130999999999998</v>
      </c>
      <c r="AG575" s="34">
        <f>DB_STProjectsSOF[[#This Row],[Actual]]-DB_STProjectsSOF[[#This Row],[Plan]]</f>
        <v>-3.5056389999999999</v>
      </c>
      <c r="AH575" s="34">
        <f>IF(DB_STProjectsSOF[[#This Row],[Plan]]&lt;&gt;0,DB_STProjectsSOF[[#This Row],[Actual]]/DB_STProjectsSOF[[#This Row],[Plan]],1.000011000011)</f>
        <v>2.8087450085931349E-2</v>
      </c>
      <c r="AI575" s="34">
        <f>SUM(DB_STProjectsSOF[[#This Row],[Plan01]:[Plan12]])/valUnits2</f>
        <v>8.8625170000000004</v>
      </c>
      <c r="AJ575" s="34">
        <f>SUMPRODUCT(DB_STProjectsSOF[[#This Row],[Act01]:[Act12]],$P$3:$AA$3)/valUnits2</f>
        <v>0.10130999999999998</v>
      </c>
      <c r="AK575" s="34">
        <f>IF(DB_STProjectsSOF[[#This Row],[FY Plan]]&lt;&gt;0,DB_STProjectsSOF[[#This Row],[FY Actuals]]/DB_STProjectsSOF[[#This Row],[FY Plan]],1.000011000011)</f>
        <v>1.1431289779190267E-2</v>
      </c>
    </row>
    <row r="576" spans="1:37" hidden="1" x14ac:dyDescent="0.2">
      <c r="A576">
        <f>SUBTOTAL(3,$B$6:B576)</f>
        <v>0</v>
      </c>
      <c r="B576" t="s">
        <v>983</v>
      </c>
      <c r="C576" t="s">
        <v>869</v>
      </c>
      <c r="D576">
        <v>5424.07</v>
      </c>
      <c r="E576">
        <v>21944.58</v>
      </c>
      <c r="F576">
        <v>19597.270000000004</v>
      </c>
      <c r="G576">
        <v>6234.4700000000012</v>
      </c>
      <c r="H576">
        <v>27362.36</v>
      </c>
      <c r="I576">
        <v>3393.5</v>
      </c>
      <c r="J576">
        <v>3394.5</v>
      </c>
      <c r="K576">
        <v>3395.5</v>
      </c>
      <c r="L576">
        <v>3396.5</v>
      </c>
      <c r="M576">
        <v>18625.5</v>
      </c>
      <c r="N576">
        <v>3398.5</v>
      </c>
      <c r="O576">
        <v>3399.5</v>
      </c>
      <c r="P576">
        <v>5424.07</v>
      </c>
      <c r="Q576">
        <v>21944.58</v>
      </c>
      <c r="R576">
        <v>19597.270000000004</v>
      </c>
      <c r="S576">
        <v>6234.4699999999984</v>
      </c>
      <c r="T576">
        <v>27362.36</v>
      </c>
      <c r="U576">
        <v>6033.5099999999993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s="164">
        <v>40817</v>
      </c>
      <c r="AC576" s="164">
        <v>42155</v>
      </c>
      <c r="AD576" s="164">
        <v>42217</v>
      </c>
      <c r="AE576" s="34">
        <f>SUMPRODUCT(DB_STProjectsSOF[[#This Row],[Plan01]:[Plan12]],$D$4:$O$4)/valUnits2</f>
        <v>83.956249999999997</v>
      </c>
      <c r="AF576" s="34">
        <f>SUMPRODUCT(DB_STProjectsSOF[[#This Row],[Act01]:[Act12]],$P$4:$AA$4)/valUnits2</f>
        <v>86.596260000000001</v>
      </c>
      <c r="AG576" s="34">
        <f>DB_STProjectsSOF[[#This Row],[Actual]]-DB_STProjectsSOF[[#This Row],[Plan]]</f>
        <v>2.6400100000000037</v>
      </c>
      <c r="AH576" s="34">
        <f>IF(DB_STProjectsSOF[[#This Row],[Plan]]&lt;&gt;0,DB_STProjectsSOF[[#This Row],[Actual]]/DB_STProjectsSOF[[#This Row],[Plan]],1.000011000011)</f>
        <v>1.0314450681158343</v>
      </c>
      <c r="AI576" s="34">
        <f>SUM(DB_STProjectsSOF[[#This Row],[Plan01]:[Plan12]])/valUnits2</f>
        <v>119.56625</v>
      </c>
      <c r="AJ576" s="34">
        <f>SUMPRODUCT(DB_STProjectsSOF[[#This Row],[Act01]:[Act12]],$P$3:$AA$3)/valUnits2</f>
        <v>86.596260000000001</v>
      </c>
      <c r="AK576" s="34">
        <f>IF(DB_STProjectsSOF[[#This Row],[FY Plan]]&lt;&gt;0,DB_STProjectsSOF[[#This Row],[FY Actuals]]/DB_STProjectsSOF[[#This Row],[FY Plan]],1.000011000011)</f>
        <v>0.72425337417540492</v>
      </c>
    </row>
    <row r="577" spans="1:37" hidden="1" x14ac:dyDescent="0.2">
      <c r="A577">
        <f>SUBTOTAL(3,$B$6:B577)</f>
        <v>0</v>
      </c>
      <c r="B577" t="s">
        <v>983</v>
      </c>
      <c r="C577" t="s">
        <v>884</v>
      </c>
      <c r="D577">
        <v>3275.7400000000002</v>
      </c>
      <c r="E577">
        <v>5080.12</v>
      </c>
      <c r="F577">
        <v>3130.75</v>
      </c>
      <c r="G577">
        <v>2347</v>
      </c>
      <c r="H577">
        <v>-2098.6099999999997</v>
      </c>
      <c r="I577">
        <v>2347</v>
      </c>
      <c r="J577">
        <v>2347</v>
      </c>
      <c r="K577">
        <v>2347</v>
      </c>
      <c r="L577">
        <v>2347</v>
      </c>
      <c r="M577">
        <v>2347</v>
      </c>
      <c r="N577">
        <v>2347</v>
      </c>
      <c r="O577">
        <v>2350</v>
      </c>
      <c r="P577">
        <v>928.74</v>
      </c>
      <c r="Q577">
        <v>2733.12</v>
      </c>
      <c r="R577">
        <v>783.75</v>
      </c>
      <c r="S577">
        <v>0</v>
      </c>
      <c r="T577">
        <v>-4445.6100000000006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s="164">
        <v>40909</v>
      </c>
      <c r="AC577" s="164">
        <v>41274</v>
      </c>
      <c r="AD577" s="164">
        <v>41364</v>
      </c>
      <c r="AE577" s="34">
        <f>SUMPRODUCT(DB_STProjectsSOF[[#This Row],[Plan01]:[Plan12]],$D$4:$O$4)/valUnits2</f>
        <v>14.082000000000001</v>
      </c>
      <c r="AF577" s="34">
        <f>SUMPRODUCT(DB_STProjectsSOF[[#This Row],[Act01]:[Act12]],$P$4:$AA$4)/valUnits2</f>
        <v>-9.0949470177292826E-16</v>
      </c>
      <c r="AG577" s="34">
        <f>DB_STProjectsSOF[[#This Row],[Actual]]-DB_STProjectsSOF[[#This Row],[Plan]]</f>
        <v>-14.082000000000003</v>
      </c>
      <c r="AH577" s="34">
        <f>IF(DB_STProjectsSOF[[#This Row],[Plan]]&lt;&gt;0,DB_STProjectsSOF[[#This Row],[Actual]]/DB_STProjectsSOF[[#This Row],[Plan]],1.000011000011)</f>
        <v>-6.458562006624969E-17</v>
      </c>
      <c r="AI577" s="34">
        <f>SUM(DB_STProjectsSOF[[#This Row],[Plan01]:[Plan12]])/valUnits2</f>
        <v>28.167000000000002</v>
      </c>
      <c r="AJ577" s="34">
        <f>SUMPRODUCT(DB_STProjectsSOF[[#This Row],[Act01]:[Act12]],$P$3:$AA$3)/valUnits2</f>
        <v>-9.0949470177292826E-16</v>
      </c>
      <c r="AK577" s="34">
        <f>IF(DB_STProjectsSOF[[#This Row],[FY Plan]]&lt;&gt;0,DB_STProjectsSOF[[#This Row],[FY Actuals]]/DB_STProjectsSOF[[#This Row],[FY Plan]],1.000011000011)</f>
        <v>-3.2289370602937064E-17</v>
      </c>
    </row>
    <row r="578" spans="1:37" hidden="1" x14ac:dyDescent="0.2">
      <c r="A578">
        <f>SUBTOTAL(3,$B$6:B578)</f>
        <v>0</v>
      </c>
      <c r="B578" t="s">
        <v>983</v>
      </c>
      <c r="C578" t="s">
        <v>907</v>
      </c>
      <c r="D578">
        <v>-188.38499999999999</v>
      </c>
      <c r="E578">
        <v>135.77099999999999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-182.6</v>
      </c>
      <c r="Q578">
        <v>216.58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s="164">
        <v>40909</v>
      </c>
      <c r="AC578" s="164">
        <v>41274</v>
      </c>
      <c r="AD578" s="164">
        <v>41320</v>
      </c>
      <c r="AE578" s="34">
        <f>SUMPRODUCT(DB_STProjectsSOF[[#This Row],[Plan01]:[Plan12]],$D$4:$O$4)/valUnits2</f>
        <v>-5.2614000000000001E-2</v>
      </c>
      <c r="AF578" s="34">
        <f>SUMPRODUCT(DB_STProjectsSOF[[#This Row],[Act01]:[Act12]],$P$4:$AA$4)/valUnits2</f>
        <v>3.3980000000000017E-2</v>
      </c>
      <c r="AG578" s="34">
        <f>DB_STProjectsSOF[[#This Row],[Actual]]-DB_STProjectsSOF[[#This Row],[Plan]]</f>
        <v>8.6594000000000018E-2</v>
      </c>
      <c r="AH578" s="34">
        <f>IF(DB_STProjectsSOF[[#This Row],[Plan]]&lt;&gt;0,DB_STProjectsSOF[[#This Row],[Actual]]/DB_STProjectsSOF[[#This Row],[Plan]],1.000011000011)</f>
        <v>-0.64583570912684873</v>
      </c>
      <c r="AI578" s="34">
        <f>SUM(DB_STProjectsSOF[[#This Row],[Plan01]:[Plan12]])/valUnits2</f>
        <v>-5.2614000000000001E-2</v>
      </c>
      <c r="AJ578" s="34">
        <f>SUMPRODUCT(DB_STProjectsSOF[[#This Row],[Act01]:[Act12]],$P$3:$AA$3)/valUnits2</f>
        <v>3.3980000000000017E-2</v>
      </c>
      <c r="AK578" s="34">
        <f>IF(DB_STProjectsSOF[[#This Row],[FY Plan]]&lt;&gt;0,DB_STProjectsSOF[[#This Row],[FY Actuals]]/DB_STProjectsSOF[[#This Row],[FY Plan]],1.000011000011)</f>
        <v>-0.64583570912684873</v>
      </c>
    </row>
    <row r="579" spans="1:37" hidden="1" x14ac:dyDescent="0.2">
      <c r="A579">
        <f>SUBTOTAL(3,$B$6:B579)</f>
        <v>0</v>
      </c>
      <c r="B579" t="s">
        <v>983</v>
      </c>
      <c r="C579" t="s">
        <v>909</v>
      </c>
      <c r="D579">
        <v>15917.769999999999</v>
      </c>
      <c r="E579">
        <v>265642.05</v>
      </c>
      <c r="F579">
        <v>18729.619999999981</v>
      </c>
      <c r="G579">
        <v>246894.30999999997</v>
      </c>
      <c r="H579">
        <v>145953.10999999999</v>
      </c>
      <c r="I579">
        <v>62522.002</v>
      </c>
      <c r="J579">
        <v>68147.002000000008</v>
      </c>
      <c r="K579">
        <v>62522.002</v>
      </c>
      <c r="L579">
        <v>62522.002</v>
      </c>
      <c r="M579">
        <v>68147.002000000008</v>
      </c>
      <c r="N579">
        <v>62522.002</v>
      </c>
      <c r="O579">
        <v>62522.002</v>
      </c>
      <c r="P579">
        <v>15917.770000000011</v>
      </c>
      <c r="Q579">
        <v>265642.04999999993</v>
      </c>
      <c r="R579">
        <v>18729.619999999977</v>
      </c>
      <c r="S579">
        <v>246894.31</v>
      </c>
      <c r="T579">
        <v>146005.82000000004</v>
      </c>
      <c r="U579">
        <v>173156.93999999994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s="164">
        <v>40817</v>
      </c>
      <c r="AC579" s="164">
        <v>42155</v>
      </c>
      <c r="AD579" s="164">
        <v>42217</v>
      </c>
      <c r="AE579" s="34">
        <f>SUMPRODUCT(DB_STProjectsSOF[[#This Row],[Plan01]:[Plan12]],$D$4:$O$4)/valUnits2</f>
        <v>755.658862</v>
      </c>
      <c r="AF579" s="34">
        <f>SUMPRODUCT(DB_STProjectsSOF[[#This Row],[Act01]:[Act12]],$P$4:$AA$4)/valUnits2</f>
        <v>866.34650999999997</v>
      </c>
      <c r="AG579" s="34">
        <f>DB_STProjectsSOF[[#This Row],[Actual]]-DB_STProjectsSOF[[#This Row],[Plan]]</f>
        <v>110.68764799999997</v>
      </c>
      <c r="AH579" s="34">
        <f>IF(DB_STProjectsSOF[[#This Row],[Plan]]&lt;&gt;0,DB_STProjectsSOF[[#This Row],[Actual]]/DB_STProjectsSOF[[#This Row],[Plan]],1.000011000011)</f>
        <v>1.1464783297942716</v>
      </c>
      <c r="AI579" s="34">
        <f>SUM(DB_STProjectsSOF[[#This Row],[Plan01]:[Plan12]])/valUnits2</f>
        <v>1142.040874</v>
      </c>
      <c r="AJ579" s="34">
        <f>SUMPRODUCT(DB_STProjectsSOF[[#This Row],[Act01]:[Act12]],$P$3:$AA$3)/valUnits2</f>
        <v>866.34650999999997</v>
      </c>
      <c r="AK579" s="34">
        <f>IF(DB_STProjectsSOF[[#This Row],[FY Plan]]&lt;&gt;0,DB_STProjectsSOF[[#This Row],[FY Actuals]]/DB_STProjectsSOF[[#This Row],[FY Plan]],1.000011000011)</f>
        <v>0.75859501154772147</v>
      </c>
    </row>
    <row r="580" spans="1:37" hidden="1" x14ac:dyDescent="0.2">
      <c r="A580">
        <f>SUBTOTAL(3,$B$6:B580)</f>
        <v>0</v>
      </c>
      <c r="B580" t="s">
        <v>983</v>
      </c>
      <c r="C580" t="s">
        <v>913</v>
      </c>
      <c r="D580">
        <v>4672.3689999999997</v>
      </c>
      <c r="E580">
        <v>-1181.952</v>
      </c>
      <c r="F580">
        <v>19503.228000000003</v>
      </c>
      <c r="G580">
        <v>1871.2380000000012</v>
      </c>
      <c r="H580">
        <v>18889.757000000001</v>
      </c>
      <c r="I580">
        <v>12202.069</v>
      </c>
      <c r="J580">
        <v>5217.0230000000001</v>
      </c>
      <c r="K580">
        <v>5354.4850000000006</v>
      </c>
      <c r="L580">
        <v>7272.58</v>
      </c>
      <c r="M580">
        <v>6224.0209999999997</v>
      </c>
      <c r="N580">
        <v>5073.1639999999998</v>
      </c>
      <c r="O580">
        <v>5073.1640000000007</v>
      </c>
      <c r="P580">
        <v>4584.72</v>
      </c>
      <c r="Q580">
        <v>-1181.2900000000002</v>
      </c>
      <c r="R580">
        <v>19867.89</v>
      </c>
      <c r="S580">
        <v>1845.9999999999991</v>
      </c>
      <c r="T580">
        <v>18923.690000000002</v>
      </c>
      <c r="U580">
        <v>1175.1700000000019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s="164">
        <v>40817</v>
      </c>
      <c r="AC580" s="164">
        <v>41639</v>
      </c>
      <c r="AD580" s="164">
        <v>41685</v>
      </c>
      <c r="AE580" s="34">
        <f>SUMPRODUCT(DB_STProjectsSOF[[#This Row],[Plan01]:[Plan12]],$D$4:$O$4)/valUnits2</f>
        <v>55.956709000000004</v>
      </c>
      <c r="AF580" s="34">
        <f>SUMPRODUCT(DB_STProjectsSOF[[#This Row],[Act01]:[Act12]],$P$4:$AA$4)/valUnits2</f>
        <v>45.216180000000008</v>
      </c>
      <c r="AG580" s="34">
        <f>DB_STProjectsSOF[[#This Row],[Actual]]-DB_STProjectsSOF[[#This Row],[Plan]]</f>
        <v>-10.740528999999995</v>
      </c>
      <c r="AH580" s="34">
        <f>IF(DB_STProjectsSOF[[#This Row],[Plan]]&lt;&gt;0,DB_STProjectsSOF[[#This Row],[Actual]]/DB_STProjectsSOF[[#This Row],[Plan]],1.000011000011)</f>
        <v>0.80805645664401038</v>
      </c>
      <c r="AI580" s="34">
        <f>SUM(DB_STProjectsSOF[[#This Row],[Plan01]:[Plan12]])/valUnits2</f>
        <v>90.171146000000007</v>
      </c>
      <c r="AJ580" s="34">
        <f>SUMPRODUCT(DB_STProjectsSOF[[#This Row],[Act01]:[Act12]],$P$3:$AA$3)/valUnits2</f>
        <v>45.216180000000008</v>
      </c>
      <c r="AK580" s="34">
        <f>IF(DB_STProjectsSOF[[#This Row],[FY Plan]]&lt;&gt;0,DB_STProjectsSOF[[#This Row],[FY Actuals]]/DB_STProjectsSOF[[#This Row],[FY Plan]],1.000011000011)</f>
        <v>0.50144843451363041</v>
      </c>
    </row>
    <row r="581" spans="1:37" hidden="1" x14ac:dyDescent="0.2">
      <c r="A581">
        <f>SUBTOTAL(3,$B$6:B581)</f>
        <v>0</v>
      </c>
      <c r="B581" t="s">
        <v>983</v>
      </c>
      <c r="C581" t="s">
        <v>917</v>
      </c>
      <c r="D581">
        <v>563.91</v>
      </c>
      <c r="E581">
        <v>572.15499999999997</v>
      </c>
      <c r="F581">
        <v>760.29500000000007</v>
      </c>
      <c r="G581">
        <v>640.08000000000004</v>
      </c>
      <c r="H581">
        <v>577.91100000000006</v>
      </c>
      <c r="I581">
        <v>44093.161</v>
      </c>
      <c r="J581">
        <v>31785.089</v>
      </c>
      <c r="K581">
        <v>31785.089</v>
      </c>
      <c r="L581">
        <v>31785.089</v>
      </c>
      <c r="M581">
        <v>31785.089</v>
      </c>
      <c r="N581">
        <v>31785.089</v>
      </c>
      <c r="O581">
        <v>31785.089</v>
      </c>
      <c r="P581">
        <v>563.91</v>
      </c>
      <c r="Q581">
        <v>572.16</v>
      </c>
      <c r="R581">
        <v>755.20999999999992</v>
      </c>
      <c r="S581">
        <v>643.59999999999991</v>
      </c>
      <c r="T581">
        <v>580.65000000000146</v>
      </c>
      <c r="U581">
        <v>534812.28999999992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s="164">
        <v>40817</v>
      </c>
      <c r="AC581" s="164">
        <v>42155</v>
      </c>
      <c r="AD581" s="164">
        <v>42246</v>
      </c>
      <c r="AE581" s="34">
        <f>SUMPRODUCT(DB_STProjectsSOF[[#This Row],[Plan01]:[Plan12]],$D$4:$O$4)/valUnits2</f>
        <v>47.207512000000001</v>
      </c>
      <c r="AF581" s="34">
        <f>SUMPRODUCT(DB_STProjectsSOF[[#This Row],[Act01]:[Act12]],$P$4:$AA$4)/valUnits2</f>
        <v>537.92782</v>
      </c>
      <c r="AG581" s="34">
        <f>DB_STProjectsSOF[[#This Row],[Actual]]-DB_STProjectsSOF[[#This Row],[Plan]]</f>
        <v>490.72030799999999</v>
      </c>
      <c r="AH581" s="34">
        <f>IF(DB_STProjectsSOF[[#This Row],[Plan]]&lt;&gt;0,DB_STProjectsSOF[[#This Row],[Actual]]/DB_STProjectsSOF[[#This Row],[Plan]],1.000011000011)</f>
        <v>11.394962310235709</v>
      </c>
      <c r="AI581" s="34">
        <f>SUM(DB_STProjectsSOF[[#This Row],[Plan01]:[Plan12]])/valUnits2</f>
        <v>237.91804600000003</v>
      </c>
      <c r="AJ581" s="34">
        <f>SUMPRODUCT(DB_STProjectsSOF[[#This Row],[Act01]:[Act12]],$P$3:$AA$3)/valUnits2</f>
        <v>537.92782</v>
      </c>
      <c r="AK581" s="34">
        <f>IF(DB_STProjectsSOF[[#This Row],[FY Plan]]&lt;&gt;0,DB_STProjectsSOF[[#This Row],[FY Actuals]]/DB_STProjectsSOF[[#This Row],[FY Plan]],1.000011000011)</f>
        <v>2.2609794803039023</v>
      </c>
    </row>
    <row r="582" spans="1:37" hidden="1" x14ac:dyDescent="0.2">
      <c r="A582">
        <f>SUBTOTAL(3,$B$6:B582)</f>
        <v>0</v>
      </c>
      <c r="B582" t="s">
        <v>983</v>
      </c>
      <c r="C582" t="s">
        <v>933</v>
      </c>
      <c r="D582">
        <v>5769.2499999999991</v>
      </c>
      <c r="E582">
        <v>18081.420000000002</v>
      </c>
      <c r="F582">
        <v>11407.939999999999</v>
      </c>
      <c r="G582">
        <v>1311.41</v>
      </c>
      <c r="H582">
        <v>21406.23</v>
      </c>
      <c r="I582">
        <v>11339.250999999998</v>
      </c>
      <c r="J582">
        <v>11339.250999999998</v>
      </c>
      <c r="K582">
        <v>11339.250999999998</v>
      </c>
      <c r="L582">
        <v>11339.250999999998</v>
      </c>
      <c r="M582">
        <v>11339.250999999998</v>
      </c>
      <c r="N582">
        <v>11339.250999999998</v>
      </c>
      <c r="O582">
        <v>11339.250999999998</v>
      </c>
      <c r="P582">
        <v>5769.25</v>
      </c>
      <c r="Q582">
        <v>18081.419999999998</v>
      </c>
      <c r="R582">
        <v>11407.939999999997</v>
      </c>
      <c r="S582">
        <v>1311.41</v>
      </c>
      <c r="T582">
        <v>21406.23</v>
      </c>
      <c r="U582">
        <v>17613.559999999998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s="164">
        <v>40817</v>
      </c>
      <c r="AC582" s="164">
        <v>42155</v>
      </c>
      <c r="AD582" s="164">
        <v>42217</v>
      </c>
      <c r="AE582" s="34">
        <f>SUMPRODUCT(DB_STProjectsSOF[[#This Row],[Plan01]:[Plan12]],$D$4:$O$4)/valUnits2</f>
        <v>69.315500999999998</v>
      </c>
      <c r="AF582" s="34">
        <f>SUMPRODUCT(DB_STProjectsSOF[[#This Row],[Act01]:[Act12]],$P$4:$AA$4)/valUnits2</f>
        <v>75.58981</v>
      </c>
      <c r="AG582" s="34">
        <f>DB_STProjectsSOF[[#This Row],[Actual]]-DB_STProjectsSOF[[#This Row],[Plan]]</f>
        <v>6.2743090000000024</v>
      </c>
      <c r="AH582" s="34">
        <f>IF(DB_STProjectsSOF[[#This Row],[Plan]]&lt;&gt;0,DB_STProjectsSOF[[#This Row],[Actual]]/DB_STProjectsSOF[[#This Row],[Plan]],1.000011000011)</f>
        <v>1.0905181223461113</v>
      </c>
      <c r="AI582" s="34">
        <f>SUM(DB_STProjectsSOF[[#This Row],[Plan01]:[Plan12]])/valUnits2</f>
        <v>137.35100700000001</v>
      </c>
      <c r="AJ582" s="34">
        <f>SUMPRODUCT(DB_STProjectsSOF[[#This Row],[Act01]:[Act12]],$P$3:$AA$3)/valUnits2</f>
        <v>75.58981</v>
      </c>
      <c r="AK582" s="34">
        <f>IF(DB_STProjectsSOF[[#This Row],[FY Plan]]&lt;&gt;0,DB_STProjectsSOF[[#This Row],[FY Actuals]]/DB_STProjectsSOF[[#This Row],[FY Plan]],1.000011000011)</f>
        <v>0.55034041359449226</v>
      </c>
    </row>
    <row r="583" spans="1:37" hidden="1" x14ac:dyDescent="0.2">
      <c r="A583">
        <f>SUBTOTAL(3,$B$6:B583)</f>
        <v>0</v>
      </c>
      <c r="B583" t="s">
        <v>985</v>
      </c>
      <c r="C583" t="s">
        <v>355</v>
      </c>
      <c r="D583">
        <v>12091.820000000003</v>
      </c>
      <c r="E583">
        <v>8769.2499999999982</v>
      </c>
      <c r="F583">
        <v>349.80899999999963</v>
      </c>
      <c r="G583">
        <v>1522.309</v>
      </c>
      <c r="H583">
        <v>599.36399999999981</v>
      </c>
      <c r="I583">
        <v>10359.532999999999</v>
      </c>
      <c r="P583">
        <v>12206.12</v>
      </c>
      <c r="Q583">
        <v>8939.9600000000009</v>
      </c>
      <c r="R583">
        <v>345.80999999999949</v>
      </c>
      <c r="S583">
        <v>1538.4500000000003</v>
      </c>
      <c r="T583">
        <v>641.73</v>
      </c>
      <c r="U583">
        <v>0</v>
      </c>
      <c r="AB583" s="164">
        <v>41275</v>
      </c>
      <c r="AC583" s="164">
        <v>41455</v>
      </c>
      <c r="AD583" s="164">
        <v>41547</v>
      </c>
      <c r="AE583" s="34">
        <f>SUMPRODUCT(DB_STProjectsSOF[[#This Row],[Plan01]:[Plan12]],$D$4:$O$4)/valUnits2</f>
        <v>33.692085000000006</v>
      </c>
      <c r="AF583" s="34">
        <f>SUMPRODUCT(DB_STProjectsSOF[[#This Row],[Act01]:[Act12]],$P$4:$AA$4)/valUnits2</f>
        <v>23.672069999999998</v>
      </c>
      <c r="AG583" s="34">
        <f>DB_STProjectsSOF[[#This Row],[Actual]]-DB_STProjectsSOF[[#This Row],[Plan]]</f>
        <v>-10.020015000000008</v>
      </c>
      <c r="AH583" s="34">
        <f>IF(DB_STProjectsSOF[[#This Row],[Plan]]&lt;&gt;0,DB_STProjectsSOF[[#This Row],[Actual]]/DB_STProjectsSOF[[#This Row],[Plan]],1.000011000011)</f>
        <v>0.70260032883094037</v>
      </c>
      <c r="AI583" s="34">
        <f>SUM(DB_STProjectsSOF[[#This Row],[Plan01]:[Plan12]])/valUnits2</f>
        <v>33.692085000000006</v>
      </c>
      <c r="AJ583" s="34">
        <f>SUMPRODUCT(DB_STProjectsSOF[[#This Row],[Act01]:[Act12]],$P$3:$AA$3)/valUnits2</f>
        <v>23.672069999999998</v>
      </c>
      <c r="AK583" s="34">
        <f>IF(DB_STProjectsSOF[[#This Row],[FY Plan]]&lt;&gt;0,DB_STProjectsSOF[[#This Row],[FY Actuals]]/DB_STProjectsSOF[[#This Row],[FY Plan]],1.000011000011)</f>
        <v>0.70260032883094037</v>
      </c>
    </row>
    <row r="584" spans="1:37" hidden="1" x14ac:dyDescent="0.2">
      <c r="A584">
        <f>SUBTOTAL(3,$B$6:B584)</f>
        <v>0</v>
      </c>
      <c r="B584" t="s">
        <v>985</v>
      </c>
      <c r="C584" t="s">
        <v>356</v>
      </c>
      <c r="D584">
        <v>21143.755999999998</v>
      </c>
      <c r="E584">
        <v>10724.468999999997</v>
      </c>
      <c r="F584">
        <v>7770.45</v>
      </c>
      <c r="G584">
        <v>18903.403999999999</v>
      </c>
      <c r="H584">
        <v>7165.6389999999974</v>
      </c>
      <c r="I584">
        <v>24140.097000000002</v>
      </c>
      <c r="P584">
        <v>21345.439999999999</v>
      </c>
      <c r="Q584">
        <v>10899.109999999999</v>
      </c>
      <c r="R584">
        <v>7758.5899999999974</v>
      </c>
      <c r="S584">
        <v>19018.170000000002</v>
      </c>
      <c r="T584">
        <v>7388.97</v>
      </c>
      <c r="U584">
        <v>15887.609999999999</v>
      </c>
      <c r="AB584" s="164">
        <v>41091</v>
      </c>
      <c r="AC584" s="164">
        <v>41455</v>
      </c>
      <c r="AD584" s="164">
        <v>41547</v>
      </c>
      <c r="AE584" s="34">
        <f>SUMPRODUCT(DB_STProjectsSOF[[#This Row],[Plan01]:[Plan12]],$D$4:$O$4)/valUnits2</f>
        <v>89.847814999999997</v>
      </c>
      <c r="AF584" s="34">
        <f>SUMPRODUCT(DB_STProjectsSOF[[#This Row],[Act01]:[Act12]],$P$4:$AA$4)/valUnits2</f>
        <v>82.297889999999995</v>
      </c>
      <c r="AG584" s="34">
        <f>DB_STProjectsSOF[[#This Row],[Actual]]-DB_STProjectsSOF[[#This Row],[Plan]]</f>
        <v>-7.5499250000000018</v>
      </c>
      <c r="AH584" s="34">
        <f>IF(DB_STProjectsSOF[[#This Row],[Plan]]&lt;&gt;0,DB_STProjectsSOF[[#This Row],[Actual]]/DB_STProjectsSOF[[#This Row],[Plan]],1.000011000011)</f>
        <v>0.91596985413613008</v>
      </c>
      <c r="AI584" s="34">
        <f>SUM(DB_STProjectsSOF[[#This Row],[Plan01]:[Plan12]])/valUnits2</f>
        <v>89.847814999999997</v>
      </c>
      <c r="AJ584" s="34">
        <f>SUMPRODUCT(DB_STProjectsSOF[[#This Row],[Act01]:[Act12]],$P$3:$AA$3)/valUnits2</f>
        <v>82.297889999999995</v>
      </c>
      <c r="AK584" s="34">
        <f>IF(DB_STProjectsSOF[[#This Row],[FY Plan]]&lt;&gt;0,DB_STProjectsSOF[[#This Row],[FY Actuals]]/DB_STProjectsSOF[[#This Row],[FY Plan]],1.000011000011)</f>
        <v>0.91596985413613008</v>
      </c>
    </row>
    <row r="585" spans="1:37" hidden="1" x14ac:dyDescent="0.2">
      <c r="A585">
        <f>SUBTOTAL(3,$B$6:B585)</f>
        <v>0</v>
      </c>
      <c r="B585" t="s">
        <v>994</v>
      </c>
      <c r="C585" t="s">
        <v>364</v>
      </c>
      <c r="D585">
        <v>49.540000000000006</v>
      </c>
      <c r="P585">
        <v>49.54</v>
      </c>
      <c r="AB585" s="164">
        <v>40817</v>
      </c>
      <c r="AC585" s="164">
        <v>41500</v>
      </c>
      <c r="AD585" s="164">
        <v>41547</v>
      </c>
      <c r="AE585" s="34">
        <f>SUMPRODUCT(DB_STProjectsSOF[[#This Row],[Plan01]:[Plan12]],$D$4:$O$4)/valUnits2</f>
        <v>4.9540000000000008E-2</v>
      </c>
      <c r="AF585" s="34">
        <f>SUMPRODUCT(DB_STProjectsSOF[[#This Row],[Act01]:[Act12]],$P$4:$AA$4)/valUnits2</f>
        <v>4.9540000000000001E-2</v>
      </c>
      <c r="AG585" s="34">
        <f>DB_STProjectsSOF[[#This Row],[Actual]]-DB_STProjectsSOF[[#This Row],[Plan]]</f>
        <v>0</v>
      </c>
      <c r="AH585" s="34">
        <f>IF(DB_STProjectsSOF[[#This Row],[Plan]]&lt;&gt;0,DB_STProjectsSOF[[#This Row],[Actual]]/DB_STProjectsSOF[[#This Row],[Plan]],1.000011000011)</f>
        <v>0.99999999999999989</v>
      </c>
      <c r="AI585" s="34">
        <f>SUM(DB_STProjectsSOF[[#This Row],[Plan01]:[Plan12]])/valUnits2</f>
        <v>4.9540000000000008E-2</v>
      </c>
      <c r="AJ585" s="34">
        <f>SUMPRODUCT(DB_STProjectsSOF[[#This Row],[Act01]:[Act12]],$P$3:$AA$3)/valUnits2</f>
        <v>4.9540000000000001E-2</v>
      </c>
      <c r="AK585" s="34">
        <f>IF(DB_STProjectsSOF[[#This Row],[FY Plan]]&lt;&gt;0,DB_STProjectsSOF[[#This Row],[FY Actuals]]/DB_STProjectsSOF[[#This Row],[FY Plan]],1.000011000011)</f>
        <v>0.99999999999999989</v>
      </c>
    </row>
    <row r="586" spans="1:37" hidden="1" x14ac:dyDescent="0.2">
      <c r="A586">
        <f>SUBTOTAL(3,$B$6:B586)</f>
        <v>0</v>
      </c>
      <c r="B586" t="s">
        <v>943</v>
      </c>
      <c r="C586" t="s">
        <v>844</v>
      </c>
      <c r="D586">
        <v>0</v>
      </c>
      <c r="E586">
        <v>0</v>
      </c>
      <c r="F586">
        <v>47542.697999999997</v>
      </c>
      <c r="P586">
        <v>0</v>
      </c>
      <c r="Q586">
        <v>0</v>
      </c>
      <c r="R586">
        <v>47549.440000000002</v>
      </c>
      <c r="AB586" s="164">
        <v>41284</v>
      </c>
      <c r="AC586" s="164">
        <v>41343</v>
      </c>
      <c r="AD586" s="164">
        <v>41374</v>
      </c>
      <c r="AE586" s="34">
        <f>SUMPRODUCT(DB_STProjectsSOF[[#This Row],[Plan01]:[Plan12]],$D$4:$O$4)/valUnits2</f>
        <v>47.542697999999994</v>
      </c>
      <c r="AF586" s="34">
        <f>SUMPRODUCT(DB_STProjectsSOF[[#This Row],[Act01]:[Act12]],$P$4:$AA$4)/valUnits2</f>
        <v>47.549440000000004</v>
      </c>
      <c r="AG586" s="34">
        <f>DB_STProjectsSOF[[#This Row],[Actual]]-DB_STProjectsSOF[[#This Row],[Plan]]</f>
        <v>6.7420000000097957E-3</v>
      </c>
      <c r="AH586" s="34">
        <f>IF(DB_STProjectsSOF[[#This Row],[Plan]]&lt;&gt;0,DB_STProjectsSOF[[#This Row],[Actual]]/DB_STProjectsSOF[[#This Row],[Plan]],1.000011000011)</f>
        <v>1.0001418093689174</v>
      </c>
      <c r="AI586" s="34">
        <f>SUM(DB_STProjectsSOF[[#This Row],[Plan01]:[Plan12]])/valUnits2</f>
        <v>47.542697999999994</v>
      </c>
      <c r="AJ586" s="34">
        <f>SUMPRODUCT(DB_STProjectsSOF[[#This Row],[Act01]:[Act12]],$P$3:$AA$3)/valUnits2</f>
        <v>47.549440000000004</v>
      </c>
      <c r="AK586" s="34">
        <f>IF(DB_STProjectsSOF[[#This Row],[FY Plan]]&lt;&gt;0,DB_STProjectsSOF[[#This Row],[FY Actuals]]/DB_STProjectsSOF[[#This Row],[FY Plan]],1.000011000011)</f>
        <v>1.0001418093689174</v>
      </c>
    </row>
    <row r="587" spans="1:37" hidden="1" x14ac:dyDescent="0.2">
      <c r="A587">
        <f>SUBTOTAL(3,$B$6:B587)</f>
        <v>0</v>
      </c>
      <c r="B587" t="s">
        <v>943</v>
      </c>
      <c r="C587" t="s">
        <v>845</v>
      </c>
      <c r="I587">
        <v>0</v>
      </c>
      <c r="U587">
        <v>580.27</v>
      </c>
      <c r="AB587" s="164">
        <v>41275</v>
      </c>
      <c r="AC587" s="164">
        <v>41639</v>
      </c>
      <c r="AD587" s="164">
        <v>41729</v>
      </c>
      <c r="AE587" s="34">
        <f>SUMPRODUCT(DB_STProjectsSOF[[#This Row],[Plan01]:[Plan12]],$D$4:$O$4)/valUnits2</f>
        <v>0</v>
      </c>
      <c r="AF587" s="34">
        <f>SUMPRODUCT(DB_STProjectsSOF[[#This Row],[Act01]:[Act12]],$P$4:$AA$4)/valUnits2</f>
        <v>0.58026999999999995</v>
      </c>
      <c r="AG587" s="34">
        <f>DB_STProjectsSOF[[#This Row],[Actual]]-DB_STProjectsSOF[[#This Row],[Plan]]</f>
        <v>0.58026999999999995</v>
      </c>
      <c r="AH587" s="34">
        <f>IF(DB_STProjectsSOF[[#This Row],[Plan]]&lt;&gt;0,DB_STProjectsSOF[[#This Row],[Actual]]/DB_STProjectsSOF[[#This Row],[Plan]],1.000011000011)</f>
        <v>1.0000110000110001</v>
      </c>
      <c r="AI587" s="34">
        <f>SUM(DB_STProjectsSOF[[#This Row],[Plan01]:[Plan12]])/valUnits2</f>
        <v>0</v>
      </c>
      <c r="AJ587" s="34">
        <f>SUMPRODUCT(DB_STProjectsSOF[[#This Row],[Act01]:[Act12]],$P$3:$AA$3)/valUnits2</f>
        <v>0.58026999999999995</v>
      </c>
      <c r="AK587" s="34">
        <f>IF(DB_STProjectsSOF[[#This Row],[FY Plan]]&lt;&gt;0,DB_STProjectsSOF[[#This Row],[FY Actuals]]/DB_STProjectsSOF[[#This Row],[FY Plan]],1.000011000011)</f>
        <v>1.0000110000110001</v>
      </c>
    </row>
    <row r="588" spans="1:37" hidden="1" x14ac:dyDescent="0.2">
      <c r="A588">
        <f>SUBTOTAL(3,$B$6:B588)</f>
        <v>0</v>
      </c>
      <c r="B588" t="s">
        <v>943</v>
      </c>
      <c r="C588" t="s">
        <v>353</v>
      </c>
      <c r="D588">
        <v>65548.173999999999</v>
      </c>
      <c r="E588">
        <v>1503.0729999999899</v>
      </c>
      <c r="F588">
        <v>171218.26500000007</v>
      </c>
      <c r="G588">
        <v>178249.3930000001</v>
      </c>
      <c r="H588">
        <v>12185.548000000021</v>
      </c>
      <c r="I588">
        <v>90653.27499999998</v>
      </c>
      <c r="P588">
        <v>63977.509999999995</v>
      </c>
      <c r="Q588">
        <v>1543.0999999999881</v>
      </c>
      <c r="R588">
        <v>174578.84999999998</v>
      </c>
      <c r="S588">
        <v>178260.62999999995</v>
      </c>
      <c r="T588">
        <v>12215.61000000001</v>
      </c>
      <c r="U588">
        <v>56348.229999999996</v>
      </c>
      <c r="AB588" s="164">
        <v>41214</v>
      </c>
      <c r="AC588" s="164">
        <v>41455</v>
      </c>
      <c r="AD588" s="164">
        <v>41532</v>
      </c>
      <c r="AE588" s="34">
        <f>SUMPRODUCT(DB_STProjectsSOF[[#This Row],[Plan01]:[Plan12]],$D$4:$O$4)/valUnits2</f>
        <v>519.35772800000007</v>
      </c>
      <c r="AF588" s="34">
        <f>SUMPRODUCT(DB_STProjectsSOF[[#This Row],[Act01]:[Act12]],$P$4:$AA$4)/valUnits2</f>
        <v>486.92392999999987</v>
      </c>
      <c r="AG588" s="34">
        <f>DB_STProjectsSOF[[#This Row],[Actual]]-DB_STProjectsSOF[[#This Row],[Plan]]</f>
        <v>-32.433798000000195</v>
      </c>
      <c r="AH588" s="34">
        <f>IF(DB_STProjectsSOF[[#This Row],[Plan]]&lt;&gt;0,DB_STProjectsSOF[[#This Row],[Actual]]/DB_STProjectsSOF[[#This Row],[Plan]],1.000011000011)</f>
        <v>0.93755017736060298</v>
      </c>
      <c r="AI588" s="34">
        <f>SUM(DB_STProjectsSOF[[#This Row],[Plan01]:[Plan12]])/valUnits2</f>
        <v>519.35772800000007</v>
      </c>
      <c r="AJ588" s="34">
        <f>SUMPRODUCT(DB_STProjectsSOF[[#This Row],[Act01]:[Act12]],$P$3:$AA$3)/valUnits2</f>
        <v>486.92392999999987</v>
      </c>
      <c r="AK588" s="34">
        <f>IF(DB_STProjectsSOF[[#This Row],[FY Plan]]&lt;&gt;0,DB_STProjectsSOF[[#This Row],[FY Actuals]]/DB_STProjectsSOF[[#This Row],[FY Plan]],1.000011000011)</f>
        <v>0.93755017736060298</v>
      </c>
    </row>
    <row r="589" spans="1:37" hidden="1" x14ac:dyDescent="0.2">
      <c r="A589">
        <f>SUBTOTAL(3,$B$6:B589)</f>
        <v>0</v>
      </c>
      <c r="B589" t="s">
        <v>943</v>
      </c>
      <c r="C589" t="s">
        <v>864</v>
      </c>
      <c r="D589">
        <v>0</v>
      </c>
      <c r="F589">
        <v>22651.826999999997</v>
      </c>
      <c r="G589">
        <v>-63.133000000000003</v>
      </c>
      <c r="P589">
        <v>0</v>
      </c>
      <c r="R589">
        <v>23984.86</v>
      </c>
      <c r="S589">
        <v>-65.539999999999992</v>
      </c>
      <c r="AB589" s="164">
        <v>41278</v>
      </c>
      <c r="AC589" s="164">
        <v>41333</v>
      </c>
      <c r="AD589" s="164">
        <v>41356</v>
      </c>
      <c r="AE589" s="34">
        <f>SUMPRODUCT(DB_STProjectsSOF[[#This Row],[Plan01]:[Plan12]],$D$4:$O$4)/valUnits2</f>
        <v>22.588693999999997</v>
      </c>
      <c r="AF589" s="34">
        <f>SUMPRODUCT(DB_STProjectsSOF[[#This Row],[Act01]:[Act12]],$P$4:$AA$4)/valUnits2</f>
        <v>23.919319999999999</v>
      </c>
      <c r="AG589" s="34">
        <f>DB_STProjectsSOF[[#This Row],[Actual]]-DB_STProjectsSOF[[#This Row],[Plan]]</f>
        <v>1.3306260000000023</v>
      </c>
      <c r="AH589" s="34">
        <f>IF(DB_STProjectsSOF[[#This Row],[Plan]]&lt;&gt;0,DB_STProjectsSOF[[#This Row],[Actual]]/DB_STProjectsSOF[[#This Row],[Plan]],1.000011000011)</f>
        <v>1.0589067256389415</v>
      </c>
      <c r="AI589" s="34">
        <f>SUM(DB_STProjectsSOF[[#This Row],[Plan01]:[Plan12]])/valUnits2</f>
        <v>22.588693999999997</v>
      </c>
      <c r="AJ589" s="34">
        <f>SUMPRODUCT(DB_STProjectsSOF[[#This Row],[Act01]:[Act12]],$P$3:$AA$3)/valUnits2</f>
        <v>23.919319999999999</v>
      </c>
      <c r="AK589" s="34">
        <f>IF(DB_STProjectsSOF[[#This Row],[FY Plan]]&lt;&gt;0,DB_STProjectsSOF[[#This Row],[FY Actuals]]/DB_STProjectsSOF[[#This Row],[FY Plan]],1.000011000011)</f>
        <v>1.0589067256389415</v>
      </c>
    </row>
    <row r="590" spans="1:37" hidden="1" x14ac:dyDescent="0.2">
      <c r="A590">
        <f>SUBTOTAL(3,$B$6:B590)</f>
        <v>0</v>
      </c>
      <c r="B590" t="s">
        <v>943</v>
      </c>
      <c r="C590" t="s">
        <v>867</v>
      </c>
      <c r="H590">
        <v>103.25999999999999</v>
      </c>
      <c r="I590">
        <v>0</v>
      </c>
      <c r="T590">
        <v>103.26</v>
      </c>
      <c r="U590">
        <v>43629.990000000005</v>
      </c>
      <c r="AB590" s="164">
        <v>41365</v>
      </c>
      <c r="AC590" s="164">
        <v>41639</v>
      </c>
      <c r="AD590" s="164">
        <v>41670</v>
      </c>
      <c r="AE590" s="34">
        <f>SUMPRODUCT(DB_STProjectsSOF[[#This Row],[Plan01]:[Plan12]],$D$4:$O$4)/valUnits2</f>
        <v>0.10325999999999999</v>
      </c>
      <c r="AF590" s="34">
        <f>SUMPRODUCT(DB_STProjectsSOF[[#This Row],[Act01]:[Act12]],$P$4:$AA$4)/valUnits2</f>
        <v>43.733250000000005</v>
      </c>
      <c r="AG590" s="34">
        <f>DB_STProjectsSOF[[#This Row],[Actual]]-DB_STProjectsSOF[[#This Row],[Plan]]</f>
        <v>43.629990000000006</v>
      </c>
      <c r="AH590" s="34">
        <f>IF(DB_STProjectsSOF[[#This Row],[Plan]]&lt;&gt;0,DB_STProjectsSOF[[#This Row],[Actual]]/DB_STProjectsSOF[[#This Row],[Plan]],1.000011000011)</f>
        <v>423.52556653108667</v>
      </c>
      <c r="AI590" s="34">
        <f>SUM(DB_STProjectsSOF[[#This Row],[Plan01]:[Plan12]])/valUnits2</f>
        <v>0.10325999999999999</v>
      </c>
      <c r="AJ590" s="34">
        <f>SUMPRODUCT(DB_STProjectsSOF[[#This Row],[Act01]:[Act12]],$P$3:$AA$3)/valUnits2</f>
        <v>43.733250000000005</v>
      </c>
      <c r="AK590" s="34">
        <f>IF(DB_STProjectsSOF[[#This Row],[FY Plan]]&lt;&gt;0,DB_STProjectsSOF[[#This Row],[FY Actuals]]/DB_STProjectsSOF[[#This Row],[FY Plan]],1.000011000011)</f>
        <v>423.52556653108667</v>
      </c>
    </row>
    <row r="591" spans="1:37" hidden="1" x14ac:dyDescent="0.2">
      <c r="A591">
        <f>SUBTOTAL(3,$B$6:B591)</f>
        <v>0</v>
      </c>
      <c r="B591" t="s">
        <v>943</v>
      </c>
      <c r="C591" t="s">
        <v>893</v>
      </c>
      <c r="D591">
        <v>437.839</v>
      </c>
      <c r="E591">
        <v>0</v>
      </c>
      <c r="F591">
        <v>1069.7939999999999</v>
      </c>
      <c r="P591">
        <v>436.6</v>
      </c>
      <c r="Q591">
        <v>0</v>
      </c>
      <c r="R591">
        <v>1110.49</v>
      </c>
      <c r="AB591" s="164">
        <v>41214</v>
      </c>
      <c r="AC591" s="164">
        <v>41305</v>
      </c>
      <c r="AD591" s="164">
        <v>41364</v>
      </c>
      <c r="AE591" s="34">
        <f>SUMPRODUCT(DB_STProjectsSOF[[#This Row],[Plan01]:[Plan12]],$D$4:$O$4)/valUnits2</f>
        <v>1.5076329999999998</v>
      </c>
      <c r="AF591" s="34">
        <f>SUMPRODUCT(DB_STProjectsSOF[[#This Row],[Act01]:[Act12]],$P$4:$AA$4)/valUnits2</f>
        <v>1.5470900000000001</v>
      </c>
      <c r="AG591" s="34">
        <f>DB_STProjectsSOF[[#This Row],[Actual]]-DB_STProjectsSOF[[#This Row],[Plan]]</f>
        <v>3.9457000000000297E-2</v>
      </c>
      <c r="AH591" s="34">
        <f>IF(DB_STProjectsSOF[[#This Row],[Plan]]&lt;&gt;0,DB_STProjectsSOF[[#This Row],[Actual]]/DB_STProjectsSOF[[#This Row],[Plan]],1.000011000011)</f>
        <v>1.0261714886845805</v>
      </c>
      <c r="AI591" s="34">
        <f>SUM(DB_STProjectsSOF[[#This Row],[Plan01]:[Plan12]])/valUnits2</f>
        <v>1.5076329999999998</v>
      </c>
      <c r="AJ591" s="34">
        <f>SUMPRODUCT(DB_STProjectsSOF[[#This Row],[Act01]:[Act12]],$P$3:$AA$3)/valUnits2</f>
        <v>1.5470900000000001</v>
      </c>
      <c r="AK591" s="34">
        <f>IF(DB_STProjectsSOF[[#This Row],[FY Plan]]&lt;&gt;0,DB_STProjectsSOF[[#This Row],[FY Actuals]]/DB_STProjectsSOF[[#This Row],[FY Plan]],1.000011000011)</f>
        <v>1.0261714886845805</v>
      </c>
    </row>
    <row r="592" spans="1:37" hidden="1" x14ac:dyDescent="0.2">
      <c r="A592">
        <f>SUBTOTAL(3,$B$6:B592)</f>
        <v>0</v>
      </c>
      <c r="B592" t="s">
        <v>943</v>
      </c>
      <c r="C592" t="s">
        <v>929</v>
      </c>
      <c r="D592">
        <v>100429.58600000002</v>
      </c>
      <c r="E592">
        <v>4660.8649999999861</v>
      </c>
      <c r="F592">
        <v>4463.3589999999995</v>
      </c>
      <c r="G592">
        <v>7926.9449999999997</v>
      </c>
      <c r="H592">
        <v>29293.170999999998</v>
      </c>
      <c r="I592">
        <v>0</v>
      </c>
      <c r="P592">
        <v>97391.640000000014</v>
      </c>
      <c r="Q592">
        <v>4769.9199999999973</v>
      </c>
      <c r="R592">
        <v>4504.579999999999</v>
      </c>
      <c r="S592">
        <v>7863.3499999999995</v>
      </c>
      <c r="T592">
        <v>28966.14</v>
      </c>
      <c r="U592">
        <v>5481.8099999999995</v>
      </c>
      <c r="AB592" s="164">
        <v>41214</v>
      </c>
      <c r="AC592" s="164">
        <v>41379</v>
      </c>
      <c r="AD592" s="164">
        <v>41409</v>
      </c>
      <c r="AE592" s="34">
        <f>SUMPRODUCT(DB_STProjectsSOF[[#This Row],[Plan01]:[Plan12]],$D$4:$O$4)/valUnits2</f>
        <v>146.77392600000002</v>
      </c>
      <c r="AF592" s="34">
        <f>SUMPRODUCT(DB_STProjectsSOF[[#This Row],[Act01]:[Act12]],$P$4:$AA$4)/valUnits2</f>
        <v>148.97744</v>
      </c>
      <c r="AG592" s="34">
        <f>DB_STProjectsSOF[[#This Row],[Actual]]-DB_STProjectsSOF[[#This Row],[Plan]]</f>
        <v>2.2035139999999842</v>
      </c>
      <c r="AH592" s="34">
        <f>IF(DB_STProjectsSOF[[#This Row],[Plan]]&lt;&gt;0,DB_STProjectsSOF[[#This Row],[Actual]]/DB_STProjectsSOF[[#This Row],[Plan]],1.000011000011)</f>
        <v>1.01501297989399</v>
      </c>
      <c r="AI592" s="34">
        <f>SUM(DB_STProjectsSOF[[#This Row],[Plan01]:[Plan12]])/valUnits2</f>
        <v>146.77392600000002</v>
      </c>
      <c r="AJ592" s="34">
        <f>SUMPRODUCT(DB_STProjectsSOF[[#This Row],[Act01]:[Act12]],$P$3:$AA$3)/valUnits2</f>
        <v>148.97744</v>
      </c>
      <c r="AK592" s="34">
        <f>IF(DB_STProjectsSOF[[#This Row],[FY Plan]]&lt;&gt;0,DB_STProjectsSOF[[#This Row],[FY Actuals]]/DB_STProjectsSOF[[#This Row],[FY Plan]],1.000011000011)</f>
        <v>1.01501297989399</v>
      </c>
    </row>
    <row r="593" spans="1:37" hidden="1" x14ac:dyDescent="0.2">
      <c r="A593">
        <f>SUBTOTAL(3,$B$6:B593)</f>
        <v>0</v>
      </c>
      <c r="B593" t="s">
        <v>974</v>
      </c>
      <c r="C593" t="s">
        <v>842</v>
      </c>
      <c r="G593">
        <v>903.11699999999996</v>
      </c>
      <c r="H593">
        <v>747.60800000000006</v>
      </c>
      <c r="I593">
        <v>0</v>
      </c>
      <c r="S593">
        <v>896.43999999999994</v>
      </c>
      <c r="T593">
        <v>738.78</v>
      </c>
      <c r="U593">
        <v>1351.62</v>
      </c>
      <c r="AB593" s="164">
        <v>41214</v>
      </c>
      <c r="AC593" s="164">
        <v>42308</v>
      </c>
      <c r="AD593" s="164">
        <v>42389</v>
      </c>
      <c r="AE593" s="34">
        <f>SUMPRODUCT(DB_STProjectsSOF[[#This Row],[Plan01]:[Plan12]],$D$4:$O$4)/valUnits2</f>
        <v>1.650725</v>
      </c>
      <c r="AF593" s="34">
        <f>SUMPRODUCT(DB_STProjectsSOF[[#This Row],[Act01]:[Act12]],$P$4:$AA$4)/valUnits2</f>
        <v>2.9868399999999995</v>
      </c>
      <c r="AG593" s="34">
        <f>DB_STProjectsSOF[[#This Row],[Actual]]-DB_STProjectsSOF[[#This Row],[Plan]]</f>
        <v>1.3361149999999995</v>
      </c>
      <c r="AH593" s="34">
        <f>IF(DB_STProjectsSOF[[#This Row],[Plan]]&lt;&gt;0,DB_STProjectsSOF[[#This Row],[Actual]]/DB_STProjectsSOF[[#This Row],[Plan]],1.000011000011)</f>
        <v>1.809411016371594</v>
      </c>
      <c r="AI593" s="34">
        <f>SUM(DB_STProjectsSOF[[#This Row],[Plan01]:[Plan12]])/valUnits2</f>
        <v>1.650725</v>
      </c>
      <c r="AJ593" s="34">
        <f>SUMPRODUCT(DB_STProjectsSOF[[#This Row],[Act01]:[Act12]],$P$3:$AA$3)/valUnits2</f>
        <v>2.9868399999999995</v>
      </c>
      <c r="AK593" s="34">
        <f>IF(DB_STProjectsSOF[[#This Row],[FY Plan]]&lt;&gt;0,DB_STProjectsSOF[[#This Row],[FY Actuals]]/DB_STProjectsSOF[[#This Row],[FY Plan]],1.000011000011)</f>
        <v>1.809411016371594</v>
      </c>
    </row>
    <row r="594" spans="1:37" hidden="1" x14ac:dyDescent="0.2">
      <c r="A594">
        <f>SUBTOTAL(3,$B$6:B594)</f>
        <v>0</v>
      </c>
      <c r="B594" t="s">
        <v>974</v>
      </c>
      <c r="C594" t="s">
        <v>843</v>
      </c>
      <c r="E594">
        <v>4458.7359999999999</v>
      </c>
      <c r="F594">
        <v>2390.5330000000004</v>
      </c>
      <c r="G594">
        <v>5272.5519999999997</v>
      </c>
      <c r="H594">
        <v>506.59300000000002</v>
      </c>
      <c r="I594">
        <v>1759.4940000000001</v>
      </c>
      <c r="J594">
        <v>1759.4940000000001</v>
      </c>
      <c r="K594">
        <v>1759.4940000000001</v>
      </c>
      <c r="L594">
        <v>1759.4940000000001</v>
      </c>
      <c r="M594">
        <v>1759.4940000000001</v>
      </c>
      <c r="N594">
        <v>1759.4940000000001</v>
      </c>
      <c r="O594">
        <v>1759.4940000000001</v>
      </c>
      <c r="Q594">
        <v>4481.1400000000003</v>
      </c>
      <c r="R594">
        <v>2420.54</v>
      </c>
      <c r="S594">
        <v>5263.23</v>
      </c>
      <c r="T594">
        <v>509.59</v>
      </c>
      <c r="U594">
        <v>-12671.15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s="164">
        <v>41275</v>
      </c>
      <c r="AC594" s="164">
        <v>42369</v>
      </c>
      <c r="AD594" s="164">
        <v>42492</v>
      </c>
      <c r="AE594" s="34">
        <f>SUMPRODUCT(DB_STProjectsSOF[[#This Row],[Plan01]:[Plan12]],$D$4:$O$4)/valUnits2</f>
        <v>14.387908000000001</v>
      </c>
      <c r="AF594" s="34">
        <f>SUMPRODUCT(DB_STProjectsSOF[[#This Row],[Act01]:[Act12]],$P$4:$AA$4)/valUnits2</f>
        <v>3.350000000000364E-3</v>
      </c>
      <c r="AG594" s="34">
        <f>DB_STProjectsSOF[[#This Row],[Actual]]-DB_STProjectsSOF[[#This Row],[Plan]]</f>
        <v>-14.384558</v>
      </c>
      <c r="AH594" s="34">
        <f>IF(DB_STProjectsSOF[[#This Row],[Plan]]&lt;&gt;0,DB_STProjectsSOF[[#This Row],[Actual]]/DB_STProjectsSOF[[#This Row],[Plan]],1.000011000011)</f>
        <v>2.3283440511298541E-4</v>
      </c>
      <c r="AI594" s="34">
        <f>SUM(DB_STProjectsSOF[[#This Row],[Plan01]:[Plan12]])/valUnits2</f>
        <v>24.944871999999997</v>
      </c>
      <c r="AJ594" s="34">
        <f>SUMPRODUCT(DB_STProjectsSOF[[#This Row],[Act01]:[Act12]],$P$3:$AA$3)/valUnits2</f>
        <v>3.350000000000364E-3</v>
      </c>
      <c r="AK594" s="34">
        <f>IF(DB_STProjectsSOF[[#This Row],[FY Plan]]&lt;&gt;0,DB_STProjectsSOF[[#This Row],[FY Actuals]]/DB_STProjectsSOF[[#This Row],[FY Plan]],1.000011000011)</f>
        <v>1.3429613910227178E-4</v>
      </c>
    </row>
    <row r="595" spans="1:37" hidden="1" x14ac:dyDescent="0.2">
      <c r="A595">
        <f>SUBTOTAL(3,$B$6:B595)</f>
        <v>0</v>
      </c>
      <c r="B595" t="s">
        <v>974</v>
      </c>
      <c r="C595" t="s">
        <v>353</v>
      </c>
      <c r="F595">
        <v>0</v>
      </c>
      <c r="G595">
        <v>0</v>
      </c>
      <c r="R595">
        <v>0</v>
      </c>
      <c r="S595">
        <v>0</v>
      </c>
      <c r="AB595" s="164">
        <v>41214</v>
      </c>
      <c r="AC595" s="164">
        <v>41455</v>
      </c>
      <c r="AD595" s="164">
        <v>41532</v>
      </c>
      <c r="AE595" s="34">
        <f>SUMPRODUCT(DB_STProjectsSOF[[#This Row],[Plan01]:[Plan12]],$D$4:$O$4)/valUnits2</f>
        <v>0</v>
      </c>
      <c r="AF595" s="34">
        <f>SUMPRODUCT(DB_STProjectsSOF[[#This Row],[Act01]:[Act12]],$P$4:$AA$4)/valUnits2</f>
        <v>0</v>
      </c>
      <c r="AG595" s="34">
        <f>DB_STProjectsSOF[[#This Row],[Actual]]-DB_STProjectsSOF[[#This Row],[Plan]]</f>
        <v>0</v>
      </c>
      <c r="AH595" s="34">
        <f>IF(DB_STProjectsSOF[[#This Row],[Plan]]&lt;&gt;0,DB_STProjectsSOF[[#This Row],[Actual]]/DB_STProjectsSOF[[#This Row],[Plan]],1.000011000011)</f>
        <v>1.0000110000110001</v>
      </c>
      <c r="AI595" s="34">
        <f>SUM(DB_STProjectsSOF[[#This Row],[Plan01]:[Plan12]])/valUnits2</f>
        <v>0</v>
      </c>
      <c r="AJ595" s="34">
        <f>SUMPRODUCT(DB_STProjectsSOF[[#This Row],[Act01]:[Act12]],$P$3:$AA$3)/valUnits2</f>
        <v>0</v>
      </c>
      <c r="AK595" s="34">
        <f>IF(DB_STProjectsSOF[[#This Row],[FY Plan]]&lt;&gt;0,DB_STProjectsSOF[[#This Row],[FY Actuals]]/DB_STProjectsSOF[[#This Row],[FY Plan]],1.000011000011)</f>
        <v>1.0000110000110001</v>
      </c>
    </row>
    <row r="596" spans="1:37" hidden="1" x14ac:dyDescent="0.2">
      <c r="A596">
        <f>SUBTOTAL(3,$B$6:B596)</f>
        <v>0</v>
      </c>
      <c r="B596" t="s">
        <v>974</v>
      </c>
      <c r="C596" t="s">
        <v>852</v>
      </c>
      <c r="D596">
        <v>-201.078</v>
      </c>
      <c r="E596">
        <v>268.34199999999998</v>
      </c>
      <c r="P596">
        <v>-202.13</v>
      </c>
      <c r="Q596">
        <v>279.02</v>
      </c>
      <c r="AB596" s="164">
        <v>40909</v>
      </c>
      <c r="AC596" s="164">
        <v>41305</v>
      </c>
      <c r="AD596" s="164">
        <v>41305</v>
      </c>
      <c r="AE596" s="34">
        <f>SUMPRODUCT(DB_STProjectsSOF[[#This Row],[Plan01]:[Plan12]],$D$4:$O$4)/valUnits2</f>
        <v>6.7263999999999977E-2</v>
      </c>
      <c r="AF596" s="34">
        <f>SUMPRODUCT(DB_STProjectsSOF[[#This Row],[Act01]:[Act12]],$P$4:$AA$4)/valUnits2</f>
        <v>7.6889999999999986E-2</v>
      </c>
      <c r="AG596" s="34">
        <f>DB_STProjectsSOF[[#This Row],[Actual]]-DB_STProjectsSOF[[#This Row],[Plan]]</f>
        <v>9.6260000000000095E-3</v>
      </c>
      <c r="AH596" s="34">
        <f>IF(DB_STProjectsSOF[[#This Row],[Plan]]&lt;&gt;0,DB_STProjectsSOF[[#This Row],[Actual]]/DB_STProjectsSOF[[#This Row],[Plan]],1.000011000011)</f>
        <v>1.1431077545195054</v>
      </c>
      <c r="AI596" s="34">
        <f>SUM(DB_STProjectsSOF[[#This Row],[Plan01]:[Plan12]])/valUnits2</f>
        <v>6.7263999999999977E-2</v>
      </c>
      <c r="AJ596" s="34">
        <f>SUMPRODUCT(DB_STProjectsSOF[[#This Row],[Act01]:[Act12]],$P$3:$AA$3)/valUnits2</f>
        <v>7.6889999999999986E-2</v>
      </c>
      <c r="AK596" s="34">
        <f>IF(DB_STProjectsSOF[[#This Row],[FY Plan]]&lt;&gt;0,DB_STProjectsSOF[[#This Row],[FY Actuals]]/DB_STProjectsSOF[[#This Row],[FY Plan]],1.000011000011)</f>
        <v>1.1431077545195054</v>
      </c>
    </row>
    <row r="597" spans="1:37" hidden="1" x14ac:dyDescent="0.2">
      <c r="A597">
        <f>SUBTOTAL(3,$B$6:B597)</f>
        <v>0</v>
      </c>
      <c r="B597" t="s">
        <v>974</v>
      </c>
      <c r="C597" t="s">
        <v>853</v>
      </c>
      <c r="G597">
        <v>441.58699999999999</v>
      </c>
      <c r="H597">
        <v>437.142</v>
      </c>
      <c r="I597">
        <v>0</v>
      </c>
      <c r="S597">
        <v>434.99</v>
      </c>
      <c r="T597">
        <v>436.28000000000003</v>
      </c>
      <c r="U597">
        <v>726.67</v>
      </c>
      <c r="AB597" s="164">
        <v>41275</v>
      </c>
      <c r="AC597" s="164">
        <v>41639</v>
      </c>
      <c r="AD597" s="164">
        <v>41669</v>
      </c>
      <c r="AE597" s="34">
        <f>SUMPRODUCT(DB_STProjectsSOF[[#This Row],[Plan01]:[Plan12]],$D$4:$O$4)/valUnits2</f>
        <v>0.87872900000000009</v>
      </c>
      <c r="AF597" s="34">
        <f>SUMPRODUCT(DB_STProjectsSOF[[#This Row],[Act01]:[Act12]],$P$4:$AA$4)/valUnits2</f>
        <v>1.5979400000000001</v>
      </c>
      <c r="AG597" s="34">
        <f>DB_STProjectsSOF[[#This Row],[Actual]]-DB_STProjectsSOF[[#This Row],[Plan]]</f>
        <v>0.71921100000000004</v>
      </c>
      <c r="AH597" s="34">
        <f>IF(DB_STProjectsSOF[[#This Row],[Plan]]&lt;&gt;0,DB_STProjectsSOF[[#This Row],[Actual]]/DB_STProjectsSOF[[#This Row],[Plan]],1.000011000011)</f>
        <v>1.8184673545541343</v>
      </c>
      <c r="AI597" s="34">
        <f>SUM(DB_STProjectsSOF[[#This Row],[Plan01]:[Plan12]])/valUnits2</f>
        <v>0.87872900000000009</v>
      </c>
      <c r="AJ597" s="34">
        <f>SUMPRODUCT(DB_STProjectsSOF[[#This Row],[Act01]:[Act12]],$P$3:$AA$3)/valUnits2</f>
        <v>1.5979400000000001</v>
      </c>
      <c r="AK597" s="34">
        <f>IF(DB_STProjectsSOF[[#This Row],[FY Plan]]&lt;&gt;0,DB_STProjectsSOF[[#This Row],[FY Actuals]]/DB_STProjectsSOF[[#This Row],[FY Plan]],1.000011000011)</f>
        <v>1.8184673545541343</v>
      </c>
    </row>
    <row r="598" spans="1:37" hidden="1" x14ac:dyDescent="0.2">
      <c r="A598">
        <f>SUBTOTAL(3,$B$6:B598)</f>
        <v>0</v>
      </c>
      <c r="B598" t="s">
        <v>974</v>
      </c>
      <c r="C598" t="s">
        <v>855</v>
      </c>
      <c r="I598">
        <v>0</v>
      </c>
      <c r="U598">
        <v>2.8421709430404007E-14</v>
      </c>
      <c r="AB598" s="164">
        <v>40817</v>
      </c>
      <c r="AC598" s="164">
        <v>41759</v>
      </c>
      <c r="AD598" s="164">
        <v>41820</v>
      </c>
      <c r="AE598" s="34">
        <f>SUMPRODUCT(DB_STProjectsSOF[[#This Row],[Plan01]:[Plan12]],$D$4:$O$4)/valUnits2</f>
        <v>0</v>
      </c>
      <c r="AF598" s="34">
        <f>SUMPRODUCT(DB_STProjectsSOF[[#This Row],[Act01]:[Act12]],$P$4:$AA$4)/valUnits2</f>
        <v>2.8421709430404008E-17</v>
      </c>
      <c r="AG598" s="34">
        <f>DB_STProjectsSOF[[#This Row],[Actual]]-DB_STProjectsSOF[[#This Row],[Plan]]</f>
        <v>2.8421709430404008E-17</v>
      </c>
      <c r="AH598" s="34">
        <f>IF(DB_STProjectsSOF[[#This Row],[Plan]]&lt;&gt;0,DB_STProjectsSOF[[#This Row],[Actual]]/DB_STProjectsSOF[[#This Row],[Plan]],1.000011000011)</f>
        <v>1.0000110000110001</v>
      </c>
      <c r="AI598" s="34">
        <f>SUM(DB_STProjectsSOF[[#This Row],[Plan01]:[Plan12]])/valUnits2</f>
        <v>0</v>
      </c>
      <c r="AJ598" s="34">
        <f>SUMPRODUCT(DB_STProjectsSOF[[#This Row],[Act01]:[Act12]],$P$3:$AA$3)/valUnits2</f>
        <v>2.8421709430404008E-17</v>
      </c>
      <c r="AK598" s="34">
        <f>IF(DB_STProjectsSOF[[#This Row],[FY Plan]]&lt;&gt;0,DB_STProjectsSOF[[#This Row],[FY Actuals]]/DB_STProjectsSOF[[#This Row],[FY Plan]],1.000011000011)</f>
        <v>1.0000110000110001</v>
      </c>
    </row>
    <row r="599" spans="1:37" hidden="1" x14ac:dyDescent="0.2">
      <c r="A599">
        <f>SUBTOTAL(3,$B$6:B599)</f>
        <v>0</v>
      </c>
      <c r="B599" t="s">
        <v>974</v>
      </c>
      <c r="C599" t="s">
        <v>367</v>
      </c>
      <c r="E599">
        <v>1844.6279999999999</v>
      </c>
      <c r="F599">
        <v>2216.7730000000001</v>
      </c>
      <c r="H599">
        <v>152.49199999999999</v>
      </c>
      <c r="Q599">
        <v>1883.31</v>
      </c>
      <c r="R599">
        <v>2236.8399999999997</v>
      </c>
      <c r="T599">
        <v>153.27000000000001</v>
      </c>
      <c r="AB599" s="164">
        <v>40817</v>
      </c>
      <c r="AC599" s="164">
        <v>41547</v>
      </c>
      <c r="AD599" s="164">
        <v>41670</v>
      </c>
      <c r="AE599" s="34">
        <f>SUMPRODUCT(DB_STProjectsSOF[[#This Row],[Plan01]:[Plan12]],$D$4:$O$4)/valUnits2</f>
        <v>4.2138929999999997</v>
      </c>
      <c r="AF599" s="34">
        <f>SUMPRODUCT(DB_STProjectsSOF[[#This Row],[Act01]:[Act12]],$P$4:$AA$4)/valUnits2</f>
        <v>4.2734199999999998</v>
      </c>
      <c r="AG599" s="34">
        <f>DB_STProjectsSOF[[#This Row],[Actual]]-DB_STProjectsSOF[[#This Row],[Plan]]</f>
        <v>5.9527000000000108E-2</v>
      </c>
      <c r="AH599" s="34">
        <f>IF(DB_STProjectsSOF[[#This Row],[Plan]]&lt;&gt;0,DB_STProjectsSOF[[#This Row],[Actual]]/DB_STProjectsSOF[[#This Row],[Plan]],1.000011000011)</f>
        <v>1.0141263672333398</v>
      </c>
      <c r="AI599" s="34">
        <f>SUM(DB_STProjectsSOF[[#This Row],[Plan01]:[Plan12]])/valUnits2</f>
        <v>4.2138929999999997</v>
      </c>
      <c r="AJ599" s="34">
        <f>SUMPRODUCT(DB_STProjectsSOF[[#This Row],[Act01]:[Act12]],$P$3:$AA$3)/valUnits2</f>
        <v>4.2734199999999998</v>
      </c>
      <c r="AK599" s="34">
        <f>IF(DB_STProjectsSOF[[#This Row],[FY Plan]]&lt;&gt;0,DB_STProjectsSOF[[#This Row],[FY Actuals]]/DB_STProjectsSOF[[#This Row],[FY Plan]],1.000011000011)</f>
        <v>1.0141263672333398</v>
      </c>
    </row>
    <row r="600" spans="1:37" hidden="1" x14ac:dyDescent="0.2">
      <c r="A600">
        <f>SUBTOTAL(3,$B$6:B600)</f>
        <v>0</v>
      </c>
      <c r="B600" t="s">
        <v>974</v>
      </c>
      <c r="C600" t="s">
        <v>856</v>
      </c>
      <c r="D600">
        <v>3311.8879999999995</v>
      </c>
      <c r="E600">
        <v>3356.1280000000002</v>
      </c>
      <c r="F600">
        <v>2629.1320000000005</v>
      </c>
      <c r="G600">
        <v>11687.894000000002</v>
      </c>
      <c r="H600">
        <v>1847.1709999999998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3131.25</v>
      </c>
      <c r="Q600">
        <v>3245.46</v>
      </c>
      <c r="R600">
        <v>2539.64</v>
      </c>
      <c r="S600">
        <v>11344.93</v>
      </c>
      <c r="T600">
        <v>1807.8700000000001</v>
      </c>
      <c r="U600">
        <v>817.74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s="164">
        <v>40817</v>
      </c>
      <c r="AC600" s="164">
        <v>42338</v>
      </c>
      <c r="AD600" s="164">
        <v>42490</v>
      </c>
      <c r="AE600" s="34">
        <f>SUMPRODUCT(DB_STProjectsSOF[[#This Row],[Plan01]:[Plan12]],$D$4:$O$4)/valUnits2</f>
        <v>22.832212999999999</v>
      </c>
      <c r="AF600" s="34">
        <f>SUMPRODUCT(DB_STProjectsSOF[[#This Row],[Act01]:[Act12]],$P$4:$AA$4)/valUnits2</f>
        <v>22.886890000000001</v>
      </c>
      <c r="AG600" s="34">
        <f>DB_STProjectsSOF[[#This Row],[Actual]]-DB_STProjectsSOF[[#This Row],[Plan]]</f>
        <v>5.4677000000001641E-2</v>
      </c>
      <c r="AH600" s="34">
        <f>IF(DB_STProjectsSOF[[#This Row],[Plan]]&lt;&gt;0,DB_STProjectsSOF[[#This Row],[Actual]]/DB_STProjectsSOF[[#This Row],[Plan]],1.000011000011)</f>
        <v>1.0023947306378056</v>
      </c>
      <c r="AI600" s="34">
        <f>SUM(DB_STProjectsSOF[[#This Row],[Plan01]:[Plan12]])/valUnits2</f>
        <v>22.832212999999999</v>
      </c>
      <c r="AJ600" s="34">
        <f>SUMPRODUCT(DB_STProjectsSOF[[#This Row],[Act01]:[Act12]],$P$3:$AA$3)/valUnits2</f>
        <v>22.886890000000001</v>
      </c>
      <c r="AK600" s="34">
        <f>IF(DB_STProjectsSOF[[#This Row],[FY Plan]]&lt;&gt;0,DB_STProjectsSOF[[#This Row],[FY Actuals]]/DB_STProjectsSOF[[#This Row],[FY Plan]],1.000011000011)</f>
        <v>1.0023947306378056</v>
      </c>
    </row>
    <row r="601" spans="1:37" hidden="1" x14ac:dyDescent="0.2">
      <c r="A601">
        <f>SUBTOTAL(3,$B$6:B601)</f>
        <v>0</v>
      </c>
      <c r="B601" t="s">
        <v>974</v>
      </c>
      <c r="C601" t="s">
        <v>857</v>
      </c>
      <c r="D601">
        <v>0</v>
      </c>
      <c r="E601">
        <v>5789.56</v>
      </c>
      <c r="F601">
        <v>582</v>
      </c>
      <c r="H601">
        <v>-6953.56</v>
      </c>
      <c r="P601">
        <v>0</v>
      </c>
      <c r="Q601">
        <v>5789.56</v>
      </c>
      <c r="R601">
        <v>582</v>
      </c>
      <c r="T601">
        <v>-6953.5599999999995</v>
      </c>
      <c r="AB601" s="164">
        <v>40909</v>
      </c>
      <c r="AC601" s="164">
        <v>41274</v>
      </c>
      <c r="AD601" s="164">
        <v>41364</v>
      </c>
      <c r="AE601" s="34">
        <f>SUMPRODUCT(DB_STProjectsSOF[[#This Row],[Plan01]:[Plan12]],$D$4:$O$4)/valUnits2</f>
        <v>-0.58199999999999996</v>
      </c>
      <c r="AF601" s="34">
        <f>SUMPRODUCT(DB_STProjectsSOF[[#This Row],[Act01]:[Act12]],$P$4:$AA$4)/valUnits2</f>
        <v>-0.58199999999999907</v>
      </c>
      <c r="AG601" s="34">
        <f>DB_STProjectsSOF[[#This Row],[Actual]]-DB_STProjectsSOF[[#This Row],[Plan]]</f>
        <v>8.8817841970012523E-16</v>
      </c>
      <c r="AH601" s="34">
        <f>IF(DB_STProjectsSOF[[#This Row],[Plan]]&lt;&gt;0,DB_STProjectsSOF[[#This Row],[Actual]]/DB_STProjectsSOF[[#This Row],[Plan]],1.000011000011)</f>
        <v>0.99999999999999845</v>
      </c>
      <c r="AI601" s="34">
        <f>SUM(DB_STProjectsSOF[[#This Row],[Plan01]:[Plan12]])/valUnits2</f>
        <v>-0.58199999999999996</v>
      </c>
      <c r="AJ601" s="34">
        <f>SUMPRODUCT(DB_STProjectsSOF[[#This Row],[Act01]:[Act12]],$P$3:$AA$3)/valUnits2</f>
        <v>-0.58199999999999907</v>
      </c>
      <c r="AK601" s="34">
        <f>IF(DB_STProjectsSOF[[#This Row],[FY Plan]]&lt;&gt;0,DB_STProjectsSOF[[#This Row],[FY Actuals]]/DB_STProjectsSOF[[#This Row],[FY Plan]],1.000011000011)</f>
        <v>0.99999999999999845</v>
      </c>
    </row>
    <row r="602" spans="1:37" hidden="1" x14ac:dyDescent="0.2">
      <c r="A602">
        <f>SUBTOTAL(3,$B$6:B602)</f>
        <v>0</v>
      </c>
      <c r="B602" t="s">
        <v>974</v>
      </c>
      <c r="C602" t="s">
        <v>858</v>
      </c>
      <c r="E602">
        <v>4251.2199999999993</v>
      </c>
      <c r="F602">
        <v>2086.1999999999998</v>
      </c>
      <c r="G602">
        <v>4197.08</v>
      </c>
      <c r="H602">
        <v>2309.3800000000006</v>
      </c>
      <c r="I602">
        <v>0</v>
      </c>
      <c r="Q602">
        <v>4251.2199999999993</v>
      </c>
      <c r="R602">
        <v>2086.1999999999998</v>
      </c>
      <c r="S602">
        <v>4197.08</v>
      </c>
      <c r="T602">
        <v>2309.38</v>
      </c>
      <c r="U602">
        <v>4054.87</v>
      </c>
      <c r="AB602" s="164">
        <v>41275</v>
      </c>
      <c r="AC602" s="164">
        <v>41639</v>
      </c>
      <c r="AD602" s="164">
        <v>41784</v>
      </c>
      <c r="AE602" s="34">
        <f>SUMPRODUCT(DB_STProjectsSOF[[#This Row],[Plan01]:[Plan12]],$D$4:$O$4)/valUnits2</f>
        <v>12.84388</v>
      </c>
      <c r="AF602" s="34">
        <f>SUMPRODUCT(DB_STProjectsSOF[[#This Row],[Act01]:[Act12]],$P$4:$AA$4)/valUnits2</f>
        <v>16.89875</v>
      </c>
      <c r="AG602" s="34">
        <f>DB_STProjectsSOF[[#This Row],[Actual]]-DB_STProjectsSOF[[#This Row],[Plan]]</f>
        <v>4.0548699999999993</v>
      </c>
      <c r="AH602" s="34">
        <f>IF(DB_STProjectsSOF[[#This Row],[Plan]]&lt;&gt;0,DB_STProjectsSOF[[#This Row],[Actual]]/DB_STProjectsSOF[[#This Row],[Plan]],1.000011000011)</f>
        <v>1.315704444451365</v>
      </c>
      <c r="AI602" s="34">
        <f>SUM(DB_STProjectsSOF[[#This Row],[Plan01]:[Plan12]])/valUnits2</f>
        <v>12.84388</v>
      </c>
      <c r="AJ602" s="34">
        <f>SUMPRODUCT(DB_STProjectsSOF[[#This Row],[Act01]:[Act12]],$P$3:$AA$3)/valUnits2</f>
        <v>16.89875</v>
      </c>
      <c r="AK602" s="34">
        <f>IF(DB_STProjectsSOF[[#This Row],[FY Plan]]&lt;&gt;0,DB_STProjectsSOF[[#This Row],[FY Actuals]]/DB_STProjectsSOF[[#This Row],[FY Plan]],1.000011000011)</f>
        <v>1.315704444451365</v>
      </c>
    </row>
    <row r="603" spans="1:37" hidden="1" x14ac:dyDescent="0.2">
      <c r="A603">
        <f>SUBTOTAL(3,$B$6:B603)</f>
        <v>0</v>
      </c>
      <c r="B603" t="s">
        <v>974</v>
      </c>
      <c r="C603" t="s">
        <v>860</v>
      </c>
      <c r="E603">
        <v>34.010000000000005</v>
      </c>
      <c r="F603">
        <v>1.7300000000000004</v>
      </c>
      <c r="H603">
        <v>1.43</v>
      </c>
      <c r="I603">
        <v>0</v>
      </c>
      <c r="Q603">
        <v>34.010000000000005</v>
      </c>
      <c r="R603">
        <v>1.7300000000000006</v>
      </c>
      <c r="T603">
        <v>1.43</v>
      </c>
      <c r="U603">
        <v>23.52</v>
      </c>
      <c r="AB603" s="164">
        <v>40969</v>
      </c>
      <c r="AC603" s="164">
        <v>42643</v>
      </c>
      <c r="AD603" s="164">
        <v>42704</v>
      </c>
      <c r="AE603" s="34">
        <f>SUMPRODUCT(DB_STProjectsSOF[[#This Row],[Plan01]:[Plan12]],$D$4:$O$4)/valUnits2</f>
        <v>3.7170000000000009E-2</v>
      </c>
      <c r="AF603" s="34">
        <f>SUMPRODUCT(DB_STProjectsSOF[[#This Row],[Act01]:[Act12]],$P$4:$AA$4)/valUnits2</f>
        <v>6.0690000000000015E-2</v>
      </c>
      <c r="AG603" s="34">
        <f>DB_STProjectsSOF[[#This Row],[Actual]]-DB_STProjectsSOF[[#This Row],[Plan]]</f>
        <v>2.3520000000000006E-2</v>
      </c>
      <c r="AH603" s="34">
        <f>IF(DB_STProjectsSOF[[#This Row],[Plan]]&lt;&gt;0,DB_STProjectsSOF[[#This Row],[Actual]]/DB_STProjectsSOF[[#This Row],[Plan]],1.000011000011)</f>
        <v>1.6327683615819208</v>
      </c>
      <c r="AI603" s="34">
        <f>SUM(DB_STProjectsSOF[[#This Row],[Plan01]:[Plan12]])/valUnits2</f>
        <v>3.7170000000000009E-2</v>
      </c>
      <c r="AJ603" s="34">
        <f>SUMPRODUCT(DB_STProjectsSOF[[#This Row],[Act01]:[Act12]],$P$3:$AA$3)/valUnits2</f>
        <v>6.0690000000000015E-2</v>
      </c>
      <c r="AK603" s="34">
        <f>IF(DB_STProjectsSOF[[#This Row],[FY Plan]]&lt;&gt;0,DB_STProjectsSOF[[#This Row],[FY Actuals]]/DB_STProjectsSOF[[#This Row],[FY Plan]],1.000011000011)</f>
        <v>1.6327683615819208</v>
      </c>
    </row>
    <row r="604" spans="1:37" hidden="1" x14ac:dyDescent="0.2">
      <c r="A604">
        <f>SUBTOTAL(3,$B$6:B604)</f>
        <v>0</v>
      </c>
      <c r="B604" t="s">
        <v>974</v>
      </c>
      <c r="C604" t="s">
        <v>862</v>
      </c>
      <c r="E604">
        <v>1317.3430000000001</v>
      </c>
      <c r="F604">
        <v>656.83400000000006</v>
      </c>
      <c r="G604">
        <v>1510.954</v>
      </c>
      <c r="H604">
        <v>178.346</v>
      </c>
      <c r="I604">
        <v>1025.2429999999999</v>
      </c>
      <c r="J604">
        <v>1025.2429999999999</v>
      </c>
      <c r="K604">
        <v>1025.2429999999999</v>
      </c>
      <c r="L604">
        <v>1025.2429999999999</v>
      </c>
      <c r="M604">
        <v>1025.2429999999999</v>
      </c>
      <c r="N604">
        <v>1025.2429999999999</v>
      </c>
      <c r="O604">
        <v>1025.2429999999999</v>
      </c>
      <c r="Q604">
        <v>1322.56</v>
      </c>
      <c r="R604">
        <v>665.1</v>
      </c>
      <c r="S604">
        <v>1518.5700000000002</v>
      </c>
      <c r="T604">
        <v>179.4</v>
      </c>
      <c r="U604">
        <v>-3682.2799999999997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s="164">
        <v>41275</v>
      </c>
      <c r="AC604" s="164">
        <v>41639</v>
      </c>
      <c r="AD604" s="164">
        <v>3</v>
      </c>
      <c r="AE604" s="34">
        <f>SUMPRODUCT(DB_STProjectsSOF[[#This Row],[Plan01]:[Plan12]],$D$4:$O$4)/valUnits2</f>
        <v>4.68872</v>
      </c>
      <c r="AF604" s="34">
        <f>SUMPRODUCT(DB_STProjectsSOF[[#This Row],[Act01]:[Act12]],$P$4:$AA$4)/valUnits2</f>
        <v>3.350000000000364E-3</v>
      </c>
      <c r="AG604" s="34">
        <f>DB_STProjectsSOF[[#This Row],[Actual]]-DB_STProjectsSOF[[#This Row],[Plan]]</f>
        <v>-4.6853699999999998</v>
      </c>
      <c r="AH604" s="34">
        <f>IF(DB_STProjectsSOF[[#This Row],[Plan]]&lt;&gt;0,DB_STProjectsSOF[[#This Row],[Actual]]/DB_STProjectsSOF[[#This Row],[Plan]],1.000011000011)</f>
        <v>7.1448071115365471E-4</v>
      </c>
      <c r="AI604" s="34">
        <f>SUM(DB_STProjectsSOF[[#This Row],[Plan01]:[Plan12]])/valUnits2</f>
        <v>10.840178000000002</v>
      </c>
      <c r="AJ604" s="34">
        <f>SUMPRODUCT(DB_STProjectsSOF[[#This Row],[Act01]:[Act12]],$P$3:$AA$3)/valUnits2</f>
        <v>3.350000000000364E-3</v>
      </c>
      <c r="AK604" s="34">
        <f>IF(DB_STProjectsSOF[[#This Row],[FY Plan]]&lt;&gt;0,DB_STProjectsSOF[[#This Row],[FY Actuals]]/DB_STProjectsSOF[[#This Row],[FY Plan]],1.000011000011)</f>
        <v>3.090355158375041E-4</v>
      </c>
    </row>
    <row r="605" spans="1:37" hidden="1" x14ac:dyDescent="0.2">
      <c r="A605">
        <f>SUBTOTAL(3,$B$6:B605)</f>
        <v>0</v>
      </c>
      <c r="B605" t="s">
        <v>974</v>
      </c>
      <c r="C605" t="s">
        <v>866</v>
      </c>
      <c r="D605">
        <v>231.53</v>
      </c>
      <c r="E605">
        <v>8854.83</v>
      </c>
      <c r="F605">
        <v>5756.85</v>
      </c>
      <c r="G605">
        <v>-3838.9599999999996</v>
      </c>
      <c r="H605">
        <v>4016.15</v>
      </c>
      <c r="I605">
        <v>5555.5560000000005</v>
      </c>
      <c r="J605">
        <v>5555.5560000000005</v>
      </c>
      <c r="K605">
        <v>5555.5560000000005</v>
      </c>
      <c r="L605">
        <v>5555.5560000000005</v>
      </c>
      <c r="P605">
        <v>231.53</v>
      </c>
      <c r="Q605">
        <v>8854.83</v>
      </c>
      <c r="R605">
        <v>5756.85</v>
      </c>
      <c r="S605">
        <v>-3838.9600000000009</v>
      </c>
      <c r="T605">
        <v>4016.1500000000005</v>
      </c>
      <c r="U605">
        <v>6442.48</v>
      </c>
      <c r="V605">
        <v>0</v>
      </c>
      <c r="W605">
        <v>0</v>
      </c>
      <c r="X605">
        <v>0</v>
      </c>
      <c r="AB605" s="164">
        <v>41275</v>
      </c>
      <c r="AC605" s="164">
        <v>41639</v>
      </c>
      <c r="AD605" s="164">
        <v>41760</v>
      </c>
      <c r="AE605" s="34">
        <f>SUMPRODUCT(DB_STProjectsSOF[[#This Row],[Plan01]:[Plan12]],$D$4:$O$4)/valUnits2</f>
        <v>20.575956000000001</v>
      </c>
      <c r="AF605" s="34">
        <f>SUMPRODUCT(DB_STProjectsSOF[[#This Row],[Act01]:[Act12]],$P$4:$AA$4)/valUnits2</f>
        <v>21.462880000000002</v>
      </c>
      <c r="AG605" s="34">
        <f>DB_STProjectsSOF[[#This Row],[Actual]]-DB_STProjectsSOF[[#This Row],[Plan]]</f>
        <v>0.88692400000000049</v>
      </c>
      <c r="AH605" s="34">
        <f>IF(DB_STProjectsSOF[[#This Row],[Plan]]&lt;&gt;0,DB_STProjectsSOF[[#This Row],[Actual]]/DB_STProjectsSOF[[#This Row],[Plan]],1.000011000011)</f>
        <v>1.04310487444666</v>
      </c>
      <c r="AI605" s="34">
        <f>SUM(DB_STProjectsSOF[[#This Row],[Plan01]:[Plan12]])/valUnits2</f>
        <v>37.242624000000006</v>
      </c>
      <c r="AJ605" s="34">
        <f>SUMPRODUCT(DB_STProjectsSOF[[#This Row],[Act01]:[Act12]],$P$3:$AA$3)/valUnits2</f>
        <v>21.462880000000002</v>
      </c>
      <c r="AK605" s="34">
        <f>IF(DB_STProjectsSOF[[#This Row],[FY Plan]]&lt;&gt;0,DB_STProjectsSOF[[#This Row],[FY Actuals]]/DB_STProjectsSOF[[#This Row],[FY Plan]],1.000011000011)</f>
        <v>0.57629881288708329</v>
      </c>
    </row>
    <row r="606" spans="1:37" hidden="1" x14ac:dyDescent="0.2">
      <c r="A606">
        <f>SUBTOTAL(3,$B$6:B606)</f>
        <v>0</v>
      </c>
      <c r="B606" t="s">
        <v>974</v>
      </c>
      <c r="C606" t="s">
        <v>869</v>
      </c>
      <c r="D606">
        <v>906.89</v>
      </c>
      <c r="E606">
        <v>5202.9599999999991</v>
      </c>
      <c r="F606">
        <v>5569.579999999999</v>
      </c>
      <c r="G606">
        <v>4192.67</v>
      </c>
      <c r="H606">
        <v>2468.5900000000006</v>
      </c>
      <c r="I606">
        <v>0</v>
      </c>
      <c r="P606">
        <v>906.89</v>
      </c>
      <c r="Q606">
        <v>5202.9599999999991</v>
      </c>
      <c r="R606">
        <v>5569.579999999999</v>
      </c>
      <c r="S606">
        <v>4192.67</v>
      </c>
      <c r="T606">
        <v>2468.59</v>
      </c>
      <c r="U606">
        <v>4342.3100000000004</v>
      </c>
      <c r="AB606" s="164">
        <v>40817</v>
      </c>
      <c r="AC606" s="164">
        <v>42155</v>
      </c>
      <c r="AD606" s="164">
        <v>42217</v>
      </c>
      <c r="AE606" s="34">
        <f>SUMPRODUCT(DB_STProjectsSOF[[#This Row],[Plan01]:[Plan12]],$D$4:$O$4)/valUnits2</f>
        <v>18.340689999999999</v>
      </c>
      <c r="AF606" s="34">
        <f>SUMPRODUCT(DB_STProjectsSOF[[#This Row],[Act01]:[Act12]],$P$4:$AA$4)/valUnits2</f>
        <v>22.683</v>
      </c>
      <c r="AG606" s="34">
        <f>DB_STProjectsSOF[[#This Row],[Actual]]-DB_STProjectsSOF[[#This Row],[Plan]]</f>
        <v>4.3423100000000012</v>
      </c>
      <c r="AH606" s="34">
        <f>IF(DB_STProjectsSOF[[#This Row],[Plan]]&lt;&gt;0,DB_STProjectsSOF[[#This Row],[Actual]]/DB_STProjectsSOF[[#This Row],[Plan]],1.000011000011)</f>
        <v>1.2367582680913314</v>
      </c>
      <c r="AI606" s="34">
        <f>SUM(DB_STProjectsSOF[[#This Row],[Plan01]:[Plan12]])/valUnits2</f>
        <v>18.340689999999999</v>
      </c>
      <c r="AJ606" s="34">
        <f>SUMPRODUCT(DB_STProjectsSOF[[#This Row],[Act01]:[Act12]],$P$3:$AA$3)/valUnits2</f>
        <v>22.683</v>
      </c>
      <c r="AK606" s="34">
        <f>IF(DB_STProjectsSOF[[#This Row],[FY Plan]]&lt;&gt;0,DB_STProjectsSOF[[#This Row],[FY Actuals]]/DB_STProjectsSOF[[#This Row],[FY Plan]],1.000011000011)</f>
        <v>1.2367582680913314</v>
      </c>
    </row>
    <row r="607" spans="1:37" hidden="1" x14ac:dyDescent="0.2">
      <c r="A607">
        <f>SUBTOTAL(3,$B$6:B607)</f>
        <v>0</v>
      </c>
      <c r="B607" t="s">
        <v>974</v>
      </c>
      <c r="C607" t="s">
        <v>872</v>
      </c>
      <c r="H607">
        <v>88.274000000000001</v>
      </c>
      <c r="T607">
        <v>88.1</v>
      </c>
      <c r="AB607" s="164">
        <v>41275</v>
      </c>
      <c r="AC607" s="164">
        <v>41639</v>
      </c>
      <c r="AD607" s="164">
        <v>41669</v>
      </c>
      <c r="AE607" s="34">
        <f>SUMPRODUCT(DB_STProjectsSOF[[#This Row],[Plan01]:[Plan12]],$D$4:$O$4)/valUnits2</f>
        <v>8.8274000000000005E-2</v>
      </c>
      <c r="AF607" s="34">
        <f>SUMPRODUCT(DB_STProjectsSOF[[#This Row],[Act01]:[Act12]],$P$4:$AA$4)/valUnits2</f>
        <v>8.8099999999999998E-2</v>
      </c>
      <c r="AG607" s="34">
        <f>DB_STProjectsSOF[[#This Row],[Actual]]-DB_STProjectsSOF[[#This Row],[Plan]]</f>
        <v>-1.7400000000000748E-4</v>
      </c>
      <c r="AH607" s="34">
        <f>IF(DB_STProjectsSOF[[#This Row],[Plan]]&lt;&gt;0,DB_STProjectsSOF[[#This Row],[Actual]]/DB_STProjectsSOF[[#This Row],[Plan]],1.000011000011)</f>
        <v>0.99802886467136409</v>
      </c>
      <c r="AI607" s="34">
        <f>SUM(DB_STProjectsSOF[[#This Row],[Plan01]:[Plan12]])/valUnits2</f>
        <v>8.8274000000000005E-2</v>
      </c>
      <c r="AJ607" s="34">
        <f>SUMPRODUCT(DB_STProjectsSOF[[#This Row],[Act01]:[Act12]],$P$3:$AA$3)/valUnits2</f>
        <v>8.8099999999999998E-2</v>
      </c>
      <c r="AK607" s="34">
        <f>IF(DB_STProjectsSOF[[#This Row],[FY Plan]]&lt;&gt;0,DB_STProjectsSOF[[#This Row],[FY Actuals]]/DB_STProjectsSOF[[#This Row],[FY Plan]],1.000011000011)</f>
        <v>0.99802886467136409</v>
      </c>
    </row>
    <row r="608" spans="1:37" hidden="1" x14ac:dyDescent="0.2">
      <c r="A608">
        <f>SUBTOTAL(3,$B$6:B608)</f>
        <v>0</v>
      </c>
      <c r="B608" t="s">
        <v>974</v>
      </c>
      <c r="C608" t="s">
        <v>874</v>
      </c>
      <c r="D608">
        <v>0</v>
      </c>
      <c r="E608">
        <v>2045.9449999999999</v>
      </c>
      <c r="F608">
        <v>1033.742</v>
      </c>
      <c r="G608">
        <v>2123.2020000000002</v>
      </c>
      <c r="H608">
        <v>1121.423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2086.1999999999998</v>
      </c>
      <c r="R608">
        <v>1043.0999999999999</v>
      </c>
      <c r="S608">
        <v>2098.52</v>
      </c>
      <c r="T608">
        <v>1108.18</v>
      </c>
      <c r="U608">
        <v>2027.44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s="164">
        <v>40879</v>
      </c>
      <c r="AC608" s="164">
        <v>43071</v>
      </c>
      <c r="AD608" s="164">
        <v>43161</v>
      </c>
      <c r="AE608" s="34">
        <f>SUMPRODUCT(DB_STProjectsSOF[[#This Row],[Plan01]:[Plan12]],$D$4:$O$4)/valUnits2</f>
        <v>6.3243119999999999</v>
      </c>
      <c r="AF608" s="34">
        <f>SUMPRODUCT(DB_STProjectsSOF[[#This Row],[Act01]:[Act12]],$P$4:$AA$4)/valUnits2</f>
        <v>8.3634400000000007</v>
      </c>
      <c r="AG608" s="34">
        <f>DB_STProjectsSOF[[#This Row],[Actual]]-DB_STProjectsSOF[[#This Row],[Plan]]</f>
        <v>2.0391280000000007</v>
      </c>
      <c r="AH608" s="34">
        <f>IF(DB_STProjectsSOF[[#This Row],[Plan]]&lt;&gt;0,DB_STProjectsSOF[[#This Row],[Actual]]/DB_STProjectsSOF[[#This Row],[Plan]],1.000011000011)</f>
        <v>1.3224268505412131</v>
      </c>
      <c r="AI608" s="34">
        <f>SUM(DB_STProjectsSOF[[#This Row],[Plan01]:[Plan12]])/valUnits2</f>
        <v>6.3243119999999999</v>
      </c>
      <c r="AJ608" s="34">
        <f>SUMPRODUCT(DB_STProjectsSOF[[#This Row],[Act01]:[Act12]],$P$3:$AA$3)/valUnits2</f>
        <v>8.3634400000000007</v>
      </c>
      <c r="AK608" s="34">
        <f>IF(DB_STProjectsSOF[[#This Row],[FY Plan]]&lt;&gt;0,DB_STProjectsSOF[[#This Row],[FY Actuals]]/DB_STProjectsSOF[[#This Row],[FY Plan]],1.000011000011)</f>
        <v>1.3224268505412131</v>
      </c>
    </row>
    <row r="609" spans="1:37" hidden="1" x14ac:dyDescent="0.2">
      <c r="A609">
        <f>SUBTOTAL(3,$B$6:B609)</f>
        <v>0</v>
      </c>
      <c r="B609" t="s">
        <v>974</v>
      </c>
      <c r="C609" t="s">
        <v>876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142.07999999999998</v>
      </c>
      <c r="J609">
        <v>142.07999999999998</v>
      </c>
      <c r="K609">
        <v>142.07999999999998</v>
      </c>
      <c r="L609">
        <v>142.07999999999998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AB609" s="164">
        <v>40817</v>
      </c>
      <c r="AC609" s="164">
        <v>41820</v>
      </c>
      <c r="AD609" s="164">
        <v>41835</v>
      </c>
      <c r="AE609" s="34">
        <f>SUMPRODUCT(DB_STProjectsSOF[[#This Row],[Plan01]:[Plan12]],$D$4:$O$4)/valUnits2</f>
        <v>0.14207999999999998</v>
      </c>
      <c r="AF609" s="34">
        <f>SUMPRODUCT(DB_STProjectsSOF[[#This Row],[Act01]:[Act12]],$P$4:$AA$4)/valUnits2</f>
        <v>0</v>
      </c>
      <c r="AG609" s="34">
        <f>DB_STProjectsSOF[[#This Row],[Actual]]-DB_STProjectsSOF[[#This Row],[Plan]]</f>
        <v>-0.14207999999999998</v>
      </c>
      <c r="AH609" s="34">
        <f>IF(DB_STProjectsSOF[[#This Row],[Plan]]&lt;&gt;0,DB_STProjectsSOF[[#This Row],[Actual]]/DB_STProjectsSOF[[#This Row],[Plan]],1.000011000011)</f>
        <v>0</v>
      </c>
      <c r="AI609" s="34">
        <f>SUM(DB_STProjectsSOF[[#This Row],[Plan01]:[Plan12]])/valUnits2</f>
        <v>0.56831999999999994</v>
      </c>
      <c r="AJ609" s="34">
        <f>SUMPRODUCT(DB_STProjectsSOF[[#This Row],[Act01]:[Act12]],$P$3:$AA$3)/valUnits2</f>
        <v>0</v>
      </c>
      <c r="AK609" s="34">
        <f>IF(DB_STProjectsSOF[[#This Row],[FY Plan]]&lt;&gt;0,DB_STProjectsSOF[[#This Row],[FY Actuals]]/DB_STProjectsSOF[[#This Row],[FY Plan]],1.000011000011)</f>
        <v>0</v>
      </c>
    </row>
    <row r="610" spans="1:37" hidden="1" x14ac:dyDescent="0.2">
      <c r="A610">
        <f>SUBTOTAL(3,$B$6:B610)</f>
        <v>0</v>
      </c>
      <c r="B610" t="s">
        <v>974</v>
      </c>
      <c r="C610" t="s">
        <v>877</v>
      </c>
      <c r="H610">
        <v>294.43900000000002</v>
      </c>
      <c r="I610">
        <v>0</v>
      </c>
      <c r="T610">
        <v>290.87</v>
      </c>
      <c r="U610">
        <v>290.68</v>
      </c>
      <c r="AB610" s="164">
        <v>40817</v>
      </c>
      <c r="AC610" s="164">
        <v>41639</v>
      </c>
      <c r="AD610" s="164">
        <v>41729</v>
      </c>
      <c r="AE610" s="34">
        <f>SUMPRODUCT(DB_STProjectsSOF[[#This Row],[Plan01]:[Plan12]],$D$4:$O$4)/valUnits2</f>
        <v>0.29443900000000001</v>
      </c>
      <c r="AF610" s="34">
        <f>SUMPRODUCT(DB_STProjectsSOF[[#This Row],[Act01]:[Act12]],$P$4:$AA$4)/valUnits2</f>
        <v>0.5815499999999999</v>
      </c>
      <c r="AG610" s="34">
        <f>DB_STProjectsSOF[[#This Row],[Actual]]-DB_STProjectsSOF[[#This Row],[Plan]]</f>
        <v>0.28711099999999989</v>
      </c>
      <c r="AH610" s="34">
        <f>IF(DB_STProjectsSOF[[#This Row],[Plan]]&lt;&gt;0,DB_STProjectsSOF[[#This Row],[Actual]]/DB_STProjectsSOF[[#This Row],[Plan]],1.000011000011)</f>
        <v>1.9751119926368446</v>
      </c>
      <c r="AI610" s="34">
        <f>SUM(DB_STProjectsSOF[[#This Row],[Plan01]:[Plan12]])/valUnits2</f>
        <v>0.29443900000000001</v>
      </c>
      <c r="AJ610" s="34">
        <f>SUMPRODUCT(DB_STProjectsSOF[[#This Row],[Act01]:[Act12]],$P$3:$AA$3)/valUnits2</f>
        <v>0.5815499999999999</v>
      </c>
      <c r="AK610" s="34">
        <f>IF(DB_STProjectsSOF[[#This Row],[FY Plan]]&lt;&gt;0,DB_STProjectsSOF[[#This Row],[FY Actuals]]/DB_STProjectsSOF[[#This Row],[FY Plan]],1.000011000011)</f>
        <v>1.9751119926368446</v>
      </c>
    </row>
    <row r="611" spans="1:37" hidden="1" x14ac:dyDescent="0.2">
      <c r="A611">
        <f>SUBTOTAL(3,$B$6:B611)</f>
        <v>0</v>
      </c>
      <c r="B611" t="s">
        <v>974</v>
      </c>
      <c r="C611" t="s">
        <v>883</v>
      </c>
      <c r="D611">
        <v>1227.6289999999999</v>
      </c>
      <c r="G611">
        <v>3255.2069999999999</v>
      </c>
      <c r="P611">
        <v>1252.51</v>
      </c>
      <c r="S611">
        <v>3212.95</v>
      </c>
      <c r="AB611" s="164">
        <v>40940</v>
      </c>
      <c r="AC611" s="164">
        <v>41639</v>
      </c>
      <c r="AD611" s="164">
        <v>41698</v>
      </c>
      <c r="AE611" s="34">
        <f>SUMPRODUCT(DB_STProjectsSOF[[#This Row],[Plan01]:[Plan12]],$D$4:$O$4)/valUnits2</f>
        <v>4.4828359999999989</v>
      </c>
      <c r="AF611" s="34">
        <f>SUMPRODUCT(DB_STProjectsSOF[[#This Row],[Act01]:[Act12]],$P$4:$AA$4)/valUnits2</f>
        <v>4.4654600000000002</v>
      </c>
      <c r="AG611" s="34">
        <f>DB_STProjectsSOF[[#This Row],[Actual]]-DB_STProjectsSOF[[#This Row],[Plan]]</f>
        <v>-1.7375999999998726E-2</v>
      </c>
      <c r="AH611" s="34">
        <f>IF(DB_STProjectsSOF[[#This Row],[Plan]]&lt;&gt;0,DB_STProjectsSOF[[#This Row],[Actual]]/DB_STProjectsSOF[[#This Row],[Plan]],1.000011000011)</f>
        <v>0.99612388229237059</v>
      </c>
      <c r="AI611" s="34">
        <f>SUM(DB_STProjectsSOF[[#This Row],[Plan01]:[Plan12]])/valUnits2</f>
        <v>4.4828359999999989</v>
      </c>
      <c r="AJ611" s="34">
        <f>SUMPRODUCT(DB_STProjectsSOF[[#This Row],[Act01]:[Act12]],$P$3:$AA$3)/valUnits2</f>
        <v>4.4654600000000002</v>
      </c>
      <c r="AK611" s="34">
        <f>IF(DB_STProjectsSOF[[#This Row],[FY Plan]]&lt;&gt;0,DB_STProjectsSOF[[#This Row],[FY Actuals]]/DB_STProjectsSOF[[#This Row],[FY Plan]],1.000011000011)</f>
        <v>0.99612388229237059</v>
      </c>
    </row>
    <row r="612" spans="1:37" hidden="1" x14ac:dyDescent="0.2">
      <c r="A612">
        <f>SUBTOTAL(3,$B$6:B612)</f>
        <v>0</v>
      </c>
      <c r="B612" t="s">
        <v>974</v>
      </c>
      <c r="C612" t="s">
        <v>884</v>
      </c>
      <c r="D612">
        <v>1075</v>
      </c>
      <c r="E612">
        <v>1075</v>
      </c>
      <c r="F612">
        <v>1075</v>
      </c>
      <c r="G612">
        <v>1075</v>
      </c>
      <c r="H612">
        <v>1075</v>
      </c>
      <c r="I612">
        <v>1075</v>
      </c>
      <c r="J612">
        <v>1075</v>
      </c>
      <c r="K612">
        <v>1075</v>
      </c>
      <c r="L612">
        <v>1075</v>
      </c>
      <c r="M612">
        <v>1075</v>
      </c>
      <c r="N612">
        <v>1075</v>
      </c>
      <c r="O612">
        <v>1075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s="164">
        <v>40909</v>
      </c>
      <c r="AC612" s="164">
        <v>41274</v>
      </c>
      <c r="AD612" s="164">
        <v>41364</v>
      </c>
      <c r="AE612" s="34">
        <f>SUMPRODUCT(DB_STProjectsSOF[[#This Row],[Plan01]:[Plan12]],$D$4:$O$4)/valUnits2</f>
        <v>6.45</v>
      </c>
      <c r="AF612" s="34">
        <f>SUMPRODUCT(DB_STProjectsSOF[[#This Row],[Act01]:[Act12]],$P$4:$AA$4)/valUnits2</f>
        <v>0</v>
      </c>
      <c r="AG612" s="34">
        <f>DB_STProjectsSOF[[#This Row],[Actual]]-DB_STProjectsSOF[[#This Row],[Plan]]</f>
        <v>-6.45</v>
      </c>
      <c r="AH612" s="34">
        <f>IF(DB_STProjectsSOF[[#This Row],[Plan]]&lt;&gt;0,DB_STProjectsSOF[[#This Row],[Actual]]/DB_STProjectsSOF[[#This Row],[Plan]],1.000011000011)</f>
        <v>0</v>
      </c>
      <c r="AI612" s="34">
        <f>SUM(DB_STProjectsSOF[[#This Row],[Plan01]:[Plan12]])/valUnits2</f>
        <v>12.9</v>
      </c>
      <c r="AJ612" s="34">
        <f>SUMPRODUCT(DB_STProjectsSOF[[#This Row],[Act01]:[Act12]],$P$3:$AA$3)/valUnits2</f>
        <v>0</v>
      </c>
      <c r="AK612" s="34">
        <f>IF(DB_STProjectsSOF[[#This Row],[FY Plan]]&lt;&gt;0,DB_STProjectsSOF[[#This Row],[FY Actuals]]/DB_STProjectsSOF[[#This Row],[FY Plan]],1.000011000011)</f>
        <v>0</v>
      </c>
    </row>
    <row r="613" spans="1:37" hidden="1" x14ac:dyDescent="0.2">
      <c r="A613">
        <f>SUBTOTAL(3,$B$6:B613)</f>
        <v>0</v>
      </c>
      <c r="B613" t="s">
        <v>974</v>
      </c>
      <c r="C613" t="s">
        <v>885</v>
      </c>
      <c r="F613">
        <v>531.928</v>
      </c>
      <c r="G613">
        <v>1.2789999999999999</v>
      </c>
      <c r="R613">
        <v>508.89</v>
      </c>
      <c r="S613">
        <v>1.29</v>
      </c>
      <c r="AB613" s="164">
        <v>40817</v>
      </c>
      <c r="AC613" s="164">
        <v>41639</v>
      </c>
      <c r="AD613" s="164">
        <v>41820</v>
      </c>
      <c r="AE613" s="34">
        <f>SUMPRODUCT(DB_STProjectsSOF[[#This Row],[Plan01]:[Plan12]],$D$4:$O$4)/valUnits2</f>
        <v>0.53320699999999999</v>
      </c>
      <c r="AF613" s="34">
        <f>SUMPRODUCT(DB_STProjectsSOF[[#This Row],[Act01]:[Act12]],$P$4:$AA$4)/valUnits2</f>
        <v>0.51017999999999997</v>
      </c>
      <c r="AG613" s="34">
        <f>DB_STProjectsSOF[[#This Row],[Actual]]-DB_STProjectsSOF[[#This Row],[Plan]]</f>
        <v>-2.302700000000002E-2</v>
      </c>
      <c r="AH613" s="34">
        <f>IF(DB_STProjectsSOF[[#This Row],[Plan]]&lt;&gt;0,DB_STProjectsSOF[[#This Row],[Actual]]/DB_STProjectsSOF[[#This Row],[Plan]],1.000011000011)</f>
        <v>0.95681414535067988</v>
      </c>
      <c r="AI613" s="34">
        <f>SUM(DB_STProjectsSOF[[#This Row],[Plan01]:[Plan12]])/valUnits2</f>
        <v>0.53320699999999999</v>
      </c>
      <c r="AJ613" s="34">
        <f>SUMPRODUCT(DB_STProjectsSOF[[#This Row],[Act01]:[Act12]],$P$3:$AA$3)/valUnits2</f>
        <v>0.51017999999999997</v>
      </c>
      <c r="AK613" s="34">
        <f>IF(DB_STProjectsSOF[[#This Row],[FY Plan]]&lt;&gt;0,DB_STProjectsSOF[[#This Row],[FY Actuals]]/DB_STProjectsSOF[[#This Row],[FY Plan]],1.000011000011)</f>
        <v>0.95681414535067988</v>
      </c>
    </row>
    <row r="614" spans="1:37" hidden="1" x14ac:dyDescent="0.2">
      <c r="A614">
        <f>SUBTOTAL(3,$B$6:B614)</f>
        <v>0</v>
      </c>
      <c r="B614" t="s">
        <v>974</v>
      </c>
      <c r="C614" t="s">
        <v>890</v>
      </c>
      <c r="E614">
        <v>0</v>
      </c>
      <c r="F614">
        <v>0</v>
      </c>
      <c r="G614">
        <v>0</v>
      </c>
      <c r="H614">
        <v>0</v>
      </c>
      <c r="I614">
        <v>534.71100000000001</v>
      </c>
      <c r="J614">
        <v>534.71100000000001</v>
      </c>
      <c r="K614">
        <v>534.71100000000001</v>
      </c>
      <c r="L614">
        <v>534.71100000000001</v>
      </c>
      <c r="M614">
        <v>534.71100000000001</v>
      </c>
      <c r="N614">
        <v>534.71100000000001</v>
      </c>
      <c r="O614">
        <v>534.71100000000001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s="164">
        <v>40817</v>
      </c>
      <c r="AC614" s="164">
        <v>41639</v>
      </c>
      <c r="AD614" s="164">
        <v>41639</v>
      </c>
      <c r="AE614" s="34">
        <f>SUMPRODUCT(DB_STProjectsSOF[[#This Row],[Plan01]:[Plan12]],$D$4:$O$4)/valUnits2</f>
        <v>0.53471100000000005</v>
      </c>
      <c r="AF614" s="34">
        <f>SUMPRODUCT(DB_STProjectsSOF[[#This Row],[Act01]:[Act12]],$P$4:$AA$4)/valUnits2</f>
        <v>0</v>
      </c>
      <c r="AG614" s="34">
        <f>DB_STProjectsSOF[[#This Row],[Actual]]-DB_STProjectsSOF[[#This Row],[Plan]]</f>
        <v>-0.53471100000000005</v>
      </c>
      <c r="AH614" s="34">
        <f>IF(DB_STProjectsSOF[[#This Row],[Plan]]&lt;&gt;0,DB_STProjectsSOF[[#This Row],[Actual]]/DB_STProjectsSOF[[#This Row],[Plan]],1.000011000011)</f>
        <v>0</v>
      </c>
      <c r="AI614" s="34">
        <f>SUM(DB_STProjectsSOF[[#This Row],[Plan01]:[Plan12]])/valUnits2</f>
        <v>3.7429770000000007</v>
      </c>
      <c r="AJ614" s="34">
        <f>SUMPRODUCT(DB_STProjectsSOF[[#This Row],[Act01]:[Act12]],$P$3:$AA$3)/valUnits2</f>
        <v>0</v>
      </c>
      <c r="AK614" s="34">
        <f>IF(DB_STProjectsSOF[[#This Row],[FY Plan]]&lt;&gt;0,DB_STProjectsSOF[[#This Row],[FY Actuals]]/DB_STProjectsSOF[[#This Row],[FY Plan]],1.000011000011)</f>
        <v>0</v>
      </c>
    </row>
    <row r="615" spans="1:37" hidden="1" x14ac:dyDescent="0.2">
      <c r="A615">
        <f>SUBTOTAL(3,$B$6:B615)</f>
        <v>0</v>
      </c>
      <c r="B615" t="s">
        <v>974</v>
      </c>
      <c r="C615" t="s">
        <v>891</v>
      </c>
      <c r="I615">
        <v>0</v>
      </c>
      <c r="U615">
        <v>238.58</v>
      </c>
      <c r="AB615" s="164">
        <v>41214</v>
      </c>
      <c r="AC615" s="164">
        <v>42308</v>
      </c>
      <c r="AD615" s="164">
        <v>42389</v>
      </c>
      <c r="AE615" s="34">
        <f>SUMPRODUCT(DB_STProjectsSOF[[#This Row],[Plan01]:[Plan12]],$D$4:$O$4)/valUnits2</f>
        <v>0</v>
      </c>
      <c r="AF615" s="34">
        <f>SUMPRODUCT(DB_STProjectsSOF[[#This Row],[Act01]:[Act12]],$P$4:$AA$4)/valUnits2</f>
        <v>0.23858000000000001</v>
      </c>
      <c r="AG615" s="34">
        <f>DB_STProjectsSOF[[#This Row],[Actual]]-DB_STProjectsSOF[[#This Row],[Plan]]</f>
        <v>0.23858000000000001</v>
      </c>
      <c r="AH615" s="34">
        <f>IF(DB_STProjectsSOF[[#This Row],[Plan]]&lt;&gt;0,DB_STProjectsSOF[[#This Row],[Actual]]/DB_STProjectsSOF[[#This Row],[Plan]],1.000011000011)</f>
        <v>1.0000110000110001</v>
      </c>
      <c r="AI615" s="34">
        <f>SUM(DB_STProjectsSOF[[#This Row],[Plan01]:[Plan12]])/valUnits2</f>
        <v>0</v>
      </c>
      <c r="AJ615" s="34">
        <f>SUMPRODUCT(DB_STProjectsSOF[[#This Row],[Act01]:[Act12]],$P$3:$AA$3)/valUnits2</f>
        <v>0.23858000000000001</v>
      </c>
      <c r="AK615" s="34">
        <f>IF(DB_STProjectsSOF[[#This Row],[FY Plan]]&lt;&gt;0,DB_STProjectsSOF[[#This Row],[FY Actuals]]/DB_STProjectsSOF[[#This Row],[FY Plan]],1.000011000011)</f>
        <v>1.0000110000110001</v>
      </c>
    </row>
    <row r="616" spans="1:37" hidden="1" x14ac:dyDescent="0.2">
      <c r="A616">
        <f>SUBTOTAL(3,$B$6:B616)</f>
        <v>0</v>
      </c>
      <c r="B616" t="s">
        <v>974</v>
      </c>
      <c r="C616" t="s">
        <v>895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31.491</v>
      </c>
      <c r="J616">
        <v>31.491</v>
      </c>
      <c r="K616">
        <v>31.491</v>
      </c>
      <c r="L616">
        <v>31.491</v>
      </c>
      <c r="M616">
        <v>31.491</v>
      </c>
      <c r="N616">
        <v>31.491</v>
      </c>
      <c r="O616">
        <v>31.491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s="164">
        <v>40553</v>
      </c>
      <c r="AC616" s="164">
        <v>41897</v>
      </c>
      <c r="AD616" s="164">
        <v>41988</v>
      </c>
      <c r="AE616" s="34">
        <f>SUMPRODUCT(DB_STProjectsSOF[[#This Row],[Plan01]:[Plan12]],$D$4:$O$4)/valUnits2</f>
        <v>3.1490999999999998E-2</v>
      </c>
      <c r="AF616" s="34">
        <f>SUMPRODUCT(DB_STProjectsSOF[[#This Row],[Act01]:[Act12]],$P$4:$AA$4)/valUnits2</f>
        <v>0</v>
      </c>
      <c r="AG616" s="34">
        <f>DB_STProjectsSOF[[#This Row],[Actual]]-DB_STProjectsSOF[[#This Row],[Plan]]</f>
        <v>-3.1490999999999998E-2</v>
      </c>
      <c r="AH616" s="34">
        <f>IF(DB_STProjectsSOF[[#This Row],[Plan]]&lt;&gt;0,DB_STProjectsSOF[[#This Row],[Actual]]/DB_STProjectsSOF[[#This Row],[Plan]],1.000011000011)</f>
        <v>0</v>
      </c>
      <c r="AI616" s="34">
        <f>SUM(DB_STProjectsSOF[[#This Row],[Plan01]:[Plan12]])/valUnits2</f>
        <v>0.22043699999999997</v>
      </c>
      <c r="AJ616" s="34">
        <f>SUMPRODUCT(DB_STProjectsSOF[[#This Row],[Act01]:[Act12]],$P$3:$AA$3)/valUnits2</f>
        <v>0</v>
      </c>
      <c r="AK616" s="34">
        <f>IF(DB_STProjectsSOF[[#This Row],[FY Plan]]&lt;&gt;0,DB_STProjectsSOF[[#This Row],[FY Actuals]]/DB_STProjectsSOF[[#This Row],[FY Plan]],1.000011000011)</f>
        <v>0</v>
      </c>
    </row>
    <row r="617" spans="1:37" hidden="1" x14ac:dyDescent="0.2">
      <c r="A617">
        <f>SUBTOTAL(3,$B$6:B617)</f>
        <v>0</v>
      </c>
      <c r="B617" t="s">
        <v>974</v>
      </c>
      <c r="C617" t="s">
        <v>896</v>
      </c>
      <c r="D617">
        <v>0</v>
      </c>
      <c r="E617">
        <v>11.265000000000001</v>
      </c>
      <c r="F617">
        <v>0</v>
      </c>
      <c r="G617">
        <v>0</v>
      </c>
      <c r="H617">
        <v>0</v>
      </c>
      <c r="I617">
        <v>1070.2049999999999</v>
      </c>
      <c r="J617">
        <v>1070.2049999999999</v>
      </c>
      <c r="K617">
        <v>1070.2049999999999</v>
      </c>
      <c r="L617">
        <v>1070.2049999999999</v>
      </c>
      <c r="M617">
        <v>1070.2049999999999</v>
      </c>
      <c r="N617">
        <v>1070.2049999999999</v>
      </c>
      <c r="O617">
        <v>1070.2049999999999</v>
      </c>
      <c r="P617">
        <v>0</v>
      </c>
      <c r="Q617">
        <v>11.27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s="164">
        <v>40817</v>
      </c>
      <c r="AC617" s="164">
        <v>41639</v>
      </c>
      <c r="AD617" s="164">
        <v>41820</v>
      </c>
      <c r="AE617" s="34">
        <f>SUMPRODUCT(DB_STProjectsSOF[[#This Row],[Plan01]:[Plan12]],$D$4:$O$4)/valUnits2</f>
        <v>1.0814699999999999</v>
      </c>
      <c r="AF617" s="34">
        <f>SUMPRODUCT(DB_STProjectsSOF[[#This Row],[Act01]:[Act12]],$P$4:$AA$4)/valUnits2</f>
        <v>1.1269999999999999E-2</v>
      </c>
      <c r="AG617" s="34">
        <f>DB_STProjectsSOF[[#This Row],[Actual]]-DB_STProjectsSOF[[#This Row],[Plan]]</f>
        <v>-1.0702</v>
      </c>
      <c r="AH617" s="34">
        <f>IF(DB_STProjectsSOF[[#This Row],[Plan]]&lt;&gt;0,DB_STProjectsSOF[[#This Row],[Actual]]/DB_STProjectsSOF[[#This Row],[Plan]],1.000011000011)</f>
        <v>1.0421001044874105E-2</v>
      </c>
      <c r="AI617" s="34">
        <f>SUM(DB_STProjectsSOF[[#This Row],[Plan01]:[Plan12]])/valUnits2</f>
        <v>7.5026999999999999</v>
      </c>
      <c r="AJ617" s="34">
        <f>SUMPRODUCT(DB_STProjectsSOF[[#This Row],[Act01]:[Act12]],$P$3:$AA$3)/valUnits2</f>
        <v>1.1269999999999999E-2</v>
      </c>
      <c r="AK617" s="34">
        <f>IF(DB_STProjectsSOF[[#This Row],[FY Plan]]&lt;&gt;0,DB_STProjectsSOF[[#This Row],[FY Actuals]]/DB_STProjectsSOF[[#This Row],[FY Plan]],1.000011000011)</f>
        <v>1.5021259013421834E-3</v>
      </c>
    </row>
    <row r="618" spans="1:37" hidden="1" x14ac:dyDescent="0.2">
      <c r="A618">
        <f>SUBTOTAL(3,$B$6:B618)</f>
        <v>0</v>
      </c>
      <c r="B618" t="s">
        <v>974</v>
      </c>
      <c r="C618" t="s">
        <v>897</v>
      </c>
      <c r="I618">
        <v>0</v>
      </c>
      <c r="U618">
        <v>2165.89</v>
      </c>
      <c r="AB618" s="164"/>
      <c r="AC618" s="164"/>
      <c r="AD618" s="164"/>
      <c r="AE618" s="34">
        <f>SUMPRODUCT(DB_STProjectsSOF[[#This Row],[Plan01]:[Plan12]],$D$4:$O$4)/valUnits2</f>
        <v>0</v>
      </c>
      <c r="AF618" s="34">
        <f>SUMPRODUCT(DB_STProjectsSOF[[#This Row],[Act01]:[Act12]],$P$4:$AA$4)/valUnits2</f>
        <v>2.1658900000000001</v>
      </c>
      <c r="AG618" s="34">
        <f>DB_STProjectsSOF[[#This Row],[Actual]]-DB_STProjectsSOF[[#This Row],[Plan]]</f>
        <v>2.1658900000000001</v>
      </c>
      <c r="AH618" s="34">
        <f>IF(DB_STProjectsSOF[[#This Row],[Plan]]&lt;&gt;0,DB_STProjectsSOF[[#This Row],[Actual]]/DB_STProjectsSOF[[#This Row],[Plan]],1.000011000011)</f>
        <v>1.0000110000110001</v>
      </c>
      <c r="AI618" s="34">
        <f>SUM(DB_STProjectsSOF[[#This Row],[Plan01]:[Plan12]])/valUnits2</f>
        <v>0</v>
      </c>
      <c r="AJ618" s="34">
        <f>SUMPRODUCT(DB_STProjectsSOF[[#This Row],[Act01]:[Act12]],$P$3:$AA$3)/valUnits2</f>
        <v>2.1658900000000001</v>
      </c>
      <c r="AK618" s="34">
        <f>IF(DB_STProjectsSOF[[#This Row],[FY Plan]]&lt;&gt;0,DB_STProjectsSOF[[#This Row],[FY Actuals]]/DB_STProjectsSOF[[#This Row],[FY Plan]],1.000011000011)</f>
        <v>1.0000110000110001</v>
      </c>
    </row>
    <row r="619" spans="1:37" hidden="1" x14ac:dyDescent="0.2">
      <c r="A619">
        <f>SUBTOTAL(3,$B$6:B619)</f>
        <v>0</v>
      </c>
      <c r="B619" t="s">
        <v>974</v>
      </c>
      <c r="C619" t="s">
        <v>365</v>
      </c>
      <c r="G619">
        <v>0</v>
      </c>
      <c r="H619">
        <v>0</v>
      </c>
      <c r="I619">
        <v>104.051</v>
      </c>
      <c r="J619">
        <v>104.051</v>
      </c>
      <c r="K619">
        <v>104.051</v>
      </c>
      <c r="S619">
        <v>0</v>
      </c>
      <c r="T619">
        <v>0</v>
      </c>
      <c r="U619">
        <v>0</v>
      </c>
      <c r="V619">
        <v>0</v>
      </c>
      <c r="W619">
        <v>0</v>
      </c>
      <c r="AB619" s="164">
        <v>40878</v>
      </c>
      <c r="AC619" s="164">
        <v>41517</v>
      </c>
      <c r="AD619" s="164">
        <v>41547</v>
      </c>
      <c r="AE619" s="34">
        <f>SUMPRODUCT(DB_STProjectsSOF[[#This Row],[Plan01]:[Plan12]],$D$4:$O$4)/valUnits2</f>
        <v>0.104051</v>
      </c>
      <c r="AF619" s="34">
        <f>SUMPRODUCT(DB_STProjectsSOF[[#This Row],[Act01]:[Act12]],$P$4:$AA$4)/valUnits2</f>
        <v>0</v>
      </c>
      <c r="AG619" s="34">
        <f>DB_STProjectsSOF[[#This Row],[Actual]]-DB_STProjectsSOF[[#This Row],[Plan]]</f>
        <v>-0.104051</v>
      </c>
      <c r="AH619" s="34">
        <f>IF(DB_STProjectsSOF[[#This Row],[Plan]]&lt;&gt;0,DB_STProjectsSOF[[#This Row],[Actual]]/DB_STProjectsSOF[[#This Row],[Plan]],1.000011000011)</f>
        <v>0</v>
      </c>
      <c r="AI619" s="34">
        <f>SUM(DB_STProjectsSOF[[#This Row],[Plan01]:[Plan12]])/valUnits2</f>
        <v>0.31215300000000001</v>
      </c>
      <c r="AJ619" s="34">
        <f>SUMPRODUCT(DB_STProjectsSOF[[#This Row],[Act01]:[Act12]],$P$3:$AA$3)/valUnits2</f>
        <v>0</v>
      </c>
      <c r="AK619" s="34">
        <f>IF(DB_STProjectsSOF[[#This Row],[FY Plan]]&lt;&gt;0,DB_STProjectsSOF[[#This Row],[FY Actuals]]/DB_STProjectsSOF[[#This Row],[FY Plan]],1.000011000011)</f>
        <v>0</v>
      </c>
    </row>
    <row r="620" spans="1:37" hidden="1" x14ac:dyDescent="0.2">
      <c r="A620">
        <f>SUBTOTAL(3,$B$6:B620)</f>
        <v>0</v>
      </c>
      <c r="B620" t="s">
        <v>974</v>
      </c>
      <c r="C620" t="s">
        <v>904</v>
      </c>
      <c r="E620">
        <v>5.5940000000000003</v>
      </c>
      <c r="F620">
        <v>6.359</v>
      </c>
      <c r="H620">
        <v>5.2140000000000004</v>
      </c>
      <c r="I620">
        <v>0</v>
      </c>
      <c r="Q620">
        <v>5.58</v>
      </c>
      <c r="R620">
        <v>6.3100000000000005</v>
      </c>
      <c r="T620">
        <v>5.24</v>
      </c>
      <c r="U620">
        <v>21.380000000000003</v>
      </c>
      <c r="AB620" s="164">
        <v>40817</v>
      </c>
      <c r="AC620" s="164">
        <v>41639</v>
      </c>
      <c r="AD620" s="164">
        <v>41698</v>
      </c>
      <c r="AE620" s="34">
        <f>SUMPRODUCT(DB_STProjectsSOF[[#This Row],[Plan01]:[Plan12]],$D$4:$O$4)/valUnits2</f>
        <v>1.7167000000000002E-2</v>
      </c>
      <c r="AF620" s="34">
        <f>SUMPRODUCT(DB_STProjectsSOF[[#This Row],[Act01]:[Act12]],$P$4:$AA$4)/valUnits2</f>
        <v>3.8510000000000003E-2</v>
      </c>
      <c r="AG620" s="34">
        <f>DB_STProjectsSOF[[#This Row],[Actual]]-DB_STProjectsSOF[[#This Row],[Plan]]</f>
        <v>2.1343000000000001E-2</v>
      </c>
      <c r="AH620" s="34">
        <f>IF(DB_STProjectsSOF[[#This Row],[Plan]]&lt;&gt;0,DB_STProjectsSOF[[#This Row],[Actual]]/DB_STProjectsSOF[[#This Row],[Plan]],1.000011000011)</f>
        <v>2.2432574124774276</v>
      </c>
      <c r="AI620" s="34">
        <f>SUM(DB_STProjectsSOF[[#This Row],[Plan01]:[Plan12]])/valUnits2</f>
        <v>1.7167000000000002E-2</v>
      </c>
      <c r="AJ620" s="34">
        <f>SUMPRODUCT(DB_STProjectsSOF[[#This Row],[Act01]:[Act12]],$P$3:$AA$3)/valUnits2</f>
        <v>3.8510000000000003E-2</v>
      </c>
      <c r="AK620" s="34">
        <f>IF(DB_STProjectsSOF[[#This Row],[FY Plan]]&lt;&gt;0,DB_STProjectsSOF[[#This Row],[FY Actuals]]/DB_STProjectsSOF[[#This Row],[FY Plan]],1.000011000011)</f>
        <v>2.2432574124774276</v>
      </c>
    </row>
    <row r="621" spans="1:37" hidden="1" x14ac:dyDescent="0.2">
      <c r="A621">
        <f>SUBTOTAL(3,$B$6:B621)</f>
        <v>0</v>
      </c>
      <c r="B621" t="s">
        <v>974</v>
      </c>
      <c r="C621" t="s">
        <v>909</v>
      </c>
      <c r="D621">
        <v>906.88</v>
      </c>
      <c r="E621">
        <v>1819.4399999999998</v>
      </c>
      <c r="F621">
        <v>1482.35</v>
      </c>
      <c r="G621">
        <v>166.64000000000001</v>
      </c>
      <c r="H621">
        <v>125.44</v>
      </c>
      <c r="I621">
        <v>0</v>
      </c>
      <c r="P621">
        <v>906.88</v>
      </c>
      <c r="Q621">
        <v>1819.4399999999998</v>
      </c>
      <c r="R621">
        <v>1482.35</v>
      </c>
      <c r="S621">
        <v>166.64000000000001</v>
      </c>
      <c r="T621">
        <v>125.44</v>
      </c>
      <c r="U621">
        <v>-321.82</v>
      </c>
      <c r="AB621" s="164">
        <v>40817</v>
      </c>
      <c r="AC621" s="164">
        <v>42155</v>
      </c>
      <c r="AD621" s="164">
        <v>42217</v>
      </c>
      <c r="AE621" s="34">
        <f>SUMPRODUCT(DB_STProjectsSOF[[#This Row],[Plan01]:[Plan12]],$D$4:$O$4)/valUnits2</f>
        <v>4.50075</v>
      </c>
      <c r="AF621" s="34">
        <f>SUMPRODUCT(DB_STProjectsSOF[[#This Row],[Act01]:[Act12]],$P$4:$AA$4)/valUnits2</f>
        <v>4.1789300000000003</v>
      </c>
      <c r="AG621" s="34">
        <f>DB_STProjectsSOF[[#This Row],[Actual]]-DB_STProjectsSOF[[#This Row],[Plan]]</f>
        <v>-0.32181999999999977</v>
      </c>
      <c r="AH621" s="34">
        <f>IF(DB_STProjectsSOF[[#This Row],[Plan]]&lt;&gt;0,DB_STProjectsSOF[[#This Row],[Actual]]/DB_STProjectsSOF[[#This Row],[Plan]],1.000011000011)</f>
        <v>0.92849636171749161</v>
      </c>
      <c r="AI621" s="34">
        <f>SUM(DB_STProjectsSOF[[#This Row],[Plan01]:[Plan12]])/valUnits2</f>
        <v>4.50075</v>
      </c>
      <c r="AJ621" s="34">
        <f>SUMPRODUCT(DB_STProjectsSOF[[#This Row],[Act01]:[Act12]],$P$3:$AA$3)/valUnits2</f>
        <v>4.1789300000000003</v>
      </c>
      <c r="AK621" s="34">
        <f>IF(DB_STProjectsSOF[[#This Row],[FY Plan]]&lt;&gt;0,DB_STProjectsSOF[[#This Row],[FY Actuals]]/DB_STProjectsSOF[[#This Row],[FY Plan]],1.000011000011)</f>
        <v>0.92849636171749161</v>
      </c>
    </row>
    <row r="622" spans="1:37" hidden="1" x14ac:dyDescent="0.2">
      <c r="A622">
        <f>SUBTOTAL(3,$B$6:B622)</f>
        <v>0</v>
      </c>
      <c r="B622" t="s">
        <v>974</v>
      </c>
      <c r="C622" t="s">
        <v>911</v>
      </c>
      <c r="D622">
        <v>186.72399999999999</v>
      </c>
      <c r="E622">
        <v>1891.0430000000001</v>
      </c>
      <c r="F622">
        <v>2075.7509999999997</v>
      </c>
      <c r="G622">
        <v>2139.8609999999999</v>
      </c>
      <c r="H622">
        <v>2092.701</v>
      </c>
      <c r="I622">
        <v>775.13099999999997</v>
      </c>
      <c r="J622">
        <v>775.13099999999997</v>
      </c>
      <c r="K622">
        <v>775.13099999999997</v>
      </c>
      <c r="L622">
        <v>775.13099999999997</v>
      </c>
      <c r="M622">
        <v>775.13099999999997</v>
      </c>
      <c r="P622">
        <v>0</v>
      </c>
      <c r="Q622">
        <v>1593.38</v>
      </c>
      <c r="R622">
        <v>1300.6199999999999</v>
      </c>
      <c r="S622">
        <v>1364.73</v>
      </c>
      <c r="T622">
        <v>1317.57</v>
      </c>
      <c r="U622">
        <v>1348.2</v>
      </c>
      <c r="V622">
        <v>0</v>
      </c>
      <c r="W622">
        <v>0</v>
      </c>
      <c r="X622">
        <v>0</v>
      </c>
      <c r="Y622">
        <v>0</v>
      </c>
      <c r="AB622" s="164">
        <v>40817</v>
      </c>
      <c r="AC622" s="164">
        <v>41578</v>
      </c>
      <c r="AD622" s="164">
        <v>41639</v>
      </c>
      <c r="AE622" s="34">
        <f>SUMPRODUCT(DB_STProjectsSOF[[#This Row],[Plan01]:[Plan12]],$D$4:$O$4)/valUnits2</f>
        <v>9.1612109999999998</v>
      </c>
      <c r="AF622" s="34">
        <f>SUMPRODUCT(DB_STProjectsSOF[[#This Row],[Act01]:[Act12]],$P$4:$AA$4)/valUnits2</f>
        <v>6.9244999999999992</v>
      </c>
      <c r="AG622" s="34">
        <f>DB_STProjectsSOF[[#This Row],[Actual]]-DB_STProjectsSOF[[#This Row],[Plan]]</f>
        <v>-2.2367110000000006</v>
      </c>
      <c r="AH622" s="34">
        <f>IF(DB_STProjectsSOF[[#This Row],[Plan]]&lt;&gt;0,DB_STProjectsSOF[[#This Row],[Actual]]/DB_STProjectsSOF[[#This Row],[Plan]],1.000011000011)</f>
        <v>0.75584985434785856</v>
      </c>
      <c r="AI622" s="34">
        <f>SUM(DB_STProjectsSOF[[#This Row],[Plan01]:[Plan12]])/valUnits2</f>
        <v>12.261734999999996</v>
      </c>
      <c r="AJ622" s="34">
        <f>SUMPRODUCT(DB_STProjectsSOF[[#This Row],[Act01]:[Act12]],$P$3:$AA$3)/valUnits2</f>
        <v>6.9244999999999992</v>
      </c>
      <c r="AK622" s="34">
        <f>IF(DB_STProjectsSOF[[#This Row],[FY Plan]]&lt;&gt;0,DB_STProjectsSOF[[#This Row],[FY Actuals]]/DB_STProjectsSOF[[#This Row],[FY Plan]],1.000011000011)</f>
        <v>0.56472432327072808</v>
      </c>
    </row>
    <row r="623" spans="1:37" hidden="1" x14ac:dyDescent="0.2">
      <c r="A623">
        <f>SUBTOTAL(3,$B$6:B623)</f>
        <v>0</v>
      </c>
      <c r="B623" t="s">
        <v>974</v>
      </c>
      <c r="C623" t="s">
        <v>915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575.25400000000002</v>
      </c>
      <c r="J623">
        <v>575.25400000000002</v>
      </c>
      <c r="K623">
        <v>575.25400000000002</v>
      </c>
      <c r="L623">
        <v>575.25400000000002</v>
      </c>
      <c r="M623">
        <v>575.25400000000002</v>
      </c>
      <c r="N623">
        <v>575.25400000000002</v>
      </c>
      <c r="O623">
        <v>575.25400000000002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s="164">
        <v>41061</v>
      </c>
      <c r="AC623" s="164">
        <v>42155</v>
      </c>
      <c r="AD623" s="164">
        <v>42185</v>
      </c>
      <c r="AE623" s="34">
        <f>SUMPRODUCT(DB_STProjectsSOF[[#This Row],[Plan01]:[Plan12]],$D$4:$O$4)/valUnits2</f>
        <v>0.57525400000000004</v>
      </c>
      <c r="AF623" s="34">
        <f>SUMPRODUCT(DB_STProjectsSOF[[#This Row],[Act01]:[Act12]],$P$4:$AA$4)/valUnits2</f>
        <v>0</v>
      </c>
      <c r="AG623" s="34">
        <f>DB_STProjectsSOF[[#This Row],[Actual]]-DB_STProjectsSOF[[#This Row],[Plan]]</f>
        <v>-0.57525400000000004</v>
      </c>
      <c r="AH623" s="34">
        <f>IF(DB_STProjectsSOF[[#This Row],[Plan]]&lt;&gt;0,DB_STProjectsSOF[[#This Row],[Actual]]/DB_STProjectsSOF[[#This Row],[Plan]],1.000011000011)</f>
        <v>0</v>
      </c>
      <c r="AI623" s="34">
        <f>SUM(DB_STProjectsSOF[[#This Row],[Plan01]:[Plan12]])/valUnits2</f>
        <v>4.0267780000000002</v>
      </c>
      <c r="AJ623" s="34">
        <f>SUMPRODUCT(DB_STProjectsSOF[[#This Row],[Act01]:[Act12]],$P$3:$AA$3)/valUnits2</f>
        <v>0</v>
      </c>
      <c r="AK623" s="34">
        <f>IF(DB_STProjectsSOF[[#This Row],[FY Plan]]&lt;&gt;0,DB_STProjectsSOF[[#This Row],[FY Actuals]]/DB_STProjectsSOF[[#This Row],[FY Plan]],1.000011000011)</f>
        <v>0</v>
      </c>
    </row>
    <row r="624" spans="1:37" hidden="1" x14ac:dyDescent="0.2">
      <c r="A624">
        <f>SUBTOTAL(3,$B$6:B624)</f>
        <v>0</v>
      </c>
      <c r="B624" t="s">
        <v>974</v>
      </c>
      <c r="C624" t="s">
        <v>917</v>
      </c>
      <c r="I624">
        <v>0</v>
      </c>
      <c r="U624">
        <v>462.84</v>
      </c>
      <c r="AB624" s="164">
        <v>40817</v>
      </c>
      <c r="AC624" s="164">
        <v>42155</v>
      </c>
      <c r="AD624" s="164">
        <v>42246</v>
      </c>
      <c r="AE624" s="34">
        <f>SUMPRODUCT(DB_STProjectsSOF[[#This Row],[Plan01]:[Plan12]],$D$4:$O$4)/valUnits2</f>
        <v>0</v>
      </c>
      <c r="AF624" s="34">
        <f>SUMPRODUCT(DB_STProjectsSOF[[#This Row],[Act01]:[Act12]],$P$4:$AA$4)/valUnits2</f>
        <v>0.46283999999999997</v>
      </c>
      <c r="AG624" s="34">
        <f>DB_STProjectsSOF[[#This Row],[Actual]]-DB_STProjectsSOF[[#This Row],[Plan]]</f>
        <v>0.46283999999999997</v>
      </c>
      <c r="AH624" s="34">
        <f>IF(DB_STProjectsSOF[[#This Row],[Plan]]&lt;&gt;0,DB_STProjectsSOF[[#This Row],[Actual]]/DB_STProjectsSOF[[#This Row],[Plan]],1.000011000011)</f>
        <v>1.0000110000110001</v>
      </c>
      <c r="AI624" s="34">
        <f>SUM(DB_STProjectsSOF[[#This Row],[Plan01]:[Plan12]])/valUnits2</f>
        <v>0</v>
      </c>
      <c r="AJ624" s="34">
        <f>SUMPRODUCT(DB_STProjectsSOF[[#This Row],[Act01]:[Act12]],$P$3:$AA$3)/valUnits2</f>
        <v>0.46283999999999997</v>
      </c>
      <c r="AK624" s="34">
        <f>IF(DB_STProjectsSOF[[#This Row],[FY Plan]]&lt;&gt;0,DB_STProjectsSOF[[#This Row],[FY Actuals]]/DB_STProjectsSOF[[#This Row],[FY Plan]],1.000011000011)</f>
        <v>1.0000110000110001</v>
      </c>
    </row>
    <row r="625" spans="1:37" hidden="1" x14ac:dyDescent="0.2">
      <c r="A625">
        <f>SUBTOTAL(3,$B$6:B625)</f>
        <v>0</v>
      </c>
      <c r="B625" t="s">
        <v>974</v>
      </c>
      <c r="C625" t="s">
        <v>356</v>
      </c>
      <c r="E625">
        <v>22.425999999999998</v>
      </c>
      <c r="Q625">
        <v>22.52</v>
      </c>
      <c r="AB625" s="164">
        <v>41091</v>
      </c>
      <c r="AC625" s="164">
        <v>41455</v>
      </c>
      <c r="AD625" s="164">
        <v>41547</v>
      </c>
      <c r="AE625" s="34">
        <f>SUMPRODUCT(DB_STProjectsSOF[[#This Row],[Plan01]:[Plan12]],$D$4:$O$4)/valUnits2</f>
        <v>2.2425999999999998E-2</v>
      </c>
      <c r="AF625" s="34">
        <f>SUMPRODUCT(DB_STProjectsSOF[[#This Row],[Act01]:[Act12]],$P$4:$AA$4)/valUnits2</f>
        <v>2.2519999999999998E-2</v>
      </c>
      <c r="AG625" s="34">
        <f>DB_STProjectsSOF[[#This Row],[Actual]]-DB_STProjectsSOF[[#This Row],[Plan]]</f>
        <v>9.4000000000000333E-5</v>
      </c>
      <c r="AH625" s="34">
        <f>IF(DB_STProjectsSOF[[#This Row],[Plan]]&lt;&gt;0,DB_STProjectsSOF[[#This Row],[Actual]]/DB_STProjectsSOF[[#This Row],[Plan]],1.000011000011)</f>
        <v>1.0041915633639527</v>
      </c>
      <c r="AI625" s="34">
        <f>SUM(DB_STProjectsSOF[[#This Row],[Plan01]:[Plan12]])/valUnits2</f>
        <v>2.2425999999999998E-2</v>
      </c>
      <c r="AJ625" s="34">
        <f>SUMPRODUCT(DB_STProjectsSOF[[#This Row],[Act01]:[Act12]],$P$3:$AA$3)/valUnits2</f>
        <v>2.2519999999999998E-2</v>
      </c>
      <c r="AK625" s="34">
        <f>IF(DB_STProjectsSOF[[#This Row],[FY Plan]]&lt;&gt;0,DB_STProjectsSOF[[#This Row],[FY Actuals]]/DB_STProjectsSOF[[#This Row],[FY Plan]],1.000011000011)</f>
        <v>1.0041915633639527</v>
      </c>
    </row>
    <row r="626" spans="1:37" hidden="1" x14ac:dyDescent="0.2">
      <c r="A626">
        <f>SUBTOTAL(3,$B$6:B626)</f>
        <v>0</v>
      </c>
      <c r="B626" t="s">
        <v>974</v>
      </c>
      <c r="C626" t="s">
        <v>919</v>
      </c>
      <c r="D626">
        <v>0</v>
      </c>
      <c r="E626">
        <v>807.78099999999995</v>
      </c>
      <c r="F626">
        <v>1252.502</v>
      </c>
      <c r="G626">
        <v>538.79200000000003</v>
      </c>
      <c r="H626">
        <v>731.83799999999997</v>
      </c>
      <c r="I626">
        <v>1275.838</v>
      </c>
      <c r="J626">
        <v>1275.838</v>
      </c>
      <c r="K626">
        <v>1275.838</v>
      </c>
      <c r="L626">
        <v>1275.838</v>
      </c>
      <c r="M626">
        <v>1275.838</v>
      </c>
      <c r="N626">
        <v>1275.838</v>
      </c>
      <c r="O626">
        <v>1275.838</v>
      </c>
      <c r="P626">
        <v>0</v>
      </c>
      <c r="Q626">
        <v>824.72</v>
      </c>
      <c r="R626">
        <v>1263.8400000000001</v>
      </c>
      <c r="S626">
        <v>535.72</v>
      </c>
      <c r="T626">
        <v>729.76</v>
      </c>
      <c r="U626">
        <v>613.68000000000006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s="164">
        <v>40878</v>
      </c>
      <c r="AC626" s="164">
        <v>42794</v>
      </c>
      <c r="AD626" s="164">
        <v>42978</v>
      </c>
      <c r="AE626" s="34">
        <f>SUMPRODUCT(DB_STProjectsSOF[[#This Row],[Plan01]:[Plan12]],$D$4:$O$4)/valUnits2</f>
        <v>4.6067509999999992</v>
      </c>
      <c r="AF626" s="34">
        <f>SUMPRODUCT(DB_STProjectsSOF[[#This Row],[Act01]:[Act12]],$P$4:$AA$4)/valUnits2</f>
        <v>3.9677200000000012</v>
      </c>
      <c r="AG626" s="34">
        <f>DB_STProjectsSOF[[#This Row],[Actual]]-DB_STProjectsSOF[[#This Row],[Plan]]</f>
        <v>-0.63903099999999791</v>
      </c>
      <c r="AH626" s="34">
        <f>IF(DB_STProjectsSOF[[#This Row],[Plan]]&lt;&gt;0,DB_STProjectsSOF[[#This Row],[Actual]]/DB_STProjectsSOF[[#This Row],[Plan]],1.000011000011)</f>
        <v>0.86128379849486159</v>
      </c>
      <c r="AI626" s="34">
        <f>SUM(DB_STProjectsSOF[[#This Row],[Plan01]:[Plan12]])/valUnits2</f>
        <v>12.261778999999999</v>
      </c>
      <c r="AJ626" s="34">
        <f>SUMPRODUCT(DB_STProjectsSOF[[#This Row],[Act01]:[Act12]],$P$3:$AA$3)/valUnits2</f>
        <v>3.9677200000000012</v>
      </c>
      <c r="AK626" s="34">
        <f>IF(DB_STProjectsSOF[[#This Row],[FY Plan]]&lt;&gt;0,DB_STProjectsSOF[[#This Row],[FY Actuals]]/DB_STProjectsSOF[[#This Row],[FY Plan]],1.000011000011)</f>
        <v>0.32358436732549178</v>
      </c>
    </row>
    <row r="627" spans="1:37" hidden="1" x14ac:dyDescent="0.2">
      <c r="A627">
        <f>SUBTOTAL(3,$B$6:B627)</f>
        <v>0</v>
      </c>
      <c r="B627" t="s">
        <v>974</v>
      </c>
      <c r="C627" t="s">
        <v>921</v>
      </c>
      <c r="E627">
        <v>1.0169999999999999</v>
      </c>
      <c r="F627">
        <v>1.1539999999999999</v>
      </c>
      <c r="Q627">
        <v>1.01</v>
      </c>
      <c r="R627">
        <v>1.1499999999999999</v>
      </c>
      <c r="AB627" s="164">
        <v>40909</v>
      </c>
      <c r="AC627" s="164">
        <v>41363</v>
      </c>
      <c r="AD627" s="164">
        <v>41389</v>
      </c>
      <c r="AE627" s="34">
        <f>SUMPRODUCT(DB_STProjectsSOF[[#This Row],[Plan01]:[Plan12]],$D$4:$O$4)/valUnits2</f>
        <v>2.1709999999999998E-3</v>
      </c>
      <c r="AF627" s="34">
        <f>SUMPRODUCT(DB_STProjectsSOF[[#This Row],[Act01]:[Act12]],$P$4:$AA$4)/valUnits2</f>
        <v>2.16E-3</v>
      </c>
      <c r="AG627" s="34">
        <f>DB_STProjectsSOF[[#This Row],[Actual]]-DB_STProjectsSOF[[#This Row],[Plan]]</f>
        <v>-1.0999999999999725E-5</v>
      </c>
      <c r="AH627" s="34">
        <f>IF(DB_STProjectsSOF[[#This Row],[Plan]]&lt;&gt;0,DB_STProjectsSOF[[#This Row],[Actual]]/DB_STProjectsSOF[[#This Row],[Plan]],1.000011000011)</f>
        <v>0.99493321050207295</v>
      </c>
      <c r="AI627" s="34">
        <f>SUM(DB_STProjectsSOF[[#This Row],[Plan01]:[Plan12]])/valUnits2</f>
        <v>2.1709999999999998E-3</v>
      </c>
      <c r="AJ627" s="34">
        <f>SUMPRODUCT(DB_STProjectsSOF[[#This Row],[Act01]:[Act12]],$P$3:$AA$3)/valUnits2</f>
        <v>2.16E-3</v>
      </c>
      <c r="AK627" s="34">
        <f>IF(DB_STProjectsSOF[[#This Row],[FY Plan]]&lt;&gt;0,DB_STProjectsSOF[[#This Row],[FY Actuals]]/DB_STProjectsSOF[[#This Row],[FY Plan]],1.000011000011)</f>
        <v>0.99493321050207295</v>
      </c>
    </row>
    <row r="628" spans="1:37" hidden="1" x14ac:dyDescent="0.2">
      <c r="A628">
        <f>SUBTOTAL(3,$B$6:B628)</f>
        <v>0</v>
      </c>
      <c r="B628" t="s">
        <v>974</v>
      </c>
      <c r="C628" t="s">
        <v>922</v>
      </c>
      <c r="E628">
        <v>2.448</v>
      </c>
      <c r="F628">
        <v>2.835</v>
      </c>
      <c r="H628">
        <v>2.4</v>
      </c>
      <c r="I628">
        <v>0</v>
      </c>
      <c r="Q628">
        <v>2.5299999999999998</v>
      </c>
      <c r="R628">
        <v>2.8600000000000003</v>
      </c>
      <c r="T628">
        <v>2.38</v>
      </c>
      <c r="U628">
        <v>8.56</v>
      </c>
      <c r="AB628" s="164">
        <v>41000</v>
      </c>
      <c r="AC628" s="164">
        <v>41989</v>
      </c>
      <c r="AD628" s="164">
        <v>42078</v>
      </c>
      <c r="AE628" s="34">
        <f>SUMPRODUCT(DB_STProjectsSOF[[#This Row],[Plan01]:[Plan12]],$D$4:$O$4)/valUnits2</f>
        <v>7.6829999999999997E-3</v>
      </c>
      <c r="AF628" s="34">
        <f>SUMPRODUCT(DB_STProjectsSOF[[#This Row],[Act01]:[Act12]],$P$4:$AA$4)/valUnits2</f>
        <v>1.6330000000000001E-2</v>
      </c>
      <c r="AG628" s="34">
        <f>DB_STProjectsSOF[[#This Row],[Actual]]-DB_STProjectsSOF[[#This Row],[Plan]]</f>
        <v>8.6470000000000019E-3</v>
      </c>
      <c r="AH628" s="34">
        <f>IF(DB_STProjectsSOF[[#This Row],[Plan]]&lt;&gt;0,DB_STProjectsSOF[[#This Row],[Actual]]/DB_STProjectsSOF[[#This Row],[Plan]],1.000011000011)</f>
        <v>2.125471820903293</v>
      </c>
      <c r="AI628" s="34">
        <f>SUM(DB_STProjectsSOF[[#This Row],[Plan01]:[Plan12]])/valUnits2</f>
        <v>7.6829999999999997E-3</v>
      </c>
      <c r="AJ628" s="34">
        <f>SUMPRODUCT(DB_STProjectsSOF[[#This Row],[Act01]:[Act12]],$P$3:$AA$3)/valUnits2</f>
        <v>1.6330000000000001E-2</v>
      </c>
      <c r="AK628" s="34">
        <f>IF(DB_STProjectsSOF[[#This Row],[FY Plan]]&lt;&gt;0,DB_STProjectsSOF[[#This Row],[FY Actuals]]/DB_STProjectsSOF[[#This Row],[FY Plan]],1.000011000011)</f>
        <v>2.125471820903293</v>
      </c>
    </row>
    <row r="629" spans="1:37" hidden="1" x14ac:dyDescent="0.2">
      <c r="A629">
        <f>SUBTOTAL(3,$B$6:B629)</f>
        <v>0</v>
      </c>
      <c r="B629" t="s">
        <v>974</v>
      </c>
      <c r="C629" t="s">
        <v>927</v>
      </c>
      <c r="D629">
        <v>0</v>
      </c>
      <c r="E629">
        <v>2484.96</v>
      </c>
      <c r="F629">
        <v>3791.55</v>
      </c>
      <c r="G629">
        <v>2410.69</v>
      </c>
      <c r="H629">
        <v>3283.81</v>
      </c>
      <c r="I629">
        <v>3474</v>
      </c>
      <c r="J629">
        <v>3474</v>
      </c>
      <c r="K629">
        <v>3474</v>
      </c>
      <c r="L629">
        <v>3474</v>
      </c>
      <c r="M629">
        <v>3474</v>
      </c>
      <c r="N629">
        <v>3474</v>
      </c>
      <c r="O629">
        <v>3474</v>
      </c>
      <c r="P629">
        <v>0</v>
      </c>
      <c r="Q629">
        <v>2484.9600000000005</v>
      </c>
      <c r="R629">
        <v>3816.0399999999995</v>
      </c>
      <c r="S629">
        <v>2410.69</v>
      </c>
      <c r="T629">
        <v>3283.81</v>
      </c>
      <c r="U629">
        <v>2761.48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s="164">
        <v>40817</v>
      </c>
      <c r="AC629" s="164">
        <v>42052</v>
      </c>
      <c r="AD629" s="164">
        <v>42141</v>
      </c>
      <c r="AE629" s="34">
        <f>SUMPRODUCT(DB_STProjectsSOF[[#This Row],[Plan01]:[Plan12]],$D$4:$O$4)/valUnits2</f>
        <v>15.44501</v>
      </c>
      <c r="AF629" s="34">
        <f>SUMPRODUCT(DB_STProjectsSOF[[#This Row],[Act01]:[Act12]],$P$4:$AA$4)/valUnits2</f>
        <v>14.75698</v>
      </c>
      <c r="AG629" s="34">
        <f>DB_STProjectsSOF[[#This Row],[Actual]]-DB_STProjectsSOF[[#This Row],[Plan]]</f>
        <v>-0.68802999999999948</v>
      </c>
      <c r="AH629" s="34">
        <f>IF(DB_STProjectsSOF[[#This Row],[Plan]]&lt;&gt;0,DB_STProjectsSOF[[#This Row],[Actual]]/DB_STProjectsSOF[[#This Row],[Plan]],1.000011000011)</f>
        <v>0.95545292622018374</v>
      </c>
      <c r="AI629" s="34">
        <f>SUM(DB_STProjectsSOF[[#This Row],[Plan01]:[Plan12]])/valUnits2</f>
        <v>36.289010000000005</v>
      </c>
      <c r="AJ629" s="34">
        <f>SUMPRODUCT(DB_STProjectsSOF[[#This Row],[Act01]:[Act12]],$P$3:$AA$3)/valUnits2</f>
        <v>14.75698</v>
      </c>
      <c r="AK629" s="34">
        <f>IF(DB_STProjectsSOF[[#This Row],[FY Plan]]&lt;&gt;0,DB_STProjectsSOF[[#This Row],[FY Actuals]]/DB_STProjectsSOF[[#This Row],[FY Plan]],1.000011000011)</f>
        <v>0.40665149035479331</v>
      </c>
    </row>
    <row r="630" spans="1:37" hidden="1" x14ac:dyDescent="0.2">
      <c r="A630">
        <f>SUBTOTAL(3,$B$6:B630)</f>
        <v>0</v>
      </c>
      <c r="B630" t="s">
        <v>974</v>
      </c>
      <c r="C630" t="s">
        <v>929</v>
      </c>
      <c r="E630">
        <v>113.663</v>
      </c>
      <c r="F630">
        <v>57.43</v>
      </c>
      <c r="G630">
        <v>117.279</v>
      </c>
      <c r="H630">
        <v>62.041000000000004</v>
      </c>
      <c r="I630">
        <v>0</v>
      </c>
      <c r="Q630">
        <v>115.9</v>
      </c>
      <c r="R630">
        <v>57.95</v>
      </c>
      <c r="S630">
        <v>116.07</v>
      </c>
      <c r="T630">
        <v>61.309999999999995</v>
      </c>
      <c r="U630">
        <v>41.99</v>
      </c>
      <c r="AB630" s="164">
        <v>41214</v>
      </c>
      <c r="AC630" s="164">
        <v>41379</v>
      </c>
      <c r="AD630" s="164">
        <v>41409</v>
      </c>
      <c r="AE630" s="34">
        <f>SUMPRODUCT(DB_STProjectsSOF[[#This Row],[Plan01]:[Plan12]],$D$4:$O$4)/valUnits2</f>
        <v>0.35041299999999997</v>
      </c>
      <c r="AF630" s="34">
        <f>SUMPRODUCT(DB_STProjectsSOF[[#This Row],[Act01]:[Act12]],$P$4:$AA$4)/valUnits2</f>
        <v>0.39322000000000001</v>
      </c>
      <c r="AG630" s="34">
        <f>DB_STProjectsSOF[[#This Row],[Actual]]-DB_STProjectsSOF[[#This Row],[Plan]]</f>
        <v>4.2807000000000039E-2</v>
      </c>
      <c r="AH630" s="34">
        <f>IF(DB_STProjectsSOF[[#This Row],[Plan]]&lt;&gt;0,DB_STProjectsSOF[[#This Row],[Actual]]/DB_STProjectsSOF[[#This Row],[Plan]],1.000011000011)</f>
        <v>1.1221615636406186</v>
      </c>
      <c r="AI630" s="34">
        <f>SUM(DB_STProjectsSOF[[#This Row],[Plan01]:[Plan12]])/valUnits2</f>
        <v>0.35041299999999997</v>
      </c>
      <c r="AJ630" s="34">
        <f>SUMPRODUCT(DB_STProjectsSOF[[#This Row],[Act01]:[Act12]],$P$3:$AA$3)/valUnits2</f>
        <v>0.39322000000000001</v>
      </c>
      <c r="AK630" s="34">
        <f>IF(DB_STProjectsSOF[[#This Row],[FY Plan]]&lt;&gt;0,DB_STProjectsSOF[[#This Row],[FY Actuals]]/DB_STProjectsSOF[[#This Row],[FY Plan]],1.000011000011)</f>
        <v>1.1221615636406186</v>
      </c>
    </row>
    <row r="631" spans="1:37" hidden="1" x14ac:dyDescent="0.2">
      <c r="A631">
        <f>SUBTOTAL(3,$B$6:B631)</f>
        <v>0</v>
      </c>
      <c r="B631" t="s">
        <v>974</v>
      </c>
      <c r="C631" t="s">
        <v>930</v>
      </c>
      <c r="E631">
        <v>371.23</v>
      </c>
      <c r="F631">
        <v>509.96000000000004</v>
      </c>
      <c r="G631">
        <v>267.85000000000002</v>
      </c>
      <c r="H631">
        <v>369.64</v>
      </c>
      <c r="I631">
        <v>0</v>
      </c>
      <c r="Q631">
        <v>371.23</v>
      </c>
      <c r="R631">
        <v>509.96000000000004</v>
      </c>
      <c r="S631">
        <v>267.84999999999997</v>
      </c>
      <c r="T631">
        <v>369.64000000000004</v>
      </c>
      <c r="U631">
        <v>328.21000000000004</v>
      </c>
      <c r="AB631" s="164">
        <v>40848</v>
      </c>
      <c r="AC631" s="164">
        <v>41729</v>
      </c>
      <c r="AD631" s="164">
        <v>41654</v>
      </c>
      <c r="AE631" s="34">
        <f>SUMPRODUCT(DB_STProjectsSOF[[#This Row],[Plan01]:[Plan12]],$D$4:$O$4)/valUnits2</f>
        <v>1.5186799999999998</v>
      </c>
      <c r="AF631" s="34">
        <f>SUMPRODUCT(DB_STProjectsSOF[[#This Row],[Act01]:[Act12]],$P$4:$AA$4)/valUnits2</f>
        <v>1.8468900000000001</v>
      </c>
      <c r="AG631" s="34">
        <f>DB_STProjectsSOF[[#This Row],[Actual]]-DB_STProjectsSOF[[#This Row],[Plan]]</f>
        <v>0.32821000000000033</v>
      </c>
      <c r="AH631" s="34">
        <f>IF(DB_STProjectsSOF[[#This Row],[Plan]]&lt;&gt;0,DB_STProjectsSOF[[#This Row],[Actual]]/DB_STProjectsSOF[[#This Row],[Plan]],1.000011000011)</f>
        <v>1.2161153106645246</v>
      </c>
      <c r="AI631" s="34">
        <f>SUM(DB_STProjectsSOF[[#This Row],[Plan01]:[Plan12]])/valUnits2</f>
        <v>1.5186799999999998</v>
      </c>
      <c r="AJ631" s="34">
        <f>SUMPRODUCT(DB_STProjectsSOF[[#This Row],[Act01]:[Act12]],$P$3:$AA$3)/valUnits2</f>
        <v>1.8468900000000001</v>
      </c>
      <c r="AK631" s="34">
        <f>IF(DB_STProjectsSOF[[#This Row],[FY Plan]]&lt;&gt;0,DB_STProjectsSOF[[#This Row],[FY Actuals]]/DB_STProjectsSOF[[#This Row],[FY Plan]],1.000011000011)</f>
        <v>1.2161153106645246</v>
      </c>
    </row>
    <row r="632" spans="1:37" hidden="1" x14ac:dyDescent="0.2">
      <c r="A632">
        <f>SUBTOTAL(3,$B$6:B632)</f>
        <v>0</v>
      </c>
      <c r="B632" t="s">
        <v>974</v>
      </c>
      <c r="C632" t="s">
        <v>933</v>
      </c>
      <c r="H632">
        <v>706.89</v>
      </c>
      <c r="T632">
        <v>706.89</v>
      </c>
      <c r="AB632" s="164">
        <v>40817</v>
      </c>
      <c r="AC632" s="164">
        <v>42155</v>
      </c>
      <c r="AD632" s="164">
        <v>42217</v>
      </c>
      <c r="AE632" s="34">
        <f>SUMPRODUCT(DB_STProjectsSOF[[#This Row],[Plan01]:[Plan12]],$D$4:$O$4)/valUnits2</f>
        <v>0.70689000000000002</v>
      </c>
      <c r="AF632" s="34">
        <f>SUMPRODUCT(DB_STProjectsSOF[[#This Row],[Act01]:[Act12]],$P$4:$AA$4)/valUnits2</f>
        <v>0.70689000000000002</v>
      </c>
      <c r="AG632" s="34">
        <f>DB_STProjectsSOF[[#This Row],[Actual]]-DB_STProjectsSOF[[#This Row],[Plan]]</f>
        <v>0</v>
      </c>
      <c r="AH632" s="34">
        <f>IF(DB_STProjectsSOF[[#This Row],[Plan]]&lt;&gt;0,DB_STProjectsSOF[[#This Row],[Actual]]/DB_STProjectsSOF[[#This Row],[Plan]],1.000011000011)</f>
        <v>1</v>
      </c>
      <c r="AI632" s="34">
        <f>SUM(DB_STProjectsSOF[[#This Row],[Plan01]:[Plan12]])/valUnits2</f>
        <v>0.70689000000000002</v>
      </c>
      <c r="AJ632" s="34">
        <f>SUMPRODUCT(DB_STProjectsSOF[[#This Row],[Act01]:[Act12]],$P$3:$AA$3)/valUnits2</f>
        <v>0.70689000000000002</v>
      </c>
      <c r="AK632" s="34">
        <f>IF(DB_STProjectsSOF[[#This Row],[FY Plan]]&lt;&gt;0,DB_STProjectsSOF[[#This Row],[FY Actuals]]/DB_STProjectsSOF[[#This Row],[FY Plan]],1.000011000011)</f>
        <v>1</v>
      </c>
    </row>
    <row r="633" spans="1:37" hidden="1" x14ac:dyDescent="0.2">
      <c r="A633">
        <f>SUBTOTAL(3,$B$6:B633)</f>
        <v>0</v>
      </c>
      <c r="B633" t="s">
        <v>974</v>
      </c>
      <c r="C633" t="s">
        <v>935</v>
      </c>
      <c r="D633">
        <v>0</v>
      </c>
      <c r="E633">
        <v>397.07</v>
      </c>
      <c r="F633">
        <v>183.23400000000001</v>
      </c>
      <c r="G633">
        <v>372.88799999999998</v>
      </c>
      <c r="H633">
        <v>193.87599999999998</v>
      </c>
      <c r="I633">
        <v>316.44100000000003</v>
      </c>
      <c r="J633">
        <v>316.44100000000003</v>
      </c>
      <c r="K633">
        <v>316.44100000000003</v>
      </c>
      <c r="L633">
        <v>316.44100000000003</v>
      </c>
      <c r="M633">
        <v>316.44100000000003</v>
      </c>
      <c r="N633">
        <v>316.44100000000003</v>
      </c>
      <c r="O633">
        <v>316.44100000000003</v>
      </c>
      <c r="P633">
        <v>0</v>
      </c>
      <c r="Q633">
        <v>409.45000000000005</v>
      </c>
      <c r="R633">
        <v>182.21</v>
      </c>
      <c r="S633">
        <v>366.51</v>
      </c>
      <c r="T633">
        <v>193.57</v>
      </c>
      <c r="U633">
        <v>353.98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s="164">
        <v>41000</v>
      </c>
      <c r="AC633" s="164">
        <v>42094</v>
      </c>
      <c r="AD633" s="164">
        <v>42124</v>
      </c>
      <c r="AE633" s="34">
        <f>SUMPRODUCT(DB_STProjectsSOF[[#This Row],[Plan01]:[Plan12]],$D$4:$O$4)/valUnits2</f>
        <v>1.4635089999999999</v>
      </c>
      <c r="AF633" s="34">
        <f>SUMPRODUCT(DB_STProjectsSOF[[#This Row],[Act01]:[Act12]],$P$4:$AA$4)/valUnits2</f>
        <v>1.5057199999999999</v>
      </c>
      <c r="AG633" s="34">
        <f>DB_STProjectsSOF[[#This Row],[Actual]]-DB_STProjectsSOF[[#This Row],[Plan]]</f>
        <v>4.2210999999999999E-2</v>
      </c>
      <c r="AH633" s="34">
        <f>IF(DB_STProjectsSOF[[#This Row],[Plan]]&lt;&gt;0,DB_STProjectsSOF[[#This Row],[Actual]]/DB_STProjectsSOF[[#This Row],[Plan]],1.000011000011)</f>
        <v>1.0288423234841739</v>
      </c>
      <c r="AI633" s="34">
        <f>SUM(DB_STProjectsSOF[[#This Row],[Plan01]:[Plan12]])/valUnits2</f>
        <v>3.3621549999999996</v>
      </c>
      <c r="AJ633" s="34">
        <f>SUMPRODUCT(DB_STProjectsSOF[[#This Row],[Act01]:[Act12]],$P$3:$AA$3)/valUnits2</f>
        <v>1.5057199999999999</v>
      </c>
      <c r="AK633" s="34">
        <f>IF(DB_STProjectsSOF[[#This Row],[FY Plan]]&lt;&gt;0,DB_STProjectsSOF[[#This Row],[FY Actuals]]/DB_STProjectsSOF[[#This Row],[FY Plan]],1.000011000011)</f>
        <v>0.44784371928123484</v>
      </c>
    </row>
    <row r="634" spans="1:37" hidden="1" x14ac:dyDescent="0.2">
      <c r="A634">
        <f>SUBTOTAL(3,$B$6:B634)</f>
        <v>0</v>
      </c>
      <c r="B634" t="s">
        <v>995</v>
      </c>
      <c r="C634" t="s">
        <v>842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s="164">
        <v>41214</v>
      </c>
      <c r="AC634" s="164">
        <v>42308</v>
      </c>
      <c r="AD634" s="164">
        <v>42389</v>
      </c>
      <c r="AE634" s="34">
        <f>SUMPRODUCT(DB_STProjectsSOF[[#This Row],[Plan01]:[Plan12]],$D$4:$O$4)/valUnits2</f>
        <v>0</v>
      </c>
      <c r="AF634" s="34">
        <f>SUMPRODUCT(DB_STProjectsSOF[[#This Row],[Act01]:[Act12]],$P$4:$AA$4)/valUnits2</f>
        <v>0</v>
      </c>
      <c r="AG634" s="34">
        <f>DB_STProjectsSOF[[#This Row],[Actual]]-DB_STProjectsSOF[[#This Row],[Plan]]</f>
        <v>0</v>
      </c>
      <c r="AH634" s="34">
        <f>IF(DB_STProjectsSOF[[#This Row],[Plan]]&lt;&gt;0,DB_STProjectsSOF[[#This Row],[Actual]]/DB_STProjectsSOF[[#This Row],[Plan]],1.000011000011)</f>
        <v>1.0000110000110001</v>
      </c>
      <c r="AI634" s="34">
        <f>SUM(DB_STProjectsSOF[[#This Row],[Plan01]:[Plan12]])/valUnits2</f>
        <v>0</v>
      </c>
      <c r="AJ634" s="34">
        <f>SUMPRODUCT(DB_STProjectsSOF[[#This Row],[Act01]:[Act12]],$P$3:$AA$3)/valUnits2</f>
        <v>0</v>
      </c>
      <c r="AK634" s="34">
        <f>IF(DB_STProjectsSOF[[#This Row],[FY Plan]]&lt;&gt;0,DB_STProjectsSOF[[#This Row],[FY Actuals]]/DB_STProjectsSOF[[#This Row],[FY Plan]],1.000011000011)</f>
        <v>1.0000110000110001</v>
      </c>
    </row>
    <row r="635" spans="1:37" hidden="1" x14ac:dyDescent="0.2">
      <c r="A635">
        <f>SUBTOTAL(3,$B$6:B635)</f>
        <v>0</v>
      </c>
      <c r="B635" t="s">
        <v>995</v>
      </c>
      <c r="C635" t="s">
        <v>874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371.988</v>
      </c>
      <c r="J635">
        <v>371.988</v>
      </c>
      <c r="K635">
        <v>371.988</v>
      </c>
      <c r="L635">
        <v>371.988</v>
      </c>
      <c r="M635">
        <v>371.988</v>
      </c>
      <c r="N635">
        <v>371.988</v>
      </c>
      <c r="O635">
        <v>371.988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s="164">
        <v>40879</v>
      </c>
      <c r="AC635" s="164">
        <v>43071</v>
      </c>
      <c r="AD635" s="164">
        <v>43161</v>
      </c>
      <c r="AE635" s="34">
        <f>SUMPRODUCT(DB_STProjectsSOF[[#This Row],[Plan01]:[Plan12]],$D$4:$O$4)/valUnits2</f>
        <v>0.37198799999999999</v>
      </c>
      <c r="AF635" s="34">
        <f>SUMPRODUCT(DB_STProjectsSOF[[#This Row],[Act01]:[Act12]],$P$4:$AA$4)/valUnits2</f>
        <v>0</v>
      </c>
      <c r="AG635" s="34">
        <f>DB_STProjectsSOF[[#This Row],[Actual]]-DB_STProjectsSOF[[#This Row],[Plan]]</f>
        <v>-0.37198799999999999</v>
      </c>
      <c r="AH635" s="34">
        <f>IF(DB_STProjectsSOF[[#This Row],[Plan]]&lt;&gt;0,DB_STProjectsSOF[[#This Row],[Actual]]/DB_STProjectsSOF[[#This Row],[Plan]],1.000011000011)</f>
        <v>0</v>
      </c>
      <c r="AI635" s="34">
        <f>SUM(DB_STProjectsSOF[[#This Row],[Plan01]:[Plan12]])/valUnits2</f>
        <v>2.6039159999999999</v>
      </c>
      <c r="AJ635" s="34">
        <f>SUMPRODUCT(DB_STProjectsSOF[[#This Row],[Act01]:[Act12]],$P$3:$AA$3)/valUnits2</f>
        <v>0</v>
      </c>
      <c r="AK635" s="34">
        <f>IF(DB_STProjectsSOF[[#This Row],[FY Plan]]&lt;&gt;0,DB_STProjectsSOF[[#This Row],[FY Actuals]]/DB_STProjectsSOF[[#This Row],[FY Plan]],1.000011000011)</f>
        <v>0</v>
      </c>
    </row>
    <row r="636" spans="1:37" hidden="1" x14ac:dyDescent="0.2">
      <c r="A636">
        <f>SUBTOTAL(3,$B$6:B636)</f>
        <v>0</v>
      </c>
      <c r="B636" t="s">
        <v>995</v>
      </c>
      <c r="C636" t="s">
        <v>909</v>
      </c>
      <c r="F636">
        <v>0</v>
      </c>
      <c r="G636">
        <v>0</v>
      </c>
      <c r="H636">
        <v>0</v>
      </c>
      <c r="I636">
        <v>250</v>
      </c>
      <c r="J636">
        <v>250</v>
      </c>
      <c r="K636">
        <v>250</v>
      </c>
      <c r="L636">
        <v>250</v>
      </c>
      <c r="M636">
        <v>250</v>
      </c>
      <c r="N636">
        <v>250</v>
      </c>
      <c r="O636">
        <v>250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s="164">
        <v>40817</v>
      </c>
      <c r="AC636" s="164">
        <v>42155</v>
      </c>
      <c r="AD636" s="164">
        <v>42217</v>
      </c>
      <c r="AE636" s="34">
        <f>SUMPRODUCT(DB_STProjectsSOF[[#This Row],[Plan01]:[Plan12]],$D$4:$O$4)/valUnits2</f>
        <v>0.25</v>
      </c>
      <c r="AF636" s="34">
        <f>SUMPRODUCT(DB_STProjectsSOF[[#This Row],[Act01]:[Act12]],$P$4:$AA$4)/valUnits2</f>
        <v>0</v>
      </c>
      <c r="AG636" s="34">
        <f>DB_STProjectsSOF[[#This Row],[Actual]]-DB_STProjectsSOF[[#This Row],[Plan]]</f>
        <v>-0.25</v>
      </c>
      <c r="AH636" s="34">
        <f>IF(DB_STProjectsSOF[[#This Row],[Plan]]&lt;&gt;0,DB_STProjectsSOF[[#This Row],[Actual]]/DB_STProjectsSOF[[#This Row],[Plan]],1.000011000011)</f>
        <v>0</v>
      </c>
      <c r="AI636" s="34">
        <f>SUM(DB_STProjectsSOF[[#This Row],[Plan01]:[Plan12]])/valUnits2</f>
        <v>1.75</v>
      </c>
      <c r="AJ636" s="34">
        <f>SUMPRODUCT(DB_STProjectsSOF[[#This Row],[Act01]:[Act12]],$P$3:$AA$3)/valUnits2</f>
        <v>0</v>
      </c>
      <c r="AK636" s="34">
        <f>IF(DB_STProjectsSOF[[#This Row],[FY Plan]]&lt;&gt;0,DB_STProjectsSOF[[#This Row],[FY Actuals]]/DB_STProjectsSOF[[#This Row],[FY Plan]],1.000011000011)</f>
        <v>0</v>
      </c>
    </row>
    <row r="637" spans="1:37" hidden="1" x14ac:dyDescent="0.2">
      <c r="A637">
        <f>SUBTOTAL(3,$B$6:B637)</f>
        <v>0</v>
      </c>
      <c r="B637" t="s">
        <v>995</v>
      </c>
      <c r="C637" t="s">
        <v>919</v>
      </c>
      <c r="E637">
        <v>0</v>
      </c>
      <c r="F637">
        <v>0</v>
      </c>
      <c r="G637">
        <v>0</v>
      </c>
      <c r="H637">
        <v>0</v>
      </c>
      <c r="I637">
        <v>641.51</v>
      </c>
      <c r="J637">
        <v>641.51</v>
      </c>
      <c r="K637">
        <v>641.51</v>
      </c>
      <c r="L637">
        <v>641.5100000000001</v>
      </c>
      <c r="M637">
        <v>641.5100000000001</v>
      </c>
      <c r="N637">
        <v>641.5100000000001</v>
      </c>
      <c r="O637">
        <v>641.5100000000001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s="164">
        <v>40878</v>
      </c>
      <c r="AC637" s="164">
        <v>42794</v>
      </c>
      <c r="AD637" s="164">
        <v>42978</v>
      </c>
      <c r="AE637" s="34">
        <f>SUMPRODUCT(DB_STProjectsSOF[[#This Row],[Plan01]:[Plan12]],$D$4:$O$4)/valUnits2</f>
        <v>0.64151000000000002</v>
      </c>
      <c r="AF637" s="34">
        <f>SUMPRODUCT(DB_STProjectsSOF[[#This Row],[Act01]:[Act12]],$P$4:$AA$4)/valUnits2</f>
        <v>0</v>
      </c>
      <c r="AG637" s="34">
        <f>DB_STProjectsSOF[[#This Row],[Actual]]-DB_STProjectsSOF[[#This Row],[Plan]]</f>
        <v>-0.64151000000000002</v>
      </c>
      <c r="AH637" s="34">
        <f>IF(DB_STProjectsSOF[[#This Row],[Plan]]&lt;&gt;0,DB_STProjectsSOF[[#This Row],[Actual]]/DB_STProjectsSOF[[#This Row],[Plan]],1.000011000011)</f>
        <v>0</v>
      </c>
      <c r="AI637" s="34">
        <f>SUM(DB_STProjectsSOF[[#This Row],[Plan01]:[Plan12]])/valUnits2</f>
        <v>4.4905700000000008</v>
      </c>
      <c r="AJ637" s="34">
        <f>SUMPRODUCT(DB_STProjectsSOF[[#This Row],[Act01]:[Act12]],$P$3:$AA$3)/valUnits2</f>
        <v>0</v>
      </c>
      <c r="AK637" s="34">
        <f>IF(DB_STProjectsSOF[[#This Row],[FY Plan]]&lt;&gt;0,DB_STProjectsSOF[[#This Row],[FY Actuals]]/DB_STProjectsSOF[[#This Row],[FY Plan]],1.000011000011)</f>
        <v>0</v>
      </c>
    </row>
    <row r="638" spans="1:37" hidden="1" x14ac:dyDescent="0.2">
      <c r="A638">
        <f>SUBTOTAL(3,$B$6:B638)</f>
        <v>0</v>
      </c>
      <c r="B638" t="s">
        <v>995</v>
      </c>
      <c r="C638" t="s">
        <v>935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s="164">
        <v>41000</v>
      </c>
      <c r="AC638" s="164">
        <v>42094</v>
      </c>
      <c r="AD638" s="164">
        <v>42124</v>
      </c>
      <c r="AE638" s="34">
        <f>SUMPRODUCT(DB_STProjectsSOF[[#This Row],[Plan01]:[Plan12]],$D$4:$O$4)/valUnits2</f>
        <v>0</v>
      </c>
      <c r="AF638" s="34">
        <f>SUMPRODUCT(DB_STProjectsSOF[[#This Row],[Act01]:[Act12]],$P$4:$AA$4)/valUnits2</f>
        <v>0</v>
      </c>
      <c r="AG638" s="34">
        <f>DB_STProjectsSOF[[#This Row],[Actual]]-DB_STProjectsSOF[[#This Row],[Plan]]</f>
        <v>0</v>
      </c>
      <c r="AH638" s="34">
        <f>IF(DB_STProjectsSOF[[#This Row],[Plan]]&lt;&gt;0,DB_STProjectsSOF[[#This Row],[Actual]]/DB_STProjectsSOF[[#This Row],[Plan]],1.000011000011)</f>
        <v>1.0000110000110001</v>
      </c>
      <c r="AI638" s="34">
        <f>SUM(DB_STProjectsSOF[[#This Row],[Plan01]:[Plan12]])/valUnits2</f>
        <v>0</v>
      </c>
      <c r="AJ638" s="34">
        <f>SUMPRODUCT(DB_STProjectsSOF[[#This Row],[Act01]:[Act12]],$P$3:$AA$3)/valUnits2</f>
        <v>0</v>
      </c>
      <c r="AK638" s="34">
        <f>IF(DB_STProjectsSOF[[#This Row],[FY Plan]]&lt;&gt;0,DB_STProjectsSOF[[#This Row],[FY Actuals]]/DB_STProjectsSOF[[#This Row],[FY Plan]],1.000011000011)</f>
        <v>1.0000110000110001</v>
      </c>
    </row>
    <row r="639" spans="1:37" hidden="1" x14ac:dyDescent="0.2">
      <c r="A639">
        <f>SUBTOTAL(3,$B$6:B639)</f>
        <v>0</v>
      </c>
      <c r="B639" t="s">
        <v>968</v>
      </c>
      <c r="C639" t="s">
        <v>842</v>
      </c>
      <c r="G639">
        <v>0</v>
      </c>
      <c r="H639">
        <v>0</v>
      </c>
      <c r="I639">
        <v>5609.5990000000002</v>
      </c>
      <c r="J639">
        <v>5609.5990000000002</v>
      </c>
      <c r="K639">
        <v>5609.5990000000002</v>
      </c>
      <c r="L639">
        <v>5609.5990000000002</v>
      </c>
      <c r="M639">
        <v>5609.5990000000002</v>
      </c>
      <c r="N639">
        <v>5609.5990000000002</v>
      </c>
      <c r="O639">
        <v>5609.5989999999993</v>
      </c>
      <c r="S639">
        <v>0</v>
      </c>
      <c r="T639">
        <v>0</v>
      </c>
      <c r="U639">
        <v>1.74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s="164">
        <v>41214</v>
      </c>
      <c r="AC639" s="164">
        <v>42308</v>
      </c>
      <c r="AD639" s="164">
        <v>42389</v>
      </c>
      <c r="AE639" s="34">
        <f>SUMPRODUCT(DB_STProjectsSOF[[#This Row],[Plan01]:[Plan12]],$D$4:$O$4)/valUnits2</f>
        <v>5.6095990000000002</v>
      </c>
      <c r="AF639" s="34">
        <f>SUMPRODUCT(DB_STProjectsSOF[[#This Row],[Act01]:[Act12]],$P$4:$AA$4)/valUnits2</f>
        <v>1.74E-3</v>
      </c>
      <c r="AG639" s="34">
        <f>DB_STProjectsSOF[[#This Row],[Actual]]-DB_STProjectsSOF[[#This Row],[Plan]]</f>
        <v>-5.6078590000000004</v>
      </c>
      <c r="AH639" s="34">
        <f>IF(DB_STProjectsSOF[[#This Row],[Plan]]&lt;&gt;0,DB_STProjectsSOF[[#This Row],[Actual]]/DB_STProjectsSOF[[#This Row],[Plan]],1.000011000011)</f>
        <v>3.1018259950488437E-4</v>
      </c>
      <c r="AI639" s="34">
        <f>SUM(DB_STProjectsSOF[[#This Row],[Plan01]:[Plan12]])/valUnits2</f>
        <v>39.267193000000006</v>
      </c>
      <c r="AJ639" s="34">
        <f>SUMPRODUCT(DB_STProjectsSOF[[#This Row],[Act01]:[Act12]],$P$3:$AA$3)/valUnits2</f>
        <v>1.74E-3</v>
      </c>
      <c r="AK639" s="34">
        <f>IF(DB_STProjectsSOF[[#This Row],[FY Plan]]&lt;&gt;0,DB_STProjectsSOF[[#This Row],[FY Actuals]]/DB_STProjectsSOF[[#This Row],[FY Plan]],1.000011000011)</f>
        <v>4.431179992926919E-5</v>
      </c>
    </row>
    <row r="640" spans="1:37" hidden="1" x14ac:dyDescent="0.2">
      <c r="A640">
        <f>SUBTOTAL(3,$B$6:B640)</f>
        <v>0</v>
      </c>
      <c r="B640" t="s">
        <v>968</v>
      </c>
      <c r="C640" t="s">
        <v>843</v>
      </c>
      <c r="I640">
        <v>0</v>
      </c>
      <c r="U640">
        <v>1.92</v>
      </c>
      <c r="AB640" s="164">
        <v>41275</v>
      </c>
      <c r="AC640" s="164">
        <v>42369</v>
      </c>
      <c r="AD640" s="164">
        <v>42492</v>
      </c>
      <c r="AE640" s="34">
        <f>SUMPRODUCT(DB_STProjectsSOF[[#This Row],[Plan01]:[Plan12]],$D$4:$O$4)/valUnits2</f>
        <v>0</v>
      </c>
      <c r="AF640" s="34">
        <f>SUMPRODUCT(DB_STProjectsSOF[[#This Row],[Act01]:[Act12]],$P$4:$AA$4)/valUnits2</f>
        <v>1.9199999999999998E-3</v>
      </c>
      <c r="AG640" s="34">
        <f>DB_STProjectsSOF[[#This Row],[Actual]]-DB_STProjectsSOF[[#This Row],[Plan]]</f>
        <v>1.9199999999999998E-3</v>
      </c>
      <c r="AH640" s="34">
        <f>IF(DB_STProjectsSOF[[#This Row],[Plan]]&lt;&gt;0,DB_STProjectsSOF[[#This Row],[Actual]]/DB_STProjectsSOF[[#This Row],[Plan]],1.000011000011)</f>
        <v>1.0000110000110001</v>
      </c>
      <c r="AI640" s="34">
        <f>SUM(DB_STProjectsSOF[[#This Row],[Plan01]:[Plan12]])/valUnits2</f>
        <v>0</v>
      </c>
      <c r="AJ640" s="34">
        <f>SUMPRODUCT(DB_STProjectsSOF[[#This Row],[Act01]:[Act12]],$P$3:$AA$3)/valUnits2</f>
        <v>1.9199999999999998E-3</v>
      </c>
      <c r="AK640" s="34">
        <f>IF(DB_STProjectsSOF[[#This Row],[FY Plan]]&lt;&gt;0,DB_STProjectsSOF[[#This Row],[FY Actuals]]/DB_STProjectsSOF[[#This Row],[FY Plan]],1.000011000011)</f>
        <v>1.0000110000110001</v>
      </c>
    </row>
    <row r="641" spans="1:37" hidden="1" x14ac:dyDescent="0.2">
      <c r="A641">
        <f>SUBTOTAL(3,$B$6:B641)</f>
        <v>0</v>
      </c>
      <c r="B641" t="s">
        <v>968</v>
      </c>
      <c r="C641" t="s">
        <v>845</v>
      </c>
      <c r="H641">
        <v>222.23000000000002</v>
      </c>
      <c r="T641">
        <v>222.23</v>
      </c>
      <c r="AB641" s="164">
        <v>41275</v>
      </c>
      <c r="AC641" s="164">
        <v>41639</v>
      </c>
      <c r="AD641" s="164">
        <v>41729</v>
      </c>
      <c r="AE641" s="34">
        <f>SUMPRODUCT(DB_STProjectsSOF[[#This Row],[Plan01]:[Plan12]],$D$4:$O$4)/valUnits2</f>
        <v>0.22223000000000001</v>
      </c>
      <c r="AF641" s="34">
        <f>SUMPRODUCT(DB_STProjectsSOF[[#This Row],[Act01]:[Act12]],$P$4:$AA$4)/valUnits2</f>
        <v>0.22222999999999998</v>
      </c>
      <c r="AG641" s="34">
        <f>DB_STProjectsSOF[[#This Row],[Actual]]-DB_STProjectsSOF[[#This Row],[Plan]]</f>
        <v>0</v>
      </c>
      <c r="AH641" s="34">
        <f>IF(DB_STProjectsSOF[[#This Row],[Plan]]&lt;&gt;0,DB_STProjectsSOF[[#This Row],[Actual]]/DB_STProjectsSOF[[#This Row],[Plan]],1.000011000011)</f>
        <v>0.99999999999999989</v>
      </c>
      <c r="AI641" s="34">
        <f>SUM(DB_STProjectsSOF[[#This Row],[Plan01]:[Plan12]])/valUnits2</f>
        <v>0.22223000000000001</v>
      </c>
      <c r="AJ641" s="34">
        <f>SUMPRODUCT(DB_STProjectsSOF[[#This Row],[Act01]:[Act12]],$P$3:$AA$3)/valUnits2</f>
        <v>0.22222999999999998</v>
      </c>
      <c r="AK641" s="34">
        <f>IF(DB_STProjectsSOF[[#This Row],[FY Plan]]&lt;&gt;0,DB_STProjectsSOF[[#This Row],[FY Actuals]]/DB_STProjectsSOF[[#This Row],[FY Plan]],1.000011000011)</f>
        <v>0.99999999999999989</v>
      </c>
    </row>
    <row r="642" spans="1:37" hidden="1" x14ac:dyDescent="0.2">
      <c r="A642">
        <f>SUBTOTAL(3,$B$6:B642)</f>
        <v>0</v>
      </c>
      <c r="B642" t="s">
        <v>968</v>
      </c>
      <c r="C642" t="s">
        <v>357</v>
      </c>
      <c r="I642">
        <v>0</v>
      </c>
      <c r="U642">
        <v>0.21</v>
      </c>
      <c r="AB642" s="164">
        <v>40817</v>
      </c>
      <c r="AC642" s="164">
        <v>41455</v>
      </c>
      <c r="AD642" s="164">
        <v>41517</v>
      </c>
      <c r="AE642" s="34">
        <f>SUMPRODUCT(DB_STProjectsSOF[[#This Row],[Plan01]:[Plan12]],$D$4:$O$4)/valUnits2</f>
        <v>0</v>
      </c>
      <c r="AF642" s="34">
        <f>SUMPRODUCT(DB_STProjectsSOF[[#This Row],[Act01]:[Act12]],$P$4:$AA$4)/valUnits2</f>
        <v>2.0999999999999998E-4</v>
      </c>
      <c r="AG642" s="34">
        <f>DB_STProjectsSOF[[#This Row],[Actual]]-DB_STProjectsSOF[[#This Row],[Plan]]</f>
        <v>2.0999999999999998E-4</v>
      </c>
      <c r="AH642" s="34">
        <f>IF(DB_STProjectsSOF[[#This Row],[Plan]]&lt;&gt;0,DB_STProjectsSOF[[#This Row],[Actual]]/DB_STProjectsSOF[[#This Row],[Plan]],1.000011000011)</f>
        <v>1.0000110000110001</v>
      </c>
      <c r="AI642" s="34">
        <f>SUM(DB_STProjectsSOF[[#This Row],[Plan01]:[Plan12]])/valUnits2</f>
        <v>0</v>
      </c>
      <c r="AJ642" s="34">
        <f>SUMPRODUCT(DB_STProjectsSOF[[#This Row],[Act01]:[Act12]],$P$3:$AA$3)/valUnits2</f>
        <v>2.0999999999999998E-4</v>
      </c>
      <c r="AK642" s="34">
        <f>IF(DB_STProjectsSOF[[#This Row],[FY Plan]]&lt;&gt;0,DB_STProjectsSOF[[#This Row],[FY Actuals]]/DB_STProjectsSOF[[#This Row],[FY Plan]],1.000011000011)</f>
        <v>1.0000110000110001</v>
      </c>
    </row>
    <row r="643" spans="1:37" hidden="1" x14ac:dyDescent="0.2">
      <c r="A643">
        <f>SUBTOTAL(3,$B$6:B643)</f>
        <v>0</v>
      </c>
      <c r="B643" t="s">
        <v>968</v>
      </c>
      <c r="C643" t="s">
        <v>846</v>
      </c>
      <c r="I643">
        <v>0</v>
      </c>
      <c r="U643">
        <v>0.15</v>
      </c>
      <c r="AB643" s="164">
        <v>40817</v>
      </c>
      <c r="AC643" s="164">
        <v>41599</v>
      </c>
      <c r="AD643" s="164">
        <v>41305</v>
      </c>
      <c r="AE643" s="34">
        <f>SUMPRODUCT(DB_STProjectsSOF[[#This Row],[Plan01]:[Plan12]],$D$4:$O$4)/valUnits2</f>
        <v>0</v>
      </c>
      <c r="AF643" s="34">
        <f>SUMPRODUCT(DB_STProjectsSOF[[#This Row],[Act01]:[Act12]],$P$4:$AA$4)/valUnits2</f>
        <v>1.4999999999999999E-4</v>
      </c>
      <c r="AG643" s="34">
        <f>DB_STProjectsSOF[[#This Row],[Actual]]-DB_STProjectsSOF[[#This Row],[Plan]]</f>
        <v>1.4999999999999999E-4</v>
      </c>
      <c r="AH643" s="34">
        <f>IF(DB_STProjectsSOF[[#This Row],[Plan]]&lt;&gt;0,DB_STProjectsSOF[[#This Row],[Actual]]/DB_STProjectsSOF[[#This Row],[Plan]],1.000011000011)</f>
        <v>1.0000110000110001</v>
      </c>
      <c r="AI643" s="34">
        <f>SUM(DB_STProjectsSOF[[#This Row],[Plan01]:[Plan12]])/valUnits2</f>
        <v>0</v>
      </c>
      <c r="AJ643" s="34">
        <f>SUMPRODUCT(DB_STProjectsSOF[[#This Row],[Act01]:[Act12]],$P$3:$AA$3)/valUnits2</f>
        <v>1.4999999999999999E-4</v>
      </c>
      <c r="AK643" s="34">
        <f>IF(DB_STProjectsSOF[[#This Row],[FY Plan]]&lt;&gt;0,DB_STProjectsSOF[[#This Row],[FY Actuals]]/DB_STProjectsSOF[[#This Row],[FY Plan]],1.000011000011)</f>
        <v>1.0000110000110001</v>
      </c>
    </row>
    <row r="644" spans="1:37" hidden="1" x14ac:dyDescent="0.2">
      <c r="A644">
        <f>SUBTOTAL(3,$B$6:B644)</f>
        <v>0</v>
      </c>
      <c r="B644" t="s">
        <v>968</v>
      </c>
      <c r="C644" t="s">
        <v>847</v>
      </c>
      <c r="I644">
        <v>0</v>
      </c>
      <c r="U644">
        <v>0.6</v>
      </c>
      <c r="AB644" s="164">
        <v>41334</v>
      </c>
      <c r="AC644" s="164">
        <v>41698</v>
      </c>
      <c r="AD644" s="164">
        <v>41759</v>
      </c>
      <c r="AE644" s="34">
        <f>SUMPRODUCT(DB_STProjectsSOF[[#This Row],[Plan01]:[Plan12]],$D$4:$O$4)/valUnits2</f>
        <v>0</v>
      </c>
      <c r="AF644" s="34">
        <f>SUMPRODUCT(DB_STProjectsSOF[[#This Row],[Act01]:[Act12]],$P$4:$AA$4)/valUnits2</f>
        <v>5.9999999999999995E-4</v>
      </c>
      <c r="AG644" s="34">
        <f>DB_STProjectsSOF[[#This Row],[Actual]]-DB_STProjectsSOF[[#This Row],[Plan]]</f>
        <v>5.9999999999999995E-4</v>
      </c>
      <c r="AH644" s="34">
        <f>IF(DB_STProjectsSOF[[#This Row],[Plan]]&lt;&gt;0,DB_STProjectsSOF[[#This Row],[Actual]]/DB_STProjectsSOF[[#This Row],[Plan]],1.000011000011)</f>
        <v>1.0000110000110001</v>
      </c>
      <c r="AI644" s="34">
        <f>SUM(DB_STProjectsSOF[[#This Row],[Plan01]:[Plan12]])/valUnits2</f>
        <v>0</v>
      </c>
      <c r="AJ644" s="34">
        <f>SUMPRODUCT(DB_STProjectsSOF[[#This Row],[Act01]:[Act12]],$P$3:$AA$3)/valUnits2</f>
        <v>5.9999999999999995E-4</v>
      </c>
      <c r="AK644" s="34">
        <f>IF(DB_STProjectsSOF[[#This Row],[FY Plan]]&lt;&gt;0,DB_STProjectsSOF[[#This Row],[FY Actuals]]/DB_STProjectsSOF[[#This Row],[FY Plan]],1.000011000011)</f>
        <v>1.0000110000110001</v>
      </c>
    </row>
    <row r="645" spans="1:37" hidden="1" x14ac:dyDescent="0.2">
      <c r="A645">
        <f>SUBTOTAL(3,$B$6:B645)</f>
        <v>0</v>
      </c>
      <c r="B645" t="s">
        <v>968</v>
      </c>
      <c r="C645" t="s">
        <v>848</v>
      </c>
      <c r="G645">
        <v>93.325999999999993</v>
      </c>
      <c r="S645">
        <v>92.75</v>
      </c>
      <c r="AB645" s="164">
        <v>40817</v>
      </c>
      <c r="AC645" s="164">
        <v>41090</v>
      </c>
      <c r="AD645" s="164">
        <v>41090</v>
      </c>
      <c r="AE645" s="34">
        <f>SUMPRODUCT(DB_STProjectsSOF[[#This Row],[Plan01]:[Plan12]],$D$4:$O$4)/valUnits2</f>
        <v>9.3325999999999992E-2</v>
      </c>
      <c r="AF645" s="34">
        <f>SUMPRODUCT(DB_STProjectsSOF[[#This Row],[Act01]:[Act12]],$P$4:$AA$4)/valUnits2</f>
        <v>9.2749999999999999E-2</v>
      </c>
      <c r="AG645" s="34">
        <f>DB_STProjectsSOF[[#This Row],[Actual]]-DB_STProjectsSOF[[#This Row],[Plan]]</f>
        <v>-5.7599999999999318E-4</v>
      </c>
      <c r="AH645" s="34">
        <f>IF(DB_STProjectsSOF[[#This Row],[Plan]]&lt;&gt;0,DB_STProjectsSOF[[#This Row],[Actual]]/DB_STProjectsSOF[[#This Row],[Plan]],1.000011000011)</f>
        <v>0.9938280864925102</v>
      </c>
      <c r="AI645" s="34">
        <f>SUM(DB_STProjectsSOF[[#This Row],[Plan01]:[Plan12]])/valUnits2</f>
        <v>9.3325999999999992E-2</v>
      </c>
      <c r="AJ645" s="34">
        <f>SUMPRODUCT(DB_STProjectsSOF[[#This Row],[Act01]:[Act12]],$P$3:$AA$3)/valUnits2</f>
        <v>9.2749999999999999E-2</v>
      </c>
      <c r="AK645" s="34">
        <f>IF(DB_STProjectsSOF[[#This Row],[FY Plan]]&lt;&gt;0,DB_STProjectsSOF[[#This Row],[FY Actuals]]/DB_STProjectsSOF[[#This Row],[FY Plan]],1.000011000011)</f>
        <v>0.9938280864925102</v>
      </c>
    </row>
    <row r="646" spans="1:37" hidden="1" x14ac:dyDescent="0.2">
      <c r="A646">
        <f>SUBTOTAL(3,$B$6:B646)</f>
        <v>0</v>
      </c>
      <c r="B646" t="s">
        <v>968</v>
      </c>
      <c r="C646" t="s">
        <v>849</v>
      </c>
      <c r="I646">
        <v>0</v>
      </c>
      <c r="U646">
        <v>4.3600000000000003</v>
      </c>
      <c r="AB646" s="164">
        <v>41153</v>
      </c>
      <c r="AC646" s="164">
        <v>41364</v>
      </c>
      <c r="AD646" s="164">
        <v>41424</v>
      </c>
      <c r="AE646" s="34">
        <f>SUMPRODUCT(DB_STProjectsSOF[[#This Row],[Plan01]:[Plan12]],$D$4:$O$4)/valUnits2</f>
        <v>0</v>
      </c>
      <c r="AF646" s="34">
        <f>SUMPRODUCT(DB_STProjectsSOF[[#This Row],[Act01]:[Act12]],$P$4:$AA$4)/valUnits2</f>
        <v>4.3600000000000002E-3</v>
      </c>
      <c r="AG646" s="34">
        <f>DB_STProjectsSOF[[#This Row],[Actual]]-DB_STProjectsSOF[[#This Row],[Plan]]</f>
        <v>4.3600000000000002E-3</v>
      </c>
      <c r="AH646" s="34">
        <f>IF(DB_STProjectsSOF[[#This Row],[Plan]]&lt;&gt;0,DB_STProjectsSOF[[#This Row],[Actual]]/DB_STProjectsSOF[[#This Row],[Plan]],1.000011000011)</f>
        <v>1.0000110000110001</v>
      </c>
      <c r="AI646" s="34">
        <f>SUM(DB_STProjectsSOF[[#This Row],[Plan01]:[Plan12]])/valUnits2</f>
        <v>0</v>
      </c>
      <c r="AJ646" s="34">
        <f>SUMPRODUCT(DB_STProjectsSOF[[#This Row],[Act01]:[Act12]],$P$3:$AA$3)/valUnits2</f>
        <v>4.3600000000000002E-3</v>
      </c>
      <c r="AK646" s="34">
        <f>IF(DB_STProjectsSOF[[#This Row],[FY Plan]]&lt;&gt;0,DB_STProjectsSOF[[#This Row],[FY Actuals]]/DB_STProjectsSOF[[#This Row],[FY Plan]],1.000011000011)</f>
        <v>1.0000110000110001</v>
      </c>
    </row>
    <row r="647" spans="1:37" hidden="1" x14ac:dyDescent="0.2">
      <c r="A647">
        <f>SUBTOTAL(3,$B$6:B647)</f>
        <v>0</v>
      </c>
      <c r="B647" t="s">
        <v>968</v>
      </c>
      <c r="C647" t="s">
        <v>366</v>
      </c>
      <c r="I647">
        <v>0</v>
      </c>
      <c r="U647">
        <v>0.36</v>
      </c>
      <c r="AB647" s="164">
        <v>41153</v>
      </c>
      <c r="AC647" s="164">
        <v>41517</v>
      </c>
      <c r="AD647" s="164">
        <v>41567</v>
      </c>
      <c r="AE647" s="34">
        <f>SUMPRODUCT(DB_STProjectsSOF[[#This Row],[Plan01]:[Plan12]],$D$4:$O$4)/valUnits2</f>
        <v>0</v>
      </c>
      <c r="AF647" s="34">
        <f>SUMPRODUCT(DB_STProjectsSOF[[#This Row],[Act01]:[Act12]],$P$4:$AA$4)/valUnits2</f>
        <v>3.5999999999999997E-4</v>
      </c>
      <c r="AG647" s="34">
        <f>DB_STProjectsSOF[[#This Row],[Actual]]-DB_STProjectsSOF[[#This Row],[Plan]]</f>
        <v>3.5999999999999997E-4</v>
      </c>
      <c r="AH647" s="34">
        <f>IF(DB_STProjectsSOF[[#This Row],[Plan]]&lt;&gt;0,DB_STProjectsSOF[[#This Row],[Actual]]/DB_STProjectsSOF[[#This Row],[Plan]],1.000011000011)</f>
        <v>1.0000110000110001</v>
      </c>
      <c r="AI647" s="34">
        <f>SUM(DB_STProjectsSOF[[#This Row],[Plan01]:[Plan12]])/valUnits2</f>
        <v>0</v>
      </c>
      <c r="AJ647" s="34">
        <f>SUMPRODUCT(DB_STProjectsSOF[[#This Row],[Act01]:[Act12]],$P$3:$AA$3)/valUnits2</f>
        <v>3.5999999999999997E-4</v>
      </c>
      <c r="AK647" s="34">
        <f>IF(DB_STProjectsSOF[[#This Row],[FY Plan]]&lt;&gt;0,DB_STProjectsSOF[[#This Row],[FY Actuals]]/DB_STProjectsSOF[[#This Row],[FY Plan]],1.000011000011)</f>
        <v>1.0000110000110001</v>
      </c>
    </row>
    <row r="648" spans="1:37" hidden="1" x14ac:dyDescent="0.2">
      <c r="A648">
        <f>SUBTOTAL(3,$B$6:B648)</f>
        <v>0</v>
      </c>
      <c r="B648" t="s">
        <v>968</v>
      </c>
      <c r="C648" t="s">
        <v>353</v>
      </c>
      <c r="I648">
        <v>0</v>
      </c>
      <c r="U648">
        <v>1.23</v>
      </c>
      <c r="AB648" s="164">
        <v>41214</v>
      </c>
      <c r="AC648" s="164">
        <v>41455</v>
      </c>
      <c r="AD648" s="164">
        <v>41532</v>
      </c>
      <c r="AE648" s="34">
        <f>SUMPRODUCT(DB_STProjectsSOF[[#This Row],[Plan01]:[Plan12]],$D$4:$O$4)/valUnits2</f>
        <v>0</v>
      </c>
      <c r="AF648" s="34">
        <f>SUMPRODUCT(DB_STProjectsSOF[[#This Row],[Act01]:[Act12]],$P$4:$AA$4)/valUnits2</f>
        <v>1.23E-3</v>
      </c>
      <c r="AG648" s="34">
        <f>DB_STProjectsSOF[[#This Row],[Actual]]-DB_STProjectsSOF[[#This Row],[Plan]]</f>
        <v>1.23E-3</v>
      </c>
      <c r="AH648" s="34">
        <f>IF(DB_STProjectsSOF[[#This Row],[Plan]]&lt;&gt;0,DB_STProjectsSOF[[#This Row],[Actual]]/DB_STProjectsSOF[[#This Row],[Plan]],1.000011000011)</f>
        <v>1.0000110000110001</v>
      </c>
      <c r="AI648" s="34">
        <f>SUM(DB_STProjectsSOF[[#This Row],[Plan01]:[Plan12]])/valUnits2</f>
        <v>0</v>
      </c>
      <c r="AJ648" s="34">
        <f>SUMPRODUCT(DB_STProjectsSOF[[#This Row],[Act01]:[Act12]],$P$3:$AA$3)/valUnits2</f>
        <v>1.23E-3</v>
      </c>
      <c r="AK648" s="34">
        <f>IF(DB_STProjectsSOF[[#This Row],[FY Plan]]&lt;&gt;0,DB_STProjectsSOF[[#This Row],[FY Actuals]]/DB_STProjectsSOF[[#This Row],[FY Plan]],1.000011000011)</f>
        <v>1.0000110000110001</v>
      </c>
    </row>
    <row r="649" spans="1:37" hidden="1" x14ac:dyDescent="0.2">
      <c r="A649">
        <f>SUBTOTAL(3,$B$6:B649)</f>
        <v>0</v>
      </c>
      <c r="B649" t="s">
        <v>968</v>
      </c>
      <c r="C649" t="s">
        <v>850</v>
      </c>
      <c r="I649">
        <v>0</v>
      </c>
      <c r="U649">
        <v>0.55000000000000004</v>
      </c>
      <c r="AB649" s="164">
        <v>40817</v>
      </c>
      <c r="AC649" s="164">
        <v>41639</v>
      </c>
      <c r="AD649" s="164">
        <v>41820</v>
      </c>
      <c r="AE649" s="34">
        <f>SUMPRODUCT(DB_STProjectsSOF[[#This Row],[Plan01]:[Plan12]],$D$4:$O$4)/valUnits2</f>
        <v>0</v>
      </c>
      <c r="AF649" s="34">
        <f>SUMPRODUCT(DB_STProjectsSOF[[#This Row],[Act01]:[Act12]],$P$4:$AA$4)/valUnits2</f>
        <v>5.5000000000000003E-4</v>
      </c>
      <c r="AG649" s="34">
        <f>DB_STProjectsSOF[[#This Row],[Actual]]-DB_STProjectsSOF[[#This Row],[Plan]]</f>
        <v>5.5000000000000003E-4</v>
      </c>
      <c r="AH649" s="34">
        <f>IF(DB_STProjectsSOF[[#This Row],[Plan]]&lt;&gt;0,DB_STProjectsSOF[[#This Row],[Actual]]/DB_STProjectsSOF[[#This Row],[Plan]],1.000011000011)</f>
        <v>1.0000110000110001</v>
      </c>
      <c r="AI649" s="34">
        <f>SUM(DB_STProjectsSOF[[#This Row],[Plan01]:[Plan12]])/valUnits2</f>
        <v>0</v>
      </c>
      <c r="AJ649" s="34">
        <f>SUMPRODUCT(DB_STProjectsSOF[[#This Row],[Act01]:[Act12]],$P$3:$AA$3)/valUnits2</f>
        <v>5.5000000000000003E-4</v>
      </c>
      <c r="AK649" s="34">
        <f>IF(DB_STProjectsSOF[[#This Row],[FY Plan]]&lt;&gt;0,DB_STProjectsSOF[[#This Row],[FY Actuals]]/DB_STProjectsSOF[[#This Row],[FY Plan]],1.000011000011)</f>
        <v>1.0000110000110001</v>
      </c>
    </row>
    <row r="650" spans="1:37" hidden="1" x14ac:dyDescent="0.2">
      <c r="A650">
        <f>SUBTOTAL(3,$B$6:B650)</f>
        <v>0</v>
      </c>
      <c r="B650" t="s">
        <v>968</v>
      </c>
      <c r="C650" t="s">
        <v>853</v>
      </c>
      <c r="I650">
        <v>0</v>
      </c>
      <c r="U650">
        <v>0.02</v>
      </c>
      <c r="AB650" s="164">
        <v>41275</v>
      </c>
      <c r="AC650" s="164">
        <v>41639</v>
      </c>
      <c r="AD650" s="164">
        <v>41669</v>
      </c>
      <c r="AE650" s="34">
        <f>SUMPRODUCT(DB_STProjectsSOF[[#This Row],[Plan01]:[Plan12]],$D$4:$O$4)/valUnits2</f>
        <v>0</v>
      </c>
      <c r="AF650" s="34">
        <f>SUMPRODUCT(DB_STProjectsSOF[[#This Row],[Act01]:[Act12]],$P$4:$AA$4)/valUnits2</f>
        <v>2.0000000000000002E-5</v>
      </c>
      <c r="AG650" s="34">
        <f>DB_STProjectsSOF[[#This Row],[Actual]]-DB_STProjectsSOF[[#This Row],[Plan]]</f>
        <v>2.0000000000000002E-5</v>
      </c>
      <c r="AH650" s="34">
        <f>IF(DB_STProjectsSOF[[#This Row],[Plan]]&lt;&gt;0,DB_STProjectsSOF[[#This Row],[Actual]]/DB_STProjectsSOF[[#This Row],[Plan]],1.000011000011)</f>
        <v>1.0000110000110001</v>
      </c>
      <c r="AI650" s="34">
        <f>SUM(DB_STProjectsSOF[[#This Row],[Plan01]:[Plan12]])/valUnits2</f>
        <v>0</v>
      </c>
      <c r="AJ650" s="34">
        <f>SUMPRODUCT(DB_STProjectsSOF[[#This Row],[Act01]:[Act12]],$P$3:$AA$3)/valUnits2</f>
        <v>2.0000000000000002E-5</v>
      </c>
      <c r="AK650" s="34">
        <f>IF(DB_STProjectsSOF[[#This Row],[FY Plan]]&lt;&gt;0,DB_STProjectsSOF[[#This Row],[FY Actuals]]/DB_STProjectsSOF[[#This Row],[FY Plan]],1.000011000011)</f>
        <v>1.0000110000110001</v>
      </c>
    </row>
    <row r="651" spans="1:37" hidden="1" x14ac:dyDescent="0.2">
      <c r="A651">
        <f>SUBTOTAL(3,$B$6:B651)</f>
        <v>0</v>
      </c>
      <c r="B651" t="s">
        <v>968</v>
      </c>
      <c r="C651" t="s">
        <v>854</v>
      </c>
      <c r="I651">
        <v>0</v>
      </c>
      <c r="U651">
        <v>0.56000000000000005</v>
      </c>
      <c r="AB651" s="164">
        <v>40923</v>
      </c>
      <c r="AC651" s="164">
        <v>41698</v>
      </c>
      <c r="AD651" s="164">
        <v>41759</v>
      </c>
      <c r="AE651" s="34">
        <f>SUMPRODUCT(DB_STProjectsSOF[[#This Row],[Plan01]:[Plan12]],$D$4:$O$4)/valUnits2</f>
        <v>0</v>
      </c>
      <c r="AF651" s="34">
        <f>SUMPRODUCT(DB_STProjectsSOF[[#This Row],[Act01]:[Act12]],$P$4:$AA$4)/valUnits2</f>
        <v>5.6000000000000006E-4</v>
      </c>
      <c r="AG651" s="34">
        <f>DB_STProjectsSOF[[#This Row],[Actual]]-DB_STProjectsSOF[[#This Row],[Plan]]</f>
        <v>5.6000000000000006E-4</v>
      </c>
      <c r="AH651" s="34">
        <f>IF(DB_STProjectsSOF[[#This Row],[Plan]]&lt;&gt;0,DB_STProjectsSOF[[#This Row],[Actual]]/DB_STProjectsSOF[[#This Row],[Plan]],1.000011000011)</f>
        <v>1.0000110000110001</v>
      </c>
      <c r="AI651" s="34">
        <f>SUM(DB_STProjectsSOF[[#This Row],[Plan01]:[Plan12]])/valUnits2</f>
        <v>0</v>
      </c>
      <c r="AJ651" s="34">
        <f>SUMPRODUCT(DB_STProjectsSOF[[#This Row],[Act01]:[Act12]],$P$3:$AA$3)/valUnits2</f>
        <v>5.6000000000000006E-4</v>
      </c>
      <c r="AK651" s="34">
        <f>IF(DB_STProjectsSOF[[#This Row],[FY Plan]]&lt;&gt;0,DB_STProjectsSOF[[#This Row],[FY Actuals]]/DB_STProjectsSOF[[#This Row],[FY Plan]],1.000011000011)</f>
        <v>1.0000110000110001</v>
      </c>
    </row>
    <row r="652" spans="1:37" hidden="1" x14ac:dyDescent="0.2">
      <c r="A652">
        <f>SUBTOTAL(3,$B$6:B652)</f>
        <v>0</v>
      </c>
      <c r="B652" t="s">
        <v>968</v>
      </c>
      <c r="C652" t="s">
        <v>855</v>
      </c>
      <c r="I652">
        <v>0</v>
      </c>
      <c r="U652">
        <v>1.45</v>
      </c>
      <c r="AB652" s="164">
        <v>40817</v>
      </c>
      <c r="AC652" s="164">
        <v>41759</v>
      </c>
      <c r="AD652" s="164">
        <v>41820</v>
      </c>
      <c r="AE652" s="34">
        <f>SUMPRODUCT(DB_STProjectsSOF[[#This Row],[Plan01]:[Plan12]],$D$4:$O$4)/valUnits2</f>
        <v>0</v>
      </c>
      <c r="AF652" s="34">
        <f>SUMPRODUCT(DB_STProjectsSOF[[#This Row],[Act01]:[Act12]],$P$4:$AA$4)/valUnits2</f>
        <v>1.4499999999999999E-3</v>
      </c>
      <c r="AG652" s="34">
        <f>DB_STProjectsSOF[[#This Row],[Actual]]-DB_STProjectsSOF[[#This Row],[Plan]]</f>
        <v>1.4499999999999999E-3</v>
      </c>
      <c r="AH652" s="34">
        <f>IF(DB_STProjectsSOF[[#This Row],[Plan]]&lt;&gt;0,DB_STProjectsSOF[[#This Row],[Actual]]/DB_STProjectsSOF[[#This Row],[Plan]],1.000011000011)</f>
        <v>1.0000110000110001</v>
      </c>
      <c r="AI652" s="34">
        <f>SUM(DB_STProjectsSOF[[#This Row],[Plan01]:[Plan12]])/valUnits2</f>
        <v>0</v>
      </c>
      <c r="AJ652" s="34">
        <f>SUMPRODUCT(DB_STProjectsSOF[[#This Row],[Act01]:[Act12]],$P$3:$AA$3)/valUnits2</f>
        <v>1.4499999999999999E-3</v>
      </c>
      <c r="AK652" s="34">
        <f>IF(DB_STProjectsSOF[[#This Row],[FY Plan]]&lt;&gt;0,DB_STProjectsSOF[[#This Row],[FY Actuals]]/DB_STProjectsSOF[[#This Row],[FY Plan]],1.000011000011)</f>
        <v>1.0000110000110001</v>
      </c>
    </row>
    <row r="653" spans="1:37" hidden="1" x14ac:dyDescent="0.2">
      <c r="A653">
        <f>SUBTOTAL(3,$B$6:B653)</f>
        <v>0</v>
      </c>
      <c r="B653" t="s">
        <v>968</v>
      </c>
      <c r="C653" t="s">
        <v>367</v>
      </c>
      <c r="I653">
        <v>0</v>
      </c>
      <c r="U653">
        <v>0.69</v>
      </c>
      <c r="AB653" s="164">
        <v>40817</v>
      </c>
      <c r="AC653" s="164">
        <v>41547</v>
      </c>
      <c r="AD653" s="164">
        <v>41670</v>
      </c>
      <c r="AE653" s="34">
        <f>SUMPRODUCT(DB_STProjectsSOF[[#This Row],[Plan01]:[Plan12]],$D$4:$O$4)/valUnits2</f>
        <v>0</v>
      </c>
      <c r="AF653" s="34">
        <f>SUMPRODUCT(DB_STProjectsSOF[[#This Row],[Act01]:[Act12]],$P$4:$AA$4)/valUnits2</f>
        <v>6.8999999999999997E-4</v>
      </c>
      <c r="AG653" s="34">
        <f>DB_STProjectsSOF[[#This Row],[Actual]]-DB_STProjectsSOF[[#This Row],[Plan]]</f>
        <v>6.8999999999999997E-4</v>
      </c>
      <c r="AH653" s="34">
        <f>IF(DB_STProjectsSOF[[#This Row],[Plan]]&lt;&gt;0,DB_STProjectsSOF[[#This Row],[Actual]]/DB_STProjectsSOF[[#This Row],[Plan]],1.000011000011)</f>
        <v>1.0000110000110001</v>
      </c>
      <c r="AI653" s="34">
        <f>SUM(DB_STProjectsSOF[[#This Row],[Plan01]:[Plan12]])/valUnits2</f>
        <v>0</v>
      </c>
      <c r="AJ653" s="34">
        <f>SUMPRODUCT(DB_STProjectsSOF[[#This Row],[Act01]:[Act12]],$P$3:$AA$3)/valUnits2</f>
        <v>6.8999999999999997E-4</v>
      </c>
      <c r="AK653" s="34">
        <f>IF(DB_STProjectsSOF[[#This Row],[FY Plan]]&lt;&gt;0,DB_STProjectsSOF[[#This Row],[FY Actuals]]/DB_STProjectsSOF[[#This Row],[FY Plan]],1.000011000011)</f>
        <v>1.0000110000110001</v>
      </c>
    </row>
    <row r="654" spans="1:37" hidden="1" x14ac:dyDescent="0.2">
      <c r="A654">
        <f>SUBTOTAL(3,$B$6:B654)</f>
        <v>0</v>
      </c>
      <c r="B654" t="s">
        <v>968</v>
      </c>
      <c r="C654" t="s">
        <v>856</v>
      </c>
      <c r="G654">
        <v>328.69400000000002</v>
      </c>
      <c r="H654">
        <v>433.00200000000001</v>
      </c>
      <c r="I654">
        <v>0</v>
      </c>
      <c r="S654">
        <v>318.71999999999997</v>
      </c>
      <c r="T654">
        <v>414.07</v>
      </c>
      <c r="U654">
        <v>17.920000000000002</v>
      </c>
      <c r="AB654" s="164">
        <v>40817</v>
      </c>
      <c r="AC654" s="164">
        <v>42338</v>
      </c>
      <c r="AD654" s="164">
        <v>42490</v>
      </c>
      <c r="AE654" s="34">
        <f>SUMPRODUCT(DB_STProjectsSOF[[#This Row],[Plan01]:[Plan12]],$D$4:$O$4)/valUnits2</f>
        <v>0.76169600000000004</v>
      </c>
      <c r="AF654" s="34">
        <f>SUMPRODUCT(DB_STProjectsSOF[[#This Row],[Act01]:[Act12]],$P$4:$AA$4)/valUnits2</f>
        <v>0.75070999999999988</v>
      </c>
      <c r="AG654" s="34">
        <f>DB_STProjectsSOF[[#This Row],[Actual]]-DB_STProjectsSOF[[#This Row],[Plan]]</f>
        <v>-1.0986000000000162E-2</v>
      </c>
      <c r="AH654" s="34">
        <f>IF(DB_STProjectsSOF[[#This Row],[Plan]]&lt;&gt;0,DB_STProjectsSOF[[#This Row],[Actual]]/DB_STProjectsSOF[[#This Row],[Plan]],1.000011000011)</f>
        <v>0.98557692307692291</v>
      </c>
      <c r="AI654" s="34">
        <f>SUM(DB_STProjectsSOF[[#This Row],[Plan01]:[Plan12]])/valUnits2</f>
        <v>0.76169600000000004</v>
      </c>
      <c r="AJ654" s="34">
        <f>SUMPRODUCT(DB_STProjectsSOF[[#This Row],[Act01]:[Act12]],$P$3:$AA$3)/valUnits2</f>
        <v>0.75070999999999988</v>
      </c>
      <c r="AK654" s="34">
        <f>IF(DB_STProjectsSOF[[#This Row],[FY Plan]]&lt;&gt;0,DB_STProjectsSOF[[#This Row],[FY Actuals]]/DB_STProjectsSOF[[#This Row],[FY Plan]],1.000011000011)</f>
        <v>0.98557692307692291</v>
      </c>
    </row>
    <row r="655" spans="1:37" hidden="1" x14ac:dyDescent="0.2">
      <c r="A655">
        <f>SUBTOTAL(3,$B$6:B655)</f>
        <v>0</v>
      </c>
      <c r="B655" t="s">
        <v>968</v>
      </c>
      <c r="C655" t="s">
        <v>858</v>
      </c>
      <c r="E655">
        <v>483.41999999999996</v>
      </c>
      <c r="F655">
        <v>427.71000000000004</v>
      </c>
      <c r="G655">
        <v>91.459999999999809</v>
      </c>
      <c r="H655">
        <v>975.94</v>
      </c>
      <c r="I655">
        <v>0</v>
      </c>
      <c r="Q655">
        <v>483.41999999999996</v>
      </c>
      <c r="R655">
        <v>427.71000000000004</v>
      </c>
      <c r="S655">
        <v>91.600000000000009</v>
      </c>
      <c r="T655">
        <v>975.94</v>
      </c>
      <c r="U655">
        <v>40.75</v>
      </c>
      <c r="AB655" s="164">
        <v>41275</v>
      </c>
      <c r="AC655" s="164">
        <v>41639</v>
      </c>
      <c r="AD655" s="164">
        <v>41784</v>
      </c>
      <c r="AE655" s="34">
        <f>SUMPRODUCT(DB_STProjectsSOF[[#This Row],[Plan01]:[Plan12]],$D$4:$O$4)/valUnits2</f>
        <v>1.9785299999999997</v>
      </c>
      <c r="AF655" s="34">
        <f>SUMPRODUCT(DB_STProjectsSOF[[#This Row],[Act01]:[Act12]],$P$4:$AA$4)/valUnits2</f>
        <v>2.0194200000000002</v>
      </c>
      <c r="AG655" s="34">
        <f>DB_STProjectsSOF[[#This Row],[Actual]]-DB_STProjectsSOF[[#This Row],[Plan]]</f>
        <v>4.0890000000000537E-2</v>
      </c>
      <c r="AH655" s="34">
        <f>IF(DB_STProjectsSOF[[#This Row],[Plan]]&lt;&gt;0,DB_STProjectsSOF[[#This Row],[Actual]]/DB_STProjectsSOF[[#This Row],[Plan]],1.000011000011)</f>
        <v>1.0206668587284502</v>
      </c>
      <c r="AI655" s="34">
        <f>SUM(DB_STProjectsSOF[[#This Row],[Plan01]:[Plan12]])/valUnits2</f>
        <v>1.9785299999999997</v>
      </c>
      <c r="AJ655" s="34">
        <f>SUMPRODUCT(DB_STProjectsSOF[[#This Row],[Act01]:[Act12]],$P$3:$AA$3)/valUnits2</f>
        <v>2.0194200000000002</v>
      </c>
      <c r="AK655" s="34">
        <f>IF(DB_STProjectsSOF[[#This Row],[FY Plan]]&lt;&gt;0,DB_STProjectsSOF[[#This Row],[FY Actuals]]/DB_STProjectsSOF[[#This Row],[FY Plan]],1.000011000011)</f>
        <v>1.0206668587284502</v>
      </c>
    </row>
    <row r="656" spans="1:37" hidden="1" x14ac:dyDescent="0.2">
      <c r="A656">
        <f>SUBTOTAL(3,$B$6:B656)</f>
        <v>0</v>
      </c>
      <c r="B656" t="s">
        <v>968</v>
      </c>
      <c r="C656" t="s">
        <v>859</v>
      </c>
      <c r="I656">
        <v>0</v>
      </c>
      <c r="U656">
        <v>1.77</v>
      </c>
      <c r="AB656" s="164">
        <v>40909</v>
      </c>
      <c r="AC656" s="164">
        <v>42004</v>
      </c>
      <c r="AD656" s="164">
        <v>42094</v>
      </c>
      <c r="AE656" s="34">
        <f>SUMPRODUCT(DB_STProjectsSOF[[#This Row],[Plan01]:[Plan12]],$D$4:$O$4)/valUnits2</f>
        <v>0</v>
      </c>
      <c r="AF656" s="34">
        <f>SUMPRODUCT(DB_STProjectsSOF[[#This Row],[Act01]:[Act12]],$P$4:$AA$4)/valUnits2</f>
        <v>1.7700000000000001E-3</v>
      </c>
      <c r="AG656" s="34">
        <f>DB_STProjectsSOF[[#This Row],[Actual]]-DB_STProjectsSOF[[#This Row],[Plan]]</f>
        <v>1.7700000000000001E-3</v>
      </c>
      <c r="AH656" s="34">
        <f>IF(DB_STProjectsSOF[[#This Row],[Plan]]&lt;&gt;0,DB_STProjectsSOF[[#This Row],[Actual]]/DB_STProjectsSOF[[#This Row],[Plan]],1.000011000011)</f>
        <v>1.0000110000110001</v>
      </c>
      <c r="AI656" s="34">
        <f>SUM(DB_STProjectsSOF[[#This Row],[Plan01]:[Plan12]])/valUnits2</f>
        <v>0</v>
      </c>
      <c r="AJ656" s="34">
        <f>SUMPRODUCT(DB_STProjectsSOF[[#This Row],[Act01]:[Act12]],$P$3:$AA$3)/valUnits2</f>
        <v>1.7700000000000001E-3</v>
      </c>
      <c r="AK656" s="34">
        <f>IF(DB_STProjectsSOF[[#This Row],[FY Plan]]&lt;&gt;0,DB_STProjectsSOF[[#This Row],[FY Actuals]]/DB_STProjectsSOF[[#This Row],[FY Plan]],1.000011000011)</f>
        <v>1.0000110000110001</v>
      </c>
    </row>
    <row r="657" spans="1:37" hidden="1" x14ac:dyDescent="0.2">
      <c r="A657">
        <f>SUBTOTAL(3,$B$6:B657)</f>
        <v>0</v>
      </c>
      <c r="B657" t="s">
        <v>968</v>
      </c>
      <c r="C657" t="s">
        <v>860</v>
      </c>
      <c r="F657">
        <v>5.26</v>
      </c>
      <c r="H657">
        <v>639.91999999999996</v>
      </c>
      <c r="I657">
        <v>0</v>
      </c>
      <c r="R657">
        <v>5.26</v>
      </c>
      <c r="T657">
        <v>639.91999999999996</v>
      </c>
      <c r="U657">
        <v>3.68</v>
      </c>
      <c r="AB657" s="164">
        <v>40969</v>
      </c>
      <c r="AC657" s="164">
        <v>42643</v>
      </c>
      <c r="AD657" s="164">
        <v>42704</v>
      </c>
      <c r="AE657" s="34">
        <f>SUMPRODUCT(DB_STProjectsSOF[[#This Row],[Plan01]:[Plan12]],$D$4:$O$4)/valUnits2</f>
        <v>0.64517999999999998</v>
      </c>
      <c r="AF657" s="34">
        <f>SUMPRODUCT(DB_STProjectsSOF[[#This Row],[Act01]:[Act12]],$P$4:$AA$4)/valUnits2</f>
        <v>0.64885999999999988</v>
      </c>
      <c r="AG657" s="34">
        <f>DB_STProjectsSOF[[#This Row],[Actual]]-DB_STProjectsSOF[[#This Row],[Plan]]</f>
        <v>3.6799999999999056E-3</v>
      </c>
      <c r="AH657" s="34">
        <f>IF(DB_STProjectsSOF[[#This Row],[Plan]]&lt;&gt;0,DB_STProjectsSOF[[#This Row],[Actual]]/DB_STProjectsSOF[[#This Row],[Plan]],1.000011000011)</f>
        <v>1.0057038345887968</v>
      </c>
      <c r="AI657" s="34">
        <f>SUM(DB_STProjectsSOF[[#This Row],[Plan01]:[Plan12]])/valUnits2</f>
        <v>0.64517999999999998</v>
      </c>
      <c r="AJ657" s="34">
        <f>SUMPRODUCT(DB_STProjectsSOF[[#This Row],[Act01]:[Act12]],$P$3:$AA$3)/valUnits2</f>
        <v>0.64885999999999988</v>
      </c>
      <c r="AK657" s="34">
        <f>IF(DB_STProjectsSOF[[#This Row],[FY Plan]]&lt;&gt;0,DB_STProjectsSOF[[#This Row],[FY Actuals]]/DB_STProjectsSOF[[#This Row],[FY Plan]],1.000011000011)</f>
        <v>1.0057038345887968</v>
      </c>
    </row>
    <row r="658" spans="1:37" hidden="1" x14ac:dyDescent="0.2">
      <c r="A658">
        <f>SUBTOTAL(3,$B$6:B658)</f>
        <v>0</v>
      </c>
      <c r="B658" t="s">
        <v>968</v>
      </c>
      <c r="C658" t="s">
        <v>862</v>
      </c>
      <c r="I658">
        <v>0</v>
      </c>
      <c r="U658">
        <v>1.1000000000000001</v>
      </c>
      <c r="AB658" s="164">
        <v>41275</v>
      </c>
      <c r="AC658" s="164">
        <v>41639</v>
      </c>
      <c r="AD658" s="164">
        <v>3</v>
      </c>
      <c r="AE658" s="34">
        <f>SUMPRODUCT(DB_STProjectsSOF[[#This Row],[Plan01]:[Plan12]],$D$4:$O$4)/valUnits2</f>
        <v>0</v>
      </c>
      <c r="AF658" s="34">
        <f>SUMPRODUCT(DB_STProjectsSOF[[#This Row],[Act01]:[Act12]],$P$4:$AA$4)/valUnits2</f>
        <v>1.1000000000000001E-3</v>
      </c>
      <c r="AG658" s="34">
        <f>DB_STProjectsSOF[[#This Row],[Actual]]-DB_STProjectsSOF[[#This Row],[Plan]]</f>
        <v>1.1000000000000001E-3</v>
      </c>
      <c r="AH658" s="34">
        <f>IF(DB_STProjectsSOF[[#This Row],[Plan]]&lt;&gt;0,DB_STProjectsSOF[[#This Row],[Actual]]/DB_STProjectsSOF[[#This Row],[Plan]],1.000011000011)</f>
        <v>1.0000110000110001</v>
      </c>
      <c r="AI658" s="34">
        <f>SUM(DB_STProjectsSOF[[#This Row],[Plan01]:[Plan12]])/valUnits2</f>
        <v>0</v>
      </c>
      <c r="AJ658" s="34">
        <f>SUMPRODUCT(DB_STProjectsSOF[[#This Row],[Act01]:[Act12]],$P$3:$AA$3)/valUnits2</f>
        <v>1.1000000000000001E-3</v>
      </c>
      <c r="AK658" s="34">
        <f>IF(DB_STProjectsSOF[[#This Row],[FY Plan]]&lt;&gt;0,DB_STProjectsSOF[[#This Row],[FY Actuals]]/DB_STProjectsSOF[[#This Row],[FY Plan]],1.000011000011)</f>
        <v>1.0000110000110001</v>
      </c>
    </row>
    <row r="659" spans="1:37" hidden="1" x14ac:dyDescent="0.2">
      <c r="A659">
        <f>SUBTOTAL(3,$B$6:B659)</f>
        <v>0</v>
      </c>
      <c r="B659" t="s">
        <v>968</v>
      </c>
      <c r="C659" t="s">
        <v>866</v>
      </c>
      <c r="E659">
        <v>102565.81999999999</v>
      </c>
      <c r="F659">
        <v>78583.39</v>
      </c>
      <c r="G659">
        <v>-158244.9</v>
      </c>
      <c r="H659">
        <v>7174.87</v>
      </c>
      <c r="I659">
        <v>0</v>
      </c>
      <c r="Q659">
        <v>102565.82</v>
      </c>
      <c r="R659">
        <v>78827.949999999983</v>
      </c>
      <c r="S659">
        <v>-158424.49000000002</v>
      </c>
      <c r="T659">
        <v>7364.0999999999976</v>
      </c>
      <c r="U659">
        <v>-1611.8500000000001</v>
      </c>
      <c r="AB659" s="164">
        <v>41275</v>
      </c>
      <c r="AC659" s="164">
        <v>41639</v>
      </c>
      <c r="AD659" s="164">
        <v>41760</v>
      </c>
      <c r="AE659" s="34">
        <f>SUMPRODUCT(DB_STProjectsSOF[[#This Row],[Plan01]:[Plan12]],$D$4:$O$4)/valUnits2</f>
        <v>30.079179999999997</v>
      </c>
      <c r="AF659" s="34">
        <f>SUMPRODUCT(DB_STProjectsSOF[[#This Row],[Act01]:[Act12]],$P$4:$AA$4)/valUnits2</f>
        <v>28.721529999999969</v>
      </c>
      <c r="AG659" s="34">
        <f>DB_STProjectsSOF[[#This Row],[Actual]]-DB_STProjectsSOF[[#This Row],[Plan]]</f>
        <v>-1.357650000000028</v>
      </c>
      <c r="AH659" s="34">
        <f>IF(DB_STProjectsSOF[[#This Row],[Plan]]&lt;&gt;0,DB_STProjectsSOF[[#This Row],[Actual]]/DB_STProjectsSOF[[#This Row],[Plan]],1.000011000011)</f>
        <v>0.95486412860988801</v>
      </c>
      <c r="AI659" s="34">
        <f>SUM(DB_STProjectsSOF[[#This Row],[Plan01]:[Plan12]])/valUnits2</f>
        <v>30.079179999999997</v>
      </c>
      <c r="AJ659" s="34">
        <f>SUMPRODUCT(DB_STProjectsSOF[[#This Row],[Act01]:[Act12]],$P$3:$AA$3)/valUnits2</f>
        <v>28.721529999999969</v>
      </c>
      <c r="AK659" s="34">
        <f>IF(DB_STProjectsSOF[[#This Row],[FY Plan]]&lt;&gt;0,DB_STProjectsSOF[[#This Row],[FY Actuals]]/DB_STProjectsSOF[[#This Row],[FY Plan]],1.000011000011)</f>
        <v>0.95486412860988801</v>
      </c>
    </row>
    <row r="660" spans="1:37" hidden="1" x14ac:dyDescent="0.2">
      <c r="A660">
        <f>SUBTOTAL(3,$B$6:B660)</f>
        <v>0</v>
      </c>
      <c r="B660" t="s">
        <v>968</v>
      </c>
      <c r="C660" t="s">
        <v>868</v>
      </c>
      <c r="I660">
        <v>0</v>
      </c>
      <c r="U660">
        <v>0.14000000000000001</v>
      </c>
      <c r="AB660" s="164">
        <v>40817</v>
      </c>
      <c r="AC660" s="164">
        <v>41455</v>
      </c>
      <c r="AD660" s="164">
        <v>41639</v>
      </c>
      <c r="AE660" s="34">
        <f>SUMPRODUCT(DB_STProjectsSOF[[#This Row],[Plan01]:[Plan12]],$D$4:$O$4)/valUnits2</f>
        <v>0</v>
      </c>
      <c r="AF660" s="34">
        <f>SUMPRODUCT(DB_STProjectsSOF[[#This Row],[Act01]:[Act12]],$P$4:$AA$4)/valUnits2</f>
        <v>1.4000000000000001E-4</v>
      </c>
      <c r="AG660" s="34">
        <f>DB_STProjectsSOF[[#This Row],[Actual]]-DB_STProjectsSOF[[#This Row],[Plan]]</f>
        <v>1.4000000000000001E-4</v>
      </c>
      <c r="AH660" s="34">
        <f>IF(DB_STProjectsSOF[[#This Row],[Plan]]&lt;&gt;0,DB_STProjectsSOF[[#This Row],[Actual]]/DB_STProjectsSOF[[#This Row],[Plan]],1.000011000011)</f>
        <v>1.0000110000110001</v>
      </c>
      <c r="AI660" s="34">
        <f>SUM(DB_STProjectsSOF[[#This Row],[Plan01]:[Plan12]])/valUnits2</f>
        <v>0</v>
      </c>
      <c r="AJ660" s="34">
        <f>SUMPRODUCT(DB_STProjectsSOF[[#This Row],[Act01]:[Act12]],$P$3:$AA$3)/valUnits2</f>
        <v>1.4000000000000001E-4</v>
      </c>
      <c r="AK660" s="34">
        <f>IF(DB_STProjectsSOF[[#This Row],[FY Plan]]&lt;&gt;0,DB_STProjectsSOF[[#This Row],[FY Actuals]]/DB_STProjectsSOF[[#This Row],[FY Plan]],1.000011000011)</f>
        <v>1.0000110000110001</v>
      </c>
    </row>
    <row r="661" spans="1:37" hidden="1" x14ac:dyDescent="0.2">
      <c r="A661">
        <f>SUBTOTAL(3,$B$6:B661)</f>
        <v>0</v>
      </c>
      <c r="B661" t="s">
        <v>968</v>
      </c>
      <c r="C661" t="s">
        <v>869</v>
      </c>
      <c r="D661">
        <v>0</v>
      </c>
      <c r="E661">
        <v>0</v>
      </c>
      <c r="F661">
        <v>0</v>
      </c>
      <c r="G661">
        <v>10.68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10.68</v>
      </c>
      <c r="T661">
        <v>0</v>
      </c>
      <c r="U661">
        <v>1.91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s="164">
        <v>40817</v>
      </c>
      <c r="AC661" s="164">
        <v>42155</v>
      </c>
      <c r="AD661" s="164">
        <v>42217</v>
      </c>
      <c r="AE661" s="34">
        <f>SUMPRODUCT(DB_STProjectsSOF[[#This Row],[Plan01]:[Plan12]],$D$4:$O$4)/valUnits2</f>
        <v>1.068E-2</v>
      </c>
      <c r="AF661" s="34">
        <f>SUMPRODUCT(DB_STProjectsSOF[[#This Row],[Act01]:[Act12]],$P$4:$AA$4)/valUnits2</f>
        <v>1.259E-2</v>
      </c>
      <c r="AG661" s="34">
        <f>DB_STProjectsSOF[[#This Row],[Actual]]-DB_STProjectsSOF[[#This Row],[Plan]]</f>
        <v>1.9100000000000002E-3</v>
      </c>
      <c r="AH661" s="34">
        <f>IF(DB_STProjectsSOF[[#This Row],[Plan]]&lt;&gt;0,DB_STProjectsSOF[[#This Row],[Actual]]/DB_STProjectsSOF[[#This Row],[Plan]],1.000011000011)</f>
        <v>1.1788389513108615</v>
      </c>
      <c r="AI661" s="34">
        <f>SUM(DB_STProjectsSOF[[#This Row],[Plan01]:[Plan12]])/valUnits2</f>
        <v>1.068E-2</v>
      </c>
      <c r="AJ661" s="34">
        <f>SUMPRODUCT(DB_STProjectsSOF[[#This Row],[Act01]:[Act12]],$P$3:$AA$3)/valUnits2</f>
        <v>1.259E-2</v>
      </c>
      <c r="AK661" s="34">
        <f>IF(DB_STProjectsSOF[[#This Row],[FY Plan]]&lt;&gt;0,DB_STProjectsSOF[[#This Row],[FY Actuals]]/DB_STProjectsSOF[[#This Row],[FY Plan]],1.000011000011)</f>
        <v>1.1788389513108615</v>
      </c>
    </row>
    <row r="662" spans="1:37" hidden="1" x14ac:dyDescent="0.2">
      <c r="A662">
        <f>SUBTOTAL(3,$B$6:B662)</f>
        <v>0</v>
      </c>
      <c r="B662" t="s">
        <v>968</v>
      </c>
      <c r="C662" t="s">
        <v>872</v>
      </c>
      <c r="I662">
        <v>0</v>
      </c>
      <c r="U662">
        <v>0.77</v>
      </c>
      <c r="AB662" s="164">
        <v>41275</v>
      </c>
      <c r="AC662" s="164">
        <v>41639</v>
      </c>
      <c r="AD662" s="164">
        <v>41669</v>
      </c>
      <c r="AE662" s="34">
        <f>SUMPRODUCT(DB_STProjectsSOF[[#This Row],[Plan01]:[Plan12]],$D$4:$O$4)/valUnits2</f>
        <v>0</v>
      </c>
      <c r="AF662" s="34">
        <f>SUMPRODUCT(DB_STProjectsSOF[[#This Row],[Act01]:[Act12]],$P$4:$AA$4)/valUnits2</f>
        <v>7.7000000000000007E-4</v>
      </c>
      <c r="AG662" s="34">
        <f>DB_STProjectsSOF[[#This Row],[Actual]]-DB_STProjectsSOF[[#This Row],[Plan]]</f>
        <v>7.7000000000000007E-4</v>
      </c>
      <c r="AH662" s="34">
        <f>IF(DB_STProjectsSOF[[#This Row],[Plan]]&lt;&gt;0,DB_STProjectsSOF[[#This Row],[Actual]]/DB_STProjectsSOF[[#This Row],[Plan]],1.000011000011)</f>
        <v>1.0000110000110001</v>
      </c>
      <c r="AI662" s="34">
        <f>SUM(DB_STProjectsSOF[[#This Row],[Plan01]:[Plan12]])/valUnits2</f>
        <v>0</v>
      </c>
      <c r="AJ662" s="34">
        <f>SUMPRODUCT(DB_STProjectsSOF[[#This Row],[Act01]:[Act12]],$P$3:$AA$3)/valUnits2</f>
        <v>7.7000000000000007E-4</v>
      </c>
      <c r="AK662" s="34">
        <f>IF(DB_STProjectsSOF[[#This Row],[FY Plan]]&lt;&gt;0,DB_STProjectsSOF[[#This Row],[FY Actuals]]/DB_STProjectsSOF[[#This Row],[FY Plan]],1.000011000011)</f>
        <v>1.0000110000110001</v>
      </c>
    </row>
    <row r="663" spans="1:37" hidden="1" x14ac:dyDescent="0.2">
      <c r="A663">
        <f>SUBTOTAL(3,$B$6:B663)</f>
        <v>0</v>
      </c>
      <c r="B663" t="s">
        <v>968</v>
      </c>
      <c r="C663" t="s">
        <v>874</v>
      </c>
      <c r="G663">
        <v>5.4349999999999996</v>
      </c>
      <c r="I663">
        <v>0</v>
      </c>
      <c r="S663">
        <v>5.33</v>
      </c>
      <c r="U663">
        <v>2.5499999999999998</v>
      </c>
      <c r="AB663" s="164">
        <v>40879</v>
      </c>
      <c r="AC663" s="164">
        <v>43071</v>
      </c>
      <c r="AD663" s="164">
        <v>43161</v>
      </c>
      <c r="AE663" s="34">
        <f>SUMPRODUCT(DB_STProjectsSOF[[#This Row],[Plan01]:[Plan12]],$D$4:$O$4)/valUnits2</f>
        <v>5.4349999999999997E-3</v>
      </c>
      <c r="AF663" s="34">
        <f>SUMPRODUCT(DB_STProjectsSOF[[#This Row],[Act01]:[Act12]],$P$4:$AA$4)/valUnits2</f>
        <v>7.8799999999999999E-3</v>
      </c>
      <c r="AG663" s="34">
        <f>DB_STProjectsSOF[[#This Row],[Actual]]-DB_STProjectsSOF[[#This Row],[Plan]]</f>
        <v>2.4450000000000001E-3</v>
      </c>
      <c r="AH663" s="34">
        <f>IF(DB_STProjectsSOF[[#This Row],[Plan]]&lt;&gt;0,DB_STProjectsSOF[[#This Row],[Actual]]/DB_STProjectsSOF[[#This Row],[Plan]],1.000011000011)</f>
        <v>1.4498620055197793</v>
      </c>
      <c r="AI663" s="34">
        <f>SUM(DB_STProjectsSOF[[#This Row],[Plan01]:[Plan12]])/valUnits2</f>
        <v>5.4349999999999997E-3</v>
      </c>
      <c r="AJ663" s="34">
        <f>SUMPRODUCT(DB_STProjectsSOF[[#This Row],[Act01]:[Act12]],$P$3:$AA$3)/valUnits2</f>
        <v>7.8799999999999999E-3</v>
      </c>
      <c r="AK663" s="34">
        <f>IF(DB_STProjectsSOF[[#This Row],[FY Plan]]&lt;&gt;0,DB_STProjectsSOF[[#This Row],[FY Actuals]]/DB_STProjectsSOF[[#This Row],[FY Plan]],1.000011000011)</f>
        <v>1.4498620055197793</v>
      </c>
    </row>
    <row r="664" spans="1:37" hidden="1" x14ac:dyDescent="0.2">
      <c r="A664">
        <f>SUBTOTAL(3,$B$6:B664)</f>
        <v>0</v>
      </c>
      <c r="B664" t="s">
        <v>968</v>
      </c>
      <c r="C664" t="s">
        <v>875</v>
      </c>
      <c r="F664">
        <v>10.256</v>
      </c>
      <c r="I664">
        <v>0</v>
      </c>
      <c r="R664">
        <v>10.32</v>
      </c>
      <c r="U664">
        <v>0.85</v>
      </c>
      <c r="AB664" s="164">
        <v>41275</v>
      </c>
      <c r="AC664" s="164">
        <v>41639</v>
      </c>
      <c r="AD664" s="164">
        <v>41649</v>
      </c>
      <c r="AE664" s="34">
        <f>SUMPRODUCT(DB_STProjectsSOF[[#This Row],[Plan01]:[Plan12]],$D$4:$O$4)/valUnits2</f>
        <v>1.0255999999999999E-2</v>
      </c>
      <c r="AF664" s="34">
        <f>SUMPRODUCT(DB_STProjectsSOF[[#This Row],[Act01]:[Act12]],$P$4:$AA$4)/valUnits2</f>
        <v>1.1169999999999999E-2</v>
      </c>
      <c r="AG664" s="34">
        <f>DB_STProjectsSOF[[#This Row],[Actual]]-DB_STProjectsSOF[[#This Row],[Plan]]</f>
        <v>9.1399999999999988E-4</v>
      </c>
      <c r="AH664" s="34">
        <f>IF(DB_STProjectsSOF[[#This Row],[Plan]]&lt;&gt;0,DB_STProjectsSOF[[#This Row],[Actual]]/DB_STProjectsSOF[[#This Row],[Plan]],1.000011000011)</f>
        <v>1.0891185647425896</v>
      </c>
      <c r="AI664" s="34">
        <f>SUM(DB_STProjectsSOF[[#This Row],[Plan01]:[Plan12]])/valUnits2</f>
        <v>1.0255999999999999E-2</v>
      </c>
      <c r="AJ664" s="34">
        <f>SUMPRODUCT(DB_STProjectsSOF[[#This Row],[Act01]:[Act12]],$P$3:$AA$3)/valUnits2</f>
        <v>1.1169999999999999E-2</v>
      </c>
      <c r="AK664" s="34">
        <f>IF(DB_STProjectsSOF[[#This Row],[FY Plan]]&lt;&gt;0,DB_STProjectsSOF[[#This Row],[FY Actuals]]/DB_STProjectsSOF[[#This Row],[FY Plan]],1.000011000011)</f>
        <v>1.0891185647425896</v>
      </c>
    </row>
    <row r="665" spans="1:37" hidden="1" x14ac:dyDescent="0.2">
      <c r="A665">
        <f>SUBTOTAL(3,$B$6:B665)</f>
        <v>0</v>
      </c>
      <c r="B665" t="s">
        <v>968</v>
      </c>
      <c r="C665" t="s">
        <v>876</v>
      </c>
      <c r="I665">
        <v>0</v>
      </c>
      <c r="U665">
        <v>0.91</v>
      </c>
      <c r="AB665" s="164">
        <v>40817</v>
      </c>
      <c r="AC665" s="164">
        <v>41820</v>
      </c>
      <c r="AD665" s="164">
        <v>41835</v>
      </c>
      <c r="AE665" s="34">
        <f>SUMPRODUCT(DB_STProjectsSOF[[#This Row],[Plan01]:[Plan12]],$D$4:$O$4)/valUnits2</f>
        <v>0</v>
      </c>
      <c r="AF665" s="34">
        <f>SUMPRODUCT(DB_STProjectsSOF[[#This Row],[Act01]:[Act12]],$P$4:$AA$4)/valUnits2</f>
        <v>9.1E-4</v>
      </c>
      <c r="AG665" s="34">
        <f>DB_STProjectsSOF[[#This Row],[Actual]]-DB_STProjectsSOF[[#This Row],[Plan]]</f>
        <v>9.1E-4</v>
      </c>
      <c r="AH665" s="34">
        <f>IF(DB_STProjectsSOF[[#This Row],[Plan]]&lt;&gt;0,DB_STProjectsSOF[[#This Row],[Actual]]/DB_STProjectsSOF[[#This Row],[Plan]],1.000011000011)</f>
        <v>1.0000110000110001</v>
      </c>
      <c r="AI665" s="34">
        <f>SUM(DB_STProjectsSOF[[#This Row],[Plan01]:[Plan12]])/valUnits2</f>
        <v>0</v>
      </c>
      <c r="AJ665" s="34">
        <f>SUMPRODUCT(DB_STProjectsSOF[[#This Row],[Act01]:[Act12]],$P$3:$AA$3)/valUnits2</f>
        <v>9.1E-4</v>
      </c>
      <c r="AK665" s="34">
        <f>IF(DB_STProjectsSOF[[#This Row],[FY Plan]]&lt;&gt;0,DB_STProjectsSOF[[#This Row],[FY Actuals]]/DB_STProjectsSOF[[#This Row],[FY Plan]],1.000011000011)</f>
        <v>1.0000110000110001</v>
      </c>
    </row>
    <row r="666" spans="1:37" hidden="1" x14ac:dyDescent="0.2">
      <c r="A666">
        <f>SUBTOTAL(3,$B$6:B666)</f>
        <v>0</v>
      </c>
      <c r="B666" t="s">
        <v>968</v>
      </c>
      <c r="C666" t="s">
        <v>362</v>
      </c>
      <c r="I666">
        <v>0</v>
      </c>
      <c r="U666">
        <v>0.59</v>
      </c>
      <c r="AB666" s="164">
        <v>40909</v>
      </c>
      <c r="AC666" s="164">
        <v>41486</v>
      </c>
      <c r="AD666" s="164">
        <v>41670</v>
      </c>
      <c r="AE666" s="34">
        <f>SUMPRODUCT(DB_STProjectsSOF[[#This Row],[Plan01]:[Plan12]],$D$4:$O$4)/valUnits2</f>
        <v>0</v>
      </c>
      <c r="AF666" s="34">
        <f>SUMPRODUCT(DB_STProjectsSOF[[#This Row],[Act01]:[Act12]],$P$4:$AA$4)/valUnits2</f>
        <v>5.8999999999999992E-4</v>
      </c>
      <c r="AG666" s="34">
        <f>DB_STProjectsSOF[[#This Row],[Actual]]-DB_STProjectsSOF[[#This Row],[Plan]]</f>
        <v>5.8999999999999992E-4</v>
      </c>
      <c r="AH666" s="34">
        <f>IF(DB_STProjectsSOF[[#This Row],[Plan]]&lt;&gt;0,DB_STProjectsSOF[[#This Row],[Actual]]/DB_STProjectsSOF[[#This Row],[Plan]],1.000011000011)</f>
        <v>1.0000110000110001</v>
      </c>
      <c r="AI666" s="34">
        <f>SUM(DB_STProjectsSOF[[#This Row],[Plan01]:[Plan12]])/valUnits2</f>
        <v>0</v>
      </c>
      <c r="AJ666" s="34">
        <f>SUMPRODUCT(DB_STProjectsSOF[[#This Row],[Act01]:[Act12]],$P$3:$AA$3)/valUnits2</f>
        <v>5.8999999999999992E-4</v>
      </c>
      <c r="AK666" s="34">
        <f>IF(DB_STProjectsSOF[[#This Row],[FY Plan]]&lt;&gt;0,DB_STProjectsSOF[[#This Row],[FY Actuals]]/DB_STProjectsSOF[[#This Row],[FY Plan]],1.000011000011)</f>
        <v>1.0000110000110001</v>
      </c>
    </row>
    <row r="667" spans="1:37" hidden="1" x14ac:dyDescent="0.2">
      <c r="A667">
        <f>SUBTOTAL(3,$B$6:B667)</f>
        <v>0</v>
      </c>
      <c r="B667" t="s">
        <v>968</v>
      </c>
      <c r="C667" t="s">
        <v>877</v>
      </c>
      <c r="I667">
        <v>0</v>
      </c>
      <c r="U667">
        <v>2.35</v>
      </c>
      <c r="AB667" s="164">
        <v>40817</v>
      </c>
      <c r="AC667" s="164">
        <v>41639</v>
      </c>
      <c r="AD667" s="164">
        <v>41729</v>
      </c>
      <c r="AE667" s="34">
        <f>SUMPRODUCT(DB_STProjectsSOF[[#This Row],[Plan01]:[Plan12]],$D$4:$O$4)/valUnits2</f>
        <v>0</v>
      </c>
      <c r="AF667" s="34">
        <f>SUMPRODUCT(DB_STProjectsSOF[[#This Row],[Act01]:[Act12]],$P$4:$AA$4)/valUnits2</f>
        <v>2.3500000000000001E-3</v>
      </c>
      <c r="AG667" s="34">
        <f>DB_STProjectsSOF[[#This Row],[Actual]]-DB_STProjectsSOF[[#This Row],[Plan]]</f>
        <v>2.3500000000000001E-3</v>
      </c>
      <c r="AH667" s="34">
        <f>IF(DB_STProjectsSOF[[#This Row],[Plan]]&lt;&gt;0,DB_STProjectsSOF[[#This Row],[Actual]]/DB_STProjectsSOF[[#This Row],[Plan]],1.000011000011)</f>
        <v>1.0000110000110001</v>
      </c>
      <c r="AI667" s="34">
        <f>SUM(DB_STProjectsSOF[[#This Row],[Plan01]:[Plan12]])/valUnits2</f>
        <v>0</v>
      </c>
      <c r="AJ667" s="34">
        <f>SUMPRODUCT(DB_STProjectsSOF[[#This Row],[Act01]:[Act12]],$P$3:$AA$3)/valUnits2</f>
        <v>2.3500000000000001E-3</v>
      </c>
      <c r="AK667" s="34">
        <f>IF(DB_STProjectsSOF[[#This Row],[FY Plan]]&lt;&gt;0,DB_STProjectsSOF[[#This Row],[FY Actuals]]/DB_STProjectsSOF[[#This Row],[FY Plan]],1.000011000011)</f>
        <v>1.0000110000110001</v>
      </c>
    </row>
    <row r="668" spans="1:37" hidden="1" x14ac:dyDescent="0.2">
      <c r="A668">
        <f>SUBTOTAL(3,$B$6:B668)</f>
        <v>0</v>
      </c>
      <c r="B668" t="s">
        <v>968</v>
      </c>
      <c r="C668" t="s">
        <v>881</v>
      </c>
      <c r="I668">
        <v>0</v>
      </c>
      <c r="U668">
        <v>1.1599999999999999</v>
      </c>
      <c r="AB668" s="164">
        <v>41275</v>
      </c>
      <c r="AC668" s="164">
        <v>41639</v>
      </c>
      <c r="AD668" s="164">
        <v>41685</v>
      </c>
      <c r="AE668" s="34">
        <f>SUMPRODUCT(DB_STProjectsSOF[[#This Row],[Plan01]:[Plan12]],$D$4:$O$4)/valUnits2</f>
        <v>0</v>
      </c>
      <c r="AF668" s="34">
        <f>SUMPRODUCT(DB_STProjectsSOF[[#This Row],[Act01]:[Act12]],$P$4:$AA$4)/valUnits2</f>
        <v>1.16E-3</v>
      </c>
      <c r="AG668" s="34">
        <f>DB_STProjectsSOF[[#This Row],[Actual]]-DB_STProjectsSOF[[#This Row],[Plan]]</f>
        <v>1.16E-3</v>
      </c>
      <c r="AH668" s="34">
        <f>IF(DB_STProjectsSOF[[#This Row],[Plan]]&lt;&gt;0,DB_STProjectsSOF[[#This Row],[Actual]]/DB_STProjectsSOF[[#This Row],[Plan]],1.000011000011)</f>
        <v>1.0000110000110001</v>
      </c>
      <c r="AI668" s="34">
        <f>SUM(DB_STProjectsSOF[[#This Row],[Plan01]:[Plan12]])/valUnits2</f>
        <v>0</v>
      </c>
      <c r="AJ668" s="34">
        <f>SUMPRODUCT(DB_STProjectsSOF[[#This Row],[Act01]:[Act12]],$P$3:$AA$3)/valUnits2</f>
        <v>1.16E-3</v>
      </c>
      <c r="AK668" s="34">
        <f>IF(DB_STProjectsSOF[[#This Row],[FY Plan]]&lt;&gt;0,DB_STProjectsSOF[[#This Row],[FY Actuals]]/DB_STProjectsSOF[[#This Row],[FY Plan]],1.000011000011)</f>
        <v>1.0000110000110001</v>
      </c>
    </row>
    <row r="669" spans="1:37" hidden="1" x14ac:dyDescent="0.2">
      <c r="A669">
        <f>SUBTOTAL(3,$B$6:B669)</f>
        <v>0</v>
      </c>
      <c r="B669" t="s">
        <v>968</v>
      </c>
      <c r="C669" t="s">
        <v>884</v>
      </c>
      <c r="D669">
        <v>1194.347</v>
      </c>
      <c r="E669">
        <v>1195.8869999999999</v>
      </c>
      <c r="F669">
        <v>1249.077</v>
      </c>
      <c r="G669">
        <v>1166.6669999999999</v>
      </c>
      <c r="H669">
        <v>944.4369999999999</v>
      </c>
      <c r="I669">
        <v>1166.6669999999999</v>
      </c>
      <c r="J669">
        <v>1166.6669999999999</v>
      </c>
      <c r="K669">
        <v>1166.6669999999999</v>
      </c>
      <c r="L669">
        <v>1166.6669999999999</v>
      </c>
      <c r="M669">
        <v>1166.6669999999999</v>
      </c>
      <c r="N669">
        <v>1166.6669999999999</v>
      </c>
      <c r="O669">
        <v>1166.6669999999999</v>
      </c>
      <c r="P669">
        <v>27.68</v>
      </c>
      <c r="Q669">
        <v>29.22</v>
      </c>
      <c r="R669">
        <v>82.41</v>
      </c>
      <c r="S669">
        <v>0</v>
      </c>
      <c r="T669">
        <v>-222.23000000000002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s="164">
        <v>40909</v>
      </c>
      <c r="AC669" s="164">
        <v>41274</v>
      </c>
      <c r="AD669" s="164">
        <v>41364</v>
      </c>
      <c r="AE669" s="34">
        <f>SUMPRODUCT(DB_STProjectsSOF[[#This Row],[Plan01]:[Plan12]],$D$4:$O$4)/valUnits2</f>
        <v>6.9170819999999988</v>
      </c>
      <c r="AF669" s="34">
        <f>SUMPRODUCT(DB_STProjectsSOF[[#This Row],[Act01]:[Act12]],$P$4:$AA$4)/valUnits2</f>
        <v>-8.2920000000000021E-2</v>
      </c>
      <c r="AG669" s="34">
        <f>DB_STProjectsSOF[[#This Row],[Actual]]-DB_STProjectsSOF[[#This Row],[Plan]]</f>
        <v>-7.0000019999999985</v>
      </c>
      <c r="AH669" s="34">
        <f>IF(DB_STProjectsSOF[[#This Row],[Plan]]&lt;&gt;0,DB_STProjectsSOF[[#This Row],[Actual]]/DB_STProjectsSOF[[#This Row],[Plan]],1.000011000011)</f>
        <v>-1.198771389438495E-2</v>
      </c>
      <c r="AI669" s="34">
        <f>SUM(DB_STProjectsSOF[[#This Row],[Plan01]:[Plan12]])/valUnits2</f>
        <v>13.917083999999996</v>
      </c>
      <c r="AJ669" s="34">
        <f>SUMPRODUCT(DB_STProjectsSOF[[#This Row],[Act01]:[Act12]],$P$3:$AA$3)/valUnits2</f>
        <v>-8.2920000000000021E-2</v>
      </c>
      <c r="AK669" s="34">
        <f>IF(DB_STProjectsSOF[[#This Row],[FY Plan]]&lt;&gt;0,DB_STProjectsSOF[[#This Row],[FY Actuals]]/DB_STProjectsSOF[[#This Row],[FY Plan]],1.000011000011)</f>
        <v>-5.9581446803080333E-3</v>
      </c>
    </row>
    <row r="670" spans="1:37" hidden="1" x14ac:dyDescent="0.2">
      <c r="A670">
        <f>SUBTOTAL(3,$B$6:B670)</f>
        <v>0</v>
      </c>
      <c r="B670" t="s">
        <v>968</v>
      </c>
      <c r="C670" t="s">
        <v>885</v>
      </c>
      <c r="I670">
        <v>0</v>
      </c>
      <c r="U670">
        <v>1.19</v>
      </c>
      <c r="AB670" s="164">
        <v>40817</v>
      </c>
      <c r="AC670" s="164">
        <v>41639</v>
      </c>
      <c r="AD670" s="164">
        <v>41820</v>
      </c>
      <c r="AE670" s="34">
        <f>SUMPRODUCT(DB_STProjectsSOF[[#This Row],[Plan01]:[Plan12]],$D$4:$O$4)/valUnits2</f>
        <v>0</v>
      </c>
      <c r="AF670" s="34">
        <f>SUMPRODUCT(DB_STProjectsSOF[[#This Row],[Act01]:[Act12]],$P$4:$AA$4)/valUnits2</f>
        <v>1.1899999999999999E-3</v>
      </c>
      <c r="AG670" s="34">
        <f>DB_STProjectsSOF[[#This Row],[Actual]]-DB_STProjectsSOF[[#This Row],[Plan]]</f>
        <v>1.1899999999999999E-3</v>
      </c>
      <c r="AH670" s="34">
        <f>IF(DB_STProjectsSOF[[#This Row],[Plan]]&lt;&gt;0,DB_STProjectsSOF[[#This Row],[Actual]]/DB_STProjectsSOF[[#This Row],[Plan]],1.000011000011)</f>
        <v>1.0000110000110001</v>
      </c>
      <c r="AI670" s="34">
        <f>SUM(DB_STProjectsSOF[[#This Row],[Plan01]:[Plan12]])/valUnits2</f>
        <v>0</v>
      </c>
      <c r="AJ670" s="34">
        <f>SUMPRODUCT(DB_STProjectsSOF[[#This Row],[Act01]:[Act12]],$P$3:$AA$3)/valUnits2</f>
        <v>1.1899999999999999E-3</v>
      </c>
      <c r="AK670" s="34">
        <f>IF(DB_STProjectsSOF[[#This Row],[FY Plan]]&lt;&gt;0,DB_STProjectsSOF[[#This Row],[FY Actuals]]/DB_STProjectsSOF[[#This Row],[FY Plan]],1.000011000011)</f>
        <v>1.0000110000110001</v>
      </c>
    </row>
    <row r="671" spans="1:37" hidden="1" x14ac:dyDescent="0.2">
      <c r="A671">
        <f>SUBTOTAL(3,$B$6:B671)</f>
        <v>0</v>
      </c>
      <c r="B671" t="s">
        <v>968</v>
      </c>
      <c r="C671" t="s">
        <v>361</v>
      </c>
      <c r="I671">
        <v>0</v>
      </c>
      <c r="U671">
        <v>0.23</v>
      </c>
      <c r="AB671" s="164">
        <v>41091</v>
      </c>
      <c r="AC671" s="164">
        <v>41455</v>
      </c>
      <c r="AD671" s="164">
        <v>41486</v>
      </c>
      <c r="AE671" s="34">
        <f>SUMPRODUCT(DB_STProjectsSOF[[#This Row],[Plan01]:[Plan12]],$D$4:$O$4)/valUnits2</f>
        <v>0</v>
      </c>
      <c r="AF671" s="34">
        <f>SUMPRODUCT(DB_STProjectsSOF[[#This Row],[Act01]:[Act12]],$P$4:$AA$4)/valUnits2</f>
        <v>2.3000000000000001E-4</v>
      </c>
      <c r="AG671" s="34">
        <f>DB_STProjectsSOF[[#This Row],[Actual]]-DB_STProjectsSOF[[#This Row],[Plan]]</f>
        <v>2.3000000000000001E-4</v>
      </c>
      <c r="AH671" s="34">
        <f>IF(DB_STProjectsSOF[[#This Row],[Plan]]&lt;&gt;0,DB_STProjectsSOF[[#This Row],[Actual]]/DB_STProjectsSOF[[#This Row],[Plan]],1.000011000011)</f>
        <v>1.0000110000110001</v>
      </c>
      <c r="AI671" s="34">
        <f>SUM(DB_STProjectsSOF[[#This Row],[Plan01]:[Plan12]])/valUnits2</f>
        <v>0</v>
      </c>
      <c r="AJ671" s="34">
        <f>SUMPRODUCT(DB_STProjectsSOF[[#This Row],[Act01]:[Act12]],$P$3:$AA$3)/valUnits2</f>
        <v>2.3000000000000001E-4</v>
      </c>
      <c r="AK671" s="34">
        <f>IF(DB_STProjectsSOF[[#This Row],[FY Plan]]&lt;&gt;0,DB_STProjectsSOF[[#This Row],[FY Actuals]]/DB_STProjectsSOF[[#This Row],[FY Plan]],1.000011000011)</f>
        <v>1.0000110000110001</v>
      </c>
    </row>
    <row r="672" spans="1:37" hidden="1" x14ac:dyDescent="0.2">
      <c r="A672">
        <f>SUBTOTAL(3,$B$6:B672)</f>
        <v>0</v>
      </c>
      <c r="B672" t="s">
        <v>968</v>
      </c>
      <c r="C672" t="s">
        <v>358</v>
      </c>
      <c r="I672">
        <v>0</v>
      </c>
      <c r="U672">
        <v>0.86</v>
      </c>
      <c r="AB672" s="164">
        <v>41091</v>
      </c>
      <c r="AC672" s="164">
        <v>41455</v>
      </c>
      <c r="AD672" s="164">
        <v>41517</v>
      </c>
      <c r="AE672" s="34">
        <f>SUMPRODUCT(DB_STProjectsSOF[[#This Row],[Plan01]:[Plan12]],$D$4:$O$4)/valUnits2</f>
        <v>0</v>
      </c>
      <c r="AF672" s="34">
        <f>SUMPRODUCT(DB_STProjectsSOF[[#This Row],[Act01]:[Act12]],$P$4:$AA$4)/valUnits2</f>
        <v>8.5999999999999998E-4</v>
      </c>
      <c r="AG672" s="34">
        <f>DB_STProjectsSOF[[#This Row],[Actual]]-DB_STProjectsSOF[[#This Row],[Plan]]</f>
        <v>8.5999999999999998E-4</v>
      </c>
      <c r="AH672" s="34">
        <f>IF(DB_STProjectsSOF[[#This Row],[Plan]]&lt;&gt;0,DB_STProjectsSOF[[#This Row],[Actual]]/DB_STProjectsSOF[[#This Row],[Plan]],1.000011000011)</f>
        <v>1.0000110000110001</v>
      </c>
      <c r="AI672" s="34">
        <f>SUM(DB_STProjectsSOF[[#This Row],[Plan01]:[Plan12]])/valUnits2</f>
        <v>0</v>
      </c>
      <c r="AJ672" s="34">
        <f>SUMPRODUCT(DB_STProjectsSOF[[#This Row],[Act01]:[Act12]],$P$3:$AA$3)/valUnits2</f>
        <v>8.5999999999999998E-4</v>
      </c>
      <c r="AK672" s="34">
        <f>IF(DB_STProjectsSOF[[#This Row],[FY Plan]]&lt;&gt;0,DB_STProjectsSOF[[#This Row],[FY Actuals]]/DB_STProjectsSOF[[#This Row],[FY Plan]],1.000011000011)</f>
        <v>1.0000110000110001</v>
      </c>
    </row>
    <row r="673" spans="1:37" hidden="1" x14ac:dyDescent="0.2">
      <c r="A673">
        <f>SUBTOTAL(3,$B$6:B673)</f>
        <v>0</v>
      </c>
      <c r="B673" t="s">
        <v>968</v>
      </c>
      <c r="C673" t="s">
        <v>890</v>
      </c>
      <c r="I673">
        <v>0</v>
      </c>
      <c r="U673">
        <v>1.27</v>
      </c>
      <c r="AB673" s="164">
        <v>40817</v>
      </c>
      <c r="AC673" s="164">
        <v>41639</v>
      </c>
      <c r="AD673" s="164">
        <v>41639</v>
      </c>
      <c r="AE673" s="34">
        <f>SUMPRODUCT(DB_STProjectsSOF[[#This Row],[Plan01]:[Plan12]],$D$4:$O$4)/valUnits2</f>
        <v>0</v>
      </c>
      <c r="AF673" s="34">
        <f>SUMPRODUCT(DB_STProjectsSOF[[#This Row],[Act01]:[Act12]],$P$4:$AA$4)/valUnits2</f>
        <v>1.2700000000000001E-3</v>
      </c>
      <c r="AG673" s="34">
        <f>DB_STProjectsSOF[[#This Row],[Actual]]-DB_STProjectsSOF[[#This Row],[Plan]]</f>
        <v>1.2700000000000001E-3</v>
      </c>
      <c r="AH673" s="34">
        <f>IF(DB_STProjectsSOF[[#This Row],[Plan]]&lt;&gt;0,DB_STProjectsSOF[[#This Row],[Actual]]/DB_STProjectsSOF[[#This Row],[Plan]],1.000011000011)</f>
        <v>1.0000110000110001</v>
      </c>
      <c r="AI673" s="34">
        <f>SUM(DB_STProjectsSOF[[#This Row],[Plan01]:[Plan12]])/valUnits2</f>
        <v>0</v>
      </c>
      <c r="AJ673" s="34">
        <f>SUMPRODUCT(DB_STProjectsSOF[[#This Row],[Act01]:[Act12]],$P$3:$AA$3)/valUnits2</f>
        <v>1.2700000000000001E-3</v>
      </c>
      <c r="AK673" s="34">
        <f>IF(DB_STProjectsSOF[[#This Row],[FY Plan]]&lt;&gt;0,DB_STProjectsSOF[[#This Row],[FY Actuals]]/DB_STProjectsSOF[[#This Row],[FY Plan]],1.000011000011)</f>
        <v>1.0000110000110001</v>
      </c>
    </row>
    <row r="674" spans="1:37" hidden="1" x14ac:dyDescent="0.2">
      <c r="A674">
        <f>SUBTOTAL(3,$B$6:B674)</f>
        <v>0</v>
      </c>
      <c r="B674" t="s">
        <v>968</v>
      </c>
      <c r="C674" t="s">
        <v>891</v>
      </c>
      <c r="I674">
        <v>0</v>
      </c>
      <c r="U674">
        <v>0.91</v>
      </c>
      <c r="AB674" s="164">
        <v>41214</v>
      </c>
      <c r="AC674" s="164">
        <v>42308</v>
      </c>
      <c r="AD674" s="164">
        <v>42389</v>
      </c>
      <c r="AE674" s="34">
        <f>SUMPRODUCT(DB_STProjectsSOF[[#This Row],[Plan01]:[Plan12]],$D$4:$O$4)/valUnits2</f>
        <v>0</v>
      </c>
      <c r="AF674" s="34">
        <f>SUMPRODUCT(DB_STProjectsSOF[[#This Row],[Act01]:[Act12]],$P$4:$AA$4)/valUnits2</f>
        <v>9.1E-4</v>
      </c>
      <c r="AG674" s="34">
        <f>DB_STProjectsSOF[[#This Row],[Actual]]-DB_STProjectsSOF[[#This Row],[Plan]]</f>
        <v>9.1E-4</v>
      </c>
      <c r="AH674" s="34">
        <f>IF(DB_STProjectsSOF[[#This Row],[Plan]]&lt;&gt;0,DB_STProjectsSOF[[#This Row],[Actual]]/DB_STProjectsSOF[[#This Row],[Plan]],1.000011000011)</f>
        <v>1.0000110000110001</v>
      </c>
      <c r="AI674" s="34">
        <f>SUM(DB_STProjectsSOF[[#This Row],[Plan01]:[Plan12]])/valUnits2</f>
        <v>0</v>
      </c>
      <c r="AJ674" s="34">
        <f>SUMPRODUCT(DB_STProjectsSOF[[#This Row],[Act01]:[Act12]],$P$3:$AA$3)/valUnits2</f>
        <v>9.1E-4</v>
      </c>
      <c r="AK674" s="34">
        <f>IF(DB_STProjectsSOF[[#This Row],[FY Plan]]&lt;&gt;0,DB_STProjectsSOF[[#This Row],[FY Actuals]]/DB_STProjectsSOF[[#This Row],[FY Plan]],1.000011000011)</f>
        <v>1.0000110000110001</v>
      </c>
    </row>
    <row r="675" spans="1:37" hidden="1" x14ac:dyDescent="0.2">
      <c r="A675">
        <f>SUBTOTAL(3,$B$6:B675)</f>
        <v>0</v>
      </c>
      <c r="B675" t="s">
        <v>968</v>
      </c>
      <c r="C675" t="s">
        <v>368</v>
      </c>
      <c r="I675">
        <v>0</v>
      </c>
      <c r="U675">
        <v>10.37</v>
      </c>
      <c r="AB675" s="164">
        <v>41000</v>
      </c>
      <c r="AC675" s="164">
        <v>41820</v>
      </c>
      <c r="AD675" s="164">
        <v>41517</v>
      </c>
      <c r="AE675" s="34">
        <f>SUMPRODUCT(DB_STProjectsSOF[[#This Row],[Plan01]:[Plan12]],$D$4:$O$4)/valUnits2</f>
        <v>0</v>
      </c>
      <c r="AF675" s="34">
        <f>SUMPRODUCT(DB_STProjectsSOF[[#This Row],[Act01]:[Act12]],$P$4:$AA$4)/valUnits2</f>
        <v>1.0369999999999999E-2</v>
      </c>
      <c r="AG675" s="34">
        <f>DB_STProjectsSOF[[#This Row],[Actual]]-DB_STProjectsSOF[[#This Row],[Plan]]</f>
        <v>1.0369999999999999E-2</v>
      </c>
      <c r="AH675" s="34">
        <f>IF(DB_STProjectsSOF[[#This Row],[Plan]]&lt;&gt;0,DB_STProjectsSOF[[#This Row],[Actual]]/DB_STProjectsSOF[[#This Row],[Plan]],1.000011000011)</f>
        <v>1.0000110000110001</v>
      </c>
      <c r="AI675" s="34">
        <f>SUM(DB_STProjectsSOF[[#This Row],[Plan01]:[Plan12]])/valUnits2</f>
        <v>0</v>
      </c>
      <c r="AJ675" s="34">
        <f>SUMPRODUCT(DB_STProjectsSOF[[#This Row],[Act01]:[Act12]],$P$3:$AA$3)/valUnits2</f>
        <v>1.0369999999999999E-2</v>
      </c>
      <c r="AK675" s="34">
        <f>IF(DB_STProjectsSOF[[#This Row],[FY Plan]]&lt;&gt;0,DB_STProjectsSOF[[#This Row],[FY Actuals]]/DB_STProjectsSOF[[#This Row],[FY Plan]],1.000011000011)</f>
        <v>1.0000110000110001</v>
      </c>
    </row>
    <row r="676" spans="1:37" hidden="1" x14ac:dyDescent="0.2">
      <c r="A676">
        <f>SUBTOTAL(3,$B$6:B676)</f>
        <v>0</v>
      </c>
      <c r="B676" t="s">
        <v>968</v>
      </c>
      <c r="C676" t="s">
        <v>892</v>
      </c>
      <c r="I676">
        <v>0</v>
      </c>
      <c r="U676">
        <v>0.31</v>
      </c>
      <c r="AB676" s="164">
        <v>40817</v>
      </c>
      <c r="AC676" s="164">
        <v>41639</v>
      </c>
      <c r="AD676" s="164">
        <v>3</v>
      </c>
      <c r="AE676" s="34">
        <f>SUMPRODUCT(DB_STProjectsSOF[[#This Row],[Plan01]:[Plan12]],$D$4:$O$4)/valUnits2</f>
        <v>0</v>
      </c>
      <c r="AF676" s="34">
        <f>SUMPRODUCT(DB_STProjectsSOF[[#This Row],[Act01]:[Act12]],$P$4:$AA$4)/valUnits2</f>
        <v>3.1E-4</v>
      </c>
      <c r="AG676" s="34">
        <f>DB_STProjectsSOF[[#This Row],[Actual]]-DB_STProjectsSOF[[#This Row],[Plan]]</f>
        <v>3.1E-4</v>
      </c>
      <c r="AH676" s="34">
        <f>IF(DB_STProjectsSOF[[#This Row],[Plan]]&lt;&gt;0,DB_STProjectsSOF[[#This Row],[Actual]]/DB_STProjectsSOF[[#This Row],[Plan]],1.000011000011)</f>
        <v>1.0000110000110001</v>
      </c>
      <c r="AI676" s="34">
        <f>SUM(DB_STProjectsSOF[[#This Row],[Plan01]:[Plan12]])/valUnits2</f>
        <v>0</v>
      </c>
      <c r="AJ676" s="34">
        <f>SUMPRODUCT(DB_STProjectsSOF[[#This Row],[Act01]:[Act12]],$P$3:$AA$3)/valUnits2</f>
        <v>3.1E-4</v>
      </c>
      <c r="AK676" s="34">
        <f>IF(DB_STProjectsSOF[[#This Row],[FY Plan]]&lt;&gt;0,DB_STProjectsSOF[[#This Row],[FY Actuals]]/DB_STProjectsSOF[[#This Row],[FY Plan]],1.000011000011)</f>
        <v>1.0000110000110001</v>
      </c>
    </row>
    <row r="677" spans="1:37" hidden="1" x14ac:dyDescent="0.2">
      <c r="A677">
        <f>SUBTOTAL(3,$B$6:B677)</f>
        <v>0</v>
      </c>
      <c r="B677" t="s">
        <v>968</v>
      </c>
      <c r="C677" t="s">
        <v>895</v>
      </c>
      <c r="I677">
        <v>0</v>
      </c>
      <c r="U677">
        <v>1.05</v>
      </c>
      <c r="AB677" s="164">
        <v>40553</v>
      </c>
      <c r="AC677" s="164">
        <v>41897</v>
      </c>
      <c r="AD677" s="164">
        <v>41988</v>
      </c>
      <c r="AE677" s="34">
        <f>SUMPRODUCT(DB_STProjectsSOF[[#This Row],[Plan01]:[Plan12]],$D$4:$O$4)/valUnits2</f>
        <v>0</v>
      </c>
      <c r="AF677" s="34">
        <f>SUMPRODUCT(DB_STProjectsSOF[[#This Row],[Act01]:[Act12]],$P$4:$AA$4)/valUnits2</f>
        <v>1.0500000000000002E-3</v>
      </c>
      <c r="AG677" s="34">
        <f>DB_STProjectsSOF[[#This Row],[Actual]]-DB_STProjectsSOF[[#This Row],[Plan]]</f>
        <v>1.0500000000000002E-3</v>
      </c>
      <c r="AH677" s="34">
        <f>IF(DB_STProjectsSOF[[#This Row],[Plan]]&lt;&gt;0,DB_STProjectsSOF[[#This Row],[Actual]]/DB_STProjectsSOF[[#This Row],[Plan]],1.000011000011)</f>
        <v>1.0000110000110001</v>
      </c>
      <c r="AI677" s="34">
        <f>SUM(DB_STProjectsSOF[[#This Row],[Plan01]:[Plan12]])/valUnits2</f>
        <v>0</v>
      </c>
      <c r="AJ677" s="34">
        <f>SUMPRODUCT(DB_STProjectsSOF[[#This Row],[Act01]:[Act12]],$P$3:$AA$3)/valUnits2</f>
        <v>1.0500000000000002E-3</v>
      </c>
      <c r="AK677" s="34">
        <f>IF(DB_STProjectsSOF[[#This Row],[FY Plan]]&lt;&gt;0,DB_STProjectsSOF[[#This Row],[FY Actuals]]/DB_STProjectsSOF[[#This Row],[FY Plan]],1.000011000011)</f>
        <v>1.0000110000110001</v>
      </c>
    </row>
    <row r="678" spans="1:37" hidden="1" x14ac:dyDescent="0.2">
      <c r="A678">
        <f>SUBTOTAL(3,$B$6:B678)</f>
        <v>0</v>
      </c>
      <c r="B678" t="s">
        <v>968</v>
      </c>
      <c r="C678" t="s">
        <v>896</v>
      </c>
      <c r="H678">
        <v>177.86799999999999</v>
      </c>
      <c r="I678">
        <v>0</v>
      </c>
      <c r="T678">
        <v>178.73</v>
      </c>
      <c r="U678">
        <v>37.35</v>
      </c>
      <c r="AB678" s="164">
        <v>40817</v>
      </c>
      <c r="AC678" s="164">
        <v>41639</v>
      </c>
      <c r="AD678" s="164">
        <v>41820</v>
      </c>
      <c r="AE678" s="34">
        <f>SUMPRODUCT(DB_STProjectsSOF[[#This Row],[Plan01]:[Plan12]],$D$4:$O$4)/valUnits2</f>
        <v>0.177868</v>
      </c>
      <c r="AF678" s="34">
        <f>SUMPRODUCT(DB_STProjectsSOF[[#This Row],[Act01]:[Act12]],$P$4:$AA$4)/valUnits2</f>
        <v>0.21607999999999999</v>
      </c>
      <c r="AG678" s="34">
        <f>DB_STProjectsSOF[[#This Row],[Actual]]-DB_STProjectsSOF[[#This Row],[Plan]]</f>
        <v>3.8211999999999996E-2</v>
      </c>
      <c r="AH678" s="34">
        <f>IF(DB_STProjectsSOF[[#This Row],[Plan]]&lt;&gt;0,DB_STProjectsSOF[[#This Row],[Actual]]/DB_STProjectsSOF[[#This Row],[Plan]],1.000011000011)</f>
        <v>1.2148334720129534</v>
      </c>
      <c r="AI678" s="34">
        <f>SUM(DB_STProjectsSOF[[#This Row],[Plan01]:[Plan12]])/valUnits2</f>
        <v>0.177868</v>
      </c>
      <c r="AJ678" s="34">
        <f>SUMPRODUCT(DB_STProjectsSOF[[#This Row],[Act01]:[Act12]],$P$3:$AA$3)/valUnits2</f>
        <v>0.21607999999999999</v>
      </c>
      <c r="AK678" s="34">
        <f>IF(DB_STProjectsSOF[[#This Row],[FY Plan]]&lt;&gt;0,DB_STProjectsSOF[[#This Row],[FY Actuals]]/DB_STProjectsSOF[[#This Row],[FY Plan]],1.000011000011)</f>
        <v>1.2148334720129534</v>
      </c>
    </row>
    <row r="679" spans="1:37" hidden="1" x14ac:dyDescent="0.2">
      <c r="A679">
        <f>SUBTOTAL(3,$B$6:B679)</f>
        <v>0</v>
      </c>
      <c r="B679" t="s">
        <v>968</v>
      </c>
      <c r="C679" t="s">
        <v>903</v>
      </c>
      <c r="I679">
        <v>0</v>
      </c>
      <c r="U679">
        <v>0.17</v>
      </c>
      <c r="AB679" s="164">
        <v>41275</v>
      </c>
      <c r="AC679" s="164">
        <v>41639</v>
      </c>
      <c r="AD679" s="164">
        <v>41670</v>
      </c>
      <c r="AE679" s="34">
        <f>SUMPRODUCT(DB_STProjectsSOF[[#This Row],[Plan01]:[Plan12]],$D$4:$O$4)/valUnits2</f>
        <v>0</v>
      </c>
      <c r="AF679" s="34">
        <f>SUMPRODUCT(DB_STProjectsSOF[[#This Row],[Act01]:[Act12]],$P$4:$AA$4)/valUnits2</f>
        <v>1.7000000000000001E-4</v>
      </c>
      <c r="AG679" s="34">
        <f>DB_STProjectsSOF[[#This Row],[Actual]]-DB_STProjectsSOF[[#This Row],[Plan]]</f>
        <v>1.7000000000000001E-4</v>
      </c>
      <c r="AH679" s="34">
        <f>IF(DB_STProjectsSOF[[#This Row],[Plan]]&lt;&gt;0,DB_STProjectsSOF[[#This Row],[Actual]]/DB_STProjectsSOF[[#This Row],[Plan]],1.000011000011)</f>
        <v>1.0000110000110001</v>
      </c>
      <c r="AI679" s="34">
        <f>SUM(DB_STProjectsSOF[[#This Row],[Plan01]:[Plan12]])/valUnits2</f>
        <v>0</v>
      </c>
      <c r="AJ679" s="34">
        <f>SUMPRODUCT(DB_STProjectsSOF[[#This Row],[Act01]:[Act12]],$P$3:$AA$3)/valUnits2</f>
        <v>1.7000000000000001E-4</v>
      </c>
      <c r="AK679" s="34">
        <f>IF(DB_STProjectsSOF[[#This Row],[FY Plan]]&lt;&gt;0,DB_STProjectsSOF[[#This Row],[FY Actuals]]/DB_STProjectsSOF[[#This Row],[FY Plan]],1.000011000011)</f>
        <v>1.0000110000110001</v>
      </c>
    </row>
    <row r="680" spans="1:37" hidden="1" x14ac:dyDescent="0.2">
      <c r="A680">
        <f>SUBTOTAL(3,$B$6:B680)</f>
        <v>0</v>
      </c>
      <c r="B680" t="s">
        <v>968</v>
      </c>
      <c r="C680" t="s">
        <v>365</v>
      </c>
      <c r="I680">
        <v>0</v>
      </c>
      <c r="U680">
        <v>0.13</v>
      </c>
      <c r="AB680" s="164">
        <v>40878</v>
      </c>
      <c r="AC680" s="164">
        <v>41517</v>
      </c>
      <c r="AD680" s="164">
        <v>41547</v>
      </c>
      <c r="AE680" s="34">
        <f>SUMPRODUCT(DB_STProjectsSOF[[#This Row],[Plan01]:[Plan12]],$D$4:$O$4)/valUnits2</f>
        <v>0</v>
      </c>
      <c r="AF680" s="34">
        <f>SUMPRODUCT(DB_STProjectsSOF[[#This Row],[Act01]:[Act12]],$P$4:$AA$4)/valUnits2</f>
        <v>1.3000000000000002E-4</v>
      </c>
      <c r="AG680" s="34">
        <f>DB_STProjectsSOF[[#This Row],[Actual]]-DB_STProjectsSOF[[#This Row],[Plan]]</f>
        <v>1.3000000000000002E-4</v>
      </c>
      <c r="AH680" s="34">
        <f>IF(DB_STProjectsSOF[[#This Row],[Plan]]&lt;&gt;0,DB_STProjectsSOF[[#This Row],[Actual]]/DB_STProjectsSOF[[#This Row],[Plan]],1.000011000011)</f>
        <v>1.0000110000110001</v>
      </c>
      <c r="AI680" s="34">
        <f>SUM(DB_STProjectsSOF[[#This Row],[Plan01]:[Plan12]])/valUnits2</f>
        <v>0</v>
      </c>
      <c r="AJ680" s="34">
        <f>SUMPRODUCT(DB_STProjectsSOF[[#This Row],[Act01]:[Act12]],$P$3:$AA$3)/valUnits2</f>
        <v>1.3000000000000002E-4</v>
      </c>
      <c r="AK680" s="34">
        <f>IF(DB_STProjectsSOF[[#This Row],[FY Plan]]&lt;&gt;0,DB_STProjectsSOF[[#This Row],[FY Actuals]]/DB_STProjectsSOF[[#This Row],[FY Plan]],1.000011000011)</f>
        <v>1.0000110000110001</v>
      </c>
    </row>
    <row r="681" spans="1:37" hidden="1" x14ac:dyDescent="0.2">
      <c r="A681">
        <f>SUBTOTAL(3,$B$6:B681)</f>
        <v>0</v>
      </c>
      <c r="B681" t="s">
        <v>968</v>
      </c>
      <c r="C681" t="s">
        <v>904</v>
      </c>
      <c r="F681">
        <v>2.3330000000000002</v>
      </c>
      <c r="H681">
        <v>305.137</v>
      </c>
      <c r="I681">
        <v>0</v>
      </c>
      <c r="R681">
        <v>2.31</v>
      </c>
      <c r="T681">
        <v>301.14</v>
      </c>
      <c r="U681">
        <v>0.36</v>
      </c>
      <c r="AB681" s="164">
        <v>40817</v>
      </c>
      <c r="AC681" s="164">
        <v>41639</v>
      </c>
      <c r="AD681" s="164">
        <v>41698</v>
      </c>
      <c r="AE681" s="34">
        <f>SUMPRODUCT(DB_STProjectsSOF[[#This Row],[Plan01]:[Plan12]],$D$4:$O$4)/valUnits2</f>
        <v>0.30747000000000002</v>
      </c>
      <c r="AF681" s="34">
        <f>SUMPRODUCT(DB_STProjectsSOF[[#This Row],[Act01]:[Act12]],$P$4:$AA$4)/valUnits2</f>
        <v>0.30381000000000002</v>
      </c>
      <c r="AG681" s="34">
        <f>DB_STProjectsSOF[[#This Row],[Actual]]-DB_STProjectsSOF[[#This Row],[Plan]]</f>
        <v>-3.6599999999999966E-3</v>
      </c>
      <c r="AH681" s="34">
        <f>IF(DB_STProjectsSOF[[#This Row],[Plan]]&lt;&gt;0,DB_STProjectsSOF[[#This Row],[Actual]]/DB_STProjectsSOF[[#This Row],[Plan]],1.000011000011)</f>
        <v>0.98809639964874618</v>
      </c>
      <c r="AI681" s="34">
        <f>SUM(DB_STProjectsSOF[[#This Row],[Plan01]:[Plan12]])/valUnits2</f>
        <v>0.30747000000000002</v>
      </c>
      <c r="AJ681" s="34">
        <f>SUMPRODUCT(DB_STProjectsSOF[[#This Row],[Act01]:[Act12]],$P$3:$AA$3)/valUnits2</f>
        <v>0.30381000000000002</v>
      </c>
      <c r="AK681" s="34">
        <f>IF(DB_STProjectsSOF[[#This Row],[FY Plan]]&lt;&gt;0,DB_STProjectsSOF[[#This Row],[FY Actuals]]/DB_STProjectsSOF[[#This Row],[FY Plan]],1.000011000011)</f>
        <v>0.98809639964874618</v>
      </c>
    </row>
    <row r="682" spans="1:37" hidden="1" x14ac:dyDescent="0.2">
      <c r="A682">
        <f>SUBTOTAL(3,$B$6:B682)</f>
        <v>0</v>
      </c>
      <c r="B682" t="s">
        <v>968</v>
      </c>
      <c r="C682" t="s">
        <v>908</v>
      </c>
      <c r="I682">
        <v>0</v>
      </c>
      <c r="U682">
        <v>0.57999999999999996</v>
      </c>
      <c r="AB682" s="164">
        <v>40909</v>
      </c>
      <c r="AC682" s="164">
        <v>42003</v>
      </c>
      <c r="AD682" s="164">
        <v>42063</v>
      </c>
      <c r="AE682" s="34">
        <f>SUMPRODUCT(DB_STProjectsSOF[[#This Row],[Plan01]:[Plan12]],$D$4:$O$4)/valUnits2</f>
        <v>0</v>
      </c>
      <c r="AF682" s="34">
        <f>SUMPRODUCT(DB_STProjectsSOF[[#This Row],[Act01]:[Act12]],$P$4:$AA$4)/valUnits2</f>
        <v>5.8E-4</v>
      </c>
      <c r="AG682" s="34">
        <f>DB_STProjectsSOF[[#This Row],[Actual]]-DB_STProjectsSOF[[#This Row],[Plan]]</f>
        <v>5.8E-4</v>
      </c>
      <c r="AH682" s="34">
        <f>IF(DB_STProjectsSOF[[#This Row],[Plan]]&lt;&gt;0,DB_STProjectsSOF[[#This Row],[Actual]]/DB_STProjectsSOF[[#This Row],[Plan]],1.000011000011)</f>
        <v>1.0000110000110001</v>
      </c>
      <c r="AI682" s="34">
        <f>SUM(DB_STProjectsSOF[[#This Row],[Plan01]:[Plan12]])/valUnits2</f>
        <v>0</v>
      </c>
      <c r="AJ682" s="34">
        <f>SUMPRODUCT(DB_STProjectsSOF[[#This Row],[Act01]:[Act12]],$P$3:$AA$3)/valUnits2</f>
        <v>5.8E-4</v>
      </c>
      <c r="AK682" s="34">
        <f>IF(DB_STProjectsSOF[[#This Row],[FY Plan]]&lt;&gt;0,DB_STProjectsSOF[[#This Row],[FY Actuals]]/DB_STProjectsSOF[[#This Row],[FY Plan]],1.000011000011)</f>
        <v>1.0000110000110001</v>
      </c>
    </row>
    <row r="683" spans="1:37" hidden="1" x14ac:dyDescent="0.2">
      <c r="A683">
        <f>SUBTOTAL(3,$B$6:B683)</f>
        <v>0</v>
      </c>
      <c r="B683" t="s">
        <v>968</v>
      </c>
      <c r="C683" t="s">
        <v>909</v>
      </c>
      <c r="F683">
        <v>19.89</v>
      </c>
      <c r="H683">
        <v>1524.52</v>
      </c>
      <c r="I683">
        <v>0</v>
      </c>
      <c r="R683">
        <v>19.89</v>
      </c>
      <c r="T683">
        <v>1524.52</v>
      </c>
      <c r="U683">
        <v>9.99</v>
      </c>
      <c r="AB683" s="164">
        <v>40817</v>
      </c>
      <c r="AC683" s="164">
        <v>42155</v>
      </c>
      <c r="AD683" s="164">
        <v>42217</v>
      </c>
      <c r="AE683" s="34">
        <f>SUMPRODUCT(DB_STProjectsSOF[[#This Row],[Plan01]:[Plan12]],$D$4:$O$4)/valUnits2</f>
        <v>1.5444100000000001</v>
      </c>
      <c r="AF683" s="34">
        <f>SUMPRODUCT(DB_STProjectsSOF[[#This Row],[Act01]:[Act12]],$P$4:$AA$4)/valUnits2</f>
        <v>1.5544</v>
      </c>
      <c r="AG683" s="34">
        <f>DB_STProjectsSOF[[#This Row],[Actual]]-DB_STProjectsSOF[[#This Row],[Plan]]</f>
        <v>9.9899999999999434E-3</v>
      </c>
      <c r="AH683" s="34">
        <f>IF(DB_STProjectsSOF[[#This Row],[Plan]]&lt;&gt;0,DB_STProjectsSOF[[#This Row],[Actual]]/DB_STProjectsSOF[[#This Row],[Plan]],1.000011000011)</f>
        <v>1.0064684895850196</v>
      </c>
      <c r="AI683" s="34">
        <f>SUM(DB_STProjectsSOF[[#This Row],[Plan01]:[Plan12]])/valUnits2</f>
        <v>1.5444100000000001</v>
      </c>
      <c r="AJ683" s="34">
        <f>SUMPRODUCT(DB_STProjectsSOF[[#This Row],[Act01]:[Act12]],$P$3:$AA$3)/valUnits2</f>
        <v>1.5544</v>
      </c>
      <c r="AK683" s="34">
        <f>IF(DB_STProjectsSOF[[#This Row],[FY Plan]]&lt;&gt;0,DB_STProjectsSOF[[#This Row],[FY Actuals]]/DB_STProjectsSOF[[#This Row],[FY Plan]],1.000011000011)</f>
        <v>1.0064684895850196</v>
      </c>
    </row>
    <row r="684" spans="1:37" hidden="1" x14ac:dyDescent="0.2">
      <c r="A684">
        <f>SUBTOTAL(3,$B$6:B684)</f>
        <v>0</v>
      </c>
      <c r="B684" t="s">
        <v>968</v>
      </c>
      <c r="C684" t="s">
        <v>354</v>
      </c>
      <c r="I684">
        <v>0</v>
      </c>
      <c r="U684">
        <v>0.17</v>
      </c>
      <c r="AB684" s="164">
        <v>41091</v>
      </c>
      <c r="AC684" s="164">
        <v>41455</v>
      </c>
      <c r="AD684" s="164">
        <v>41517</v>
      </c>
      <c r="AE684" s="34">
        <f>SUMPRODUCT(DB_STProjectsSOF[[#This Row],[Plan01]:[Plan12]],$D$4:$O$4)/valUnits2</f>
        <v>0</v>
      </c>
      <c r="AF684" s="34">
        <f>SUMPRODUCT(DB_STProjectsSOF[[#This Row],[Act01]:[Act12]],$P$4:$AA$4)/valUnits2</f>
        <v>1.7000000000000001E-4</v>
      </c>
      <c r="AG684" s="34">
        <f>DB_STProjectsSOF[[#This Row],[Actual]]-DB_STProjectsSOF[[#This Row],[Plan]]</f>
        <v>1.7000000000000001E-4</v>
      </c>
      <c r="AH684" s="34">
        <f>IF(DB_STProjectsSOF[[#This Row],[Plan]]&lt;&gt;0,DB_STProjectsSOF[[#This Row],[Actual]]/DB_STProjectsSOF[[#This Row],[Plan]],1.000011000011)</f>
        <v>1.0000110000110001</v>
      </c>
      <c r="AI684" s="34">
        <f>SUM(DB_STProjectsSOF[[#This Row],[Plan01]:[Plan12]])/valUnits2</f>
        <v>0</v>
      </c>
      <c r="AJ684" s="34">
        <f>SUMPRODUCT(DB_STProjectsSOF[[#This Row],[Act01]:[Act12]],$P$3:$AA$3)/valUnits2</f>
        <v>1.7000000000000001E-4</v>
      </c>
      <c r="AK684" s="34">
        <f>IF(DB_STProjectsSOF[[#This Row],[FY Plan]]&lt;&gt;0,DB_STProjectsSOF[[#This Row],[FY Actuals]]/DB_STProjectsSOF[[#This Row],[FY Plan]],1.000011000011)</f>
        <v>1.0000110000110001</v>
      </c>
    </row>
    <row r="685" spans="1:37" hidden="1" x14ac:dyDescent="0.2">
      <c r="A685">
        <f>SUBTOTAL(3,$B$6:B685)</f>
        <v>0</v>
      </c>
      <c r="B685" t="s">
        <v>968</v>
      </c>
      <c r="C685" t="s">
        <v>911</v>
      </c>
      <c r="I685">
        <v>0</v>
      </c>
      <c r="U685">
        <v>6.2</v>
      </c>
      <c r="AB685" s="164">
        <v>40817</v>
      </c>
      <c r="AC685" s="164">
        <v>41578</v>
      </c>
      <c r="AD685" s="164">
        <v>41639</v>
      </c>
      <c r="AE685" s="34">
        <f>SUMPRODUCT(DB_STProjectsSOF[[#This Row],[Plan01]:[Plan12]],$D$4:$O$4)/valUnits2</f>
        <v>0</v>
      </c>
      <c r="AF685" s="34">
        <f>SUMPRODUCT(DB_STProjectsSOF[[#This Row],[Act01]:[Act12]],$P$4:$AA$4)/valUnits2</f>
        <v>6.1999999999999998E-3</v>
      </c>
      <c r="AG685" s="34">
        <f>DB_STProjectsSOF[[#This Row],[Actual]]-DB_STProjectsSOF[[#This Row],[Plan]]</f>
        <v>6.1999999999999998E-3</v>
      </c>
      <c r="AH685" s="34">
        <f>IF(DB_STProjectsSOF[[#This Row],[Plan]]&lt;&gt;0,DB_STProjectsSOF[[#This Row],[Actual]]/DB_STProjectsSOF[[#This Row],[Plan]],1.000011000011)</f>
        <v>1.0000110000110001</v>
      </c>
      <c r="AI685" s="34">
        <f>SUM(DB_STProjectsSOF[[#This Row],[Plan01]:[Plan12]])/valUnits2</f>
        <v>0</v>
      </c>
      <c r="AJ685" s="34">
        <f>SUMPRODUCT(DB_STProjectsSOF[[#This Row],[Act01]:[Act12]],$P$3:$AA$3)/valUnits2</f>
        <v>6.1999999999999998E-3</v>
      </c>
      <c r="AK685" s="34">
        <f>IF(DB_STProjectsSOF[[#This Row],[FY Plan]]&lt;&gt;0,DB_STProjectsSOF[[#This Row],[FY Actuals]]/DB_STProjectsSOF[[#This Row],[FY Plan]],1.000011000011)</f>
        <v>1.0000110000110001</v>
      </c>
    </row>
    <row r="686" spans="1:37" hidden="1" x14ac:dyDescent="0.2">
      <c r="A686">
        <f>SUBTOTAL(3,$B$6:B686)</f>
        <v>0</v>
      </c>
      <c r="B686" t="s">
        <v>968</v>
      </c>
      <c r="C686" t="s">
        <v>915</v>
      </c>
      <c r="I686">
        <v>0</v>
      </c>
      <c r="U686">
        <v>0.28999999999999998</v>
      </c>
      <c r="AB686" s="164">
        <v>41061</v>
      </c>
      <c r="AC686" s="164">
        <v>42155</v>
      </c>
      <c r="AD686" s="164">
        <v>42185</v>
      </c>
      <c r="AE686" s="34">
        <f>SUMPRODUCT(DB_STProjectsSOF[[#This Row],[Plan01]:[Plan12]],$D$4:$O$4)/valUnits2</f>
        <v>0</v>
      </c>
      <c r="AF686" s="34">
        <f>SUMPRODUCT(DB_STProjectsSOF[[#This Row],[Act01]:[Act12]],$P$4:$AA$4)/valUnits2</f>
        <v>2.9E-4</v>
      </c>
      <c r="AG686" s="34">
        <f>DB_STProjectsSOF[[#This Row],[Actual]]-DB_STProjectsSOF[[#This Row],[Plan]]</f>
        <v>2.9E-4</v>
      </c>
      <c r="AH686" s="34">
        <f>IF(DB_STProjectsSOF[[#This Row],[Plan]]&lt;&gt;0,DB_STProjectsSOF[[#This Row],[Actual]]/DB_STProjectsSOF[[#This Row],[Plan]],1.000011000011)</f>
        <v>1.0000110000110001</v>
      </c>
      <c r="AI686" s="34">
        <f>SUM(DB_STProjectsSOF[[#This Row],[Plan01]:[Plan12]])/valUnits2</f>
        <v>0</v>
      </c>
      <c r="AJ686" s="34">
        <f>SUMPRODUCT(DB_STProjectsSOF[[#This Row],[Act01]:[Act12]],$P$3:$AA$3)/valUnits2</f>
        <v>2.9E-4</v>
      </c>
      <c r="AK686" s="34">
        <f>IF(DB_STProjectsSOF[[#This Row],[FY Plan]]&lt;&gt;0,DB_STProjectsSOF[[#This Row],[FY Actuals]]/DB_STProjectsSOF[[#This Row],[FY Plan]],1.000011000011)</f>
        <v>1.0000110000110001</v>
      </c>
    </row>
    <row r="687" spans="1:37" hidden="1" x14ac:dyDescent="0.2">
      <c r="A687">
        <f>SUBTOTAL(3,$B$6:B687)</f>
        <v>0</v>
      </c>
      <c r="B687" t="s">
        <v>968</v>
      </c>
      <c r="C687" t="s">
        <v>917</v>
      </c>
      <c r="I687">
        <v>0</v>
      </c>
      <c r="U687">
        <v>1.23</v>
      </c>
      <c r="AB687" s="164">
        <v>40817</v>
      </c>
      <c r="AC687" s="164">
        <v>42155</v>
      </c>
      <c r="AD687" s="164">
        <v>42246</v>
      </c>
      <c r="AE687" s="34">
        <f>SUMPRODUCT(DB_STProjectsSOF[[#This Row],[Plan01]:[Plan12]],$D$4:$O$4)/valUnits2</f>
        <v>0</v>
      </c>
      <c r="AF687" s="34">
        <f>SUMPRODUCT(DB_STProjectsSOF[[#This Row],[Act01]:[Act12]],$P$4:$AA$4)/valUnits2</f>
        <v>1.23E-3</v>
      </c>
      <c r="AG687" s="34">
        <f>DB_STProjectsSOF[[#This Row],[Actual]]-DB_STProjectsSOF[[#This Row],[Plan]]</f>
        <v>1.23E-3</v>
      </c>
      <c r="AH687" s="34">
        <f>IF(DB_STProjectsSOF[[#This Row],[Plan]]&lt;&gt;0,DB_STProjectsSOF[[#This Row],[Actual]]/DB_STProjectsSOF[[#This Row],[Plan]],1.000011000011)</f>
        <v>1.0000110000110001</v>
      </c>
      <c r="AI687" s="34">
        <f>SUM(DB_STProjectsSOF[[#This Row],[Plan01]:[Plan12]])/valUnits2</f>
        <v>0</v>
      </c>
      <c r="AJ687" s="34">
        <f>SUMPRODUCT(DB_STProjectsSOF[[#This Row],[Act01]:[Act12]],$P$3:$AA$3)/valUnits2</f>
        <v>1.23E-3</v>
      </c>
      <c r="AK687" s="34">
        <f>IF(DB_STProjectsSOF[[#This Row],[FY Plan]]&lt;&gt;0,DB_STProjectsSOF[[#This Row],[FY Actuals]]/DB_STProjectsSOF[[#This Row],[FY Plan]],1.000011000011)</f>
        <v>1.0000110000110001</v>
      </c>
    </row>
    <row r="688" spans="1:37" hidden="1" x14ac:dyDescent="0.2">
      <c r="A688">
        <f>SUBTOTAL(3,$B$6:B688)</f>
        <v>0</v>
      </c>
      <c r="B688" t="s">
        <v>968</v>
      </c>
      <c r="C688" t="s">
        <v>918</v>
      </c>
      <c r="I688">
        <v>0</v>
      </c>
      <c r="U688">
        <v>0.53</v>
      </c>
      <c r="AB688" s="164">
        <v>41091</v>
      </c>
      <c r="AC688" s="164">
        <v>42185</v>
      </c>
      <c r="AD688" s="164">
        <v>42247</v>
      </c>
      <c r="AE688" s="34">
        <f>SUMPRODUCT(DB_STProjectsSOF[[#This Row],[Plan01]:[Plan12]],$D$4:$O$4)/valUnits2</f>
        <v>0</v>
      </c>
      <c r="AF688" s="34">
        <f>SUMPRODUCT(DB_STProjectsSOF[[#This Row],[Act01]:[Act12]],$P$4:$AA$4)/valUnits2</f>
        <v>5.2999999999999998E-4</v>
      </c>
      <c r="AG688" s="34">
        <f>DB_STProjectsSOF[[#This Row],[Actual]]-DB_STProjectsSOF[[#This Row],[Plan]]</f>
        <v>5.2999999999999998E-4</v>
      </c>
      <c r="AH688" s="34">
        <f>IF(DB_STProjectsSOF[[#This Row],[Plan]]&lt;&gt;0,DB_STProjectsSOF[[#This Row],[Actual]]/DB_STProjectsSOF[[#This Row],[Plan]],1.000011000011)</f>
        <v>1.0000110000110001</v>
      </c>
      <c r="AI688" s="34">
        <f>SUM(DB_STProjectsSOF[[#This Row],[Plan01]:[Plan12]])/valUnits2</f>
        <v>0</v>
      </c>
      <c r="AJ688" s="34">
        <f>SUMPRODUCT(DB_STProjectsSOF[[#This Row],[Act01]:[Act12]],$P$3:$AA$3)/valUnits2</f>
        <v>5.2999999999999998E-4</v>
      </c>
      <c r="AK688" s="34">
        <f>IF(DB_STProjectsSOF[[#This Row],[FY Plan]]&lt;&gt;0,DB_STProjectsSOF[[#This Row],[FY Actuals]]/DB_STProjectsSOF[[#This Row],[FY Plan]],1.000011000011)</f>
        <v>1.0000110000110001</v>
      </c>
    </row>
    <row r="689" spans="1:37" hidden="1" x14ac:dyDescent="0.2">
      <c r="A689">
        <f>SUBTOTAL(3,$B$6:B689)</f>
        <v>0</v>
      </c>
      <c r="B689" t="s">
        <v>968</v>
      </c>
      <c r="C689" t="s">
        <v>356</v>
      </c>
      <c r="I689">
        <v>0</v>
      </c>
      <c r="U689">
        <v>0.4</v>
      </c>
      <c r="AB689" s="164">
        <v>41091</v>
      </c>
      <c r="AC689" s="164">
        <v>41455</v>
      </c>
      <c r="AD689" s="164">
        <v>41547</v>
      </c>
      <c r="AE689" s="34">
        <f>SUMPRODUCT(DB_STProjectsSOF[[#This Row],[Plan01]:[Plan12]],$D$4:$O$4)/valUnits2</f>
        <v>0</v>
      </c>
      <c r="AF689" s="34">
        <f>SUMPRODUCT(DB_STProjectsSOF[[#This Row],[Act01]:[Act12]],$P$4:$AA$4)/valUnits2</f>
        <v>4.0000000000000002E-4</v>
      </c>
      <c r="AG689" s="34">
        <f>DB_STProjectsSOF[[#This Row],[Actual]]-DB_STProjectsSOF[[#This Row],[Plan]]</f>
        <v>4.0000000000000002E-4</v>
      </c>
      <c r="AH689" s="34">
        <f>IF(DB_STProjectsSOF[[#This Row],[Plan]]&lt;&gt;0,DB_STProjectsSOF[[#This Row],[Actual]]/DB_STProjectsSOF[[#This Row],[Plan]],1.000011000011)</f>
        <v>1.0000110000110001</v>
      </c>
      <c r="AI689" s="34">
        <f>SUM(DB_STProjectsSOF[[#This Row],[Plan01]:[Plan12]])/valUnits2</f>
        <v>0</v>
      </c>
      <c r="AJ689" s="34">
        <f>SUMPRODUCT(DB_STProjectsSOF[[#This Row],[Act01]:[Act12]],$P$3:$AA$3)/valUnits2</f>
        <v>4.0000000000000002E-4</v>
      </c>
      <c r="AK689" s="34">
        <f>IF(DB_STProjectsSOF[[#This Row],[FY Plan]]&lt;&gt;0,DB_STProjectsSOF[[#This Row],[FY Actuals]]/DB_STProjectsSOF[[#This Row],[FY Plan]],1.000011000011)</f>
        <v>1.0000110000110001</v>
      </c>
    </row>
    <row r="690" spans="1:37" hidden="1" x14ac:dyDescent="0.2">
      <c r="A690">
        <f>SUBTOTAL(3,$B$6:B690)</f>
        <v>0</v>
      </c>
      <c r="B690" t="s">
        <v>968</v>
      </c>
      <c r="C690" t="s">
        <v>919</v>
      </c>
      <c r="I690">
        <v>0</v>
      </c>
      <c r="U690">
        <v>12.23</v>
      </c>
      <c r="AB690" s="164">
        <v>40878</v>
      </c>
      <c r="AC690" s="164">
        <v>42794</v>
      </c>
      <c r="AD690" s="164">
        <v>42978</v>
      </c>
      <c r="AE690" s="34">
        <f>SUMPRODUCT(DB_STProjectsSOF[[#This Row],[Plan01]:[Plan12]],$D$4:$O$4)/valUnits2</f>
        <v>0</v>
      </c>
      <c r="AF690" s="34">
        <f>SUMPRODUCT(DB_STProjectsSOF[[#This Row],[Act01]:[Act12]],$P$4:$AA$4)/valUnits2</f>
        <v>1.2230000000000001E-2</v>
      </c>
      <c r="AG690" s="34">
        <f>DB_STProjectsSOF[[#This Row],[Actual]]-DB_STProjectsSOF[[#This Row],[Plan]]</f>
        <v>1.2230000000000001E-2</v>
      </c>
      <c r="AH690" s="34">
        <f>IF(DB_STProjectsSOF[[#This Row],[Plan]]&lt;&gt;0,DB_STProjectsSOF[[#This Row],[Actual]]/DB_STProjectsSOF[[#This Row],[Plan]],1.000011000011)</f>
        <v>1.0000110000110001</v>
      </c>
      <c r="AI690" s="34">
        <f>SUM(DB_STProjectsSOF[[#This Row],[Plan01]:[Plan12]])/valUnits2</f>
        <v>0</v>
      </c>
      <c r="AJ690" s="34">
        <f>SUMPRODUCT(DB_STProjectsSOF[[#This Row],[Act01]:[Act12]],$P$3:$AA$3)/valUnits2</f>
        <v>1.2230000000000001E-2</v>
      </c>
      <c r="AK690" s="34">
        <f>IF(DB_STProjectsSOF[[#This Row],[FY Plan]]&lt;&gt;0,DB_STProjectsSOF[[#This Row],[FY Actuals]]/DB_STProjectsSOF[[#This Row],[FY Plan]],1.000011000011)</f>
        <v>1.0000110000110001</v>
      </c>
    </row>
    <row r="691" spans="1:37" hidden="1" x14ac:dyDescent="0.2">
      <c r="A691">
        <f>SUBTOTAL(3,$B$6:B691)</f>
        <v>0</v>
      </c>
      <c r="B691" t="s">
        <v>968</v>
      </c>
      <c r="C691" t="s">
        <v>921</v>
      </c>
      <c r="F691">
        <v>0.218</v>
      </c>
      <c r="H691">
        <v>266.995</v>
      </c>
      <c r="R691">
        <v>0.22</v>
      </c>
      <c r="T691">
        <v>263.5</v>
      </c>
      <c r="AB691" s="164">
        <v>40909</v>
      </c>
      <c r="AC691" s="164">
        <v>41363</v>
      </c>
      <c r="AD691" s="164">
        <v>41389</v>
      </c>
      <c r="AE691" s="34">
        <f>SUMPRODUCT(DB_STProjectsSOF[[#This Row],[Plan01]:[Plan12]],$D$4:$O$4)/valUnits2</f>
        <v>0.26721300000000003</v>
      </c>
      <c r="AF691" s="34">
        <f>SUMPRODUCT(DB_STProjectsSOF[[#This Row],[Act01]:[Act12]],$P$4:$AA$4)/valUnits2</f>
        <v>0.26372000000000001</v>
      </c>
      <c r="AG691" s="34">
        <f>DB_STProjectsSOF[[#This Row],[Actual]]-DB_STProjectsSOF[[#This Row],[Plan]]</f>
        <v>-3.4930000000000239E-3</v>
      </c>
      <c r="AH691" s="34">
        <f>IF(DB_STProjectsSOF[[#This Row],[Plan]]&lt;&gt;0,DB_STProjectsSOF[[#This Row],[Actual]]/DB_STProjectsSOF[[#This Row],[Plan]],1.000011000011)</f>
        <v>0.98692803119608696</v>
      </c>
      <c r="AI691" s="34">
        <f>SUM(DB_STProjectsSOF[[#This Row],[Plan01]:[Plan12]])/valUnits2</f>
        <v>0.26721300000000003</v>
      </c>
      <c r="AJ691" s="34">
        <f>SUMPRODUCT(DB_STProjectsSOF[[#This Row],[Act01]:[Act12]],$P$3:$AA$3)/valUnits2</f>
        <v>0.26372000000000001</v>
      </c>
      <c r="AK691" s="34">
        <f>IF(DB_STProjectsSOF[[#This Row],[FY Plan]]&lt;&gt;0,DB_STProjectsSOF[[#This Row],[FY Actuals]]/DB_STProjectsSOF[[#This Row],[FY Plan]],1.000011000011)</f>
        <v>0.98692803119608696</v>
      </c>
    </row>
    <row r="692" spans="1:37" hidden="1" x14ac:dyDescent="0.2">
      <c r="A692">
        <f>SUBTOTAL(3,$B$6:B692)</f>
        <v>0</v>
      </c>
      <c r="B692" t="s">
        <v>968</v>
      </c>
      <c r="C692" t="s">
        <v>922</v>
      </c>
      <c r="F692">
        <v>0.50900000000000001</v>
      </c>
      <c r="I692">
        <v>0</v>
      </c>
      <c r="R692">
        <v>0.53</v>
      </c>
      <c r="U692">
        <v>0.39</v>
      </c>
      <c r="AB692" s="164">
        <v>41000</v>
      </c>
      <c r="AC692" s="164">
        <v>41989</v>
      </c>
      <c r="AD692" s="164">
        <v>42078</v>
      </c>
      <c r="AE692" s="34">
        <f>SUMPRODUCT(DB_STProjectsSOF[[#This Row],[Plan01]:[Plan12]],$D$4:$O$4)/valUnits2</f>
        <v>5.0900000000000001E-4</v>
      </c>
      <c r="AF692" s="34">
        <f>SUMPRODUCT(DB_STProjectsSOF[[#This Row],[Act01]:[Act12]],$P$4:$AA$4)/valUnits2</f>
        <v>9.2000000000000003E-4</v>
      </c>
      <c r="AG692" s="34">
        <f>DB_STProjectsSOF[[#This Row],[Actual]]-DB_STProjectsSOF[[#This Row],[Plan]]</f>
        <v>4.1100000000000002E-4</v>
      </c>
      <c r="AH692" s="34">
        <f>IF(DB_STProjectsSOF[[#This Row],[Plan]]&lt;&gt;0,DB_STProjectsSOF[[#This Row],[Actual]]/DB_STProjectsSOF[[#This Row],[Plan]],1.000011000011)</f>
        <v>1.8074656188605107</v>
      </c>
      <c r="AI692" s="34">
        <f>SUM(DB_STProjectsSOF[[#This Row],[Plan01]:[Plan12]])/valUnits2</f>
        <v>5.0900000000000001E-4</v>
      </c>
      <c r="AJ692" s="34">
        <f>SUMPRODUCT(DB_STProjectsSOF[[#This Row],[Act01]:[Act12]],$P$3:$AA$3)/valUnits2</f>
        <v>9.2000000000000003E-4</v>
      </c>
      <c r="AK692" s="34">
        <f>IF(DB_STProjectsSOF[[#This Row],[FY Plan]]&lt;&gt;0,DB_STProjectsSOF[[#This Row],[FY Actuals]]/DB_STProjectsSOF[[#This Row],[FY Plan]],1.000011000011)</f>
        <v>1.8074656188605107</v>
      </c>
    </row>
    <row r="693" spans="1:37" hidden="1" x14ac:dyDescent="0.2">
      <c r="A693">
        <f>SUBTOTAL(3,$B$6:B693)</f>
        <v>0</v>
      </c>
      <c r="B693" t="s">
        <v>968</v>
      </c>
      <c r="C693" t="s">
        <v>924</v>
      </c>
      <c r="I693">
        <v>0</v>
      </c>
      <c r="U693">
        <v>0.53</v>
      </c>
      <c r="AB693" s="164">
        <v>40817</v>
      </c>
      <c r="AC693" s="164">
        <v>41639</v>
      </c>
      <c r="AD693" s="164">
        <v>41685</v>
      </c>
      <c r="AE693" s="34">
        <f>SUMPRODUCT(DB_STProjectsSOF[[#This Row],[Plan01]:[Plan12]],$D$4:$O$4)/valUnits2</f>
        <v>0</v>
      </c>
      <c r="AF693" s="34">
        <f>SUMPRODUCT(DB_STProjectsSOF[[#This Row],[Act01]:[Act12]],$P$4:$AA$4)/valUnits2</f>
        <v>5.2999999999999998E-4</v>
      </c>
      <c r="AG693" s="34">
        <f>DB_STProjectsSOF[[#This Row],[Actual]]-DB_STProjectsSOF[[#This Row],[Plan]]</f>
        <v>5.2999999999999998E-4</v>
      </c>
      <c r="AH693" s="34">
        <f>IF(DB_STProjectsSOF[[#This Row],[Plan]]&lt;&gt;0,DB_STProjectsSOF[[#This Row],[Actual]]/DB_STProjectsSOF[[#This Row],[Plan]],1.000011000011)</f>
        <v>1.0000110000110001</v>
      </c>
      <c r="AI693" s="34">
        <f>SUM(DB_STProjectsSOF[[#This Row],[Plan01]:[Plan12]])/valUnits2</f>
        <v>0</v>
      </c>
      <c r="AJ693" s="34">
        <f>SUMPRODUCT(DB_STProjectsSOF[[#This Row],[Act01]:[Act12]],$P$3:$AA$3)/valUnits2</f>
        <v>5.2999999999999998E-4</v>
      </c>
      <c r="AK693" s="34">
        <f>IF(DB_STProjectsSOF[[#This Row],[FY Plan]]&lt;&gt;0,DB_STProjectsSOF[[#This Row],[FY Actuals]]/DB_STProjectsSOF[[#This Row],[FY Plan]],1.000011000011)</f>
        <v>1.0000110000110001</v>
      </c>
    </row>
    <row r="694" spans="1:37" hidden="1" x14ac:dyDescent="0.2">
      <c r="A694">
        <f>SUBTOTAL(3,$B$6:B694)</f>
        <v>0</v>
      </c>
      <c r="B694" t="s">
        <v>968</v>
      </c>
      <c r="C694" t="s">
        <v>927</v>
      </c>
      <c r="F694">
        <v>2.29</v>
      </c>
      <c r="I694">
        <v>0</v>
      </c>
      <c r="R694">
        <v>2.29</v>
      </c>
      <c r="U694">
        <v>7.85</v>
      </c>
      <c r="AB694" s="164">
        <v>40817</v>
      </c>
      <c r="AC694" s="164">
        <v>42052</v>
      </c>
      <c r="AD694" s="164">
        <v>42141</v>
      </c>
      <c r="AE694" s="34">
        <f>SUMPRODUCT(DB_STProjectsSOF[[#This Row],[Plan01]:[Plan12]],$D$4:$O$4)/valUnits2</f>
        <v>2.2899999999999999E-3</v>
      </c>
      <c r="AF694" s="34">
        <f>SUMPRODUCT(DB_STProjectsSOF[[#This Row],[Act01]:[Act12]],$P$4:$AA$4)/valUnits2</f>
        <v>1.014E-2</v>
      </c>
      <c r="AG694" s="34">
        <f>DB_STProjectsSOF[[#This Row],[Actual]]-DB_STProjectsSOF[[#This Row],[Plan]]</f>
        <v>7.8499999999999993E-3</v>
      </c>
      <c r="AH694" s="34">
        <f>IF(DB_STProjectsSOF[[#This Row],[Plan]]&lt;&gt;0,DB_STProjectsSOF[[#This Row],[Actual]]/DB_STProjectsSOF[[#This Row],[Plan]],1.000011000011)</f>
        <v>4.427947598253275</v>
      </c>
      <c r="AI694" s="34">
        <f>SUM(DB_STProjectsSOF[[#This Row],[Plan01]:[Plan12]])/valUnits2</f>
        <v>2.2899999999999999E-3</v>
      </c>
      <c r="AJ694" s="34">
        <f>SUMPRODUCT(DB_STProjectsSOF[[#This Row],[Act01]:[Act12]],$P$3:$AA$3)/valUnits2</f>
        <v>1.014E-2</v>
      </c>
      <c r="AK694" s="34">
        <f>IF(DB_STProjectsSOF[[#This Row],[FY Plan]]&lt;&gt;0,DB_STProjectsSOF[[#This Row],[FY Actuals]]/DB_STProjectsSOF[[#This Row],[FY Plan]],1.000011000011)</f>
        <v>4.427947598253275</v>
      </c>
    </row>
    <row r="695" spans="1:37" hidden="1" x14ac:dyDescent="0.2">
      <c r="A695">
        <f>SUBTOTAL(3,$B$6:B695)</f>
        <v>0</v>
      </c>
      <c r="B695" t="s">
        <v>968</v>
      </c>
      <c r="C695" t="s">
        <v>359</v>
      </c>
      <c r="I695">
        <v>0</v>
      </c>
      <c r="U695">
        <v>0.05</v>
      </c>
      <c r="AB695" s="164">
        <v>41275</v>
      </c>
      <c r="AC695" s="164">
        <v>41455</v>
      </c>
      <c r="AD695" s="164">
        <v>41547</v>
      </c>
      <c r="AE695" s="34">
        <f>SUMPRODUCT(DB_STProjectsSOF[[#This Row],[Plan01]:[Plan12]],$D$4:$O$4)/valUnits2</f>
        <v>0</v>
      </c>
      <c r="AF695" s="34">
        <f>SUMPRODUCT(DB_STProjectsSOF[[#This Row],[Act01]:[Act12]],$P$4:$AA$4)/valUnits2</f>
        <v>5.0000000000000002E-5</v>
      </c>
      <c r="AG695" s="34">
        <f>DB_STProjectsSOF[[#This Row],[Actual]]-DB_STProjectsSOF[[#This Row],[Plan]]</f>
        <v>5.0000000000000002E-5</v>
      </c>
      <c r="AH695" s="34">
        <f>IF(DB_STProjectsSOF[[#This Row],[Plan]]&lt;&gt;0,DB_STProjectsSOF[[#This Row],[Actual]]/DB_STProjectsSOF[[#This Row],[Plan]],1.000011000011)</f>
        <v>1.0000110000110001</v>
      </c>
      <c r="AI695" s="34">
        <f>SUM(DB_STProjectsSOF[[#This Row],[Plan01]:[Plan12]])/valUnits2</f>
        <v>0</v>
      </c>
      <c r="AJ695" s="34">
        <f>SUMPRODUCT(DB_STProjectsSOF[[#This Row],[Act01]:[Act12]],$P$3:$AA$3)/valUnits2</f>
        <v>5.0000000000000002E-5</v>
      </c>
      <c r="AK695" s="34">
        <f>IF(DB_STProjectsSOF[[#This Row],[FY Plan]]&lt;&gt;0,DB_STProjectsSOF[[#This Row],[FY Actuals]]/DB_STProjectsSOF[[#This Row],[FY Plan]],1.000011000011)</f>
        <v>1.0000110000110001</v>
      </c>
    </row>
    <row r="696" spans="1:37" hidden="1" x14ac:dyDescent="0.2">
      <c r="A696">
        <f>SUBTOTAL(3,$B$6:B696)</f>
        <v>0</v>
      </c>
      <c r="B696" t="s">
        <v>968</v>
      </c>
      <c r="C696" t="s">
        <v>360</v>
      </c>
      <c r="I696">
        <v>0</v>
      </c>
      <c r="U696">
        <v>4.32</v>
      </c>
      <c r="AB696" s="164">
        <v>41091</v>
      </c>
      <c r="AC696" s="164">
        <v>41455</v>
      </c>
      <c r="AD696" s="164">
        <v>41547</v>
      </c>
      <c r="AE696" s="34">
        <f>SUMPRODUCT(DB_STProjectsSOF[[#This Row],[Plan01]:[Plan12]],$D$4:$O$4)/valUnits2</f>
        <v>0</v>
      </c>
      <c r="AF696" s="34">
        <f>SUMPRODUCT(DB_STProjectsSOF[[#This Row],[Act01]:[Act12]],$P$4:$AA$4)/valUnits2</f>
        <v>4.3200000000000001E-3</v>
      </c>
      <c r="AG696" s="34">
        <f>DB_STProjectsSOF[[#This Row],[Actual]]-DB_STProjectsSOF[[#This Row],[Plan]]</f>
        <v>4.3200000000000001E-3</v>
      </c>
      <c r="AH696" s="34">
        <f>IF(DB_STProjectsSOF[[#This Row],[Plan]]&lt;&gt;0,DB_STProjectsSOF[[#This Row],[Actual]]/DB_STProjectsSOF[[#This Row],[Plan]],1.000011000011)</f>
        <v>1.0000110000110001</v>
      </c>
      <c r="AI696" s="34">
        <f>SUM(DB_STProjectsSOF[[#This Row],[Plan01]:[Plan12]])/valUnits2</f>
        <v>0</v>
      </c>
      <c r="AJ696" s="34">
        <f>SUMPRODUCT(DB_STProjectsSOF[[#This Row],[Act01]:[Act12]],$P$3:$AA$3)/valUnits2</f>
        <v>4.3200000000000001E-3</v>
      </c>
      <c r="AK696" s="34">
        <f>IF(DB_STProjectsSOF[[#This Row],[FY Plan]]&lt;&gt;0,DB_STProjectsSOF[[#This Row],[FY Actuals]]/DB_STProjectsSOF[[#This Row],[FY Plan]],1.000011000011)</f>
        <v>1.0000110000110001</v>
      </c>
    </row>
    <row r="697" spans="1:37" hidden="1" x14ac:dyDescent="0.2">
      <c r="A697">
        <f>SUBTOTAL(3,$B$6:B697)</f>
        <v>0</v>
      </c>
      <c r="B697" t="s">
        <v>968</v>
      </c>
      <c r="C697" t="s">
        <v>929</v>
      </c>
      <c r="G697">
        <v>0.30599999999999999</v>
      </c>
      <c r="S697">
        <v>0.3</v>
      </c>
      <c r="AB697" s="164">
        <v>41214</v>
      </c>
      <c r="AC697" s="164">
        <v>41379</v>
      </c>
      <c r="AD697" s="164">
        <v>41409</v>
      </c>
      <c r="AE697" s="34">
        <f>SUMPRODUCT(DB_STProjectsSOF[[#This Row],[Plan01]:[Plan12]],$D$4:$O$4)/valUnits2</f>
        <v>3.0600000000000001E-4</v>
      </c>
      <c r="AF697" s="34">
        <f>SUMPRODUCT(DB_STProjectsSOF[[#This Row],[Act01]:[Act12]],$P$4:$AA$4)/valUnits2</f>
        <v>2.9999999999999997E-4</v>
      </c>
      <c r="AG697" s="34">
        <f>DB_STProjectsSOF[[#This Row],[Actual]]-DB_STProjectsSOF[[#This Row],[Plan]]</f>
        <v>-6.0000000000000374E-6</v>
      </c>
      <c r="AH697" s="34">
        <f>IF(DB_STProjectsSOF[[#This Row],[Plan]]&lt;&gt;0,DB_STProjectsSOF[[#This Row],[Actual]]/DB_STProjectsSOF[[#This Row],[Plan]],1.000011000011)</f>
        <v>0.98039215686274495</v>
      </c>
      <c r="AI697" s="34">
        <f>SUM(DB_STProjectsSOF[[#This Row],[Plan01]:[Plan12]])/valUnits2</f>
        <v>3.0600000000000001E-4</v>
      </c>
      <c r="AJ697" s="34">
        <f>SUMPRODUCT(DB_STProjectsSOF[[#This Row],[Act01]:[Act12]],$P$3:$AA$3)/valUnits2</f>
        <v>2.9999999999999997E-4</v>
      </c>
      <c r="AK697" s="34">
        <f>IF(DB_STProjectsSOF[[#This Row],[FY Plan]]&lt;&gt;0,DB_STProjectsSOF[[#This Row],[FY Actuals]]/DB_STProjectsSOF[[#This Row],[FY Plan]],1.000011000011)</f>
        <v>0.98039215686274495</v>
      </c>
    </row>
    <row r="698" spans="1:37" hidden="1" x14ac:dyDescent="0.2">
      <c r="A698">
        <f>SUBTOTAL(3,$B$6:B698)</f>
        <v>0</v>
      </c>
      <c r="B698" t="s">
        <v>968</v>
      </c>
      <c r="C698" t="s">
        <v>930</v>
      </c>
      <c r="F698">
        <v>3.36</v>
      </c>
      <c r="H698">
        <v>621.1</v>
      </c>
      <c r="I698">
        <v>0</v>
      </c>
      <c r="R698">
        <v>3.36</v>
      </c>
      <c r="T698">
        <v>621.1</v>
      </c>
      <c r="U698">
        <v>1.55</v>
      </c>
      <c r="AB698" s="164">
        <v>40848</v>
      </c>
      <c r="AC698" s="164">
        <v>41729</v>
      </c>
      <c r="AD698" s="164">
        <v>41654</v>
      </c>
      <c r="AE698" s="34">
        <f>SUMPRODUCT(DB_STProjectsSOF[[#This Row],[Plan01]:[Plan12]],$D$4:$O$4)/valUnits2</f>
        <v>0.62446000000000002</v>
      </c>
      <c r="AF698" s="34">
        <f>SUMPRODUCT(DB_STProjectsSOF[[#This Row],[Act01]:[Act12]],$P$4:$AA$4)/valUnits2</f>
        <v>0.62600999999999996</v>
      </c>
      <c r="AG698" s="34">
        <f>DB_STProjectsSOF[[#This Row],[Actual]]-DB_STProjectsSOF[[#This Row],[Plan]]</f>
        <v>1.5499999999999403E-3</v>
      </c>
      <c r="AH698" s="34">
        <f>IF(DB_STProjectsSOF[[#This Row],[Plan]]&lt;&gt;0,DB_STProjectsSOF[[#This Row],[Actual]]/DB_STProjectsSOF[[#This Row],[Plan]],1.000011000011)</f>
        <v>1.0024821445729108</v>
      </c>
      <c r="AI698" s="34">
        <f>SUM(DB_STProjectsSOF[[#This Row],[Plan01]:[Plan12]])/valUnits2</f>
        <v>0.62446000000000002</v>
      </c>
      <c r="AJ698" s="34">
        <f>SUMPRODUCT(DB_STProjectsSOF[[#This Row],[Act01]:[Act12]],$P$3:$AA$3)/valUnits2</f>
        <v>0.62600999999999996</v>
      </c>
      <c r="AK698" s="34">
        <f>IF(DB_STProjectsSOF[[#This Row],[FY Plan]]&lt;&gt;0,DB_STProjectsSOF[[#This Row],[FY Actuals]]/DB_STProjectsSOF[[#This Row],[FY Plan]],1.000011000011)</f>
        <v>1.0024821445729108</v>
      </c>
    </row>
    <row r="699" spans="1:37" hidden="1" x14ac:dyDescent="0.2">
      <c r="A699">
        <f>SUBTOTAL(3,$B$6:B699)</f>
        <v>0</v>
      </c>
      <c r="B699" t="s">
        <v>968</v>
      </c>
      <c r="C699" t="s">
        <v>935</v>
      </c>
      <c r="G699">
        <v>0.95899999999999996</v>
      </c>
      <c r="I699">
        <v>0</v>
      </c>
      <c r="S699">
        <v>0.94</v>
      </c>
      <c r="U699">
        <v>7.78</v>
      </c>
      <c r="AB699" s="164">
        <v>41000</v>
      </c>
      <c r="AC699" s="164">
        <v>42094</v>
      </c>
      <c r="AD699" s="164">
        <v>42124</v>
      </c>
      <c r="AE699" s="34">
        <f>SUMPRODUCT(DB_STProjectsSOF[[#This Row],[Plan01]:[Plan12]],$D$4:$O$4)/valUnits2</f>
        <v>9.59E-4</v>
      </c>
      <c r="AF699" s="34">
        <f>SUMPRODUCT(DB_STProjectsSOF[[#This Row],[Act01]:[Act12]],$P$4:$AA$4)/valUnits2</f>
        <v>8.7200000000000003E-3</v>
      </c>
      <c r="AG699" s="34">
        <f>DB_STProjectsSOF[[#This Row],[Actual]]-DB_STProjectsSOF[[#This Row],[Plan]]</f>
        <v>7.7610000000000005E-3</v>
      </c>
      <c r="AH699" s="34">
        <f>IF(DB_STProjectsSOF[[#This Row],[Plan]]&lt;&gt;0,DB_STProjectsSOF[[#This Row],[Actual]]/DB_STProjectsSOF[[#This Row],[Plan]],1.000011000011)</f>
        <v>9.0928050052137639</v>
      </c>
      <c r="AI699" s="34">
        <f>SUM(DB_STProjectsSOF[[#This Row],[Plan01]:[Plan12]])/valUnits2</f>
        <v>9.59E-4</v>
      </c>
      <c r="AJ699" s="34">
        <f>SUMPRODUCT(DB_STProjectsSOF[[#This Row],[Act01]:[Act12]],$P$3:$AA$3)/valUnits2</f>
        <v>8.7200000000000003E-3</v>
      </c>
      <c r="AK699" s="34">
        <f>IF(DB_STProjectsSOF[[#This Row],[FY Plan]]&lt;&gt;0,DB_STProjectsSOF[[#This Row],[FY Actuals]]/DB_STProjectsSOF[[#This Row],[FY Plan]],1.000011000011)</f>
        <v>9.0928050052137639</v>
      </c>
    </row>
    <row r="700" spans="1:37" hidden="1" x14ac:dyDescent="0.2">
      <c r="A700">
        <f>SUBTOTAL(3,$B$6:B700)</f>
        <v>0</v>
      </c>
      <c r="B700" t="s">
        <v>941</v>
      </c>
      <c r="C700" t="s">
        <v>850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s="164">
        <v>40817</v>
      </c>
      <c r="AC700" s="164">
        <v>41639</v>
      </c>
      <c r="AD700" s="164">
        <v>41820</v>
      </c>
      <c r="AE700" s="34">
        <f>SUMPRODUCT(DB_STProjectsSOF[[#This Row],[Plan01]:[Plan12]],$D$4:$O$4)/valUnits2</f>
        <v>0</v>
      </c>
      <c r="AF700" s="34">
        <f>SUMPRODUCT(DB_STProjectsSOF[[#This Row],[Act01]:[Act12]],$P$4:$AA$4)/valUnits2</f>
        <v>0</v>
      </c>
      <c r="AG700" s="34">
        <f>DB_STProjectsSOF[[#This Row],[Actual]]-DB_STProjectsSOF[[#This Row],[Plan]]</f>
        <v>0</v>
      </c>
      <c r="AH700" s="34">
        <f>IF(DB_STProjectsSOF[[#This Row],[Plan]]&lt;&gt;0,DB_STProjectsSOF[[#This Row],[Actual]]/DB_STProjectsSOF[[#This Row],[Plan]],1.000011000011)</f>
        <v>1.0000110000110001</v>
      </c>
      <c r="AI700" s="34">
        <f>SUM(DB_STProjectsSOF[[#This Row],[Plan01]:[Plan12]])/valUnits2</f>
        <v>0</v>
      </c>
      <c r="AJ700" s="34">
        <f>SUMPRODUCT(DB_STProjectsSOF[[#This Row],[Act01]:[Act12]],$P$3:$AA$3)/valUnits2</f>
        <v>0</v>
      </c>
      <c r="AK700" s="34">
        <f>IF(DB_STProjectsSOF[[#This Row],[FY Plan]]&lt;&gt;0,DB_STProjectsSOF[[#This Row],[FY Actuals]]/DB_STProjectsSOF[[#This Row],[FY Plan]],1.000011000011)</f>
        <v>1.0000110000110001</v>
      </c>
    </row>
    <row r="701" spans="1:37" hidden="1" x14ac:dyDescent="0.2">
      <c r="A701">
        <f>SUBTOTAL(3,$B$6:B701)</f>
        <v>0</v>
      </c>
      <c r="B701" t="s">
        <v>941</v>
      </c>
      <c r="C701" t="s">
        <v>855</v>
      </c>
      <c r="I701">
        <v>0</v>
      </c>
      <c r="U701">
        <v>0</v>
      </c>
      <c r="AB701" s="164">
        <v>40817</v>
      </c>
      <c r="AC701" s="164">
        <v>41759</v>
      </c>
      <c r="AD701" s="164">
        <v>41820</v>
      </c>
      <c r="AE701" s="34">
        <f>SUMPRODUCT(DB_STProjectsSOF[[#This Row],[Plan01]:[Plan12]],$D$4:$O$4)/valUnits2</f>
        <v>0</v>
      </c>
      <c r="AF701" s="34">
        <f>SUMPRODUCT(DB_STProjectsSOF[[#This Row],[Act01]:[Act12]],$P$4:$AA$4)/valUnits2</f>
        <v>0</v>
      </c>
      <c r="AG701" s="34">
        <f>DB_STProjectsSOF[[#This Row],[Actual]]-DB_STProjectsSOF[[#This Row],[Plan]]</f>
        <v>0</v>
      </c>
      <c r="AH701" s="34">
        <f>IF(DB_STProjectsSOF[[#This Row],[Plan]]&lt;&gt;0,DB_STProjectsSOF[[#This Row],[Actual]]/DB_STProjectsSOF[[#This Row],[Plan]],1.000011000011)</f>
        <v>1.0000110000110001</v>
      </c>
      <c r="AI701" s="34">
        <f>SUM(DB_STProjectsSOF[[#This Row],[Plan01]:[Plan12]])/valUnits2</f>
        <v>0</v>
      </c>
      <c r="AJ701" s="34">
        <f>SUMPRODUCT(DB_STProjectsSOF[[#This Row],[Act01]:[Act12]],$P$3:$AA$3)/valUnits2</f>
        <v>0</v>
      </c>
      <c r="AK701" s="34">
        <f>IF(DB_STProjectsSOF[[#This Row],[FY Plan]]&lt;&gt;0,DB_STProjectsSOF[[#This Row],[FY Actuals]]/DB_STProjectsSOF[[#This Row],[FY Plan]],1.000011000011)</f>
        <v>1.0000110000110001</v>
      </c>
    </row>
    <row r="702" spans="1:37" hidden="1" x14ac:dyDescent="0.2">
      <c r="A702">
        <f>SUBTOTAL(3,$B$6:B702)</f>
        <v>0</v>
      </c>
      <c r="B702" t="s">
        <v>941</v>
      </c>
      <c r="C702" t="s">
        <v>367</v>
      </c>
      <c r="D702">
        <v>0</v>
      </c>
      <c r="G702">
        <v>0</v>
      </c>
      <c r="J702">
        <v>0</v>
      </c>
      <c r="M702">
        <v>0</v>
      </c>
      <c r="P702">
        <v>0</v>
      </c>
      <c r="S702">
        <v>0</v>
      </c>
      <c r="V702">
        <v>0</v>
      </c>
      <c r="Y702">
        <v>0</v>
      </c>
      <c r="AB702" s="164">
        <v>40817</v>
      </c>
      <c r="AC702" s="164">
        <v>41547</v>
      </c>
      <c r="AD702" s="164">
        <v>41670</v>
      </c>
      <c r="AE702" s="34">
        <f>SUMPRODUCT(DB_STProjectsSOF[[#This Row],[Plan01]:[Plan12]],$D$4:$O$4)/valUnits2</f>
        <v>0</v>
      </c>
      <c r="AF702" s="34">
        <f>SUMPRODUCT(DB_STProjectsSOF[[#This Row],[Act01]:[Act12]],$P$4:$AA$4)/valUnits2</f>
        <v>0</v>
      </c>
      <c r="AG702" s="34">
        <f>DB_STProjectsSOF[[#This Row],[Actual]]-DB_STProjectsSOF[[#This Row],[Plan]]</f>
        <v>0</v>
      </c>
      <c r="AH702" s="34">
        <f>IF(DB_STProjectsSOF[[#This Row],[Plan]]&lt;&gt;0,DB_STProjectsSOF[[#This Row],[Actual]]/DB_STProjectsSOF[[#This Row],[Plan]],1.000011000011)</f>
        <v>1.0000110000110001</v>
      </c>
      <c r="AI702" s="34">
        <f>SUM(DB_STProjectsSOF[[#This Row],[Plan01]:[Plan12]])/valUnits2</f>
        <v>0</v>
      </c>
      <c r="AJ702" s="34">
        <f>SUMPRODUCT(DB_STProjectsSOF[[#This Row],[Act01]:[Act12]],$P$3:$AA$3)/valUnits2</f>
        <v>0</v>
      </c>
      <c r="AK702" s="34">
        <f>IF(DB_STProjectsSOF[[#This Row],[FY Plan]]&lt;&gt;0,DB_STProjectsSOF[[#This Row],[FY Actuals]]/DB_STProjectsSOF[[#This Row],[FY Plan]],1.000011000011)</f>
        <v>1.0000110000110001</v>
      </c>
    </row>
    <row r="703" spans="1:37" hidden="1" x14ac:dyDescent="0.2">
      <c r="A703">
        <f>SUBTOTAL(3,$B$6:B703)</f>
        <v>0</v>
      </c>
      <c r="B703" t="s">
        <v>941</v>
      </c>
      <c r="C703" t="s">
        <v>858</v>
      </c>
      <c r="G703">
        <v>295.89</v>
      </c>
      <c r="S703">
        <v>295.89</v>
      </c>
      <c r="AB703" s="164">
        <v>41275</v>
      </c>
      <c r="AC703" s="164">
        <v>41639</v>
      </c>
      <c r="AD703" s="164">
        <v>41784</v>
      </c>
      <c r="AE703" s="34">
        <f>SUMPRODUCT(DB_STProjectsSOF[[#This Row],[Plan01]:[Plan12]],$D$4:$O$4)/valUnits2</f>
        <v>0.29588999999999999</v>
      </c>
      <c r="AF703" s="34">
        <f>SUMPRODUCT(DB_STProjectsSOF[[#This Row],[Act01]:[Act12]],$P$4:$AA$4)/valUnits2</f>
        <v>0.29588999999999999</v>
      </c>
      <c r="AG703" s="34">
        <f>DB_STProjectsSOF[[#This Row],[Actual]]-DB_STProjectsSOF[[#This Row],[Plan]]</f>
        <v>0</v>
      </c>
      <c r="AH703" s="34">
        <f>IF(DB_STProjectsSOF[[#This Row],[Plan]]&lt;&gt;0,DB_STProjectsSOF[[#This Row],[Actual]]/DB_STProjectsSOF[[#This Row],[Plan]],1.000011000011)</f>
        <v>1</v>
      </c>
      <c r="AI703" s="34">
        <f>SUM(DB_STProjectsSOF[[#This Row],[Plan01]:[Plan12]])/valUnits2</f>
        <v>0.29588999999999999</v>
      </c>
      <c r="AJ703" s="34">
        <f>SUMPRODUCT(DB_STProjectsSOF[[#This Row],[Act01]:[Act12]],$P$3:$AA$3)/valUnits2</f>
        <v>0.29588999999999999</v>
      </c>
      <c r="AK703" s="34">
        <f>IF(DB_STProjectsSOF[[#This Row],[FY Plan]]&lt;&gt;0,DB_STProjectsSOF[[#This Row],[FY Actuals]]/DB_STProjectsSOF[[#This Row],[FY Plan]],1.000011000011)</f>
        <v>1</v>
      </c>
    </row>
    <row r="704" spans="1:37" hidden="1" x14ac:dyDescent="0.2">
      <c r="A704">
        <f>SUBTOTAL(3,$B$6:B704)</f>
        <v>0</v>
      </c>
      <c r="B704" t="s">
        <v>941</v>
      </c>
      <c r="C704" t="s">
        <v>859</v>
      </c>
      <c r="G704">
        <v>0</v>
      </c>
      <c r="H704">
        <v>0</v>
      </c>
      <c r="I704">
        <v>260.86</v>
      </c>
      <c r="J704">
        <v>260.86</v>
      </c>
      <c r="K704">
        <v>260.86</v>
      </c>
      <c r="L704">
        <v>260.86</v>
      </c>
      <c r="M704">
        <v>260.86</v>
      </c>
      <c r="N704">
        <v>260.86</v>
      </c>
      <c r="O704">
        <v>260.86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s="164">
        <v>40909</v>
      </c>
      <c r="AC704" s="164">
        <v>42004</v>
      </c>
      <c r="AD704" s="164">
        <v>42094</v>
      </c>
      <c r="AE704" s="34">
        <f>SUMPRODUCT(DB_STProjectsSOF[[#This Row],[Plan01]:[Plan12]],$D$4:$O$4)/valUnits2</f>
        <v>0.26086000000000004</v>
      </c>
      <c r="AF704" s="34">
        <f>SUMPRODUCT(DB_STProjectsSOF[[#This Row],[Act01]:[Act12]],$P$4:$AA$4)/valUnits2</f>
        <v>0</v>
      </c>
      <c r="AG704" s="34">
        <f>DB_STProjectsSOF[[#This Row],[Actual]]-DB_STProjectsSOF[[#This Row],[Plan]]</f>
        <v>-0.26086000000000004</v>
      </c>
      <c r="AH704" s="34">
        <f>IF(DB_STProjectsSOF[[#This Row],[Plan]]&lt;&gt;0,DB_STProjectsSOF[[#This Row],[Actual]]/DB_STProjectsSOF[[#This Row],[Plan]],1.000011000011)</f>
        <v>0</v>
      </c>
      <c r="AI704" s="34">
        <f>SUM(DB_STProjectsSOF[[#This Row],[Plan01]:[Plan12]])/valUnits2</f>
        <v>1.8260200000000004</v>
      </c>
      <c r="AJ704" s="34">
        <f>SUMPRODUCT(DB_STProjectsSOF[[#This Row],[Act01]:[Act12]],$P$3:$AA$3)/valUnits2</f>
        <v>0</v>
      </c>
      <c r="AK704" s="34">
        <f>IF(DB_STProjectsSOF[[#This Row],[FY Plan]]&lt;&gt;0,DB_STProjectsSOF[[#This Row],[FY Actuals]]/DB_STProjectsSOF[[#This Row],[FY Plan]],1.000011000011)</f>
        <v>0</v>
      </c>
    </row>
    <row r="705" spans="1:37" hidden="1" x14ac:dyDescent="0.2">
      <c r="A705">
        <f>SUBTOTAL(3,$B$6:B705)</f>
        <v>0</v>
      </c>
      <c r="B705" t="s">
        <v>941</v>
      </c>
      <c r="C705" t="s">
        <v>865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s="164">
        <v>40817</v>
      </c>
      <c r="AC705" s="164">
        <v>41639</v>
      </c>
      <c r="AD705" s="164">
        <v>41820</v>
      </c>
      <c r="AE705" s="34">
        <f>SUMPRODUCT(DB_STProjectsSOF[[#This Row],[Plan01]:[Plan12]],$D$4:$O$4)/valUnits2</f>
        <v>0</v>
      </c>
      <c r="AF705" s="34">
        <f>SUMPRODUCT(DB_STProjectsSOF[[#This Row],[Act01]:[Act12]],$P$4:$AA$4)/valUnits2</f>
        <v>0</v>
      </c>
      <c r="AG705" s="34">
        <f>DB_STProjectsSOF[[#This Row],[Actual]]-DB_STProjectsSOF[[#This Row],[Plan]]</f>
        <v>0</v>
      </c>
      <c r="AH705" s="34">
        <f>IF(DB_STProjectsSOF[[#This Row],[Plan]]&lt;&gt;0,DB_STProjectsSOF[[#This Row],[Actual]]/DB_STProjectsSOF[[#This Row],[Plan]],1.000011000011)</f>
        <v>1.0000110000110001</v>
      </c>
      <c r="AI705" s="34">
        <f>SUM(DB_STProjectsSOF[[#This Row],[Plan01]:[Plan12]])/valUnits2</f>
        <v>0</v>
      </c>
      <c r="AJ705" s="34">
        <f>SUMPRODUCT(DB_STProjectsSOF[[#This Row],[Act01]:[Act12]],$P$3:$AA$3)/valUnits2</f>
        <v>0</v>
      </c>
      <c r="AK705" s="34">
        <f>IF(DB_STProjectsSOF[[#This Row],[FY Plan]]&lt;&gt;0,DB_STProjectsSOF[[#This Row],[FY Actuals]]/DB_STProjectsSOF[[#This Row],[FY Plan]],1.000011000011)</f>
        <v>1.0000110000110001</v>
      </c>
    </row>
    <row r="706" spans="1:37" hidden="1" x14ac:dyDescent="0.2">
      <c r="A706">
        <f>SUBTOTAL(3,$B$6:B706)</f>
        <v>0</v>
      </c>
      <c r="B706" t="s">
        <v>941</v>
      </c>
      <c r="C706" t="s">
        <v>355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AB706" s="164">
        <v>41275</v>
      </c>
      <c r="AC706" s="164">
        <v>41455</v>
      </c>
      <c r="AD706" s="164">
        <v>41547</v>
      </c>
      <c r="AE706" s="34">
        <f>SUMPRODUCT(DB_STProjectsSOF[[#This Row],[Plan01]:[Plan12]],$D$4:$O$4)/valUnits2</f>
        <v>0</v>
      </c>
      <c r="AF706" s="34">
        <f>SUMPRODUCT(DB_STProjectsSOF[[#This Row],[Act01]:[Act12]],$P$4:$AA$4)/valUnits2</f>
        <v>0</v>
      </c>
      <c r="AG706" s="34">
        <f>DB_STProjectsSOF[[#This Row],[Actual]]-DB_STProjectsSOF[[#This Row],[Plan]]</f>
        <v>0</v>
      </c>
      <c r="AH706" s="34">
        <f>IF(DB_STProjectsSOF[[#This Row],[Plan]]&lt;&gt;0,DB_STProjectsSOF[[#This Row],[Actual]]/DB_STProjectsSOF[[#This Row],[Plan]],1.000011000011)</f>
        <v>1.0000110000110001</v>
      </c>
      <c r="AI706" s="34">
        <f>SUM(DB_STProjectsSOF[[#This Row],[Plan01]:[Plan12]])/valUnits2</f>
        <v>0</v>
      </c>
      <c r="AJ706" s="34">
        <f>SUMPRODUCT(DB_STProjectsSOF[[#This Row],[Act01]:[Act12]],$P$3:$AA$3)/valUnits2</f>
        <v>0</v>
      </c>
      <c r="AK706" s="34">
        <f>IF(DB_STProjectsSOF[[#This Row],[FY Plan]]&lt;&gt;0,DB_STProjectsSOF[[#This Row],[FY Actuals]]/DB_STProjectsSOF[[#This Row],[FY Plan]],1.000011000011)</f>
        <v>1.0000110000110001</v>
      </c>
    </row>
    <row r="707" spans="1:37" hidden="1" x14ac:dyDescent="0.2">
      <c r="A707">
        <f>SUBTOTAL(3,$B$6:B707)</f>
        <v>0</v>
      </c>
      <c r="B707" t="s">
        <v>941</v>
      </c>
      <c r="C707" t="s">
        <v>362</v>
      </c>
      <c r="D707">
        <v>0</v>
      </c>
      <c r="P707">
        <v>0</v>
      </c>
      <c r="AB707" s="164">
        <v>40909</v>
      </c>
      <c r="AC707" s="164">
        <v>41486</v>
      </c>
      <c r="AD707" s="164">
        <v>41670</v>
      </c>
      <c r="AE707" s="34">
        <f>SUMPRODUCT(DB_STProjectsSOF[[#This Row],[Plan01]:[Plan12]],$D$4:$O$4)/valUnits2</f>
        <v>0</v>
      </c>
      <c r="AF707" s="34">
        <f>SUMPRODUCT(DB_STProjectsSOF[[#This Row],[Act01]:[Act12]],$P$4:$AA$4)/valUnits2</f>
        <v>0</v>
      </c>
      <c r="AG707" s="34">
        <f>DB_STProjectsSOF[[#This Row],[Actual]]-DB_STProjectsSOF[[#This Row],[Plan]]</f>
        <v>0</v>
      </c>
      <c r="AH707" s="34">
        <f>IF(DB_STProjectsSOF[[#This Row],[Plan]]&lt;&gt;0,DB_STProjectsSOF[[#This Row],[Actual]]/DB_STProjectsSOF[[#This Row],[Plan]],1.000011000011)</f>
        <v>1.0000110000110001</v>
      </c>
      <c r="AI707" s="34">
        <f>SUM(DB_STProjectsSOF[[#This Row],[Plan01]:[Plan12]])/valUnits2</f>
        <v>0</v>
      </c>
      <c r="AJ707" s="34">
        <f>SUMPRODUCT(DB_STProjectsSOF[[#This Row],[Act01]:[Act12]],$P$3:$AA$3)/valUnits2</f>
        <v>0</v>
      </c>
      <c r="AK707" s="34">
        <f>IF(DB_STProjectsSOF[[#This Row],[FY Plan]]&lt;&gt;0,DB_STProjectsSOF[[#This Row],[FY Actuals]]/DB_STProjectsSOF[[#This Row],[FY Plan]],1.000011000011)</f>
        <v>1.0000110000110001</v>
      </c>
    </row>
    <row r="708" spans="1:37" hidden="1" x14ac:dyDescent="0.2">
      <c r="A708">
        <f>SUBTOTAL(3,$B$6:B708)</f>
        <v>0</v>
      </c>
      <c r="B708" t="s">
        <v>941</v>
      </c>
      <c r="C708" t="s">
        <v>878</v>
      </c>
      <c r="D708">
        <v>0</v>
      </c>
      <c r="E708">
        <v>0</v>
      </c>
      <c r="P708">
        <v>0</v>
      </c>
      <c r="Q708">
        <v>0</v>
      </c>
      <c r="AB708" s="164">
        <v>40969</v>
      </c>
      <c r="AC708" s="164">
        <v>41333</v>
      </c>
      <c r="AD708" s="164">
        <v>41364</v>
      </c>
      <c r="AE708" s="34">
        <f>SUMPRODUCT(DB_STProjectsSOF[[#This Row],[Plan01]:[Plan12]],$D$4:$O$4)/valUnits2</f>
        <v>0</v>
      </c>
      <c r="AF708" s="34">
        <f>SUMPRODUCT(DB_STProjectsSOF[[#This Row],[Act01]:[Act12]],$P$4:$AA$4)/valUnits2</f>
        <v>0</v>
      </c>
      <c r="AG708" s="34">
        <f>DB_STProjectsSOF[[#This Row],[Actual]]-DB_STProjectsSOF[[#This Row],[Plan]]</f>
        <v>0</v>
      </c>
      <c r="AH708" s="34">
        <f>IF(DB_STProjectsSOF[[#This Row],[Plan]]&lt;&gt;0,DB_STProjectsSOF[[#This Row],[Actual]]/DB_STProjectsSOF[[#This Row],[Plan]],1.000011000011)</f>
        <v>1.0000110000110001</v>
      </c>
      <c r="AI708" s="34">
        <f>SUM(DB_STProjectsSOF[[#This Row],[Plan01]:[Plan12]])/valUnits2</f>
        <v>0</v>
      </c>
      <c r="AJ708" s="34">
        <f>SUMPRODUCT(DB_STProjectsSOF[[#This Row],[Act01]:[Act12]],$P$3:$AA$3)/valUnits2</f>
        <v>0</v>
      </c>
      <c r="AK708" s="34">
        <f>IF(DB_STProjectsSOF[[#This Row],[FY Plan]]&lt;&gt;0,DB_STProjectsSOF[[#This Row],[FY Actuals]]/DB_STProjectsSOF[[#This Row],[FY Plan]],1.000011000011)</f>
        <v>1.0000110000110001</v>
      </c>
    </row>
    <row r="709" spans="1:37" hidden="1" x14ac:dyDescent="0.2">
      <c r="A709">
        <f>SUBTOTAL(3,$B$6:B709)</f>
        <v>0</v>
      </c>
      <c r="B709" t="s">
        <v>941</v>
      </c>
      <c r="C709" t="s">
        <v>883</v>
      </c>
      <c r="D709">
        <v>0</v>
      </c>
      <c r="P709">
        <v>0</v>
      </c>
      <c r="AB709" s="164">
        <v>40940</v>
      </c>
      <c r="AC709" s="164">
        <v>41639</v>
      </c>
      <c r="AD709" s="164">
        <v>41698</v>
      </c>
      <c r="AE709" s="34">
        <f>SUMPRODUCT(DB_STProjectsSOF[[#This Row],[Plan01]:[Plan12]],$D$4:$O$4)/valUnits2</f>
        <v>0</v>
      </c>
      <c r="AF709" s="34">
        <f>SUMPRODUCT(DB_STProjectsSOF[[#This Row],[Act01]:[Act12]],$P$4:$AA$4)/valUnits2</f>
        <v>0</v>
      </c>
      <c r="AG709" s="34">
        <f>DB_STProjectsSOF[[#This Row],[Actual]]-DB_STProjectsSOF[[#This Row],[Plan]]</f>
        <v>0</v>
      </c>
      <c r="AH709" s="34">
        <f>IF(DB_STProjectsSOF[[#This Row],[Plan]]&lt;&gt;0,DB_STProjectsSOF[[#This Row],[Actual]]/DB_STProjectsSOF[[#This Row],[Plan]],1.000011000011)</f>
        <v>1.0000110000110001</v>
      </c>
      <c r="AI709" s="34">
        <f>SUM(DB_STProjectsSOF[[#This Row],[Plan01]:[Plan12]])/valUnits2</f>
        <v>0</v>
      </c>
      <c r="AJ709" s="34">
        <f>SUMPRODUCT(DB_STProjectsSOF[[#This Row],[Act01]:[Act12]],$P$3:$AA$3)/valUnits2</f>
        <v>0</v>
      </c>
      <c r="AK709" s="34">
        <f>IF(DB_STProjectsSOF[[#This Row],[FY Plan]]&lt;&gt;0,DB_STProjectsSOF[[#This Row],[FY Actuals]]/DB_STProjectsSOF[[#This Row],[FY Plan]],1.000011000011)</f>
        <v>1.0000110000110001</v>
      </c>
    </row>
    <row r="710" spans="1:37" hidden="1" x14ac:dyDescent="0.2">
      <c r="A710">
        <f>SUBTOTAL(3,$B$6:B710)</f>
        <v>0</v>
      </c>
      <c r="B710" t="s">
        <v>941</v>
      </c>
      <c r="C710" t="s">
        <v>885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7.8800000000000008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s="164">
        <v>40817</v>
      </c>
      <c r="AC710" s="164">
        <v>41639</v>
      </c>
      <c r="AD710" s="164">
        <v>41820</v>
      </c>
      <c r="AE710" s="34">
        <f>SUMPRODUCT(DB_STProjectsSOF[[#This Row],[Plan01]:[Plan12]],$D$4:$O$4)/valUnits2</f>
        <v>0</v>
      </c>
      <c r="AF710" s="34">
        <f>SUMPRODUCT(DB_STProjectsSOF[[#This Row],[Act01]:[Act12]],$P$4:$AA$4)/valUnits2</f>
        <v>7.8800000000000016E-3</v>
      </c>
      <c r="AG710" s="34">
        <f>DB_STProjectsSOF[[#This Row],[Actual]]-DB_STProjectsSOF[[#This Row],[Plan]]</f>
        <v>7.8800000000000016E-3</v>
      </c>
      <c r="AH710" s="34">
        <f>IF(DB_STProjectsSOF[[#This Row],[Plan]]&lt;&gt;0,DB_STProjectsSOF[[#This Row],[Actual]]/DB_STProjectsSOF[[#This Row],[Plan]],1.000011000011)</f>
        <v>1.0000110000110001</v>
      </c>
      <c r="AI710" s="34">
        <f>SUM(DB_STProjectsSOF[[#This Row],[Plan01]:[Plan12]])/valUnits2</f>
        <v>0</v>
      </c>
      <c r="AJ710" s="34">
        <f>SUMPRODUCT(DB_STProjectsSOF[[#This Row],[Act01]:[Act12]],$P$3:$AA$3)/valUnits2</f>
        <v>7.8800000000000016E-3</v>
      </c>
      <c r="AK710" s="34">
        <f>IF(DB_STProjectsSOF[[#This Row],[FY Plan]]&lt;&gt;0,DB_STProjectsSOF[[#This Row],[FY Actuals]]/DB_STProjectsSOF[[#This Row],[FY Plan]],1.000011000011)</f>
        <v>1.0000110000110001</v>
      </c>
    </row>
    <row r="711" spans="1:37" hidden="1" x14ac:dyDescent="0.2">
      <c r="A711">
        <f>SUBTOTAL(3,$B$6:B711)</f>
        <v>0</v>
      </c>
      <c r="B711" t="s">
        <v>941</v>
      </c>
      <c r="C711" t="s">
        <v>891</v>
      </c>
      <c r="I711">
        <v>0</v>
      </c>
      <c r="U711">
        <v>122</v>
      </c>
      <c r="AB711" s="164">
        <v>41214</v>
      </c>
      <c r="AC711" s="164">
        <v>42308</v>
      </c>
      <c r="AD711" s="164">
        <v>42389</v>
      </c>
      <c r="AE711" s="34">
        <f>SUMPRODUCT(DB_STProjectsSOF[[#This Row],[Plan01]:[Plan12]],$D$4:$O$4)/valUnits2</f>
        <v>0</v>
      </c>
      <c r="AF711" s="34">
        <f>SUMPRODUCT(DB_STProjectsSOF[[#This Row],[Act01]:[Act12]],$P$4:$AA$4)/valUnits2</f>
        <v>0.122</v>
      </c>
      <c r="AG711" s="34">
        <f>DB_STProjectsSOF[[#This Row],[Actual]]-DB_STProjectsSOF[[#This Row],[Plan]]</f>
        <v>0.122</v>
      </c>
      <c r="AH711" s="34">
        <f>IF(DB_STProjectsSOF[[#This Row],[Plan]]&lt;&gt;0,DB_STProjectsSOF[[#This Row],[Actual]]/DB_STProjectsSOF[[#This Row],[Plan]],1.000011000011)</f>
        <v>1.0000110000110001</v>
      </c>
      <c r="AI711" s="34">
        <f>SUM(DB_STProjectsSOF[[#This Row],[Plan01]:[Plan12]])/valUnits2</f>
        <v>0</v>
      </c>
      <c r="AJ711" s="34">
        <f>SUMPRODUCT(DB_STProjectsSOF[[#This Row],[Act01]:[Act12]],$P$3:$AA$3)/valUnits2</f>
        <v>0.122</v>
      </c>
      <c r="AK711" s="34">
        <f>IF(DB_STProjectsSOF[[#This Row],[FY Plan]]&lt;&gt;0,DB_STProjectsSOF[[#This Row],[FY Actuals]]/DB_STProjectsSOF[[#This Row],[FY Plan]],1.000011000011)</f>
        <v>1.0000110000110001</v>
      </c>
    </row>
    <row r="712" spans="1:37" hidden="1" x14ac:dyDescent="0.2">
      <c r="A712">
        <f>SUBTOTAL(3,$B$6:B712)</f>
        <v>0</v>
      </c>
      <c r="B712" t="s">
        <v>941</v>
      </c>
      <c r="C712" t="s">
        <v>896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s="164">
        <v>40817</v>
      </c>
      <c r="AC712" s="164">
        <v>41639</v>
      </c>
      <c r="AD712" s="164">
        <v>41820</v>
      </c>
      <c r="AE712" s="34">
        <f>SUMPRODUCT(DB_STProjectsSOF[[#This Row],[Plan01]:[Plan12]],$D$4:$O$4)/valUnits2</f>
        <v>0</v>
      </c>
      <c r="AF712" s="34">
        <f>SUMPRODUCT(DB_STProjectsSOF[[#This Row],[Act01]:[Act12]],$P$4:$AA$4)/valUnits2</f>
        <v>0</v>
      </c>
      <c r="AG712" s="34">
        <f>DB_STProjectsSOF[[#This Row],[Actual]]-DB_STProjectsSOF[[#This Row],[Plan]]</f>
        <v>0</v>
      </c>
      <c r="AH712" s="34">
        <f>IF(DB_STProjectsSOF[[#This Row],[Plan]]&lt;&gt;0,DB_STProjectsSOF[[#This Row],[Actual]]/DB_STProjectsSOF[[#This Row],[Plan]],1.000011000011)</f>
        <v>1.0000110000110001</v>
      </c>
      <c r="AI712" s="34">
        <f>SUM(DB_STProjectsSOF[[#This Row],[Plan01]:[Plan12]])/valUnits2</f>
        <v>0</v>
      </c>
      <c r="AJ712" s="34">
        <f>SUMPRODUCT(DB_STProjectsSOF[[#This Row],[Act01]:[Act12]],$P$3:$AA$3)/valUnits2</f>
        <v>0</v>
      </c>
      <c r="AK712" s="34">
        <f>IF(DB_STProjectsSOF[[#This Row],[FY Plan]]&lt;&gt;0,DB_STProjectsSOF[[#This Row],[FY Actuals]]/DB_STProjectsSOF[[#This Row],[FY Plan]],1.000011000011)</f>
        <v>1.0000110000110001</v>
      </c>
    </row>
    <row r="713" spans="1:37" hidden="1" x14ac:dyDescent="0.2">
      <c r="A713">
        <f>SUBTOTAL(3,$B$6:B713)</f>
        <v>0</v>
      </c>
      <c r="B713" t="s">
        <v>941</v>
      </c>
      <c r="C713" t="s">
        <v>899</v>
      </c>
      <c r="E713">
        <v>150.49</v>
      </c>
      <c r="F713">
        <v>1065.2560000000001</v>
      </c>
      <c r="Q713">
        <v>150.01</v>
      </c>
      <c r="R713">
        <v>1057.58</v>
      </c>
      <c r="AB713" s="164">
        <v>40909</v>
      </c>
      <c r="AC713" s="164">
        <v>41639</v>
      </c>
      <c r="AD713" s="164">
        <v>41729</v>
      </c>
      <c r="AE713" s="34">
        <f>SUMPRODUCT(DB_STProjectsSOF[[#This Row],[Plan01]:[Plan12]],$D$4:$O$4)/valUnits2</f>
        <v>1.215746</v>
      </c>
      <c r="AF713" s="34">
        <f>SUMPRODUCT(DB_STProjectsSOF[[#This Row],[Act01]:[Act12]],$P$4:$AA$4)/valUnits2</f>
        <v>1.2075899999999999</v>
      </c>
      <c r="AG713" s="34">
        <f>DB_STProjectsSOF[[#This Row],[Actual]]-DB_STProjectsSOF[[#This Row],[Plan]]</f>
        <v>-8.1560000000000521E-3</v>
      </c>
      <c r="AH713" s="34">
        <f>IF(DB_STProjectsSOF[[#This Row],[Plan]]&lt;&gt;0,DB_STProjectsSOF[[#This Row],[Actual]]/DB_STProjectsSOF[[#This Row],[Plan]],1.000011000011)</f>
        <v>0.99329136184696465</v>
      </c>
      <c r="AI713" s="34">
        <f>SUM(DB_STProjectsSOF[[#This Row],[Plan01]:[Plan12]])/valUnits2</f>
        <v>1.215746</v>
      </c>
      <c r="AJ713" s="34">
        <f>SUMPRODUCT(DB_STProjectsSOF[[#This Row],[Act01]:[Act12]],$P$3:$AA$3)/valUnits2</f>
        <v>1.2075899999999999</v>
      </c>
      <c r="AK713" s="34">
        <f>IF(DB_STProjectsSOF[[#This Row],[FY Plan]]&lt;&gt;0,DB_STProjectsSOF[[#This Row],[FY Actuals]]/DB_STProjectsSOF[[#This Row],[FY Plan]],1.000011000011)</f>
        <v>0.99329136184696465</v>
      </c>
    </row>
    <row r="714" spans="1:37" hidden="1" x14ac:dyDescent="0.2">
      <c r="A714">
        <f>SUBTOTAL(3,$B$6:B714)</f>
        <v>0</v>
      </c>
      <c r="B714" t="s">
        <v>941</v>
      </c>
      <c r="C714" t="s">
        <v>908</v>
      </c>
      <c r="F714">
        <v>0</v>
      </c>
      <c r="G714">
        <v>0</v>
      </c>
      <c r="H714">
        <v>0</v>
      </c>
      <c r="I714">
        <v>34.979999999999997</v>
      </c>
      <c r="J714">
        <v>34.979999999999997</v>
      </c>
      <c r="K714">
        <v>34.979999999999997</v>
      </c>
      <c r="L714">
        <v>34.979999999999997</v>
      </c>
      <c r="M714">
        <v>34.979999999999997</v>
      </c>
      <c r="N714">
        <v>34.979999999999997</v>
      </c>
      <c r="O714">
        <v>34.979999999999997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s="164">
        <v>40909</v>
      </c>
      <c r="AC714" s="164">
        <v>42003</v>
      </c>
      <c r="AD714" s="164">
        <v>42063</v>
      </c>
      <c r="AE714" s="34">
        <f>SUMPRODUCT(DB_STProjectsSOF[[#This Row],[Plan01]:[Plan12]],$D$4:$O$4)/valUnits2</f>
        <v>3.4979999999999997E-2</v>
      </c>
      <c r="AF714" s="34">
        <f>SUMPRODUCT(DB_STProjectsSOF[[#This Row],[Act01]:[Act12]],$P$4:$AA$4)/valUnits2</f>
        <v>0</v>
      </c>
      <c r="AG714" s="34">
        <f>DB_STProjectsSOF[[#This Row],[Actual]]-DB_STProjectsSOF[[#This Row],[Plan]]</f>
        <v>-3.4979999999999997E-2</v>
      </c>
      <c r="AH714" s="34">
        <f>IF(DB_STProjectsSOF[[#This Row],[Plan]]&lt;&gt;0,DB_STProjectsSOF[[#This Row],[Actual]]/DB_STProjectsSOF[[#This Row],[Plan]],1.000011000011)</f>
        <v>0</v>
      </c>
      <c r="AI714" s="34">
        <f>SUM(DB_STProjectsSOF[[#This Row],[Plan01]:[Plan12]])/valUnits2</f>
        <v>0.24485999999999997</v>
      </c>
      <c r="AJ714" s="34">
        <f>SUMPRODUCT(DB_STProjectsSOF[[#This Row],[Act01]:[Act12]],$P$3:$AA$3)/valUnits2</f>
        <v>0</v>
      </c>
      <c r="AK714" s="34">
        <f>IF(DB_STProjectsSOF[[#This Row],[FY Plan]]&lt;&gt;0,DB_STProjectsSOF[[#This Row],[FY Actuals]]/DB_STProjectsSOF[[#This Row],[FY Plan]],1.000011000011)</f>
        <v>0</v>
      </c>
    </row>
    <row r="715" spans="1:37" hidden="1" x14ac:dyDescent="0.2">
      <c r="A715">
        <f>SUBTOTAL(3,$B$6:B715)</f>
        <v>0</v>
      </c>
      <c r="B715" t="s">
        <v>941</v>
      </c>
      <c r="C715" t="s">
        <v>909</v>
      </c>
      <c r="D715">
        <v>198.06</v>
      </c>
      <c r="F715">
        <v>401.48</v>
      </c>
      <c r="G715">
        <v>51.7</v>
      </c>
      <c r="H715">
        <v>183.57</v>
      </c>
      <c r="I715">
        <v>0</v>
      </c>
      <c r="P715">
        <v>198.06</v>
      </c>
      <c r="R715">
        <v>401.47999999999996</v>
      </c>
      <c r="S715">
        <v>51.7</v>
      </c>
      <c r="T715">
        <v>183.57</v>
      </c>
      <c r="U715">
        <v>482.41999999999996</v>
      </c>
      <c r="AB715" s="164">
        <v>40817</v>
      </c>
      <c r="AC715" s="164">
        <v>42155</v>
      </c>
      <c r="AD715" s="164">
        <v>42217</v>
      </c>
      <c r="AE715" s="34">
        <f>SUMPRODUCT(DB_STProjectsSOF[[#This Row],[Plan01]:[Plan12]],$D$4:$O$4)/valUnits2</f>
        <v>0.83480999999999994</v>
      </c>
      <c r="AF715" s="34">
        <f>SUMPRODUCT(DB_STProjectsSOF[[#This Row],[Act01]:[Act12]],$P$4:$AA$4)/valUnits2</f>
        <v>1.3172300000000001</v>
      </c>
      <c r="AG715" s="34">
        <f>DB_STProjectsSOF[[#This Row],[Actual]]-DB_STProjectsSOF[[#This Row],[Plan]]</f>
        <v>0.48242000000000018</v>
      </c>
      <c r="AH715" s="34">
        <f>IF(DB_STProjectsSOF[[#This Row],[Plan]]&lt;&gt;0,DB_STProjectsSOF[[#This Row],[Actual]]/DB_STProjectsSOF[[#This Row],[Plan]],1.000011000011)</f>
        <v>1.5778799966459436</v>
      </c>
      <c r="AI715" s="34">
        <f>SUM(DB_STProjectsSOF[[#This Row],[Plan01]:[Plan12]])/valUnits2</f>
        <v>0.83480999999999994</v>
      </c>
      <c r="AJ715" s="34">
        <f>SUMPRODUCT(DB_STProjectsSOF[[#This Row],[Act01]:[Act12]],$P$3:$AA$3)/valUnits2</f>
        <v>1.3172300000000001</v>
      </c>
      <c r="AK715" s="34">
        <f>IF(DB_STProjectsSOF[[#This Row],[FY Plan]]&lt;&gt;0,DB_STProjectsSOF[[#This Row],[FY Actuals]]/DB_STProjectsSOF[[#This Row],[FY Plan]],1.000011000011)</f>
        <v>1.5778799966459436</v>
      </c>
    </row>
    <row r="716" spans="1:37" hidden="1" x14ac:dyDescent="0.2">
      <c r="A716">
        <f>SUBTOTAL(3,$B$6:B716)</f>
        <v>0</v>
      </c>
      <c r="B716" t="s">
        <v>941</v>
      </c>
      <c r="C716" t="s">
        <v>918</v>
      </c>
      <c r="D716">
        <v>0</v>
      </c>
      <c r="G716">
        <v>0</v>
      </c>
      <c r="H716">
        <v>115.01900000000001</v>
      </c>
      <c r="J716">
        <v>0</v>
      </c>
      <c r="M716">
        <v>0</v>
      </c>
      <c r="P716">
        <v>0</v>
      </c>
      <c r="S716">
        <v>0</v>
      </c>
      <c r="T716">
        <v>114.08000000000001</v>
      </c>
      <c r="V716">
        <v>0</v>
      </c>
      <c r="Y716">
        <v>0</v>
      </c>
      <c r="AB716" s="164">
        <v>41091</v>
      </c>
      <c r="AC716" s="164">
        <v>42185</v>
      </c>
      <c r="AD716" s="164">
        <v>42247</v>
      </c>
      <c r="AE716" s="34">
        <f>SUMPRODUCT(DB_STProjectsSOF[[#This Row],[Plan01]:[Plan12]],$D$4:$O$4)/valUnits2</f>
        <v>0.11501900000000001</v>
      </c>
      <c r="AF716" s="34">
        <f>SUMPRODUCT(DB_STProjectsSOF[[#This Row],[Act01]:[Act12]],$P$4:$AA$4)/valUnits2</f>
        <v>0.11408000000000001</v>
      </c>
      <c r="AG716" s="34">
        <f>DB_STProjectsSOF[[#This Row],[Actual]]-DB_STProjectsSOF[[#This Row],[Plan]]</f>
        <v>-9.3899999999999539E-4</v>
      </c>
      <c r="AH716" s="34">
        <f>IF(DB_STProjectsSOF[[#This Row],[Plan]]&lt;&gt;0,DB_STProjectsSOF[[#This Row],[Actual]]/DB_STProjectsSOF[[#This Row],[Plan]],1.000011000011)</f>
        <v>0.99183613142176519</v>
      </c>
      <c r="AI716" s="34">
        <f>SUM(DB_STProjectsSOF[[#This Row],[Plan01]:[Plan12]])/valUnits2</f>
        <v>0.11501900000000001</v>
      </c>
      <c r="AJ716" s="34">
        <f>SUMPRODUCT(DB_STProjectsSOF[[#This Row],[Act01]:[Act12]],$P$3:$AA$3)/valUnits2</f>
        <v>0.11408000000000001</v>
      </c>
      <c r="AK716" s="34">
        <f>IF(DB_STProjectsSOF[[#This Row],[FY Plan]]&lt;&gt;0,DB_STProjectsSOF[[#This Row],[FY Actuals]]/DB_STProjectsSOF[[#This Row],[FY Plan]],1.000011000011)</f>
        <v>0.99183613142176519</v>
      </c>
    </row>
    <row r="717" spans="1:37" hidden="1" x14ac:dyDescent="0.2">
      <c r="A717">
        <f>SUBTOTAL(3,$B$6:B717)</f>
        <v>0</v>
      </c>
      <c r="B717" t="s">
        <v>941</v>
      </c>
      <c r="C717" t="s">
        <v>356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AB717" s="164">
        <v>41091</v>
      </c>
      <c r="AC717" s="164">
        <v>41455</v>
      </c>
      <c r="AD717" s="164">
        <v>41547</v>
      </c>
      <c r="AE717" s="34">
        <f>SUMPRODUCT(DB_STProjectsSOF[[#This Row],[Plan01]:[Plan12]],$D$4:$O$4)/valUnits2</f>
        <v>0</v>
      </c>
      <c r="AF717" s="34">
        <f>SUMPRODUCT(DB_STProjectsSOF[[#This Row],[Act01]:[Act12]],$P$4:$AA$4)/valUnits2</f>
        <v>0</v>
      </c>
      <c r="AG717" s="34">
        <f>DB_STProjectsSOF[[#This Row],[Actual]]-DB_STProjectsSOF[[#This Row],[Plan]]</f>
        <v>0</v>
      </c>
      <c r="AH717" s="34">
        <f>IF(DB_STProjectsSOF[[#This Row],[Plan]]&lt;&gt;0,DB_STProjectsSOF[[#This Row],[Actual]]/DB_STProjectsSOF[[#This Row],[Plan]],1.000011000011)</f>
        <v>1.0000110000110001</v>
      </c>
      <c r="AI717" s="34">
        <f>SUM(DB_STProjectsSOF[[#This Row],[Plan01]:[Plan12]])/valUnits2</f>
        <v>0</v>
      </c>
      <c r="AJ717" s="34">
        <f>SUMPRODUCT(DB_STProjectsSOF[[#This Row],[Act01]:[Act12]],$P$3:$AA$3)/valUnits2</f>
        <v>0</v>
      </c>
      <c r="AK717" s="34">
        <f>IF(DB_STProjectsSOF[[#This Row],[FY Plan]]&lt;&gt;0,DB_STProjectsSOF[[#This Row],[FY Actuals]]/DB_STProjectsSOF[[#This Row],[FY Plan]],1.000011000011)</f>
        <v>1.0000110000110001</v>
      </c>
    </row>
    <row r="718" spans="1:37" hidden="1" x14ac:dyDescent="0.2">
      <c r="A718">
        <f>SUBTOTAL(3,$B$6:B718)</f>
        <v>0</v>
      </c>
      <c r="B718" t="s">
        <v>941</v>
      </c>
      <c r="C718" t="s">
        <v>921</v>
      </c>
      <c r="D718">
        <v>164.34799999999998</v>
      </c>
      <c r="E718">
        <v>220.59700000000001</v>
      </c>
      <c r="P718">
        <v>164.36</v>
      </c>
      <c r="Q718">
        <v>219.38</v>
      </c>
      <c r="AB718" s="164">
        <v>40909</v>
      </c>
      <c r="AC718" s="164">
        <v>41363</v>
      </c>
      <c r="AD718" s="164">
        <v>41389</v>
      </c>
      <c r="AE718" s="34">
        <f>SUMPRODUCT(DB_STProjectsSOF[[#This Row],[Plan01]:[Plan12]],$D$4:$O$4)/valUnits2</f>
        <v>0.38494499999999998</v>
      </c>
      <c r="AF718" s="34">
        <f>SUMPRODUCT(DB_STProjectsSOF[[#This Row],[Act01]:[Act12]],$P$4:$AA$4)/valUnits2</f>
        <v>0.38374000000000003</v>
      </c>
      <c r="AG718" s="34">
        <f>DB_STProjectsSOF[[#This Row],[Actual]]-DB_STProjectsSOF[[#This Row],[Plan]]</f>
        <v>-1.2049999999999561E-3</v>
      </c>
      <c r="AH718" s="34">
        <f>IF(DB_STProjectsSOF[[#This Row],[Plan]]&lt;&gt;0,DB_STProjectsSOF[[#This Row],[Actual]]/DB_STProjectsSOF[[#This Row],[Plan]],1.000011000011)</f>
        <v>0.99686968268194165</v>
      </c>
      <c r="AI718" s="34">
        <f>SUM(DB_STProjectsSOF[[#This Row],[Plan01]:[Plan12]])/valUnits2</f>
        <v>0.38494499999999998</v>
      </c>
      <c r="AJ718" s="34">
        <f>SUMPRODUCT(DB_STProjectsSOF[[#This Row],[Act01]:[Act12]],$P$3:$AA$3)/valUnits2</f>
        <v>0.38374000000000003</v>
      </c>
      <c r="AK718" s="34">
        <f>IF(DB_STProjectsSOF[[#This Row],[FY Plan]]&lt;&gt;0,DB_STProjectsSOF[[#This Row],[FY Actuals]]/DB_STProjectsSOF[[#This Row],[FY Plan]],1.000011000011)</f>
        <v>0.99686968268194165</v>
      </c>
    </row>
    <row r="719" spans="1:37" hidden="1" x14ac:dyDescent="0.2">
      <c r="A719">
        <f>SUBTOTAL(3,$B$6:B719)</f>
        <v>0</v>
      </c>
      <c r="B719" t="s">
        <v>941</v>
      </c>
      <c r="C719" t="s">
        <v>359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AB719" s="164">
        <v>41275</v>
      </c>
      <c r="AC719" s="164">
        <v>41455</v>
      </c>
      <c r="AD719" s="164">
        <v>41547</v>
      </c>
      <c r="AE719" s="34">
        <f>SUMPRODUCT(DB_STProjectsSOF[[#This Row],[Plan01]:[Plan12]],$D$4:$O$4)/valUnits2</f>
        <v>0</v>
      </c>
      <c r="AF719" s="34">
        <f>SUMPRODUCT(DB_STProjectsSOF[[#This Row],[Act01]:[Act12]],$P$4:$AA$4)/valUnits2</f>
        <v>0</v>
      </c>
      <c r="AG719" s="34">
        <f>DB_STProjectsSOF[[#This Row],[Actual]]-DB_STProjectsSOF[[#This Row],[Plan]]</f>
        <v>0</v>
      </c>
      <c r="AH719" s="34">
        <f>IF(DB_STProjectsSOF[[#This Row],[Plan]]&lt;&gt;0,DB_STProjectsSOF[[#This Row],[Actual]]/DB_STProjectsSOF[[#This Row],[Plan]],1.000011000011)</f>
        <v>1.0000110000110001</v>
      </c>
      <c r="AI719" s="34">
        <f>SUM(DB_STProjectsSOF[[#This Row],[Plan01]:[Plan12]])/valUnits2</f>
        <v>0</v>
      </c>
      <c r="AJ719" s="34">
        <f>SUMPRODUCT(DB_STProjectsSOF[[#This Row],[Act01]:[Act12]],$P$3:$AA$3)/valUnits2</f>
        <v>0</v>
      </c>
      <c r="AK719" s="34">
        <f>IF(DB_STProjectsSOF[[#This Row],[FY Plan]]&lt;&gt;0,DB_STProjectsSOF[[#This Row],[FY Actuals]]/DB_STProjectsSOF[[#This Row],[FY Plan]],1.000011000011)</f>
        <v>1.0000110000110001</v>
      </c>
    </row>
    <row r="720" spans="1:37" hidden="1" x14ac:dyDescent="0.2">
      <c r="A720">
        <f>SUBTOTAL(3,$B$6:B720)</f>
        <v>0</v>
      </c>
      <c r="B720" t="s">
        <v>941</v>
      </c>
      <c r="C720" t="s">
        <v>360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AB720" s="164">
        <v>41091</v>
      </c>
      <c r="AC720" s="164">
        <v>41455</v>
      </c>
      <c r="AD720" s="164">
        <v>41547</v>
      </c>
      <c r="AE720" s="34">
        <f>SUMPRODUCT(DB_STProjectsSOF[[#This Row],[Plan01]:[Plan12]],$D$4:$O$4)/valUnits2</f>
        <v>0</v>
      </c>
      <c r="AF720" s="34">
        <f>SUMPRODUCT(DB_STProjectsSOF[[#This Row],[Act01]:[Act12]],$P$4:$AA$4)/valUnits2</f>
        <v>0</v>
      </c>
      <c r="AG720" s="34">
        <f>DB_STProjectsSOF[[#This Row],[Actual]]-DB_STProjectsSOF[[#This Row],[Plan]]</f>
        <v>0</v>
      </c>
      <c r="AH720" s="34">
        <f>IF(DB_STProjectsSOF[[#This Row],[Plan]]&lt;&gt;0,DB_STProjectsSOF[[#This Row],[Actual]]/DB_STProjectsSOF[[#This Row],[Plan]],1.000011000011)</f>
        <v>1.0000110000110001</v>
      </c>
      <c r="AI720" s="34">
        <f>SUM(DB_STProjectsSOF[[#This Row],[Plan01]:[Plan12]])/valUnits2</f>
        <v>0</v>
      </c>
      <c r="AJ720" s="34">
        <f>SUMPRODUCT(DB_STProjectsSOF[[#This Row],[Act01]:[Act12]],$P$3:$AA$3)/valUnits2</f>
        <v>0</v>
      </c>
      <c r="AK720" s="34">
        <f>IF(DB_STProjectsSOF[[#This Row],[FY Plan]]&lt;&gt;0,DB_STProjectsSOF[[#This Row],[FY Actuals]]/DB_STProjectsSOF[[#This Row],[FY Plan]],1.000011000011)</f>
        <v>1.0000110000110001</v>
      </c>
    </row>
    <row r="721" spans="1:37" hidden="1" x14ac:dyDescent="0.2">
      <c r="A721">
        <f>SUBTOTAL(3,$B$6:B721)</f>
        <v>0</v>
      </c>
      <c r="B721" t="s">
        <v>941</v>
      </c>
      <c r="C721" t="s">
        <v>928</v>
      </c>
      <c r="D721">
        <v>0</v>
      </c>
      <c r="P721">
        <v>0</v>
      </c>
      <c r="AB721" s="164">
        <v>40817</v>
      </c>
      <c r="AC721" s="164">
        <v>41305</v>
      </c>
      <c r="AD721" s="164">
        <v>41394</v>
      </c>
      <c r="AE721" s="34">
        <f>SUMPRODUCT(DB_STProjectsSOF[[#This Row],[Plan01]:[Plan12]],$D$4:$O$4)/valUnits2</f>
        <v>0</v>
      </c>
      <c r="AF721" s="34">
        <f>SUMPRODUCT(DB_STProjectsSOF[[#This Row],[Act01]:[Act12]],$P$4:$AA$4)/valUnits2</f>
        <v>0</v>
      </c>
      <c r="AG721" s="34">
        <f>DB_STProjectsSOF[[#This Row],[Actual]]-DB_STProjectsSOF[[#This Row],[Plan]]</f>
        <v>0</v>
      </c>
      <c r="AH721" s="34">
        <f>IF(DB_STProjectsSOF[[#This Row],[Plan]]&lt;&gt;0,DB_STProjectsSOF[[#This Row],[Actual]]/DB_STProjectsSOF[[#This Row],[Plan]],1.000011000011)</f>
        <v>1.0000110000110001</v>
      </c>
      <c r="AI721" s="34">
        <f>SUM(DB_STProjectsSOF[[#This Row],[Plan01]:[Plan12]])/valUnits2</f>
        <v>0</v>
      </c>
      <c r="AJ721" s="34">
        <f>SUMPRODUCT(DB_STProjectsSOF[[#This Row],[Act01]:[Act12]],$P$3:$AA$3)/valUnits2</f>
        <v>0</v>
      </c>
      <c r="AK721" s="34">
        <f>IF(DB_STProjectsSOF[[#This Row],[FY Plan]]&lt;&gt;0,DB_STProjectsSOF[[#This Row],[FY Actuals]]/DB_STProjectsSOF[[#This Row],[FY Plan]],1.000011000011)</f>
        <v>1.0000110000110001</v>
      </c>
    </row>
    <row r="722" spans="1:37" hidden="1" x14ac:dyDescent="0.2">
      <c r="A722">
        <f>SUBTOTAL(3,$B$6:B722)</f>
        <v>0</v>
      </c>
      <c r="B722" t="s">
        <v>941</v>
      </c>
      <c r="C722" t="s">
        <v>933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AB722" s="164">
        <v>40817</v>
      </c>
      <c r="AC722" s="164">
        <v>42155</v>
      </c>
      <c r="AD722" s="164">
        <v>42217</v>
      </c>
      <c r="AE722" s="34">
        <f>SUMPRODUCT(DB_STProjectsSOF[[#This Row],[Plan01]:[Plan12]],$D$4:$O$4)/valUnits2</f>
        <v>0</v>
      </c>
      <c r="AF722" s="34">
        <f>SUMPRODUCT(DB_STProjectsSOF[[#This Row],[Act01]:[Act12]],$P$4:$AA$4)/valUnits2</f>
        <v>0</v>
      </c>
      <c r="AG722" s="34">
        <f>DB_STProjectsSOF[[#This Row],[Actual]]-DB_STProjectsSOF[[#This Row],[Plan]]</f>
        <v>0</v>
      </c>
      <c r="AH722" s="34">
        <f>IF(DB_STProjectsSOF[[#This Row],[Plan]]&lt;&gt;0,DB_STProjectsSOF[[#This Row],[Actual]]/DB_STProjectsSOF[[#This Row],[Plan]],1.000011000011)</f>
        <v>1.0000110000110001</v>
      </c>
      <c r="AI722" s="34">
        <f>SUM(DB_STProjectsSOF[[#This Row],[Plan01]:[Plan12]])/valUnits2</f>
        <v>0</v>
      </c>
      <c r="AJ722" s="34">
        <f>SUMPRODUCT(DB_STProjectsSOF[[#This Row],[Act01]:[Act12]],$P$3:$AA$3)/valUnits2</f>
        <v>0</v>
      </c>
      <c r="AK722" s="34">
        <f>IF(DB_STProjectsSOF[[#This Row],[FY Plan]]&lt;&gt;0,DB_STProjectsSOF[[#This Row],[FY Actuals]]/DB_STProjectsSOF[[#This Row],[FY Plan]],1.000011000011)</f>
        <v>1.0000110000110001</v>
      </c>
    </row>
    <row r="723" spans="1:37" hidden="1" x14ac:dyDescent="0.2">
      <c r="A723">
        <f>SUBTOTAL(3,$B$6:B723)</f>
        <v>0</v>
      </c>
      <c r="B723" t="s">
        <v>941</v>
      </c>
      <c r="C723" t="s">
        <v>935</v>
      </c>
      <c r="D723">
        <v>0</v>
      </c>
      <c r="G723">
        <v>0</v>
      </c>
      <c r="J723">
        <v>0</v>
      </c>
      <c r="M723">
        <v>0</v>
      </c>
      <c r="P723">
        <v>0</v>
      </c>
      <c r="S723">
        <v>0</v>
      </c>
      <c r="V723">
        <v>0</v>
      </c>
      <c r="Y723">
        <v>0</v>
      </c>
      <c r="AB723" s="164">
        <v>41000</v>
      </c>
      <c r="AC723" s="164">
        <v>42094</v>
      </c>
      <c r="AD723" s="164">
        <v>42124</v>
      </c>
      <c r="AE723" s="34">
        <f>SUMPRODUCT(DB_STProjectsSOF[[#This Row],[Plan01]:[Plan12]],$D$4:$O$4)/valUnits2</f>
        <v>0</v>
      </c>
      <c r="AF723" s="34">
        <f>SUMPRODUCT(DB_STProjectsSOF[[#This Row],[Act01]:[Act12]],$P$4:$AA$4)/valUnits2</f>
        <v>0</v>
      </c>
      <c r="AG723" s="34">
        <f>DB_STProjectsSOF[[#This Row],[Actual]]-DB_STProjectsSOF[[#This Row],[Plan]]</f>
        <v>0</v>
      </c>
      <c r="AH723" s="34">
        <f>IF(DB_STProjectsSOF[[#This Row],[Plan]]&lt;&gt;0,DB_STProjectsSOF[[#This Row],[Actual]]/DB_STProjectsSOF[[#This Row],[Plan]],1.000011000011)</f>
        <v>1.0000110000110001</v>
      </c>
      <c r="AI723" s="34">
        <f>SUM(DB_STProjectsSOF[[#This Row],[Plan01]:[Plan12]])/valUnits2</f>
        <v>0</v>
      </c>
      <c r="AJ723" s="34">
        <f>SUMPRODUCT(DB_STProjectsSOF[[#This Row],[Act01]:[Act12]],$P$3:$AA$3)/valUnits2</f>
        <v>0</v>
      </c>
      <c r="AK723" s="34">
        <f>IF(DB_STProjectsSOF[[#This Row],[FY Plan]]&lt;&gt;0,DB_STProjectsSOF[[#This Row],[FY Actuals]]/DB_STProjectsSOF[[#This Row],[FY Plan]],1.000011000011)</f>
        <v>1.0000110000110001</v>
      </c>
    </row>
    <row r="724" spans="1:37" hidden="1" x14ac:dyDescent="0.2">
      <c r="A724">
        <f>SUBTOTAL(3,$B$6:B724)</f>
        <v>0</v>
      </c>
      <c r="B724" t="s">
        <v>490</v>
      </c>
      <c r="C724" t="s">
        <v>845</v>
      </c>
      <c r="H724">
        <v>151.71</v>
      </c>
      <c r="I724">
        <v>0</v>
      </c>
      <c r="T724">
        <v>152.69</v>
      </c>
      <c r="U724">
        <v>203.47</v>
      </c>
      <c r="AB724" s="164">
        <v>41275</v>
      </c>
      <c r="AC724" s="164">
        <v>41639</v>
      </c>
      <c r="AD724" s="164">
        <v>41729</v>
      </c>
      <c r="AE724" s="34">
        <f>SUMPRODUCT(DB_STProjectsSOF[[#This Row],[Plan01]:[Plan12]],$D$4:$O$4)/valUnits2</f>
        <v>0.15171000000000001</v>
      </c>
      <c r="AF724" s="34">
        <f>SUMPRODUCT(DB_STProjectsSOF[[#This Row],[Act01]:[Act12]],$P$4:$AA$4)/valUnits2</f>
        <v>0.35615999999999998</v>
      </c>
      <c r="AG724" s="34">
        <f>DB_STProjectsSOF[[#This Row],[Actual]]-DB_STProjectsSOF[[#This Row],[Plan]]</f>
        <v>0.20444999999999997</v>
      </c>
      <c r="AH724" s="34">
        <f>IF(DB_STProjectsSOF[[#This Row],[Plan]]&lt;&gt;0,DB_STProjectsSOF[[#This Row],[Actual]]/DB_STProjectsSOF[[#This Row],[Plan]],1.000011000011)</f>
        <v>2.3476369388965788</v>
      </c>
      <c r="AI724" s="34">
        <f>SUM(DB_STProjectsSOF[[#This Row],[Plan01]:[Plan12]])/valUnits2</f>
        <v>0.15171000000000001</v>
      </c>
      <c r="AJ724" s="34">
        <f>SUMPRODUCT(DB_STProjectsSOF[[#This Row],[Act01]:[Act12]],$P$3:$AA$3)/valUnits2</f>
        <v>0.35615999999999998</v>
      </c>
      <c r="AK724" s="34">
        <f>IF(DB_STProjectsSOF[[#This Row],[FY Plan]]&lt;&gt;0,DB_STProjectsSOF[[#This Row],[FY Actuals]]/DB_STProjectsSOF[[#This Row],[FY Plan]],1.000011000011)</f>
        <v>2.3476369388965788</v>
      </c>
    </row>
    <row r="725" spans="1:37" hidden="1" x14ac:dyDescent="0.2">
      <c r="A725">
        <f>SUBTOTAL(3,$B$6:B725)</f>
        <v>0</v>
      </c>
      <c r="B725" t="s">
        <v>490</v>
      </c>
      <c r="C725" t="s">
        <v>852</v>
      </c>
      <c r="D725">
        <v>-1037.548</v>
      </c>
      <c r="P725">
        <v>-1061.6500000000001</v>
      </c>
      <c r="AB725" s="164">
        <v>40909</v>
      </c>
      <c r="AC725" s="164">
        <v>41305</v>
      </c>
      <c r="AD725" s="164">
        <v>41305</v>
      </c>
      <c r="AE725" s="34">
        <f>SUMPRODUCT(DB_STProjectsSOF[[#This Row],[Plan01]:[Plan12]],$D$4:$O$4)/valUnits2</f>
        <v>-1.0375479999999999</v>
      </c>
      <c r="AF725" s="34">
        <f>SUMPRODUCT(DB_STProjectsSOF[[#This Row],[Act01]:[Act12]],$P$4:$AA$4)/valUnits2</f>
        <v>-1.06165</v>
      </c>
      <c r="AG725" s="34">
        <f>DB_STProjectsSOF[[#This Row],[Actual]]-DB_STProjectsSOF[[#This Row],[Plan]]</f>
        <v>-2.4102000000000068E-2</v>
      </c>
      <c r="AH725" s="34">
        <f>IF(DB_STProjectsSOF[[#This Row],[Plan]]&lt;&gt;0,DB_STProjectsSOF[[#This Row],[Actual]]/DB_STProjectsSOF[[#This Row],[Plan]],1.000011000011)</f>
        <v>1.0232297686468481</v>
      </c>
      <c r="AI725" s="34">
        <f>SUM(DB_STProjectsSOF[[#This Row],[Plan01]:[Plan12]])/valUnits2</f>
        <v>-1.0375479999999999</v>
      </c>
      <c r="AJ725" s="34">
        <f>SUMPRODUCT(DB_STProjectsSOF[[#This Row],[Act01]:[Act12]],$P$3:$AA$3)/valUnits2</f>
        <v>-1.06165</v>
      </c>
      <c r="AK725" s="34">
        <f>IF(DB_STProjectsSOF[[#This Row],[FY Plan]]&lt;&gt;0,DB_STProjectsSOF[[#This Row],[FY Actuals]]/DB_STProjectsSOF[[#This Row],[FY Plan]],1.000011000011)</f>
        <v>1.0232297686468481</v>
      </c>
    </row>
    <row r="726" spans="1:37" hidden="1" x14ac:dyDescent="0.2">
      <c r="A726">
        <f>SUBTOTAL(3,$B$6:B726)</f>
        <v>0</v>
      </c>
      <c r="B726" t="s">
        <v>490</v>
      </c>
      <c r="C726" t="s">
        <v>855</v>
      </c>
      <c r="G726">
        <v>89.18</v>
      </c>
      <c r="H726">
        <v>167.53900000000002</v>
      </c>
      <c r="I726">
        <v>0</v>
      </c>
      <c r="S726">
        <v>88.88</v>
      </c>
      <c r="T726">
        <v>167.62</v>
      </c>
      <c r="U726">
        <v>514.83999999999924</v>
      </c>
      <c r="AB726" s="164">
        <v>40817</v>
      </c>
      <c r="AC726" s="164">
        <v>41759</v>
      </c>
      <c r="AD726" s="164">
        <v>41820</v>
      </c>
      <c r="AE726" s="34">
        <f>SUMPRODUCT(DB_STProjectsSOF[[#This Row],[Plan01]:[Plan12]],$D$4:$O$4)/valUnits2</f>
        <v>0.25671900000000003</v>
      </c>
      <c r="AF726" s="34">
        <f>SUMPRODUCT(DB_STProjectsSOF[[#This Row],[Act01]:[Act12]],$P$4:$AA$4)/valUnits2</f>
        <v>0.77133999999999925</v>
      </c>
      <c r="AG726" s="34">
        <f>DB_STProjectsSOF[[#This Row],[Actual]]-DB_STProjectsSOF[[#This Row],[Plan]]</f>
        <v>0.51462099999999922</v>
      </c>
      <c r="AH726" s="34">
        <f>IF(DB_STProjectsSOF[[#This Row],[Plan]]&lt;&gt;0,DB_STProjectsSOF[[#This Row],[Actual]]/DB_STProjectsSOF[[#This Row],[Plan]],1.000011000011)</f>
        <v>3.0046081513249865</v>
      </c>
      <c r="AI726" s="34">
        <f>SUM(DB_STProjectsSOF[[#This Row],[Plan01]:[Plan12]])/valUnits2</f>
        <v>0.25671900000000003</v>
      </c>
      <c r="AJ726" s="34">
        <f>SUMPRODUCT(DB_STProjectsSOF[[#This Row],[Act01]:[Act12]],$P$3:$AA$3)/valUnits2</f>
        <v>0.77133999999999925</v>
      </c>
      <c r="AK726" s="34">
        <f>IF(DB_STProjectsSOF[[#This Row],[FY Plan]]&lt;&gt;0,DB_STProjectsSOF[[#This Row],[FY Actuals]]/DB_STProjectsSOF[[#This Row],[FY Plan]],1.000011000011)</f>
        <v>3.0046081513249865</v>
      </c>
    </row>
    <row r="727" spans="1:37" hidden="1" x14ac:dyDescent="0.2">
      <c r="A727">
        <f>SUBTOTAL(3,$B$6:B727)</f>
        <v>0</v>
      </c>
      <c r="B727" t="s">
        <v>490</v>
      </c>
      <c r="C727" t="s">
        <v>367</v>
      </c>
      <c r="D727">
        <v>1032.1539999999995</v>
      </c>
      <c r="E727">
        <v>61021.372000000003</v>
      </c>
      <c r="F727">
        <v>23637.035000000003</v>
      </c>
      <c r="G727">
        <v>18132.755000000005</v>
      </c>
      <c r="H727">
        <v>44354.952999999994</v>
      </c>
      <c r="I727">
        <v>746.44900000000007</v>
      </c>
      <c r="J727">
        <v>153.256</v>
      </c>
      <c r="M727">
        <v>0</v>
      </c>
      <c r="P727">
        <v>1013.3699999999998</v>
      </c>
      <c r="Q727">
        <v>62560.039999999994</v>
      </c>
      <c r="R727">
        <v>23985.889999999996</v>
      </c>
      <c r="S727">
        <v>18118.700000000004</v>
      </c>
      <c r="T727">
        <v>43875.02</v>
      </c>
      <c r="U727">
        <v>3688.5100000000011</v>
      </c>
      <c r="V727">
        <v>0</v>
      </c>
      <c r="Y727">
        <v>0</v>
      </c>
      <c r="AB727" s="164">
        <v>40817</v>
      </c>
      <c r="AC727" s="164">
        <v>41547</v>
      </c>
      <c r="AD727" s="164">
        <v>41670</v>
      </c>
      <c r="AE727" s="34">
        <f>SUMPRODUCT(DB_STProjectsSOF[[#This Row],[Plan01]:[Plan12]],$D$4:$O$4)/valUnits2</f>
        <v>148.92471800000001</v>
      </c>
      <c r="AF727" s="34">
        <f>SUMPRODUCT(DB_STProjectsSOF[[#This Row],[Act01]:[Act12]],$P$4:$AA$4)/valUnits2</f>
        <v>153.24153000000001</v>
      </c>
      <c r="AG727" s="34">
        <f>DB_STProjectsSOF[[#This Row],[Actual]]-DB_STProjectsSOF[[#This Row],[Plan]]</f>
        <v>4.3168119999999988</v>
      </c>
      <c r="AH727" s="34">
        <f>IF(DB_STProjectsSOF[[#This Row],[Plan]]&lt;&gt;0,DB_STProjectsSOF[[#This Row],[Actual]]/DB_STProjectsSOF[[#This Row],[Plan]],1.000011000011)</f>
        <v>1.0289865380171477</v>
      </c>
      <c r="AI727" s="34">
        <f>SUM(DB_STProjectsSOF[[#This Row],[Plan01]:[Plan12]])/valUnits2</f>
        <v>149.07797400000001</v>
      </c>
      <c r="AJ727" s="34">
        <f>SUMPRODUCT(DB_STProjectsSOF[[#This Row],[Act01]:[Act12]],$P$3:$AA$3)/valUnits2</f>
        <v>153.24153000000001</v>
      </c>
      <c r="AK727" s="34">
        <f>IF(DB_STProjectsSOF[[#This Row],[FY Plan]]&lt;&gt;0,DB_STProjectsSOF[[#This Row],[FY Actuals]]/DB_STProjectsSOF[[#This Row],[FY Plan]],1.000011000011)</f>
        <v>1.0279287133322592</v>
      </c>
    </row>
    <row r="728" spans="1:37" hidden="1" x14ac:dyDescent="0.2">
      <c r="A728">
        <f>SUBTOTAL(3,$B$6:B728)</f>
        <v>0</v>
      </c>
      <c r="B728" t="s">
        <v>490</v>
      </c>
      <c r="C728" t="s">
        <v>858</v>
      </c>
      <c r="D728">
        <v>17691.420000000002</v>
      </c>
      <c r="E728">
        <v>22940.859999999997</v>
      </c>
      <c r="F728">
        <v>37982.61</v>
      </c>
      <c r="G728">
        <v>71281.02</v>
      </c>
      <c r="H728">
        <v>39554.62000000001</v>
      </c>
      <c r="I728">
        <v>45286.585000000006</v>
      </c>
      <c r="J728">
        <v>61953.251000000004</v>
      </c>
      <c r="K728">
        <v>81584.498000000007</v>
      </c>
      <c r="L728">
        <v>43286.584999999999</v>
      </c>
      <c r="M728">
        <v>86233.917000000001</v>
      </c>
      <c r="N728">
        <v>43286.585000000006</v>
      </c>
      <c r="O728">
        <v>43286.585000000006</v>
      </c>
      <c r="P728">
        <v>17691.419999999998</v>
      </c>
      <c r="Q728">
        <v>22969.47</v>
      </c>
      <c r="R728">
        <v>38176.219999999994</v>
      </c>
      <c r="S728">
        <v>71543.020000000019</v>
      </c>
      <c r="T728">
        <v>40806.86</v>
      </c>
      <c r="U728">
        <v>86336.270000000019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s="164">
        <v>41275</v>
      </c>
      <c r="AC728" s="164">
        <v>41639</v>
      </c>
      <c r="AD728" s="164">
        <v>41784</v>
      </c>
      <c r="AE728" s="34">
        <f>SUMPRODUCT(DB_STProjectsSOF[[#This Row],[Plan01]:[Plan12]],$D$4:$O$4)/valUnits2</f>
        <v>234.73711500000005</v>
      </c>
      <c r="AF728" s="34">
        <f>SUMPRODUCT(DB_STProjectsSOF[[#This Row],[Act01]:[Act12]],$P$4:$AA$4)/valUnits2</f>
        <v>277.52325999999999</v>
      </c>
      <c r="AG728" s="34">
        <f>DB_STProjectsSOF[[#This Row],[Actual]]-DB_STProjectsSOF[[#This Row],[Plan]]</f>
        <v>42.786144999999948</v>
      </c>
      <c r="AH728" s="34">
        <f>IF(DB_STProjectsSOF[[#This Row],[Plan]]&lt;&gt;0,DB_STProjectsSOF[[#This Row],[Actual]]/DB_STProjectsSOF[[#This Row],[Plan]],1.000011000011)</f>
        <v>1.182272603120303</v>
      </c>
      <c r="AI728" s="34">
        <f>SUM(DB_STProjectsSOF[[#This Row],[Plan01]:[Plan12]])/valUnits2</f>
        <v>594.36853600000006</v>
      </c>
      <c r="AJ728" s="34">
        <f>SUMPRODUCT(DB_STProjectsSOF[[#This Row],[Act01]:[Act12]],$P$3:$AA$3)/valUnits2</f>
        <v>277.52325999999999</v>
      </c>
      <c r="AK728" s="34">
        <f>IF(DB_STProjectsSOF[[#This Row],[FY Plan]]&lt;&gt;0,DB_STProjectsSOF[[#This Row],[FY Actuals]]/DB_STProjectsSOF[[#This Row],[FY Plan]],1.000011000011)</f>
        <v>0.46692118305535601</v>
      </c>
    </row>
    <row r="729" spans="1:37" hidden="1" x14ac:dyDescent="0.2">
      <c r="A729">
        <f>SUBTOTAL(3,$B$6:B729)</f>
        <v>0</v>
      </c>
      <c r="B729" t="s">
        <v>490</v>
      </c>
      <c r="C729" t="s">
        <v>861</v>
      </c>
      <c r="F729">
        <v>0</v>
      </c>
      <c r="R729">
        <v>0</v>
      </c>
      <c r="AB729" s="164"/>
      <c r="AC729" s="164"/>
      <c r="AD729" s="164"/>
      <c r="AE729" s="34">
        <f>SUMPRODUCT(DB_STProjectsSOF[[#This Row],[Plan01]:[Plan12]],$D$4:$O$4)/valUnits2</f>
        <v>0</v>
      </c>
      <c r="AF729" s="34">
        <f>SUMPRODUCT(DB_STProjectsSOF[[#This Row],[Act01]:[Act12]],$P$4:$AA$4)/valUnits2</f>
        <v>0</v>
      </c>
      <c r="AG729" s="34">
        <f>DB_STProjectsSOF[[#This Row],[Actual]]-DB_STProjectsSOF[[#This Row],[Plan]]</f>
        <v>0</v>
      </c>
      <c r="AH729" s="34">
        <f>IF(DB_STProjectsSOF[[#This Row],[Plan]]&lt;&gt;0,DB_STProjectsSOF[[#This Row],[Actual]]/DB_STProjectsSOF[[#This Row],[Plan]],1.000011000011)</f>
        <v>1.0000110000110001</v>
      </c>
      <c r="AI729" s="34">
        <f>SUM(DB_STProjectsSOF[[#This Row],[Plan01]:[Plan12]])/valUnits2</f>
        <v>0</v>
      </c>
      <c r="AJ729" s="34">
        <f>SUMPRODUCT(DB_STProjectsSOF[[#This Row],[Act01]:[Act12]],$P$3:$AA$3)/valUnits2</f>
        <v>0</v>
      </c>
      <c r="AK729" s="34">
        <f>IF(DB_STProjectsSOF[[#This Row],[FY Plan]]&lt;&gt;0,DB_STProjectsSOF[[#This Row],[FY Actuals]]/DB_STProjectsSOF[[#This Row],[FY Plan]],1.000011000011)</f>
        <v>1.0000110000110001</v>
      </c>
    </row>
    <row r="730" spans="1:37" hidden="1" x14ac:dyDescent="0.2">
      <c r="A730">
        <f>SUBTOTAL(3,$B$6:B730)</f>
        <v>0</v>
      </c>
      <c r="B730" t="s">
        <v>490</v>
      </c>
      <c r="C730" t="s">
        <v>874</v>
      </c>
      <c r="D730">
        <v>1049.4290000000001</v>
      </c>
      <c r="E730">
        <v>1109.69</v>
      </c>
      <c r="F730">
        <v>1751.5749999999998</v>
      </c>
      <c r="G730">
        <v>1110.22</v>
      </c>
      <c r="H730">
        <v>1200.3710000000001</v>
      </c>
      <c r="I730">
        <v>0</v>
      </c>
      <c r="P730">
        <v>1033.9100000000001</v>
      </c>
      <c r="Q730">
        <v>1132.96</v>
      </c>
      <c r="R730">
        <v>1767.43</v>
      </c>
      <c r="S730">
        <v>1103.8899999999999</v>
      </c>
      <c r="T730">
        <v>1185.8200000000002</v>
      </c>
      <c r="U730">
        <v>1264.53</v>
      </c>
      <c r="AB730" s="164">
        <v>40879</v>
      </c>
      <c r="AC730" s="164">
        <v>43071</v>
      </c>
      <c r="AD730" s="164">
        <v>43161</v>
      </c>
      <c r="AE730" s="34">
        <f>SUMPRODUCT(DB_STProjectsSOF[[#This Row],[Plan01]:[Plan12]],$D$4:$O$4)/valUnits2</f>
        <v>6.221285</v>
      </c>
      <c r="AF730" s="34">
        <f>SUMPRODUCT(DB_STProjectsSOF[[#This Row],[Act01]:[Act12]],$P$4:$AA$4)/valUnits2</f>
        <v>7.4885399999999995</v>
      </c>
      <c r="AG730" s="34">
        <f>DB_STProjectsSOF[[#This Row],[Actual]]-DB_STProjectsSOF[[#This Row],[Plan]]</f>
        <v>1.2672549999999996</v>
      </c>
      <c r="AH730" s="34">
        <f>IF(DB_STProjectsSOF[[#This Row],[Plan]]&lt;&gt;0,DB_STProjectsSOF[[#This Row],[Actual]]/DB_STProjectsSOF[[#This Row],[Plan]],1.000011000011)</f>
        <v>1.203696663952865</v>
      </c>
      <c r="AI730" s="34">
        <f>SUM(DB_STProjectsSOF[[#This Row],[Plan01]:[Plan12]])/valUnits2</f>
        <v>6.221285</v>
      </c>
      <c r="AJ730" s="34">
        <f>SUMPRODUCT(DB_STProjectsSOF[[#This Row],[Act01]:[Act12]],$P$3:$AA$3)/valUnits2</f>
        <v>7.4885399999999995</v>
      </c>
      <c r="AK730" s="34">
        <f>IF(DB_STProjectsSOF[[#This Row],[FY Plan]]&lt;&gt;0,DB_STProjectsSOF[[#This Row],[FY Actuals]]/DB_STProjectsSOF[[#This Row],[FY Plan]],1.000011000011)</f>
        <v>1.203696663952865</v>
      </c>
    </row>
    <row r="731" spans="1:37" hidden="1" x14ac:dyDescent="0.2">
      <c r="A731">
        <f>SUBTOTAL(3,$B$6:B731)</f>
        <v>0</v>
      </c>
      <c r="B731" t="s">
        <v>490</v>
      </c>
      <c r="C731" t="s">
        <v>880</v>
      </c>
      <c r="F731">
        <v>-672.90200000000004</v>
      </c>
      <c r="R731">
        <v>-663.63</v>
      </c>
      <c r="AB731" s="164">
        <v>40817</v>
      </c>
      <c r="AC731" s="164">
        <v>40967</v>
      </c>
      <c r="AD731" s="164">
        <v>40999</v>
      </c>
      <c r="AE731" s="34">
        <f>SUMPRODUCT(DB_STProjectsSOF[[#This Row],[Plan01]:[Plan12]],$D$4:$O$4)/valUnits2</f>
        <v>-0.672902</v>
      </c>
      <c r="AF731" s="34">
        <f>SUMPRODUCT(DB_STProjectsSOF[[#This Row],[Act01]:[Act12]],$P$4:$AA$4)/valUnits2</f>
        <v>-0.66362999999999994</v>
      </c>
      <c r="AG731" s="34">
        <f>DB_STProjectsSOF[[#This Row],[Actual]]-DB_STProjectsSOF[[#This Row],[Plan]]</f>
        <v>9.272000000000058E-3</v>
      </c>
      <c r="AH731" s="34">
        <f>IF(DB_STProjectsSOF[[#This Row],[Plan]]&lt;&gt;0,DB_STProjectsSOF[[#This Row],[Actual]]/DB_STProjectsSOF[[#This Row],[Plan]],1.000011000011)</f>
        <v>0.98622087614541187</v>
      </c>
      <c r="AI731" s="34">
        <f>SUM(DB_STProjectsSOF[[#This Row],[Plan01]:[Plan12]])/valUnits2</f>
        <v>-0.672902</v>
      </c>
      <c r="AJ731" s="34">
        <f>SUMPRODUCT(DB_STProjectsSOF[[#This Row],[Act01]:[Act12]],$P$3:$AA$3)/valUnits2</f>
        <v>-0.66362999999999994</v>
      </c>
      <c r="AK731" s="34">
        <f>IF(DB_STProjectsSOF[[#This Row],[FY Plan]]&lt;&gt;0,DB_STProjectsSOF[[#This Row],[FY Actuals]]/DB_STProjectsSOF[[#This Row],[FY Plan]],1.000011000011)</f>
        <v>0.98622087614541187</v>
      </c>
    </row>
    <row r="732" spans="1:37" hidden="1" x14ac:dyDescent="0.2">
      <c r="A732">
        <f>SUBTOTAL(3,$B$6:B732)</f>
        <v>0</v>
      </c>
      <c r="B732" t="s">
        <v>490</v>
      </c>
      <c r="C732" t="s">
        <v>881</v>
      </c>
      <c r="F732">
        <v>0</v>
      </c>
      <c r="G732">
        <v>118744.27000000003</v>
      </c>
      <c r="H732">
        <v>10991.75</v>
      </c>
      <c r="I732">
        <v>84318.406999999992</v>
      </c>
      <c r="J732">
        <v>19495.204999999998</v>
      </c>
      <c r="K732">
        <v>11264.85</v>
      </c>
      <c r="L732">
        <v>84318.406999999992</v>
      </c>
      <c r="M732">
        <v>10131.85</v>
      </c>
      <c r="N732">
        <v>10131.85</v>
      </c>
      <c r="O732">
        <v>183564.59000000003</v>
      </c>
      <c r="R732">
        <v>0</v>
      </c>
      <c r="S732">
        <v>118744.31000000003</v>
      </c>
      <c r="T732">
        <v>10991.75</v>
      </c>
      <c r="U732">
        <v>53768.47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s="164">
        <v>41275</v>
      </c>
      <c r="AC732" s="164">
        <v>41639</v>
      </c>
      <c r="AD732" s="164">
        <v>41685</v>
      </c>
      <c r="AE732" s="34">
        <f>SUMPRODUCT(DB_STProjectsSOF[[#This Row],[Plan01]:[Plan12]],$D$4:$O$4)/valUnits2</f>
        <v>214.05442700000003</v>
      </c>
      <c r="AF732" s="34">
        <f>SUMPRODUCT(DB_STProjectsSOF[[#This Row],[Act01]:[Act12]],$P$4:$AA$4)/valUnits2</f>
        <v>183.50453000000002</v>
      </c>
      <c r="AG732" s="34">
        <f>DB_STProjectsSOF[[#This Row],[Actual]]-DB_STProjectsSOF[[#This Row],[Plan]]</f>
        <v>-30.549897000000016</v>
      </c>
      <c r="AH732" s="34">
        <f>IF(DB_STProjectsSOF[[#This Row],[Plan]]&lt;&gt;0,DB_STProjectsSOF[[#This Row],[Actual]]/DB_STProjectsSOF[[#This Row],[Plan]],1.000011000011)</f>
        <v>0.85727977025207702</v>
      </c>
      <c r="AI732" s="34">
        <f>SUM(DB_STProjectsSOF[[#This Row],[Plan01]:[Plan12]])/valUnits2</f>
        <v>532.96117900000002</v>
      </c>
      <c r="AJ732" s="34">
        <f>SUMPRODUCT(DB_STProjectsSOF[[#This Row],[Act01]:[Act12]],$P$3:$AA$3)/valUnits2</f>
        <v>183.50453000000002</v>
      </c>
      <c r="AK732" s="34">
        <f>IF(DB_STProjectsSOF[[#This Row],[FY Plan]]&lt;&gt;0,DB_STProjectsSOF[[#This Row],[FY Actuals]]/DB_STProjectsSOF[[#This Row],[FY Plan]],1.000011000011)</f>
        <v>0.34431125048227951</v>
      </c>
    </row>
    <row r="733" spans="1:37" hidden="1" x14ac:dyDescent="0.2">
      <c r="A733">
        <f>SUBTOTAL(3,$B$6:B733)</f>
        <v>0</v>
      </c>
      <c r="B733" t="s">
        <v>490</v>
      </c>
      <c r="C733" t="s">
        <v>884</v>
      </c>
      <c r="D733">
        <v>11344.236999999999</v>
      </c>
      <c r="E733">
        <v>11568.376999999999</v>
      </c>
      <c r="F733">
        <v>11416.666999999999</v>
      </c>
      <c r="G733">
        <v>11416.666999999999</v>
      </c>
      <c r="H733">
        <v>11264.957</v>
      </c>
      <c r="I733">
        <v>11416.666999999999</v>
      </c>
      <c r="J733">
        <v>11416.666999999999</v>
      </c>
      <c r="K733">
        <v>11416.666999999999</v>
      </c>
      <c r="L733">
        <v>11416.666999999999</v>
      </c>
      <c r="M733">
        <v>11416.666999999999</v>
      </c>
      <c r="N733">
        <v>11416.666999999999</v>
      </c>
      <c r="O733">
        <v>11416.666999999999</v>
      </c>
      <c r="P733">
        <v>-72.430000000000007</v>
      </c>
      <c r="Q733">
        <v>151.70999999999998</v>
      </c>
      <c r="R733">
        <v>0.98</v>
      </c>
      <c r="S733">
        <v>0</v>
      </c>
      <c r="T733">
        <v>-152.69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s="164">
        <v>40909</v>
      </c>
      <c r="AC733" s="164">
        <v>41274</v>
      </c>
      <c r="AD733" s="164">
        <v>41364</v>
      </c>
      <c r="AE733" s="34">
        <f>SUMPRODUCT(DB_STProjectsSOF[[#This Row],[Plan01]:[Plan12]],$D$4:$O$4)/valUnits2</f>
        <v>68.427571999999998</v>
      </c>
      <c r="AF733" s="34">
        <f>SUMPRODUCT(DB_STProjectsSOF[[#This Row],[Act01]:[Act12]],$P$4:$AA$4)/valUnits2</f>
        <v>-7.2430000000000022E-2</v>
      </c>
      <c r="AG733" s="34">
        <f>DB_STProjectsSOF[[#This Row],[Actual]]-DB_STProjectsSOF[[#This Row],[Plan]]</f>
        <v>-68.500001999999995</v>
      </c>
      <c r="AH733" s="34">
        <f>IF(DB_STProjectsSOF[[#This Row],[Plan]]&lt;&gt;0,DB_STProjectsSOF[[#This Row],[Actual]]/DB_STProjectsSOF[[#This Row],[Plan]],1.000011000011)</f>
        <v>-1.0584914513699247E-3</v>
      </c>
      <c r="AI733" s="34">
        <f>SUM(DB_STProjectsSOF[[#This Row],[Plan01]:[Plan12]])/valUnits2</f>
        <v>136.92757399999999</v>
      </c>
      <c r="AJ733" s="34">
        <f>SUMPRODUCT(DB_STProjectsSOF[[#This Row],[Act01]:[Act12]],$P$3:$AA$3)/valUnits2</f>
        <v>-7.2430000000000022E-2</v>
      </c>
      <c r="AK733" s="34">
        <f>IF(DB_STProjectsSOF[[#This Row],[FY Plan]]&lt;&gt;0,DB_STProjectsSOF[[#This Row],[FY Actuals]]/DB_STProjectsSOF[[#This Row],[FY Plan]],1.000011000011)</f>
        <v>-5.289657728106687E-4</v>
      </c>
    </row>
    <row r="734" spans="1:37" hidden="1" x14ac:dyDescent="0.2">
      <c r="A734">
        <f>SUBTOTAL(3,$B$6:B734)</f>
        <v>0</v>
      </c>
      <c r="B734" t="s">
        <v>490</v>
      </c>
      <c r="C734" t="s">
        <v>889</v>
      </c>
      <c r="F734">
        <v>0</v>
      </c>
      <c r="R734">
        <v>0</v>
      </c>
      <c r="AB734" s="164"/>
      <c r="AC734" s="164"/>
      <c r="AD734" s="164"/>
      <c r="AE734" s="34">
        <f>SUMPRODUCT(DB_STProjectsSOF[[#This Row],[Plan01]:[Plan12]],$D$4:$O$4)/valUnits2</f>
        <v>0</v>
      </c>
      <c r="AF734" s="34">
        <f>SUMPRODUCT(DB_STProjectsSOF[[#This Row],[Act01]:[Act12]],$P$4:$AA$4)/valUnits2</f>
        <v>0</v>
      </c>
      <c r="AG734" s="34">
        <f>DB_STProjectsSOF[[#This Row],[Actual]]-DB_STProjectsSOF[[#This Row],[Plan]]</f>
        <v>0</v>
      </c>
      <c r="AH734" s="34">
        <f>IF(DB_STProjectsSOF[[#This Row],[Plan]]&lt;&gt;0,DB_STProjectsSOF[[#This Row],[Actual]]/DB_STProjectsSOF[[#This Row],[Plan]],1.000011000011)</f>
        <v>1.0000110000110001</v>
      </c>
      <c r="AI734" s="34">
        <f>SUM(DB_STProjectsSOF[[#This Row],[Plan01]:[Plan12]])/valUnits2</f>
        <v>0</v>
      </c>
      <c r="AJ734" s="34">
        <f>SUMPRODUCT(DB_STProjectsSOF[[#This Row],[Act01]:[Act12]],$P$3:$AA$3)/valUnits2</f>
        <v>0</v>
      </c>
      <c r="AK734" s="34">
        <f>IF(DB_STProjectsSOF[[#This Row],[FY Plan]]&lt;&gt;0,DB_STProjectsSOF[[#This Row],[FY Actuals]]/DB_STProjectsSOF[[#This Row],[FY Plan]],1.000011000011)</f>
        <v>1.0000110000110001</v>
      </c>
    </row>
    <row r="735" spans="1:37" hidden="1" x14ac:dyDescent="0.2">
      <c r="A735">
        <f>SUBTOTAL(3,$B$6:B735)</f>
        <v>0</v>
      </c>
      <c r="B735" t="s">
        <v>490</v>
      </c>
      <c r="C735" t="s">
        <v>898</v>
      </c>
      <c r="D735">
        <v>-197.101</v>
      </c>
      <c r="E735">
        <v>-108.33</v>
      </c>
      <c r="P735">
        <v>-204.70000000000002</v>
      </c>
      <c r="Q735">
        <v>-115.53</v>
      </c>
      <c r="AB735" s="164">
        <v>40909</v>
      </c>
      <c r="AC735" s="164">
        <v>41274</v>
      </c>
      <c r="AD735" s="164">
        <v>41305</v>
      </c>
      <c r="AE735" s="34">
        <f>SUMPRODUCT(DB_STProjectsSOF[[#This Row],[Plan01]:[Plan12]],$D$4:$O$4)/valUnits2</f>
        <v>-0.30543100000000001</v>
      </c>
      <c r="AF735" s="34">
        <f>SUMPRODUCT(DB_STProjectsSOF[[#This Row],[Act01]:[Act12]],$P$4:$AA$4)/valUnits2</f>
        <v>-0.32023000000000001</v>
      </c>
      <c r="AG735" s="34">
        <f>DB_STProjectsSOF[[#This Row],[Actual]]-DB_STProjectsSOF[[#This Row],[Plan]]</f>
        <v>-1.4799000000000007E-2</v>
      </c>
      <c r="AH735" s="34">
        <f>IF(DB_STProjectsSOF[[#This Row],[Plan]]&lt;&gt;0,DB_STProjectsSOF[[#This Row],[Actual]]/DB_STProjectsSOF[[#This Row],[Plan]],1.000011000011)</f>
        <v>1.0484528420494319</v>
      </c>
      <c r="AI735" s="34">
        <f>SUM(DB_STProjectsSOF[[#This Row],[Plan01]:[Plan12]])/valUnits2</f>
        <v>-0.30543100000000001</v>
      </c>
      <c r="AJ735" s="34">
        <f>SUMPRODUCT(DB_STProjectsSOF[[#This Row],[Act01]:[Act12]],$P$3:$AA$3)/valUnits2</f>
        <v>-0.32023000000000001</v>
      </c>
      <c r="AK735" s="34">
        <f>IF(DB_STProjectsSOF[[#This Row],[FY Plan]]&lt;&gt;0,DB_STProjectsSOF[[#This Row],[FY Actuals]]/DB_STProjectsSOF[[#This Row],[FY Plan]],1.000011000011)</f>
        <v>1.0484528420494319</v>
      </c>
    </row>
    <row r="736" spans="1:37" hidden="1" x14ac:dyDescent="0.2">
      <c r="A736">
        <f>SUBTOTAL(3,$B$6:B736)</f>
        <v>0</v>
      </c>
      <c r="B736" t="s">
        <v>490</v>
      </c>
      <c r="C736" t="s">
        <v>903</v>
      </c>
      <c r="G736">
        <v>3529.5939999999996</v>
      </c>
      <c r="H736">
        <v>13558.859</v>
      </c>
      <c r="I736">
        <v>1565.962</v>
      </c>
      <c r="J736">
        <v>1163.0519999999999</v>
      </c>
      <c r="K736">
        <v>1997.4759999999999</v>
      </c>
      <c r="L736">
        <v>961.59799999999996</v>
      </c>
      <c r="M736">
        <v>8804.2480000000014</v>
      </c>
      <c r="N736">
        <v>8094.7259999999997</v>
      </c>
      <c r="O736">
        <v>8083.1230000000005</v>
      </c>
      <c r="S736">
        <v>3490.79</v>
      </c>
      <c r="T736">
        <v>13713.250000000002</v>
      </c>
      <c r="U736">
        <v>1776.06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s="164">
        <v>41275</v>
      </c>
      <c r="AC736" s="164">
        <v>41639</v>
      </c>
      <c r="AD736" s="164">
        <v>41670</v>
      </c>
      <c r="AE736" s="34">
        <f>SUMPRODUCT(DB_STProjectsSOF[[#This Row],[Plan01]:[Plan12]],$D$4:$O$4)/valUnits2</f>
        <v>18.654415</v>
      </c>
      <c r="AF736" s="34">
        <f>SUMPRODUCT(DB_STProjectsSOF[[#This Row],[Act01]:[Act12]],$P$4:$AA$4)/valUnits2</f>
        <v>18.980100000000004</v>
      </c>
      <c r="AG736" s="34">
        <f>DB_STProjectsSOF[[#This Row],[Actual]]-DB_STProjectsSOF[[#This Row],[Plan]]</f>
        <v>0.32568500000000355</v>
      </c>
      <c r="AH736" s="34">
        <f>IF(DB_STProjectsSOF[[#This Row],[Plan]]&lt;&gt;0,DB_STProjectsSOF[[#This Row],[Actual]]/DB_STProjectsSOF[[#This Row],[Plan]],1.000011000011)</f>
        <v>1.0174588696563256</v>
      </c>
      <c r="AI736" s="34">
        <f>SUM(DB_STProjectsSOF[[#This Row],[Plan01]:[Plan12]])/valUnits2</f>
        <v>47.758637999999998</v>
      </c>
      <c r="AJ736" s="34">
        <f>SUMPRODUCT(DB_STProjectsSOF[[#This Row],[Act01]:[Act12]],$P$3:$AA$3)/valUnits2</f>
        <v>18.980100000000004</v>
      </c>
      <c r="AK736" s="34">
        <f>IF(DB_STProjectsSOF[[#This Row],[FY Plan]]&lt;&gt;0,DB_STProjectsSOF[[#This Row],[FY Actuals]]/DB_STProjectsSOF[[#This Row],[FY Plan]],1.000011000011)</f>
        <v>0.39741711227192039</v>
      </c>
    </row>
    <row r="737" spans="1:37" hidden="1" x14ac:dyDescent="0.2">
      <c r="A737">
        <f>SUBTOTAL(3,$B$6:B737)</f>
        <v>0</v>
      </c>
      <c r="B737" t="s">
        <v>490</v>
      </c>
      <c r="C737" t="s">
        <v>905</v>
      </c>
      <c r="D737">
        <v>3600.1500000000005</v>
      </c>
      <c r="E737">
        <v>228.16</v>
      </c>
      <c r="F737">
        <v>-3497.0600000000004</v>
      </c>
      <c r="G737">
        <v>281.51</v>
      </c>
      <c r="H737">
        <v>-4396.66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3600.1500000000005</v>
      </c>
      <c r="Q737">
        <v>199.55</v>
      </c>
      <c r="R737">
        <v>-3497.0600000000004</v>
      </c>
      <c r="S737">
        <v>281.51</v>
      </c>
      <c r="T737">
        <v>-4396.6599999999989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s="164">
        <v>40909</v>
      </c>
      <c r="AC737" s="164">
        <v>41274</v>
      </c>
      <c r="AD737" s="164">
        <v>41364</v>
      </c>
      <c r="AE737" s="34">
        <f>SUMPRODUCT(DB_STProjectsSOF[[#This Row],[Plan01]:[Plan12]],$D$4:$O$4)/valUnits2</f>
        <v>-3.7838999999999996</v>
      </c>
      <c r="AF737" s="34">
        <f>SUMPRODUCT(DB_STProjectsSOF[[#This Row],[Act01]:[Act12]],$P$4:$AA$4)/valUnits2</f>
        <v>-3.8125099999999983</v>
      </c>
      <c r="AG737" s="34">
        <f>DB_STProjectsSOF[[#This Row],[Actual]]-DB_STProjectsSOF[[#This Row],[Plan]]</f>
        <v>-2.8609999999998692E-2</v>
      </c>
      <c r="AH737" s="34">
        <f>IF(DB_STProjectsSOF[[#This Row],[Plan]]&lt;&gt;0,DB_STProjectsSOF[[#This Row],[Actual]]/DB_STProjectsSOF[[#This Row],[Plan]],1.000011000011)</f>
        <v>1.0075609820555509</v>
      </c>
      <c r="AI737" s="34">
        <f>SUM(DB_STProjectsSOF[[#This Row],[Plan01]:[Plan12]])/valUnits2</f>
        <v>-3.7838999999999996</v>
      </c>
      <c r="AJ737" s="34">
        <f>SUMPRODUCT(DB_STProjectsSOF[[#This Row],[Act01]:[Act12]],$P$3:$AA$3)/valUnits2</f>
        <v>-3.8125099999999983</v>
      </c>
      <c r="AK737" s="34">
        <f>IF(DB_STProjectsSOF[[#This Row],[FY Plan]]&lt;&gt;0,DB_STProjectsSOF[[#This Row],[FY Actuals]]/DB_STProjectsSOF[[#This Row],[FY Plan]],1.000011000011)</f>
        <v>1.0075609820555509</v>
      </c>
    </row>
    <row r="738" spans="1:37" hidden="1" x14ac:dyDescent="0.2">
      <c r="A738">
        <f>SUBTOTAL(3,$B$6:B738)</f>
        <v>0</v>
      </c>
      <c r="B738" t="s">
        <v>490</v>
      </c>
      <c r="C738" t="s">
        <v>910</v>
      </c>
      <c r="D738">
        <v>12264.900000000005</v>
      </c>
      <c r="E738">
        <v>2436.9799999999973</v>
      </c>
      <c r="F738">
        <v>5403.4299999999994</v>
      </c>
      <c r="H738">
        <v>-79532.280000000013</v>
      </c>
      <c r="P738">
        <v>12264.900000000001</v>
      </c>
      <c r="Q738">
        <v>2442.1199999999935</v>
      </c>
      <c r="R738">
        <v>5403.4299999999994</v>
      </c>
      <c r="T738">
        <v>-79532.27999999997</v>
      </c>
      <c r="AB738" s="164">
        <v>40817</v>
      </c>
      <c r="AC738" s="164">
        <v>41356</v>
      </c>
      <c r="AD738" s="164">
        <v>41425</v>
      </c>
      <c r="AE738" s="34">
        <f>SUMPRODUCT(DB_STProjectsSOF[[#This Row],[Plan01]:[Plan12]],$D$4:$O$4)/valUnits2</f>
        <v>-59.426970000000019</v>
      </c>
      <c r="AF738" s="34">
        <f>SUMPRODUCT(DB_STProjectsSOF[[#This Row],[Act01]:[Act12]],$P$4:$AA$4)/valUnits2</f>
        <v>-59.421829999999972</v>
      </c>
      <c r="AG738" s="34">
        <f>DB_STProjectsSOF[[#This Row],[Actual]]-DB_STProjectsSOF[[#This Row],[Plan]]</f>
        <v>5.1400000000469959E-3</v>
      </c>
      <c r="AH738" s="34">
        <f>IF(DB_STProjectsSOF[[#This Row],[Plan]]&lt;&gt;0,DB_STProjectsSOF[[#This Row],[Actual]]/DB_STProjectsSOF[[#This Row],[Plan]],1.000011000011)</f>
        <v>0.99991350728465467</v>
      </c>
      <c r="AI738" s="34">
        <f>SUM(DB_STProjectsSOF[[#This Row],[Plan01]:[Plan12]])/valUnits2</f>
        <v>-59.426970000000019</v>
      </c>
      <c r="AJ738" s="34">
        <f>SUMPRODUCT(DB_STProjectsSOF[[#This Row],[Act01]:[Act12]],$P$3:$AA$3)/valUnits2</f>
        <v>-59.421829999999972</v>
      </c>
      <c r="AK738" s="34">
        <f>IF(DB_STProjectsSOF[[#This Row],[FY Plan]]&lt;&gt;0,DB_STProjectsSOF[[#This Row],[FY Actuals]]/DB_STProjectsSOF[[#This Row],[FY Plan]],1.000011000011)</f>
        <v>0.99991350728465467</v>
      </c>
    </row>
    <row r="739" spans="1:37" hidden="1" x14ac:dyDescent="0.2">
      <c r="A739">
        <f>SUBTOTAL(3,$B$6:B739)</f>
        <v>0</v>
      </c>
      <c r="B739" t="s">
        <v>490</v>
      </c>
      <c r="C739" t="s">
        <v>912</v>
      </c>
      <c r="D739">
        <v>5207.9000000000005</v>
      </c>
      <c r="E739">
        <v>-3143.1300000000015</v>
      </c>
      <c r="G739">
        <v>-4329.43</v>
      </c>
      <c r="P739">
        <v>5207.8999999999996</v>
      </c>
      <c r="Q739">
        <v>-3143.130000000001</v>
      </c>
      <c r="S739">
        <v>-4329.43</v>
      </c>
      <c r="AB739" s="164">
        <v>40909</v>
      </c>
      <c r="AC739" s="164">
        <v>41274</v>
      </c>
      <c r="AD739" s="164">
        <v>41320</v>
      </c>
      <c r="AE739" s="34">
        <f>SUMPRODUCT(DB_STProjectsSOF[[#This Row],[Plan01]:[Plan12]],$D$4:$O$4)/valUnits2</f>
        <v>-2.264660000000001</v>
      </c>
      <c r="AF739" s="34">
        <f>SUMPRODUCT(DB_STProjectsSOF[[#This Row],[Act01]:[Act12]],$P$4:$AA$4)/valUnits2</f>
        <v>-2.2646600000000019</v>
      </c>
      <c r="AG739" s="34">
        <f>DB_STProjectsSOF[[#This Row],[Actual]]-DB_STProjectsSOF[[#This Row],[Plan]]</f>
        <v>0</v>
      </c>
      <c r="AH739" s="34">
        <f>IF(DB_STProjectsSOF[[#This Row],[Plan]]&lt;&gt;0,DB_STProjectsSOF[[#This Row],[Actual]]/DB_STProjectsSOF[[#This Row],[Plan]],1.000011000011)</f>
        <v>1.0000000000000004</v>
      </c>
      <c r="AI739" s="34">
        <f>SUM(DB_STProjectsSOF[[#This Row],[Plan01]:[Plan12]])/valUnits2</f>
        <v>-2.264660000000001</v>
      </c>
      <c r="AJ739" s="34">
        <f>SUMPRODUCT(DB_STProjectsSOF[[#This Row],[Act01]:[Act12]],$P$3:$AA$3)/valUnits2</f>
        <v>-2.2646600000000019</v>
      </c>
      <c r="AK739" s="34">
        <f>IF(DB_STProjectsSOF[[#This Row],[FY Plan]]&lt;&gt;0,DB_STProjectsSOF[[#This Row],[FY Actuals]]/DB_STProjectsSOF[[#This Row],[FY Plan]],1.000011000011)</f>
        <v>1.0000000000000004</v>
      </c>
    </row>
    <row r="740" spans="1:37" hidden="1" x14ac:dyDescent="0.2">
      <c r="A740">
        <f>SUBTOTAL(3,$B$6:B740)</f>
        <v>0</v>
      </c>
      <c r="B740" t="s">
        <v>490</v>
      </c>
      <c r="C740" t="s">
        <v>915</v>
      </c>
      <c r="D740">
        <v>44.030999999999999</v>
      </c>
      <c r="E740">
        <v>282.55900000000003</v>
      </c>
      <c r="F740">
        <v>150.916</v>
      </c>
      <c r="G740">
        <v>548.61</v>
      </c>
      <c r="H740">
        <v>178.56200000000001</v>
      </c>
      <c r="I740">
        <v>0</v>
      </c>
      <c r="J740">
        <v>0</v>
      </c>
      <c r="M740">
        <v>0</v>
      </c>
      <c r="P740">
        <v>44.09</v>
      </c>
      <c r="Q740">
        <v>288.7</v>
      </c>
      <c r="R740">
        <v>148.79999999999998</v>
      </c>
      <c r="S740">
        <v>533.91000000000008</v>
      </c>
      <c r="T740">
        <v>181.87</v>
      </c>
      <c r="U740">
        <v>235.57</v>
      </c>
      <c r="V740">
        <v>0</v>
      </c>
      <c r="Y740">
        <v>0</v>
      </c>
      <c r="AB740" s="164">
        <v>41061</v>
      </c>
      <c r="AC740" s="164">
        <v>42155</v>
      </c>
      <c r="AD740" s="164">
        <v>42185</v>
      </c>
      <c r="AE740" s="34">
        <f>SUMPRODUCT(DB_STProjectsSOF[[#This Row],[Plan01]:[Plan12]],$D$4:$O$4)/valUnits2</f>
        <v>1.2046779999999999</v>
      </c>
      <c r="AF740" s="34">
        <f>SUMPRODUCT(DB_STProjectsSOF[[#This Row],[Act01]:[Act12]],$P$4:$AA$4)/valUnits2</f>
        <v>1.4329399999999999</v>
      </c>
      <c r="AG740" s="34">
        <f>DB_STProjectsSOF[[#This Row],[Actual]]-DB_STProjectsSOF[[#This Row],[Plan]]</f>
        <v>0.22826199999999996</v>
      </c>
      <c r="AH740" s="34">
        <f>IF(DB_STProjectsSOF[[#This Row],[Plan]]&lt;&gt;0,DB_STProjectsSOF[[#This Row],[Actual]]/DB_STProjectsSOF[[#This Row],[Plan]],1.000011000011)</f>
        <v>1.1894796783870876</v>
      </c>
      <c r="AI740" s="34">
        <f>SUM(DB_STProjectsSOF[[#This Row],[Plan01]:[Plan12]])/valUnits2</f>
        <v>1.2046779999999999</v>
      </c>
      <c r="AJ740" s="34">
        <f>SUMPRODUCT(DB_STProjectsSOF[[#This Row],[Act01]:[Act12]],$P$3:$AA$3)/valUnits2</f>
        <v>1.4329399999999999</v>
      </c>
      <c r="AK740" s="34">
        <f>IF(DB_STProjectsSOF[[#This Row],[FY Plan]]&lt;&gt;0,DB_STProjectsSOF[[#This Row],[FY Actuals]]/DB_STProjectsSOF[[#This Row],[FY Plan]],1.000011000011)</f>
        <v>1.1894796783870876</v>
      </c>
    </row>
    <row r="741" spans="1:37" hidden="1" x14ac:dyDescent="0.2">
      <c r="A741">
        <f>SUBTOTAL(3,$B$6:B741)</f>
        <v>0</v>
      </c>
      <c r="B741" t="s">
        <v>490</v>
      </c>
      <c r="C741" t="s">
        <v>363</v>
      </c>
      <c r="I741">
        <v>0</v>
      </c>
      <c r="U741">
        <v>2877.3</v>
      </c>
      <c r="AB741" s="164">
        <v>41128</v>
      </c>
      <c r="AC741" s="164">
        <v>41492</v>
      </c>
      <c r="AD741" s="164">
        <v>41572</v>
      </c>
      <c r="AE741" s="34">
        <f>SUMPRODUCT(DB_STProjectsSOF[[#This Row],[Plan01]:[Plan12]],$D$4:$O$4)/valUnits2</f>
        <v>0</v>
      </c>
      <c r="AF741" s="34">
        <f>SUMPRODUCT(DB_STProjectsSOF[[#This Row],[Act01]:[Act12]],$P$4:$AA$4)/valUnits2</f>
        <v>2.8773</v>
      </c>
      <c r="AG741" s="34">
        <f>DB_STProjectsSOF[[#This Row],[Actual]]-DB_STProjectsSOF[[#This Row],[Plan]]</f>
        <v>2.8773</v>
      </c>
      <c r="AH741" s="34">
        <f>IF(DB_STProjectsSOF[[#This Row],[Plan]]&lt;&gt;0,DB_STProjectsSOF[[#This Row],[Actual]]/DB_STProjectsSOF[[#This Row],[Plan]],1.000011000011)</f>
        <v>1.0000110000110001</v>
      </c>
      <c r="AI741" s="34">
        <f>SUM(DB_STProjectsSOF[[#This Row],[Plan01]:[Plan12]])/valUnits2</f>
        <v>0</v>
      </c>
      <c r="AJ741" s="34">
        <f>SUMPRODUCT(DB_STProjectsSOF[[#This Row],[Act01]:[Act12]],$P$3:$AA$3)/valUnits2</f>
        <v>2.8773</v>
      </c>
      <c r="AK741" s="34">
        <f>IF(DB_STProjectsSOF[[#This Row],[FY Plan]]&lt;&gt;0,DB_STProjectsSOF[[#This Row],[FY Actuals]]/DB_STProjectsSOF[[#This Row],[FY Plan]],1.000011000011)</f>
        <v>1.0000110000110001</v>
      </c>
    </row>
    <row r="742" spans="1:37" hidden="1" x14ac:dyDescent="0.2">
      <c r="A742">
        <f>SUBTOTAL(3,$B$6:B742)</f>
        <v>0</v>
      </c>
      <c r="B742" t="s">
        <v>490</v>
      </c>
      <c r="C742" t="s">
        <v>919</v>
      </c>
      <c r="D742">
        <v>25622.02900000001</v>
      </c>
      <c r="E742">
        <v>463902.80300000001</v>
      </c>
      <c r="F742">
        <v>18816.313000000002</v>
      </c>
      <c r="G742">
        <v>50643.179999999986</v>
      </c>
      <c r="H742">
        <v>783574.40199999977</v>
      </c>
      <c r="I742">
        <v>245125.13799999998</v>
      </c>
      <c r="J742">
        <v>727505.22499999986</v>
      </c>
      <c r="K742">
        <v>325491.22699999996</v>
      </c>
      <c r="L742">
        <v>565132.76899999997</v>
      </c>
      <c r="M742">
        <v>559049.55699999991</v>
      </c>
      <c r="N742">
        <v>497095.06299999997</v>
      </c>
      <c r="O742">
        <v>598075.69099999988</v>
      </c>
      <c r="P742">
        <v>25032.760000000002</v>
      </c>
      <c r="Q742">
        <v>477954.30999999994</v>
      </c>
      <c r="R742">
        <v>18997.530000000053</v>
      </c>
      <c r="S742">
        <v>50225.869999999988</v>
      </c>
      <c r="T742">
        <v>781528.41000000015</v>
      </c>
      <c r="U742">
        <v>188853.49999999994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s="164">
        <v>40878</v>
      </c>
      <c r="AC742" s="164">
        <v>42794</v>
      </c>
      <c r="AD742" s="164">
        <v>42978</v>
      </c>
      <c r="AE742" s="34">
        <f>SUMPRODUCT(DB_STProjectsSOF[[#This Row],[Plan01]:[Plan12]],$D$4:$O$4)/valUnits2</f>
        <v>1587.683865</v>
      </c>
      <c r="AF742" s="34">
        <f>SUMPRODUCT(DB_STProjectsSOF[[#This Row],[Act01]:[Act12]],$P$4:$AA$4)/valUnits2</f>
        <v>1542.59238</v>
      </c>
      <c r="AG742" s="34">
        <f>DB_STProjectsSOF[[#This Row],[Actual]]-DB_STProjectsSOF[[#This Row],[Plan]]</f>
        <v>-45.091484999999921</v>
      </c>
      <c r="AH742" s="34">
        <f>IF(DB_STProjectsSOF[[#This Row],[Plan]]&lt;&gt;0,DB_STProjectsSOF[[#This Row],[Actual]]/DB_STProjectsSOF[[#This Row],[Plan]],1.000011000011)</f>
        <v>0.97159920435419933</v>
      </c>
      <c r="AI742" s="34">
        <f>SUM(DB_STProjectsSOF[[#This Row],[Plan01]:[Plan12]])/valUnits2</f>
        <v>4860.0333969999992</v>
      </c>
      <c r="AJ742" s="34">
        <f>SUMPRODUCT(DB_STProjectsSOF[[#This Row],[Act01]:[Act12]],$P$3:$AA$3)/valUnits2</f>
        <v>1542.59238</v>
      </c>
      <c r="AK742" s="34">
        <f>IF(DB_STProjectsSOF[[#This Row],[FY Plan]]&lt;&gt;0,DB_STProjectsSOF[[#This Row],[FY Actuals]]/DB_STProjectsSOF[[#This Row],[FY Plan]],1.000011000011)</f>
        <v>0.31740365836831724</v>
      </c>
    </row>
    <row r="743" spans="1:37" hidden="1" x14ac:dyDescent="0.2">
      <c r="A743">
        <f>SUBTOTAL(3,$B$6:B743)</f>
        <v>0</v>
      </c>
      <c r="B743" t="s">
        <v>490</v>
      </c>
      <c r="C743" t="s">
        <v>927</v>
      </c>
      <c r="D743">
        <v>5903.8399999999992</v>
      </c>
      <c r="E743">
        <v>21496.269999999993</v>
      </c>
      <c r="F743">
        <v>10777.390000000001</v>
      </c>
      <c r="G743">
        <v>2726.570000000002</v>
      </c>
      <c r="H743">
        <v>11762.680000000002</v>
      </c>
      <c r="I743">
        <v>28148.582999999999</v>
      </c>
      <c r="J743">
        <v>28148.582999999999</v>
      </c>
      <c r="K743">
        <v>28148.582999999999</v>
      </c>
      <c r="L743">
        <v>28148.582999999999</v>
      </c>
      <c r="M743">
        <v>28148.582999999999</v>
      </c>
      <c r="N743">
        <v>28148.582999999999</v>
      </c>
      <c r="O743">
        <v>28148.582999999999</v>
      </c>
      <c r="P743">
        <v>5903.84</v>
      </c>
      <c r="Q743">
        <v>21496.27</v>
      </c>
      <c r="R743">
        <v>10777.39</v>
      </c>
      <c r="S743">
        <v>2726.5700000000015</v>
      </c>
      <c r="T743">
        <v>11762.68</v>
      </c>
      <c r="U743">
        <v>13361.76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s="164">
        <v>40817</v>
      </c>
      <c r="AC743" s="164">
        <v>42052</v>
      </c>
      <c r="AD743" s="164">
        <v>42141</v>
      </c>
      <c r="AE743" s="34">
        <f>SUMPRODUCT(DB_STProjectsSOF[[#This Row],[Plan01]:[Plan12]],$D$4:$O$4)/valUnits2</f>
        <v>80.815332999999981</v>
      </c>
      <c r="AF743" s="34">
        <f>SUMPRODUCT(DB_STProjectsSOF[[#This Row],[Act01]:[Act12]],$P$4:$AA$4)/valUnits2</f>
        <v>66.028509999999997</v>
      </c>
      <c r="AG743" s="34">
        <f>DB_STProjectsSOF[[#This Row],[Actual]]-DB_STProjectsSOF[[#This Row],[Plan]]</f>
        <v>-14.786822999999984</v>
      </c>
      <c r="AH743" s="34">
        <f>IF(DB_STProjectsSOF[[#This Row],[Plan]]&lt;&gt;0,DB_STProjectsSOF[[#This Row],[Actual]]/DB_STProjectsSOF[[#This Row],[Plan]],1.000011000011)</f>
        <v>0.81702948622385818</v>
      </c>
      <c r="AI743" s="34">
        <f>SUM(DB_STProjectsSOF[[#This Row],[Plan01]:[Plan12]])/valUnits2</f>
        <v>249.70683099999994</v>
      </c>
      <c r="AJ743" s="34">
        <f>SUMPRODUCT(DB_STProjectsSOF[[#This Row],[Act01]:[Act12]],$P$3:$AA$3)/valUnits2</f>
        <v>66.028509999999997</v>
      </c>
      <c r="AK743" s="34">
        <f>IF(DB_STProjectsSOF[[#This Row],[FY Plan]]&lt;&gt;0,DB_STProjectsSOF[[#This Row],[FY Actuals]]/DB_STProjectsSOF[[#This Row],[FY Plan]],1.000011000011)</f>
        <v>0.26442412382382929</v>
      </c>
    </row>
    <row r="744" spans="1:37" hidden="1" x14ac:dyDescent="0.2">
      <c r="A744">
        <f>SUBTOTAL(3,$B$6:B744)</f>
        <v>0</v>
      </c>
      <c r="B744" t="s">
        <v>491</v>
      </c>
      <c r="C744" t="s">
        <v>855</v>
      </c>
      <c r="D744">
        <v>24256.228999999999</v>
      </c>
      <c r="E744">
        <v>33761.97</v>
      </c>
      <c r="F744">
        <v>12674.228000000003</v>
      </c>
      <c r="G744">
        <v>14699.053000000002</v>
      </c>
      <c r="H744">
        <v>32469.105000000003</v>
      </c>
      <c r="I744">
        <v>23632.7</v>
      </c>
      <c r="J744">
        <v>23632.7</v>
      </c>
      <c r="K744">
        <v>23632.7</v>
      </c>
      <c r="L744">
        <v>23632.7</v>
      </c>
      <c r="M744">
        <v>23632.7</v>
      </c>
      <c r="N744">
        <v>23632.700000000004</v>
      </c>
      <c r="O744">
        <v>23632.7</v>
      </c>
      <c r="P744">
        <v>23839.82</v>
      </c>
      <c r="Q744">
        <v>34794.58</v>
      </c>
      <c r="R744">
        <v>12800.759999999966</v>
      </c>
      <c r="S744">
        <v>14638.75</v>
      </c>
      <c r="T744">
        <v>32104.909999999996</v>
      </c>
      <c r="U744">
        <v>17331.019999999997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s="164">
        <v>40817</v>
      </c>
      <c r="AC744" s="164">
        <v>41759</v>
      </c>
      <c r="AD744" s="164">
        <v>41820</v>
      </c>
      <c r="AE744" s="34">
        <f>SUMPRODUCT(DB_STProjectsSOF[[#This Row],[Plan01]:[Plan12]],$D$4:$O$4)/valUnits2</f>
        <v>141.49328500000001</v>
      </c>
      <c r="AF744" s="34">
        <f>SUMPRODUCT(DB_STProjectsSOF[[#This Row],[Act01]:[Act12]],$P$4:$AA$4)/valUnits2</f>
        <v>135.50983999999997</v>
      </c>
      <c r="AG744" s="34">
        <f>DB_STProjectsSOF[[#This Row],[Actual]]-DB_STProjectsSOF[[#This Row],[Plan]]</f>
        <v>-5.9834450000000459</v>
      </c>
      <c r="AH744" s="34">
        <f>IF(DB_STProjectsSOF[[#This Row],[Plan]]&lt;&gt;0,DB_STProjectsSOF[[#This Row],[Actual]]/DB_STProjectsSOF[[#This Row],[Plan]],1.000011000011)</f>
        <v>0.95771216280687776</v>
      </c>
      <c r="AI744" s="34">
        <f>SUM(DB_STProjectsSOF[[#This Row],[Plan01]:[Plan12]])/valUnits2</f>
        <v>283.28948500000007</v>
      </c>
      <c r="AJ744" s="34">
        <f>SUMPRODUCT(DB_STProjectsSOF[[#This Row],[Act01]:[Act12]],$P$3:$AA$3)/valUnits2</f>
        <v>135.50983999999997</v>
      </c>
      <c r="AK744" s="34">
        <f>IF(DB_STProjectsSOF[[#This Row],[FY Plan]]&lt;&gt;0,DB_STProjectsSOF[[#This Row],[FY Actuals]]/DB_STProjectsSOF[[#This Row],[FY Plan]],1.000011000011)</f>
        <v>0.47834405149206272</v>
      </c>
    </row>
    <row r="745" spans="1:37" hidden="1" x14ac:dyDescent="0.2">
      <c r="A745">
        <f>SUBTOTAL(3,$B$6:B745)</f>
        <v>0</v>
      </c>
      <c r="B745" t="s">
        <v>491</v>
      </c>
      <c r="C745" t="s">
        <v>367</v>
      </c>
      <c r="D745">
        <v>877.58799999999997</v>
      </c>
      <c r="E745">
        <v>1553.616</v>
      </c>
      <c r="F745">
        <v>1956.9379999999999</v>
      </c>
      <c r="G745">
        <v>15593.886999999999</v>
      </c>
      <c r="H745">
        <v>29253.228999999999</v>
      </c>
      <c r="I745">
        <v>7383.8369999999995</v>
      </c>
      <c r="J745">
        <v>7347.5640000000003</v>
      </c>
      <c r="K745">
        <v>7226.7739999999994</v>
      </c>
      <c r="L745">
        <v>7338.9440000000004</v>
      </c>
      <c r="P745">
        <v>864.61</v>
      </c>
      <c r="Q745">
        <v>1572.42</v>
      </c>
      <c r="R745">
        <v>1981.0200000000002</v>
      </c>
      <c r="S745">
        <v>15330.48</v>
      </c>
      <c r="T745">
        <v>29324.7</v>
      </c>
      <c r="U745">
        <v>2158.2500000000023</v>
      </c>
      <c r="V745">
        <v>0</v>
      </c>
      <c r="W745">
        <v>0</v>
      </c>
      <c r="X745">
        <v>0</v>
      </c>
      <c r="AB745" s="164">
        <v>40817</v>
      </c>
      <c r="AC745" s="164">
        <v>41547</v>
      </c>
      <c r="AD745" s="164">
        <v>41670</v>
      </c>
      <c r="AE745" s="34">
        <f>SUMPRODUCT(DB_STProjectsSOF[[#This Row],[Plan01]:[Plan12]],$D$4:$O$4)/valUnits2</f>
        <v>56.619095000000002</v>
      </c>
      <c r="AF745" s="34">
        <f>SUMPRODUCT(DB_STProjectsSOF[[#This Row],[Act01]:[Act12]],$P$4:$AA$4)/valUnits2</f>
        <v>51.231479999999998</v>
      </c>
      <c r="AG745" s="34">
        <f>DB_STProjectsSOF[[#This Row],[Actual]]-DB_STProjectsSOF[[#This Row],[Plan]]</f>
        <v>-5.3876150000000038</v>
      </c>
      <c r="AH745" s="34">
        <f>IF(DB_STProjectsSOF[[#This Row],[Plan]]&lt;&gt;0,DB_STProjectsSOF[[#This Row],[Actual]]/DB_STProjectsSOF[[#This Row],[Plan]],1.000011000011)</f>
        <v>0.9048445581830652</v>
      </c>
      <c r="AI745" s="34">
        <f>SUM(DB_STProjectsSOF[[#This Row],[Plan01]:[Plan12]])/valUnits2</f>
        <v>78.532377000000011</v>
      </c>
      <c r="AJ745" s="34">
        <f>SUMPRODUCT(DB_STProjectsSOF[[#This Row],[Act01]:[Act12]],$P$3:$AA$3)/valUnits2</f>
        <v>51.231479999999998</v>
      </c>
      <c r="AK745" s="34">
        <f>IF(DB_STProjectsSOF[[#This Row],[FY Plan]]&lt;&gt;0,DB_STProjectsSOF[[#This Row],[FY Actuals]]/DB_STProjectsSOF[[#This Row],[FY Plan]],1.000011000011)</f>
        <v>0.65236125477266516</v>
      </c>
    </row>
    <row r="746" spans="1:37" hidden="1" x14ac:dyDescent="0.2">
      <c r="A746">
        <f>SUBTOTAL(3,$B$6:B746)</f>
        <v>0</v>
      </c>
      <c r="B746" t="s">
        <v>491</v>
      </c>
      <c r="C746" t="s">
        <v>874</v>
      </c>
      <c r="D746">
        <v>3582.0419999999976</v>
      </c>
      <c r="E746">
        <v>176842.56200000001</v>
      </c>
      <c r="F746">
        <v>3032.2859999999955</v>
      </c>
      <c r="G746">
        <v>177271.78199999992</v>
      </c>
      <c r="H746">
        <v>5485.8970000000054</v>
      </c>
      <c r="I746">
        <v>66269.689000000013</v>
      </c>
      <c r="J746">
        <v>93458.718999999954</v>
      </c>
      <c r="K746">
        <v>67004.865999999995</v>
      </c>
      <c r="L746">
        <v>66659.427999999985</v>
      </c>
      <c r="M746">
        <v>73664.043999999994</v>
      </c>
      <c r="N746">
        <v>61834.857000000004</v>
      </c>
      <c r="O746">
        <v>68002.844999999987</v>
      </c>
      <c r="P746">
        <v>3516.5800000000004</v>
      </c>
      <c r="Q746">
        <v>182379.26</v>
      </c>
      <c r="R746">
        <v>3065.1599999999935</v>
      </c>
      <c r="S746">
        <v>176671.47999999995</v>
      </c>
      <c r="T746">
        <v>5466.9000000000005</v>
      </c>
      <c r="U746">
        <v>3328.1400000000149</v>
      </c>
      <c r="V746">
        <v>53578.559999999998</v>
      </c>
      <c r="W746">
        <v>0</v>
      </c>
      <c r="X746">
        <v>0</v>
      </c>
      <c r="Y746">
        <v>0</v>
      </c>
      <c r="Z746">
        <v>0</v>
      </c>
      <c r="AA746">
        <v>0</v>
      </c>
      <c r="AB746" s="164">
        <v>40879</v>
      </c>
      <c r="AC746" s="164">
        <v>43071</v>
      </c>
      <c r="AD746" s="164">
        <v>43161</v>
      </c>
      <c r="AE746" s="34">
        <f>SUMPRODUCT(DB_STProjectsSOF[[#This Row],[Plan01]:[Plan12]],$D$4:$O$4)/valUnits2</f>
        <v>432.4842579999999</v>
      </c>
      <c r="AF746" s="34">
        <f>SUMPRODUCT(DB_STProjectsSOF[[#This Row],[Act01]:[Act12]],$P$4:$AA$4)/valUnits2</f>
        <v>374.42752000000002</v>
      </c>
      <c r="AG746" s="34">
        <f>DB_STProjectsSOF[[#This Row],[Actual]]-DB_STProjectsSOF[[#This Row],[Plan]]</f>
        <v>-58.056737999999882</v>
      </c>
      <c r="AH746" s="34">
        <f>IF(DB_STProjectsSOF[[#This Row],[Plan]]&lt;&gt;0,DB_STProjectsSOF[[#This Row],[Actual]]/DB_STProjectsSOF[[#This Row],[Plan]],1.000011000011)</f>
        <v>0.86575988160013007</v>
      </c>
      <c r="AI746" s="34">
        <f>SUM(DB_STProjectsSOF[[#This Row],[Plan01]:[Plan12]])/valUnits2</f>
        <v>863.10901699999977</v>
      </c>
      <c r="AJ746" s="34">
        <f>SUMPRODUCT(DB_STProjectsSOF[[#This Row],[Act01]:[Act12]],$P$3:$AA$3)/valUnits2</f>
        <v>374.42752000000002</v>
      </c>
      <c r="AK746" s="34">
        <f>IF(DB_STProjectsSOF[[#This Row],[FY Plan]]&lt;&gt;0,DB_STProjectsSOF[[#This Row],[FY Actuals]]/DB_STProjectsSOF[[#This Row],[FY Plan]],1.000011000011)</f>
        <v>0.43381254583741663</v>
      </c>
    </row>
    <row r="747" spans="1:37" hidden="1" x14ac:dyDescent="0.2">
      <c r="A747">
        <f>SUBTOTAL(3,$B$6:B747)</f>
        <v>0</v>
      </c>
      <c r="B747" t="s">
        <v>491</v>
      </c>
      <c r="C747" t="s">
        <v>877</v>
      </c>
      <c r="D747">
        <v>60399.904000000024</v>
      </c>
      <c r="E747">
        <v>105851.45700000001</v>
      </c>
      <c r="F747">
        <v>59972.280999999995</v>
      </c>
      <c r="G747">
        <v>87446.015999999974</v>
      </c>
      <c r="H747">
        <v>8677.7809999999918</v>
      </c>
      <c r="I747">
        <v>95664.886999999988</v>
      </c>
      <c r="J747">
        <v>71351.975999999995</v>
      </c>
      <c r="K747">
        <v>70401.946000000011</v>
      </c>
      <c r="L747">
        <v>63596.39</v>
      </c>
      <c r="M747">
        <v>59808.366000000009</v>
      </c>
      <c r="N747">
        <v>63138.295000000006</v>
      </c>
      <c r="O747">
        <v>59808.366000000009</v>
      </c>
      <c r="P747">
        <v>59114.239999999969</v>
      </c>
      <c r="Q747">
        <v>109193.84000000003</v>
      </c>
      <c r="R747">
        <v>60519.229999999996</v>
      </c>
      <c r="S747">
        <v>87427.329999999987</v>
      </c>
      <c r="T747">
        <v>8582.1</v>
      </c>
      <c r="U747">
        <v>13236.52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s="164">
        <v>40817</v>
      </c>
      <c r="AC747" s="164">
        <v>41639</v>
      </c>
      <c r="AD747" s="164">
        <v>41729</v>
      </c>
      <c r="AE747" s="34">
        <f>SUMPRODUCT(DB_STProjectsSOF[[#This Row],[Plan01]:[Plan12]],$D$4:$O$4)/valUnits2</f>
        <v>418.01232599999997</v>
      </c>
      <c r="AF747" s="34">
        <f>SUMPRODUCT(DB_STProjectsSOF[[#This Row],[Act01]:[Act12]],$P$4:$AA$4)/valUnits2</f>
        <v>338.07326</v>
      </c>
      <c r="AG747" s="34">
        <f>DB_STProjectsSOF[[#This Row],[Actual]]-DB_STProjectsSOF[[#This Row],[Plan]]</f>
        <v>-79.939065999999968</v>
      </c>
      <c r="AH747" s="34">
        <f>IF(DB_STProjectsSOF[[#This Row],[Plan]]&lt;&gt;0,DB_STProjectsSOF[[#This Row],[Actual]]/DB_STProjectsSOF[[#This Row],[Plan]],1.000011000011)</f>
        <v>0.80876385448978372</v>
      </c>
      <c r="AI747" s="34">
        <f>SUM(DB_STProjectsSOF[[#This Row],[Plan01]:[Plan12]])/valUnits2</f>
        <v>806.1176650000001</v>
      </c>
      <c r="AJ747" s="34">
        <f>SUMPRODUCT(DB_STProjectsSOF[[#This Row],[Act01]:[Act12]],$P$3:$AA$3)/valUnits2</f>
        <v>338.07326</v>
      </c>
      <c r="AK747" s="34">
        <f>IF(DB_STProjectsSOF[[#This Row],[FY Plan]]&lt;&gt;0,DB_STProjectsSOF[[#This Row],[FY Actuals]]/DB_STProjectsSOF[[#This Row],[FY Plan]],1.000011000011)</f>
        <v>0.4193845075954265</v>
      </c>
    </row>
    <row r="748" spans="1:37" hidden="1" x14ac:dyDescent="0.2">
      <c r="A748">
        <f>SUBTOTAL(3,$B$6:B748)</f>
        <v>0</v>
      </c>
      <c r="B748" t="s">
        <v>491</v>
      </c>
      <c r="C748" t="s">
        <v>882</v>
      </c>
      <c r="D748">
        <v>15815.819000000001</v>
      </c>
      <c r="E748">
        <v>8397.732</v>
      </c>
      <c r="F748">
        <v>4060.2590000000068</v>
      </c>
      <c r="G748">
        <v>15888.638000000001</v>
      </c>
      <c r="H748">
        <v>109945.58400000006</v>
      </c>
      <c r="I748">
        <v>24296.65500000001</v>
      </c>
      <c r="J748">
        <v>33011.420999999988</v>
      </c>
      <c r="K748">
        <v>25532.191000000003</v>
      </c>
      <c r="L748">
        <v>25022.501000000007</v>
      </c>
      <c r="M748">
        <v>30657.286000000004</v>
      </c>
      <c r="N748">
        <v>33301.520999999986</v>
      </c>
      <c r="O748">
        <v>20042.27900000001</v>
      </c>
      <c r="P748">
        <v>15956.909999999996</v>
      </c>
      <c r="Q748">
        <v>8602.7200000000012</v>
      </c>
      <c r="R748">
        <v>4097.2</v>
      </c>
      <c r="S748">
        <v>15737.75</v>
      </c>
      <c r="T748">
        <v>109732.69000000002</v>
      </c>
      <c r="U748">
        <v>15682.210000000003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s="164">
        <v>40817</v>
      </c>
      <c r="AC748" s="164">
        <v>41913</v>
      </c>
      <c r="AD748" s="164">
        <v>42005</v>
      </c>
      <c r="AE748" s="34">
        <f>SUMPRODUCT(DB_STProjectsSOF[[#This Row],[Plan01]:[Plan12]],$D$4:$O$4)/valUnits2</f>
        <v>178.40468700000005</v>
      </c>
      <c r="AF748" s="34">
        <f>SUMPRODUCT(DB_STProjectsSOF[[#This Row],[Act01]:[Act12]],$P$4:$AA$4)/valUnits2</f>
        <v>169.80948000000001</v>
      </c>
      <c r="AG748" s="34">
        <f>DB_STProjectsSOF[[#This Row],[Actual]]-DB_STProjectsSOF[[#This Row],[Plan]]</f>
        <v>-8.5952070000000447</v>
      </c>
      <c r="AH748" s="34">
        <f>IF(DB_STProjectsSOF[[#This Row],[Plan]]&lt;&gt;0,DB_STProjectsSOF[[#This Row],[Actual]]/DB_STProjectsSOF[[#This Row],[Plan]],1.000011000011)</f>
        <v>0.95182185432157373</v>
      </c>
      <c r="AI748" s="34">
        <f>SUM(DB_STProjectsSOF[[#This Row],[Plan01]:[Plan12]])/valUnits2</f>
        <v>345.97188600000004</v>
      </c>
      <c r="AJ748" s="34">
        <f>SUMPRODUCT(DB_STProjectsSOF[[#This Row],[Act01]:[Act12]],$P$3:$AA$3)/valUnits2</f>
        <v>169.80948000000001</v>
      </c>
      <c r="AK748" s="34">
        <f>IF(DB_STProjectsSOF[[#This Row],[FY Plan]]&lt;&gt;0,DB_STProjectsSOF[[#This Row],[FY Actuals]]/DB_STProjectsSOF[[#This Row],[FY Plan]],1.000011000011)</f>
        <v>0.4908187250798754</v>
      </c>
    </row>
    <row r="749" spans="1:37" hidden="1" x14ac:dyDescent="0.2">
      <c r="A749">
        <f>SUBTOTAL(3,$B$6:B749)</f>
        <v>0</v>
      </c>
      <c r="B749" t="s">
        <v>491</v>
      </c>
      <c r="C749" t="s">
        <v>886</v>
      </c>
      <c r="D749">
        <v>6272.8189999999995</v>
      </c>
      <c r="E749">
        <v>-3296.5239999999999</v>
      </c>
      <c r="P749">
        <v>6208.16</v>
      </c>
      <c r="Q749">
        <v>-3324.29</v>
      </c>
      <c r="AB749" s="164">
        <v>40909</v>
      </c>
      <c r="AC749" s="164">
        <v>41274</v>
      </c>
      <c r="AD749" s="164">
        <v>41305</v>
      </c>
      <c r="AE749" s="34">
        <f>SUMPRODUCT(DB_STProjectsSOF[[#This Row],[Plan01]:[Plan12]],$D$4:$O$4)/valUnits2</f>
        <v>2.9762949999999995</v>
      </c>
      <c r="AF749" s="34">
        <f>SUMPRODUCT(DB_STProjectsSOF[[#This Row],[Act01]:[Act12]],$P$4:$AA$4)/valUnits2</f>
        <v>2.8838699999999999</v>
      </c>
      <c r="AG749" s="34">
        <f>DB_STProjectsSOF[[#This Row],[Actual]]-DB_STProjectsSOF[[#This Row],[Plan]]</f>
        <v>-9.2424999999999535E-2</v>
      </c>
      <c r="AH749" s="34">
        <f>IF(DB_STProjectsSOF[[#This Row],[Plan]]&lt;&gt;0,DB_STProjectsSOF[[#This Row],[Actual]]/DB_STProjectsSOF[[#This Row],[Plan]],1.000011000011)</f>
        <v>0.96894629060627402</v>
      </c>
      <c r="AI749" s="34">
        <f>SUM(DB_STProjectsSOF[[#This Row],[Plan01]:[Plan12]])/valUnits2</f>
        <v>2.9762949999999995</v>
      </c>
      <c r="AJ749" s="34">
        <f>SUMPRODUCT(DB_STProjectsSOF[[#This Row],[Act01]:[Act12]],$P$3:$AA$3)/valUnits2</f>
        <v>2.8838699999999999</v>
      </c>
      <c r="AK749" s="34">
        <f>IF(DB_STProjectsSOF[[#This Row],[FY Plan]]&lt;&gt;0,DB_STProjectsSOF[[#This Row],[FY Actuals]]/DB_STProjectsSOF[[#This Row],[FY Plan]],1.000011000011)</f>
        <v>0.96894629060627402</v>
      </c>
    </row>
    <row r="750" spans="1:37" hidden="1" x14ac:dyDescent="0.2">
      <c r="A750">
        <f>SUBTOTAL(3,$B$6:B750)</f>
        <v>0</v>
      </c>
      <c r="B750" t="s">
        <v>491</v>
      </c>
      <c r="C750" t="s">
        <v>890</v>
      </c>
      <c r="D750">
        <v>1652.0629999999999</v>
      </c>
      <c r="E750">
        <v>1579.171</v>
      </c>
      <c r="F750">
        <v>49885.458000000013</v>
      </c>
      <c r="G750">
        <v>169143.11100000003</v>
      </c>
      <c r="H750">
        <v>3229.6700000000005</v>
      </c>
      <c r="I750">
        <v>39276.385000000009</v>
      </c>
      <c r="J750">
        <v>36981.004999999997</v>
      </c>
      <c r="K750">
        <v>40456.140000000007</v>
      </c>
      <c r="L750">
        <v>39276.385000000002</v>
      </c>
      <c r="M750">
        <v>34696.515000000007</v>
      </c>
      <c r="N750">
        <v>76891.440000000031</v>
      </c>
      <c r="O750">
        <v>34696.514999999992</v>
      </c>
      <c r="P750">
        <v>1656.5900000000006</v>
      </c>
      <c r="Q750">
        <v>1615.7399999999993</v>
      </c>
      <c r="R750">
        <v>49802.930000000008</v>
      </c>
      <c r="S750">
        <v>167006.68999999994</v>
      </c>
      <c r="T750">
        <v>3277.8299999999958</v>
      </c>
      <c r="U750">
        <v>3889.5999999999967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s="164">
        <v>40817</v>
      </c>
      <c r="AC750" s="164">
        <v>41639</v>
      </c>
      <c r="AD750" s="164">
        <v>41639</v>
      </c>
      <c r="AE750" s="34">
        <f>SUMPRODUCT(DB_STProjectsSOF[[#This Row],[Plan01]:[Plan12]],$D$4:$O$4)/valUnits2</f>
        <v>264.76585800000009</v>
      </c>
      <c r="AF750" s="34">
        <f>SUMPRODUCT(DB_STProjectsSOF[[#This Row],[Act01]:[Act12]],$P$4:$AA$4)/valUnits2</f>
        <v>227.24937999999995</v>
      </c>
      <c r="AG750" s="34">
        <f>DB_STProjectsSOF[[#This Row],[Actual]]-DB_STProjectsSOF[[#This Row],[Plan]]</f>
        <v>-37.516478000000149</v>
      </c>
      <c r="AH750" s="34">
        <f>IF(DB_STProjectsSOF[[#This Row],[Plan]]&lt;&gt;0,DB_STProjectsSOF[[#This Row],[Actual]]/DB_STProjectsSOF[[#This Row],[Plan]],1.000011000011)</f>
        <v>0.85830318801905292</v>
      </c>
      <c r="AI750" s="34">
        <f>SUM(DB_STProjectsSOF[[#This Row],[Plan01]:[Plan12]])/valUnits2</f>
        <v>527.76385800000014</v>
      </c>
      <c r="AJ750" s="34">
        <f>SUMPRODUCT(DB_STProjectsSOF[[#This Row],[Act01]:[Act12]],$P$3:$AA$3)/valUnits2</f>
        <v>227.24937999999995</v>
      </c>
      <c r="AK750" s="34">
        <f>IF(DB_STProjectsSOF[[#This Row],[FY Plan]]&lt;&gt;0,DB_STProjectsSOF[[#This Row],[FY Actuals]]/DB_STProjectsSOF[[#This Row],[FY Plan]],1.000011000011)</f>
        <v>0.43058912912524577</v>
      </c>
    </row>
    <row r="751" spans="1:37" hidden="1" x14ac:dyDescent="0.2">
      <c r="A751">
        <f>SUBTOTAL(3,$B$6:B751)</f>
        <v>0</v>
      </c>
      <c r="B751" t="s">
        <v>491</v>
      </c>
      <c r="C751" t="s">
        <v>892</v>
      </c>
      <c r="D751">
        <v>5376.0830000000005</v>
      </c>
      <c r="E751">
        <v>4652.4819999999991</v>
      </c>
      <c r="F751">
        <v>18096.315000000002</v>
      </c>
      <c r="G751">
        <v>6621.1710000000003</v>
      </c>
      <c r="H751">
        <v>13775.653</v>
      </c>
      <c r="I751">
        <v>8212.83</v>
      </c>
      <c r="J751">
        <v>9836.7749999999978</v>
      </c>
      <c r="K751">
        <v>8579.4689999999991</v>
      </c>
      <c r="L751">
        <v>12971.638000000001</v>
      </c>
      <c r="M751">
        <v>6193.9000000000005</v>
      </c>
      <c r="N751">
        <v>6250.5070000000005</v>
      </c>
      <c r="O751">
        <v>6193.9000000000005</v>
      </c>
      <c r="P751">
        <v>791.92999999999984</v>
      </c>
      <c r="Q751">
        <v>234.9500000000001</v>
      </c>
      <c r="R751">
        <v>9104.0099999999984</v>
      </c>
      <c r="S751">
        <v>235.13999999999984</v>
      </c>
      <c r="T751">
        <v>1051.0000000000002</v>
      </c>
      <c r="U751">
        <v>29124.48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s="164">
        <v>40817</v>
      </c>
      <c r="AC751" s="164">
        <v>41639</v>
      </c>
      <c r="AD751" s="164">
        <v>3</v>
      </c>
      <c r="AE751" s="34">
        <f>SUMPRODUCT(DB_STProjectsSOF[[#This Row],[Plan01]:[Plan12]],$D$4:$O$4)/valUnits2</f>
        <v>56.734533999999996</v>
      </c>
      <c r="AF751" s="34">
        <f>SUMPRODUCT(DB_STProjectsSOF[[#This Row],[Act01]:[Act12]],$P$4:$AA$4)/valUnits2</f>
        <v>40.541509999999995</v>
      </c>
      <c r="AG751" s="34">
        <f>DB_STProjectsSOF[[#This Row],[Actual]]-DB_STProjectsSOF[[#This Row],[Plan]]</f>
        <v>-16.193024000000001</v>
      </c>
      <c r="AH751" s="34">
        <f>IF(DB_STProjectsSOF[[#This Row],[Plan]]&lt;&gt;0,DB_STProjectsSOF[[#This Row],[Actual]]/DB_STProjectsSOF[[#This Row],[Plan]],1.000011000011)</f>
        <v>0.7145825856258905</v>
      </c>
      <c r="AI751" s="34">
        <f>SUM(DB_STProjectsSOF[[#This Row],[Plan01]:[Plan12]])/valUnits2</f>
        <v>106.76072299999998</v>
      </c>
      <c r="AJ751" s="34">
        <f>SUMPRODUCT(DB_STProjectsSOF[[#This Row],[Act01]:[Act12]],$P$3:$AA$3)/valUnits2</f>
        <v>40.541509999999995</v>
      </c>
      <c r="AK751" s="34">
        <f>IF(DB_STProjectsSOF[[#This Row],[FY Plan]]&lt;&gt;0,DB_STProjectsSOF[[#This Row],[FY Actuals]]/DB_STProjectsSOF[[#This Row],[FY Plan]],1.000011000011)</f>
        <v>0.37974180823035453</v>
      </c>
    </row>
    <row r="752" spans="1:37" hidden="1" x14ac:dyDescent="0.2">
      <c r="A752">
        <f>SUBTOTAL(3,$B$6:B752)</f>
        <v>0</v>
      </c>
      <c r="B752" t="s">
        <v>491</v>
      </c>
      <c r="C752" t="s">
        <v>896</v>
      </c>
      <c r="D752">
        <v>35875.718999999997</v>
      </c>
      <c r="E752">
        <v>-29164.635999999995</v>
      </c>
      <c r="F752">
        <v>138911.916</v>
      </c>
      <c r="G752">
        <v>69921.356000000014</v>
      </c>
      <c r="H752">
        <v>62340.483999999989</v>
      </c>
      <c r="I752">
        <v>43275.436999999991</v>
      </c>
      <c r="J752">
        <v>49523.081999999988</v>
      </c>
      <c r="K752">
        <v>49523.081999999988</v>
      </c>
      <c r="L752">
        <v>49523.08199999998</v>
      </c>
      <c r="M752">
        <v>46059.184000000001</v>
      </c>
      <c r="N752">
        <v>46059.183999999994</v>
      </c>
      <c r="O752">
        <v>46059.183999999994</v>
      </c>
      <c r="P752">
        <v>35875.589999999997</v>
      </c>
      <c r="Q752">
        <v>-28671.71</v>
      </c>
      <c r="R752">
        <v>137910.50999999998</v>
      </c>
      <c r="S752">
        <v>70258.170000000013</v>
      </c>
      <c r="T752">
        <v>62596.359999999993</v>
      </c>
      <c r="U752">
        <v>3955.0900000000024</v>
      </c>
      <c r="V752">
        <v>757</v>
      </c>
      <c r="W752">
        <v>0</v>
      </c>
      <c r="X752">
        <v>0</v>
      </c>
      <c r="Y752">
        <v>0</v>
      </c>
      <c r="Z752">
        <v>0</v>
      </c>
      <c r="AA752">
        <v>0</v>
      </c>
      <c r="AB752" s="164">
        <v>40817</v>
      </c>
      <c r="AC752" s="164">
        <v>41639</v>
      </c>
      <c r="AD752" s="164">
        <v>41820</v>
      </c>
      <c r="AE752" s="34">
        <f>SUMPRODUCT(DB_STProjectsSOF[[#This Row],[Plan01]:[Plan12]],$D$4:$O$4)/valUnits2</f>
        <v>321.16027600000001</v>
      </c>
      <c r="AF752" s="34">
        <f>SUMPRODUCT(DB_STProjectsSOF[[#This Row],[Act01]:[Act12]],$P$4:$AA$4)/valUnits2</f>
        <v>281.92401000000001</v>
      </c>
      <c r="AG752" s="34">
        <f>DB_STProjectsSOF[[#This Row],[Actual]]-DB_STProjectsSOF[[#This Row],[Plan]]</f>
        <v>-39.236266000000001</v>
      </c>
      <c r="AH752" s="34">
        <f>IF(DB_STProjectsSOF[[#This Row],[Plan]]&lt;&gt;0,DB_STProjectsSOF[[#This Row],[Actual]]/DB_STProjectsSOF[[#This Row],[Plan]],1.000011000011)</f>
        <v>0.87782964167087718</v>
      </c>
      <c r="AI752" s="34">
        <f>SUM(DB_STProjectsSOF[[#This Row],[Plan01]:[Plan12]])/valUnits2</f>
        <v>607.90707399999997</v>
      </c>
      <c r="AJ752" s="34">
        <f>SUMPRODUCT(DB_STProjectsSOF[[#This Row],[Act01]:[Act12]],$P$3:$AA$3)/valUnits2</f>
        <v>281.92401000000001</v>
      </c>
      <c r="AK752" s="34">
        <f>IF(DB_STProjectsSOF[[#This Row],[FY Plan]]&lt;&gt;0,DB_STProjectsSOF[[#This Row],[FY Actuals]]/DB_STProjectsSOF[[#This Row],[FY Plan]],1.000011000011)</f>
        <v>0.46376168670805767</v>
      </c>
    </row>
    <row r="753" spans="1:37" hidden="1" x14ac:dyDescent="0.2">
      <c r="A753">
        <f>SUBTOTAL(3,$B$6:B753)</f>
        <v>0</v>
      </c>
      <c r="B753" t="s">
        <v>491</v>
      </c>
      <c r="C753" t="s">
        <v>899</v>
      </c>
      <c r="D753">
        <v>-12.531000000000001</v>
      </c>
      <c r="E753">
        <v>2.5430000000000001</v>
      </c>
      <c r="G753">
        <v>252.79300000000001</v>
      </c>
      <c r="H753">
        <v>816.20299999999997</v>
      </c>
      <c r="P753">
        <v>-12.53</v>
      </c>
      <c r="Q753">
        <v>2.54</v>
      </c>
      <c r="S753">
        <v>254.21</v>
      </c>
      <c r="T753">
        <v>820.17</v>
      </c>
      <c r="AB753" s="164">
        <v>40909</v>
      </c>
      <c r="AC753" s="164">
        <v>41639</v>
      </c>
      <c r="AD753" s="164">
        <v>41729</v>
      </c>
      <c r="AE753" s="34">
        <f>SUMPRODUCT(DB_STProjectsSOF[[#This Row],[Plan01]:[Plan12]],$D$4:$O$4)/valUnits2</f>
        <v>1.0590079999999999</v>
      </c>
      <c r="AF753" s="34">
        <f>SUMPRODUCT(DB_STProjectsSOF[[#This Row],[Act01]:[Act12]],$P$4:$AA$4)/valUnits2</f>
        <v>1.0643899999999999</v>
      </c>
      <c r="AG753" s="34">
        <f>DB_STProjectsSOF[[#This Row],[Actual]]-DB_STProjectsSOF[[#This Row],[Plan]]</f>
        <v>5.3819999999999979E-3</v>
      </c>
      <c r="AH753" s="34">
        <f>IF(DB_STProjectsSOF[[#This Row],[Plan]]&lt;&gt;0,DB_STProjectsSOF[[#This Row],[Actual]]/DB_STProjectsSOF[[#This Row],[Plan]],1.000011000011)</f>
        <v>1.0050821145827038</v>
      </c>
      <c r="AI753" s="34">
        <f>SUM(DB_STProjectsSOF[[#This Row],[Plan01]:[Plan12]])/valUnits2</f>
        <v>1.0590079999999999</v>
      </c>
      <c r="AJ753" s="34">
        <f>SUMPRODUCT(DB_STProjectsSOF[[#This Row],[Act01]:[Act12]],$P$3:$AA$3)/valUnits2</f>
        <v>1.0643899999999999</v>
      </c>
      <c r="AK753" s="34">
        <f>IF(DB_STProjectsSOF[[#This Row],[FY Plan]]&lt;&gt;0,DB_STProjectsSOF[[#This Row],[FY Actuals]]/DB_STProjectsSOF[[#This Row],[FY Plan]],1.000011000011)</f>
        <v>1.0050821145827038</v>
      </c>
    </row>
    <row r="754" spans="1:37" hidden="1" x14ac:dyDescent="0.2">
      <c r="A754">
        <f>SUBTOTAL(3,$B$6:B754)</f>
        <v>0</v>
      </c>
      <c r="B754" t="s">
        <v>492</v>
      </c>
      <c r="C754" t="s">
        <v>847</v>
      </c>
      <c r="H754">
        <v>9318.1869999999999</v>
      </c>
      <c r="I754">
        <v>0</v>
      </c>
      <c r="T754">
        <v>9526.64</v>
      </c>
      <c r="U754">
        <v>261.21999999999969</v>
      </c>
      <c r="AB754" s="164">
        <v>41334</v>
      </c>
      <c r="AC754" s="164">
        <v>41698</v>
      </c>
      <c r="AD754" s="164">
        <v>41759</v>
      </c>
      <c r="AE754" s="34">
        <f>SUMPRODUCT(DB_STProjectsSOF[[#This Row],[Plan01]:[Plan12]],$D$4:$O$4)/valUnits2</f>
        <v>9.318187</v>
      </c>
      <c r="AF754" s="34">
        <f>SUMPRODUCT(DB_STProjectsSOF[[#This Row],[Act01]:[Act12]],$P$4:$AA$4)/valUnits2</f>
        <v>9.7878599999999985</v>
      </c>
      <c r="AG754" s="34">
        <f>DB_STProjectsSOF[[#This Row],[Actual]]-DB_STProjectsSOF[[#This Row],[Plan]]</f>
        <v>0.46967299999999845</v>
      </c>
      <c r="AH754" s="34">
        <f>IF(DB_STProjectsSOF[[#This Row],[Plan]]&lt;&gt;0,DB_STProjectsSOF[[#This Row],[Actual]]/DB_STProjectsSOF[[#This Row],[Plan]],1.000011000011)</f>
        <v>1.050403903677829</v>
      </c>
      <c r="AI754" s="34">
        <f>SUM(DB_STProjectsSOF[[#This Row],[Plan01]:[Plan12]])/valUnits2</f>
        <v>9.318187</v>
      </c>
      <c r="AJ754" s="34">
        <f>SUMPRODUCT(DB_STProjectsSOF[[#This Row],[Act01]:[Act12]],$P$3:$AA$3)/valUnits2</f>
        <v>9.7878599999999985</v>
      </c>
      <c r="AK754" s="34">
        <f>IF(DB_STProjectsSOF[[#This Row],[FY Plan]]&lt;&gt;0,DB_STProjectsSOF[[#This Row],[FY Actuals]]/DB_STProjectsSOF[[#This Row],[FY Plan]],1.000011000011)</f>
        <v>1.050403903677829</v>
      </c>
    </row>
    <row r="755" spans="1:37" hidden="1" x14ac:dyDescent="0.2">
      <c r="A755">
        <f>SUBTOTAL(3,$B$6:B755)</f>
        <v>0</v>
      </c>
      <c r="B755" t="s">
        <v>492</v>
      </c>
      <c r="C755" t="s">
        <v>849</v>
      </c>
      <c r="I755">
        <v>0</v>
      </c>
      <c r="U755">
        <v>2522.2399999999998</v>
      </c>
      <c r="AB755" s="164">
        <v>41153</v>
      </c>
      <c r="AC755" s="164">
        <v>41364</v>
      </c>
      <c r="AD755" s="164">
        <v>41424</v>
      </c>
      <c r="AE755" s="34">
        <f>SUMPRODUCT(DB_STProjectsSOF[[#This Row],[Plan01]:[Plan12]],$D$4:$O$4)/valUnits2</f>
        <v>0</v>
      </c>
      <c r="AF755" s="34">
        <f>SUMPRODUCT(DB_STProjectsSOF[[#This Row],[Act01]:[Act12]],$P$4:$AA$4)/valUnits2</f>
        <v>2.5222399999999996</v>
      </c>
      <c r="AG755" s="34">
        <f>DB_STProjectsSOF[[#This Row],[Actual]]-DB_STProjectsSOF[[#This Row],[Plan]]</f>
        <v>2.5222399999999996</v>
      </c>
      <c r="AH755" s="34">
        <f>IF(DB_STProjectsSOF[[#This Row],[Plan]]&lt;&gt;0,DB_STProjectsSOF[[#This Row],[Actual]]/DB_STProjectsSOF[[#This Row],[Plan]],1.000011000011)</f>
        <v>1.0000110000110001</v>
      </c>
      <c r="AI755" s="34">
        <f>SUM(DB_STProjectsSOF[[#This Row],[Plan01]:[Plan12]])/valUnits2</f>
        <v>0</v>
      </c>
      <c r="AJ755" s="34">
        <f>SUMPRODUCT(DB_STProjectsSOF[[#This Row],[Act01]:[Act12]],$P$3:$AA$3)/valUnits2</f>
        <v>2.5222399999999996</v>
      </c>
      <c r="AK755" s="34">
        <f>IF(DB_STProjectsSOF[[#This Row],[FY Plan]]&lt;&gt;0,DB_STProjectsSOF[[#This Row],[FY Actuals]]/DB_STProjectsSOF[[#This Row],[FY Plan]],1.000011000011)</f>
        <v>1.0000110000110001</v>
      </c>
    </row>
    <row r="756" spans="1:37" hidden="1" x14ac:dyDescent="0.2">
      <c r="A756">
        <f>SUBTOTAL(3,$B$6:B756)</f>
        <v>0</v>
      </c>
      <c r="B756" t="s">
        <v>492</v>
      </c>
      <c r="C756" t="s">
        <v>858</v>
      </c>
      <c r="D756">
        <v>9289.7800000000007</v>
      </c>
      <c r="E756">
        <v>12542.31</v>
      </c>
      <c r="F756">
        <v>20923.069999999996</v>
      </c>
      <c r="G756">
        <v>18624.579999999994</v>
      </c>
      <c r="H756">
        <v>26249.159999999993</v>
      </c>
      <c r="I756">
        <v>49941.251000000004</v>
      </c>
      <c r="J756">
        <v>81607.917000000001</v>
      </c>
      <c r="K756">
        <v>52426.001000000004</v>
      </c>
      <c r="L756">
        <v>76327.081000000006</v>
      </c>
      <c r="M756">
        <v>59660.417000000001</v>
      </c>
      <c r="N756">
        <v>40993.751000000004</v>
      </c>
      <c r="O756">
        <v>40993.751000000004</v>
      </c>
      <c r="P756">
        <v>9289.7799999999988</v>
      </c>
      <c r="Q756">
        <v>12542.310000000003</v>
      </c>
      <c r="R756">
        <v>20923.069999999996</v>
      </c>
      <c r="S756">
        <v>18678.289999999997</v>
      </c>
      <c r="T756">
        <v>26309.48</v>
      </c>
      <c r="U756">
        <v>67009.650000000009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s="164">
        <v>41275</v>
      </c>
      <c r="AC756" s="164">
        <v>41639</v>
      </c>
      <c r="AD756" s="164">
        <v>41784</v>
      </c>
      <c r="AE756" s="34">
        <f>SUMPRODUCT(DB_STProjectsSOF[[#This Row],[Plan01]:[Plan12]],$D$4:$O$4)/valUnits2</f>
        <v>137.57015099999998</v>
      </c>
      <c r="AF756" s="34">
        <f>SUMPRODUCT(DB_STProjectsSOF[[#This Row],[Act01]:[Act12]],$P$4:$AA$4)/valUnits2</f>
        <v>154.75258000000002</v>
      </c>
      <c r="AG756" s="34">
        <f>DB_STProjectsSOF[[#This Row],[Actual]]-DB_STProjectsSOF[[#This Row],[Plan]]</f>
        <v>17.182429000000042</v>
      </c>
      <c r="AH756" s="34">
        <f>IF(DB_STProjectsSOF[[#This Row],[Plan]]&lt;&gt;0,DB_STProjectsSOF[[#This Row],[Actual]]/DB_STProjectsSOF[[#This Row],[Plan]],1.000011000011)</f>
        <v>1.1248993976898378</v>
      </c>
      <c r="AI756" s="34">
        <f>SUM(DB_STProjectsSOF[[#This Row],[Plan01]:[Plan12]])/valUnits2</f>
        <v>489.57906899999995</v>
      </c>
      <c r="AJ756" s="34">
        <f>SUMPRODUCT(DB_STProjectsSOF[[#This Row],[Act01]:[Act12]],$P$3:$AA$3)/valUnits2</f>
        <v>154.75258000000002</v>
      </c>
      <c r="AK756" s="34">
        <f>IF(DB_STProjectsSOF[[#This Row],[FY Plan]]&lt;&gt;0,DB_STProjectsSOF[[#This Row],[FY Actuals]]/DB_STProjectsSOF[[#This Row],[FY Plan]],1.000011000011)</f>
        <v>0.31609312938172207</v>
      </c>
    </row>
    <row r="757" spans="1:37" hidden="1" x14ac:dyDescent="0.2">
      <c r="A757">
        <f>SUBTOTAL(3,$B$6:B757)</f>
        <v>0</v>
      </c>
      <c r="B757" t="s">
        <v>492</v>
      </c>
      <c r="C757" t="s">
        <v>878</v>
      </c>
      <c r="D757">
        <v>4607.6589999999997</v>
      </c>
      <c r="E757">
        <v>9286.8230000000003</v>
      </c>
      <c r="F757">
        <v>11150.308000000001</v>
      </c>
      <c r="G757">
        <v>11737.119000000001</v>
      </c>
      <c r="H757">
        <v>11737.119000000001</v>
      </c>
      <c r="I757">
        <v>11737.119000000001</v>
      </c>
      <c r="J757">
        <v>11737.119000000001</v>
      </c>
      <c r="K757">
        <v>11737.119000000001</v>
      </c>
      <c r="L757">
        <v>11737.119000000001</v>
      </c>
      <c r="M757">
        <v>11737.119000000001</v>
      </c>
      <c r="N757">
        <v>11737.119000000001</v>
      </c>
      <c r="O757">
        <v>11737.119000000001</v>
      </c>
      <c r="P757">
        <v>4690.1800000000021</v>
      </c>
      <c r="Q757">
        <v>9261.7599999999984</v>
      </c>
      <c r="R757">
        <v>-695.09999999999991</v>
      </c>
      <c r="S757">
        <v>0</v>
      </c>
      <c r="T757">
        <v>0</v>
      </c>
      <c r="U757">
        <v>4060.4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s="164">
        <v>40969</v>
      </c>
      <c r="AC757" s="164">
        <v>41333</v>
      </c>
      <c r="AD757" s="164">
        <v>41364</v>
      </c>
      <c r="AE757" s="34">
        <f>SUMPRODUCT(DB_STProjectsSOF[[#This Row],[Plan01]:[Plan12]],$D$4:$O$4)/valUnits2</f>
        <v>60.256146999999999</v>
      </c>
      <c r="AF757" s="34">
        <f>SUMPRODUCT(DB_STProjectsSOF[[#This Row],[Act01]:[Act12]],$P$4:$AA$4)/valUnits2</f>
        <v>17.317240000000002</v>
      </c>
      <c r="AG757" s="34">
        <f>DB_STProjectsSOF[[#This Row],[Actual]]-DB_STProjectsSOF[[#This Row],[Plan]]</f>
        <v>-42.938907</v>
      </c>
      <c r="AH757" s="34">
        <f>IF(DB_STProjectsSOF[[#This Row],[Plan]]&lt;&gt;0,DB_STProjectsSOF[[#This Row],[Actual]]/DB_STProjectsSOF[[#This Row],[Plan]],1.000011000011)</f>
        <v>0.28739374922196737</v>
      </c>
      <c r="AI757" s="34">
        <f>SUM(DB_STProjectsSOF[[#This Row],[Plan01]:[Plan12]])/valUnits2</f>
        <v>130.67886100000004</v>
      </c>
      <c r="AJ757" s="34">
        <f>SUMPRODUCT(DB_STProjectsSOF[[#This Row],[Act01]:[Act12]],$P$3:$AA$3)/valUnits2</f>
        <v>17.317240000000002</v>
      </c>
      <c r="AK757" s="34">
        <f>IF(DB_STProjectsSOF[[#This Row],[FY Plan]]&lt;&gt;0,DB_STProjectsSOF[[#This Row],[FY Actuals]]/DB_STProjectsSOF[[#This Row],[FY Plan]],1.000011000011)</f>
        <v>0.13251753089583476</v>
      </c>
    </row>
    <row r="758" spans="1:37" hidden="1" x14ac:dyDescent="0.2">
      <c r="A758">
        <f>SUBTOTAL(3,$B$6:B758)</f>
        <v>0</v>
      </c>
      <c r="B758" t="s">
        <v>492</v>
      </c>
      <c r="C758" t="s">
        <v>880</v>
      </c>
      <c r="F758">
        <v>2413.0659999999998</v>
      </c>
      <c r="R758">
        <v>2383.13</v>
      </c>
      <c r="AB758" s="164">
        <v>40817</v>
      </c>
      <c r="AC758" s="164">
        <v>40967</v>
      </c>
      <c r="AD758" s="164">
        <v>40999</v>
      </c>
      <c r="AE758" s="34">
        <f>SUMPRODUCT(DB_STProjectsSOF[[#This Row],[Plan01]:[Plan12]],$D$4:$O$4)/valUnits2</f>
        <v>2.4130659999999997</v>
      </c>
      <c r="AF758" s="34">
        <f>SUMPRODUCT(DB_STProjectsSOF[[#This Row],[Act01]:[Act12]],$P$4:$AA$4)/valUnits2</f>
        <v>2.38313</v>
      </c>
      <c r="AG758" s="34">
        <f>DB_STProjectsSOF[[#This Row],[Actual]]-DB_STProjectsSOF[[#This Row],[Plan]]</f>
        <v>-2.9935999999999741E-2</v>
      </c>
      <c r="AH758" s="34">
        <f>IF(DB_STProjectsSOF[[#This Row],[Plan]]&lt;&gt;0,DB_STProjectsSOF[[#This Row],[Actual]]/DB_STProjectsSOF[[#This Row],[Plan]],1.000011000011)</f>
        <v>0.98759420587750202</v>
      </c>
      <c r="AI758" s="34">
        <f>SUM(DB_STProjectsSOF[[#This Row],[Plan01]:[Plan12]])/valUnits2</f>
        <v>2.4130659999999997</v>
      </c>
      <c r="AJ758" s="34">
        <f>SUMPRODUCT(DB_STProjectsSOF[[#This Row],[Act01]:[Act12]],$P$3:$AA$3)/valUnits2</f>
        <v>2.38313</v>
      </c>
      <c r="AK758" s="34">
        <f>IF(DB_STProjectsSOF[[#This Row],[FY Plan]]&lt;&gt;0,DB_STProjectsSOF[[#This Row],[FY Actuals]]/DB_STProjectsSOF[[#This Row],[FY Plan]],1.000011000011)</f>
        <v>0.98759420587750202</v>
      </c>
    </row>
    <row r="759" spans="1:37" hidden="1" x14ac:dyDescent="0.2">
      <c r="A759">
        <f>SUBTOTAL(3,$B$6:B759)</f>
        <v>0</v>
      </c>
      <c r="B759" t="s">
        <v>492</v>
      </c>
      <c r="C759" t="s">
        <v>884</v>
      </c>
      <c r="D759">
        <v>3583.3330000000001</v>
      </c>
      <c r="E759">
        <v>3583.3330000000001</v>
      </c>
      <c r="F759">
        <v>3583.3330000000001</v>
      </c>
      <c r="G759">
        <v>3583.3330000000001</v>
      </c>
      <c r="H759">
        <v>3583.3330000000001</v>
      </c>
      <c r="I759">
        <v>3583.3330000000001</v>
      </c>
      <c r="J759">
        <v>3583.3330000000001</v>
      </c>
      <c r="K759">
        <v>3583.3330000000001</v>
      </c>
      <c r="L759">
        <v>3583.3330000000001</v>
      </c>
      <c r="M759">
        <v>3583.3330000000001</v>
      </c>
      <c r="N759">
        <v>3583.3330000000001</v>
      </c>
      <c r="O759">
        <v>3583.3330000000001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s="164">
        <v>40909</v>
      </c>
      <c r="AC759" s="164">
        <v>41274</v>
      </c>
      <c r="AD759" s="164">
        <v>41364</v>
      </c>
      <c r="AE759" s="34">
        <f>SUMPRODUCT(DB_STProjectsSOF[[#This Row],[Plan01]:[Plan12]],$D$4:$O$4)/valUnits2</f>
        <v>21.499997999999998</v>
      </c>
      <c r="AF759" s="34">
        <f>SUMPRODUCT(DB_STProjectsSOF[[#This Row],[Act01]:[Act12]],$P$4:$AA$4)/valUnits2</f>
        <v>0</v>
      </c>
      <c r="AG759" s="34">
        <f>DB_STProjectsSOF[[#This Row],[Actual]]-DB_STProjectsSOF[[#This Row],[Plan]]</f>
        <v>-21.499997999999998</v>
      </c>
      <c r="AH759" s="34">
        <f>IF(DB_STProjectsSOF[[#This Row],[Plan]]&lt;&gt;0,DB_STProjectsSOF[[#This Row],[Actual]]/DB_STProjectsSOF[[#This Row],[Plan]],1.000011000011)</f>
        <v>0</v>
      </c>
      <c r="AI759" s="34">
        <f>SUM(DB_STProjectsSOF[[#This Row],[Plan01]:[Plan12]])/valUnits2</f>
        <v>42.999995999999989</v>
      </c>
      <c r="AJ759" s="34">
        <f>SUMPRODUCT(DB_STProjectsSOF[[#This Row],[Act01]:[Act12]],$P$3:$AA$3)/valUnits2</f>
        <v>0</v>
      </c>
      <c r="AK759" s="34">
        <f>IF(DB_STProjectsSOF[[#This Row],[FY Plan]]&lt;&gt;0,DB_STProjectsSOF[[#This Row],[FY Actuals]]/DB_STProjectsSOF[[#This Row],[FY Plan]],1.000011000011)</f>
        <v>0</v>
      </c>
    </row>
    <row r="760" spans="1:37" hidden="1" x14ac:dyDescent="0.2">
      <c r="A760">
        <f>SUBTOTAL(3,$B$6:B760)</f>
        <v>0</v>
      </c>
      <c r="B760" t="s">
        <v>492</v>
      </c>
      <c r="C760" t="s">
        <v>905</v>
      </c>
      <c r="D760">
        <v>878.56000000000006</v>
      </c>
      <c r="E760">
        <v>379.1</v>
      </c>
      <c r="F760">
        <v>664.37</v>
      </c>
      <c r="G760">
        <v>281.5</v>
      </c>
      <c r="H760">
        <v>-1741.9099999999999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878.56</v>
      </c>
      <c r="Q760">
        <v>379.1</v>
      </c>
      <c r="R760">
        <v>664.37</v>
      </c>
      <c r="S760">
        <v>281.5</v>
      </c>
      <c r="T760">
        <v>-1741.9099999999999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s="164">
        <v>40909</v>
      </c>
      <c r="AC760" s="164">
        <v>41274</v>
      </c>
      <c r="AD760" s="164">
        <v>41364</v>
      </c>
      <c r="AE760" s="34">
        <f>SUMPRODUCT(DB_STProjectsSOF[[#This Row],[Plan01]:[Plan12]],$D$4:$O$4)/valUnits2</f>
        <v>0.46162000000000036</v>
      </c>
      <c r="AF760" s="34">
        <f>SUMPRODUCT(DB_STProjectsSOF[[#This Row],[Act01]:[Act12]],$P$4:$AA$4)/valUnits2</f>
        <v>0.46161999999999986</v>
      </c>
      <c r="AG760" s="34">
        <f>DB_STProjectsSOF[[#This Row],[Actual]]-DB_STProjectsSOF[[#This Row],[Plan]]</f>
        <v>-4.9960036108132044E-16</v>
      </c>
      <c r="AH760" s="34">
        <f>IF(DB_STProjectsSOF[[#This Row],[Plan]]&lt;&gt;0,DB_STProjectsSOF[[#This Row],[Actual]]/DB_STProjectsSOF[[#This Row],[Plan]],1.000011000011)</f>
        <v>0.99999999999999889</v>
      </c>
      <c r="AI760" s="34">
        <f>SUM(DB_STProjectsSOF[[#This Row],[Plan01]:[Plan12]])/valUnits2</f>
        <v>0.46162000000000036</v>
      </c>
      <c r="AJ760" s="34">
        <f>SUMPRODUCT(DB_STProjectsSOF[[#This Row],[Act01]:[Act12]],$P$3:$AA$3)/valUnits2</f>
        <v>0.46161999999999986</v>
      </c>
      <c r="AK760" s="34">
        <f>IF(DB_STProjectsSOF[[#This Row],[FY Plan]]&lt;&gt;0,DB_STProjectsSOF[[#This Row],[FY Actuals]]/DB_STProjectsSOF[[#This Row],[FY Plan]],1.000011000011)</f>
        <v>0.99999999999999889</v>
      </c>
    </row>
    <row r="761" spans="1:37" hidden="1" x14ac:dyDescent="0.2">
      <c r="A761">
        <f>SUBTOTAL(3,$B$6:B761)</f>
        <v>0</v>
      </c>
      <c r="B761" t="s">
        <v>492</v>
      </c>
      <c r="C761" t="s">
        <v>915</v>
      </c>
      <c r="D761">
        <v>836.10100000000023</v>
      </c>
      <c r="E761">
        <v>873.02199999999891</v>
      </c>
      <c r="F761">
        <v>18501.332999999999</v>
      </c>
      <c r="G761">
        <v>826.87599999999895</v>
      </c>
      <c r="H761">
        <v>747.12899999999979</v>
      </c>
      <c r="I761">
        <v>7672.5240000000013</v>
      </c>
      <c r="J761">
        <v>8417.6970000000001</v>
      </c>
      <c r="K761">
        <v>9825.1029999999973</v>
      </c>
      <c r="L761">
        <v>8540.9849999999969</v>
      </c>
      <c r="M761">
        <v>8356.2069999999985</v>
      </c>
      <c r="N761">
        <v>8193.5389999999989</v>
      </c>
      <c r="O761">
        <v>7732.37</v>
      </c>
      <c r="P761">
        <v>840.48000000000047</v>
      </c>
      <c r="Q761">
        <v>894.10000000000161</v>
      </c>
      <c r="R761">
        <v>18327.32</v>
      </c>
      <c r="S761">
        <v>812.45000000000027</v>
      </c>
      <c r="T761">
        <v>755.46000000000163</v>
      </c>
      <c r="U761">
        <v>8135.7799999999988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s="164">
        <v>41061</v>
      </c>
      <c r="AC761" s="164">
        <v>42155</v>
      </c>
      <c r="AD761" s="164">
        <v>42185</v>
      </c>
      <c r="AE761" s="34">
        <f>SUMPRODUCT(DB_STProjectsSOF[[#This Row],[Plan01]:[Plan12]],$D$4:$O$4)/valUnits2</f>
        <v>29.456985</v>
      </c>
      <c r="AF761" s="34">
        <f>SUMPRODUCT(DB_STProjectsSOF[[#This Row],[Act01]:[Act12]],$P$4:$AA$4)/valUnits2</f>
        <v>29.765590000000003</v>
      </c>
      <c r="AG761" s="34">
        <f>DB_STProjectsSOF[[#This Row],[Actual]]-DB_STProjectsSOF[[#This Row],[Plan]]</f>
        <v>0.30860500000000357</v>
      </c>
      <c r="AH761" s="34">
        <f>IF(DB_STProjectsSOF[[#This Row],[Plan]]&lt;&gt;0,DB_STProjectsSOF[[#This Row],[Actual]]/DB_STProjectsSOF[[#This Row],[Plan]],1.000011000011)</f>
        <v>1.010476462543604</v>
      </c>
      <c r="AI761" s="34">
        <f>SUM(DB_STProjectsSOF[[#This Row],[Plan01]:[Plan12]])/valUnits2</f>
        <v>80.522885999999986</v>
      </c>
      <c r="AJ761" s="34">
        <f>SUMPRODUCT(DB_STProjectsSOF[[#This Row],[Act01]:[Act12]],$P$3:$AA$3)/valUnits2</f>
        <v>29.765590000000003</v>
      </c>
      <c r="AK761" s="34">
        <f>IF(DB_STProjectsSOF[[#This Row],[FY Plan]]&lt;&gt;0,DB_STProjectsSOF[[#This Row],[FY Actuals]]/DB_STProjectsSOF[[#This Row],[FY Plan]],1.000011000011)</f>
        <v>0.36965379010384708</v>
      </c>
    </row>
    <row r="762" spans="1:37" hidden="1" x14ac:dyDescent="0.2">
      <c r="A762">
        <f>SUBTOTAL(3,$B$6:B762)</f>
        <v>0</v>
      </c>
      <c r="B762" t="s">
        <v>492</v>
      </c>
      <c r="C762" t="s">
        <v>927</v>
      </c>
      <c r="D762">
        <v>421561.88</v>
      </c>
      <c r="E762">
        <v>77134.140000000014</v>
      </c>
      <c r="F762">
        <v>51545.089999999982</v>
      </c>
      <c r="G762">
        <v>84373.52</v>
      </c>
      <c r="H762">
        <v>301200.41000000003</v>
      </c>
      <c r="I762">
        <v>252451.99900000001</v>
      </c>
      <c r="J762">
        <v>144687.666</v>
      </c>
      <c r="K762">
        <v>144687.666</v>
      </c>
      <c r="L762">
        <v>144687.666</v>
      </c>
      <c r="M762">
        <v>144687.666</v>
      </c>
      <c r="N762">
        <v>144687.666</v>
      </c>
      <c r="O762">
        <v>144687.666</v>
      </c>
      <c r="P762">
        <v>421561.88000000006</v>
      </c>
      <c r="Q762">
        <v>77197.39</v>
      </c>
      <c r="R762">
        <v>51545.090000000011</v>
      </c>
      <c r="S762">
        <v>84373.520000000033</v>
      </c>
      <c r="T762">
        <v>301200.41000000003</v>
      </c>
      <c r="U762">
        <v>136076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s="164">
        <v>40817</v>
      </c>
      <c r="AC762" s="164">
        <v>42052</v>
      </c>
      <c r="AD762" s="164">
        <v>42141</v>
      </c>
      <c r="AE762" s="34">
        <f>SUMPRODUCT(DB_STProjectsSOF[[#This Row],[Plan01]:[Plan12]],$D$4:$O$4)/valUnits2</f>
        <v>1188.2670390000001</v>
      </c>
      <c r="AF762" s="34">
        <f>SUMPRODUCT(DB_STProjectsSOF[[#This Row],[Act01]:[Act12]],$P$4:$AA$4)/valUnits2</f>
        <v>1071.9542900000001</v>
      </c>
      <c r="AG762" s="34">
        <f>DB_STProjectsSOF[[#This Row],[Actual]]-DB_STProjectsSOF[[#This Row],[Plan]]</f>
        <v>-116.31274899999994</v>
      </c>
      <c r="AH762" s="34">
        <f>IF(DB_STProjectsSOF[[#This Row],[Plan]]&lt;&gt;0,DB_STProjectsSOF[[#This Row],[Actual]]/DB_STProjectsSOF[[#This Row],[Plan]],1.000011000011)</f>
        <v>0.90211564809717837</v>
      </c>
      <c r="AI762" s="34">
        <f>SUM(DB_STProjectsSOF[[#This Row],[Plan01]:[Plan12]])/valUnits2</f>
        <v>2056.3930350000001</v>
      </c>
      <c r="AJ762" s="34">
        <f>SUMPRODUCT(DB_STProjectsSOF[[#This Row],[Act01]:[Act12]],$P$3:$AA$3)/valUnits2</f>
        <v>1071.9542900000001</v>
      </c>
      <c r="AK762" s="34">
        <f>IF(DB_STProjectsSOF[[#This Row],[FY Plan]]&lt;&gt;0,DB_STProjectsSOF[[#This Row],[FY Actuals]]/DB_STProjectsSOF[[#This Row],[FY Plan]],1.000011000011)</f>
        <v>0.52127889550063566</v>
      </c>
    </row>
    <row r="763" spans="1:37" hidden="1" x14ac:dyDescent="0.2">
      <c r="A763">
        <f>SUBTOTAL(3,$B$6:B763)</f>
        <v>0</v>
      </c>
      <c r="B763" t="s">
        <v>493</v>
      </c>
      <c r="C763" t="s">
        <v>858</v>
      </c>
      <c r="D763">
        <v>0</v>
      </c>
      <c r="E763">
        <v>0</v>
      </c>
      <c r="F763">
        <v>0</v>
      </c>
      <c r="G763">
        <v>0</v>
      </c>
      <c r="H763">
        <v>114.91</v>
      </c>
      <c r="I763">
        <v>350</v>
      </c>
      <c r="J763">
        <v>350</v>
      </c>
      <c r="K763">
        <v>350</v>
      </c>
      <c r="L763">
        <v>350</v>
      </c>
      <c r="M763">
        <v>350</v>
      </c>
      <c r="N763">
        <v>350</v>
      </c>
      <c r="O763">
        <v>350</v>
      </c>
      <c r="P763">
        <v>0</v>
      </c>
      <c r="Q763">
        <v>0</v>
      </c>
      <c r="R763">
        <v>0</v>
      </c>
      <c r="S763">
        <v>0</v>
      </c>
      <c r="T763">
        <v>114.91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s="164">
        <v>41275</v>
      </c>
      <c r="AC763" s="164">
        <v>41639</v>
      </c>
      <c r="AD763" s="164">
        <v>41784</v>
      </c>
      <c r="AE763" s="34">
        <f>SUMPRODUCT(DB_STProjectsSOF[[#This Row],[Plan01]:[Plan12]],$D$4:$O$4)/valUnits2</f>
        <v>0.46490999999999999</v>
      </c>
      <c r="AF763" s="34">
        <f>SUMPRODUCT(DB_STProjectsSOF[[#This Row],[Act01]:[Act12]],$P$4:$AA$4)/valUnits2</f>
        <v>0.11491</v>
      </c>
      <c r="AG763" s="34">
        <f>DB_STProjectsSOF[[#This Row],[Actual]]-DB_STProjectsSOF[[#This Row],[Plan]]</f>
        <v>-0.35</v>
      </c>
      <c r="AH763" s="34">
        <f>IF(DB_STProjectsSOF[[#This Row],[Plan]]&lt;&gt;0,DB_STProjectsSOF[[#This Row],[Actual]]/DB_STProjectsSOF[[#This Row],[Plan]],1.000011000011)</f>
        <v>0.24716611817340992</v>
      </c>
      <c r="AI763" s="34">
        <f>SUM(DB_STProjectsSOF[[#This Row],[Plan01]:[Plan12]])/valUnits2</f>
        <v>2.5649099999999998</v>
      </c>
      <c r="AJ763" s="34">
        <f>SUMPRODUCT(DB_STProjectsSOF[[#This Row],[Act01]:[Act12]],$P$3:$AA$3)/valUnits2</f>
        <v>0.11491</v>
      </c>
      <c r="AK763" s="34">
        <f>IF(DB_STProjectsSOF[[#This Row],[FY Plan]]&lt;&gt;0,DB_STProjectsSOF[[#This Row],[FY Actuals]]/DB_STProjectsSOF[[#This Row],[FY Plan]],1.000011000011)</f>
        <v>4.4800792230526611E-2</v>
      </c>
    </row>
    <row r="764" spans="1:37" hidden="1" x14ac:dyDescent="0.2">
      <c r="A764">
        <f>SUBTOTAL(3,$B$6:B764)</f>
        <v>0</v>
      </c>
      <c r="B764" t="s">
        <v>494</v>
      </c>
      <c r="C764" t="s">
        <v>841</v>
      </c>
      <c r="D764">
        <v>242.49</v>
      </c>
      <c r="E764">
        <v>3022.9</v>
      </c>
      <c r="F764">
        <v>2635.7200000000003</v>
      </c>
      <c r="G764">
        <v>1532.2499999999998</v>
      </c>
      <c r="H764">
        <v>1635.31</v>
      </c>
      <c r="P764">
        <v>242.49</v>
      </c>
      <c r="Q764">
        <v>3022.9</v>
      </c>
      <c r="R764">
        <v>2635.7200000000003</v>
      </c>
      <c r="S764">
        <v>1532.2499999999998</v>
      </c>
      <c r="T764">
        <v>1635.31</v>
      </c>
      <c r="AB764" s="164">
        <v>40817</v>
      </c>
      <c r="AC764" s="164">
        <v>41364</v>
      </c>
      <c r="AD764" s="164">
        <v>41394</v>
      </c>
      <c r="AE764" s="34">
        <f>SUMPRODUCT(DB_STProjectsSOF[[#This Row],[Plan01]:[Plan12]],$D$4:$O$4)/valUnits2</f>
        <v>9.0686700000000009</v>
      </c>
      <c r="AF764" s="34">
        <f>SUMPRODUCT(DB_STProjectsSOF[[#This Row],[Act01]:[Act12]],$P$4:$AA$4)/valUnits2</f>
        <v>9.0686700000000009</v>
      </c>
      <c r="AG764" s="34">
        <f>DB_STProjectsSOF[[#This Row],[Actual]]-DB_STProjectsSOF[[#This Row],[Plan]]</f>
        <v>0</v>
      </c>
      <c r="AH764" s="34">
        <f>IF(DB_STProjectsSOF[[#This Row],[Plan]]&lt;&gt;0,DB_STProjectsSOF[[#This Row],[Actual]]/DB_STProjectsSOF[[#This Row],[Plan]],1.000011000011)</f>
        <v>1</v>
      </c>
      <c r="AI764" s="34">
        <f>SUM(DB_STProjectsSOF[[#This Row],[Plan01]:[Plan12]])/valUnits2</f>
        <v>9.0686700000000009</v>
      </c>
      <c r="AJ764" s="34">
        <f>SUMPRODUCT(DB_STProjectsSOF[[#This Row],[Act01]:[Act12]],$P$3:$AA$3)/valUnits2</f>
        <v>9.0686700000000009</v>
      </c>
      <c r="AK764" s="34">
        <f>IF(DB_STProjectsSOF[[#This Row],[FY Plan]]&lt;&gt;0,DB_STProjectsSOF[[#This Row],[FY Actuals]]/DB_STProjectsSOF[[#This Row],[FY Plan]],1.000011000011)</f>
        <v>1</v>
      </c>
    </row>
    <row r="765" spans="1:37" hidden="1" x14ac:dyDescent="0.2">
      <c r="A765">
        <f>SUBTOTAL(3,$B$6:B765)</f>
        <v>0</v>
      </c>
      <c r="B765" t="s">
        <v>494</v>
      </c>
      <c r="C765" t="s">
        <v>858</v>
      </c>
      <c r="D765">
        <v>8409.89</v>
      </c>
      <c r="E765">
        <v>10451.390000000001</v>
      </c>
      <c r="F765">
        <v>14874.890000000003</v>
      </c>
      <c r="G765">
        <v>21709.649999999998</v>
      </c>
      <c r="H765">
        <v>16403.12</v>
      </c>
      <c r="I765">
        <v>45556.940999999999</v>
      </c>
      <c r="J765">
        <v>70823.607000000004</v>
      </c>
      <c r="K765">
        <v>49038.190999999999</v>
      </c>
      <c r="L765">
        <v>47156.940999999999</v>
      </c>
      <c r="M765">
        <v>83535.987999999998</v>
      </c>
      <c r="N765">
        <v>43556.940999999999</v>
      </c>
      <c r="O765">
        <v>87092.271000000008</v>
      </c>
      <c r="P765">
        <v>8409.89</v>
      </c>
      <c r="Q765">
        <v>10451.390000000001</v>
      </c>
      <c r="R765">
        <v>14874.890000000007</v>
      </c>
      <c r="S765">
        <v>21763.360000000004</v>
      </c>
      <c r="T765">
        <v>16463.439999999999</v>
      </c>
      <c r="U765">
        <v>62406.180000000015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s="164">
        <v>41275</v>
      </c>
      <c r="AC765" s="164">
        <v>41639</v>
      </c>
      <c r="AD765" s="164">
        <v>41784</v>
      </c>
      <c r="AE765" s="34">
        <f>SUMPRODUCT(DB_STProjectsSOF[[#This Row],[Plan01]:[Plan12]],$D$4:$O$4)/valUnits2</f>
        <v>117.40588099999999</v>
      </c>
      <c r="AF765" s="34">
        <f>SUMPRODUCT(DB_STProjectsSOF[[#This Row],[Act01]:[Act12]],$P$4:$AA$4)/valUnits2</f>
        <v>134.36915000000002</v>
      </c>
      <c r="AG765" s="34">
        <f>DB_STProjectsSOF[[#This Row],[Actual]]-DB_STProjectsSOF[[#This Row],[Plan]]</f>
        <v>16.963269000000025</v>
      </c>
      <c r="AH765" s="34">
        <f>IF(DB_STProjectsSOF[[#This Row],[Plan]]&lt;&gt;0,DB_STProjectsSOF[[#This Row],[Actual]]/DB_STProjectsSOF[[#This Row],[Plan]],1.000011000011)</f>
        <v>1.1444839803212246</v>
      </c>
      <c r="AI765" s="34">
        <f>SUM(DB_STProjectsSOF[[#This Row],[Plan01]:[Plan12]])/valUnits2</f>
        <v>498.60982000000001</v>
      </c>
      <c r="AJ765" s="34">
        <f>SUMPRODUCT(DB_STProjectsSOF[[#This Row],[Act01]:[Act12]],$P$3:$AA$3)/valUnits2</f>
        <v>134.36915000000002</v>
      </c>
      <c r="AK765" s="34">
        <f>IF(DB_STProjectsSOF[[#This Row],[FY Plan]]&lt;&gt;0,DB_STProjectsSOF[[#This Row],[FY Actuals]]/DB_STProjectsSOF[[#This Row],[FY Plan]],1.000011000011)</f>
        <v>0.26948757246698435</v>
      </c>
    </row>
    <row r="766" spans="1:37" hidden="1" x14ac:dyDescent="0.2">
      <c r="A766">
        <f>SUBTOTAL(3,$B$6:B766)</f>
        <v>0</v>
      </c>
      <c r="B766" t="s">
        <v>494</v>
      </c>
      <c r="C766" t="s">
        <v>905</v>
      </c>
      <c r="D766">
        <v>1378.1100000000001</v>
      </c>
      <c r="E766">
        <v>0</v>
      </c>
      <c r="F766">
        <v>2268.04</v>
      </c>
      <c r="G766">
        <v>281.51</v>
      </c>
      <c r="H766">
        <v>-3271.72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1378.1100000000001</v>
      </c>
      <c r="Q766">
        <v>0</v>
      </c>
      <c r="R766">
        <v>2268.04</v>
      </c>
      <c r="S766">
        <v>281.51</v>
      </c>
      <c r="T766">
        <v>-3271.72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s="164">
        <v>40909</v>
      </c>
      <c r="AC766" s="164">
        <v>41274</v>
      </c>
      <c r="AD766" s="164">
        <v>41364</v>
      </c>
      <c r="AE766" s="34">
        <f>SUMPRODUCT(DB_STProjectsSOF[[#This Row],[Plan01]:[Plan12]],$D$4:$O$4)/valUnits2</f>
        <v>0.65594000000000008</v>
      </c>
      <c r="AF766" s="34">
        <f>SUMPRODUCT(DB_STProjectsSOF[[#This Row],[Act01]:[Act12]],$P$4:$AA$4)/valUnits2</f>
        <v>0.65594000000000008</v>
      </c>
      <c r="AG766" s="34">
        <f>DB_STProjectsSOF[[#This Row],[Actual]]-DB_STProjectsSOF[[#This Row],[Plan]]</f>
        <v>0</v>
      </c>
      <c r="AH766" s="34">
        <f>IF(DB_STProjectsSOF[[#This Row],[Plan]]&lt;&gt;0,DB_STProjectsSOF[[#This Row],[Actual]]/DB_STProjectsSOF[[#This Row],[Plan]],1.000011000011)</f>
        <v>1</v>
      </c>
      <c r="AI766" s="34">
        <f>SUM(DB_STProjectsSOF[[#This Row],[Plan01]:[Plan12]])/valUnits2</f>
        <v>0.65594000000000008</v>
      </c>
      <c r="AJ766" s="34">
        <f>SUMPRODUCT(DB_STProjectsSOF[[#This Row],[Act01]:[Act12]],$P$3:$AA$3)/valUnits2</f>
        <v>0.65594000000000008</v>
      </c>
      <c r="AK766" s="34">
        <f>IF(DB_STProjectsSOF[[#This Row],[FY Plan]]&lt;&gt;0,DB_STProjectsSOF[[#This Row],[FY Actuals]]/DB_STProjectsSOF[[#This Row],[FY Plan]],1.000011000011)</f>
        <v>1</v>
      </c>
    </row>
    <row r="767" spans="1:37" hidden="1" x14ac:dyDescent="0.2">
      <c r="A767">
        <f>SUBTOTAL(3,$B$6:B767)</f>
        <v>0</v>
      </c>
      <c r="B767" t="s">
        <v>494</v>
      </c>
      <c r="C767" t="s">
        <v>927</v>
      </c>
      <c r="D767">
        <v>1903.01</v>
      </c>
      <c r="E767">
        <v>2075.96</v>
      </c>
      <c r="F767">
        <v>1963.66</v>
      </c>
      <c r="G767">
        <v>1983.36</v>
      </c>
      <c r="H767">
        <v>2249.69</v>
      </c>
      <c r="I767">
        <v>0</v>
      </c>
      <c r="P767">
        <v>1903.01</v>
      </c>
      <c r="Q767">
        <v>2075.96</v>
      </c>
      <c r="R767">
        <v>1963.66</v>
      </c>
      <c r="S767">
        <v>1983.36</v>
      </c>
      <c r="T767">
        <v>2249.69</v>
      </c>
      <c r="U767">
        <v>3200.6400000000003</v>
      </c>
      <c r="AB767" s="164">
        <v>40817</v>
      </c>
      <c r="AC767" s="164">
        <v>42052</v>
      </c>
      <c r="AD767" s="164">
        <v>42141</v>
      </c>
      <c r="AE767" s="34">
        <f>SUMPRODUCT(DB_STProjectsSOF[[#This Row],[Plan01]:[Plan12]],$D$4:$O$4)/valUnits2</f>
        <v>10.17568</v>
      </c>
      <c r="AF767" s="34">
        <f>SUMPRODUCT(DB_STProjectsSOF[[#This Row],[Act01]:[Act12]],$P$4:$AA$4)/valUnits2</f>
        <v>13.37632</v>
      </c>
      <c r="AG767" s="34">
        <f>DB_STProjectsSOF[[#This Row],[Actual]]-DB_STProjectsSOF[[#This Row],[Plan]]</f>
        <v>3.2006399999999999</v>
      </c>
      <c r="AH767" s="34">
        <f>IF(DB_STProjectsSOF[[#This Row],[Plan]]&lt;&gt;0,DB_STProjectsSOF[[#This Row],[Actual]]/DB_STProjectsSOF[[#This Row],[Plan]],1.000011000011)</f>
        <v>1.3145381930249378</v>
      </c>
      <c r="AI767" s="34">
        <f>SUM(DB_STProjectsSOF[[#This Row],[Plan01]:[Plan12]])/valUnits2</f>
        <v>10.17568</v>
      </c>
      <c r="AJ767" s="34">
        <f>SUMPRODUCT(DB_STProjectsSOF[[#This Row],[Act01]:[Act12]],$P$3:$AA$3)/valUnits2</f>
        <v>13.37632</v>
      </c>
      <c r="AK767" s="34">
        <f>IF(DB_STProjectsSOF[[#This Row],[FY Plan]]&lt;&gt;0,DB_STProjectsSOF[[#This Row],[FY Actuals]]/DB_STProjectsSOF[[#This Row],[FY Plan]],1.000011000011)</f>
        <v>1.3145381930249378</v>
      </c>
    </row>
    <row r="768" spans="1:37" hidden="1" x14ac:dyDescent="0.2">
      <c r="A768">
        <f>SUBTOTAL(3,$B$6:B768)</f>
        <v>0</v>
      </c>
      <c r="B768" t="s">
        <v>495</v>
      </c>
      <c r="C768" t="s">
        <v>842</v>
      </c>
      <c r="G768">
        <v>738.07400000000007</v>
      </c>
      <c r="H768">
        <v>577.58100000000002</v>
      </c>
      <c r="I768">
        <v>0</v>
      </c>
      <c r="J768">
        <v>0</v>
      </c>
      <c r="S768">
        <v>734.22</v>
      </c>
      <c r="T768">
        <v>570.83000000000004</v>
      </c>
      <c r="U768">
        <v>654.99</v>
      </c>
      <c r="V768">
        <v>3097</v>
      </c>
      <c r="AB768" s="164">
        <v>41214</v>
      </c>
      <c r="AC768" s="164">
        <v>42308</v>
      </c>
      <c r="AD768" s="164">
        <v>42389</v>
      </c>
      <c r="AE768" s="34">
        <f>SUMPRODUCT(DB_STProjectsSOF[[#This Row],[Plan01]:[Plan12]],$D$4:$O$4)/valUnits2</f>
        <v>1.3156550000000002</v>
      </c>
      <c r="AF768" s="34">
        <f>SUMPRODUCT(DB_STProjectsSOF[[#This Row],[Act01]:[Act12]],$P$4:$AA$4)/valUnits2</f>
        <v>1.9600400000000002</v>
      </c>
      <c r="AG768" s="34">
        <f>DB_STProjectsSOF[[#This Row],[Actual]]-DB_STProjectsSOF[[#This Row],[Plan]]</f>
        <v>0.64438499999999999</v>
      </c>
      <c r="AH768" s="34">
        <f>IF(DB_STProjectsSOF[[#This Row],[Plan]]&lt;&gt;0,DB_STProjectsSOF[[#This Row],[Actual]]/DB_STProjectsSOF[[#This Row],[Plan]],1.000011000011)</f>
        <v>1.4897826557874214</v>
      </c>
      <c r="AI768" s="34">
        <f>SUM(DB_STProjectsSOF[[#This Row],[Plan01]:[Plan12]])/valUnits2</f>
        <v>1.3156550000000002</v>
      </c>
      <c r="AJ768" s="34">
        <f>SUMPRODUCT(DB_STProjectsSOF[[#This Row],[Act01]:[Act12]],$P$3:$AA$3)/valUnits2</f>
        <v>1.9600400000000002</v>
      </c>
      <c r="AK768" s="34">
        <f>IF(DB_STProjectsSOF[[#This Row],[FY Plan]]&lt;&gt;0,DB_STProjectsSOF[[#This Row],[FY Actuals]]/DB_STProjectsSOF[[#This Row],[FY Plan]],1.000011000011)</f>
        <v>1.4897826557874214</v>
      </c>
    </row>
    <row r="769" spans="1:37" hidden="1" x14ac:dyDescent="0.2">
      <c r="A769">
        <f>SUBTOTAL(3,$B$6:B769)</f>
        <v>0</v>
      </c>
      <c r="B769" t="s">
        <v>495</v>
      </c>
      <c r="C769" t="s">
        <v>853</v>
      </c>
      <c r="I769">
        <v>0</v>
      </c>
      <c r="U769">
        <v>114.30000000000001</v>
      </c>
      <c r="AB769" s="164">
        <v>41275</v>
      </c>
      <c r="AC769" s="164">
        <v>41639</v>
      </c>
      <c r="AD769" s="164">
        <v>41669</v>
      </c>
      <c r="AE769" s="34">
        <f>SUMPRODUCT(DB_STProjectsSOF[[#This Row],[Plan01]:[Plan12]],$D$4:$O$4)/valUnits2</f>
        <v>0</v>
      </c>
      <c r="AF769" s="34">
        <f>SUMPRODUCT(DB_STProjectsSOF[[#This Row],[Act01]:[Act12]],$P$4:$AA$4)/valUnits2</f>
        <v>0.11430000000000001</v>
      </c>
      <c r="AG769" s="34">
        <f>DB_STProjectsSOF[[#This Row],[Actual]]-DB_STProjectsSOF[[#This Row],[Plan]]</f>
        <v>0.11430000000000001</v>
      </c>
      <c r="AH769" s="34">
        <f>IF(DB_STProjectsSOF[[#This Row],[Plan]]&lt;&gt;0,DB_STProjectsSOF[[#This Row],[Actual]]/DB_STProjectsSOF[[#This Row],[Plan]],1.000011000011)</f>
        <v>1.0000110000110001</v>
      </c>
      <c r="AI769" s="34">
        <f>SUM(DB_STProjectsSOF[[#This Row],[Plan01]:[Plan12]])/valUnits2</f>
        <v>0</v>
      </c>
      <c r="AJ769" s="34">
        <f>SUMPRODUCT(DB_STProjectsSOF[[#This Row],[Act01]:[Act12]],$P$3:$AA$3)/valUnits2</f>
        <v>0.11430000000000001</v>
      </c>
      <c r="AK769" s="34">
        <f>IF(DB_STProjectsSOF[[#This Row],[FY Plan]]&lt;&gt;0,DB_STProjectsSOF[[#This Row],[FY Actuals]]/DB_STProjectsSOF[[#This Row],[FY Plan]],1.000011000011)</f>
        <v>1.0000110000110001</v>
      </c>
    </row>
    <row r="770" spans="1:37" hidden="1" x14ac:dyDescent="0.2">
      <c r="A770">
        <f>SUBTOTAL(3,$B$6:B770)</f>
        <v>0</v>
      </c>
      <c r="B770" t="s">
        <v>495</v>
      </c>
      <c r="C770" t="s">
        <v>855</v>
      </c>
      <c r="E770">
        <v>0</v>
      </c>
      <c r="F770">
        <v>0</v>
      </c>
      <c r="G770">
        <v>0</v>
      </c>
      <c r="H770">
        <v>0</v>
      </c>
      <c r="I770">
        <v>83.475999999999999</v>
      </c>
      <c r="J770">
        <v>83.475999999999999</v>
      </c>
      <c r="K770">
        <v>83.475999999999999</v>
      </c>
      <c r="L770">
        <v>83.475999999999999</v>
      </c>
      <c r="M770">
        <v>83.475999999999999</v>
      </c>
      <c r="N770">
        <v>83.475999999999999</v>
      </c>
      <c r="O770">
        <v>83.475999999999999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s="164">
        <v>40817</v>
      </c>
      <c r="AC770" s="164">
        <v>41759</v>
      </c>
      <c r="AD770" s="164">
        <v>41820</v>
      </c>
      <c r="AE770" s="34">
        <f>SUMPRODUCT(DB_STProjectsSOF[[#This Row],[Plan01]:[Plan12]],$D$4:$O$4)/valUnits2</f>
        <v>8.3475999999999995E-2</v>
      </c>
      <c r="AF770" s="34">
        <f>SUMPRODUCT(DB_STProjectsSOF[[#This Row],[Act01]:[Act12]],$P$4:$AA$4)/valUnits2</f>
        <v>0</v>
      </c>
      <c r="AG770" s="34">
        <f>DB_STProjectsSOF[[#This Row],[Actual]]-DB_STProjectsSOF[[#This Row],[Plan]]</f>
        <v>-8.3475999999999995E-2</v>
      </c>
      <c r="AH770" s="34">
        <f>IF(DB_STProjectsSOF[[#This Row],[Plan]]&lt;&gt;0,DB_STProjectsSOF[[#This Row],[Actual]]/DB_STProjectsSOF[[#This Row],[Plan]],1.000011000011)</f>
        <v>0</v>
      </c>
      <c r="AI770" s="34">
        <f>SUM(DB_STProjectsSOF[[#This Row],[Plan01]:[Plan12]])/valUnits2</f>
        <v>0.58433199999999996</v>
      </c>
      <c r="AJ770" s="34">
        <f>SUMPRODUCT(DB_STProjectsSOF[[#This Row],[Act01]:[Act12]],$P$3:$AA$3)/valUnits2</f>
        <v>0</v>
      </c>
      <c r="AK770" s="34">
        <f>IF(DB_STProjectsSOF[[#This Row],[FY Plan]]&lt;&gt;0,DB_STProjectsSOF[[#This Row],[FY Actuals]]/DB_STProjectsSOF[[#This Row],[FY Plan]],1.000011000011)</f>
        <v>0</v>
      </c>
    </row>
    <row r="771" spans="1:37" hidden="1" x14ac:dyDescent="0.2">
      <c r="A771">
        <f>SUBTOTAL(3,$B$6:B771)</f>
        <v>0</v>
      </c>
      <c r="B771" t="s">
        <v>495</v>
      </c>
      <c r="C771" t="s">
        <v>856</v>
      </c>
      <c r="D771">
        <v>3115</v>
      </c>
      <c r="E771">
        <v>4194.2800000000007</v>
      </c>
      <c r="F771">
        <v>3977.125</v>
      </c>
      <c r="G771">
        <v>4253.5309999999999</v>
      </c>
      <c r="H771">
        <v>3771.3410000000003</v>
      </c>
      <c r="I771">
        <v>3115</v>
      </c>
      <c r="J771">
        <v>3115</v>
      </c>
      <c r="K771">
        <v>3115</v>
      </c>
      <c r="L771">
        <v>3115</v>
      </c>
      <c r="M771">
        <v>3115</v>
      </c>
      <c r="N771">
        <v>3115</v>
      </c>
      <c r="O771">
        <v>3115</v>
      </c>
      <c r="P771">
        <v>0</v>
      </c>
      <c r="Q771">
        <v>1079.28</v>
      </c>
      <c r="R771">
        <v>861.25</v>
      </c>
      <c r="S771">
        <v>1121.6300000000001</v>
      </c>
      <c r="T771">
        <v>655.88000000000011</v>
      </c>
      <c r="U771">
        <v>657.1400000000001</v>
      </c>
      <c r="V771">
        <v>3098</v>
      </c>
      <c r="W771">
        <v>0</v>
      </c>
      <c r="X771">
        <v>0</v>
      </c>
      <c r="Y771">
        <v>0</v>
      </c>
      <c r="Z771">
        <v>0</v>
      </c>
      <c r="AA771">
        <v>0</v>
      </c>
      <c r="AB771" s="164">
        <v>40817</v>
      </c>
      <c r="AC771" s="164">
        <v>42338</v>
      </c>
      <c r="AD771" s="164">
        <v>42490</v>
      </c>
      <c r="AE771" s="34">
        <f>SUMPRODUCT(DB_STProjectsSOF[[#This Row],[Plan01]:[Plan12]],$D$4:$O$4)/valUnits2</f>
        <v>22.426277000000002</v>
      </c>
      <c r="AF771" s="34">
        <f>SUMPRODUCT(DB_STProjectsSOF[[#This Row],[Act01]:[Act12]],$P$4:$AA$4)/valUnits2</f>
        <v>4.3751800000000003</v>
      </c>
      <c r="AG771" s="34">
        <f>DB_STProjectsSOF[[#This Row],[Actual]]-DB_STProjectsSOF[[#This Row],[Plan]]</f>
        <v>-18.051097000000002</v>
      </c>
      <c r="AH771" s="34">
        <f>IF(DB_STProjectsSOF[[#This Row],[Plan]]&lt;&gt;0,DB_STProjectsSOF[[#This Row],[Actual]]/DB_STProjectsSOF[[#This Row],[Plan]],1.000011000011)</f>
        <v>0.19509167749956891</v>
      </c>
      <c r="AI771" s="34">
        <f>SUM(DB_STProjectsSOF[[#This Row],[Plan01]:[Plan12]])/valUnits2</f>
        <v>41.116277000000004</v>
      </c>
      <c r="AJ771" s="34">
        <f>SUMPRODUCT(DB_STProjectsSOF[[#This Row],[Act01]:[Act12]],$P$3:$AA$3)/valUnits2</f>
        <v>4.3751800000000003</v>
      </c>
      <c r="AK771" s="34">
        <f>IF(DB_STProjectsSOF[[#This Row],[FY Plan]]&lt;&gt;0,DB_STProjectsSOF[[#This Row],[FY Actuals]]/DB_STProjectsSOF[[#This Row],[FY Plan]],1.000011000011)</f>
        <v>0.10640992617108791</v>
      </c>
    </row>
    <row r="772" spans="1:37" hidden="1" x14ac:dyDescent="0.2">
      <c r="A772">
        <f>SUBTOTAL(3,$B$6:B772)</f>
        <v>0</v>
      </c>
      <c r="B772" t="s">
        <v>495</v>
      </c>
      <c r="C772" t="s">
        <v>858</v>
      </c>
      <c r="D772">
        <v>24075.5</v>
      </c>
      <c r="E772">
        <v>7633.55</v>
      </c>
      <c r="F772">
        <v>-19528.5</v>
      </c>
      <c r="G772">
        <v>5622.11</v>
      </c>
      <c r="H772">
        <v>3470.76</v>
      </c>
      <c r="I772">
        <v>2401.951</v>
      </c>
      <c r="J772">
        <v>2401.951</v>
      </c>
      <c r="K772">
        <v>2401.951</v>
      </c>
      <c r="L772">
        <v>2401.951</v>
      </c>
      <c r="M772">
        <v>2401.951</v>
      </c>
      <c r="N772">
        <v>2401.951</v>
      </c>
      <c r="O772">
        <v>2401.951</v>
      </c>
      <c r="P772">
        <v>24075.5</v>
      </c>
      <c r="Q772">
        <v>7633.5499999999993</v>
      </c>
      <c r="R772">
        <v>-19528.5</v>
      </c>
      <c r="S772">
        <v>5622.1100000000006</v>
      </c>
      <c r="T772">
        <v>3470.76</v>
      </c>
      <c r="U772">
        <v>3477.57</v>
      </c>
      <c r="V772">
        <v>16391</v>
      </c>
      <c r="W772">
        <v>0</v>
      </c>
      <c r="X772">
        <v>0</v>
      </c>
      <c r="Y772">
        <v>0</v>
      </c>
      <c r="Z772">
        <v>0</v>
      </c>
      <c r="AA772">
        <v>0</v>
      </c>
      <c r="AB772" s="164">
        <v>41275</v>
      </c>
      <c r="AC772" s="164">
        <v>41639</v>
      </c>
      <c r="AD772" s="164">
        <v>41784</v>
      </c>
      <c r="AE772" s="34">
        <f>SUMPRODUCT(DB_STProjectsSOF[[#This Row],[Plan01]:[Plan12]],$D$4:$O$4)/valUnits2</f>
        <v>23.675370999999998</v>
      </c>
      <c r="AF772" s="34">
        <f>SUMPRODUCT(DB_STProjectsSOF[[#This Row],[Act01]:[Act12]],$P$4:$AA$4)/valUnits2</f>
        <v>24.750989999999998</v>
      </c>
      <c r="AG772" s="34">
        <f>DB_STProjectsSOF[[#This Row],[Actual]]-DB_STProjectsSOF[[#This Row],[Plan]]</f>
        <v>1.0756189999999997</v>
      </c>
      <c r="AH772" s="34">
        <f>IF(DB_STProjectsSOF[[#This Row],[Plan]]&lt;&gt;0,DB_STProjectsSOF[[#This Row],[Actual]]/DB_STProjectsSOF[[#This Row],[Plan]],1.000011000011)</f>
        <v>1.0454319807702275</v>
      </c>
      <c r="AI772" s="34">
        <f>SUM(DB_STProjectsSOF[[#This Row],[Plan01]:[Plan12]])/valUnits2</f>
        <v>38.087077000000008</v>
      </c>
      <c r="AJ772" s="34">
        <f>SUMPRODUCT(DB_STProjectsSOF[[#This Row],[Act01]:[Act12]],$P$3:$AA$3)/valUnits2</f>
        <v>24.750989999999998</v>
      </c>
      <c r="AK772" s="34">
        <f>IF(DB_STProjectsSOF[[#This Row],[FY Plan]]&lt;&gt;0,DB_STProjectsSOF[[#This Row],[FY Actuals]]/DB_STProjectsSOF[[#This Row],[FY Plan]],1.000011000011)</f>
        <v>0.64985270463259737</v>
      </c>
    </row>
    <row r="773" spans="1:37" hidden="1" x14ac:dyDescent="0.2">
      <c r="A773">
        <f>SUBTOTAL(3,$B$6:B773)</f>
        <v>0</v>
      </c>
      <c r="B773" t="s">
        <v>495</v>
      </c>
      <c r="C773" t="s">
        <v>866</v>
      </c>
      <c r="E773">
        <v>5625.29</v>
      </c>
      <c r="F773">
        <v>2965</v>
      </c>
      <c r="G773">
        <v>-2572.42</v>
      </c>
      <c r="H773">
        <v>1834.44</v>
      </c>
      <c r="I773">
        <v>0</v>
      </c>
      <c r="J773">
        <v>0</v>
      </c>
      <c r="Q773">
        <v>5625.29</v>
      </c>
      <c r="R773">
        <v>2965</v>
      </c>
      <c r="S773">
        <v>-2572.42</v>
      </c>
      <c r="T773">
        <v>1834.44</v>
      </c>
      <c r="U773">
        <v>2095.46</v>
      </c>
      <c r="V773">
        <v>5576</v>
      </c>
      <c r="AB773" s="164">
        <v>41275</v>
      </c>
      <c r="AC773" s="164">
        <v>41639</v>
      </c>
      <c r="AD773" s="164">
        <v>41760</v>
      </c>
      <c r="AE773" s="34">
        <f>SUMPRODUCT(DB_STProjectsSOF[[#This Row],[Plan01]:[Plan12]],$D$4:$O$4)/valUnits2</f>
        <v>7.852310000000001</v>
      </c>
      <c r="AF773" s="34">
        <f>SUMPRODUCT(DB_STProjectsSOF[[#This Row],[Act01]:[Act12]],$P$4:$AA$4)/valUnits2</f>
        <v>9.9477700000000002</v>
      </c>
      <c r="AG773" s="34">
        <f>DB_STProjectsSOF[[#This Row],[Actual]]-DB_STProjectsSOF[[#This Row],[Plan]]</f>
        <v>2.0954599999999992</v>
      </c>
      <c r="AH773" s="34">
        <f>IF(DB_STProjectsSOF[[#This Row],[Plan]]&lt;&gt;0,DB_STProjectsSOF[[#This Row],[Actual]]/DB_STProjectsSOF[[#This Row],[Plan]],1.000011000011)</f>
        <v>1.2668590516675984</v>
      </c>
      <c r="AI773" s="34">
        <f>SUM(DB_STProjectsSOF[[#This Row],[Plan01]:[Plan12]])/valUnits2</f>
        <v>7.852310000000001</v>
      </c>
      <c r="AJ773" s="34">
        <f>SUMPRODUCT(DB_STProjectsSOF[[#This Row],[Act01]:[Act12]],$P$3:$AA$3)/valUnits2</f>
        <v>9.9477700000000002</v>
      </c>
      <c r="AK773" s="34">
        <f>IF(DB_STProjectsSOF[[#This Row],[FY Plan]]&lt;&gt;0,DB_STProjectsSOF[[#This Row],[FY Actuals]]/DB_STProjectsSOF[[#This Row],[FY Plan]],1.000011000011)</f>
        <v>1.2668590516675984</v>
      </c>
    </row>
    <row r="774" spans="1:37" hidden="1" x14ac:dyDescent="0.2">
      <c r="A774">
        <f>SUBTOTAL(3,$B$6:B774)</f>
        <v>0</v>
      </c>
      <c r="B774" t="s">
        <v>495</v>
      </c>
      <c r="C774" t="s">
        <v>867</v>
      </c>
      <c r="I774">
        <v>0</v>
      </c>
      <c r="U774">
        <v>3.35</v>
      </c>
      <c r="AB774" s="164">
        <v>41365</v>
      </c>
      <c r="AC774" s="164">
        <v>41639</v>
      </c>
      <c r="AD774" s="164">
        <v>41670</v>
      </c>
      <c r="AE774" s="34">
        <f>SUMPRODUCT(DB_STProjectsSOF[[#This Row],[Plan01]:[Plan12]],$D$4:$O$4)/valUnits2</f>
        <v>0</v>
      </c>
      <c r="AF774" s="34">
        <f>SUMPRODUCT(DB_STProjectsSOF[[#This Row],[Act01]:[Act12]],$P$4:$AA$4)/valUnits2</f>
        <v>3.3500000000000001E-3</v>
      </c>
      <c r="AG774" s="34">
        <f>DB_STProjectsSOF[[#This Row],[Actual]]-DB_STProjectsSOF[[#This Row],[Plan]]</f>
        <v>3.3500000000000001E-3</v>
      </c>
      <c r="AH774" s="34">
        <f>IF(DB_STProjectsSOF[[#This Row],[Plan]]&lt;&gt;0,DB_STProjectsSOF[[#This Row],[Actual]]/DB_STProjectsSOF[[#This Row],[Plan]],1.000011000011)</f>
        <v>1.0000110000110001</v>
      </c>
      <c r="AI774" s="34">
        <f>SUM(DB_STProjectsSOF[[#This Row],[Plan01]:[Plan12]])/valUnits2</f>
        <v>0</v>
      </c>
      <c r="AJ774" s="34">
        <f>SUMPRODUCT(DB_STProjectsSOF[[#This Row],[Act01]:[Act12]],$P$3:$AA$3)/valUnits2</f>
        <v>3.3500000000000001E-3</v>
      </c>
      <c r="AK774" s="34">
        <f>IF(DB_STProjectsSOF[[#This Row],[FY Plan]]&lt;&gt;0,DB_STProjectsSOF[[#This Row],[FY Actuals]]/DB_STProjectsSOF[[#This Row],[FY Plan]],1.000011000011)</f>
        <v>1.0000110000110001</v>
      </c>
    </row>
    <row r="775" spans="1:37" hidden="1" x14ac:dyDescent="0.2">
      <c r="A775">
        <f>SUBTOTAL(3,$B$6:B775)</f>
        <v>0</v>
      </c>
      <c r="B775" t="s">
        <v>495</v>
      </c>
      <c r="C775" t="s">
        <v>869</v>
      </c>
      <c r="D775">
        <v>0</v>
      </c>
      <c r="E775">
        <v>3000.4</v>
      </c>
      <c r="F775">
        <v>2398.7199999999998</v>
      </c>
      <c r="G775">
        <v>2967.41</v>
      </c>
      <c r="H775">
        <v>1827.63</v>
      </c>
      <c r="I775">
        <v>1506</v>
      </c>
      <c r="J775">
        <v>1506</v>
      </c>
      <c r="K775">
        <v>1506</v>
      </c>
      <c r="L775">
        <v>1506</v>
      </c>
      <c r="M775">
        <v>1506</v>
      </c>
      <c r="N775">
        <v>1506</v>
      </c>
      <c r="O775">
        <v>1506</v>
      </c>
      <c r="P775">
        <v>0</v>
      </c>
      <c r="Q775">
        <v>3000.4</v>
      </c>
      <c r="R775">
        <v>2398.7199999999998</v>
      </c>
      <c r="S775">
        <v>2967.41</v>
      </c>
      <c r="T775">
        <v>1827.63</v>
      </c>
      <c r="U775">
        <v>1830.82</v>
      </c>
      <c r="V775">
        <v>8630</v>
      </c>
      <c r="W775">
        <v>0</v>
      </c>
      <c r="X775">
        <v>0</v>
      </c>
      <c r="Y775">
        <v>0</v>
      </c>
      <c r="Z775">
        <v>0</v>
      </c>
      <c r="AA775">
        <v>0</v>
      </c>
      <c r="AB775" s="164">
        <v>40817</v>
      </c>
      <c r="AC775" s="164">
        <v>42155</v>
      </c>
      <c r="AD775" s="164">
        <v>42217</v>
      </c>
      <c r="AE775" s="34">
        <f>SUMPRODUCT(DB_STProjectsSOF[[#This Row],[Plan01]:[Plan12]],$D$4:$O$4)/valUnits2</f>
        <v>11.70016</v>
      </c>
      <c r="AF775" s="34">
        <f>SUMPRODUCT(DB_STProjectsSOF[[#This Row],[Act01]:[Act12]],$P$4:$AA$4)/valUnits2</f>
        <v>12.024979999999999</v>
      </c>
      <c r="AG775" s="34">
        <f>DB_STProjectsSOF[[#This Row],[Actual]]-DB_STProjectsSOF[[#This Row],[Plan]]</f>
        <v>0.324819999999999</v>
      </c>
      <c r="AH775" s="34">
        <f>IF(DB_STProjectsSOF[[#This Row],[Plan]]&lt;&gt;0,DB_STProjectsSOF[[#This Row],[Actual]]/DB_STProjectsSOF[[#This Row],[Plan]],1.000011000011)</f>
        <v>1.0277620135109262</v>
      </c>
      <c r="AI775" s="34">
        <f>SUM(DB_STProjectsSOF[[#This Row],[Plan01]:[Plan12]])/valUnits2</f>
        <v>20.736159999999998</v>
      </c>
      <c r="AJ775" s="34">
        <f>SUMPRODUCT(DB_STProjectsSOF[[#This Row],[Act01]:[Act12]],$P$3:$AA$3)/valUnits2</f>
        <v>12.024979999999999</v>
      </c>
      <c r="AK775" s="34">
        <f>IF(DB_STProjectsSOF[[#This Row],[FY Plan]]&lt;&gt;0,DB_STProjectsSOF[[#This Row],[FY Actuals]]/DB_STProjectsSOF[[#This Row],[FY Plan]],1.000011000011)</f>
        <v>0.57990389734647108</v>
      </c>
    </row>
    <row r="776" spans="1:37" hidden="1" x14ac:dyDescent="0.2">
      <c r="A776">
        <f>SUBTOTAL(3,$B$6:B776)</f>
        <v>0</v>
      </c>
      <c r="B776" t="s">
        <v>495</v>
      </c>
      <c r="C776" t="s">
        <v>874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s="164">
        <v>40879</v>
      </c>
      <c r="AC776" s="164">
        <v>43071</v>
      </c>
      <c r="AD776" s="164">
        <v>43161</v>
      </c>
      <c r="AE776" s="34">
        <f>SUMPRODUCT(DB_STProjectsSOF[[#This Row],[Plan01]:[Plan12]],$D$4:$O$4)/valUnits2</f>
        <v>0</v>
      </c>
      <c r="AF776" s="34">
        <f>SUMPRODUCT(DB_STProjectsSOF[[#This Row],[Act01]:[Act12]],$P$4:$AA$4)/valUnits2</f>
        <v>0</v>
      </c>
      <c r="AG776" s="34">
        <f>DB_STProjectsSOF[[#This Row],[Actual]]-DB_STProjectsSOF[[#This Row],[Plan]]</f>
        <v>0</v>
      </c>
      <c r="AH776" s="34">
        <f>IF(DB_STProjectsSOF[[#This Row],[Plan]]&lt;&gt;0,DB_STProjectsSOF[[#This Row],[Actual]]/DB_STProjectsSOF[[#This Row],[Plan]],1.000011000011)</f>
        <v>1.0000110000110001</v>
      </c>
      <c r="AI776" s="34">
        <f>SUM(DB_STProjectsSOF[[#This Row],[Plan01]:[Plan12]])/valUnits2</f>
        <v>0</v>
      </c>
      <c r="AJ776" s="34">
        <f>SUMPRODUCT(DB_STProjectsSOF[[#This Row],[Act01]:[Act12]],$P$3:$AA$3)/valUnits2</f>
        <v>0</v>
      </c>
      <c r="AK776" s="34">
        <f>IF(DB_STProjectsSOF[[#This Row],[FY Plan]]&lt;&gt;0,DB_STProjectsSOF[[#This Row],[FY Actuals]]/DB_STProjectsSOF[[#This Row],[FY Plan]],1.000011000011)</f>
        <v>1.0000110000110001</v>
      </c>
    </row>
    <row r="777" spans="1:37" hidden="1" x14ac:dyDescent="0.2">
      <c r="A777">
        <f>SUBTOTAL(3,$B$6:B777)</f>
        <v>0</v>
      </c>
      <c r="B777" t="s">
        <v>495</v>
      </c>
      <c r="C777" t="s">
        <v>362</v>
      </c>
      <c r="G777">
        <v>0</v>
      </c>
      <c r="H777">
        <v>6.5730000000000004</v>
      </c>
      <c r="I777">
        <v>0</v>
      </c>
      <c r="S777">
        <v>0</v>
      </c>
      <c r="T777">
        <v>6.68</v>
      </c>
      <c r="U777">
        <v>0</v>
      </c>
      <c r="AB777" s="164">
        <v>40909</v>
      </c>
      <c r="AC777" s="164">
        <v>41486</v>
      </c>
      <c r="AD777" s="164">
        <v>41670</v>
      </c>
      <c r="AE777" s="34">
        <f>SUMPRODUCT(DB_STProjectsSOF[[#This Row],[Plan01]:[Plan12]],$D$4:$O$4)/valUnits2</f>
        <v>6.5730000000000007E-3</v>
      </c>
      <c r="AF777" s="34">
        <f>SUMPRODUCT(DB_STProjectsSOF[[#This Row],[Act01]:[Act12]],$P$4:$AA$4)/valUnits2</f>
        <v>6.6799999999999993E-3</v>
      </c>
      <c r="AG777" s="34">
        <f>DB_STProjectsSOF[[#This Row],[Actual]]-DB_STProjectsSOF[[#This Row],[Plan]]</f>
        <v>1.0699999999999859E-4</v>
      </c>
      <c r="AH777" s="34">
        <f>IF(DB_STProjectsSOF[[#This Row],[Plan]]&lt;&gt;0,DB_STProjectsSOF[[#This Row],[Actual]]/DB_STProjectsSOF[[#This Row],[Plan]],1.000011000011)</f>
        <v>1.016278715959227</v>
      </c>
      <c r="AI777" s="34">
        <f>SUM(DB_STProjectsSOF[[#This Row],[Plan01]:[Plan12]])/valUnits2</f>
        <v>6.5730000000000007E-3</v>
      </c>
      <c r="AJ777" s="34">
        <f>SUMPRODUCT(DB_STProjectsSOF[[#This Row],[Act01]:[Act12]],$P$3:$AA$3)/valUnits2</f>
        <v>6.6799999999999993E-3</v>
      </c>
      <c r="AK777" s="34">
        <f>IF(DB_STProjectsSOF[[#This Row],[FY Plan]]&lt;&gt;0,DB_STProjectsSOF[[#This Row],[FY Actuals]]/DB_STProjectsSOF[[#This Row],[FY Plan]],1.000011000011)</f>
        <v>1.016278715959227</v>
      </c>
    </row>
    <row r="778" spans="1:37" hidden="1" x14ac:dyDescent="0.2">
      <c r="A778">
        <f>SUBTOTAL(3,$B$6:B778)</f>
        <v>0</v>
      </c>
      <c r="B778" t="s">
        <v>495</v>
      </c>
      <c r="C778" t="s">
        <v>877</v>
      </c>
      <c r="D778">
        <v>0</v>
      </c>
      <c r="E778">
        <v>417.60300000000001</v>
      </c>
      <c r="F778">
        <v>337.02100000000002</v>
      </c>
      <c r="G778">
        <v>426.28100000000001</v>
      </c>
      <c r="H778">
        <v>260.74599999999998</v>
      </c>
      <c r="I778">
        <v>414.19200000000001</v>
      </c>
      <c r="J778">
        <v>414.19200000000001</v>
      </c>
      <c r="K778">
        <v>414.19200000000001</v>
      </c>
      <c r="L778">
        <v>414.19200000000001</v>
      </c>
      <c r="M778">
        <v>414.19200000000001</v>
      </c>
      <c r="N778">
        <v>414.19200000000001</v>
      </c>
      <c r="O778">
        <v>414.19200000000001</v>
      </c>
      <c r="P778">
        <v>0</v>
      </c>
      <c r="Q778">
        <v>425.82</v>
      </c>
      <c r="R778">
        <v>339.43</v>
      </c>
      <c r="S778">
        <v>423.95000000000005</v>
      </c>
      <c r="T778">
        <v>258.25</v>
      </c>
      <c r="U778">
        <v>259.32</v>
      </c>
      <c r="V778">
        <v>1222</v>
      </c>
      <c r="W778">
        <v>0</v>
      </c>
      <c r="X778">
        <v>0</v>
      </c>
      <c r="Y778">
        <v>0</v>
      </c>
      <c r="Z778">
        <v>0</v>
      </c>
      <c r="AA778">
        <v>0</v>
      </c>
      <c r="AB778" s="164">
        <v>40817</v>
      </c>
      <c r="AC778" s="164">
        <v>41639</v>
      </c>
      <c r="AD778" s="164">
        <v>41729</v>
      </c>
      <c r="AE778" s="34">
        <f>SUMPRODUCT(DB_STProjectsSOF[[#This Row],[Plan01]:[Plan12]],$D$4:$O$4)/valUnits2</f>
        <v>1.8558429999999999</v>
      </c>
      <c r="AF778" s="34">
        <f>SUMPRODUCT(DB_STProjectsSOF[[#This Row],[Act01]:[Act12]],$P$4:$AA$4)/valUnits2</f>
        <v>1.7067699999999999</v>
      </c>
      <c r="AG778" s="34">
        <f>DB_STProjectsSOF[[#This Row],[Actual]]-DB_STProjectsSOF[[#This Row],[Plan]]</f>
        <v>-0.14907300000000001</v>
      </c>
      <c r="AH778" s="34">
        <f>IF(DB_STProjectsSOF[[#This Row],[Plan]]&lt;&gt;0,DB_STProjectsSOF[[#This Row],[Actual]]/DB_STProjectsSOF[[#This Row],[Plan]],1.000011000011)</f>
        <v>0.91967370084646172</v>
      </c>
      <c r="AI778" s="34">
        <f>SUM(DB_STProjectsSOF[[#This Row],[Plan01]:[Plan12]])/valUnits2</f>
        <v>4.3409949999999995</v>
      </c>
      <c r="AJ778" s="34">
        <f>SUMPRODUCT(DB_STProjectsSOF[[#This Row],[Act01]:[Act12]],$P$3:$AA$3)/valUnits2</f>
        <v>1.7067699999999999</v>
      </c>
      <c r="AK778" s="34">
        <f>IF(DB_STProjectsSOF[[#This Row],[FY Plan]]&lt;&gt;0,DB_STProjectsSOF[[#This Row],[FY Actuals]]/DB_STProjectsSOF[[#This Row],[FY Plan]],1.000011000011)</f>
        <v>0.39317483664459418</v>
      </c>
    </row>
    <row r="779" spans="1:37" hidden="1" x14ac:dyDescent="0.2">
      <c r="A779">
        <f>SUBTOTAL(3,$B$6:B779)</f>
        <v>0</v>
      </c>
      <c r="B779" t="s">
        <v>495</v>
      </c>
      <c r="C779" t="s">
        <v>885</v>
      </c>
      <c r="E779">
        <v>1087.171</v>
      </c>
      <c r="F779">
        <v>564.91800000000001</v>
      </c>
      <c r="G779">
        <v>1115.8709999999999</v>
      </c>
      <c r="H779">
        <v>568.17200000000003</v>
      </c>
      <c r="I779">
        <v>0</v>
      </c>
      <c r="J779">
        <v>0</v>
      </c>
      <c r="Q779">
        <v>1079.28</v>
      </c>
      <c r="R779">
        <v>561.25</v>
      </c>
      <c r="S779">
        <v>1121.51</v>
      </c>
      <c r="T779">
        <v>570.87</v>
      </c>
      <c r="U779">
        <v>654.99</v>
      </c>
      <c r="V779">
        <v>3097</v>
      </c>
      <c r="AB779" s="164">
        <v>40817</v>
      </c>
      <c r="AC779" s="164">
        <v>41639</v>
      </c>
      <c r="AD779" s="164">
        <v>41820</v>
      </c>
      <c r="AE779" s="34">
        <f>SUMPRODUCT(DB_STProjectsSOF[[#This Row],[Plan01]:[Plan12]],$D$4:$O$4)/valUnits2</f>
        <v>3.3361320000000001</v>
      </c>
      <c r="AF779" s="34">
        <f>SUMPRODUCT(DB_STProjectsSOF[[#This Row],[Act01]:[Act12]],$P$4:$AA$4)/valUnits2</f>
        <v>3.9878999999999998</v>
      </c>
      <c r="AG779" s="34">
        <f>DB_STProjectsSOF[[#This Row],[Actual]]-DB_STProjectsSOF[[#This Row],[Plan]]</f>
        <v>0.65176799999999968</v>
      </c>
      <c r="AH779" s="34">
        <f>IF(DB_STProjectsSOF[[#This Row],[Plan]]&lt;&gt;0,DB_STProjectsSOF[[#This Row],[Actual]]/DB_STProjectsSOF[[#This Row],[Plan]],1.000011000011)</f>
        <v>1.1953663703954158</v>
      </c>
      <c r="AI779" s="34">
        <f>SUM(DB_STProjectsSOF[[#This Row],[Plan01]:[Plan12]])/valUnits2</f>
        <v>3.3361320000000001</v>
      </c>
      <c r="AJ779" s="34">
        <f>SUMPRODUCT(DB_STProjectsSOF[[#This Row],[Act01]:[Act12]],$P$3:$AA$3)/valUnits2</f>
        <v>3.9878999999999998</v>
      </c>
      <c r="AK779" s="34">
        <f>IF(DB_STProjectsSOF[[#This Row],[FY Plan]]&lt;&gt;0,DB_STProjectsSOF[[#This Row],[FY Actuals]]/DB_STProjectsSOF[[#This Row],[FY Plan]],1.000011000011)</f>
        <v>1.1953663703954158</v>
      </c>
    </row>
    <row r="780" spans="1:37" hidden="1" x14ac:dyDescent="0.2">
      <c r="A780">
        <f>SUBTOTAL(3,$B$6:B780)</f>
        <v>0</v>
      </c>
      <c r="B780" t="s">
        <v>495</v>
      </c>
      <c r="C780" t="s">
        <v>892</v>
      </c>
      <c r="E780">
        <v>1058.454</v>
      </c>
      <c r="F780">
        <v>855.1389999999999</v>
      </c>
      <c r="G780">
        <v>1129.8340000000001</v>
      </c>
      <c r="H780">
        <v>355.36</v>
      </c>
      <c r="I780">
        <v>0</v>
      </c>
      <c r="Q780">
        <v>1079.28</v>
      </c>
      <c r="R780">
        <v>861.25</v>
      </c>
      <c r="S780">
        <v>1121.97</v>
      </c>
      <c r="T780">
        <v>357.13</v>
      </c>
      <c r="U780">
        <v>8.77</v>
      </c>
      <c r="AB780" s="164">
        <v>40817</v>
      </c>
      <c r="AC780" s="164">
        <v>41639</v>
      </c>
      <c r="AD780" s="164">
        <v>3</v>
      </c>
      <c r="AE780" s="34">
        <f>SUMPRODUCT(DB_STProjectsSOF[[#This Row],[Plan01]:[Plan12]],$D$4:$O$4)/valUnits2</f>
        <v>3.398787</v>
      </c>
      <c r="AF780" s="34">
        <f>SUMPRODUCT(DB_STProjectsSOF[[#This Row],[Act01]:[Act12]],$P$4:$AA$4)/valUnits2</f>
        <v>3.4283999999999999</v>
      </c>
      <c r="AG780" s="34">
        <f>DB_STProjectsSOF[[#This Row],[Actual]]-DB_STProjectsSOF[[#This Row],[Plan]]</f>
        <v>2.9612999999999889E-2</v>
      </c>
      <c r="AH780" s="34">
        <f>IF(DB_STProjectsSOF[[#This Row],[Plan]]&lt;&gt;0,DB_STProjectsSOF[[#This Row],[Actual]]/DB_STProjectsSOF[[#This Row],[Plan]],1.000011000011)</f>
        <v>1.0087128143069866</v>
      </c>
      <c r="AI780" s="34">
        <f>SUM(DB_STProjectsSOF[[#This Row],[Plan01]:[Plan12]])/valUnits2</f>
        <v>3.398787</v>
      </c>
      <c r="AJ780" s="34">
        <f>SUMPRODUCT(DB_STProjectsSOF[[#This Row],[Act01]:[Act12]],$P$3:$AA$3)/valUnits2</f>
        <v>3.4283999999999999</v>
      </c>
      <c r="AK780" s="34">
        <f>IF(DB_STProjectsSOF[[#This Row],[FY Plan]]&lt;&gt;0,DB_STProjectsSOF[[#This Row],[FY Actuals]]/DB_STProjectsSOF[[#This Row],[FY Plan]],1.000011000011)</f>
        <v>1.0087128143069866</v>
      </c>
    </row>
    <row r="781" spans="1:37" hidden="1" x14ac:dyDescent="0.2">
      <c r="A781">
        <f>SUBTOTAL(3,$B$6:B781)</f>
        <v>0</v>
      </c>
      <c r="B781" t="s">
        <v>495</v>
      </c>
      <c r="C781" t="s">
        <v>896</v>
      </c>
      <c r="E781">
        <v>2174.3409999999999</v>
      </c>
      <c r="F781">
        <v>1129.847</v>
      </c>
      <c r="G781">
        <v>2130.5540000000001</v>
      </c>
      <c r="H781">
        <v>1687.454</v>
      </c>
      <c r="I781">
        <v>0</v>
      </c>
      <c r="J781">
        <v>0</v>
      </c>
      <c r="Q781">
        <v>2158.56</v>
      </c>
      <c r="R781">
        <v>1122.5</v>
      </c>
      <c r="S781">
        <v>2141.6200000000003</v>
      </c>
      <c r="T781">
        <v>1695.4399999999998</v>
      </c>
      <c r="U781">
        <v>1964.98</v>
      </c>
      <c r="V781">
        <v>9292</v>
      </c>
      <c r="AB781" s="164">
        <v>40817</v>
      </c>
      <c r="AC781" s="164">
        <v>41639</v>
      </c>
      <c r="AD781" s="164">
        <v>41820</v>
      </c>
      <c r="AE781" s="34">
        <f>SUMPRODUCT(DB_STProjectsSOF[[#This Row],[Plan01]:[Plan12]],$D$4:$O$4)/valUnits2</f>
        <v>7.1221959999999997</v>
      </c>
      <c r="AF781" s="34">
        <f>SUMPRODUCT(DB_STProjectsSOF[[#This Row],[Act01]:[Act12]],$P$4:$AA$4)/valUnits2</f>
        <v>9.0831</v>
      </c>
      <c r="AG781" s="34">
        <f>DB_STProjectsSOF[[#This Row],[Actual]]-DB_STProjectsSOF[[#This Row],[Plan]]</f>
        <v>1.9609040000000002</v>
      </c>
      <c r="AH781" s="34">
        <f>IF(DB_STProjectsSOF[[#This Row],[Plan]]&lt;&gt;0,DB_STProjectsSOF[[#This Row],[Actual]]/DB_STProjectsSOF[[#This Row],[Plan]],1.000011000011)</f>
        <v>1.2753229481468917</v>
      </c>
      <c r="AI781" s="34">
        <f>SUM(DB_STProjectsSOF[[#This Row],[Plan01]:[Plan12]])/valUnits2</f>
        <v>7.1221959999999997</v>
      </c>
      <c r="AJ781" s="34">
        <f>SUMPRODUCT(DB_STProjectsSOF[[#This Row],[Act01]:[Act12]],$P$3:$AA$3)/valUnits2</f>
        <v>9.0831</v>
      </c>
      <c r="AK781" s="34">
        <f>IF(DB_STProjectsSOF[[#This Row],[FY Plan]]&lt;&gt;0,DB_STProjectsSOF[[#This Row],[FY Actuals]]/DB_STProjectsSOF[[#This Row],[FY Plan]],1.000011000011)</f>
        <v>1.2753229481468917</v>
      </c>
    </row>
    <row r="782" spans="1:37" hidden="1" x14ac:dyDescent="0.2">
      <c r="A782">
        <f>SUBTOTAL(3,$B$6:B782)</f>
        <v>0</v>
      </c>
      <c r="B782" t="s">
        <v>495</v>
      </c>
      <c r="C782" t="s">
        <v>905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s="164">
        <v>40909</v>
      </c>
      <c r="AC782" s="164">
        <v>41274</v>
      </c>
      <c r="AD782" s="164">
        <v>41364</v>
      </c>
      <c r="AE782" s="34">
        <f>SUMPRODUCT(DB_STProjectsSOF[[#This Row],[Plan01]:[Plan12]],$D$4:$O$4)/valUnits2</f>
        <v>0</v>
      </c>
      <c r="AF782" s="34">
        <f>SUMPRODUCT(DB_STProjectsSOF[[#This Row],[Act01]:[Act12]],$P$4:$AA$4)/valUnits2</f>
        <v>0</v>
      </c>
      <c r="AG782" s="34">
        <f>DB_STProjectsSOF[[#This Row],[Actual]]-DB_STProjectsSOF[[#This Row],[Plan]]</f>
        <v>0</v>
      </c>
      <c r="AH782" s="34">
        <f>IF(DB_STProjectsSOF[[#This Row],[Plan]]&lt;&gt;0,DB_STProjectsSOF[[#This Row],[Actual]]/DB_STProjectsSOF[[#This Row],[Plan]],1.000011000011)</f>
        <v>1.0000110000110001</v>
      </c>
      <c r="AI782" s="34">
        <f>SUM(DB_STProjectsSOF[[#This Row],[Plan01]:[Plan12]])/valUnits2</f>
        <v>0</v>
      </c>
      <c r="AJ782" s="34">
        <f>SUMPRODUCT(DB_STProjectsSOF[[#This Row],[Act01]:[Act12]],$P$3:$AA$3)/valUnits2</f>
        <v>0</v>
      </c>
      <c r="AK782" s="34">
        <f>IF(DB_STProjectsSOF[[#This Row],[FY Plan]]&lt;&gt;0,DB_STProjectsSOF[[#This Row],[FY Actuals]]/DB_STProjectsSOF[[#This Row],[FY Plan]],1.000011000011)</f>
        <v>1.0000110000110001</v>
      </c>
    </row>
    <row r="783" spans="1:37" hidden="1" x14ac:dyDescent="0.2">
      <c r="A783">
        <f>SUBTOTAL(3,$B$6:B783)</f>
        <v>0</v>
      </c>
      <c r="B783" t="s">
        <v>495</v>
      </c>
      <c r="C783" t="s">
        <v>912</v>
      </c>
      <c r="E783">
        <v>-1922.61</v>
      </c>
      <c r="Q783">
        <v>-1922.61</v>
      </c>
      <c r="AB783" s="164">
        <v>40909</v>
      </c>
      <c r="AC783" s="164">
        <v>41274</v>
      </c>
      <c r="AD783" s="164">
        <v>41320</v>
      </c>
      <c r="AE783" s="34">
        <f>SUMPRODUCT(DB_STProjectsSOF[[#This Row],[Plan01]:[Plan12]],$D$4:$O$4)/valUnits2</f>
        <v>-1.9226099999999999</v>
      </c>
      <c r="AF783" s="34">
        <f>SUMPRODUCT(DB_STProjectsSOF[[#This Row],[Act01]:[Act12]],$P$4:$AA$4)/valUnits2</f>
        <v>-1.9226099999999999</v>
      </c>
      <c r="AG783" s="34">
        <f>DB_STProjectsSOF[[#This Row],[Actual]]-DB_STProjectsSOF[[#This Row],[Plan]]</f>
        <v>0</v>
      </c>
      <c r="AH783" s="34">
        <f>IF(DB_STProjectsSOF[[#This Row],[Plan]]&lt;&gt;0,DB_STProjectsSOF[[#This Row],[Actual]]/DB_STProjectsSOF[[#This Row],[Plan]],1.000011000011)</f>
        <v>1</v>
      </c>
      <c r="AI783" s="34">
        <f>SUM(DB_STProjectsSOF[[#This Row],[Plan01]:[Plan12]])/valUnits2</f>
        <v>-1.9226099999999999</v>
      </c>
      <c r="AJ783" s="34">
        <f>SUMPRODUCT(DB_STProjectsSOF[[#This Row],[Act01]:[Act12]],$P$3:$AA$3)/valUnits2</f>
        <v>-1.9226099999999999</v>
      </c>
      <c r="AK783" s="34">
        <f>IF(DB_STProjectsSOF[[#This Row],[FY Plan]]&lt;&gt;0,DB_STProjectsSOF[[#This Row],[FY Actuals]]/DB_STProjectsSOF[[#This Row],[FY Plan]],1.000011000011)</f>
        <v>1</v>
      </c>
    </row>
    <row r="784" spans="1:37" hidden="1" x14ac:dyDescent="0.2">
      <c r="A784">
        <f>SUBTOTAL(3,$B$6:B784)</f>
        <v>0</v>
      </c>
      <c r="B784" t="s">
        <v>495</v>
      </c>
      <c r="C784" t="s">
        <v>919</v>
      </c>
      <c r="D784">
        <v>0</v>
      </c>
      <c r="E784">
        <v>662.97500000000002</v>
      </c>
      <c r="F784">
        <v>534.70399999999995</v>
      </c>
      <c r="G784">
        <v>665.68600000000004</v>
      </c>
      <c r="H784">
        <v>406.44099999999997</v>
      </c>
      <c r="I784">
        <v>552.30799999999999</v>
      </c>
      <c r="J784">
        <v>552.30799999999999</v>
      </c>
      <c r="K784">
        <v>552.30799999999999</v>
      </c>
      <c r="L784">
        <v>552.30799999999999</v>
      </c>
      <c r="M784">
        <v>552.30799999999999</v>
      </c>
      <c r="N784">
        <v>552.30799999999999</v>
      </c>
      <c r="O784">
        <v>552.30799999999999</v>
      </c>
      <c r="P784">
        <v>0</v>
      </c>
      <c r="Q784">
        <v>676.02</v>
      </c>
      <c r="R784">
        <v>538.53</v>
      </c>
      <c r="S784">
        <v>661.36999999999989</v>
      </c>
      <c r="T784">
        <v>402.58000000000004</v>
      </c>
      <c r="U784">
        <v>402.24</v>
      </c>
      <c r="V784">
        <v>1895</v>
      </c>
      <c r="W784">
        <v>0</v>
      </c>
      <c r="X784">
        <v>0</v>
      </c>
      <c r="Y784">
        <v>0</v>
      </c>
      <c r="Z784">
        <v>0</v>
      </c>
      <c r="AA784">
        <v>0</v>
      </c>
      <c r="AB784" s="164">
        <v>40878</v>
      </c>
      <c r="AC784" s="164">
        <v>42794</v>
      </c>
      <c r="AD784" s="164">
        <v>42978</v>
      </c>
      <c r="AE784" s="34">
        <f>SUMPRODUCT(DB_STProjectsSOF[[#This Row],[Plan01]:[Plan12]],$D$4:$O$4)/valUnits2</f>
        <v>2.822114</v>
      </c>
      <c r="AF784" s="34">
        <f>SUMPRODUCT(DB_STProjectsSOF[[#This Row],[Act01]:[Act12]],$P$4:$AA$4)/valUnits2</f>
        <v>2.6807399999999997</v>
      </c>
      <c r="AG784" s="34">
        <f>DB_STProjectsSOF[[#This Row],[Actual]]-DB_STProjectsSOF[[#This Row],[Plan]]</f>
        <v>-0.14137400000000033</v>
      </c>
      <c r="AH784" s="34">
        <f>IF(DB_STProjectsSOF[[#This Row],[Plan]]&lt;&gt;0,DB_STProjectsSOF[[#This Row],[Actual]]/DB_STProjectsSOF[[#This Row],[Plan]],1.000011000011)</f>
        <v>0.94990492942524629</v>
      </c>
      <c r="AI784" s="34">
        <f>SUM(DB_STProjectsSOF[[#This Row],[Plan01]:[Plan12]])/valUnits2</f>
        <v>6.1359620000000001</v>
      </c>
      <c r="AJ784" s="34">
        <f>SUMPRODUCT(DB_STProjectsSOF[[#This Row],[Act01]:[Act12]],$P$3:$AA$3)/valUnits2</f>
        <v>2.6807399999999997</v>
      </c>
      <c r="AK784" s="34">
        <f>IF(DB_STProjectsSOF[[#This Row],[FY Plan]]&lt;&gt;0,DB_STProjectsSOF[[#This Row],[FY Actuals]]/DB_STProjectsSOF[[#This Row],[FY Plan]],1.000011000011)</f>
        <v>0.43688992858821479</v>
      </c>
    </row>
    <row r="785" spans="1:37" hidden="1" x14ac:dyDescent="0.2">
      <c r="A785">
        <f>SUBTOTAL(3,$B$6:B785)</f>
        <v>0</v>
      </c>
      <c r="B785" t="s">
        <v>495</v>
      </c>
      <c r="C785" t="s">
        <v>927</v>
      </c>
      <c r="D785">
        <v>0</v>
      </c>
      <c r="E785">
        <v>2054.94</v>
      </c>
      <c r="F785">
        <v>1649.31</v>
      </c>
      <c r="G785">
        <v>2068.59</v>
      </c>
      <c r="H785">
        <v>1255.8500000000001</v>
      </c>
      <c r="I785">
        <v>4647.4380000000001</v>
      </c>
      <c r="J785">
        <v>4647.4380000000001</v>
      </c>
      <c r="K785">
        <v>4647.4380000000001</v>
      </c>
      <c r="L785">
        <v>4647.4380000000001</v>
      </c>
      <c r="M785">
        <v>4647.4380000000001</v>
      </c>
      <c r="N785">
        <v>4647.4380000000001</v>
      </c>
      <c r="O785">
        <v>4647.4380000000001</v>
      </c>
      <c r="P785">
        <v>0</v>
      </c>
      <c r="Q785">
        <v>2054.94</v>
      </c>
      <c r="R785">
        <v>1649.31</v>
      </c>
      <c r="S785">
        <v>2068.59</v>
      </c>
      <c r="T785">
        <v>1255.8500000000001</v>
      </c>
      <c r="U785">
        <v>1259</v>
      </c>
      <c r="V785">
        <v>5935</v>
      </c>
      <c r="W785">
        <v>0</v>
      </c>
      <c r="X785">
        <v>0</v>
      </c>
      <c r="Y785">
        <v>0</v>
      </c>
      <c r="Z785">
        <v>0</v>
      </c>
      <c r="AA785">
        <v>0</v>
      </c>
      <c r="AB785" s="164">
        <v>40817</v>
      </c>
      <c r="AC785" s="164">
        <v>42052</v>
      </c>
      <c r="AD785" s="164">
        <v>42141</v>
      </c>
      <c r="AE785" s="34">
        <f>SUMPRODUCT(DB_STProjectsSOF[[#This Row],[Plan01]:[Plan12]],$D$4:$O$4)/valUnits2</f>
        <v>11.676128</v>
      </c>
      <c r="AF785" s="34">
        <f>SUMPRODUCT(DB_STProjectsSOF[[#This Row],[Act01]:[Act12]],$P$4:$AA$4)/valUnits2</f>
        <v>8.2876900000000013</v>
      </c>
      <c r="AG785" s="34">
        <f>DB_STProjectsSOF[[#This Row],[Actual]]-DB_STProjectsSOF[[#This Row],[Plan]]</f>
        <v>-3.388437999999999</v>
      </c>
      <c r="AH785" s="34">
        <f>IF(DB_STProjectsSOF[[#This Row],[Plan]]&lt;&gt;0,DB_STProjectsSOF[[#This Row],[Actual]]/DB_STProjectsSOF[[#This Row],[Plan]],1.000011000011)</f>
        <v>0.7097978028332681</v>
      </c>
      <c r="AI785" s="34">
        <f>SUM(DB_STProjectsSOF[[#This Row],[Plan01]:[Plan12]])/valUnits2</f>
        <v>39.560756000000012</v>
      </c>
      <c r="AJ785" s="34">
        <f>SUMPRODUCT(DB_STProjectsSOF[[#This Row],[Act01]:[Act12]],$P$3:$AA$3)/valUnits2</f>
        <v>8.2876900000000013</v>
      </c>
      <c r="AK785" s="34">
        <f>IF(DB_STProjectsSOF[[#This Row],[FY Plan]]&lt;&gt;0,DB_STProjectsSOF[[#This Row],[FY Actuals]]/DB_STProjectsSOF[[#This Row],[FY Plan]],1.000011000011)</f>
        <v>0.20949271040219755</v>
      </c>
    </row>
    <row r="786" spans="1:37" hidden="1" x14ac:dyDescent="0.2">
      <c r="A786">
        <f>SUBTOTAL(3,$B$6:B786)</f>
        <v>0</v>
      </c>
      <c r="B786" t="s">
        <v>495</v>
      </c>
      <c r="C786" t="s">
        <v>928</v>
      </c>
      <c r="D786">
        <v>0</v>
      </c>
      <c r="E786">
        <v>412.798</v>
      </c>
      <c r="F786">
        <v>333.05100000000004</v>
      </c>
      <c r="G786">
        <v>423.30800000000005</v>
      </c>
      <c r="I786">
        <v>0</v>
      </c>
      <c r="P786">
        <v>0</v>
      </c>
      <c r="Q786">
        <v>420.92</v>
      </c>
      <c r="R786">
        <v>335.43</v>
      </c>
      <c r="S786">
        <v>421.32</v>
      </c>
      <c r="U786">
        <v>-1177.67</v>
      </c>
      <c r="AB786" s="164">
        <v>40817</v>
      </c>
      <c r="AC786" s="164">
        <v>41305</v>
      </c>
      <c r="AD786" s="164">
        <v>41394</v>
      </c>
      <c r="AE786" s="34">
        <f>SUMPRODUCT(DB_STProjectsSOF[[#This Row],[Plan01]:[Plan12]],$D$4:$O$4)/valUnits2</f>
        <v>1.1691570000000002</v>
      </c>
      <c r="AF786" s="34">
        <f>SUMPRODUCT(DB_STProjectsSOF[[#This Row],[Act01]:[Act12]],$P$4:$AA$4)/valUnits2</f>
        <v>0</v>
      </c>
      <c r="AG786" s="34">
        <f>DB_STProjectsSOF[[#This Row],[Actual]]-DB_STProjectsSOF[[#This Row],[Plan]]</f>
        <v>-1.1691570000000002</v>
      </c>
      <c r="AH786" s="34">
        <f>IF(DB_STProjectsSOF[[#This Row],[Plan]]&lt;&gt;0,DB_STProjectsSOF[[#This Row],[Actual]]/DB_STProjectsSOF[[#This Row],[Plan]],1.000011000011)</f>
        <v>0</v>
      </c>
      <c r="AI786" s="34">
        <f>SUM(DB_STProjectsSOF[[#This Row],[Plan01]:[Plan12]])/valUnits2</f>
        <v>1.1691570000000002</v>
      </c>
      <c r="AJ786" s="34">
        <f>SUMPRODUCT(DB_STProjectsSOF[[#This Row],[Act01]:[Act12]],$P$3:$AA$3)/valUnits2</f>
        <v>0</v>
      </c>
      <c r="AK786" s="34">
        <f>IF(DB_STProjectsSOF[[#This Row],[FY Plan]]&lt;&gt;0,DB_STProjectsSOF[[#This Row],[FY Actuals]]/DB_STProjectsSOF[[#This Row],[FY Plan]],1.000011000011)</f>
        <v>0</v>
      </c>
    </row>
    <row r="787" spans="1:37" hidden="1" x14ac:dyDescent="0.2">
      <c r="A787">
        <f>SUBTOTAL(3,$B$6:B787)</f>
        <v>0</v>
      </c>
      <c r="B787" t="s">
        <v>495</v>
      </c>
      <c r="C787" t="s">
        <v>929</v>
      </c>
      <c r="E787">
        <v>88.061000000000007</v>
      </c>
      <c r="Q787">
        <v>87.97</v>
      </c>
      <c r="AB787" s="164">
        <v>41214</v>
      </c>
      <c r="AC787" s="164">
        <v>41379</v>
      </c>
      <c r="AD787" s="164">
        <v>41409</v>
      </c>
      <c r="AE787" s="34">
        <f>SUMPRODUCT(DB_STProjectsSOF[[#This Row],[Plan01]:[Plan12]],$D$4:$O$4)/valUnits2</f>
        <v>8.8061E-2</v>
      </c>
      <c r="AF787" s="34">
        <f>SUMPRODUCT(DB_STProjectsSOF[[#This Row],[Act01]:[Act12]],$P$4:$AA$4)/valUnits2</f>
        <v>8.7969999999999993E-2</v>
      </c>
      <c r="AG787" s="34">
        <f>DB_STProjectsSOF[[#This Row],[Actual]]-DB_STProjectsSOF[[#This Row],[Plan]]</f>
        <v>-9.1000000000007741E-5</v>
      </c>
      <c r="AH787" s="34">
        <f>IF(DB_STProjectsSOF[[#This Row],[Plan]]&lt;&gt;0,DB_STProjectsSOF[[#This Row],[Actual]]/DB_STProjectsSOF[[#This Row],[Plan]],1.000011000011)</f>
        <v>0.99896662540738801</v>
      </c>
      <c r="AI787" s="34">
        <f>SUM(DB_STProjectsSOF[[#This Row],[Plan01]:[Plan12]])/valUnits2</f>
        <v>8.8061E-2</v>
      </c>
      <c r="AJ787" s="34">
        <f>SUMPRODUCT(DB_STProjectsSOF[[#This Row],[Act01]:[Act12]],$P$3:$AA$3)/valUnits2</f>
        <v>8.7969999999999993E-2</v>
      </c>
      <c r="AK787" s="34">
        <f>IF(DB_STProjectsSOF[[#This Row],[FY Plan]]&lt;&gt;0,DB_STProjectsSOF[[#This Row],[FY Actuals]]/DB_STProjectsSOF[[#This Row],[FY Plan]],1.000011000011)</f>
        <v>0.99896662540738801</v>
      </c>
    </row>
    <row r="788" spans="1:37" hidden="1" x14ac:dyDescent="0.2">
      <c r="A788">
        <f>SUBTOTAL(3,$B$6:B788)</f>
        <v>0</v>
      </c>
      <c r="B788" t="s">
        <v>495</v>
      </c>
      <c r="C788" t="s">
        <v>935</v>
      </c>
      <c r="D788">
        <v>0</v>
      </c>
      <c r="E788">
        <v>1265.8920000000001</v>
      </c>
      <c r="F788">
        <v>1049.48</v>
      </c>
      <c r="G788">
        <v>1314.95</v>
      </c>
      <c r="H788">
        <v>787.39100000000008</v>
      </c>
      <c r="I788">
        <v>1383.3110000000001</v>
      </c>
      <c r="J788">
        <v>1383.3110000000001</v>
      </c>
      <c r="K788">
        <v>1383.3110000000001</v>
      </c>
      <c r="L788">
        <v>1383.3110000000001</v>
      </c>
      <c r="M788">
        <v>1383.3110000000001</v>
      </c>
      <c r="N788">
        <v>1383.3110000000001</v>
      </c>
      <c r="O788">
        <v>1383.3110000000001</v>
      </c>
      <c r="P788">
        <v>0</v>
      </c>
      <c r="Q788">
        <v>1309.98</v>
      </c>
      <c r="R788">
        <v>1045.21</v>
      </c>
      <c r="S788">
        <v>1295.21</v>
      </c>
      <c r="T788">
        <v>788.23</v>
      </c>
      <c r="U788">
        <v>788.65000000000009</v>
      </c>
      <c r="V788">
        <v>3717</v>
      </c>
      <c r="W788">
        <v>0</v>
      </c>
      <c r="X788">
        <v>0</v>
      </c>
      <c r="Y788">
        <v>0</v>
      </c>
      <c r="Z788">
        <v>0</v>
      </c>
      <c r="AA788">
        <v>0</v>
      </c>
      <c r="AB788" s="164">
        <v>41000</v>
      </c>
      <c r="AC788" s="164">
        <v>42094</v>
      </c>
      <c r="AD788" s="164">
        <v>42124</v>
      </c>
      <c r="AE788" s="34">
        <f>SUMPRODUCT(DB_STProjectsSOF[[#This Row],[Plan01]:[Plan12]],$D$4:$O$4)/valUnits2</f>
        <v>5.8010239999999991</v>
      </c>
      <c r="AF788" s="34">
        <f>SUMPRODUCT(DB_STProjectsSOF[[#This Row],[Act01]:[Act12]],$P$4:$AA$4)/valUnits2</f>
        <v>5.2272800000000004</v>
      </c>
      <c r="AG788" s="34">
        <f>DB_STProjectsSOF[[#This Row],[Actual]]-DB_STProjectsSOF[[#This Row],[Plan]]</f>
        <v>-0.5737439999999987</v>
      </c>
      <c r="AH788" s="34">
        <f>IF(DB_STProjectsSOF[[#This Row],[Plan]]&lt;&gt;0,DB_STProjectsSOF[[#This Row],[Actual]]/DB_STProjectsSOF[[#This Row],[Plan]],1.000011000011)</f>
        <v>0.90109608234684102</v>
      </c>
      <c r="AI788" s="34">
        <f>SUM(DB_STProjectsSOF[[#This Row],[Plan01]:[Plan12]])/valUnits2</f>
        <v>14.100889999999998</v>
      </c>
      <c r="AJ788" s="34">
        <f>SUMPRODUCT(DB_STProjectsSOF[[#This Row],[Act01]:[Act12]],$P$3:$AA$3)/valUnits2</f>
        <v>5.2272800000000004</v>
      </c>
      <c r="AK788" s="34">
        <f>IF(DB_STProjectsSOF[[#This Row],[FY Plan]]&lt;&gt;0,DB_STProjectsSOF[[#This Row],[FY Actuals]]/DB_STProjectsSOF[[#This Row],[FY Plan]],1.000011000011)</f>
        <v>0.37070567886140526</v>
      </c>
    </row>
    <row r="789" spans="1:37" hidden="1" x14ac:dyDescent="0.2">
      <c r="A789">
        <f>SUBTOTAL(3,$B$6:B789)</f>
        <v>0</v>
      </c>
      <c r="B789" t="s">
        <v>496</v>
      </c>
      <c r="C789" t="s">
        <v>841</v>
      </c>
      <c r="D789">
        <v>0</v>
      </c>
      <c r="E789">
        <v>0</v>
      </c>
      <c r="F789">
        <v>0</v>
      </c>
      <c r="I789">
        <v>0</v>
      </c>
      <c r="P789">
        <v>0</v>
      </c>
      <c r="Q789">
        <v>0</v>
      </c>
      <c r="R789">
        <v>0</v>
      </c>
      <c r="U789">
        <v>610.80999999999995</v>
      </c>
      <c r="AB789" s="164">
        <v>40817</v>
      </c>
      <c r="AC789" s="164">
        <v>41364</v>
      </c>
      <c r="AD789" s="164">
        <v>41394</v>
      </c>
      <c r="AE789" s="34">
        <f>SUMPRODUCT(DB_STProjectsSOF[[#This Row],[Plan01]:[Plan12]],$D$4:$O$4)/valUnits2</f>
        <v>0</v>
      </c>
      <c r="AF789" s="34">
        <f>SUMPRODUCT(DB_STProjectsSOF[[#This Row],[Act01]:[Act12]],$P$4:$AA$4)/valUnits2</f>
        <v>0.61080999999999996</v>
      </c>
      <c r="AG789" s="34">
        <f>DB_STProjectsSOF[[#This Row],[Actual]]-DB_STProjectsSOF[[#This Row],[Plan]]</f>
        <v>0.61080999999999996</v>
      </c>
      <c r="AH789" s="34">
        <f>IF(DB_STProjectsSOF[[#This Row],[Plan]]&lt;&gt;0,DB_STProjectsSOF[[#This Row],[Actual]]/DB_STProjectsSOF[[#This Row],[Plan]],1.000011000011)</f>
        <v>1.0000110000110001</v>
      </c>
      <c r="AI789" s="34">
        <f>SUM(DB_STProjectsSOF[[#This Row],[Plan01]:[Plan12]])/valUnits2</f>
        <v>0</v>
      </c>
      <c r="AJ789" s="34">
        <f>SUMPRODUCT(DB_STProjectsSOF[[#This Row],[Act01]:[Act12]],$P$3:$AA$3)/valUnits2</f>
        <v>0.61080999999999996</v>
      </c>
      <c r="AK789" s="34">
        <f>IF(DB_STProjectsSOF[[#This Row],[FY Plan]]&lt;&gt;0,DB_STProjectsSOF[[#This Row],[FY Actuals]]/DB_STProjectsSOF[[#This Row],[FY Plan]],1.000011000011)</f>
        <v>1.0000110000110001</v>
      </c>
    </row>
    <row r="790" spans="1:37" hidden="1" x14ac:dyDescent="0.2">
      <c r="A790">
        <f>SUBTOTAL(3,$B$6:B790)</f>
        <v>0</v>
      </c>
      <c r="B790" t="s">
        <v>496</v>
      </c>
      <c r="C790" t="s">
        <v>842</v>
      </c>
      <c r="D790">
        <v>0</v>
      </c>
      <c r="E790">
        <v>0</v>
      </c>
      <c r="F790">
        <v>0</v>
      </c>
      <c r="G790">
        <v>3977.2450000000003</v>
      </c>
      <c r="H790">
        <v>3472.5899999999997</v>
      </c>
      <c r="I790">
        <v>3933.8810000000003</v>
      </c>
      <c r="J790">
        <v>3933.8810000000003</v>
      </c>
      <c r="K790">
        <v>3933.8810000000003</v>
      </c>
      <c r="L790">
        <v>3933.8810000000003</v>
      </c>
      <c r="M790">
        <v>3933.8810000000003</v>
      </c>
      <c r="N790">
        <v>3933.8810000000003</v>
      </c>
      <c r="O790">
        <v>3933.8810000000003</v>
      </c>
      <c r="P790">
        <v>0</v>
      </c>
      <c r="Q790">
        <v>0</v>
      </c>
      <c r="R790">
        <v>0</v>
      </c>
      <c r="S790">
        <v>4026.5000000000005</v>
      </c>
      <c r="T790">
        <v>3485.9999999999995</v>
      </c>
      <c r="U790">
        <v>1529.52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s="164">
        <v>41214</v>
      </c>
      <c r="AC790" s="164">
        <v>42308</v>
      </c>
      <c r="AD790" s="164">
        <v>42389</v>
      </c>
      <c r="AE790" s="34">
        <f>SUMPRODUCT(DB_STProjectsSOF[[#This Row],[Plan01]:[Plan12]],$D$4:$O$4)/valUnits2</f>
        <v>11.383716</v>
      </c>
      <c r="AF790" s="34">
        <f>SUMPRODUCT(DB_STProjectsSOF[[#This Row],[Act01]:[Act12]],$P$4:$AA$4)/valUnits2</f>
        <v>9.0420200000000008</v>
      </c>
      <c r="AG790" s="34">
        <f>DB_STProjectsSOF[[#This Row],[Actual]]-DB_STProjectsSOF[[#This Row],[Plan]]</f>
        <v>-2.3416959999999989</v>
      </c>
      <c r="AH790" s="34">
        <f>IF(DB_STProjectsSOF[[#This Row],[Plan]]&lt;&gt;0,DB_STProjectsSOF[[#This Row],[Actual]]/DB_STProjectsSOF[[#This Row],[Plan]],1.000011000011)</f>
        <v>0.79429423573110935</v>
      </c>
      <c r="AI790" s="34">
        <f>SUM(DB_STProjectsSOF[[#This Row],[Plan01]:[Plan12]])/valUnits2</f>
        <v>34.987002000000011</v>
      </c>
      <c r="AJ790" s="34">
        <f>SUMPRODUCT(DB_STProjectsSOF[[#This Row],[Act01]:[Act12]],$P$3:$AA$3)/valUnits2</f>
        <v>9.0420200000000008</v>
      </c>
      <c r="AK790" s="34">
        <f>IF(DB_STProjectsSOF[[#This Row],[FY Plan]]&lt;&gt;0,DB_STProjectsSOF[[#This Row],[FY Actuals]]/DB_STProjectsSOF[[#This Row],[FY Plan]],1.000011000011)</f>
        <v>0.25843940558267892</v>
      </c>
    </row>
    <row r="791" spans="1:37" hidden="1" x14ac:dyDescent="0.2">
      <c r="A791">
        <f>SUBTOTAL(3,$B$6:B791)</f>
        <v>0</v>
      </c>
      <c r="B791" t="s">
        <v>496</v>
      </c>
      <c r="C791" t="s">
        <v>843</v>
      </c>
      <c r="G791">
        <v>5758.6000000000013</v>
      </c>
      <c r="H791">
        <v>3681.4029999999998</v>
      </c>
      <c r="I791">
        <v>1187.6579999999999</v>
      </c>
      <c r="J791">
        <v>1187.6579999999999</v>
      </c>
      <c r="K791">
        <v>1187.6579999999999</v>
      </c>
      <c r="L791">
        <v>1187.6579999999999</v>
      </c>
      <c r="M791">
        <v>1187.6579999999999</v>
      </c>
      <c r="N791">
        <v>1187.6579999999999</v>
      </c>
      <c r="O791">
        <v>1187.6579999999999</v>
      </c>
      <c r="S791">
        <v>5772.5800000000008</v>
      </c>
      <c r="T791">
        <v>3674.64</v>
      </c>
      <c r="U791">
        <v>3447.5800000000004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s="164">
        <v>41275</v>
      </c>
      <c r="AC791" s="164">
        <v>42369</v>
      </c>
      <c r="AD791" s="164">
        <v>42492</v>
      </c>
      <c r="AE791" s="34">
        <f>SUMPRODUCT(DB_STProjectsSOF[[#This Row],[Plan01]:[Plan12]],$D$4:$O$4)/valUnits2</f>
        <v>10.627661</v>
      </c>
      <c r="AF791" s="34">
        <f>SUMPRODUCT(DB_STProjectsSOF[[#This Row],[Act01]:[Act12]],$P$4:$AA$4)/valUnits2</f>
        <v>12.894800000000002</v>
      </c>
      <c r="AG791" s="34">
        <f>DB_STProjectsSOF[[#This Row],[Actual]]-DB_STProjectsSOF[[#This Row],[Plan]]</f>
        <v>2.267139000000002</v>
      </c>
      <c r="AH791" s="34">
        <f>IF(DB_STProjectsSOF[[#This Row],[Plan]]&lt;&gt;0,DB_STProjectsSOF[[#This Row],[Actual]]/DB_STProjectsSOF[[#This Row],[Plan]],1.000011000011)</f>
        <v>1.2133243617763121</v>
      </c>
      <c r="AI791" s="34">
        <f>SUM(DB_STProjectsSOF[[#This Row],[Plan01]:[Plan12]])/valUnits2</f>
        <v>17.753608999999997</v>
      </c>
      <c r="AJ791" s="34">
        <f>SUMPRODUCT(DB_STProjectsSOF[[#This Row],[Act01]:[Act12]],$P$3:$AA$3)/valUnits2</f>
        <v>12.894800000000002</v>
      </c>
      <c r="AK791" s="34">
        <f>IF(DB_STProjectsSOF[[#This Row],[FY Plan]]&lt;&gt;0,DB_STProjectsSOF[[#This Row],[FY Actuals]]/DB_STProjectsSOF[[#This Row],[FY Plan]],1.000011000011)</f>
        <v>0.7263199274018034</v>
      </c>
    </row>
    <row r="792" spans="1:37" hidden="1" x14ac:dyDescent="0.2">
      <c r="A792">
        <f>SUBTOTAL(3,$B$6:B792)</f>
        <v>0</v>
      </c>
      <c r="B792" t="s">
        <v>496</v>
      </c>
      <c r="C792" t="s">
        <v>357</v>
      </c>
      <c r="E792">
        <v>42.879999999999995</v>
      </c>
      <c r="F792">
        <v>45.81</v>
      </c>
      <c r="G792">
        <v>140.63</v>
      </c>
      <c r="H792">
        <v>179.33</v>
      </c>
      <c r="I792">
        <v>304.37200000000001</v>
      </c>
      <c r="Q792">
        <v>42.879999999999995</v>
      </c>
      <c r="R792">
        <v>45.81</v>
      </c>
      <c r="S792">
        <v>140.63</v>
      </c>
      <c r="T792">
        <v>179.75000000000003</v>
      </c>
      <c r="U792">
        <v>152.38</v>
      </c>
      <c r="AB792" s="164">
        <v>40817</v>
      </c>
      <c r="AC792" s="164">
        <v>41455</v>
      </c>
      <c r="AD792" s="164">
        <v>41517</v>
      </c>
      <c r="AE792" s="34">
        <f>SUMPRODUCT(DB_STProjectsSOF[[#This Row],[Plan01]:[Plan12]],$D$4:$O$4)/valUnits2</f>
        <v>0.71302199999999993</v>
      </c>
      <c r="AF792" s="34">
        <f>SUMPRODUCT(DB_STProjectsSOF[[#This Row],[Act01]:[Act12]],$P$4:$AA$4)/valUnits2</f>
        <v>0.56145</v>
      </c>
      <c r="AG792" s="34">
        <f>DB_STProjectsSOF[[#This Row],[Actual]]-DB_STProjectsSOF[[#This Row],[Plan]]</f>
        <v>-0.15157199999999993</v>
      </c>
      <c r="AH792" s="34">
        <f>IF(DB_STProjectsSOF[[#This Row],[Plan]]&lt;&gt;0,DB_STProjectsSOF[[#This Row],[Actual]]/DB_STProjectsSOF[[#This Row],[Plan]],1.000011000011)</f>
        <v>0.78742310896437984</v>
      </c>
      <c r="AI792" s="34">
        <f>SUM(DB_STProjectsSOF[[#This Row],[Plan01]:[Plan12]])/valUnits2</f>
        <v>0.71302199999999993</v>
      </c>
      <c r="AJ792" s="34">
        <f>SUMPRODUCT(DB_STProjectsSOF[[#This Row],[Act01]:[Act12]],$P$3:$AA$3)/valUnits2</f>
        <v>0.56145</v>
      </c>
      <c r="AK792" s="34">
        <f>IF(DB_STProjectsSOF[[#This Row],[FY Plan]]&lt;&gt;0,DB_STProjectsSOF[[#This Row],[FY Actuals]]/DB_STProjectsSOF[[#This Row],[FY Plan]],1.000011000011)</f>
        <v>0.78742310896437984</v>
      </c>
    </row>
    <row r="793" spans="1:37" hidden="1" x14ac:dyDescent="0.2">
      <c r="A793">
        <f>SUBTOTAL(3,$B$6:B793)</f>
        <v>0</v>
      </c>
      <c r="B793" t="s">
        <v>496</v>
      </c>
      <c r="C793" t="s">
        <v>846</v>
      </c>
      <c r="D793">
        <v>0</v>
      </c>
      <c r="E793">
        <v>0</v>
      </c>
      <c r="F793">
        <v>0</v>
      </c>
      <c r="G793">
        <v>206.8</v>
      </c>
      <c r="H793">
        <v>70.69</v>
      </c>
      <c r="I793">
        <v>73.546999999999997</v>
      </c>
      <c r="J793">
        <v>73.546999999999997</v>
      </c>
      <c r="K793">
        <v>73.546999999999997</v>
      </c>
      <c r="L793">
        <v>73.546999999999997</v>
      </c>
      <c r="M793">
        <v>73.546999999999997</v>
      </c>
      <c r="N793">
        <v>73.546999999999997</v>
      </c>
      <c r="O793">
        <v>73.546999999999997</v>
      </c>
      <c r="P793">
        <v>0</v>
      </c>
      <c r="Q793">
        <v>0</v>
      </c>
      <c r="R793">
        <v>0</v>
      </c>
      <c r="S793">
        <v>206.79999999999998</v>
      </c>
      <c r="T793">
        <v>71</v>
      </c>
      <c r="U793">
        <v>76.41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s="164">
        <v>40817</v>
      </c>
      <c r="AC793" s="164">
        <v>41599</v>
      </c>
      <c r="AD793" s="164">
        <v>41305</v>
      </c>
      <c r="AE793" s="34">
        <f>SUMPRODUCT(DB_STProjectsSOF[[#This Row],[Plan01]:[Plan12]],$D$4:$O$4)/valUnits2</f>
        <v>0.35103700000000004</v>
      </c>
      <c r="AF793" s="34">
        <f>SUMPRODUCT(DB_STProjectsSOF[[#This Row],[Act01]:[Act12]],$P$4:$AA$4)/valUnits2</f>
        <v>0.35420999999999991</v>
      </c>
      <c r="AG793" s="34">
        <f>DB_STProjectsSOF[[#This Row],[Actual]]-DB_STProjectsSOF[[#This Row],[Plan]]</f>
        <v>3.1729999999998704E-3</v>
      </c>
      <c r="AH793" s="34">
        <f>IF(DB_STProjectsSOF[[#This Row],[Plan]]&lt;&gt;0,DB_STProjectsSOF[[#This Row],[Actual]]/DB_STProjectsSOF[[#This Row],[Plan]],1.000011000011)</f>
        <v>1.0090389332178655</v>
      </c>
      <c r="AI793" s="34">
        <f>SUM(DB_STProjectsSOF[[#This Row],[Plan01]:[Plan12]])/valUnits2</f>
        <v>0.79231900000000022</v>
      </c>
      <c r="AJ793" s="34">
        <f>SUMPRODUCT(DB_STProjectsSOF[[#This Row],[Act01]:[Act12]],$P$3:$AA$3)/valUnits2</f>
        <v>0.35420999999999991</v>
      </c>
      <c r="AK793" s="34">
        <f>IF(DB_STProjectsSOF[[#This Row],[FY Plan]]&lt;&gt;0,DB_STProjectsSOF[[#This Row],[FY Actuals]]/DB_STProjectsSOF[[#This Row],[FY Plan]],1.000011000011)</f>
        <v>0.44705478475210086</v>
      </c>
    </row>
    <row r="794" spans="1:37" hidden="1" x14ac:dyDescent="0.2">
      <c r="A794">
        <f>SUBTOTAL(3,$B$6:B794)</f>
        <v>0</v>
      </c>
      <c r="B794" t="s">
        <v>496</v>
      </c>
      <c r="C794" t="s">
        <v>847</v>
      </c>
      <c r="H794">
        <v>997.62900000000002</v>
      </c>
      <c r="I794">
        <v>0</v>
      </c>
      <c r="T794">
        <v>1020.89</v>
      </c>
      <c r="U794">
        <v>105.59000000000005</v>
      </c>
      <c r="AB794" s="164">
        <v>41334</v>
      </c>
      <c r="AC794" s="164">
        <v>41698</v>
      </c>
      <c r="AD794" s="164">
        <v>41759</v>
      </c>
      <c r="AE794" s="34">
        <f>SUMPRODUCT(DB_STProjectsSOF[[#This Row],[Plan01]:[Plan12]],$D$4:$O$4)/valUnits2</f>
        <v>0.99762899999999999</v>
      </c>
      <c r="AF794" s="34">
        <f>SUMPRODUCT(DB_STProjectsSOF[[#This Row],[Act01]:[Act12]],$P$4:$AA$4)/valUnits2</f>
        <v>1.1264799999999999</v>
      </c>
      <c r="AG794" s="34">
        <f>DB_STProjectsSOF[[#This Row],[Actual]]-DB_STProjectsSOF[[#This Row],[Plan]]</f>
        <v>0.12885099999999994</v>
      </c>
      <c r="AH794" s="34">
        <f>IF(DB_STProjectsSOF[[#This Row],[Plan]]&lt;&gt;0,DB_STProjectsSOF[[#This Row],[Actual]]/DB_STProjectsSOF[[#This Row],[Plan]],1.000011000011)</f>
        <v>1.1291572317965897</v>
      </c>
      <c r="AI794" s="34">
        <f>SUM(DB_STProjectsSOF[[#This Row],[Plan01]:[Plan12]])/valUnits2</f>
        <v>0.99762899999999999</v>
      </c>
      <c r="AJ794" s="34">
        <f>SUMPRODUCT(DB_STProjectsSOF[[#This Row],[Act01]:[Act12]],$P$3:$AA$3)/valUnits2</f>
        <v>1.1264799999999999</v>
      </c>
      <c r="AK794" s="34">
        <f>IF(DB_STProjectsSOF[[#This Row],[FY Plan]]&lt;&gt;0,DB_STProjectsSOF[[#This Row],[FY Actuals]]/DB_STProjectsSOF[[#This Row],[FY Plan]],1.000011000011)</f>
        <v>1.1291572317965897</v>
      </c>
    </row>
    <row r="795" spans="1:37" hidden="1" x14ac:dyDescent="0.2">
      <c r="A795">
        <f>SUBTOTAL(3,$B$6:B795)</f>
        <v>0</v>
      </c>
      <c r="B795" t="s">
        <v>496</v>
      </c>
      <c r="C795" t="s">
        <v>849</v>
      </c>
      <c r="G795">
        <v>10.608000000000001</v>
      </c>
      <c r="H795">
        <v>19.908000000000001</v>
      </c>
      <c r="I795">
        <v>0</v>
      </c>
      <c r="S795">
        <v>10.27</v>
      </c>
      <c r="T795">
        <v>20.060000000000002</v>
      </c>
      <c r="U795">
        <v>2191.9499999999998</v>
      </c>
      <c r="AB795" s="164">
        <v>41153</v>
      </c>
      <c r="AC795" s="164">
        <v>41364</v>
      </c>
      <c r="AD795" s="164">
        <v>41424</v>
      </c>
      <c r="AE795" s="34">
        <f>SUMPRODUCT(DB_STProjectsSOF[[#This Row],[Plan01]:[Plan12]],$D$4:$O$4)/valUnits2</f>
        <v>3.0516000000000001E-2</v>
      </c>
      <c r="AF795" s="34">
        <f>SUMPRODUCT(DB_STProjectsSOF[[#This Row],[Act01]:[Act12]],$P$4:$AA$4)/valUnits2</f>
        <v>2.2222799999999996</v>
      </c>
      <c r="AG795" s="34">
        <f>DB_STProjectsSOF[[#This Row],[Actual]]-DB_STProjectsSOF[[#This Row],[Plan]]</f>
        <v>2.1917639999999996</v>
      </c>
      <c r="AH795" s="34">
        <f>IF(DB_STProjectsSOF[[#This Row],[Plan]]&lt;&gt;0,DB_STProjectsSOF[[#This Row],[Actual]]/DB_STProjectsSOF[[#This Row],[Plan]],1.000011000011)</f>
        <v>72.823436885568213</v>
      </c>
      <c r="AI795" s="34">
        <f>SUM(DB_STProjectsSOF[[#This Row],[Plan01]:[Plan12]])/valUnits2</f>
        <v>3.0516000000000001E-2</v>
      </c>
      <c r="AJ795" s="34">
        <f>SUMPRODUCT(DB_STProjectsSOF[[#This Row],[Act01]:[Act12]],$P$3:$AA$3)/valUnits2</f>
        <v>2.2222799999999996</v>
      </c>
      <c r="AK795" s="34">
        <f>IF(DB_STProjectsSOF[[#This Row],[FY Plan]]&lt;&gt;0,DB_STProjectsSOF[[#This Row],[FY Actuals]]/DB_STProjectsSOF[[#This Row],[FY Plan]],1.000011000011)</f>
        <v>72.823436885568213</v>
      </c>
    </row>
    <row r="796" spans="1:37" hidden="1" x14ac:dyDescent="0.2">
      <c r="A796">
        <f>SUBTOTAL(3,$B$6:B796)</f>
        <v>0</v>
      </c>
      <c r="B796" t="s">
        <v>496</v>
      </c>
      <c r="C796" t="s">
        <v>366</v>
      </c>
      <c r="D796">
        <v>0</v>
      </c>
      <c r="E796">
        <v>0</v>
      </c>
      <c r="F796">
        <v>0</v>
      </c>
      <c r="G796">
        <v>524.0859999999999</v>
      </c>
      <c r="H796">
        <v>162.79200000000003</v>
      </c>
      <c r="I796">
        <v>0</v>
      </c>
      <c r="J796">
        <v>0</v>
      </c>
      <c r="K796">
        <v>0</v>
      </c>
      <c r="P796">
        <v>0</v>
      </c>
      <c r="Q796">
        <v>0</v>
      </c>
      <c r="R796">
        <v>0</v>
      </c>
      <c r="S796">
        <v>532.13999999999987</v>
      </c>
      <c r="T796">
        <v>164.34999999999997</v>
      </c>
      <c r="U796">
        <v>176.83</v>
      </c>
      <c r="V796">
        <v>0</v>
      </c>
      <c r="W796">
        <v>0</v>
      </c>
      <c r="AB796" s="164">
        <v>41153</v>
      </c>
      <c r="AC796" s="164">
        <v>41517</v>
      </c>
      <c r="AD796" s="164">
        <v>41567</v>
      </c>
      <c r="AE796" s="34">
        <f>SUMPRODUCT(DB_STProjectsSOF[[#This Row],[Plan01]:[Plan12]],$D$4:$O$4)/valUnits2</f>
        <v>0.68687799999999988</v>
      </c>
      <c r="AF796" s="34">
        <f>SUMPRODUCT(DB_STProjectsSOF[[#This Row],[Act01]:[Act12]],$P$4:$AA$4)/valUnits2</f>
        <v>0.87331999999999987</v>
      </c>
      <c r="AG796" s="34">
        <f>DB_STProjectsSOF[[#This Row],[Actual]]-DB_STProjectsSOF[[#This Row],[Plan]]</f>
        <v>0.186442</v>
      </c>
      <c r="AH796" s="34">
        <f>IF(DB_STProjectsSOF[[#This Row],[Plan]]&lt;&gt;0,DB_STProjectsSOF[[#This Row],[Actual]]/DB_STProjectsSOF[[#This Row],[Plan]],1.000011000011)</f>
        <v>1.2714339373222028</v>
      </c>
      <c r="AI796" s="34">
        <f>SUM(DB_STProjectsSOF[[#This Row],[Plan01]:[Plan12]])/valUnits2</f>
        <v>0.68687799999999988</v>
      </c>
      <c r="AJ796" s="34">
        <f>SUMPRODUCT(DB_STProjectsSOF[[#This Row],[Act01]:[Act12]],$P$3:$AA$3)/valUnits2</f>
        <v>0.87331999999999987</v>
      </c>
      <c r="AK796" s="34">
        <f>IF(DB_STProjectsSOF[[#This Row],[FY Plan]]&lt;&gt;0,DB_STProjectsSOF[[#This Row],[FY Actuals]]/DB_STProjectsSOF[[#This Row],[FY Plan]],1.000011000011)</f>
        <v>1.2714339373222028</v>
      </c>
    </row>
    <row r="797" spans="1:37" hidden="1" x14ac:dyDescent="0.2">
      <c r="A797">
        <f>SUBTOTAL(3,$B$6:B797)</f>
        <v>0</v>
      </c>
      <c r="B797" t="s">
        <v>496</v>
      </c>
      <c r="C797" t="s">
        <v>353</v>
      </c>
      <c r="F797">
        <v>0</v>
      </c>
      <c r="G797">
        <v>441.84699999999998</v>
      </c>
      <c r="H797">
        <v>861.21</v>
      </c>
      <c r="I797">
        <v>0</v>
      </c>
      <c r="R797">
        <v>0</v>
      </c>
      <c r="S797">
        <v>440.36</v>
      </c>
      <c r="T797">
        <v>860.59</v>
      </c>
      <c r="U797">
        <v>612.54</v>
      </c>
      <c r="AB797" s="164">
        <v>41214</v>
      </c>
      <c r="AC797" s="164">
        <v>41455</v>
      </c>
      <c r="AD797" s="164">
        <v>41532</v>
      </c>
      <c r="AE797" s="34">
        <f>SUMPRODUCT(DB_STProjectsSOF[[#This Row],[Plan01]:[Plan12]],$D$4:$O$4)/valUnits2</f>
        <v>1.3030569999999999</v>
      </c>
      <c r="AF797" s="34">
        <f>SUMPRODUCT(DB_STProjectsSOF[[#This Row],[Act01]:[Act12]],$P$4:$AA$4)/valUnits2</f>
        <v>1.9134899999999999</v>
      </c>
      <c r="AG797" s="34">
        <f>DB_STProjectsSOF[[#This Row],[Actual]]-DB_STProjectsSOF[[#This Row],[Plan]]</f>
        <v>0.610433</v>
      </c>
      <c r="AH797" s="34">
        <f>IF(DB_STProjectsSOF[[#This Row],[Plan]]&lt;&gt;0,DB_STProjectsSOF[[#This Row],[Actual]]/DB_STProjectsSOF[[#This Row],[Plan]],1.000011000011)</f>
        <v>1.4684622391806346</v>
      </c>
      <c r="AI797" s="34">
        <f>SUM(DB_STProjectsSOF[[#This Row],[Plan01]:[Plan12]])/valUnits2</f>
        <v>1.3030569999999999</v>
      </c>
      <c r="AJ797" s="34">
        <f>SUMPRODUCT(DB_STProjectsSOF[[#This Row],[Act01]:[Act12]],$P$3:$AA$3)/valUnits2</f>
        <v>1.9134899999999999</v>
      </c>
      <c r="AK797" s="34">
        <f>IF(DB_STProjectsSOF[[#This Row],[FY Plan]]&lt;&gt;0,DB_STProjectsSOF[[#This Row],[FY Actuals]]/DB_STProjectsSOF[[#This Row],[FY Plan]],1.000011000011)</f>
        <v>1.4684622391806346</v>
      </c>
    </row>
    <row r="798" spans="1:37" hidden="1" x14ac:dyDescent="0.2">
      <c r="A798">
        <f>SUBTOTAL(3,$B$6:B798)</f>
        <v>0</v>
      </c>
      <c r="B798" t="s">
        <v>496</v>
      </c>
      <c r="C798" t="s">
        <v>850</v>
      </c>
      <c r="D798">
        <v>0</v>
      </c>
      <c r="E798">
        <v>1013.033</v>
      </c>
      <c r="F798">
        <v>0</v>
      </c>
      <c r="G798">
        <v>2739.66</v>
      </c>
      <c r="H798">
        <v>1256.5450000000003</v>
      </c>
      <c r="I798">
        <v>383.29500000000002</v>
      </c>
      <c r="J798">
        <v>383.29500000000002</v>
      </c>
      <c r="K798">
        <v>383.29500000000002</v>
      </c>
      <c r="L798">
        <v>383.29500000000002</v>
      </c>
      <c r="M798">
        <v>383.29500000000002</v>
      </c>
      <c r="N798">
        <v>383.29500000000002</v>
      </c>
      <c r="O798">
        <v>383.29500000000002</v>
      </c>
      <c r="P798">
        <v>0</v>
      </c>
      <c r="Q798">
        <v>1013.0600000000001</v>
      </c>
      <c r="R798">
        <v>0</v>
      </c>
      <c r="S798">
        <v>2731.69</v>
      </c>
      <c r="T798">
        <v>1258.19</v>
      </c>
      <c r="U798">
        <v>-187.0199999999999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s="164">
        <v>40817</v>
      </c>
      <c r="AC798" s="164">
        <v>41639</v>
      </c>
      <c r="AD798" s="164">
        <v>41820</v>
      </c>
      <c r="AE798" s="34">
        <f>SUMPRODUCT(DB_STProjectsSOF[[#This Row],[Plan01]:[Plan12]],$D$4:$O$4)/valUnits2</f>
        <v>5.3925330000000002</v>
      </c>
      <c r="AF798" s="34">
        <f>SUMPRODUCT(DB_STProjectsSOF[[#This Row],[Act01]:[Act12]],$P$4:$AA$4)/valUnits2</f>
        <v>4.8159200000000011</v>
      </c>
      <c r="AG798" s="34">
        <f>DB_STProjectsSOF[[#This Row],[Actual]]-DB_STProjectsSOF[[#This Row],[Plan]]</f>
        <v>-0.57661299999999915</v>
      </c>
      <c r="AH798" s="34">
        <f>IF(DB_STProjectsSOF[[#This Row],[Plan]]&lt;&gt;0,DB_STProjectsSOF[[#This Row],[Actual]]/DB_STProjectsSOF[[#This Row],[Plan]],1.000011000011)</f>
        <v>0.89307195709326226</v>
      </c>
      <c r="AI798" s="34">
        <f>SUM(DB_STProjectsSOF[[#This Row],[Plan01]:[Plan12]])/valUnits2</f>
        <v>7.6923030000000008</v>
      </c>
      <c r="AJ798" s="34">
        <f>SUMPRODUCT(DB_STProjectsSOF[[#This Row],[Act01]:[Act12]],$P$3:$AA$3)/valUnits2</f>
        <v>4.8159200000000011</v>
      </c>
      <c r="AK798" s="34">
        <f>IF(DB_STProjectsSOF[[#This Row],[FY Plan]]&lt;&gt;0,DB_STProjectsSOF[[#This Row],[FY Actuals]]/DB_STProjectsSOF[[#This Row],[FY Plan]],1.000011000011)</f>
        <v>0.62606998190268903</v>
      </c>
    </row>
    <row r="799" spans="1:37" hidden="1" x14ac:dyDescent="0.2">
      <c r="A799">
        <f>SUBTOTAL(3,$B$6:B799)</f>
        <v>0</v>
      </c>
      <c r="B799" t="s">
        <v>496</v>
      </c>
      <c r="C799" t="s">
        <v>852</v>
      </c>
      <c r="D799">
        <v>851.36099999999999</v>
      </c>
      <c r="P799">
        <v>868.58</v>
      </c>
      <c r="AB799" s="164">
        <v>40909</v>
      </c>
      <c r="AC799" s="164">
        <v>41305</v>
      </c>
      <c r="AD799" s="164">
        <v>41305</v>
      </c>
      <c r="AE799" s="34">
        <f>SUMPRODUCT(DB_STProjectsSOF[[#This Row],[Plan01]:[Plan12]],$D$4:$O$4)/valUnits2</f>
        <v>0.85136100000000003</v>
      </c>
      <c r="AF799" s="34">
        <f>SUMPRODUCT(DB_STProjectsSOF[[#This Row],[Act01]:[Act12]],$P$4:$AA$4)/valUnits2</f>
        <v>0.86858000000000002</v>
      </c>
      <c r="AG799" s="34">
        <f>DB_STProjectsSOF[[#This Row],[Actual]]-DB_STProjectsSOF[[#This Row],[Plan]]</f>
        <v>1.7218999999999984E-2</v>
      </c>
      <c r="AH799" s="34">
        <f>IF(DB_STProjectsSOF[[#This Row],[Plan]]&lt;&gt;0,DB_STProjectsSOF[[#This Row],[Actual]]/DB_STProjectsSOF[[#This Row],[Plan]],1.000011000011)</f>
        <v>1.0202252628438464</v>
      </c>
      <c r="AI799" s="34">
        <f>SUM(DB_STProjectsSOF[[#This Row],[Plan01]:[Plan12]])/valUnits2</f>
        <v>0.85136100000000003</v>
      </c>
      <c r="AJ799" s="34">
        <f>SUMPRODUCT(DB_STProjectsSOF[[#This Row],[Act01]:[Act12]],$P$3:$AA$3)/valUnits2</f>
        <v>0.86858000000000002</v>
      </c>
      <c r="AK799" s="34">
        <f>IF(DB_STProjectsSOF[[#This Row],[FY Plan]]&lt;&gt;0,DB_STProjectsSOF[[#This Row],[FY Actuals]]/DB_STProjectsSOF[[#This Row],[FY Plan]],1.000011000011)</f>
        <v>1.0202252628438464</v>
      </c>
    </row>
    <row r="800" spans="1:37" hidden="1" x14ac:dyDescent="0.2">
      <c r="A800">
        <f>SUBTOTAL(3,$B$6:B800)</f>
        <v>0</v>
      </c>
      <c r="B800" t="s">
        <v>496</v>
      </c>
      <c r="C800" t="s">
        <v>853</v>
      </c>
      <c r="G800">
        <v>12.959</v>
      </c>
      <c r="H800">
        <v>24.884</v>
      </c>
      <c r="I800">
        <v>56.69</v>
      </c>
      <c r="J800">
        <v>56.69</v>
      </c>
      <c r="K800">
        <v>56.69</v>
      </c>
      <c r="L800">
        <v>56.69</v>
      </c>
      <c r="M800">
        <v>56.69</v>
      </c>
      <c r="N800">
        <v>56.69</v>
      </c>
      <c r="O800">
        <v>56.69</v>
      </c>
      <c r="S800">
        <v>12.79</v>
      </c>
      <c r="T800">
        <v>25.040000000000003</v>
      </c>
      <c r="U800">
        <v>17.77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s="164">
        <v>41275</v>
      </c>
      <c r="AC800" s="164">
        <v>41639</v>
      </c>
      <c r="AD800" s="164">
        <v>41669</v>
      </c>
      <c r="AE800" s="34">
        <f>SUMPRODUCT(DB_STProjectsSOF[[#This Row],[Plan01]:[Plan12]],$D$4:$O$4)/valUnits2</f>
        <v>9.4533000000000006E-2</v>
      </c>
      <c r="AF800" s="34">
        <f>SUMPRODUCT(DB_STProjectsSOF[[#This Row],[Act01]:[Act12]],$P$4:$AA$4)/valUnits2</f>
        <v>5.5599999999999997E-2</v>
      </c>
      <c r="AG800" s="34">
        <f>DB_STProjectsSOF[[#This Row],[Actual]]-DB_STProjectsSOF[[#This Row],[Plan]]</f>
        <v>-3.8933000000000009E-2</v>
      </c>
      <c r="AH800" s="34">
        <f>IF(DB_STProjectsSOF[[#This Row],[Plan]]&lt;&gt;0,DB_STProjectsSOF[[#This Row],[Actual]]/DB_STProjectsSOF[[#This Row],[Plan]],1.000011000011)</f>
        <v>0.58815440110860751</v>
      </c>
      <c r="AI800" s="34">
        <f>SUM(DB_STProjectsSOF[[#This Row],[Plan01]:[Plan12]])/valUnits2</f>
        <v>0.43467299999999998</v>
      </c>
      <c r="AJ800" s="34">
        <f>SUMPRODUCT(DB_STProjectsSOF[[#This Row],[Act01]:[Act12]],$P$3:$AA$3)/valUnits2</f>
        <v>5.5599999999999997E-2</v>
      </c>
      <c r="AK800" s="34">
        <f>IF(DB_STProjectsSOF[[#This Row],[FY Plan]]&lt;&gt;0,DB_STProjectsSOF[[#This Row],[FY Actuals]]/DB_STProjectsSOF[[#This Row],[FY Plan]],1.000011000011)</f>
        <v>0.12791224667738738</v>
      </c>
    </row>
    <row r="801" spans="1:37" hidden="1" x14ac:dyDescent="0.2">
      <c r="A801">
        <f>SUBTOTAL(3,$B$6:B801)</f>
        <v>0</v>
      </c>
      <c r="B801" t="s">
        <v>496</v>
      </c>
      <c r="C801" t="s">
        <v>854</v>
      </c>
      <c r="E801">
        <v>0</v>
      </c>
      <c r="F801">
        <v>0</v>
      </c>
      <c r="G801">
        <v>1698.0520000000001</v>
      </c>
      <c r="H801">
        <v>737.55</v>
      </c>
      <c r="I801">
        <v>1025.771</v>
      </c>
      <c r="J801">
        <v>1025.771</v>
      </c>
      <c r="K801">
        <v>1025.771</v>
      </c>
      <c r="L801">
        <v>1025.771</v>
      </c>
      <c r="M801">
        <v>1025.771</v>
      </c>
      <c r="N801">
        <v>1025.771</v>
      </c>
      <c r="O801">
        <v>1025.771</v>
      </c>
      <c r="Q801">
        <v>0</v>
      </c>
      <c r="R801">
        <v>0</v>
      </c>
      <c r="S801">
        <v>1704.15</v>
      </c>
      <c r="T801">
        <v>766.73</v>
      </c>
      <c r="U801">
        <v>693.51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s="164">
        <v>40923</v>
      </c>
      <c r="AC801" s="164">
        <v>41698</v>
      </c>
      <c r="AD801" s="164">
        <v>41759</v>
      </c>
      <c r="AE801" s="34">
        <f>SUMPRODUCT(DB_STProjectsSOF[[#This Row],[Plan01]:[Plan12]],$D$4:$O$4)/valUnits2</f>
        <v>3.4613729999999996</v>
      </c>
      <c r="AF801" s="34">
        <f>SUMPRODUCT(DB_STProjectsSOF[[#This Row],[Act01]:[Act12]],$P$4:$AA$4)/valUnits2</f>
        <v>3.1643900000000005</v>
      </c>
      <c r="AG801" s="34">
        <f>DB_STProjectsSOF[[#This Row],[Actual]]-DB_STProjectsSOF[[#This Row],[Plan]]</f>
        <v>-0.29698299999999911</v>
      </c>
      <c r="AH801" s="34">
        <f>IF(DB_STProjectsSOF[[#This Row],[Plan]]&lt;&gt;0,DB_STProjectsSOF[[#This Row],[Actual]]/DB_STProjectsSOF[[#This Row],[Plan]],1.000011000011)</f>
        <v>0.914200809909825</v>
      </c>
      <c r="AI801" s="34">
        <f>SUM(DB_STProjectsSOF[[#This Row],[Plan01]:[Plan12]])/valUnits2</f>
        <v>9.6159990000000004</v>
      </c>
      <c r="AJ801" s="34">
        <f>SUMPRODUCT(DB_STProjectsSOF[[#This Row],[Act01]:[Act12]],$P$3:$AA$3)/valUnits2</f>
        <v>3.1643900000000005</v>
      </c>
      <c r="AK801" s="34">
        <f>IF(DB_STProjectsSOF[[#This Row],[FY Plan]]&lt;&gt;0,DB_STProjectsSOF[[#This Row],[FY Actuals]]/DB_STProjectsSOF[[#This Row],[FY Plan]],1.000011000011)</f>
        <v>0.32907553338971857</v>
      </c>
    </row>
    <row r="802" spans="1:37" hidden="1" x14ac:dyDescent="0.2">
      <c r="A802">
        <f>SUBTOTAL(3,$B$6:B802)</f>
        <v>0</v>
      </c>
      <c r="B802" t="s">
        <v>496</v>
      </c>
      <c r="C802" t="s">
        <v>855</v>
      </c>
      <c r="D802">
        <v>8.7799999999999994</v>
      </c>
      <c r="E802">
        <v>457.41800000000001</v>
      </c>
      <c r="F802">
        <v>498.77499999999998</v>
      </c>
      <c r="G802">
        <v>4621.6659999999993</v>
      </c>
      <c r="H802">
        <v>3777.29</v>
      </c>
      <c r="I802">
        <v>1379.4970000000001</v>
      </c>
      <c r="J802">
        <v>1379.4970000000001</v>
      </c>
      <c r="K802">
        <v>1379.4970000000001</v>
      </c>
      <c r="L802">
        <v>1379.4970000000001</v>
      </c>
      <c r="M802">
        <v>1379.4970000000001</v>
      </c>
      <c r="N802">
        <v>1379.4970000000001</v>
      </c>
      <c r="O802">
        <v>1379.4970000000001</v>
      </c>
      <c r="P802">
        <v>8.65</v>
      </c>
      <c r="Q802">
        <v>467.01</v>
      </c>
      <c r="R802">
        <v>503.29000000000008</v>
      </c>
      <c r="S802">
        <v>4667.8399999999992</v>
      </c>
      <c r="T802">
        <v>3783.9100000000003</v>
      </c>
      <c r="U802">
        <v>1973.34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s="164">
        <v>40817</v>
      </c>
      <c r="AC802" s="164">
        <v>41759</v>
      </c>
      <c r="AD802" s="164">
        <v>41820</v>
      </c>
      <c r="AE802" s="34">
        <f>SUMPRODUCT(DB_STProjectsSOF[[#This Row],[Plan01]:[Plan12]],$D$4:$O$4)/valUnits2</f>
        <v>10.743425999999999</v>
      </c>
      <c r="AF802" s="34">
        <f>SUMPRODUCT(DB_STProjectsSOF[[#This Row],[Act01]:[Act12]],$P$4:$AA$4)/valUnits2</f>
        <v>11.404039999999998</v>
      </c>
      <c r="AG802" s="34">
        <f>DB_STProjectsSOF[[#This Row],[Actual]]-DB_STProjectsSOF[[#This Row],[Plan]]</f>
        <v>0.66061399999999892</v>
      </c>
      <c r="AH802" s="34">
        <f>IF(DB_STProjectsSOF[[#This Row],[Plan]]&lt;&gt;0,DB_STProjectsSOF[[#This Row],[Actual]]/DB_STProjectsSOF[[#This Row],[Plan]],1.000011000011)</f>
        <v>1.0614900684381312</v>
      </c>
      <c r="AI802" s="34">
        <f>SUM(DB_STProjectsSOF[[#This Row],[Plan01]:[Plan12]])/valUnits2</f>
        <v>19.020407999999996</v>
      </c>
      <c r="AJ802" s="34">
        <f>SUMPRODUCT(DB_STProjectsSOF[[#This Row],[Act01]:[Act12]],$P$3:$AA$3)/valUnits2</f>
        <v>11.404039999999998</v>
      </c>
      <c r="AK802" s="34">
        <f>IF(DB_STProjectsSOF[[#This Row],[FY Plan]]&lt;&gt;0,DB_STProjectsSOF[[#This Row],[FY Actuals]]/DB_STProjectsSOF[[#This Row],[FY Plan]],1.000011000011)</f>
        <v>0.59956863175595398</v>
      </c>
    </row>
    <row r="803" spans="1:37" hidden="1" x14ac:dyDescent="0.2">
      <c r="A803">
        <f>SUBTOTAL(3,$B$6:B803)</f>
        <v>0</v>
      </c>
      <c r="B803" t="s">
        <v>496</v>
      </c>
      <c r="C803" t="s">
        <v>367</v>
      </c>
      <c r="D803">
        <v>0</v>
      </c>
      <c r="G803">
        <v>782.64699999999993</v>
      </c>
      <c r="H803">
        <v>1051.2529999999999</v>
      </c>
      <c r="I803">
        <v>0</v>
      </c>
      <c r="J803">
        <v>0</v>
      </c>
      <c r="M803">
        <v>0</v>
      </c>
      <c r="P803">
        <v>0</v>
      </c>
      <c r="S803">
        <v>781.95</v>
      </c>
      <c r="T803">
        <v>1050.52</v>
      </c>
      <c r="U803">
        <v>781.88000000000011</v>
      </c>
      <c r="V803">
        <v>0</v>
      </c>
      <c r="Y803">
        <v>0</v>
      </c>
      <c r="AB803" s="164">
        <v>40817</v>
      </c>
      <c r="AC803" s="164">
        <v>41547</v>
      </c>
      <c r="AD803" s="164">
        <v>41670</v>
      </c>
      <c r="AE803" s="34">
        <f>SUMPRODUCT(DB_STProjectsSOF[[#This Row],[Plan01]:[Plan12]],$D$4:$O$4)/valUnits2</f>
        <v>1.8338999999999999</v>
      </c>
      <c r="AF803" s="34">
        <f>SUMPRODUCT(DB_STProjectsSOF[[#This Row],[Act01]:[Act12]],$P$4:$AA$4)/valUnits2</f>
        <v>2.6143500000000004</v>
      </c>
      <c r="AG803" s="34">
        <f>DB_STProjectsSOF[[#This Row],[Actual]]-DB_STProjectsSOF[[#This Row],[Plan]]</f>
        <v>0.78045000000000053</v>
      </c>
      <c r="AH803" s="34">
        <f>IF(DB_STProjectsSOF[[#This Row],[Plan]]&lt;&gt;0,DB_STProjectsSOF[[#This Row],[Actual]]/DB_STProjectsSOF[[#This Row],[Plan]],1.000011000011)</f>
        <v>1.4255684606576153</v>
      </c>
      <c r="AI803" s="34">
        <f>SUM(DB_STProjectsSOF[[#This Row],[Plan01]:[Plan12]])/valUnits2</f>
        <v>1.8338999999999999</v>
      </c>
      <c r="AJ803" s="34">
        <f>SUMPRODUCT(DB_STProjectsSOF[[#This Row],[Act01]:[Act12]],$P$3:$AA$3)/valUnits2</f>
        <v>2.6143500000000004</v>
      </c>
      <c r="AK803" s="34">
        <f>IF(DB_STProjectsSOF[[#This Row],[FY Plan]]&lt;&gt;0,DB_STProjectsSOF[[#This Row],[FY Actuals]]/DB_STProjectsSOF[[#This Row],[FY Plan]],1.000011000011)</f>
        <v>1.4255684606576153</v>
      </c>
    </row>
    <row r="804" spans="1:37" hidden="1" x14ac:dyDescent="0.2">
      <c r="A804">
        <f>SUBTOTAL(3,$B$6:B804)</f>
        <v>0</v>
      </c>
      <c r="B804" t="s">
        <v>496</v>
      </c>
      <c r="C804" t="s">
        <v>856</v>
      </c>
      <c r="D804">
        <v>23056.646000000001</v>
      </c>
      <c r="E804">
        <v>22743.577000000001</v>
      </c>
      <c r="F804">
        <v>22132.974000000002</v>
      </c>
      <c r="G804">
        <v>62323.528999999988</v>
      </c>
      <c r="H804">
        <v>34777.758000000002</v>
      </c>
      <c r="I804">
        <v>18760.277000000002</v>
      </c>
      <c r="J804">
        <v>18760.277000000002</v>
      </c>
      <c r="K804">
        <v>18760.277000000002</v>
      </c>
      <c r="L804">
        <v>18760.277000000002</v>
      </c>
      <c r="M804">
        <v>18760.277000000002</v>
      </c>
      <c r="N804">
        <v>18760.277000000002</v>
      </c>
      <c r="O804">
        <v>18760.217000000001</v>
      </c>
      <c r="P804">
        <v>4062.16</v>
      </c>
      <c r="Q804">
        <v>3820.7200000000003</v>
      </c>
      <c r="R804">
        <v>3241.2200000000003</v>
      </c>
      <c r="S804">
        <v>41878.19000000001</v>
      </c>
      <c r="T804">
        <v>15572.46</v>
      </c>
      <c r="U804">
        <v>12570.01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s="164">
        <v>40817</v>
      </c>
      <c r="AC804" s="164">
        <v>42338</v>
      </c>
      <c r="AD804" s="164">
        <v>42490</v>
      </c>
      <c r="AE804" s="34">
        <f>SUMPRODUCT(DB_STProjectsSOF[[#This Row],[Plan01]:[Plan12]],$D$4:$O$4)/valUnits2</f>
        <v>183.79476099999999</v>
      </c>
      <c r="AF804" s="34">
        <f>SUMPRODUCT(DB_STProjectsSOF[[#This Row],[Act01]:[Act12]],$P$4:$AA$4)/valUnits2</f>
        <v>81.144759999999991</v>
      </c>
      <c r="AG804" s="34">
        <f>DB_STProjectsSOF[[#This Row],[Actual]]-DB_STProjectsSOF[[#This Row],[Plan]]</f>
        <v>-102.650001</v>
      </c>
      <c r="AH804" s="34">
        <f>IF(DB_STProjectsSOF[[#This Row],[Plan]]&lt;&gt;0,DB_STProjectsSOF[[#This Row],[Actual]]/DB_STProjectsSOF[[#This Row],[Plan]],1.000011000011)</f>
        <v>0.44149658868676889</v>
      </c>
      <c r="AI804" s="34">
        <f>SUM(DB_STProjectsSOF[[#This Row],[Plan01]:[Plan12]])/valUnits2</f>
        <v>296.35636299999999</v>
      </c>
      <c r="AJ804" s="34">
        <f>SUMPRODUCT(DB_STProjectsSOF[[#This Row],[Act01]:[Act12]],$P$3:$AA$3)/valUnits2</f>
        <v>81.144759999999991</v>
      </c>
      <c r="AK804" s="34">
        <f>IF(DB_STProjectsSOF[[#This Row],[FY Plan]]&lt;&gt;0,DB_STProjectsSOF[[#This Row],[FY Actuals]]/DB_STProjectsSOF[[#This Row],[FY Plan]],1.000011000011)</f>
        <v>0.27380805722737256</v>
      </c>
    </row>
    <row r="805" spans="1:37" hidden="1" x14ac:dyDescent="0.2">
      <c r="A805">
        <f>SUBTOTAL(3,$B$6:B805)</f>
        <v>0</v>
      </c>
      <c r="B805" t="s">
        <v>496</v>
      </c>
      <c r="C805" t="s">
        <v>857</v>
      </c>
      <c r="E805">
        <v>3648.64</v>
      </c>
      <c r="H805">
        <v>-3648.64</v>
      </c>
      <c r="Q805">
        <v>3648.6400000000003</v>
      </c>
      <c r="T805">
        <v>-3648.6400000000003</v>
      </c>
      <c r="AB805" s="164">
        <v>40909</v>
      </c>
      <c r="AC805" s="164">
        <v>41274</v>
      </c>
      <c r="AD805" s="164">
        <v>41364</v>
      </c>
      <c r="AE805" s="34">
        <f>SUMPRODUCT(DB_STProjectsSOF[[#This Row],[Plan01]:[Plan12]],$D$4:$O$4)/valUnits2</f>
        <v>0</v>
      </c>
      <c r="AF805" s="34">
        <f>SUMPRODUCT(DB_STProjectsSOF[[#This Row],[Act01]:[Act12]],$P$4:$AA$4)/valUnits2</f>
        <v>0</v>
      </c>
      <c r="AG805" s="34">
        <f>DB_STProjectsSOF[[#This Row],[Actual]]-DB_STProjectsSOF[[#This Row],[Plan]]</f>
        <v>0</v>
      </c>
      <c r="AH805" s="34">
        <f>IF(DB_STProjectsSOF[[#This Row],[Plan]]&lt;&gt;0,DB_STProjectsSOF[[#This Row],[Actual]]/DB_STProjectsSOF[[#This Row],[Plan]],1.000011000011)</f>
        <v>1.0000110000110001</v>
      </c>
      <c r="AI805" s="34">
        <f>SUM(DB_STProjectsSOF[[#This Row],[Plan01]:[Plan12]])/valUnits2</f>
        <v>0</v>
      </c>
      <c r="AJ805" s="34">
        <f>SUMPRODUCT(DB_STProjectsSOF[[#This Row],[Act01]:[Act12]],$P$3:$AA$3)/valUnits2</f>
        <v>0</v>
      </c>
      <c r="AK805" s="34">
        <f>IF(DB_STProjectsSOF[[#This Row],[FY Plan]]&lt;&gt;0,DB_STProjectsSOF[[#This Row],[FY Actuals]]/DB_STProjectsSOF[[#This Row],[FY Plan]],1.000011000011)</f>
        <v>1.0000110000110001</v>
      </c>
    </row>
    <row r="806" spans="1:37" hidden="1" x14ac:dyDescent="0.2">
      <c r="A806">
        <f>SUBTOTAL(3,$B$6:B806)</f>
        <v>0</v>
      </c>
      <c r="B806" t="s">
        <v>496</v>
      </c>
      <c r="C806" t="s">
        <v>858</v>
      </c>
      <c r="D806">
        <v>3034.7400000000002</v>
      </c>
      <c r="E806">
        <v>4630.33</v>
      </c>
      <c r="F806">
        <v>-79.610000000000042</v>
      </c>
      <c r="G806">
        <v>21084.33</v>
      </c>
      <c r="H806">
        <v>8631.7099999999991</v>
      </c>
      <c r="I806">
        <v>5609.4340000000002</v>
      </c>
      <c r="J806">
        <v>5609.4340000000002</v>
      </c>
      <c r="K806">
        <v>7009.4359999999997</v>
      </c>
      <c r="L806">
        <v>5609.4340000000002</v>
      </c>
      <c r="M806">
        <v>5609.4340000000002</v>
      </c>
      <c r="N806">
        <v>5609.4340000000002</v>
      </c>
      <c r="O806">
        <v>5609.4340000000002</v>
      </c>
      <c r="P806">
        <v>3034.7399999999993</v>
      </c>
      <c r="Q806">
        <v>4703.08</v>
      </c>
      <c r="R806">
        <v>-152.36000000000058</v>
      </c>
      <c r="S806">
        <v>21084.33</v>
      </c>
      <c r="T806">
        <v>8645.51</v>
      </c>
      <c r="U806">
        <v>7247.3300000000017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s="164">
        <v>41275</v>
      </c>
      <c r="AC806" s="164">
        <v>41639</v>
      </c>
      <c r="AD806" s="164">
        <v>41784</v>
      </c>
      <c r="AE806" s="34">
        <f>SUMPRODUCT(DB_STProjectsSOF[[#This Row],[Plan01]:[Plan12]],$D$4:$O$4)/valUnits2</f>
        <v>42.910934000000005</v>
      </c>
      <c r="AF806" s="34">
        <f>SUMPRODUCT(DB_STProjectsSOF[[#This Row],[Act01]:[Act12]],$P$4:$AA$4)/valUnits2</f>
        <v>44.562630000000006</v>
      </c>
      <c r="AG806" s="34">
        <f>DB_STProjectsSOF[[#This Row],[Actual]]-DB_STProjectsSOF[[#This Row],[Plan]]</f>
        <v>1.6516960000000012</v>
      </c>
      <c r="AH806" s="34">
        <f>IF(DB_STProjectsSOF[[#This Row],[Plan]]&lt;&gt;0,DB_STProjectsSOF[[#This Row],[Actual]]/DB_STProjectsSOF[[#This Row],[Plan]],1.000011000011)</f>
        <v>1.0384912619240587</v>
      </c>
      <c r="AI806" s="34">
        <f>SUM(DB_STProjectsSOF[[#This Row],[Plan01]:[Plan12]])/valUnits2</f>
        <v>77.96754</v>
      </c>
      <c r="AJ806" s="34">
        <f>SUMPRODUCT(DB_STProjectsSOF[[#This Row],[Act01]:[Act12]],$P$3:$AA$3)/valUnits2</f>
        <v>44.562630000000006</v>
      </c>
      <c r="AK806" s="34">
        <f>IF(DB_STProjectsSOF[[#This Row],[FY Plan]]&lt;&gt;0,DB_STProjectsSOF[[#This Row],[FY Actuals]]/DB_STProjectsSOF[[#This Row],[FY Plan]],1.000011000011)</f>
        <v>0.57155362346945926</v>
      </c>
    </row>
    <row r="807" spans="1:37" hidden="1" x14ac:dyDescent="0.2">
      <c r="A807">
        <f>SUBTOTAL(3,$B$6:B807)</f>
        <v>0</v>
      </c>
      <c r="B807" t="s">
        <v>496</v>
      </c>
      <c r="C807" t="s">
        <v>859</v>
      </c>
      <c r="D807">
        <v>1167.02</v>
      </c>
      <c r="E807">
        <v>1976.277</v>
      </c>
      <c r="F807">
        <v>2270.953</v>
      </c>
      <c r="G807">
        <v>4780.2919999999995</v>
      </c>
      <c r="H807">
        <v>4175.7380000000003</v>
      </c>
      <c r="I807">
        <v>2951.6419999999998</v>
      </c>
      <c r="J807">
        <v>2951.6420000000003</v>
      </c>
      <c r="K807">
        <v>2951.6419999999998</v>
      </c>
      <c r="L807">
        <v>2951.6419999999998</v>
      </c>
      <c r="M807">
        <v>2951.6420000000003</v>
      </c>
      <c r="N807">
        <v>2951.6420000000003</v>
      </c>
      <c r="O807">
        <v>2951.6419999999998</v>
      </c>
      <c r="P807">
        <v>1149.76</v>
      </c>
      <c r="Q807">
        <v>2017.7199999999998</v>
      </c>
      <c r="R807">
        <v>2291.5100000000002</v>
      </c>
      <c r="S807">
        <v>4807.51</v>
      </c>
      <c r="T807">
        <v>4143.6599999999989</v>
      </c>
      <c r="U807">
        <v>1475.3700000000001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s="164">
        <v>40909</v>
      </c>
      <c r="AC807" s="164">
        <v>42004</v>
      </c>
      <c r="AD807" s="164">
        <v>42094</v>
      </c>
      <c r="AE807" s="34">
        <f>SUMPRODUCT(DB_STProjectsSOF[[#This Row],[Plan01]:[Plan12]],$D$4:$O$4)/valUnits2</f>
        <v>17.321921999999997</v>
      </c>
      <c r="AF807" s="34">
        <f>SUMPRODUCT(DB_STProjectsSOF[[#This Row],[Act01]:[Act12]],$P$4:$AA$4)/valUnits2</f>
        <v>15.885530000000001</v>
      </c>
      <c r="AG807" s="34">
        <f>DB_STProjectsSOF[[#This Row],[Actual]]-DB_STProjectsSOF[[#This Row],[Plan]]</f>
        <v>-1.4363919999999961</v>
      </c>
      <c r="AH807" s="34">
        <f>IF(DB_STProjectsSOF[[#This Row],[Plan]]&lt;&gt;0,DB_STProjectsSOF[[#This Row],[Actual]]/DB_STProjectsSOF[[#This Row],[Plan]],1.000011000011)</f>
        <v>0.91707663849311893</v>
      </c>
      <c r="AI807" s="34">
        <f>SUM(DB_STProjectsSOF[[#This Row],[Plan01]:[Plan12]])/valUnits2</f>
        <v>35.031773999999999</v>
      </c>
      <c r="AJ807" s="34">
        <f>SUMPRODUCT(DB_STProjectsSOF[[#This Row],[Act01]:[Act12]],$P$3:$AA$3)/valUnits2</f>
        <v>15.885530000000001</v>
      </c>
      <c r="AK807" s="34">
        <f>IF(DB_STProjectsSOF[[#This Row],[FY Plan]]&lt;&gt;0,DB_STProjectsSOF[[#This Row],[FY Actuals]]/DB_STProjectsSOF[[#This Row],[FY Plan]],1.000011000011)</f>
        <v>0.4534606212063369</v>
      </c>
    </row>
    <row r="808" spans="1:37" hidden="1" x14ac:dyDescent="0.2">
      <c r="A808">
        <f>SUBTOTAL(3,$B$6:B808)</f>
        <v>0</v>
      </c>
      <c r="B808" t="s">
        <v>496</v>
      </c>
      <c r="C808" t="s">
        <v>860</v>
      </c>
      <c r="D808">
        <v>1582.33</v>
      </c>
      <c r="E808">
        <v>3188.49</v>
      </c>
      <c r="F808">
        <v>5448.89</v>
      </c>
      <c r="G808">
        <v>10632.730000000001</v>
      </c>
      <c r="H808">
        <v>3106.4700000000003</v>
      </c>
      <c r="I808">
        <v>1326.9739999999999</v>
      </c>
      <c r="J808">
        <v>1326.9739999999999</v>
      </c>
      <c r="K808">
        <v>1326.9739999999999</v>
      </c>
      <c r="L808">
        <v>1326.9739999999999</v>
      </c>
      <c r="M808">
        <v>0</v>
      </c>
      <c r="N808">
        <v>0</v>
      </c>
      <c r="O808">
        <v>0</v>
      </c>
      <c r="P808">
        <v>1582.33</v>
      </c>
      <c r="Q808">
        <v>3188.49</v>
      </c>
      <c r="R808">
        <v>5460.97</v>
      </c>
      <c r="S808">
        <v>10665.240000000002</v>
      </c>
      <c r="T808">
        <v>3113.65</v>
      </c>
      <c r="U808">
        <v>2608.77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s="164">
        <v>40969</v>
      </c>
      <c r="AC808" s="164">
        <v>42643</v>
      </c>
      <c r="AD808" s="164">
        <v>42704</v>
      </c>
      <c r="AE808" s="34">
        <f>SUMPRODUCT(DB_STProjectsSOF[[#This Row],[Plan01]:[Plan12]],$D$4:$O$4)/valUnits2</f>
        <v>25.285884000000003</v>
      </c>
      <c r="AF808" s="34">
        <f>SUMPRODUCT(DB_STProjectsSOF[[#This Row],[Act01]:[Act12]],$P$4:$AA$4)/valUnits2</f>
        <v>26.619450000000004</v>
      </c>
      <c r="AG808" s="34">
        <f>DB_STProjectsSOF[[#This Row],[Actual]]-DB_STProjectsSOF[[#This Row],[Plan]]</f>
        <v>1.3335660000000011</v>
      </c>
      <c r="AH808" s="34">
        <f>IF(DB_STProjectsSOF[[#This Row],[Plan]]&lt;&gt;0,DB_STProjectsSOF[[#This Row],[Actual]]/DB_STProjectsSOF[[#This Row],[Plan]],1.000011000011)</f>
        <v>1.0527395443244143</v>
      </c>
      <c r="AI808" s="34">
        <f>SUM(DB_STProjectsSOF[[#This Row],[Plan01]:[Plan12]])/valUnits2</f>
        <v>29.266805999999995</v>
      </c>
      <c r="AJ808" s="34">
        <f>SUMPRODUCT(DB_STProjectsSOF[[#This Row],[Act01]:[Act12]],$P$3:$AA$3)/valUnits2</f>
        <v>26.619450000000004</v>
      </c>
      <c r="AK808" s="34">
        <f>IF(DB_STProjectsSOF[[#This Row],[FY Plan]]&lt;&gt;0,DB_STProjectsSOF[[#This Row],[FY Actuals]]/DB_STProjectsSOF[[#This Row],[FY Plan]],1.000011000011)</f>
        <v>0.90954407529130465</v>
      </c>
    </row>
    <row r="809" spans="1:37" hidden="1" x14ac:dyDescent="0.2">
      <c r="A809">
        <f>SUBTOTAL(3,$B$6:B809)</f>
        <v>0</v>
      </c>
      <c r="B809" t="s">
        <v>496</v>
      </c>
      <c r="C809" t="s">
        <v>862</v>
      </c>
      <c r="G809">
        <v>1559.951</v>
      </c>
      <c r="H809">
        <v>1528.2239999999997</v>
      </c>
      <c r="I809">
        <v>692.03899999999999</v>
      </c>
      <c r="J809">
        <v>692.03899999999999</v>
      </c>
      <c r="K809">
        <v>692.03899999999999</v>
      </c>
      <c r="L809">
        <v>692.03899999999999</v>
      </c>
      <c r="M809">
        <v>692.03899999999999</v>
      </c>
      <c r="N809">
        <v>692.03899999999999</v>
      </c>
      <c r="O809">
        <v>692.03899999999999</v>
      </c>
      <c r="S809">
        <v>1572.9000000000005</v>
      </c>
      <c r="T809">
        <v>1525.36</v>
      </c>
      <c r="U809">
        <v>1459.8600000000001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s="164">
        <v>41275</v>
      </c>
      <c r="AC809" s="164">
        <v>41639</v>
      </c>
      <c r="AD809" s="164">
        <v>3</v>
      </c>
      <c r="AE809" s="34">
        <f>SUMPRODUCT(DB_STProjectsSOF[[#This Row],[Plan01]:[Plan12]],$D$4:$O$4)/valUnits2</f>
        <v>3.780214</v>
      </c>
      <c r="AF809" s="34">
        <f>SUMPRODUCT(DB_STProjectsSOF[[#This Row],[Act01]:[Act12]],$P$4:$AA$4)/valUnits2</f>
        <v>4.5581200000000006</v>
      </c>
      <c r="AG809" s="34">
        <f>DB_STProjectsSOF[[#This Row],[Actual]]-DB_STProjectsSOF[[#This Row],[Plan]]</f>
        <v>0.77790600000000065</v>
      </c>
      <c r="AH809" s="34">
        <f>IF(DB_STProjectsSOF[[#This Row],[Plan]]&lt;&gt;0,DB_STProjectsSOF[[#This Row],[Actual]]/DB_STProjectsSOF[[#This Row],[Plan]],1.000011000011)</f>
        <v>1.205783587913277</v>
      </c>
      <c r="AI809" s="34">
        <f>SUM(DB_STProjectsSOF[[#This Row],[Plan01]:[Plan12]])/valUnits2</f>
        <v>7.9324479999999982</v>
      </c>
      <c r="AJ809" s="34">
        <f>SUMPRODUCT(DB_STProjectsSOF[[#This Row],[Act01]:[Act12]],$P$3:$AA$3)/valUnits2</f>
        <v>4.5581200000000006</v>
      </c>
      <c r="AK809" s="34">
        <f>IF(DB_STProjectsSOF[[#This Row],[FY Plan]]&lt;&gt;0,DB_STProjectsSOF[[#This Row],[FY Actuals]]/DB_STProjectsSOF[[#This Row],[FY Plan]],1.000011000011)</f>
        <v>0.57461706650960731</v>
      </c>
    </row>
    <row r="810" spans="1:37" hidden="1" x14ac:dyDescent="0.2">
      <c r="A810">
        <f>SUBTOTAL(3,$B$6:B810)</f>
        <v>0</v>
      </c>
      <c r="B810" t="s">
        <v>496</v>
      </c>
      <c r="C810" t="s">
        <v>863</v>
      </c>
      <c r="G810">
        <v>777.83999999999992</v>
      </c>
      <c r="H810">
        <v>291.01</v>
      </c>
      <c r="S810">
        <v>777.8399999999998</v>
      </c>
      <c r="T810">
        <v>291.82999999999993</v>
      </c>
      <c r="AB810" s="164">
        <v>40817</v>
      </c>
      <c r="AC810" s="164">
        <v>41365</v>
      </c>
      <c r="AD810" s="164">
        <v>41730</v>
      </c>
      <c r="AE810" s="34">
        <f>SUMPRODUCT(DB_STProjectsSOF[[#This Row],[Plan01]:[Plan12]],$D$4:$O$4)/valUnits2</f>
        <v>1.0688499999999999</v>
      </c>
      <c r="AF810" s="34">
        <f>SUMPRODUCT(DB_STProjectsSOF[[#This Row],[Act01]:[Act12]],$P$4:$AA$4)/valUnits2</f>
        <v>1.0696699999999997</v>
      </c>
      <c r="AG810" s="34">
        <f>DB_STProjectsSOF[[#This Row],[Actual]]-DB_STProjectsSOF[[#This Row],[Plan]]</f>
        <v>8.1999999999982087E-4</v>
      </c>
      <c r="AH810" s="34">
        <f>IF(DB_STProjectsSOF[[#This Row],[Plan]]&lt;&gt;0,DB_STProjectsSOF[[#This Row],[Actual]]/DB_STProjectsSOF[[#This Row],[Plan]],1.000011000011)</f>
        <v>1.0007671796790942</v>
      </c>
      <c r="AI810" s="34">
        <f>SUM(DB_STProjectsSOF[[#This Row],[Plan01]:[Plan12]])/valUnits2</f>
        <v>1.0688499999999999</v>
      </c>
      <c r="AJ810" s="34">
        <f>SUMPRODUCT(DB_STProjectsSOF[[#This Row],[Act01]:[Act12]],$P$3:$AA$3)/valUnits2</f>
        <v>1.0696699999999997</v>
      </c>
      <c r="AK810" s="34">
        <f>IF(DB_STProjectsSOF[[#This Row],[FY Plan]]&lt;&gt;0,DB_STProjectsSOF[[#This Row],[FY Actuals]]/DB_STProjectsSOF[[#This Row],[FY Plan]],1.000011000011)</f>
        <v>1.0007671796790942</v>
      </c>
    </row>
    <row r="811" spans="1:37" hidden="1" x14ac:dyDescent="0.2">
      <c r="A811">
        <f>SUBTOTAL(3,$B$6:B811)</f>
        <v>0</v>
      </c>
      <c r="B811" t="s">
        <v>496</v>
      </c>
      <c r="C811" t="s">
        <v>865</v>
      </c>
      <c r="D811">
        <v>0</v>
      </c>
      <c r="E811">
        <v>0</v>
      </c>
      <c r="F811">
        <v>0</v>
      </c>
      <c r="G811">
        <v>122.04299999999999</v>
      </c>
      <c r="H811">
        <v>42.974999999999994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121.11000000000001</v>
      </c>
      <c r="T811">
        <v>43.2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s="164">
        <v>40817</v>
      </c>
      <c r="AC811" s="164">
        <v>41639</v>
      </c>
      <c r="AD811" s="164">
        <v>41820</v>
      </c>
      <c r="AE811" s="34">
        <f>SUMPRODUCT(DB_STProjectsSOF[[#This Row],[Plan01]:[Plan12]],$D$4:$O$4)/valUnits2</f>
        <v>0.16501799999999997</v>
      </c>
      <c r="AF811" s="34">
        <f>SUMPRODUCT(DB_STProjectsSOF[[#This Row],[Act01]:[Act12]],$P$4:$AA$4)/valUnits2</f>
        <v>0.16431000000000001</v>
      </c>
      <c r="AG811" s="34">
        <f>DB_STProjectsSOF[[#This Row],[Actual]]-DB_STProjectsSOF[[#This Row],[Plan]]</f>
        <v>-7.0799999999995866E-4</v>
      </c>
      <c r="AH811" s="34">
        <f>IF(DB_STProjectsSOF[[#This Row],[Plan]]&lt;&gt;0,DB_STProjectsSOF[[#This Row],[Actual]]/DB_STProjectsSOF[[#This Row],[Plan]],1.000011000011)</f>
        <v>0.99570955895720492</v>
      </c>
      <c r="AI811" s="34">
        <f>SUM(DB_STProjectsSOF[[#This Row],[Plan01]:[Plan12]])/valUnits2</f>
        <v>0.16501799999999997</v>
      </c>
      <c r="AJ811" s="34">
        <f>SUMPRODUCT(DB_STProjectsSOF[[#This Row],[Act01]:[Act12]],$P$3:$AA$3)/valUnits2</f>
        <v>0.16431000000000001</v>
      </c>
      <c r="AK811" s="34">
        <f>IF(DB_STProjectsSOF[[#This Row],[FY Plan]]&lt;&gt;0,DB_STProjectsSOF[[#This Row],[FY Actuals]]/DB_STProjectsSOF[[#This Row],[FY Plan]],1.000011000011)</f>
        <v>0.99570955895720492</v>
      </c>
    </row>
    <row r="812" spans="1:37" hidden="1" x14ac:dyDescent="0.2">
      <c r="A812">
        <f>SUBTOTAL(3,$B$6:B812)</f>
        <v>0</v>
      </c>
      <c r="B812" t="s">
        <v>496</v>
      </c>
      <c r="C812" t="s">
        <v>355</v>
      </c>
      <c r="G812">
        <v>84.13000000000001</v>
      </c>
      <c r="S812">
        <v>85.25</v>
      </c>
      <c r="AB812" s="164">
        <v>41275</v>
      </c>
      <c r="AC812" s="164">
        <v>41455</v>
      </c>
      <c r="AD812" s="164">
        <v>41547</v>
      </c>
      <c r="AE812" s="34">
        <f>SUMPRODUCT(DB_STProjectsSOF[[#This Row],[Plan01]:[Plan12]],$D$4:$O$4)/valUnits2</f>
        <v>8.413000000000001E-2</v>
      </c>
      <c r="AF812" s="34">
        <f>SUMPRODUCT(DB_STProjectsSOF[[#This Row],[Act01]:[Act12]],$P$4:$AA$4)/valUnits2</f>
        <v>8.5250000000000006E-2</v>
      </c>
      <c r="AG812" s="34">
        <f>DB_STProjectsSOF[[#This Row],[Actual]]-DB_STProjectsSOF[[#This Row],[Plan]]</f>
        <v>1.119999999999996E-3</v>
      </c>
      <c r="AH812" s="34">
        <f>IF(DB_STProjectsSOF[[#This Row],[Plan]]&lt;&gt;0,DB_STProjectsSOF[[#This Row],[Actual]]/DB_STProjectsSOF[[#This Row],[Plan]],1.000011000011)</f>
        <v>1.0133127302983478</v>
      </c>
      <c r="AI812" s="34">
        <f>SUM(DB_STProjectsSOF[[#This Row],[Plan01]:[Plan12]])/valUnits2</f>
        <v>8.413000000000001E-2</v>
      </c>
      <c r="AJ812" s="34">
        <f>SUMPRODUCT(DB_STProjectsSOF[[#This Row],[Act01]:[Act12]],$P$3:$AA$3)/valUnits2</f>
        <v>8.5250000000000006E-2</v>
      </c>
      <c r="AK812" s="34">
        <f>IF(DB_STProjectsSOF[[#This Row],[FY Plan]]&lt;&gt;0,DB_STProjectsSOF[[#This Row],[FY Actuals]]/DB_STProjectsSOF[[#This Row],[FY Plan]],1.000011000011)</f>
        <v>1.0133127302983478</v>
      </c>
    </row>
    <row r="813" spans="1:37" hidden="1" x14ac:dyDescent="0.2">
      <c r="A813">
        <f>SUBTOTAL(3,$B$6:B813)</f>
        <v>0</v>
      </c>
      <c r="B813" t="s">
        <v>496</v>
      </c>
      <c r="C813" t="s">
        <v>866</v>
      </c>
      <c r="D813">
        <v>11274.510000000002</v>
      </c>
      <c r="E813">
        <v>10237.98</v>
      </c>
      <c r="F813">
        <v>10369.32</v>
      </c>
      <c r="G813">
        <v>-19141.669999999995</v>
      </c>
      <c r="H813">
        <v>-15276.18</v>
      </c>
      <c r="I813">
        <v>21772.224999999999</v>
      </c>
      <c r="J813">
        <v>21772.224999999999</v>
      </c>
      <c r="K813">
        <v>21772.224999999999</v>
      </c>
      <c r="L813">
        <v>21772.224999999999</v>
      </c>
      <c r="P813">
        <v>11274.51</v>
      </c>
      <c r="Q813">
        <v>10237.980000000001</v>
      </c>
      <c r="R813">
        <v>10734.800000000001</v>
      </c>
      <c r="S813">
        <v>-19507.150000000001</v>
      </c>
      <c r="T813">
        <v>-15530.380000000003</v>
      </c>
      <c r="U813">
        <v>183.45999999999998</v>
      </c>
      <c r="V813">
        <v>789.59</v>
      </c>
      <c r="W813">
        <v>0</v>
      </c>
      <c r="X813">
        <v>0</v>
      </c>
      <c r="AB813" s="164">
        <v>41275</v>
      </c>
      <c r="AC813" s="164">
        <v>41639</v>
      </c>
      <c r="AD813" s="164">
        <v>41760</v>
      </c>
      <c r="AE813" s="34">
        <f>SUMPRODUCT(DB_STProjectsSOF[[#This Row],[Plan01]:[Plan12]],$D$4:$O$4)/valUnits2</f>
        <v>19.236185000000006</v>
      </c>
      <c r="AF813" s="34">
        <f>SUMPRODUCT(DB_STProjectsSOF[[#This Row],[Act01]:[Act12]],$P$4:$AA$4)/valUnits2</f>
        <v>-2.6067800000000032</v>
      </c>
      <c r="AG813" s="34">
        <f>DB_STProjectsSOF[[#This Row],[Actual]]-DB_STProjectsSOF[[#This Row],[Plan]]</f>
        <v>-21.84296500000001</v>
      </c>
      <c r="AH813" s="34">
        <f>IF(DB_STProjectsSOF[[#This Row],[Plan]]&lt;&gt;0,DB_STProjectsSOF[[#This Row],[Actual]]/DB_STProjectsSOF[[#This Row],[Plan]],1.000011000011)</f>
        <v>-0.13551439643567592</v>
      </c>
      <c r="AI813" s="34">
        <f>SUM(DB_STProjectsSOF[[#This Row],[Plan01]:[Plan12]])/valUnits2</f>
        <v>84.552859999999995</v>
      </c>
      <c r="AJ813" s="34">
        <f>SUMPRODUCT(DB_STProjectsSOF[[#This Row],[Act01]:[Act12]],$P$3:$AA$3)/valUnits2</f>
        <v>-2.6067800000000032</v>
      </c>
      <c r="AK813" s="34">
        <f>IF(DB_STProjectsSOF[[#This Row],[FY Plan]]&lt;&gt;0,DB_STProjectsSOF[[#This Row],[FY Actuals]]/DB_STProjectsSOF[[#This Row],[FY Plan]],1.000011000011)</f>
        <v>-3.0830181261757478E-2</v>
      </c>
    </row>
    <row r="814" spans="1:37" hidden="1" x14ac:dyDescent="0.2">
      <c r="A814">
        <f>SUBTOTAL(3,$B$6:B814)</f>
        <v>0</v>
      </c>
      <c r="B814" t="s">
        <v>496</v>
      </c>
      <c r="C814" t="s">
        <v>868</v>
      </c>
      <c r="G814">
        <v>52.31</v>
      </c>
      <c r="H814">
        <v>101.98999999999998</v>
      </c>
      <c r="I814">
        <v>0</v>
      </c>
      <c r="S814">
        <v>52.31</v>
      </c>
      <c r="T814">
        <v>102.27</v>
      </c>
      <c r="U814">
        <v>72.75</v>
      </c>
      <c r="AB814" s="164">
        <v>40817</v>
      </c>
      <c r="AC814" s="164">
        <v>41455</v>
      </c>
      <c r="AD814" s="164">
        <v>41639</v>
      </c>
      <c r="AE814" s="34">
        <f>SUMPRODUCT(DB_STProjectsSOF[[#This Row],[Plan01]:[Plan12]],$D$4:$O$4)/valUnits2</f>
        <v>0.15429999999999999</v>
      </c>
      <c r="AF814" s="34">
        <f>SUMPRODUCT(DB_STProjectsSOF[[#This Row],[Act01]:[Act12]],$P$4:$AA$4)/valUnits2</f>
        <v>0.22732999999999998</v>
      </c>
      <c r="AG814" s="34">
        <f>DB_STProjectsSOF[[#This Row],[Actual]]-DB_STProjectsSOF[[#This Row],[Plan]]</f>
        <v>7.3029999999999984E-2</v>
      </c>
      <c r="AH814" s="34">
        <f>IF(DB_STProjectsSOF[[#This Row],[Plan]]&lt;&gt;0,DB_STProjectsSOF[[#This Row],[Actual]]/DB_STProjectsSOF[[#This Row],[Plan]],1.000011000011)</f>
        <v>1.4732987686325338</v>
      </c>
      <c r="AI814" s="34">
        <f>SUM(DB_STProjectsSOF[[#This Row],[Plan01]:[Plan12]])/valUnits2</f>
        <v>0.15429999999999999</v>
      </c>
      <c r="AJ814" s="34">
        <f>SUMPRODUCT(DB_STProjectsSOF[[#This Row],[Act01]:[Act12]],$P$3:$AA$3)/valUnits2</f>
        <v>0.22732999999999998</v>
      </c>
      <c r="AK814" s="34">
        <f>IF(DB_STProjectsSOF[[#This Row],[FY Plan]]&lt;&gt;0,DB_STProjectsSOF[[#This Row],[FY Actuals]]/DB_STProjectsSOF[[#This Row],[FY Plan]],1.000011000011)</f>
        <v>1.4732987686325338</v>
      </c>
    </row>
    <row r="815" spans="1:37" hidden="1" x14ac:dyDescent="0.2">
      <c r="A815">
        <f>SUBTOTAL(3,$B$6:B815)</f>
        <v>0</v>
      </c>
      <c r="B815" t="s">
        <v>496</v>
      </c>
      <c r="C815" t="s">
        <v>869</v>
      </c>
      <c r="D815">
        <v>5769.3899999999994</v>
      </c>
      <c r="E815">
        <v>5764.8300000000008</v>
      </c>
      <c r="F815">
        <v>10461.910000000002</v>
      </c>
      <c r="G815">
        <v>17742.099999999995</v>
      </c>
      <c r="H815">
        <v>13755.130000000001</v>
      </c>
      <c r="I815">
        <v>1755</v>
      </c>
      <c r="J815">
        <v>1755</v>
      </c>
      <c r="K815">
        <v>1755</v>
      </c>
      <c r="L815">
        <v>1755</v>
      </c>
      <c r="M815">
        <v>1755</v>
      </c>
      <c r="N815">
        <v>1755</v>
      </c>
      <c r="O815">
        <v>1755</v>
      </c>
      <c r="P815">
        <v>5769.39</v>
      </c>
      <c r="Q815">
        <v>5764.83</v>
      </c>
      <c r="R815">
        <v>10461.91</v>
      </c>
      <c r="S815">
        <v>17742.100000000006</v>
      </c>
      <c r="T815">
        <v>13758.85</v>
      </c>
      <c r="U815">
        <v>9547.9399999999987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s="164">
        <v>40817</v>
      </c>
      <c r="AC815" s="164">
        <v>42155</v>
      </c>
      <c r="AD815" s="164">
        <v>42217</v>
      </c>
      <c r="AE815" s="34">
        <f>SUMPRODUCT(DB_STProjectsSOF[[#This Row],[Plan01]:[Plan12]],$D$4:$O$4)/valUnits2</f>
        <v>55.248359999999998</v>
      </c>
      <c r="AF815" s="34">
        <f>SUMPRODUCT(DB_STProjectsSOF[[#This Row],[Act01]:[Act12]],$P$4:$AA$4)/valUnits2</f>
        <v>63.045020000000001</v>
      </c>
      <c r="AG815" s="34">
        <f>DB_STProjectsSOF[[#This Row],[Actual]]-DB_STProjectsSOF[[#This Row],[Plan]]</f>
        <v>7.7966600000000028</v>
      </c>
      <c r="AH815" s="34">
        <f>IF(DB_STProjectsSOF[[#This Row],[Plan]]&lt;&gt;0,DB_STProjectsSOF[[#This Row],[Actual]]/DB_STProjectsSOF[[#This Row],[Plan]],1.000011000011)</f>
        <v>1.1411202070070496</v>
      </c>
      <c r="AI815" s="34">
        <f>SUM(DB_STProjectsSOF[[#This Row],[Plan01]:[Plan12]])/valUnits2</f>
        <v>65.778360000000006</v>
      </c>
      <c r="AJ815" s="34">
        <f>SUMPRODUCT(DB_STProjectsSOF[[#This Row],[Act01]:[Act12]],$P$3:$AA$3)/valUnits2</f>
        <v>63.045020000000001</v>
      </c>
      <c r="AK815" s="34">
        <f>IF(DB_STProjectsSOF[[#This Row],[FY Plan]]&lt;&gt;0,DB_STProjectsSOF[[#This Row],[FY Actuals]]/DB_STProjectsSOF[[#This Row],[FY Plan]],1.000011000011)</f>
        <v>0.95844621240176853</v>
      </c>
    </row>
    <row r="816" spans="1:37" hidden="1" x14ac:dyDescent="0.2">
      <c r="A816">
        <f>SUBTOTAL(3,$B$6:B816)</f>
        <v>0</v>
      </c>
      <c r="B816" t="s">
        <v>496</v>
      </c>
      <c r="C816" t="s">
        <v>870</v>
      </c>
      <c r="D816">
        <v>0</v>
      </c>
      <c r="G816">
        <v>0</v>
      </c>
      <c r="J816">
        <v>0</v>
      </c>
      <c r="M816">
        <v>0</v>
      </c>
      <c r="P816">
        <v>0</v>
      </c>
      <c r="S816">
        <v>0</v>
      </c>
      <c r="V816">
        <v>0</v>
      </c>
      <c r="Y816">
        <v>0</v>
      </c>
      <c r="AB816" s="164">
        <v>40909</v>
      </c>
      <c r="AC816" s="164">
        <v>41274</v>
      </c>
      <c r="AD816" s="164">
        <v>41305</v>
      </c>
      <c r="AE816" s="34">
        <f>SUMPRODUCT(DB_STProjectsSOF[[#This Row],[Plan01]:[Plan12]],$D$4:$O$4)/valUnits2</f>
        <v>0</v>
      </c>
      <c r="AF816" s="34">
        <f>SUMPRODUCT(DB_STProjectsSOF[[#This Row],[Act01]:[Act12]],$P$4:$AA$4)/valUnits2</f>
        <v>0</v>
      </c>
      <c r="AG816" s="34">
        <f>DB_STProjectsSOF[[#This Row],[Actual]]-DB_STProjectsSOF[[#This Row],[Plan]]</f>
        <v>0</v>
      </c>
      <c r="AH816" s="34">
        <f>IF(DB_STProjectsSOF[[#This Row],[Plan]]&lt;&gt;0,DB_STProjectsSOF[[#This Row],[Actual]]/DB_STProjectsSOF[[#This Row],[Plan]],1.000011000011)</f>
        <v>1.0000110000110001</v>
      </c>
      <c r="AI816" s="34">
        <f>SUM(DB_STProjectsSOF[[#This Row],[Plan01]:[Plan12]])/valUnits2</f>
        <v>0</v>
      </c>
      <c r="AJ816" s="34">
        <f>SUMPRODUCT(DB_STProjectsSOF[[#This Row],[Act01]:[Act12]],$P$3:$AA$3)/valUnits2</f>
        <v>0</v>
      </c>
      <c r="AK816" s="34">
        <f>IF(DB_STProjectsSOF[[#This Row],[FY Plan]]&lt;&gt;0,DB_STProjectsSOF[[#This Row],[FY Actuals]]/DB_STProjectsSOF[[#This Row],[FY Plan]],1.000011000011)</f>
        <v>1.0000110000110001</v>
      </c>
    </row>
    <row r="817" spans="1:37" hidden="1" x14ac:dyDescent="0.2">
      <c r="A817">
        <f>SUBTOTAL(3,$B$6:B817)</f>
        <v>0</v>
      </c>
      <c r="B817" t="s">
        <v>496</v>
      </c>
      <c r="C817" t="s">
        <v>872</v>
      </c>
      <c r="G817">
        <v>1531.8340000000001</v>
      </c>
      <c r="H817">
        <v>-1129.3790000000001</v>
      </c>
      <c r="I817">
        <v>2558.6289999999999</v>
      </c>
      <c r="J817">
        <v>2558.6289999999999</v>
      </c>
      <c r="K817">
        <v>2558.6289999999999</v>
      </c>
      <c r="L817">
        <v>2558.6289999999999</v>
      </c>
      <c r="M817">
        <v>2558.6289999999999</v>
      </c>
      <c r="N817">
        <v>2558.6289999999999</v>
      </c>
      <c r="O817">
        <v>2558.6289999999999</v>
      </c>
      <c r="S817">
        <v>1549.98</v>
      </c>
      <c r="T817">
        <v>-1169.7699999999998</v>
      </c>
      <c r="U817">
        <v>373.56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s="164">
        <v>41275</v>
      </c>
      <c r="AC817" s="164">
        <v>41639</v>
      </c>
      <c r="AD817" s="164">
        <v>41669</v>
      </c>
      <c r="AE817" s="34">
        <f>SUMPRODUCT(DB_STProjectsSOF[[#This Row],[Plan01]:[Plan12]],$D$4:$O$4)/valUnits2</f>
        <v>2.961084</v>
      </c>
      <c r="AF817" s="34">
        <f>SUMPRODUCT(DB_STProjectsSOF[[#This Row],[Act01]:[Act12]],$P$4:$AA$4)/valUnits2</f>
        <v>0.75377000000000016</v>
      </c>
      <c r="AG817" s="34">
        <f>DB_STProjectsSOF[[#This Row],[Actual]]-DB_STProjectsSOF[[#This Row],[Plan]]</f>
        <v>-2.2073139999999998</v>
      </c>
      <c r="AH817" s="34">
        <f>IF(DB_STProjectsSOF[[#This Row],[Plan]]&lt;&gt;0,DB_STProjectsSOF[[#This Row],[Actual]]/DB_STProjectsSOF[[#This Row],[Plan]],1.000011000011)</f>
        <v>0.25455880346521753</v>
      </c>
      <c r="AI817" s="34">
        <f>SUM(DB_STProjectsSOF[[#This Row],[Plan01]:[Plan12]])/valUnits2</f>
        <v>18.312857999999999</v>
      </c>
      <c r="AJ817" s="34">
        <f>SUMPRODUCT(DB_STProjectsSOF[[#This Row],[Act01]:[Act12]],$P$3:$AA$3)/valUnits2</f>
        <v>0.75377000000000016</v>
      </c>
      <c r="AK817" s="34">
        <f>IF(DB_STProjectsSOF[[#This Row],[FY Plan]]&lt;&gt;0,DB_STProjectsSOF[[#This Row],[FY Actuals]]/DB_STProjectsSOF[[#This Row],[FY Plan]],1.000011000011)</f>
        <v>4.116069703592963E-2</v>
      </c>
    </row>
    <row r="818" spans="1:37" hidden="1" x14ac:dyDescent="0.2">
      <c r="A818">
        <f>SUBTOTAL(3,$B$6:B818)</f>
        <v>0</v>
      </c>
      <c r="B818" t="s">
        <v>496</v>
      </c>
      <c r="C818" t="s">
        <v>874</v>
      </c>
      <c r="D818">
        <v>1756.5169999999998</v>
      </c>
      <c r="E818">
        <v>1930.9290000000001</v>
      </c>
      <c r="F818">
        <v>2465.1660000000002</v>
      </c>
      <c r="G818">
        <v>6505.0499999999984</v>
      </c>
      <c r="H818">
        <v>3195.9599999999996</v>
      </c>
      <c r="I818">
        <v>4624.7759999999998</v>
      </c>
      <c r="J818">
        <v>4298.7000000000007</v>
      </c>
      <c r="K818">
        <v>4298.7000000000007</v>
      </c>
      <c r="L818">
        <v>4624.7759999999998</v>
      </c>
      <c r="M818">
        <v>4298.7000000000007</v>
      </c>
      <c r="N818">
        <v>4624.7760000000007</v>
      </c>
      <c r="O818">
        <v>4298.7000000000007</v>
      </c>
      <c r="P818">
        <v>1730.5399999999995</v>
      </c>
      <c r="Q818">
        <v>1971.42</v>
      </c>
      <c r="R818">
        <v>2487.48</v>
      </c>
      <c r="S818">
        <v>6543.46</v>
      </c>
      <c r="T818">
        <v>3180.8199999999997</v>
      </c>
      <c r="U818">
        <v>2827.64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s="164">
        <v>40879</v>
      </c>
      <c r="AC818" s="164">
        <v>43071</v>
      </c>
      <c r="AD818" s="164">
        <v>43161</v>
      </c>
      <c r="AE818" s="34">
        <f>SUMPRODUCT(DB_STProjectsSOF[[#This Row],[Plan01]:[Plan12]],$D$4:$O$4)/valUnits2</f>
        <v>20.478397999999999</v>
      </c>
      <c r="AF818" s="34">
        <f>SUMPRODUCT(DB_STProjectsSOF[[#This Row],[Act01]:[Act12]],$P$4:$AA$4)/valUnits2</f>
        <v>18.74136</v>
      </c>
      <c r="AG818" s="34">
        <f>DB_STProjectsSOF[[#This Row],[Actual]]-DB_STProjectsSOF[[#This Row],[Plan]]</f>
        <v>-1.7370379999999983</v>
      </c>
      <c r="AH818" s="34">
        <f>IF(DB_STProjectsSOF[[#This Row],[Plan]]&lt;&gt;0,DB_STProjectsSOF[[#This Row],[Actual]]/DB_STProjectsSOF[[#This Row],[Plan]],1.000011000011)</f>
        <v>0.91517705633028523</v>
      </c>
      <c r="AI818" s="34">
        <f>SUM(DB_STProjectsSOF[[#This Row],[Plan01]:[Plan12]])/valUnits2</f>
        <v>46.922750000000001</v>
      </c>
      <c r="AJ818" s="34">
        <f>SUMPRODUCT(DB_STProjectsSOF[[#This Row],[Act01]:[Act12]],$P$3:$AA$3)/valUnits2</f>
        <v>18.74136</v>
      </c>
      <c r="AK818" s="34">
        <f>IF(DB_STProjectsSOF[[#This Row],[FY Plan]]&lt;&gt;0,DB_STProjectsSOF[[#This Row],[FY Actuals]]/DB_STProjectsSOF[[#This Row],[FY Plan]],1.000011000011)</f>
        <v>0.39940881555322311</v>
      </c>
    </row>
    <row r="819" spans="1:37" hidden="1" x14ac:dyDescent="0.2">
      <c r="A819">
        <f>SUBTOTAL(3,$B$6:B819)</f>
        <v>0</v>
      </c>
      <c r="B819" t="s">
        <v>496</v>
      </c>
      <c r="C819" t="s">
        <v>875</v>
      </c>
      <c r="F819">
        <v>0</v>
      </c>
      <c r="G819">
        <v>354.18100000000004</v>
      </c>
      <c r="H819">
        <v>917.76299999999992</v>
      </c>
      <c r="I819">
        <v>846.95400000000006</v>
      </c>
      <c r="J819">
        <v>846.95400000000006</v>
      </c>
      <c r="K819">
        <v>846.95400000000006</v>
      </c>
      <c r="L819">
        <v>846.95400000000006</v>
      </c>
      <c r="M819">
        <v>846.95400000000006</v>
      </c>
      <c r="N819">
        <v>846.95400000000006</v>
      </c>
      <c r="O819">
        <v>846.95400000000006</v>
      </c>
      <c r="R819">
        <v>0</v>
      </c>
      <c r="S819">
        <v>346.55</v>
      </c>
      <c r="T819">
        <v>929.51999999999987</v>
      </c>
      <c r="U819">
        <v>869.06000000000006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s="164">
        <v>41275</v>
      </c>
      <c r="AC819" s="164">
        <v>41639</v>
      </c>
      <c r="AD819" s="164">
        <v>41649</v>
      </c>
      <c r="AE819" s="34">
        <f>SUMPRODUCT(DB_STProjectsSOF[[#This Row],[Plan01]:[Plan12]],$D$4:$O$4)/valUnits2</f>
        <v>2.1188980000000002</v>
      </c>
      <c r="AF819" s="34">
        <f>SUMPRODUCT(DB_STProjectsSOF[[#This Row],[Act01]:[Act12]],$P$4:$AA$4)/valUnits2</f>
        <v>2.14513</v>
      </c>
      <c r="AG819" s="34">
        <f>DB_STProjectsSOF[[#This Row],[Actual]]-DB_STProjectsSOF[[#This Row],[Plan]]</f>
        <v>2.6231999999999811E-2</v>
      </c>
      <c r="AH819" s="34">
        <f>IF(DB_STProjectsSOF[[#This Row],[Plan]]&lt;&gt;0,DB_STProjectsSOF[[#This Row],[Actual]]/DB_STProjectsSOF[[#This Row],[Plan]],1.000011000011)</f>
        <v>1.0123800201803013</v>
      </c>
      <c r="AI819" s="34">
        <f>SUM(DB_STProjectsSOF[[#This Row],[Plan01]:[Plan12]])/valUnits2</f>
        <v>7.2006219999999992</v>
      </c>
      <c r="AJ819" s="34">
        <f>SUMPRODUCT(DB_STProjectsSOF[[#This Row],[Act01]:[Act12]],$P$3:$AA$3)/valUnits2</f>
        <v>2.14513</v>
      </c>
      <c r="AK819" s="34">
        <f>IF(DB_STProjectsSOF[[#This Row],[FY Plan]]&lt;&gt;0,DB_STProjectsSOF[[#This Row],[FY Actuals]]/DB_STProjectsSOF[[#This Row],[FY Plan]],1.000011000011)</f>
        <v>0.29790898619591477</v>
      </c>
    </row>
    <row r="820" spans="1:37" hidden="1" x14ac:dyDescent="0.2">
      <c r="A820">
        <f>SUBTOTAL(3,$B$6:B820)</f>
        <v>0</v>
      </c>
      <c r="B820" t="s">
        <v>496</v>
      </c>
      <c r="C820" t="s">
        <v>876</v>
      </c>
      <c r="D820">
        <v>386.56</v>
      </c>
      <c r="E820">
        <v>423.59</v>
      </c>
      <c r="F820">
        <v>815.32999999999993</v>
      </c>
      <c r="G820">
        <v>4599.4900000000007</v>
      </c>
      <c r="H820">
        <v>626.59999999999991</v>
      </c>
      <c r="I820">
        <v>398.08</v>
      </c>
      <c r="J820">
        <v>398.08</v>
      </c>
      <c r="K820">
        <v>398.08</v>
      </c>
      <c r="L820">
        <v>398.08</v>
      </c>
      <c r="P820">
        <v>386.56</v>
      </c>
      <c r="Q820">
        <v>423.59</v>
      </c>
      <c r="R820">
        <v>815.32999999999993</v>
      </c>
      <c r="S820">
        <v>4599.49</v>
      </c>
      <c r="T820">
        <v>628.36999999999989</v>
      </c>
      <c r="U820">
        <v>447.11999999999995</v>
      </c>
      <c r="V820">
        <v>0</v>
      </c>
      <c r="W820">
        <v>0</v>
      </c>
      <c r="X820">
        <v>0</v>
      </c>
      <c r="AB820" s="164">
        <v>40817</v>
      </c>
      <c r="AC820" s="164">
        <v>41820</v>
      </c>
      <c r="AD820" s="164">
        <v>41835</v>
      </c>
      <c r="AE820" s="34">
        <f>SUMPRODUCT(DB_STProjectsSOF[[#This Row],[Plan01]:[Plan12]],$D$4:$O$4)/valUnits2</f>
        <v>7.2496500000000017</v>
      </c>
      <c r="AF820" s="34">
        <f>SUMPRODUCT(DB_STProjectsSOF[[#This Row],[Act01]:[Act12]],$P$4:$AA$4)/valUnits2</f>
        <v>7.3004599999999993</v>
      </c>
      <c r="AG820" s="34">
        <f>DB_STProjectsSOF[[#This Row],[Actual]]-DB_STProjectsSOF[[#This Row],[Plan]]</f>
        <v>5.0809999999997579E-2</v>
      </c>
      <c r="AH820" s="34">
        <f>IF(DB_STProjectsSOF[[#This Row],[Plan]]&lt;&gt;0,DB_STProjectsSOF[[#This Row],[Actual]]/DB_STProjectsSOF[[#This Row],[Plan]],1.000011000011)</f>
        <v>1.0070086142089614</v>
      </c>
      <c r="AI820" s="34">
        <f>SUM(DB_STProjectsSOF[[#This Row],[Plan01]:[Plan12]])/valUnits2</f>
        <v>8.4438900000000015</v>
      </c>
      <c r="AJ820" s="34">
        <f>SUMPRODUCT(DB_STProjectsSOF[[#This Row],[Act01]:[Act12]],$P$3:$AA$3)/valUnits2</f>
        <v>7.3004599999999993</v>
      </c>
      <c r="AK820" s="34">
        <f>IF(DB_STProjectsSOF[[#This Row],[FY Plan]]&lt;&gt;0,DB_STProjectsSOF[[#This Row],[FY Actuals]]/DB_STProjectsSOF[[#This Row],[FY Plan]],1.000011000011)</f>
        <v>0.86458492472071502</v>
      </c>
    </row>
    <row r="821" spans="1:37" hidden="1" x14ac:dyDescent="0.2">
      <c r="A821">
        <f>SUBTOTAL(3,$B$6:B821)</f>
        <v>0</v>
      </c>
      <c r="B821" t="s">
        <v>496</v>
      </c>
      <c r="C821" t="s">
        <v>362</v>
      </c>
      <c r="D821">
        <v>0</v>
      </c>
      <c r="G821">
        <v>295.01799999999997</v>
      </c>
      <c r="H821">
        <v>384.22899999999998</v>
      </c>
      <c r="I821">
        <v>312.49599999999998</v>
      </c>
      <c r="P821">
        <v>0</v>
      </c>
      <c r="S821">
        <v>294.92999999999995</v>
      </c>
      <c r="T821">
        <v>387.10999999999996</v>
      </c>
      <c r="U821">
        <v>296.18</v>
      </c>
      <c r="AB821" s="164">
        <v>40909</v>
      </c>
      <c r="AC821" s="164">
        <v>41486</v>
      </c>
      <c r="AD821" s="164">
        <v>41670</v>
      </c>
      <c r="AE821" s="34">
        <f>SUMPRODUCT(DB_STProjectsSOF[[#This Row],[Plan01]:[Plan12]],$D$4:$O$4)/valUnits2</f>
        <v>0.99174299999999993</v>
      </c>
      <c r="AF821" s="34">
        <f>SUMPRODUCT(DB_STProjectsSOF[[#This Row],[Act01]:[Act12]],$P$4:$AA$4)/valUnits2</f>
        <v>0.97821999999999998</v>
      </c>
      <c r="AG821" s="34">
        <f>DB_STProjectsSOF[[#This Row],[Actual]]-DB_STProjectsSOF[[#This Row],[Plan]]</f>
        <v>-1.3522999999999952E-2</v>
      </c>
      <c r="AH821" s="34">
        <f>IF(DB_STProjectsSOF[[#This Row],[Plan]]&lt;&gt;0,DB_STProjectsSOF[[#This Row],[Actual]]/DB_STProjectsSOF[[#This Row],[Plan]],1.000011000011)</f>
        <v>0.98636441094114102</v>
      </c>
      <c r="AI821" s="34">
        <f>SUM(DB_STProjectsSOF[[#This Row],[Plan01]:[Plan12]])/valUnits2</f>
        <v>0.99174299999999993</v>
      </c>
      <c r="AJ821" s="34">
        <f>SUMPRODUCT(DB_STProjectsSOF[[#This Row],[Act01]:[Act12]],$P$3:$AA$3)/valUnits2</f>
        <v>0.97821999999999998</v>
      </c>
      <c r="AK821" s="34">
        <f>IF(DB_STProjectsSOF[[#This Row],[FY Plan]]&lt;&gt;0,DB_STProjectsSOF[[#This Row],[FY Actuals]]/DB_STProjectsSOF[[#This Row],[FY Plan]],1.000011000011)</f>
        <v>0.98636441094114102</v>
      </c>
    </row>
    <row r="822" spans="1:37" hidden="1" x14ac:dyDescent="0.2">
      <c r="A822">
        <f>SUBTOTAL(3,$B$6:B822)</f>
        <v>0</v>
      </c>
      <c r="B822" t="s">
        <v>496</v>
      </c>
      <c r="C822" t="s">
        <v>877</v>
      </c>
      <c r="D822">
        <v>0</v>
      </c>
      <c r="E822">
        <v>1489.702</v>
      </c>
      <c r="F822">
        <v>1613.2860000000001</v>
      </c>
      <c r="G822">
        <v>3614.8360000000002</v>
      </c>
      <c r="H822">
        <v>2365.6590000000006</v>
      </c>
      <c r="I822">
        <v>2223.3049999999998</v>
      </c>
      <c r="J822">
        <v>2223.3049999999998</v>
      </c>
      <c r="K822">
        <v>2223.3049999999998</v>
      </c>
      <c r="L822">
        <v>2223.3049999999998</v>
      </c>
      <c r="M822">
        <v>2223.3049999999998</v>
      </c>
      <c r="N822">
        <v>2223.3050000000003</v>
      </c>
      <c r="O822">
        <v>2223.3050000000003</v>
      </c>
      <c r="P822">
        <v>0</v>
      </c>
      <c r="Q822">
        <v>1520.9399999999998</v>
      </c>
      <c r="R822">
        <v>1627.8900000000003</v>
      </c>
      <c r="S822">
        <v>3635.25</v>
      </c>
      <c r="T822">
        <v>2358.7800000000007</v>
      </c>
      <c r="U822">
        <v>1945.2900000000002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s="164">
        <v>40817</v>
      </c>
      <c r="AC822" s="164">
        <v>41639</v>
      </c>
      <c r="AD822" s="164">
        <v>41729</v>
      </c>
      <c r="AE822" s="34">
        <f>SUMPRODUCT(DB_STProjectsSOF[[#This Row],[Plan01]:[Plan12]],$D$4:$O$4)/valUnits2</f>
        <v>11.306788000000001</v>
      </c>
      <c r="AF822" s="34">
        <f>SUMPRODUCT(DB_STProjectsSOF[[#This Row],[Act01]:[Act12]],$P$4:$AA$4)/valUnits2</f>
        <v>11.088150000000001</v>
      </c>
      <c r="AG822" s="34">
        <f>DB_STProjectsSOF[[#This Row],[Actual]]-DB_STProjectsSOF[[#This Row],[Plan]]</f>
        <v>-0.21863800000000033</v>
      </c>
      <c r="AH822" s="34">
        <f>IF(DB_STProjectsSOF[[#This Row],[Plan]]&lt;&gt;0,DB_STProjectsSOF[[#This Row],[Actual]]/DB_STProjectsSOF[[#This Row],[Plan]],1.000011000011)</f>
        <v>0.98066312024245961</v>
      </c>
      <c r="AI822" s="34">
        <f>SUM(DB_STProjectsSOF[[#This Row],[Plan01]:[Plan12]])/valUnits2</f>
        <v>24.646618000000004</v>
      </c>
      <c r="AJ822" s="34">
        <f>SUMPRODUCT(DB_STProjectsSOF[[#This Row],[Act01]:[Act12]],$P$3:$AA$3)/valUnits2</f>
        <v>11.088150000000001</v>
      </c>
      <c r="AK822" s="34">
        <f>IF(DB_STProjectsSOF[[#This Row],[FY Plan]]&lt;&gt;0,DB_STProjectsSOF[[#This Row],[FY Actuals]]/DB_STProjectsSOF[[#This Row],[FY Plan]],1.000011000011)</f>
        <v>0.44988525403363655</v>
      </c>
    </row>
    <row r="823" spans="1:37" hidden="1" x14ac:dyDescent="0.2">
      <c r="A823">
        <f>SUBTOTAL(3,$B$6:B823)</f>
        <v>0</v>
      </c>
      <c r="B823" t="s">
        <v>496</v>
      </c>
      <c r="C823" t="s">
        <v>878</v>
      </c>
      <c r="D823">
        <v>0</v>
      </c>
      <c r="E823">
        <v>252.773</v>
      </c>
      <c r="F823">
        <v>737.27099999999996</v>
      </c>
      <c r="G823">
        <v>827.13499999999999</v>
      </c>
      <c r="H823">
        <v>985.76600000000008</v>
      </c>
      <c r="I823">
        <v>737.27099999999996</v>
      </c>
      <c r="J823">
        <v>737.27099999999996</v>
      </c>
      <c r="K823">
        <v>737.27099999999996</v>
      </c>
      <c r="L823">
        <v>737.27099999999996</v>
      </c>
      <c r="M823">
        <v>737.27099999999996</v>
      </c>
      <c r="N823">
        <v>737.27099999999996</v>
      </c>
      <c r="O823">
        <v>737.27099999999996</v>
      </c>
      <c r="P823">
        <v>0</v>
      </c>
      <c r="Q823">
        <v>253.9</v>
      </c>
      <c r="R823">
        <v>0</v>
      </c>
      <c r="S823">
        <v>92.86</v>
      </c>
      <c r="T823">
        <v>263.16000000000003</v>
      </c>
      <c r="U823">
        <v>4385.6000000000004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s="164">
        <v>40969</v>
      </c>
      <c r="AC823" s="164">
        <v>41333</v>
      </c>
      <c r="AD823" s="164">
        <v>41364</v>
      </c>
      <c r="AE823" s="34">
        <f>SUMPRODUCT(DB_STProjectsSOF[[#This Row],[Plan01]:[Plan12]],$D$4:$O$4)/valUnits2</f>
        <v>3.5402160000000005</v>
      </c>
      <c r="AF823" s="34">
        <f>SUMPRODUCT(DB_STProjectsSOF[[#This Row],[Act01]:[Act12]],$P$4:$AA$4)/valUnits2</f>
        <v>4.9955200000000008</v>
      </c>
      <c r="AG823" s="34">
        <f>DB_STProjectsSOF[[#This Row],[Actual]]-DB_STProjectsSOF[[#This Row],[Plan]]</f>
        <v>1.4553040000000004</v>
      </c>
      <c r="AH823" s="34">
        <f>IF(DB_STProjectsSOF[[#This Row],[Plan]]&lt;&gt;0,DB_STProjectsSOF[[#This Row],[Actual]]/DB_STProjectsSOF[[#This Row],[Plan]],1.000011000011)</f>
        <v>1.4110777421490666</v>
      </c>
      <c r="AI823" s="34">
        <f>SUM(DB_STProjectsSOF[[#This Row],[Plan01]:[Plan12]])/valUnits2</f>
        <v>7.9638419999999988</v>
      </c>
      <c r="AJ823" s="34">
        <f>SUMPRODUCT(DB_STProjectsSOF[[#This Row],[Act01]:[Act12]],$P$3:$AA$3)/valUnits2</f>
        <v>4.9955200000000008</v>
      </c>
      <c r="AK823" s="34">
        <f>IF(DB_STProjectsSOF[[#This Row],[FY Plan]]&lt;&gt;0,DB_STProjectsSOF[[#This Row],[FY Actuals]]/DB_STProjectsSOF[[#This Row],[FY Plan]],1.000011000011)</f>
        <v>0.62727512675414721</v>
      </c>
    </row>
    <row r="824" spans="1:37" hidden="1" x14ac:dyDescent="0.2">
      <c r="A824">
        <f>SUBTOTAL(3,$B$6:B824)</f>
        <v>0</v>
      </c>
      <c r="B824" t="s">
        <v>496</v>
      </c>
      <c r="C824" t="s">
        <v>881</v>
      </c>
      <c r="G824">
        <v>1204.3</v>
      </c>
      <c r="H824">
        <v>1980.02</v>
      </c>
      <c r="I824">
        <v>448.74099999999993</v>
      </c>
      <c r="J824">
        <v>897.48299999999983</v>
      </c>
      <c r="K824">
        <v>448.74099999999993</v>
      </c>
      <c r="L824">
        <v>448.74099999999993</v>
      </c>
      <c r="M824">
        <v>448.74099999999993</v>
      </c>
      <c r="N824">
        <v>448.74099999999993</v>
      </c>
      <c r="O824">
        <v>897.48299999999995</v>
      </c>
      <c r="S824">
        <v>1204.3000000000002</v>
      </c>
      <c r="T824">
        <v>1982.32</v>
      </c>
      <c r="U824">
        <v>767.8399999999998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s="164">
        <v>41275</v>
      </c>
      <c r="AC824" s="164">
        <v>41639</v>
      </c>
      <c r="AD824" s="164">
        <v>41685</v>
      </c>
      <c r="AE824" s="34">
        <f>SUMPRODUCT(DB_STProjectsSOF[[#This Row],[Plan01]:[Plan12]],$D$4:$O$4)/valUnits2</f>
        <v>3.6330609999999997</v>
      </c>
      <c r="AF824" s="34">
        <f>SUMPRODUCT(DB_STProjectsSOF[[#This Row],[Act01]:[Act12]],$P$4:$AA$4)/valUnits2</f>
        <v>3.9544599999999996</v>
      </c>
      <c r="AG824" s="34">
        <f>DB_STProjectsSOF[[#This Row],[Actual]]-DB_STProjectsSOF[[#This Row],[Plan]]</f>
        <v>0.32139899999999999</v>
      </c>
      <c r="AH824" s="34">
        <f>IF(DB_STProjectsSOF[[#This Row],[Plan]]&lt;&gt;0,DB_STProjectsSOF[[#This Row],[Actual]]/DB_STProjectsSOF[[#This Row],[Plan]],1.000011000011)</f>
        <v>1.0884650711892809</v>
      </c>
      <c r="AI824" s="34">
        <f>SUM(DB_STProjectsSOF[[#This Row],[Plan01]:[Plan12]])/valUnits2</f>
        <v>7.2229910000000004</v>
      </c>
      <c r="AJ824" s="34">
        <f>SUMPRODUCT(DB_STProjectsSOF[[#This Row],[Act01]:[Act12]],$P$3:$AA$3)/valUnits2</f>
        <v>3.9544599999999996</v>
      </c>
      <c r="AK824" s="34">
        <f>IF(DB_STProjectsSOF[[#This Row],[FY Plan]]&lt;&gt;0,DB_STProjectsSOF[[#This Row],[FY Actuals]]/DB_STProjectsSOF[[#This Row],[FY Plan]],1.000011000011)</f>
        <v>0.547482337995437</v>
      </c>
    </row>
    <row r="825" spans="1:37" hidden="1" x14ac:dyDescent="0.2">
      <c r="A825">
        <f>SUBTOTAL(3,$B$6:B825)</f>
        <v>0</v>
      </c>
      <c r="B825" t="s">
        <v>496</v>
      </c>
      <c r="C825" t="s">
        <v>882</v>
      </c>
      <c r="D825">
        <v>366.65199999999999</v>
      </c>
      <c r="E825">
        <v>401.108</v>
      </c>
      <c r="F825">
        <v>446.80499999999995</v>
      </c>
      <c r="G825">
        <v>2600.9019999999996</v>
      </c>
      <c r="H825">
        <v>1612.5619999999999</v>
      </c>
      <c r="I825">
        <v>3962.6240000000003</v>
      </c>
      <c r="J825">
        <v>3962.6240000000003</v>
      </c>
      <c r="K825">
        <v>3962.6240000000003</v>
      </c>
      <c r="L825">
        <v>3962.6240000000003</v>
      </c>
      <c r="M825">
        <v>3962.6240000000007</v>
      </c>
      <c r="N825">
        <v>3962.6240000000003</v>
      </c>
      <c r="O825">
        <v>3962.6240000000003</v>
      </c>
      <c r="P825">
        <v>361.23</v>
      </c>
      <c r="Q825">
        <v>409.52</v>
      </c>
      <c r="R825">
        <v>450.84999999999997</v>
      </c>
      <c r="S825">
        <v>2589.4699999999998</v>
      </c>
      <c r="T825">
        <v>1603.8800000000003</v>
      </c>
      <c r="U825">
        <v>951.99000000000012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s="164">
        <v>40817</v>
      </c>
      <c r="AC825" s="164">
        <v>41913</v>
      </c>
      <c r="AD825" s="164">
        <v>42005</v>
      </c>
      <c r="AE825" s="34">
        <f>SUMPRODUCT(DB_STProjectsSOF[[#This Row],[Plan01]:[Plan12]],$D$4:$O$4)/valUnits2</f>
        <v>9.3906530000000004</v>
      </c>
      <c r="AF825" s="34">
        <f>SUMPRODUCT(DB_STProjectsSOF[[#This Row],[Act01]:[Act12]],$P$4:$AA$4)/valUnits2</f>
        <v>6.3669399999999996</v>
      </c>
      <c r="AG825" s="34">
        <f>DB_STProjectsSOF[[#This Row],[Actual]]-DB_STProjectsSOF[[#This Row],[Plan]]</f>
        <v>-3.0237130000000008</v>
      </c>
      <c r="AH825" s="34">
        <f>IF(DB_STProjectsSOF[[#This Row],[Plan]]&lt;&gt;0,DB_STProjectsSOF[[#This Row],[Actual]]/DB_STProjectsSOF[[#This Row],[Plan]],1.000011000011)</f>
        <v>0.67800822796881099</v>
      </c>
      <c r="AI825" s="34">
        <f>SUM(DB_STProjectsSOF[[#This Row],[Plan01]:[Plan12]])/valUnits2</f>
        <v>33.166397000000003</v>
      </c>
      <c r="AJ825" s="34">
        <f>SUMPRODUCT(DB_STProjectsSOF[[#This Row],[Act01]:[Act12]],$P$3:$AA$3)/valUnits2</f>
        <v>6.3669399999999996</v>
      </c>
      <c r="AK825" s="34">
        <f>IF(DB_STProjectsSOF[[#This Row],[FY Plan]]&lt;&gt;0,DB_STProjectsSOF[[#This Row],[FY Actuals]]/DB_STProjectsSOF[[#This Row],[FY Plan]],1.000011000011)</f>
        <v>0.19196960103926872</v>
      </c>
    </row>
    <row r="826" spans="1:37" hidden="1" x14ac:dyDescent="0.2">
      <c r="A826">
        <f>SUBTOTAL(3,$B$6:B826)</f>
        <v>0</v>
      </c>
      <c r="B826" t="s">
        <v>496</v>
      </c>
      <c r="C826" t="s">
        <v>883</v>
      </c>
      <c r="D826">
        <v>0</v>
      </c>
      <c r="E826">
        <v>335.20499999999998</v>
      </c>
      <c r="G826">
        <v>2404.36</v>
      </c>
      <c r="H826">
        <v>2032.6929999999998</v>
      </c>
      <c r="I826">
        <v>888.42</v>
      </c>
      <c r="J826">
        <v>888.42</v>
      </c>
      <c r="K826">
        <v>888.42</v>
      </c>
      <c r="L826">
        <v>882.37399999999991</v>
      </c>
      <c r="M826">
        <v>882.37399999999991</v>
      </c>
      <c r="N826">
        <v>882.37399999999991</v>
      </c>
      <c r="O826">
        <v>882.37399999999991</v>
      </c>
      <c r="P826">
        <v>0</v>
      </c>
      <c r="Q826">
        <v>342.67</v>
      </c>
      <c r="S826">
        <v>2394.36</v>
      </c>
      <c r="T826">
        <v>2048.8900000000003</v>
      </c>
      <c r="U826">
        <v>255.78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s="164">
        <v>40940</v>
      </c>
      <c r="AC826" s="164">
        <v>41639</v>
      </c>
      <c r="AD826" s="164">
        <v>41698</v>
      </c>
      <c r="AE826" s="34">
        <f>SUMPRODUCT(DB_STProjectsSOF[[#This Row],[Plan01]:[Plan12]],$D$4:$O$4)/valUnits2</f>
        <v>5.6606779999999999</v>
      </c>
      <c r="AF826" s="34">
        <f>SUMPRODUCT(DB_STProjectsSOF[[#This Row],[Act01]:[Act12]],$P$4:$AA$4)/valUnits2</f>
        <v>5.0416999999999996</v>
      </c>
      <c r="AG826" s="34">
        <f>DB_STProjectsSOF[[#This Row],[Actual]]-DB_STProjectsSOF[[#This Row],[Plan]]</f>
        <v>-0.61897800000000025</v>
      </c>
      <c r="AH826" s="34">
        <f>IF(DB_STProjectsSOF[[#This Row],[Plan]]&lt;&gt;0,DB_STProjectsSOF[[#This Row],[Actual]]/DB_STProjectsSOF[[#This Row],[Plan]],1.000011000011)</f>
        <v>0.89065302778218436</v>
      </c>
      <c r="AI826" s="34">
        <f>SUM(DB_STProjectsSOF[[#This Row],[Plan01]:[Plan12]])/valUnits2</f>
        <v>10.967013999999999</v>
      </c>
      <c r="AJ826" s="34">
        <f>SUMPRODUCT(DB_STProjectsSOF[[#This Row],[Act01]:[Act12]],$P$3:$AA$3)/valUnits2</f>
        <v>5.0416999999999996</v>
      </c>
      <c r="AK826" s="34">
        <f>IF(DB_STProjectsSOF[[#This Row],[FY Plan]]&lt;&gt;0,DB_STProjectsSOF[[#This Row],[FY Actuals]]/DB_STProjectsSOF[[#This Row],[FY Plan]],1.000011000011)</f>
        <v>0.4597149233145868</v>
      </c>
    </row>
    <row r="827" spans="1:37" hidden="1" x14ac:dyDescent="0.2">
      <c r="A827">
        <f>SUBTOTAL(3,$B$6:B827)</f>
        <v>0</v>
      </c>
      <c r="B827" t="s">
        <v>496</v>
      </c>
      <c r="C827" t="s">
        <v>885</v>
      </c>
      <c r="D827">
        <v>0</v>
      </c>
      <c r="E827">
        <v>967.93399999999997</v>
      </c>
      <c r="F827">
        <v>0</v>
      </c>
      <c r="G827">
        <v>6750.2520000000013</v>
      </c>
      <c r="H827">
        <v>3377.1170000000002</v>
      </c>
      <c r="I827">
        <v>1524.069</v>
      </c>
      <c r="J827">
        <v>1524.069</v>
      </c>
      <c r="K827">
        <v>1524.069</v>
      </c>
      <c r="L827">
        <v>1524.069</v>
      </c>
      <c r="M827">
        <v>1524.069</v>
      </c>
      <c r="N827">
        <v>1524.069</v>
      </c>
      <c r="O827">
        <v>1524.069</v>
      </c>
      <c r="P827">
        <v>0</v>
      </c>
      <c r="Q827">
        <v>967.95</v>
      </c>
      <c r="R827">
        <v>0</v>
      </c>
      <c r="S827">
        <v>6714.25</v>
      </c>
      <c r="T827">
        <v>3383.14</v>
      </c>
      <c r="U827">
        <v>-219.28000000000011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s="164">
        <v>40817</v>
      </c>
      <c r="AC827" s="164">
        <v>41639</v>
      </c>
      <c r="AD827" s="164">
        <v>41820</v>
      </c>
      <c r="AE827" s="34">
        <f>SUMPRODUCT(DB_STProjectsSOF[[#This Row],[Plan01]:[Plan12]],$D$4:$O$4)/valUnits2</f>
        <v>12.619372000000002</v>
      </c>
      <c r="AF827" s="34">
        <f>SUMPRODUCT(DB_STProjectsSOF[[#This Row],[Act01]:[Act12]],$P$4:$AA$4)/valUnits2</f>
        <v>10.84606</v>
      </c>
      <c r="AG827" s="34">
        <f>DB_STProjectsSOF[[#This Row],[Actual]]-DB_STProjectsSOF[[#This Row],[Plan]]</f>
        <v>-1.7733120000000024</v>
      </c>
      <c r="AH827" s="34">
        <f>IF(DB_STProjectsSOF[[#This Row],[Plan]]&lt;&gt;0,DB_STProjectsSOF[[#This Row],[Actual]]/DB_STProjectsSOF[[#This Row],[Plan]],1.000011000011)</f>
        <v>0.85947700091573476</v>
      </c>
      <c r="AI827" s="34">
        <f>SUM(DB_STProjectsSOF[[#This Row],[Plan01]:[Plan12]])/valUnits2</f>
        <v>21.763786</v>
      </c>
      <c r="AJ827" s="34">
        <f>SUMPRODUCT(DB_STProjectsSOF[[#This Row],[Act01]:[Act12]],$P$3:$AA$3)/valUnits2</f>
        <v>10.84606</v>
      </c>
      <c r="AK827" s="34">
        <f>IF(DB_STProjectsSOF[[#This Row],[FY Plan]]&lt;&gt;0,DB_STProjectsSOF[[#This Row],[FY Actuals]]/DB_STProjectsSOF[[#This Row],[FY Plan]],1.000011000011)</f>
        <v>0.4983535493319039</v>
      </c>
    </row>
    <row r="828" spans="1:37" hidden="1" x14ac:dyDescent="0.2">
      <c r="A828">
        <f>SUBTOTAL(3,$B$6:B828)</f>
        <v>0</v>
      </c>
      <c r="B828" t="s">
        <v>496</v>
      </c>
      <c r="C828" t="s">
        <v>886</v>
      </c>
      <c r="G828">
        <v>155.24</v>
      </c>
      <c r="S828">
        <v>154.38</v>
      </c>
      <c r="AB828" s="164">
        <v>40909</v>
      </c>
      <c r="AC828" s="164">
        <v>41274</v>
      </c>
      <c r="AD828" s="164">
        <v>41305</v>
      </c>
      <c r="AE828" s="34">
        <f>SUMPRODUCT(DB_STProjectsSOF[[#This Row],[Plan01]:[Plan12]],$D$4:$O$4)/valUnits2</f>
        <v>0.15524000000000002</v>
      </c>
      <c r="AF828" s="34">
        <f>SUMPRODUCT(DB_STProjectsSOF[[#This Row],[Act01]:[Act12]],$P$4:$AA$4)/valUnits2</f>
        <v>0.15437999999999999</v>
      </c>
      <c r="AG828" s="34">
        <f>DB_STProjectsSOF[[#This Row],[Actual]]-DB_STProjectsSOF[[#This Row],[Plan]]</f>
        <v>-8.6000000000002741E-4</v>
      </c>
      <c r="AH828" s="34">
        <f>IF(DB_STProjectsSOF[[#This Row],[Plan]]&lt;&gt;0,DB_STProjectsSOF[[#This Row],[Actual]]/DB_STProjectsSOF[[#This Row],[Plan]],1.000011000011)</f>
        <v>0.99446019067250691</v>
      </c>
      <c r="AI828" s="34">
        <f>SUM(DB_STProjectsSOF[[#This Row],[Plan01]:[Plan12]])/valUnits2</f>
        <v>0.15524000000000002</v>
      </c>
      <c r="AJ828" s="34">
        <f>SUMPRODUCT(DB_STProjectsSOF[[#This Row],[Act01]:[Act12]],$P$3:$AA$3)/valUnits2</f>
        <v>0.15437999999999999</v>
      </c>
      <c r="AK828" s="34">
        <f>IF(DB_STProjectsSOF[[#This Row],[FY Plan]]&lt;&gt;0,DB_STProjectsSOF[[#This Row],[FY Actuals]]/DB_STProjectsSOF[[#This Row],[FY Plan]],1.000011000011)</f>
        <v>0.99446019067250691</v>
      </c>
    </row>
    <row r="829" spans="1:37" hidden="1" x14ac:dyDescent="0.2">
      <c r="A829">
        <f>SUBTOTAL(3,$B$6:B829)</f>
        <v>0</v>
      </c>
      <c r="B829" t="s">
        <v>496</v>
      </c>
      <c r="C829" t="s">
        <v>887</v>
      </c>
      <c r="D829">
        <v>0</v>
      </c>
      <c r="E829">
        <v>0</v>
      </c>
      <c r="F829">
        <v>0</v>
      </c>
      <c r="G829">
        <v>0</v>
      </c>
      <c r="H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AB829" s="164">
        <v>40817</v>
      </c>
      <c r="AC829" s="164">
        <v>41364</v>
      </c>
      <c r="AD829" s="164">
        <v>41389</v>
      </c>
      <c r="AE829" s="34">
        <f>SUMPRODUCT(DB_STProjectsSOF[[#This Row],[Plan01]:[Plan12]],$D$4:$O$4)/valUnits2</f>
        <v>0</v>
      </c>
      <c r="AF829" s="34">
        <f>SUMPRODUCT(DB_STProjectsSOF[[#This Row],[Act01]:[Act12]],$P$4:$AA$4)/valUnits2</f>
        <v>0</v>
      </c>
      <c r="AG829" s="34">
        <f>DB_STProjectsSOF[[#This Row],[Actual]]-DB_STProjectsSOF[[#This Row],[Plan]]</f>
        <v>0</v>
      </c>
      <c r="AH829" s="34">
        <f>IF(DB_STProjectsSOF[[#This Row],[Plan]]&lt;&gt;0,DB_STProjectsSOF[[#This Row],[Actual]]/DB_STProjectsSOF[[#This Row],[Plan]],1.000011000011)</f>
        <v>1.0000110000110001</v>
      </c>
      <c r="AI829" s="34">
        <f>SUM(DB_STProjectsSOF[[#This Row],[Plan01]:[Plan12]])/valUnits2</f>
        <v>0</v>
      </c>
      <c r="AJ829" s="34">
        <f>SUMPRODUCT(DB_STProjectsSOF[[#This Row],[Act01]:[Act12]],$P$3:$AA$3)/valUnits2</f>
        <v>0</v>
      </c>
      <c r="AK829" s="34">
        <f>IF(DB_STProjectsSOF[[#This Row],[FY Plan]]&lt;&gt;0,DB_STProjectsSOF[[#This Row],[FY Actuals]]/DB_STProjectsSOF[[#This Row],[FY Plan]],1.000011000011)</f>
        <v>1.0000110000110001</v>
      </c>
    </row>
    <row r="830" spans="1:37" hidden="1" x14ac:dyDescent="0.2">
      <c r="A830">
        <f>SUBTOTAL(3,$B$6:B830)</f>
        <v>0</v>
      </c>
      <c r="B830" t="s">
        <v>496</v>
      </c>
      <c r="C830" t="s">
        <v>361</v>
      </c>
      <c r="D830">
        <v>0</v>
      </c>
      <c r="E830">
        <v>0</v>
      </c>
      <c r="F830">
        <v>0</v>
      </c>
      <c r="G830">
        <v>402.53700000000003</v>
      </c>
      <c r="H830">
        <v>2160.645</v>
      </c>
      <c r="I830">
        <v>524.06600000000003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410.26</v>
      </c>
      <c r="T830">
        <v>2194.42</v>
      </c>
      <c r="U830">
        <v>117.78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s="164">
        <v>41091</v>
      </c>
      <c r="AC830" s="164">
        <v>41455</v>
      </c>
      <c r="AD830" s="164">
        <v>41486</v>
      </c>
      <c r="AE830" s="34">
        <f>SUMPRODUCT(DB_STProjectsSOF[[#This Row],[Plan01]:[Plan12]],$D$4:$O$4)/valUnits2</f>
        <v>3.0872479999999998</v>
      </c>
      <c r="AF830" s="34">
        <f>SUMPRODUCT(DB_STProjectsSOF[[#This Row],[Act01]:[Act12]],$P$4:$AA$4)/valUnits2</f>
        <v>2.7224600000000003</v>
      </c>
      <c r="AG830" s="34">
        <f>DB_STProjectsSOF[[#This Row],[Actual]]-DB_STProjectsSOF[[#This Row],[Plan]]</f>
        <v>-0.36478799999999945</v>
      </c>
      <c r="AH830" s="34">
        <f>IF(DB_STProjectsSOF[[#This Row],[Plan]]&lt;&gt;0,DB_STProjectsSOF[[#This Row],[Actual]]/DB_STProjectsSOF[[#This Row],[Plan]],1.000011000011)</f>
        <v>0.88184039636595457</v>
      </c>
      <c r="AI830" s="34">
        <f>SUM(DB_STProjectsSOF[[#This Row],[Plan01]:[Plan12]])/valUnits2</f>
        <v>3.0872479999999998</v>
      </c>
      <c r="AJ830" s="34">
        <f>SUMPRODUCT(DB_STProjectsSOF[[#This Row],[Act01]:[Act12]],$P$3:$AA$3)/valUnits2</f>
        <v>2.7224600000000003</v>
      </c>
      <c r="AK830" s="34">
        <f>IF(DB_STProjectsSOF[[#This Row],[FY Plan]]&lt;&gt;0,DB_STProjectsSOF[[#This Row],[FY Actuals]]/DB_STProjectsSOF[[#This Row],[FY Plan]],1.000011000011)</f>
        <v>0.88184039636595457</v>
      </c>
    </row>
    <row r="831" spans="1:37" hidden="1" x14ac:dyDescent="0.2">
      <c r="A831">
        <f>SUBTOTAL(3,$B$6:B831)</f>
        <v>0</v>
      </c>
      <c r="B831" t="s">
        <v>496</v>
      </c>
      <c r="C831" t="s">
        <v>358</v>
      </c>
      <c r="D831">
        <v>0</v>
      </c>
      <c r="E831">
        <v>0</v>
      </c>
      <c r="F831">
        <v>0</v>
      </c>
      <c r="G831">
        <v>943.03499999999997</v>
      </c>
      <c r="H831">
        <v>816.46500000000003</v>
      </c>
      <c r="I831">
        <v>3144.768</v>
      </c>
      <c r="J831">
        <v>3144.768</v>
      </c>
      <c r="K831">
        <v>3144.768</v>
      </c>
      <c r="L831">
        <v>3144.768</v>
      </c>
      <c r="M831">
        <v>3144.768</v>
      </c>
      <c r="N831">
        <v>3144.768</v>
      </c>
      <c r="P831">
        <v>0</v>
      </c>
      <c r="Q831">
        <v>0</v>
      </c>
      <c r="R831">
        <v>0</v>
      </c>
      <c r="S831">
        <v>954.34000000000015</v>
      </c>
      <c r="T831">
        <v>824.07000000000016</v>
      </c>
      <c r="U831">
        <v>677.33</v>
      </c>
      <c r="V831">
        <v>0</v>
      </c>
      <c r="W831">
        <v>0</v>
      </c>
      <c r="X831">
        <v>0</v>
      </c>
      <c r="Y831">
        <v>0</v>
      </c>
      <c r="Z831">
        <v>0</v>
      </c>
      <c r="AB831" s="164">
        <v>41091</v>
      </c>
      <c r="AC831" s="164">
        <v>41455</v>
      </c>
      <c r="AD831" s="164">
        <v>41517</v>
      </c>
      <c r="AE831" s="34">
        <f>SUMPRODUCT(DB_STProjectsSOF[[#This Row],[Plan01]:[Plan12]],$D$4:$O$4)/valUnits2</f>
        <v>4.9042680000000001</v>
      </c>
      <c r="AF831" s="34">
        <f>SUMPRODUCT(DB_STProjectsSOF[[#This Row],[Act01]:[Act12]],$P$4:$AA$4)/valUnits2</f>
        <v>2.45574</v>
      </c>
      <c r="AG831" s="34">
        <f>DB_STProjectsSOF[[#This Row],[Actual]]-DB_STProjectsSOF[[#This Row],[Plan]]</f>
        <v>-2.448528</v>
      </c>
      <c r="AH831" s="34">
        <f>IF(DB_STProjectsSOF[[#This Row],[Plan]]&lt;&gt;0,DB_STProjectsSOF[[#This Row],[Actual]]/DB_STProjectsSOF[[#This Row],[Plan]],1.000011000011)</f>
        <v>0.5007352779252684</v>
      </c>
      <c r="AI831" s="34">
        <f>SUM(DB_STProjectsSOF[[#This Row],[Plan01]:[Plan12]])/valUnits2</f>
        <v>20.628108000000001</v>
      </c>
      <c r="AJ831" s="34">
        <f>SUMPRODUCT(DB_STProjectsSOF[[#This Row],[Act01]:[Act12]],$P$3:$AA$3)/valUnits2</f>
        <v>2.45574</v>
      </c>
      <c r="AK831" s="34">
        <f>IF(DB_STProjectsSOF[[#This Row],[FY Plan]]&lt;&gt;0,DB_STProjectsSOF[[#This Row],[FY Actuals]]/DB_STProjectsSOF[[#This Row],[FY Plan]],1.000011000011)</f>
        <v>0.11904824233031938</v>
      </c>
    </row>
    <row r="832" spans="1:37" hidden="1" x14ac:dyDescent="0.2">
      <c r="A832">
        <f>SUBTOTAL(3,$B$6:B832)</f>
        <v>0</v>
      </c>
      <c r="B832" t="s">
        <v>496</v>
      </c>
      <c r="C832" t="s">
        <v>890</v>
      </c>
      <c r="E832">
        <v>0</v>
      </c>
      <c r="F832">
        <v>0</v>
      </c>
      <c r="G832">
        <v>2392.7589999999996</v>
      </c>
      <c r="H832">
        <v>871.70800000000008</v>
      </c>
      <c r="I832">
        <v>420.50600000000003</v>
      </c>
      <c r="J832">
        <v>420.50600000000003</v>
      </c>
      <c r="K832">
        <v>420.50600000000003</v>
      </c>
      <c r="L832">
        <v>420.50600000000003</v>
      </c>
      <c r="M832">
        <v>420.50600000000003</v>
      </c>
      <c r="N832">
        <v>420.50600000000003</v>
      </c>
      <c r="O832">
        <v>420.50600000000003</v>
      </c>
      <c r="Q832">
        <v>0</v>
      </c>
      <c r="R832">
        <v>0</v>
      </c>
      <c r="S832">
        <v>2418.7300000000005</v>
      </c>
      <c r="T832">
        <v>877.93999999999994</v>
      </c>
      <c r="U832">
        <v>2592.7600000000002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s="164">
        <v>40817</v>
      </c>
      <c r="AC832" s="164">
        <v>41639</v>
      </c>
      <c r="AD832" s="164">
        <v>41639</v>
      </c>
      <c r="AE832" s="34">
        <f>SUMPRODUCT(DB_STProjectsSOF[[#This Row],[Plan01]:[Plan12]],$D$4:$O$4)/valUnits2</f>
        <v>3.6849729999999994</v>
      </c>
      <c r="AF832" s="34">
        <f>SUMPRODUCT(DB_STProjectsSOF[[#This Row],[Act01]:[Act12]],$P$4:$AA$4)/valUnits2</f>
        <v>5.8894299999999999</v>
      </c>
      <c r="AG832" s="34">
        <f>DB_STProjectsSOF[[#This Row],[Actual]]-DB_STProjectsSOF[[#This Row],[Plan]]</f>
        <v>2.2044570000000006</v>
      </c>
      <c r="AH832" s="34">
        <f>IF(DB_STProjectsSOF[[#This Row],[Plan]]&lt;&gt;0,DB_STProjectsSOF[[#This Row],[Actual]]/DB_STProjectsSOF[[#This Row],[Plan]],1.000011000011)</f>
        <v>1.5982288065611339</v>
      </c>
      <c r="AI832" s="34">
        <f>SUM(DB_STProjectsSOF[[#This Row],[Plan01]:[Plan12]])/valUnits2</f>
        <v>6.2080090000000006</v>
      </c>
      <c r="AJ832" s="34">
        <f>SUMPRODUCT(DB_STProjectsSOF[[#This Row],[Act01]:[Act12]],$P$3:$AA$3)/valUnits2</f>
        <v>5.8894299999999999</v>
      </c>
      <c r="AK832" s="34">
        <f>IF(DB_STProjectsSOF[[#This Row],[FY Plan]]&lt;&gt;0,DB_STProjectsSOF[[#This Row],[FY Actuals]]/DB_STProjectsSOF[[#This Row],[FY Plan]],1.000011000011)</f>
        <v>0.94868258084033052</v>
      </c>
    </row>
    <row r="833" spans="1:37" hidden="1" x14ac:dyDescent="0.2">
      <c r="A833">
        <f>SUBTOTAL(3,$B$6:B833)</f>
        <v>0</v>
      </c>
      <c r="B833" t="s">
        <v>496</v>
      </c>
      <c r="C833" t="s">
        <v>891</v>
      </c>
      <c r="E833">
        <v>5.2720000000000002</v>
      </c>
      <c r="G833">
        <v>322.536</v>
      </c>
      <c r="H833">
        <v>1068.5449999999998</v>
      </c>
      <c r="I833">
        <v>836.29899999999998</v>
      </c>
      <c r="J833">
        <v>836.29899999999998</v>
      </c>
      <c r="K833">
        <v>836.29899999999998</v>
      </c>
      <c r="L833">
        <v>836.29899999999998</v>
      </c>
      <c r="M833">
        <v>836.29899999999998</v>
      </c>
      <c r="N833">
        <v>836.29899999999998</v>
      </c>
      <c r="O833">
        <v>836.29899999999998</v>
      </c>
      <c r="Q833">
        <v>5.45</v>
      </c>
      <c r="S833">
        <v>321.45</v>
      </c>
      <c r="T833">
        <v>1063.96</v>
      </c>
      <c r="U833">
        <v>866.18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s="164">
        <v>41214</v>
      </c>
      <c r="AC833" s="164">
        <v>42308</v>
      </c>
      <c r="AD833" s="164">
        <v>42389</v>
      </c>
      <c r="AE833" s="34">
        <f>SUMPRODUCT(DB_STProjectsSOF[[#This Row],[Plan01]:[Plan12]],$D$4:$O$4)/valUnits2</f>
        <v>2.2326519999999999</v>
      </c>
      <c r="AF833" s="34">
        <f>SUMPRODUCT(DB_STProjectsSOF[[#This Row],[Act01]:[Act12]],$P$4:$AA$4)/valUnits2</f>
        <v>2.2570399999999999</v>
      </c>
      <c r="AG833" s="34">
        <f>DB_STProjectsSOF[[#This Row],[Actual]]-DB_STProjectsSOF[[#This Row],[Plan]]</f>
        <v>2.4388000000000076E-2</v>
      </c>
      <c r="AH833" s="34">
        <f>IF(DB_STProjectsSOF[[#This Row],[Plan]]&lt;&gt;0,DB_STProjectsSOF[[#This Row],[Actual]]/DB_STProjectsSOF[[#This Row],[Plan]],1.000011000011)</f>
        <v>1.0109233324315656</v>
      </c>
      <c r="AI833" s="34">
        <f>SUM(DB_STProjectsSOF[[#This Row],[Plan01]:[Plan12]])/valUnits2</f>
        <v>7.2504460000000002</v>
      </c>
      <c r="AJ833" s="34">
        <f>SUMPRODUCT(DB_STProjectsSOF[[#This Row],[Act01]:[Act12]],$P$3:$AA$3)/valUnits2</f>
        <v>2.2570399999999999</v>
      </c>
      <c r="AK833" s="34">
        <f>IF(DB_STProjectsSOF[[#This Row],[FY Plan]]&lt;&gt;0,DB_STProjectsSOF[[#This Row],[FY Actuals]]/DB_STProjectsSOF[[#This Row],[FY Plan]],1.000011000011)</f>
        <v>0.31129671195399566</v>
      </c>
    </row>
    <row r="834" spans="1:37" hidden="1" x14ac:dyDescent="0.2">
      <c r="A834">
        <f>SUBTOTAL(3,$B$6:B834)</f>
        <v>0</v>
      </c>
      <c r="B834" t="s">
        <v>496</v>
      </c>
      <c r="C834" t="s">
        <v>368</v>
      </c>
      <c r="D834">
        <v>0</v>
      </c>
      <c r="E834">
        <v>0</v>
      </c>
      <c r="F834">
        <v>0</v>
      </c>
      <c r="G834">
        <v>7350.09</v>
      </c>
      <c r="H834">
        <v>22327.33</v>
      </c>
      <c r="I834">
        <v>11725</v>
      </c>
      <c r="J834">
        <v>11725</v>
      </c>
      <c r="K834">
        <v>11725</v>
      </c>
      <c r="L834">
        <v>11725</v>
      </c>
      <c r="M834">
        <v>11725</v>
      </c>
      <c r="N834">
        <v>11725</v>
      </c>
      <c r="P834">
        <v>0</v>
      </c>
      <c r="Q834">
        <v>0</v>
      </c>
      <c r="R834">
        <v>0</v>
      </c>
      <c r="S834">
        <v>7350.0899999999992</v>
      </c>
      <c r="T834">
        <v>10622.669999999998</v>
      </c>
      <c r="U834">
        <v>7415.86</v>
      </c>
      <c r="V834">
        <v>0</v>
      </c>
      <c r="W834">
        <v>0</v>
      </c>
      <c r="X834">
        <v>0</v>
      </c>
      <c r="Y834">
        <v>0</v>
      </c>
      <c r="Z834">
        <v>0</v>
      </c>
      <c r="AB834" s="164">
        <v>41000</v>
      </c>
      <c r="AC834" s="164">
        <v>41820</v>
      </c>
      <c r="AD834" s="164">
        <v>41517</v>
      </c>
      <c r="AE834" s="34">
        <f>SUMPRODUCT(DB_STProjectsSOF[[#This Row],[Plan01]:[Plan12]],$D$4:$O$4)/valUnits2</f>
        <v>41.402419999999999</v>
      </c>
      <c r="AF834" s="34">
        <f>SUMPRODUCT(DB_STProjectsSOF[[#This Row],[Act01]:[Act12]],$P$4:$AA$4)/valUnits2</f>
        <v>25.38862</v>
      </c>
      <c r="AG834" s="34">
        <f>DB_STProjectsSOF[[#This Row],[Actual]]-DB_STProjectsSOF[[#This Row],[Plan]]</f>
        <v>-16.0138</v>
      </c>
      <c r="AH834" s="34">
        <f>IF(DB_STProjectsSOF[[#This Row],[Plan]]&lt;&gt;0,DB_STProjectsSOF[[#This Row],[Actual]]/DB_STProjectsSOF[[#This Row],[Plan]],1.000011000011)</f>
        <v>0.61321584583703082</v>
      </c>
      <c r="AI834" s="34">
        <f>SUM(DB_STProjectsSOF[[#This Row],[Plan01]:[Plan12]])/valUnits2</f>
        <v>100.02741999999999</v>
      </c>
      <c r="AJ834" s="34">
        <f>SUMPRODUCT(DB_STProjectsSOF[[#This Row],[Act01]:[Act12]],$P$3:$AA$3)/valUnits2</f>
        <v>25.38862</v>
      </c>
      <c r="AK834" s="34">
        <f>IF(DB_STProjectsSOF[[#This Row],[FY Plan]]&lt;&gt;0,DB_STProjectsSOF[[#This Row],[FY Actuals]]/DB_STProjectsSOF[[#This Row],[FY Plan]],1.000011000011)</f>
        <v>0.25381660348732377</v>
      </c>
    </row>
    <row r="835" spans="1:37" hidden="1" x14ac:dyDescent="0.2">
      <c r="A835">
        <f>SUBTOTAL(3,$B$6:B835)</f>
        <v>0</v>
      </c>
      <c r="B835" t="s">
        <v>496</v>
      </c>
      <c r="C835" t="s">
        <v>892</v>
      </c>
      <c r="D835">
        <v>428.21800000000002</v>
      </c>
      <c r="E835">
        <v>-122.78500000000003</v>
      </c>
      <c r="F835">
        <v>973.48899999999992</v>
      </c>
      <c r="G835">
        <v>1471.9239999999998</v>
      </c>
      <c r="H835">
        <v>2274.5500000000002</v>
      </c>
      <c r="I835">
        <v>414.27000000000004</v>
      </c>
      <c r="J835">
        <v>414.27000000000004</v>
      </c>
      <c r="K835">
        <v>414.27000000000004</v>
      </c>
      <c r="L835">
        <v>414.27000000000004</v>
      </c>
      <c r="M835">
        <v>414.27000000000004</v>
      </c>
      <c r="N835">
        <v>414.27000000000004</v>
      </c>
      <c r="O835">
        <v>414.27000000000004</v>
      </c>
      <c r="P835">
        <v>0</v>
      </c>
      <c r="Q835">
        <v>-526.13999999999987</v>
      </c>
      <c r="R835">
        <v>564.28</v>
      </c>
      <c r="S835">
        <v>1062.47</v>
      </c>
      <c r="T835">
        <v>1840.6999999999998</v>
      </c>
      <c r="U835">
        <v>700.64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s="164">
        <v>40817</v>
      </c>
      <c r="AC835" s="164">
        <v>41639</v>
      </c>
      <c r="AD835" s="164">
        <v>3</v>
      </c>
      <c r="AE835" s="34">
        <f>SUMPRODUCT(DB_STProjectsSOF[[#This Row],[Plan01]:[Plan12]],$D$4:$O$4)/valUnits2</f>
        <v>5.4396659999999999</v>
      </c>
      <c r="AF835" s="34">
        <f>SUMPRODUCT(DB_STProjectsSOF[[#This Row],[Act01]:[Act12]],$P$4:$AA$4)/valUnits2</f>
        <v>3.64195</v>
      </c>
      <c r="AG835" s="34">
        <f>DB_STProjectsSOF[[#This Row],[Actual]]-DB_STProjectsSOF[[#This Row],[Plan]]</f>
        <v>-1.7977159999999999</v>
      </c>
      <c r="AH835" s="34">
        <f>IF(DB_STProjectsSOF[[#This Row],[Plan]]&lt;&gt;0,DB_STProjectsSOF[[#This Row],[Actual]]/DB_STProjectsSOF[[#This Row],[Plan]],1.000011000011)</f>
        <v>0.66951720932866099</v>
      </c>
      <c r="AI835" s="34">
        <f>SUM(DB_STProjectsSOF[[#This Row],[Plan01]:[Plan12]])/valUnits2</f>
        <v>7.9252860000000025</v>
      </c>
      <c r="AJ835" s="34">
        <f>SUMPRODUCT(DB_STProjectsSOF[[#This Row],[Act01]:[Act12]],$P$3:$AA$3)/valUnits2</f>
        <v>3.64195</v>
      </c>
      <c r="AK835" s="34">
        <f>IF(DB_STProjectsSOF[[#This Row],[FY Plan]]&lt;&gt;0,DB_STProjectsSOF[[#This Row],[FY Actuals]]/DB_STProjectsSOF[[#This Row],[FY Plan]],1.000011000011)</f>
        <v>0.45953546660650468</v>
      </c>
    </row>
    <row r="836" spans="1:37" hidden="1" x14ac:dyDescent="0.2">
      <c r="A836">
        <f>SUBTOTAL(3,$B$6:B836)</f>
        <v>0</v>
      </c>
      <c r="B836" t="s">
        <v>496</v>
      </c>
      <c r="C836" t="s">
        <v>893</v>
      </c>
      <c r="F836">
        <v>2673.3850000000002</v>
      </c>
      <c r="R836">
        <v>2756.69</v>
      </c>
      <c r="AB836" s="164">
        <v>41214</v>
      </c>
      <c r="AC836" s="164">
        <v>41305</v>
      </c>
      <c r="AD836" s="164">
        <v>41364</v>
      </c>
      <c r="AE836" s="34">
        <f>SUMPRODUCT(DB_STProjectsSOF[[#This Row],[Plan01]:[Plan12]],$D$4:$O$4)/valUnits2</f>
        <v>2.6733850000000001</v>
      </c>
      <c r="AF836" s="34">
        <f>SUMPRODUCT(DB_STProjectsSOF[[#This Row],[Act01]:[Act12]],$P$4:$AA$4)/valUnits2</f>
        <v>2.7566899999999999</v>
      </c>
      <c r="AG836" s="34">
        <f>DB_STProjectsSOF[[#This Row],[Actual]]-DB_STProjectsSOF[[#This Row],[Plan]]</f>
        <v>8.330499999999974E-2</v>
      </c>
      <c r="AH836" s="34">
        <f>IF(DB_STProjectsSOF[[#This Row],[Plan]]&lt;&gt;0,DB_STProjectsSOF[[#This Row],[Actual]]/DB_STProjectsSOF[[#This Row],[Plan]],1.000011000011)</f>
        <v>1.0311608690854477</v>
      </c>
      <c r="AI836" s="34">
        <f>SUM(DB_STProjectsSOF[[#This Row],[Plan01]:[Plan12]])/valUnits2</f>
        <v>2.6733850000000001</v>
      </c>
      <c r="AJ836" s="34">
        <f>SUMPRODUCT(DB_STProjectsSOF[[#This Row],[Act01]:[Act12]],$P$3:$AA$3)/valUnits2</f>
        <v>2.7566899999999999</v>
      </c>
      <c r="AK836" s="34">
        <f>IF(DB_STProjectsSOF[[#This Row],[FY Plan]]&lt;&gt;0,DB_STProjectsSOF[[#This Row],[FY Actuals]]/DB_STProjectsSOF[[#This Row],[FY Plan]],1.000011000011)</f>
        <v>1.0311608690854477</v>
      </c>
    </row>
    <row r="837" spans="1:37" hidden="1" x14ac:dyDescent="0.2">
      <c r="A837">
        <f>SUBTOTAL(3,$B$6:B837)</f>
        <v>0</v>
      </c>
      <c r="B837" t="s">
        <v>496</v>
      </c>
      <c r="C837" t="s">
        <v>894</v>
      </c>
      <c r="F837">
        <v>-270.34500000000003</v>
      </c>
      <c r="H837">
        <v>40.877999999999993</v>
      </c>
      <c r="R837">
        <v>-263.09000000000003</v>
      </c>
      <c r="T837">
        <v>42.730000000000004</v>
      </c>
      <c r="AB837" s="164">
        <v>40817</v>
      </c>
      <c r="AC837" s="164">
        <v>41639</v>
      </c>
      <c r="AD837" s="164">
        <v>41820</v>
      </c>
      <c r="AE837" s="34">
        <f>SUMPRODUCT(DB_STProjectsSOF[[#This Row],[Plan01]:[Plan12]],$D$4:$O$4)/valUnits2</f>
        <v>-0.22946700000000003</v>
      </c>
      <c r="AF837" s="34">
        <f>SUMPRODUCT(DB_STProjectsSOF[[#This Row],[Act01]:[Act12]],$P$4:$AA$4)/valUnits2</f>
        <v>-0.22036</v>
      </c>
      <c r="AG837" s="34">
        <f>DB_STProjectsSOF[[#This Row],[Actual]]-DB_STProjectsSOF[[#This Row],[Plan]]</f>
        <v>9.1070000000000317E-3</v>
      </c>
      <c r="AH837" s="34">
        <f>IF(DB_STProjectsSOF[[#This Row],[Plan]]&lt;&gt;0,DB_STProjectsSOF[[#This Row],[Actual]]/DB_STProjectsSOF[[#This Row],[Plan]],1.000011000011)</f>
        <v>0.96031237607150466</v>
      </c>
      <c r="AI837" s="34">
        <f>SUM(DB_STProjectsSOF[[#This Row],[Plan01]:[Plan12]])/valUnits2</f>
        <v>-0.22946700000000003</v>
      </c>
      <c r="AJ837" s="34">
        <f>SUMPRODUCT(DB_STProjectsSOF[[#This Row],[Act01]:[Act12]],$P$3:$AA$3)/valUnits2</f>
        <v>-0.22036</v>
      </c>
      <c r="AK837" s="34">
        <f>IF(DB_STProjectsSOF[[#This Row],[FY Plan]]&lt;&gt;0,DB_STProjectsSOF[[#This Row],[FY Actuals]]/DB_STProjectsSOF[[#This Row],[FY Plan]],1.000011000011)</f>
        <v>0.96031237607150466</v>
      </c>
    </row>
    <row r="838" spans="1:37" hidden="1" x14ac:dyDescent="0.2">
      <c r="A838">
        <f>SUBTOTAL(3,$B$6:B838)</f>
        <v>0</v>
      </c>
      <c r="B838" t="s">
        <v>496</v>
      </c>
      <c r="C838" t="s">
        <v>895</v>
      </c>
      <c r="D838">
        <v>263.81099999999998</v>
      </c>
      <c r="E838">
        <v>277.32499999999999</v>
      </c>
      <c r="F838">
        <v>318.38900000000001</v>
      </c>
      <c r="G838">
        <v>3092.712</v>
      </c>
      <c r="H838">
        <v>1849.5650000000003</v>
      </c>
      <c r="I838">
        <v>3536.44</v>
      </c>
      <c r="J838">
        <v>3536.44</v>
      </c>
      <c r="K838">
        <v>3536.44</v>
      </c>
      <c r="L838">
        <v>3536.4399999999996</v>
      </c>
      <c r="M838">
        <v>3536.44</v>
      </c>
      <c r="N838">
        <v>3536.44</v>
      </c>
      <c r="O838">
        <v>3536.44</v>
      </c>
      <c r="P838">
        <v>259.90999999999997</v>
      </c>
      <c r="Q838">
        <v>283.14</v>
      </c>
      <c r="R838">
        <v>321.27</v>
      </c>
      <c r="S838">
        <v>3093.41</v>
      </c>
      <c r="T838">
        <v>1865.9299999999998</v>
      </c>
      <c r="U838">
        <v>851.21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s="164">
        <v>40553</v>
      </c>
      <c r="AC838" s="164">
        <v>41897</v>
      </c>
      <c r="AD838" s="164">
        <v>41988</v>
      </c>
      <c r="AE838" s="34">
        <f>SUMPRODUCT(DB_STProjectsSOF[[#This Row],[Plan01]:[Plan12]],$D$4:$O$4)/valUnits2</f>
        <v>9.338242000000001</v>
      </c>
      <c r="AF838" s="34">
        <f>SUMPRODUCT(DB_STProjectsSOF[[#This Row],[Act01]:[Act12]],$P$4:$AA$4)/valUnits2</f>
        <v>6.6748700000000003</v>
      </c>
      <c r="AG838" s="34">
        <f>DB_STProjectsSOF[[#This Row],[Actual]]-DB_STProjectsSOF[[#This Row],[Plan]]</f>
        <v>-2.6633720000000007</v>
      </c>
      <c r="AH838" s="34">
        <f>IF(DB_STProjectsSOF[[#This Row],[Plan]]&lt;&gt;0,DB_STProjectsSOF[[#This Row],[Actual]]/DB_STProjectsSOF[[#This Row],[Plan]],1.000011000011)</f>
        <v>0.71478871504936359</v>
      </c>
      <c r="AI838" s="34">
        <f>SUM(DB_STProjectsSOF[[#This Row],[Plan01]:[Plan12]])/valUnits2</f>
        <v>30.556881999999995</v>
      </c>
      <c r="AJ838" s="34">
        <f>SUMPRODUCT(DB_STProjectsSOF[[#This Row],[Act01]:[Act12]],$P$3:$AA$3)/valUnits2</f>
        <v>6.6748700000000003</v>
      </c>
      <c r="AK838" s="34">
        <f>IF(DB_STProjectsSOF[[#This Row],[FY Plan]]&lt;&gt;0,DB_STProjectsSOF[[#This Row],[FY Actuals]]/DB_STProjectsSOF[[#This Row],[FY Plan]],1.000011000011)</f>
        <v>0.21844080819502465</v>
      </c>
    </row>
    <row r="839" spans="1:37" hidden="1" x14ac:dyDescent="0.2">
      <c r="A839">
        <f>SUBTOTAL(3,$B$6:B839)</f>
        <v>0</v>
      </c>
      <c r="B839" t="s">
        <v>496</v>
      </c>
      <c r="C839" t="s">
        <v>896</v>
      </c>
      <c r="D839">
        <v>0</v>
      </c>
      <c r="E839">
        <v>1783.3309999999999</v>
      </c>
      <c r="F839">
        <v>0</v>
      </c>
      <c r="G839">
        <v>7419.3580000000002</v>
      </c>
      <c r="H839">
        <v>3985.4879999999998</v>
      </c>
      <c r="I839">
        <v>722.3889999999999</v>
      </c>
      <c r="J839">
        <v>722.3889999999999</v>
      </c>
      <c r="K839">
        <v>722.3889999999999</v>
      </c>
      <c r="L839">
        <v>722.3889999999999</v>
      </c>
      <c r="M839">
        <v>722.3889999999999</v>
      </c>
      <c r="N839">
        <v>722.3889999999999</v>
      </c>
      <c r="O839">
        <v>722.3889999999999</v>
      </c>
      <c r="P839">
        <v>0</v>
      </c>
      <c r="Q839">
        <v>1783.3200000000002</v>
      </c>
      <c r="R839">
        <v>0</v>
      </c>
      <c r="S839">
        <v>7364.1099999999988</v>
      </c>
      <c r="T839">
        <v>3990.07</v>
      </c>
      <c r="U839">
        <v>1413.3200000000002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s="164">
        <v>40817</v>
      </c>
      <c r="AC839" s="164">
        <v>41639</v>
      </c>
      <c r="AD839" s="164">
        <v>41820</v>
      </c>
      <c r="AE839" s="34">
        <f>SUMPRODUCT(DB_STProjectsSOF[[#This Row],[Plan01]:[Plan12]],$D$4:$O$4)/valUnits2</f>
        <v>13.910565999999999</v>
      </c>
      <c r="AF839" s="34">
        <f>SUMPRODUCT(DB_STProjectsSOF[[#This Row],[Act01]:[Act12]],$P$4:$AA$4)/valUnits2</f>
        <v>14.550819999999998</v>
      </c>
      <c r="AG839" s="34">
        <f>DB_STProjectsSOF[[#This Row],[Actual]]-DB_STProjectsSOF[[#This Row],[Plan]]</f>
        <v>0.64025399999999877</v>
      </c>
      <c r="AH839" s="34">
        <f>IF(DB_STProjectsSOF[[#This Row],[Plan]]&lt;&gt;0,DB_STProjectsSOF[[#This Row],[Actual]]/DB_STProjectsSOF[[#This Row],[Plan]],1.000011000011)</f>
        <v>1.0460264521227964</v>
      </c>
      <c r="AI839" s="34">
        <f>SUM(DB_STProjectsSOF[[#This Row],[Plan01]:[Plan12]])/valUnits2</f>
        <v>18.244899999999994</v>
      </c>
      <c r="AJ839" s="34">
        <f>SUMPRODUCT(DB_STProjectsSOF[[#This Row],[Act01]:[Act12]],$P$3:$AA$3)/valUnits2</f>
        <v>14.550819999999998</v>
      </c>
      <c r="AK839" s="34">
        <f>IF(DB_STProjectsSOF[[#This Row],[FY Plan]]&lt;&gt;0,DB_STProjectsSOF[[#This Row],[FY Actuals]]/DB_STProjectsSOF[[#This Row],[FY Plan]],1.000011000011)</f>
        <v>0.79752807633914147</v>
      </c>
    </row>
    <row r="840" spans="1:37" hidden="1" x14ac:dyDescent="0.2">
      <c r="A840">
        <f>SUBTOTAL(3,$B$6:B840)</f>
        <v>0</v>
      </c>
      <c r="B840" t="s">
        <v>496</v>
      </c>
      <c r="C840" t="s">
        <v>903</v>
      </c>
      <c r="G840">
        <v>64.790999999999997</v>
      </c>
      <c r="H840">
        <v>124.19800000000001</v>
      </c>
      <c r="I840">
        <v>453.51400000000001</v>
      </c>
      <c r="J840">
        <v>453.51400000000001</v>
      </c>
      <c r="K840">
        <v>453.51400000000001</v>
      </c>
      <c r="L840">
        <v>453.51400000000001</v>
      </c>
      <c r="M840">
        <v>453.51400000000001</v>
      </c>
      <c r="N840">
        <v>453.51400000000001</v>
      </c>
      <c r="O840">
        <v>453.51400000000001</v>
      </c>
      <c r="S840">
        <v>63.95</v>
      </c>
      <c r="T840">
        <v>124.99000000000002</v>
      </c>
      <c r="U840">
        <v>88.940000000000012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s="164">
        <v>41275</v>
      </c>
      <c r="AC840" s="164">
        <v>41639</v>
      </c>
      <c r="AD840" s="164">
        <v>41670</v>
      </c>
      <c r="AE840" s="34">
        <f>SUMPRODUCT(DB_STProjectsSOF[[#This Row],[Plan01]:[Plan12]],$D$4:$O$4)/valUnits2</f>
        <v>0.64250300000000005</v>
      </c>
      <c r="AF840" s="34">
        <f>SUMPRODUCT(DB_STProjectsSOF[[#This Row],[Act01]:[Act12]],$P$4:$AA$4)/valUnits2</f>
        <v>0.27788000000000007</v>
      </c>
      <c r="AG840" s="34">
        <f>DB_STProjectsSOF[[#This Row],[Actual]]-DB_STProjectsSOF[[#This Row],[Plan]]</f>
        <v>-0.36462299999999997</v>
      </c>
      <c r="AH840" s="34">
        <f>IF(DB_STProjectsSOF[[#This Row],[Plan]]&lt;&gt;0,DB_STProjectsSOF[[#This Row],[Actual]]/DB_STProjectsSOF[[#This Row],[Plan]],1.000011000011)</f>
        <v>0.4324960350379688</v>
      </c>
      <c r="AI840" s="34">
        <f>SUM(DB_STProjectsSOF[[#This Row],[Plan01]:[Plan12]])/valUnits2</f>
        <v>3.3635870000000003</v>
      </c>
      <c r="AJ840" s="34">
        <f>SUMPRODUCT(DB_STProjectsSOF[[#This Row],[Act01]:[Act12]],$P$3:$AA$3)/valUnits2</f>
        <v>0.27788000000000007</v>
      </c>
      <c r="AK840" s="34">
        <f>IF(DB_STProjectsSOF[[#This Row],[FY Plan]]&lt;&gt;0,DB_STProjectsSOF[[#This Row],[FY Actuals]]/DB_STProjectsSOF[[#This Row],[FY Plan]],1.000011000011)</f>
        <v>8.261418539196401E-2</v>
      </c>
    </row>
    <row r="841" spans="1:37" hidden="1" x14ac:dyDescent="0.2">
      <c r="A841">
        <f>SUBTOTAL(3,$B$6:B841)</f>
        <v>0</v>
      </c>
      <c r="B841" t="s">
        <v>496</v>
      </c>
      <c r="C841" t="s">
        <v>365</v>
      </c>
      <c r="E841">
        <v>316.14999999999998</v>
      </c>
      <c r="F841">
        <v>506.702</v>
      </c>
      <c r="G841">
        <v>182.70299999999997</v>
      </c>
      <c r="H841">
        <v>98.053000000000011</v>
      </c>
      <c r="I841">
        <v>70.234999999999999</v>
      </c>
      <c r="J841">
        <v>70.234999999999999</v>
      </c>
      <c r="K841">
        <v>70.234999999999999</v>
      </c>
      <c r="Q841">
        <v>317.56</v>
      </c>
      <c r="R841">
        <v>509.88</v>
      </c>
      <c r="S841">
        <v>185.39000000000004</v>
      </c>
      <c r="T841">
        <v>98.88</v>
      </c>
      <c r="U841">
        <v>70.359999999999985</v>
      </c>
      <c r="V841">
        <v>0</v>
      </c>
      <c r="W841">
        <v>0</v>
      </c>
      <c r="AB841" s="164">
        <v>40878</v>
      </c>
      <c r="AC841" s="164">
        <v>41517</v>
      </c>
      <c r="AD841" s="164">
        <v>41547</v>
      </c>
      <c r="AE841" s="34">
        <f>SUMPRODUCT(DB_STProjectsSOF[[#This Row],[Plan01]:[Plan12]],$D$4:$O$4)/valUnits2</f>
        <v>1.1738429999999997</v>
      </c>
      <c r="AF841" s="34">
        <f>SUMPRODUCT(DB_STProjectsSOF[[#This Row],[Act01]:[Act12]],$P$4:$AA$4)/valUnits2</f>
        <v>1.18207</v>
      </c>
      <c r="AG841" s="34">
        <f>DB_STProjectsSOF[[#This Row],[Actual]]-DB_STProjectsSOF[[#This Row],[Plan]]</f>
        <v>8.2270000000002064E-3</v>
      </c>
      <c r="AH841" s="34">
        <f>IF(DB_STProjectsSOF[[#This Row],[Plan]]&lt;&gt;0,DB_STProjectsSOF[[#This Row],[Actual]]/DB_STProjectsSOF[[#This Row],[Plan]],1.000011000011)</f>
        <v>1.0070086033651862</v>
      </c>
      <c r="AI841" s="34">
        <f>SUM(DB_STProjectsSOF[[#This Row],[Plan01]:[Plan12]])/valUnits2</f>
        <v>1.3143129999999996</v>
      </c>
      <c r="AJ841" s="34">
        <f>SUMPRODUCT(DB_STProjectsSOF[[#This Row],[Act01]:[Act12]],$P$3:$AA$3)/valUnits2</f>
        <v>1.18207</v>
      </c>
      <c r="AK841" s="34">
        <f>IF(DB_STProjectsSOF[[#This Row],[FY Plan]]&lt;&gt;0,DB_STProjectsSOF[[#This Row],[FY Actuals]]/DB_STProjectsSOF[[#This Row],[FY Plan]],1.000011000011)</f>
        <v>0.89938241499551497</v>
      </c>
    </row>
    <row r="842" spans="1:37" hidden="1" x14ac:dyDescent="0.2">
      <c r="A842">
        <f>SUBTOTAL(3,$B$6:B842)</f>
        <v>0</v>
      </c>
      <c r="B842" t="s">
        <v>496</v>
      </c>
      <c r="C842" t="s">
        <v>904</v>
      </c>
      <c r="D842">
        <v>133.483</v>
      </c>
      <c r="E842">
        <v>250.83199999999999</v>
      </c>
      <c r="F842">
        <v>668.55200000000002</v>
      </c>
      <c r="G842">
        <v>743.6339999999999</v>
      </c>
      <c r="H842">
        <v>612.27499999999986</v>
      </c>
      <c r="I842">
        <v>284.26</v>
      </c>
      <c r="J842">
        <v>284.26</v>
      </c>
      <c r="K842">
        <v>284.26</v>
      </c>
      <c r="L842">
        <v>284.26</v>
      </c>
      <c r="M842">
        <v>284.26</v>
      </c>
      <c r="N842">
        <v>284.26</v>
      </c>
      <c r="O842">
        <v>284.26</v>
      </c>
      <c r="P842">
        <v>133.43</v>
      </c>
      <c r="Q842">
        <v>249.85999999999999</v>
      </c>
      <c r="R842">
        <v>666.05</v>
      </c>
      <c r="S842">
        <v>866.30000000000007</v>
      </c>
      <c r="T842">
        <v>614.91</v>
      </c>
      <c r="U842">
        <v>576.12999999999977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s="164">
        <v>40817</v>
      </c>
      <c r="AC842" s="164">
        <v>41639</v>
      </c>
      <c r="AD842" s="164">
        <v>41698</v>
      </c>
      <c r="AE842" s="34">
        <f>SUMPRODUCT(DB_STProjectsSOF[[#This Row],[Plan01]:[Plan12]],$D$4:$O$4)/valUnits2</f>
        <v>2.6930360000000002</v>
      </c>
      <c r="AF842" s="34">
        <f>SUMPRODUCT(DB_STProjectsSOF[[#This Row],[Act01]:[Act12]],$P$4:$AA$4)/valUnits2</f>
        <v>3.1066799999999994</v>
      </c>
      <c r="AG842" s="34">
        <f>DB_STProjectsSOF[[#This Row],[Actual]]-DB_STProjectsSOF[[#This Row],[Plan]]</f>
        <v>0.41364399999999923</v>
      </c>
      <c r="AH842" s="34">
        <f>IF(DB_STProjectsSOF[[#This Row],[Plan]]&lt;&gt;0,DB_STProjectsSOF[[#This Row],[Actual]]/DB_STProjectsSOF[[#This Row],[Plan]],1.000011000011)</f>
        <v>1.1535976496415195</v>
      </c>
      <c r="AI842" s="34">
        <f>SUM(DB_STProjectsSOF[[#This Row],[Plan01]:[Plan12]])/valUnits2</f>
        <v>4.3985960000000013</v>
      </c>
      <c r="AJ842" s="34">
        <f>SUMPRODUCT(DB_STProjectsSOF[[#This Row],[Act01]:[Act12]],$P$3:$AA$3)/valUnits2</f>
        <v>3.1066799999999994</v>
      </c>
      <c r="AK842" s="34">
        <f>IF(DB_STProjectsSOF[[#This Row],[FY Plan]]&lt;&gt;0,DB_STProjectsSOF[[#This Row],[FY Actuals]]/DB_STProjectsSOF[[#This Row],[FY Plan]],1.000011000011)</f>
        <v>0.7062890067648856</v>
      </c>
    </row>
    <row r="843" spans="1:37" hidden="1" x14ac:dyDescent="0.2">
      <c r="A843">
        <f>SUBTOTAL(3,$B$6:B843)</f>
        <v>0</v>
      </c>
      <c r="B843" t="s">
        <v>496</v>
      </c>
      <c r="C843" t="s">
        <v>905</v>
      </c>
      <c r="D843">
        <v>0</v>
      </c>
      <c r="E843">
        <v>1354.9</v>
      </c>
      <c r="F843">
        <v>0</v>
      </c>
      <c r="G843">
        <v>0</v>
      </c>
      <c r="H843">
        <v>-1354.9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1354.9</v>
      </c>
      <c r="R843">
        <v>0</v>
      </c>
      <c r="S843">
        <v>0</v>
      </c>
      <c r="T843">
        <v>-1354.9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s="164">
        <v>40909</v>
      </c>
      <c r="AC843" s="164">
        <v>41274</v>
      </c>
      <c r="AD843" s="164">
        <v>41364</v>
      </c>
      <c r="AE843" s="34">
        <f>SUMPRODUCT(DB_STProjectsSOF[[#This Row],[Plan01]:[Plan12]],$D$4:$O$4)/valUnits2</f>
        <v>0</v>
      </c>
      <c r="AF843" s="34">
        <f>SUMPRODUCT(DB_STProjectsSOF[[#This Row],[Act01]:[Act12]],$P$4:$AA$4)/valUnits2</f>
        <v>0</v>
      </c>
      <c r="AG843" s="34">
        <f>DB_STProjectsSOF[[#This Row],[Actual]]-DB_STProjectsSOF[[#This Row],[Plan]]</f>
        <v>0</v>
      </c>
      <c r="AH843" s="34">
        <f>IF(DB_STProjectsSOF[[#This Row],[Plan]]&lt;&gt;0,DB_STProjectsSOF[[#This Row],[Actual]]/DB_STProjectsSOF[[#This Row],[Plan]],1.000011000011)</f>
        <v>1.0000110000110001</v>
      </c>
      <c r="AI843" s="34">
        <f>SUM(DB_STProjectsSOF[[#This Row],[Plan01]:[Plan12]])/valUnits2</f>
        <v>0</v>
      </c>
      <c r="AJ843" s="34">
        <f>SUMPRODUCT(DB_STProjectsSOF[[#This Row],[Act01]:[Act12]],$P$3:$AA$3)/valUnits2</f>
        <v>0</v>
      </c>
      <c r="AK843" s="34">
        <f>IF(DB_STProjectsSOF[[#This Row],[FY Plan]]&lt;&gt;0,DB_STProjectsSOF[[#This Row],[FY Actuals]]/DB_STProjectsSOF[[#This Row],[FY Plan]],1.000011000011)</f>
        <v>1.0000110000110001</v>
      </c>
    </row>
    <row r="844" spans="1:37" hidden="1" x14ac:dyDescent="0.2">
      <c r="A844">
        <f>SUBTOTAL(3,$B$6:B844)</f>
        <v>0</v>
      </c>
      <c r="B844" t="s">
        <v>496</v>
      </c>
      <c r="C844" t="s">
        <v>907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s="164">
        <v>40909</v>
      </c>
      <c r="AC844" s="164">
        <v>41274</v>
      </c>
      <c r="AD844" s="164">
        <v>41320</v>
      </c>
      <c r="AE844" s="34">
        <f>SUMPRODUCT(DB_STProjectsSOF[[#This Row],[Plan01]:[Plan12]],$D$4:$O$4)/valUnits2</f>
        <v>0</v>
      </c>
      <c r="AF844" s="34">
        <f>SUMPRODUCT(DB_STProjectsSOF[[#This Row],[Act01]:[Act12]],$P$4:$AA$4)/valUnits2</f>
        <v>0</v>
      </c>
      <c r="AG844" s="34">
        <f>DB_STProjectsSOF[[#This Row],[Actual]]-DB_STProjectsSOF[[#This Row],[Plan]]</f>
        <v>0</v>
      </c>
      <c r="AH844" s="34">
        <f>IF(DB_STProjectsSOF[[#This Row],[Plan]]&lt;&gt;0,DB_STProjectsSOF[[#This Row],[Actual]]/DB_STProjectsSOF[[#This Row],[Plan]],1.000011000011)</f>
        <v>1.0000110000110001</v>
      </c>
      <c r="AI844" s="34">
        <f>SUM(DB_STProjectsSOF[[#This Row],[Plan01]:[Plan12]])/valUnits2</f>
        <v>0</v>
      </c>
      <c r="AJ844" s="34">
        <f>SUMPRODUCT(DB_STProjectsSOF[[#This Row],[Act01]:[Act12]],$P$3:$AA$3)/valUnits2</f>
        <v>0</v>
      </c>
      <c r="AK844" s="34">
        <f>IF(DB_STProjectsSOF[[#This Row],[FY Plan]]&lt;&gt;0,DB_STProjectsSOF[[#This Row],[FY Actuals]]/DB_STProjectsSOF[[#This Row],[FY Plan]],1.000011000011)</f>
        <v>1.0000110000110001</v>
      </c>
    </row>
    <row r="845" spans="1:37" hidden="1" x14ac:dyDescent="0.2">
      <c r="A845">
        <f>SUBTOTAL(3,$B$6:B845)</f>
        <v>0</v>
      </c>
      <c r="B845" t="s">
        <v>496</v>
      </c>
      <c r="C845" t="s">
        <v>908</v>
      </c>
      <c r="D845">
        <v>0</v>
      </c>
      <c r="E845">
        <v>0</v>
      </c>
      <c r="F845">
        <v>0</v>
      </c>
      <c r="G845">
        <v>1119.3989999999999</v>
      </c>
      <c r="H845">
        <v>-935.77499999999986</v>
      </c>
      <c r="I845">
        <v>39.475999999999999</v>
      </c>
      <c r="J845">
        <v>39.475999999999999</v>
      </c>
      <c r="K845">
        <v>39.475999999999999</v>
      </c>
      <c r="L845">
        <v>39.475999999999999</v>
      </c>
      <c r="M845">
        <v>39.475999999999999</v>
      </c>
      <c r="N845">
        <v>39.475999999999999</v>
      </c>
      <c r="O845">
        <v>39.475999999999999</v>
      </c>
      <c r="P845">
        <v>0</v>
      </c>
      <c r="Q845">
        <v>0</v>
      </c>
      <c r="R845">
        <v>0</v>
      </c>
      <c r="S845">
        <v>1135.7199999999998</v>
      </c>
      <c r="T845">
        <v>-970.38999999999987</v>
      </c>
      <c r="U845">
        <v>47.17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s="164">
        <v>40909</v>
      </c>
      <c r="AC845" s="164">
        <v>42003</v>
      </c>
      <c r="AD845" s="164">
        <v>42063</v>
      </c>
      <c r="AE845" s="34">
        <f>SUMPRODUCT(DB_STProjectsSOF[[#This Row],[Plan01]:[Plan12]],$D$4:$O$4)/valUnits2</f>
        <v>0.22310000000000002</v>
      </c>
      <c r="AF845" s="34">
        <f>SUMPRODUCT(DB_STProjectsSOF[[#This Row],[Act01]:[Act12]],$P$4:$AA$4)/valUnits2</f>
        <v>0.21249999999999994</v>
      </c>
      <c r="AG845" s="34">
        <f>DB_STProjectsSOF[[#This Row],[Actual]]-DB_STProjectsSOF[[#This Row],[Plan]]</f>
        <v>-1.0600000000000082E-2</v>
      </c>
      <c r="AH845" s="34">
        <f>IF(DB_STProjectsSOF[[#This Row],[Plan]]&lt;&gt;0,DB_STProjectsSOF[[#This Row],[Actual]]/DB_STProjectsSOF[[#This Row],[Plan]],1.000011000011)</f>
        <v>0.95248767368892839</v>
      </c>
      <c r="AI845" s="34">
        <f>SUM(DB_STProjectsSOF[[#This Row],[Plan01]:[Plan12]])/valUnits2</f>
        <v>0.45995600000000003</v>
      </c>
      <c r="AJ845" s="34">
        <f>SUMPRODUCT(DB_STProjectsSOF[[#This Row],[Act01]:[Act12]],$P$3:$AA$3)/valUnits2</f>
        <v>0.21249999999999994</v>
      </c>
      <c r="AK845" s="34">
        <f>IF(DB_STProjectsSOF[[#This Row],[FY Plan]]&lt;&gt;0,DB_STProjectsSOF[[#This Row],[FY Actuals]]/DB_STProjectsSOF[[#This Row],[FY Plan]],1.000011000011)</f>
        <v>0.46200071311168878</v>
      </c>
    </row>
    <row r="846" spans="1:37" hidden="1" x14ac:dyDescent="0.2">
      <c r="A846">
        <f>SUBTOTAL(3,$B$6:B846)</f>
        <v>0</v>
      </c>
      <c r="B846" t="s">
        <v>496</v>
      </c>
      <c r="C846" t="s">
        <v>909</v>
      </c>
      <c r="D846">
        <v>12253.490000000002</v>
      </c>
      <c r="E846">
        <v>14398.649999999996</v>
      </c>
      <c r="F846">
        <v>18282.999999999996</v>
      </c>
      <c r="G846">
        <v>45575.310000000012</v>
      </c>
      <c r="H846">
        <v>23407.28000000001</v>
      </c>
      <c r="I846">
        <v>18617.002</v>
      </c>
      <c r="J846">
        <v>18617.002</v>
      </c>
      <c r="K846">
        <v>18617.002</v>
      </c>
      <c r="L846">
        <v>18617.002</v>
      </c>
      <c r="M846">
        <v>18617.002000000004</v>
      </c>
      <c r="N846">
        <v>18617.002</v>
      </c>
      <c r="O846">
        <v>18617.002000000004</v>
      </c>
      <c r="P846">
        <v>12253.489999999998</v>
      </c>
      <c r="Q846">
        <v>14398.65</v>
      </c>
      <c r="R846">
        <v>18344.889999999996</v>
      </c>
      <c r="S846">
        <v>47134.670000000027</v>
      </c>
      <c r="T846">
        <v>23426.87</v>
      </c>
      <c r="U846">
        <v>22924.750000000004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s="164">
        <v>40817</v>
      </c>
      <c r="AC846" s="164">
        <v>42155</v>
      </c>
      <c r="AD846" s="164">
        <v>42217</v>
      </c>
      <c r="AE846" s="34">
        <f>SUMPRODUCT(DB_STProjectsSOF[[#This Row],[Plan01]:[Plan12]],$D$4:$O$4)/valUnits2</f>
        <v>132.53473200000002</v>
      </c>
      <c r="AF846" s="34">
        <f>SUMPRODUCT(DB_STProjectsSOF[[#This Row],[Act01]:[Act12]],$P$4:$AA$4)/valUnits2</f>
        <v>138.48332000000005</v>
      </c>
      <c r="AG846" s="34">
        <f>DB_STProjectsSOF[[#This Row],[Actual]]-DB_STProjectsSOF[[#This Row],[Plan]]</f>
        <v>5.9485880000000293</v>
      </c>
      <c r="AH846" s="34">
        <f>IF(DB_STProjectsSOF[[#This Row],[Plan]]&lt;&gt;0,DB_STProjectsSOF[[#This Row],[Actual]]/DB_STProjectsSOF[[#This Row],[Plan]],1.000011000011)</f>
        <v>1.0448832386064659</v>
      </c>
      <c r="AI846" s="34">
        <f>SUM(DB_STProjectsSOF[[#This Row],[Plan01]:[Plan12]])/valUnits2</f>
        <v>244.23674400000007</v>
      </c>
      <c r="AJ846" s="34">
        <f>SUMPRODUCT(DB_STProjectsSOF[[#This Row],[Act01]:[Act12]],$P$3:$AA$3)/valUnits2</f>
        <v>138.48332000000005</v>
      </c>
      <c r="AK846" s="34">
        <f>IF(DB_STProjectsSOF[[#This Row],[FY Plan]]&lt;&gt;0,DB_STProjectsSOF[[#This Row],[FY Actuals]]/DB_STProjectsSOF[[#This Row],[FY Plan]],1.000011000011)</f>
        <v>0.56700444712774256</v>
      </c>
    </row>
    <row r="847" spans="1:37" hidden="1" x14ac:dyDescent="0.2">
      <c r="A847">
        <f>SUBTOTAL(3,$B$6:B847)</f>
        <v>0</v>
      </c>
      <c r="B847" t="s">
        <v>496</v>
      </c>
      <c r="C847" t="s">
        <v>354</v>
      </c>
      <c r="D847">
        <v>0</v>
      </c>
      <c r="E847">
        <v>0</v>
      </c>
      <c r="F847">
        <v>0</v>
      </c>
      <c r="G847">
        <v>1264.8510000000001</v>
      </c>
      <c r="H847">
        <v>1318.0140000000004</v>
      </c>
      <c r="I847">
        <v>912.23200000000008</v>
      </c>
      <c r="P847">
        <v>0</v>
      </c>
      <c r="Q847">
        <v>0</v>
      </c>
      <c r="R847">
        <v>0</v>
      </c>
      <c r="S847">
        <v>1254.27</v>
      </c>
      <c r="T847">
        <v>1336.4800000000002</v>
      </c>
      <c r="U847">
        <v>1119.92</v>
      </c>
      <c r="AB847" s="164">
        <v>41091</v>
      </c>
      <c r="AC847" s="164">
        <v>41455</v>
      </c>
      <c r="AD847" s="164">
        <v>41517</v>
      </c>
      <c r="AE847" s="34">
        <f>SUMPRODUCT(DB_STProjectsSOF[[#This Row],[Plan01]:[Plan12]],$D$4:$O$4)/valUnits2</f>
        <v>3.4950970000000008</v>
      </c>
      <c r="AF847" s="34">
        <f>SUMPRODUCT(DB_STProjectsSOF[[#This Row],[Act01]:[Act12]],$P$4:$AA$4)/valUnits2</f>
        <v>3.7106699999999999</v>
      </c>
      <c r="AG847" s="34">
        <f>DB_STProjectsSOF[[#This Row],[Actual]]-DB_STProjectsSOF[[#This Row],[Plan]]</f>
        <v>0.21557299999999913</v>
      </c>
      <c r="AH847" s="34">
        <f>IF(DB_STProjectsSOF[[#This Row],[Plan]]&lt;&gt;0,DB_STProjectsSOF[[#This Row],[Actual]]/DB_STProjectsSOF[[#This Row],[Plan]],1.000011000011)</f>
        <v>1.0616786887459773</v>
      </c>
      <c r="AI847" s="34">
        <f>SUM(DB_STProjectsSOF[[#This Row],[Plan01]:[Plan12]])/valUnits2</f>
        <v>3.4950970000000008</v>
      </c>
      <c r="AJ847" s="34">
        <f>SUMPRODUCT(DB_STProjectsSOF[[#This Row],[Act01]:[Act12]],$P$3:$AA$3)/valUnits2</f>
        <v>3.7106699999999999</v>
      </c>
      <c r="AK847" s="34">
        <f>IF(DB_STProjectsSOF[[#This Row],[FY Plan]]&lt;&gt;0,DB_STProjectsSOF[[#This Row],[FY Actuals]]/DB_STProjectsSOF[[#This Row],[FY Plan]],1.000011000011)</f>
        <v>1.0616786887459773</v>
      </c>
    </row>
    <row r="848" spans="1:37" hidden="1" x14ac:dyDescent="0.2">
      <c r="A848">
        <f>SUBTOTAL(3,$B$6:B848)</f>
        <v>0</v>
      </c>
      <c r="B848" t="s">
        <v>496</v>
      </c>
      <c r="C848" t="s">
        <v>911</v>
      </c>
      <c r="D848">
        <v>5965.7579999999998</v>
      </c>
      <c r="E848">
        <v>10343.724</v>
      </c>
      <c r="F848">
        <v>7426.0499999999993</v>
      </c>
      <c r="G848">
        <v>20152.229999999992</v>
      </c>
      <c r="H848">
        <v>8626.31</v>
      </c>
      <c r="I848">
        <v>2191.0800000000004</v>
      </c>
      <c r="J848">
        <v>2191.0800000000004</v>
      </c>
      <c r="K848">
        <v>2191.0800000000004</v>
      </c>
      <c r="L848">
        <v>2254.9750000000004</v>
      </c>
      <c r="M848">
        <v>2191.08</v>
      </c>
      <c r="P848">
        <v>2672.09</v>
      </c>
      <c r="Q848">
        <v>4125.3899999999994</v>
      </c>
      <c r="R848">
        <v>5234.97</v>
      </c>
      <c r="S848">
        <v>17961.150000000001</v>
      </c>
      <c r="T848">
        <v>6447.4099999999989</v>
      </c>
      <c r="U848">
        <v>5145.72</v>
      </c>
      <c r="V848">
        <v>0</v>
      </c>
      <c r="W848">
        <v>0</v>
      </c>
      <c r="X848">
        <v>0</v>
      </c>
      <c r="Y848">
        <v>0</v>
      </c>
      <c r="AB848" s="164">
        <v>40817</v>
      </c>
      <c r="AC848" s="164">
        <v>41578</v>
      </c>
      <c r="AD848" s="164">
        <v>41639</v>
      </c>
      <c r="AE848" s="34">
        <f>SUMPRODUCT(DB_STProjectsSOF[[#This Row],[Plan01]:[Plan12]],$D$4:$O$4)/valUnits2</f>
        <v>54.705151999999984</v>
      </c>
      <c r="AF848" s="34">
        <f>SUMPRODUCT(DB_STProjectsSOF[[#This Row],[Act01]:[Act12]],$P$4:$AA$4)/valUnits2</f>
        <v>41.586730000000003</v>
      </c>
      <c r="AG848" s="34">
        <f>DB_STProjectsSOF[[#This Row],[Actual]]-DB_STProjectsSOF[[#This Row],[Plan]]</f>
        <v>-13.118421999999981</v>
      </c>
      <c r="AH848" s="34">
        <f>IF(DB_STProjectsSOF[[#This Row],[Plan]]&lt;&gt;0,DB_STProjectsSOF[[#This Row],[Actual]]/DB_STProjectsSOF[[#This Row],[Plan]],1.000011000011)</f>
        <v>0.76019768668223453</v>
      </c>
      <c r="AI848" s="34">
        <f>SUM(DB_STProjectsSOF[[#This Row],[Plan01]:[Plan12]])/valUnits2</f>
        <v>63.533366999999991</v>
      </c>
      <c r="AJ848" s="34">
        <f>SUMPRODUCT(DB_STProjectsSOF[[#This Row],[Act01]:[Act12]],$P$3:$AA$3)/valUnits2</f>
        <v>41.586730000000003</v>
      </c>
      <c r="AK848" s="34">
        <f>IF(DB_STProjectsSOF[[#This Row],[FY Plan]]&lt;&gt;0,DB_STProjectsSOF[[#This Row],[FY Actuals]]/DB_STProjectsSOF[[#This Row],[FY Plan]],1.000011000011)</f>
        <v>0.65456518304783073</v>
      </c>
    </row>
    <row r="849" spans="1:37" hidden="1" x14ac:dyDescent="0.2">
      <c r="A849">
        <f>SUBTOTAL(3,$B$6:B849)</f>
        <v>0</v>
      </c>
      <c r="B849" t="s">
        <v>496</v>
      </c>
      <c r="C849" t="s">
        <v>913</v>
      </c>
      <c r="D849">
        <v>0</v>
      </c>
      <c r="E849">
        <v>0</v>
      </c>
      <c r="F849">
        <v>0</v>
      </c>
      <c r="G849">
        <v>466.15999999999997</v>
      </c>
      <c r="H849">
        <v>168.245</v>
      </c>
      <c r="I849">
        <v>282.19299999999998</v>
      </c>
      <c r="J849">
        <v>282.19299999999998</v>
      </c>
      <c r="K849">
        <v>282.19299999999998</v>
      </c>
      <c r="L849">
        <v>282.19299999999998</v>
      </c>
      <c r="M849">
        <v>282.19299999999998</v>
      </c>
      <c r="N849">
        <v>282.19299999999998</v>
      </c>
      <c r="O849">
        <v>282.19299999999998</v>
      </c>
      <c r="P849">
        <v>0</v>
      </c>
      <c r="Q849">
        <v>0</v>
      </c>
      <c r="R849">
        <v>0</v>
      </c>
      <c r="S849">
        <v>470.88999999999993</v>
      </c>
      <c r="T849">
        <v>169.02</v>
      </c>
      <c r="U849">
        <v>-2663.46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s="164">
        <v>40817</v>
      </c>
      <c r="AC849" s="164">
        <v>41639</v>
      </c>
      <c r="AD849" s="164">
        <v>41685</v>
      </c>
      <c r="AE849" s="34">
        <f>SUMPRODUCT(DB_STProjectsSOF[[#This Row],[Plan01]:[Plan12]],$D$4:$O$4)/valUnits2</f>
        <v>0.91659799999999991</v>
      </c>
      <c r="AF849" s="34">
        <f>SUMPRODUCT(DB_STProjectsSOF[[#This Row],[Act01]:[Act12]],$P$4:$AA$4)/valUnits2</f>
        <v>-2.0235500000000002</v>
      </c>
      <c r="AG849" s="34">
        <f>DB_STProjectsSOF[[#This Row],[Actual]]-DB_STProjectsSOF[[#This Row],[Plan]]</f>
        <v>-2.9401480000000002</v>
      </c>
      <c r="AH849" s="34">
        <f>IF(DB_STProjectsSOF[[#This Row],[Plan]]&lt;&gt;0,DB_STProjectsSOF[[#This Row],[Actual]]/DB_STProjectsSOF[[#This Row],[Plan]],1.000011000011)</f>
        <v>-2.2076744657963472</v>
      </c>
      <c r="AI849" s="34">
        <f>SUM(DB_STProjectsSOF[[#This Row],[Plan01]:[Plan12]])/valUnits2</f>
        <v>2.6097560000000004</v>
      </c>
      <c r="AJ849" s="34">
        <f>SUMPRODUCT(DB_STProjectsSOF[[#This Row],[Act01]:[Act12]],$P$3:$AA$3)/valUnits2</f>
        <v>-2.0235500000000002</v>
      </c>
      <c r="AK849" s="34">
        <f>IF(DB_STProjectsSOF[[#This Row],[FY Plan]]&lt;&gt;0,DB_STProjectsSOF[[#This Row],[FY Actuals]]/DB_STProjectsSOF[[#This Row],[FY Plan]],1.000011000011)</f>
        <v>-0.77537900094874768</v>
      </c>
    </row>
    <row r="850" spans="1:37" hidden="1" x14ac:dyDescent="0.2">
      <c r="A850">
        <f>SUBTOTAL(3,$B$6:B850)</f>
        <v>0</v>
      </c>
      <c r="B850" t="s">
        <v>496</v>
      </c>
      <c r="C850" t="s">
        <v>915</v>
      </c>
      <c r="D850">
        <v>0</v>
      </c>
      <c r="E850">
        <v>286.40100000000001</v>
      </c>
      <c r="F850">
        <v>324.58999999999997</v>
      </c>
      <c r="G850">
        <v>996.68000000000006</v>
      </c>
      <c r="H850">
        <v>1544.7240000000002</v>
      </c>
      <c r="I850">
        <v>153.839</v>
      </c>
      <c r="J850">
        <v>153.839</v>
      </c>
      <c r="K850">
        <v>153.839</v>
      </c>
      <c r="L850">
        <v>153.839</v>
      </c>
      <c r="M850">
        <v>153.839</v>
      </c>
      <c r="N850">
        <v>153.839</v>
      </c>
      <c r="O850">
        <v>153.839</v>
      </c>
      <c r="P850">
        <v>0</v>
      </c>
      <c r="Q850">
        <v>293.54000000000002</v>
      </c>
      <c r="R850">
        <v>320.04000000000002</v>
      </c>
      <c r="S850">
        <v>966.24</v>
      </c>
      <c r="T850">
        <v>1585.8100000000002</v>
      </c>
      <c r="U850">
        <v>1225.0099999999998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s="164">
        <v>41061</v>
      </c>
      <c r="AC850" s="164">
        <v>42155</v>
      </c>
      <c r="AD850" s="164">
        <v>42185</v>
      </c>
      <c r="AE850" s="34">
        <f>SUMPRODUCT(DB_STProjectsSOF[[#This Row],[Plan01]:[Plan12]],$D$4:$O$4)/valUnits2</f>
        <v>3.3062340000000003</v>
      </c>
      <c r="AF850" s="34">
        <f>SUMPRODUCT(DB_STProjectsSOF[[#This Row],[Act01]:[Act12]],$P$4:$AA$4)/valUnits2</f>
        <v>4.3906399999999994</v>
      </c>
      <c r="AG850" s="34">
        <f>DB_STProjectsSOF[[#This Row],[Actual]]-DB_STProjectsSOF[[#This Row],[Plan]]</f>
        <v>1.0844059999999991</v>
      </c>
      <c r="AH850" s="34">
        <f>IF(DB_STProjectsSOF[[#This Row],[Plan]]&lt;&gt;0,DB_STProjectsSOF[[#This Row],[Actual]]/DB_STProjectsSOF[[#This Row],[Plan]],1.000011000011)</f>
        <v>1.3279882791115205</v>
      </c>
      <c r="AI850" s="34">
        <f>SUM(DB_STProjectsSOF[[#This Row],[Plan01]:[Plan12]])/valUnits2</f>
        <v>4.2292680000000002</v>
      </c>
      <c r="AJ850" s="34">
        <f>SUMPRODUCT(DB_STProjectsSOF[[#This Row],[Act01]:[Act12]],$P$3:$AA$3)/valUnits2</f>
        <v>4.3906399999999994</v>
      </c>
      <c r="AK850" s="34">
        <f>IF(DB_STProjectsSOF[[#This Row],[FY Plan]]&lt;&gt;0,DB_STProjectsSOF[[#This Row],[FY Actuals]]/DB_STProjectsSOF[[#This Row],[FY Plan]],1.000011000011)</f>
        <v>1.0381560118677746</v>
      </c>
    </row>
    <row r="851" spans="1:37" hidden="1" x14ac:dyDescent="0.2">
      <c r="A851">
        <f>SUBTOTAL(3,$B$6:B851)</f>
        <v>0</v>
      </c>
      <c r="B851" t="s">
        <v>496</v>
      </c>
      <c r="C851" t="s">
        <v>916</v>
      </c>
      <c r="F851">
        <v>0</v>
      </c>
      <c r="G851">
        <v>0</v>
      </c>
      <c r="H851">
        <v>0</v>
      </c>
      <c r="I851">
        <v>125</v>
      </c>
      <c r="J851">
        <v>41.667000000000002</v>
      </c>
      <c r="K851">
        <v>41.667000000000002</v>
      </c>
      <c r="L851">
        <v>41.667000000000002</v>
      </c>
      <c r="M851">
        <v>41.667000000000002</v>
      </c>
      <c r="N851">
        <v>41.667000000000002</v>
      </c>
      <c r="O851">
        <v>41.667000000000002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s="164">
        <v>41244</v>
      </c>
      <c r="AC851" s="164">
        <v>41639</v>
      </c>
      <c r="AD851" s="164">
        <v>41729</v>
      </c>
      <c r="AE851" s="34">
        <f>SUMPRODUCT(DB_STProjectsSOF[[#This Row],[Plan01]:[Plan12]],$D$4:$O$4)/valUnits2</f>
        <v>0.125</v>
      </c>
      <c r="AF851" s="34">
        <f>SUMPRODUCT(DB_STProjectsSOF[[#This Row],[Act01]:[Act12]],$P$4:$AA$4)/valUnits2</f>
        <v>0</v>
      </c>
      <c r="AG851" s="34">
        <f>DB_STProjectsSOF[[#This Row],[Actual]]-DB_STProjectsSOF[[#This Row],[Plan]]</f>
        <v>-0.125</v>
      </c>
      <c r="AH851" s="34">
        <f>IF(DB_STProjectsSOF[[#This Row],[Plan]]&lt;&gt;0,DB_STProjectsSOF[[#This Row],[Actual]]/DB_STProjectsSOF[[#This Row],[Plan]],1.000011000011)</f>
        <v>0</v>
      </c>
      <c r="AI851" s="34">
        <f>SUM(DB_STProjectsSOF[[#This Row],[Plan01]:[Plan12]])/valUnits2</f>
        <v>0.37500200000000006</v>
      </c>
      <c r="AJ851" s="34">
        <f>SUMPRODUCT(DB_STProjectsSOF[[#This Row],[Act01]:[Act12]],$P$3:$AA$3)/valUnits2</f>
        <v>0</v>
      </c>
      <c r="AK851" s="34">
        <f>IF(DB_STProjectsSOF[[#This Row],[FY Plan]]&lt;&gt;0,DB_STProjectsSOF[[#This Row],[FY Actuals]]/DB_STProjectsSOF[[#This Row],[FY Plan]],1.000011000011)</f>
        <v>0</v>
      </c>
    </row>
    <row r="852" spans="1:37" hidden="1" x14ac:dyDescent="0.2">
      <c r="A852">
        <f>SUBTOTAL(3,$B$6:B852)</f>
        <v>0</v>
      </c>
      <c r="B852" t="s">
        <v>496</v>
      </c>
      <c r="C852" t="s">
        <v>917</v>
      </c>
      <c r="D852">
        <v>295.113</v>
      </c>
      <c r="E852">
        <v>51.811999999999998</v>
      </c>
      <c r="F852">
        <v>63.872</v>
      </c>
      <c r="G852">
        <v>2794.3670000000002</v>
      </c>
      <c r="H852">
        <v>860.52300000000002</v>
      </c>
      <c r="I852">
        <v>300.38499999999999</v>
      </c>
      <c r="J852">
        <v>1473.4739999999999</v>
      </c>
      <c r="K852">
        <v>1473.4739999999999</v>
      </c>
      <c r="L852">
        <v>1473.4739999999999</v>
      </c>
      <c r="M852">
        <v>1473.4739999999999</v>
      </c>
      <c r="N852">
        <v>1473.4739999999999</v>
      </c>
      <c r="O852">
        <v>1473.4739999999999</v>
      </c>
      <c r="P852">
        <v>295.12</v>
      </c>
      <c r="Q852">
        <v>51.65</v>
      </c>
      <c r="R852">
        <v>63.449999999999996</v>
      </c>
      <c r="S852">
        <v>2779.7199999999993</v>
      </c>
      <c r="T852">
        <v>864.67</v>
      </c>
      <c r="U852">
        <v>-1194.0799999999997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s="164">
        <v>40817</v>
      </c>
      <c r="AC852" s="164">
        <v>42155</v>
      </c>
      <c r="AD852" s="164">
        <v>42246</v>
      </c>
      <c r="AE852" s="34">
        <f>SUMPRODUCT(DB_STProjectsSOF[[#This Row],[Plan01]:[Plan12]],$D$4:$O$4)/valUnits2</f>
        <v>4.366072</v>
      </c>
      <c r="AF852" s="34">
        <f>SUMPRODUCT(DB_STProjectsSOF[[#This Row],[Act01]:[Act12]],$P$4:$AA$4)/valUnits2</f>
        <v>2.8605299999999998</v>
      </c>
      <c r="AG852" s="34">
        <f>DB_STProjectsSOF[[#This Row],[Actual]]-DB_STProjectsSOF[[#This Row],[Plan]]</f>
        <v>-1.5055420000000002</v>
      </c>
      <c r="AH852" s="34">
        <f>IF(DB_STProjectsSOF[[#This Row],[Plan]]&lt;&gt;0,DB_STProjectsSOF[[#This Row],[Actual]]/DB_STProjectsSOF[[#This Row],[Plan]],1.000011000011)</f>
        <v>0.65517242958888444</v>
      </c>
      <c r="AI852" s="34">
        <f>SUM(DB_STProjectsSOF[[#This Row],[Plan01]:[Plan12]])/valUnits2</f>
        <v>13.206916000000001</v>
      </c>
      <c r="AJ852" s="34">
        <f>SUMPRODUCT(DB_STProjectsSOF[[#This Row],[Act01]:[Act12]],$P$3:$AA$3)/valUnits2</f>
        <v>2.8605299999999998</v>
      </c>
      <c r="AK852" s="34">
        <f>IF(DB_STProjectsSOF[[#This Row],[FY Plan]]&lt;&gt;0,DB_STProjectsSOF[[#This Row],[FY Actuals]]/DB_STProjectsSOF[[#This Row],[FY Plan]],1.000011000011)</f>
        <v>0.2165933364004132</v>
      </c>
    </row>
    <row r="853" spans="1:37" hidden="1" x14ac:dyDescent="0.2">
      <c r="A853">
        <f>SUBTOTAL(3,$B$6:B853)</f>
        <v>0</v>
      </c>
      <c r="B853" t="s">
        <v>496</v>
      </c>
      <c r="C853" t="s">
        <v>918</v>
      </c>
      <c r="D853">
        <v>0</v>
      </c>
      <c r="G853">
        <v>963.07899999999995</v>
      </c>
      <c r="H853">
        <v>349.35700000000008</v>
      </c>
      <c r="I853">
        <v>1697.268</v>
      </c>
      <c r="J853">
        <v>1697.268</v>
      </c>
      <c r="K853">
        <v>1697.268</v>
      </c>
      <c r="L853">
        <v>1697.268</v>
      </c>
      <c r="M853">
        <v>1697.268</v>
      </c>
      <c r="N853">
        <v>1697.268</v>
      </c>
      <c r="O853">
        <v>1697.268</v>
      </c>
      <c r="P853">
        <v>0</v>
      </c>
      <c r="S853">
        <v>972.67000000000019</v>
      </c>
      <c r="T853">
        <v>349.78</v>
      </c>
      <c r="U853">
        <v>248.86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s="164">
        <v>41091</v>
      </c>
      <c r="AC853" s="164">
        <v>42185</v>
      </c>
      <c r="AD853" s="164">
        <v>42247</v>
      </c>
      <c r="AE853" s="34">
        <f>SUMPRODUCT(DB_STProjectsSOF[[#This Row],[Plan01]:[Plan12]],$D$4:$O$4)/valUnits2</f>
        <v>3.0097040000000002</v>
      </c>
      <c r="AF853" s="34">
        <f>SUMPRODUCT(DB_STProjectsSOF[[#This Row],[Act01]:[Act12]],$P$4:$AA$4)/valUnits2</f>
        <v>1.5713100000000004</v>
      </c>
      <c r="AG853" s="34">
        <f>DB_STProjectsSOF[[#This Row],[Actual]]-DB_STProjectsSOF[[#This Row],[Plan]]</f>
        <v>-1.4383939999999997</v>
      </c>
      <c r="AH853" s="34">
        <f>IF(DB_STProjectsSOF[[#This Row],[Plan]]&lt;&gt;0,DB_STProjectsSOF[[#This Row],[Actual]]/DB_STProjectsSOF[[#This Row],[Plan]],1.000011000011)</f>
        <v>0.52208124121176047</v>
      </c>
      <c r="AI853" s="34">
        <f>SUM(DB_STProjectsSOF[[#This Row],[Plan01]:[Plan12]])/valUnits2</f>
        <v>13.193312000000001</v>
      </c>
      <c r="AJ853" s="34">
        <f>SUMPRODUCT(DB_STProjectsSOF[[#This Row],[Act01]:[Act12]],$P$3:$AA$3)/valUnits2</f>
        <v>1.5713100000000004</v>
      </c>
      <c r="AK853" s="34">
        <f>IF(DB_STProjectsSOF[[#This Row],[FY Plan]]&lt;&gt;0,DB_STProjectsSOF[[#This Row],[FY Actuals]]/DB_STProjectsSOF[[#This Row],[FY Plan]],1.000011000011)</f>
        <v>0.11909897984675875</v>
      </c>
    </row>
    <row r="854" spans="1:37" hidden="1" x14ac:dyDescent="0.2">
      <c r="A854">
        <f>SUBTOTAL(3,$B$6:B854)</f>
        <v>0</v>
      </c>
      <c r="B854" t="s">
        <v>496</v>
      </c>
      <c r="C854" t="s">
        <v>356</v>
      </c>
      <c r="D854">
        <v>0</v>
      </c>
      <c r="E854">
        <v>0</v>
      </c>
      <c r="F854">
        <v>0</v>
      </c>
      <c r="G854">
        <v>744.452</v>
      </c>
      <c r="H854">
        <v>467.10699999999997</v>
      </c>
      <c r="I854">
        <v>1349.1979999999999</v>
      </c>
      <c r="P854">
        <v>0</v>
      </c>
      <c r="Q854">
        <v>0</v>
      </c>
      <c r="R854">
        <v>0</v>
      </c>
      <c r="S854">
        <v>748.25999999999988</v>
      </c>
      <c r="T854">
        <v>491.40000000000003</v>
      </c>
      <c r="U854">
        <v>2504.8500000000004</v>
      </c>
      <c r="AB854" s="164">
        <v>41091</v>
      </c>
      <c r="AC854" s="164">
        <v>41455</v>
      </c>
      <c r="AD854" s="164">
        <v>41547</v>
      </c>
      <c r="AE854" s="34">
        <f>SUMPRODUCT(DB_STProjectsSOF[[#This Row],[Plan01]:[Plan12]],$D$4:$O$4)/valUnits2</f>
        <v>2.5607569999999997</v>
      </c>
      <c r="AF854" s="34">
        <f>SUMPRODUCT(DB_STProjectsSOF[[#This Row],[Act01]:[Act12]],$P$4:$AA$4)/valUnits2</f>
        <v>3.74451</v>
      </c>
      <c r="AG854" s="34">
        <f>DB_STProjectsSOF[[#This Row],[Actual]]-DB_STProjectsSOF[[#This Row],[Plan]]</f>
        <v>1.1837530000000003</v>
      </c>
      <c r="AH854" s="34">
        <f>IF(DB_STProjectsSOF[[#This Row],[Plan]]&lt;&gt;0,DB_STProjectsSOF[[#This Row],[Actual]]/DB_STProjectsSOF[[#This Row],[Plan]],1.000011000011)</f>
        <v>1.4622668218811861</v>
      </c>
      <c r="AI854" s="34">
        <f>SUM(DB_STProjectsSOF[[#This Row],[Plan01]:[Plan12]])/valUnits2</f>
        <v>2.5607569999999997</v>
      </c>
      <c r="AJ854" s="34">
        <f>SUMPRODUCT(DB_STProjectsSOF[[#This Row],[Act01]:[Act12]],$P$3:$AA$3)/valUnits2</f>
        <v>3.74451</v>
      </c>
      <c r="AK854" s="34">
        <f>IF(DB_STProjectsSOF[[#This Row],[FY Plan]]&lt;&gt;0,DB_STProjectsSOF[[#This Row],[FY Actuals]]/DB_STProjectsSOF[[#This Row],[FY Plan]],1.000011000011)</f>
        <v>1.4622668218811861</v>
      </c>
    </row>
    <row r="855" spans="1:37" hidden="1" x14ac:dyDescent="0.2">
      <c r="A855">
        <f>SUBTOTAL(3,$B$6:B855)</f>
        <v>0</v>
      </c>
      <c r="B855" t="s">
        <v>496</v>
      </c>
      <c r="C855" t="s">
        <v>919</v>
      </c>
      <c r="D855">
        <v>597.99300000000005</v>
      </c>
      <c r="E855">
        <v>2121.4360000000001</v>
      </c>
      <c r="F855">
        <v>3326.4030000000002</v>
      </c>
      <c r="G855">
        <v>24468.414000000004</v>
      </c>
      <c r="H855">
        <v>9444.4619999999995</v>
      </c>
      <c r="I855">
        <v>5767.6809999999996</v>
      </c>
      <c r="J855">
        <v>8031.7179999999989</v>
      </c>
      <c r="K855">
        <v>5767.6810000000005</v>
      </c>
      <c r="L855">
        <v>5767.6810000000005</v>
      </c>
      <c r="M855">
        <v>8031.7179999999989</v>
      </c>
      <c r="N855">
        <v>5767.6810000000005</v>
      </c>
      <c r="O855">
        <v>5767.6810000000005</v>
      </c>
      <c r="P855">
        <v>589.15</v>
      </c>
      <c r="Q855">
        <v>2165.92</v>
      </c>
      <c r="R855">
        <v>3356.7699999999995</v>
      </c>
      <c r="S855">
        <v>24696.720000000001</v>
      </c>
      <c r="T855">
        <v>9446.9199999999983</v>
      </c>
      <c r="U855">
        <v>6704.8900000000012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s="164">
        <v>40878</v>
      </c>
      <c r="AC855" s="164">
        <v>42794</v>
      </c>
      <c r="AD855" s="164">
        <v>42978</v>
      </c>
      <c r="AE855" s="34">
        <f>SUMPRODUCT(DB_STProjectsSOF[[#This Row],[Plan01]:[Plan12]],$D$4:$O$4)/valUnits2</f>
        <v>45.726389000000005</v>
      </c>
      <c r="AF855" s="34">
        <f>SUMPRODUCT(DB_STProjectsSOF[[#This Row],[Act01]:[Act12]],$P$4:$AA$4)/valUnits2</f>
        <v>46.960369999999998</v>
      </c>
      <c r="AG855" s="34">
        <f>DB_STProjectsSOF[[#This Row],[Actual]]-DB_STProjectsSOF[[#This Row],[Plan]]</f>
        <v>1.2339809999999929</v>
      </c>
      <c r="AH855" s="34">
        <f>IF(DB_STProjectsSOF[[#This Row],[Plan]]&lt;&gt;0,DB_STProjectsSOF[[#This Row],[Actual]]/DB_STProjectsSOF[[#This Row],[Plan]],1.000011000011)</f>
        <v>1.0269861895283268</v>
      </c>
      <c r="AI855" s="34">
        <f>SUM(DB_STProjectsSOF[[#This Row],[Plan01]:[Plan12]])/valUnits2</f>
        <v>84.860548999999978</v>
      </c>
      <c r="AJ855" s="34">
        <f>SUMPRODUCT(DB_STProjectsSOF[[#This Row],[Act01]:[Act12]],$P$3:$AA$3)/valUnits2</f>
        <v>46.960369999999998</v>
      </c>
      <c r="AK855" s="34">
        <f>IF(DB_STProjectsSOF[[#This Row],[FY Plan]]&lt;&gt;0,DB_STProjectsSOF[[#This Row],[FY Actuals]]/DB_STProjectsSOF[[#This Row],[FY Plan]],1.000011000011)</f>
        <v>0.5533828210326569</v>
      </c>
    </row>
    <row r="856" spans="1:37" hidden="1" x14ac:dyDescent="0.2">
      <c r="A856">
        <f>SUBTOTAL(3,$B$6:B856)</f>
        <v>0</v>
      </c>
      <c r="B856" t="s">
        <v>496</v>
      </c>
      <c r="C856" t="s">
        <v>920</v>
      </c>
      <c r="I856">
        <v>0</v>
      </c>
      <c r="U856">
        <v>3898.2299999999996</v>
      </c>
      <c r="AB856" s="164">
        <v>40817</v>
      </c>
      <c r="AC856" s="164">
        <v>41409</v>
      </c>
      <c r="AD856" s="164">
        <v>41426</v>
      </c>
      <c r="AE856" s="34">
        <f>SUMPRODUCT(DB_STProjectsSOF[[#This Row],[Plan01]:[Plan12]],$D$4:$O$4)/valUnits2</f>
        <v>0</v>
      </c>
      <c r="AF856" s="34">
        <f>SUMPRODUCT(DB_STProjectsSOF[[#This Row],[Act01]:[Act12]],$P$4:$AA$4)/valUnits2</f>
        <v>3.8982299999999994</v>
      </c>
      <c r="AG856" s="34">
        <f>DB_STProjectsSOF[[#This Row],[Actual]]-DB_STProjectsSOF[[#This Row],[Plan]]</f>
        <v>3.8982299999999994</v>
      </c>
      <c r="AH856" s="34">
        <f>IF(DB_STProjectsSOF[[#This Row],[Plan]]&lt;&gt;0,DB_STProjectsSOF[[#This Row],[Actual]]/DB_STProjectsSOF[[#This Row],[Plan]],1.000011000011)</f>
        <v>1.0000110000110001</v>
      </c>
      <c r="AI856" s="34">
        <f>SUM(DB_STProjectsSOF[[#This Row],[Plan01]:[Plan12]])/valUnits2</f>
        <v>0</v>
      </c>
      <c r="AJ856" s="34">
        <f>SUMPRODUCT(DB_STProjectsSOF[[#This Row],[Act01]:[Act12]],$P$3:$AA$3)/valUnits2</f>
        <v>3.8982299999999994</v>
      </c>
      <c r="AK856" s="34">
        <f>IF(DB_STProjectsSOF[[#This Row],[FY Plan]]&lt;&gt;0,DB_STProjectsSOF[[#This Row],[FY Actuals]]/DB_STProjectsSOF[[#This Row],[FY Plan]],1.000011000011)</f>
        <v>1.0000110000110001</v>
      </c>
    </row>
    <row r="857" spans="1:37" hidden="1" x14ac:dyDescent="0.2">
      <c r="A857">
        <f>SUBTOTAL(3,$B$6:B857)</f>
        <v>0</v>
      </c>
      <c r="B857" t="s">
        <v>496</v>
      </c>
      <c r="C857" t="s">
        <v>921</v>
      </c>
      <c r="D857">
        <v>81.00200000000001</v>
      </c>
      <c r="E857">
        <v>131.036</v>
      </c>
      <c r="F857">
        <v>189.63299999999998</v>
      </c>
      <c r="G857">
        <v>249.17099999999999</v>
      </c>
      <c r="H857">
        <v>17.134</v>
      </c>
      <c r="P857">
        <v>80.970000000000013</v>
      </c>
      <c r="Q857">
        <v>130.59999999999997</v>
      </c>
      <c r="R857">
        <v>188.67000000000002</v>
      </c>
      <c r="S857">
        <v>271.76000000000005</v>
      </c>
      <c r="T857">
        <v>17.209999999999994</v>
      </c>
      <c r="AB857" s="164">
        <v>40909</v>
      </c>
      <c r="AC857" s="164">
        <v>41363</v>
      </c>
      <c r="AD857" s="164">
        <v>41389</v>
      </c>
      <c r="AE857" s="34">
        <f>SUMPRODUCT(DB_STProjectsSOF[[#This Row],[Plan01]:[Plan12]],$D$4:$O$4)/valUnits2</f>
        <v>0.66797600000000001</v>
      </c>
      <c r="AF857" s="34">
        <f>SUMPRODUCT(DB_STProjectsSOF[[#This Row],[Act01]:[Act12]],$P$4:$AA$4)/valUnits2</f>
        <v>0.68920999999999999</v>
      </c>
      <c r="AG857" s="34">
        <f>DB_STProjectsSOF[[#This Row],[Actual]]-DB_STProjectsSOF[[#This Row],[Plan]]</f>
        <v>2.1233999999999975E-2</v>
      </c>
      <c r="AH857" s="34">
        <f>IF(DB_STProjectsSOF[[#This Row],[Plan]]&lt;&gt;0,DB_STProjectsSOF[[#This Row],[Actual]]/DB_STProjectsSOF[[#This Row],[Plan]],1.000011000011)</f>
        <v>1.0317885672539133</v>
      </c>
      <c r="AI857" s="34">
        <f>SUM(DB_STProjectsSOF[[#This Row],[Plan01]:[Plan12]])/valUnits2</f>
        <v>0.66797600000000001</v>
      </c>
      <c r="AJ857" s="34">
        <f>SUMPRODUCT(DB_STProjectsSOF[[#This Row],[Act01]:[Act12]],$P$3:$AA$3)/valUnits2</f>
        <v>0.68920999999999999</v>
      </c>
      <c r="AK857" s="34">
        <f>IF(DB_STProjectsSOF[[#This Row],[FY Plan]]&lt;&gt;0,DB_STProjectsSOF[[#This Row],[FY Actuals]]/DB_STProjectsSOF[[#This Row],[FY Plan]],1.000011000011)</f>
        <v>1.0317885672539133</v>
      </c>
    </row>
    <row r="858" spans="1:37" hidden="1" x14ac:dyDescent="0.2">
      <c r="A858">
        <f>SUBTOTAL(3,$B$6:B858)</f>
        <v>0</v>
      </c>
      <c r="B858" t="s">
        <v>496</v>
      </c>
      <c r="C858" t="s">
        <v>922</v>
      </c>
      <c r="D858">
        <v>55.643000000000001</v>
      </c>
      <c r="E858">
        <v>308.58800000000002</v>
      </c>
      <c r="F858">
        <v>522.86899999999991</v>
      </c>
      <c r="G858">
        <v>266.71699999999998</v>
      </c>
      <c r="H858">
        <v>354.50700000000001</v>
      </c>
      <c r="I858">
        <v>430.42000000000007</v>
      </c>
      <c r="J858">
        <v>430.42000000000007</v>
      </c>
      <c r="K858">
        <v>430.42000000000007</v>
      </c>
      <c r="L858">
        <v>430.42000000000007</v>
      </c>
      <c r="M858">
        <v>430.42000000000007</v>
      </c>
      <c r="N858">
        <v>430.42000000000007</v>
      </c>
      <c r="O858">
        <v>430.42000000000007</v>
      </c>
      <c r="P858">
        <v>53.960000000000008</v>
      </c>
      <c r="Q858">
        <v>315.82999999999993</v>
      </c>
      <c r="R858">
        <v>531.63</v>
      </c>
      <c r="S858">
        <v>320.42999999999995</v>
      </c>
      <c r="T858">
        <v>355.0200000000001</v>
      </c>
      <c r="U858">
        <v>343.69999999999993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s="164">
        <v>41000</v>
      </c>
      <c r="AC858" s="164">
        <v>41989</v>
      </c>
      <c r="AD858" s="164">
        <v>42078</v>
      </c>
      <c r="AE858" s="34">
        <f>SUMPRODUCT(DB_STProjectsSOF[[#This Row],[Plan01]:[Plan12]],$D$4:$O$4)/valUnits2</f>
        <v>1.9387440000000002</v>
      </c>
      <c r="AF858" s="34">
        <f>SUMPRODUCT(DB_STProjectsSOF[[#This Row],[Act01]:[Act12]],$P$4:$AA$4)/valUnits2</f>
        <v>1.9205699999999997</v>
      </c>
      <c r="AG858" s="34">
        <f>DB_STProjectsSOF[[#This Row],[Actual]]-DB_STProjectsSOF[[#This Row],[Plan]]</f>
        <v>-1.8174000000000579E-2</v>
      </c>
      <c r="AH858" s="34">
        <f>IF(DB_STProjectsSOF[[#This Row],[Plan]]&lt;&gt;0,DB_STProjectsSOF[[#This Row],[Actual]]/DB_STProjectsSOF[[#This Row],[Plan]],1.000011000011)</f>
        <v>0.99062588975130261</v>
      </c>
      <c r="AI858" s="34">
        <f>SUM(DB_STProjectsSOF[[#This Row],[Plan01]:[Plan12]])/valUnits2</f>
        <v>4.5212640000000013</v>
      </c>
      <c r="AJ858" s="34">
        <f>SUMPRODUCT(DB_STProjectsSOF[[#This Row],[Act01]:[Act12]],$P$3:$AA$3)/valUnits2</f>
        <v>1.9205699999999997</v>
      </c>
      <c r="AK858" s="34">
        <f>IF(DB_STProjectsSOF[[#This Row],[FY Plan]]&lt;&gt;0,DB_STProjectsSOF[[#This Row],[FY Actuals]]/DB_STProjectsSOF[[#This Row],[FY Plan]],1.000011000011)</f>
        <v>0.42478607752168401</v>
      </c>
    </row>
    <row r="859" spans="1:37" hidden="1" x14ac:dyDescent="0.2">
      <c r="A859">
        <f>SUBTOTAL(3,$B$6:B859)</f>
        <v>0</v>
      </c>
      <c r="B859" t="s">
        <v>496</v>
      </c>
      <c r="C859" t="s">
        <v>924</v>
      </c>
      <c r="D859">
        <v>0</v>
      </c>
      <c r="E859">
        <v>0</v>
      </c>
      <c r="F859">
        <v>0</v>
      </c>
      <c r="G859">
        <v>1007.609</v>
      </c>
      <c r="H859">
        <v>355.053</v>
      </c>
      <c r="I859">
        <v>618.24400000000003</v>
      </c>
      <c r="J859">
        <v>618.24400000000003</v>
      </c>
      <c r="K859">
        <v>618.24400000000003</v>
      </c>
      <c r="L859">
        <v>618.24400000000003</v>
      </c>
      <c r="M859">
        <v>618.24400000000003</v>
      </c>
      <c r="N859">
        <v>618.24400000000003</v>
      </c>
      <c r="O859">
        <v>618.24400000000003</v>
      </c>
      <c r="P859">
        <v>0</v>
      </c>
      <c r="Q859">
        <v>0</v>
      </c>
      <c r="R859">
        <v>0</v>
      </c>
      <c r="S859">
        <v>1017.91</v>
      </c>
      <c r="T859">
        <v>356.31</v>
      </c>
      <c r="U859">
        <v>253.67000000000002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s="164">
        <v>40817</v>
      </c>
      <c r="AC859" s="164">
        <v>41639</v>
      </c>
      <c r="AD859" s="164">
        <v>41685</v>
      </c>
      <c r="AE859" s="34">
        <f>SUMPRODUCT(DB_STProjectsSOF[[#This Row],[Plan01]:[Plan12]],$D$4:$O$4)/valUnits2</f>
        <v>1.9809060000000001</v>
      </c>
      <c r="AF859" s="34">
        <f>SUMPRODUCT(DB_STProjectsSOF[[#This Row],[Act01]:[Act12]],$P$4:$AA$4)/valUnits2</f>
        <v>1.6278900000000001</v>
      </c>
      <c r="AG859" s="34">
        <f>DB_STProjectsSOF[[#This Row],[Actual]]-DB_STProjectsSOF[[#This Row],[Plan]]</f>
        <v>-0.353016</v>
      </c>
      <c r="AH859" s="34">
        <f>IF(DB_STProjectsSOF[[#This Row],[Plan]]&lt;&gt;0,DB_STProjectsSOF[[#This Row],[Actual]]/DB_STProjectsSOF[[#This Row],[Plan]],1.000011000011)</f>
        <v>0.82179063519419904</v>
      </c>
      <c r="AI859" s="34">
        <f>SUM(DB_STProjectsSOF[[#This Row],[Plan01]:[Plan12]])/valUnits2</f>
        <v>5.6903699999999997</v>
      </c>
      <c r="AJ859" s="34">
        <f>SUMPRODUCT(DB_STProjectsSOF[[#This Row],[Act01]:[Act12]],$P$3:$AA$3)/valUnits2</f>
        <v>1.6278900000000001</v>
      </c>
      <c r="AK859" s="34">
        <f>IF(DB_STProjectsSOF[[#This Row],[FY Plan]]&lt;&gt;0,DB_STProjectsSOF[[#This Row],[FY Actuals]]/DB_STProjectsSOF[[#This Row],[FY Plan]],1.000011000011)</f>
        <v>0.28607805819305249</v>
      </c>
    </row>
    <row r="860" spans="1:37" hidden="1" x14ac:dyDescent="0.2">
      <c r="A860">
        <f>SUBTOTAL(3,$B$6:B860)</f>
        <v>0</v>
      </c>
      <c r="B860" t="s">
        <v>496</v>
      </c>
      <c r="C860" t="s">
        <v>925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s="164">
        <v>40909</v>
      </c>
      <c r="AC860" s="164">
        <v>41639</v>
      </c>
      <c r="AD860" s="164">
        <v>41713</v>
      </c>
      <c r="AE860" s="34">
        <f>SUMPRODUCT(DB_STProjectsSOF[[#This Row],[Plan01]:[Plan12]],$D$4:$O$4)/valUnits2</f>
        <v>0</v>
      </c>
      <c r="AF860" s="34">
        <f>SUMPRODUCT(DB_STProjectsSOF[[#This Row],[Act01]:[Act12]],$P$4:$AA$4)/valUnits2</f>
        <v>0</v>
      </c>
      <c r="AG860" s="34">
        <f>DB_STProjectsSOF[[#This Row],[Actual]]-DB_STProjectsSOF[[#This Row],[Plan]]</f>
        <v>0</v>
      </c>
      <c r="AH860" s="34">
        <f>IF(DB_STProjectsSOF[[#This Row],[Plan]]&lt;&gt;0,DB_STProjectsSOF[[#This Row],[Actual]]/DB_STProjectsSOF[[#This Row],[Plan]],1.000011000011)</f>
        <v>1.0000110000110001</v>
      </c>
      <c r="AI860" s="34">
        <f>SUM(DB_STProjectsSOF[[#This Row],[Plan01]:[Plan12]])/valUnits2</f>
        <v>0</v>
      </c>
      <c r="AJ860" s="34">
        <f>SUMPRODUCT(DB_STProjectsSOF[[#This Row],[Act01]:[Act12]],$P$3:$AA$3)/valUnits2</f>
        <v>0</v>
      </c>
      <c r="AK860" s="34">
        <f>IF(DB_STProjectsSOF[[#This Row],[FY Plan]]&lt;&gt;0,DB_STProjectsSOF[[#This Row],[FY Actuals]]/DB_STProjectsSOF[[#This Row],[FY Plan]],1.000011000011)</f>
        <v>1.0000110000110001</v>
      </c>
    </row>
    <row r="861" spans="1:37" hidden="1" x14ac:dyDescent="0.2">
      <c r="A861">
        <f>SUBTOTAL(3,$B$6:B861)</f>
        <v>0</v>
      </c>
      <c r="B861" t="s">
        <v>496</v>
      </c>
      <c r="C861" t="s">
        <v>926</v>
      </c>
      <c r="D861">
        <v>642.59699999999998</v>
      </c>
      <c r="P861">
        <v>654.08000000000004</v>
      </c>
      <c r="AB861" s="164">
        <v>40909</v>
      </c>
      <c r="AC861" s="164">
        <v>41274</v>
      </c>
      <c r="AD861" s="164">
        <v>41305</v>
      </c>
      <c r="AE861" s="34">
        <f>SUMPRODUCT(DB_STProjectsSOF[[#This Row],[Plan01]:[Plan12]],$D$4:$O$4)/valUnits2</f>
        <v>0.64259699999999997</v>
      </c>
      <c r="AF861" s="34">
        <f>SUMPRODUCT(DB_STProjectsSOF[[#This Row],[Act01]:[Act12]],$P$4:$AA$4)/valUnits2</f>
        <v>0.65407999999999999</v>
      </c>
      <c r="AG861" s="34">
        <f>DB_STProjectsSOF[[#This Row],[Actual]]-DB_STProjectsSOF[[#This Row],[Plan]]</f>
        <v>1.1483000000000021E-2</v>
      </c>
      <c r="AH861" s="34">
        <f>IF(DB_STProjectsSOF[[#This Row],[Plan]]&lt;&gt;0,DB_STProjectsSOF[[#This Row],[Actual]]/DB_STProjectsSOF[[#This Row],[Plan]],1.000011000011)</f>
        <v>1.0178696757065471</v>
      </c>
      <c r="AI861" s="34">
        <f>SUM(DB_STProjectsSOF[[#This Row],[Plan01]:[Plan12]])/valUnits2</f>
        <v>0.64259699999999997</v>
      </c>
      <c r="AJ861" s="34">
        <f>SUMPRODUCT(DB_STProjectsSOF[[#This Row],[Act01]:[Act12]],$P$3:$AA$3)/valUnits2</f>
        <v>0.65407999999999999</v>
      </c>
      <c r="AK861" s="34">
        <f>IF(DB_STProjectsSOF[[#This Row],[FY Plan]]&lt;&gt;0,DB_STProjectsSOF[[#This Row],[FY Actuals]]/DB_STProjectsSOF[[#This Row],[FY Plan]],1.000011000011)</f>
        <v>1.0178696757065471</v>
      </c>
    </row>
    <row r="862" spans="1:37" hidden="1" x14ac:dyDescent="0.2">
      <c r="A862">
        <f>SUBTOTAL(3,$B$6:B862)</f>
        <v>0</v>
      </c>
      <c r="B862" t="s">
        <v>496</v>
      </c>
      <c r="C862" t="s">
        <v>927</v>
      </c>
      <c r="D862">
        <v>657.14</v>
      </c>
      <c r="E862">
        <v>2398.27</v>
      </c>
      <c r="F862">
        <v>2660.2</v>
      </c>
      <c r="G862">
        <v>22466.440000000002</v>
      </c>
      <c r="H862">
        <v>10692.41</v>
      </c>
      <c r="I862">
        <v>13443.328000000001</v>
      </c>
      <c r="J862">
        <v>13443.328000000001</v>
      </c>
      <c r="K862">
        <v>13443.328000000001</v>
      </c>
      <c r="L862">
        <v>13443.328000000001</v>
      </c>
      <c r="M862">
        <v>13443.328000000001</v>
      </c>
      <c r="N862">
        <v>13443.328000000001</v>
      </c>
      <c r="O862">
        <v>13443.328000000001</v>
      </c>
      <c r="P862">
        <v>657.14</v>
      </c>
      <c r="Q862">
        <v>2398.27</v>
      </c>
      <c r="R862">
        <v>2660.2</v>
      </c>
      <c r="S862">
        <v>22466.440000000002</v>
      </c>
      <c r="T862">
        <v>10707.77</v>
      </c>
      <c r="U862">
        <v>5528.2100000000009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s="164">
        <v>40817</v>
      </c>
      <c r="AC862" s="164">
        <v>42052</v>
      </c>
      <c r="AD862" s="164">
        <v>42141</v>
      </c>
      <c r="AE862" s="34">
        <f>SUMPRODUCT(DB_STProjectsSOF[[#This Row],[Plan01]:[Plan12]],$D$4:$O$4)/valUnits2</f>
        <v>52.317788000000007</v>
      </c>
      <c r="AF862" s="34">
        <f>SUMPRODUCT(DB_STProjectsSOF[[#This Row],[Act01]:[Act12]],$P$4:$AA$4)/valUnits2</f>
        <v>44.418030000000009</v>
      </c>
      <c r="AG862" s="34">
        <f>DB_STProjectsSOF[[#This Row],[Actual]]-DB_STProjectsSOF[[#This Row],[Plan]]</f>
        <v>-7.8997579999999985</v>
      </c>
      <c r="AH862" s="34">
        <f>IF(DB_STProjectsSOF[[#This Row],[Plan]]&lt;&gt;0,DB_STProjectsSOF[[#This Row],[Actual]]/DB_STProjectsSOF[[#This Row],[Plan]],1.000011000011)</f>
        <v>0.84900435775304572</v>
      </c>
      <c r="AI862" s="34">
        <f>SUM(DB_STProjectsSOF[[#This Row],[Plan01]:[Plan12]])/valUnits2</f>
        <v>132.97775600000006</v>
      </c>
      <c r="AJ862" s="34">
        <f>SUMPRODUCT(DB_STProjectsSOF[[#This Row],[Act01]:[Act12]],$P$3:$AA$3)/valUnits2</f>
        <v>44.418030000000009</v>
      </c>
      <c r="AK862" s="34">
        <f>IF(DB_STProjectsSOF[[#This Row],[FY Plan]]&lt;&gt;0,DB_STProjectsSOF[[#This Row],[FY Actuals]]/DB_STProjectsSOF[[#This Row],[FY Plan]],1.000011000011)</f>
        <v>0.33402601559918027</v>
      </c>
    </row>
    <row r="863" spans="1:37" hidden="1" x14ac:dyDescent="0.2">
      <c r="A863">
        <f>SUBTOTAL(3,$B$6:B863)</f>
        <v>0</v>
      </c>
      <c r="B863" t="s">
        <v>496</v>
      </c>
      <c r="C863" t="s">
        <v>359</v>
      </c>
      <c r="G863">
        <v>86.268999999999991</v>
      </c>
      <c r="H863">
        <v>42.414000000000001</v>
      </c>
      <c r="I863">
        <v>281.26400000000001</v>
      </c>
      <c r="S863">
        <v>87.359999999999985</v>
      </c>
      <c r="T863">
        <v>45.340000000000018</v>
      </c>
      <c r="U863">
        <v>32.270000000000003</v>
      </c>
      <c r="AB863" s="164">
        <v>41275</v>
      </c>
      <c r="AC863" s="164">
        <v>41455</v>
      </c>
      <c r="AD863" s="164">
        <v>41547</v>
      </c>
      <c r="AE863" s="34">
        <f>SUMPRODUCT(DB_STProjectsSOF[[#This Row],[Plan01]:[Plan12]],$D$4:$O$4)/valUnits2</f>
        <v>0.40994700000000001</v>
      </c>
      <c r="AF863" s="34">
        <f>SUMPRODUCT(DB_STProjectsSOF[[#This Row],[Act01]:[Act12]],$P$4:$AA$4)/valUnits2</f>
        <v>0.16497000000000001</v>
      </c>
      <c r="AG863" s="34">
        <f>DB_STProjectsSOF[[#This Row],[Actual]]-DB_STProjectsSOF[[#This Row],[Plan]]</f>
        <v>-0.244977</v>
      </c>
      <c r="AH863" s="34">
        <f>IF(DB_STProjectsSOF[[#This Row],[Plan]]&lt;&gt;0,DB_STProjectsSOF[[#This Row],[Actual]]/DB_STProjectsSOF[[#This Row],[Plan]],1.000011000011)</f>
        <v>0.40241787352999292</v>
      </c>
      <c r="AI863" s="34">
        <f>SUM(DB_STProjectsSOF[[#This Row],[Plan01]:[Plan12]])/valUnits2</f>
        <v>0.40994700000000001</v>
      </c>
      <c r="AJ863" s="34">
        <f>SUMPRODUCT(DB_STProjectsSOF[[#This Row],[Act01]:[Act12]],$P$3:$AA$3)/valUnits2</f>
        <v>0.16497000000000001</v>
      </c>
      <c r="AK863" s="34">
        <f>IF(DB_STProjectsSOF[[#This Row],[FY Plan]]&lt;&gt;0,DB_STProjectsSOF[[#This Row],[FY Actuals]]/DB_STProjectsSOF[[#This Row],[FY Plan]],1.000011000011)</f>
        <v>0.40241787352999292</v>
      </c>
    </row>
    <row r="864" spans="1:37" hidden="1" x14ac:dyDescent="0.2">
      <c r="A864">
        <f>SUBTOTAL(3,$B$6:B864)</f>
        <v>0</v>
      </c>
      <c r="B864" t="s">
        <v>496</v>
      </c>
      <c r="C864" t="s">
        <v>360</v>
      </c>
      <c r="G864">
        <v>380.90299999999996</v>
      </c>
      <c r="H864">
        <v>172.05199999999999</v>
      </c>
      <c r="I864">
        <v>988.03700000000003</v>
      </c>
      <c r="S864">
        <v>385.74000000000007</v>
      </c>
      <c r="T864">
        <v>183.85</v>
      </c>
      <c r="U864">
        <v>1634.04</v>
      </c>
      <c r="AB864" s="164">
        <v>41091</v>
      </c>
      <c r="AC864" s="164">
        <v>41455</v>
      </c>
      <c r="AD864" s="164">
        <v>41547</v>
      </c>
      <c r="AE864" s="34">
        <f>SUMPRODUCT(DB_STProjectsSOF[[#This Row],[Plan01]:[Plan12]],$D$4:$O$4)/valUnits2</f>
        <v>1.5409919999999999</v>
      </c>
      <c r="AF864" s="34">
        <f>SUMPRODUCT(DB_STProjectsSOF[[#This Row],[Act01]:[Act12]],$P$4:$AA$4)/valUnits2</f>
        <v>2.20363</v>
      </c>
      <c r="AG864" s="34">
        <f>DB_STProjectsSOF[[#This Row],[Actual]]-DB_STProjectsSOF[[#This Row],[Plan]]</f>
        <v>0.66263800000000006</v>
      </c>
      <c r="AH864" s="34">
        <f>IF(DB_STProjectsSOF[[#This Row],[Plan]]&lt;&gt;0,DB_STProjectsSOF[[#This Row],[Actual]]/DB_STProjectsSOF[[#This Row],[Plan]],1.000011000011)</f>
        <v>1.4300074237893514</v>
      </c>
      <c r="AI864" s="34">
        <f>SUM(DB_STProjectsSOF[[#This Row],[Plan01]:[Plan12]])/valUnits2</f>
        <v>1.5409919999999999</v>
      </c>
      <c r="AJ864" s="34">
        <f>SUMPRODUCT(DB_STProjectsSOF[[#This Row],[Act01]:[Act12]],$P$3:$AA$3)/valUnits2</f>
        <v>2.20363</v>
      </c>
      <c r="AK864" s="34">
        <f>IF(DB_STProjectsSOF[[#This Row],[FY Plan]]&lt;&gt;0,DB_STProjectsSOF[[#This Row],[FY Actuals]]/DB_STProjectsSOF[[#This Row],[FY Plan]],1.000011000011)</f>
        <v>1.4300074237893514</v>
      </c>
    </row>
    <row r="865" spans="1:37" hidden="1" x14ac:dyDescent="0.2">
      <c r="A865">
        <f>SUBTOTAL(3,$B$6:B865)</f>
        <v>0</v>
      </c>
      <c r="B865" t="s">
        <v>496</v>
      </c>
      <c r="C865" t="s">
        <v>928</v>
      </c>
      <c r="D865">
        <v>8.7899999999999991</v>
      </c>
      <c r="E865">
        <v>233.63</v>
      </c>
      <c r="F865">
        <v>240.21499999999997</v>
      </c>
      <c r="G865">
        <v>437.85700000000003</v>
      </c>
      <c r="H865">
        <v>241.041</v>
      </c>
      <c r="I865">
        <v>0</v>
      </c>
      <c r="P865">
        <v>8.66</v>
      </c>
      <c r="Q865">
        <v>238.53</v>
      </c>
      <c r="R865">
        <v>242.39</v>
      </c>
      <c r="S865">
        <v>439.12999999999994</v>
      </c>
      <c r="T865">
        <v>246.42000000000002</v>
      </c>
      <c r="U865">
        <v>-1166.47</v>
      </c>
      <c r="AB865" s="164">
        <v>40817</v>
      </c>
      <c r="AC865" s="164">
        <v>41305</v>
      </c>
      <c r="AD865" s="164">
        <v>41394</v>
      </c>
      <c r="AE865" s="34">
        <f>SUMPRODUCT(DB_STProjectsSOF[[#This Row],[Plan01]:[Plan12]],$D$4:$O$4)/valUnits2</f>
        <v>1.1615329999999999</v>
      </c>
      <c r="AF865" s="34">
        <f>SUMPRODUCT(DB_STProjectsSOF[[#This Row],[Act01]:[Act12]],$P$4:$AA$4)/valUnits2</f>
        <v>8.6599999999998553E-3</v>
      </c>
      <c r="AG865" s="34">
        <f>DB_STProjectsSOF[[#This Row],[Actual]]-DB_STProjectsSOF[[#This Row],[Plan]]</f>
        <v>-1.152873</v>
      </c>
      <c r="AH865" s="34">
        <f>IF(DB_STProjectsSOF[[#This Row],[Plan]]&lt;&gt;0,DB_STProjectsSOF[[#This Row],[Actual]]/DB_STProjectsSOF[[#This Row],[Plan]],1.000011000011)</f>
        <v>7.4556641955070202E-3</v>
      </c>
      <c r="AI865" s="34">
        <f>SUM(DB_STProjectsSOF[[#This Row],[Plan01]:[Plan12]])/valUnits2</f>
        <v>1.1615329999999999</v>
      </c>
      <c r="AJ865" s="34">
        <f>SUMPRODUCT(DB_STProjectsSOF[[#This Row],[Act01]:[Act12]],$P$3:$AA$3)/valUnits2</f>
        <v>8.6599999999998553E-3</v>
      </c>
      <c r="AK865" s="34">
        <f>IF(DB_STProjectsSOF[[#This Row],[FY Plan]]&lt;&gt;0,DB_STProjectsSOF[[#This Row],[FY Actuals]]/DB_STProjectsSOF[[#This Row],[FY Plan]],1.000011000011)</f>
        <v>7.4556641955070202E-3</v>
      </c>
    </row>
    <row r="866" spans="1:37" hidden="1" x14ac:dyDescent="0.2">
      <c r="A866">
        <f>SUBTOTAL(3,$B$6:B866)</f>
        <v>0</v>
      </c>
      <c r="B866" t="s">
        <v>496</v>
      </c>
      <c r="C866" t="s">
        <v>929</v>
      </c>
      <c r="D866">
        <v>0</v>
      </c>
      <c r="F866">
        <v>0</v>
      </c>
      <c r="G866">
        <v>163.691</v>
      </c>
      <c r="H866">
        <v>108.81100000000001</v>
      </c>
      <c r="P866">
        <v>0</v>
      </c>
      <c r="R866">
        <v>0</v>
      </c>
      <c r="S866">
        <v>163.13999999999999</v>
      </c>
      <c r="T866">
        <v>107.89</v>
      </c>
      <c r="AB866" s="164">
        <v>41214</v>
      </c>
      <c r="AC866" s="164">
        <v>41379</v>
      </c>
      <c r="AD866" s="164">
        <v>41409</v>
      </c>
      <c r="AE866" s="34">
        <f>SUMPRODUCT(DB_STProjectsSOF[[#This Row],[Plan01]:[Plan12]],$D$4:$O$4)/valUnits2</f>
        <v>0.27250200000000002</v>
      </c>
      <c r="AF866" s="34">
        <f>SUMPRODUCT(DB_STProjectsSOF[[#This Row],[Act01]:[Act12]],$P$4:$AA$4)/valUnits2</f>
        <v>0.27102999999999999</v>
      </c>
      <c r="AG866" s="34">
        <f>DB_STProjectsSOF[[#This Row],[Actual]]-DB_STProjectsSOF[[#This Row],[Plan]]</f>
        <v>-1.4720000000000288E-3</v>
      </c>
      <c r="AH866" s="34">
        <f>IF(DB_STProjectsSOF[[#This Row],[Plan]]&lt;&gt;0,DB_STProjectsSOF[[#This Row],[Actual]]/DB_STProjectsSOF[[#This Row],[Plan]],1.000011000011)</f>
        <v>0.994598204783818</v>
      </c>
      <c r="AI866" s="34">
        <f>SUM(DB_STProjectsSOF[[#This Row],[Plan01]:[Plan12]])/valUnits2</f>
        <v>0.27250200000000002</v>
      </c>
      <c r="AJ866" s="34">
        <f>SUMPRODUCT(DB_STProjectsSOF[[#This Row],[Act01]:[Act12]],$P$3:$AA$3)/valUnits2</f>
        <v>0.27102999999999999</v>
      </c>
      <c r="AK866" s="34">
        <f>IF(DB_STProjectsSOF[[#This Row],[FY Plan]]&lt;&gt;0,DB_STProjectsSOF[[#This Row],[FY Actuals]]/DB_STProjectsSOF[[#This Row],[FY Plan]],1.000011000011)</f>
        <v>0.994598204783818</v>
      </c>
    </row>
    <row r="867" spans="1:37" hidden="1" x14ac:dyDescent="0.2">
      <c r="A867">
        <f>SUBTOTAL(3,$B$6:B867)</f>
        <v>0</v>
      </c>
      <c r="B867" t="s">
        <v>496</v>
      </c>
      <c r="C867" t="s">
        <v>930</v>
      </c>
      <c r="D867">
        <v>668.74</v>
      </c>
      <c r="E867">
        <v>6203.04</v>
      </c>
      <c r="F867">
        <v>5986.15</v>
      </c>
      <c r="G867">
        <v>1326.2</v>
      </c>
      <c r="H867">
        <v>2177.4299999999998</v>
      </c>
      <c r="I867">
        <v>2441.4229999999998</v>
      </c>
      <c r="J867">
        <v>2441.4229999999998</v>
      </c>
      <c r="K867">
        <v>2441.4229999999998</v>
      </c>
      <c r="L867">
        <v>2441.4229999999998</v>
      </c>
      <c r="M867">
        <v>2441.4229999999998</v>
      </c>
      <c r="N867">
        <v>2441.4229999999998</v>
      </c>
      <c r="O867">
        <v>2441.4229999999998</v>
      </c>
      <c r="P867">
        <v>668.74</v>
      </c>
      <c r="Q867">
        <v>6203.0400000000009</v>
      </c>
      <c r="R867">
        <v>5988.25</v>
      </c>
      <c r="S867">
        <v>1437.96</v>
      </c>
      <c r="T867">
        <v>2180.4499999999998</v>
      </c>
      <c r="U867">
        <v>2365.06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s="164">
        <v>40848</v>
      </c>
      <c r="AC867" s="164">
        <v>41729</v>
      </c>
      <c r="AD867" s="164">
        <v>41654</v>
      </c>
      <c r="AE867" s="34">
        <f>SUMPRODUCT(DB_STProjectsSOF[[#This Row],[Plan01]:[Plan12]],$D$4:$O$4)/valUnits2</f>
        <v>18.802983000000001</v>
      </c>
      <c r="AF867" s="34">
        <f>SUMPRODUCT(DB_STProjectsSOF[[#This Row],[Act01]:[Act12]],$P$4:$AA$4)/valUnits2</f>
        <v>18.843500000000002</v>
      </c>
      <c r="AG867" s="34">
        <f>DB_STProjectsSOF[[#This Row],[Actual]]-DB_STProjectsSOF[[#This Row],[Plan]]</f>
        <v>4.0517000000001246E-2</v>
      </c>
      <c r="AH867" s="34">
        <f>IF(DB_STProjectsSOF[[#This Row],[Plan]]&lt;&gt;0,DB_STProjectsSOF[[#This Row],[Actual]]/DB_STProjectsSOF[[#This Row],[Plan]],1.000011000011)</f>
        <v>1.0021548176690902</v>
      </c>
      <c r="AI867" s="34">
        <f>SUM(DB_STProjectsSOF[[#This Row],[Plan01]:[Plan12]])/valUnits2</f>
        <v>33.451520999999993</v>
      </c>
      <c r="AJ867" s="34">
        <f>SUMPRODUCT(DB_STProjectsSOF[[#This Row],[Act01]:[Act12]],$P$3:$AA$3)/valUnits2</f>
        <v>18.843500000000002</v>
      </c>
      <c r="AK867" s="34">
        <f>IF(DB_STProjectsSOF[[#This Row],[FY Plan]]&lt;&gt;0,DB_STProjectsSOF[[#This Row],[FY Actuals]]/DB_STProjectsSOF[[#This Row],[FY Plan]],1.000011000011)</f>
        <v>0.56330771925139089</v>
      </c>
    </row>
    <row r="868" spans="1:37" hidden="1" x14ac:dyDescent="0.2">
      <c r="A868">
        <f>SUBTOTAL(3,$B$6:B868)</f>
        <v>0</v>
      </c>
      <c r="B868" t="s">
        <v>496</v>
      </c>
      <c r="C868" t="s">
        <v>932</v>
      </c>
      <c r="G868">
        <v>806.04199999999992</v>
      </c>
      <c r="H868">
        <v>1306.93</v>
      </c>
      <c r="I868">
        <v>122.73099999999999</v>
      </c>
      <c r="J868">
        <v>122.73099999999999</v>
      </c>
      <c r="K868">
        <v>122.73099999999999</v>
      </c>
      <c r="L868">
        <v>122.73099999999999</v>
      </c>
      <c r="M868">
        <v>122.73099999999999</v>
      </c>
      <c r="N868">
        <v>122.73099999999999</v>
      </c>
      <c r="O868">
        <v>122.73099999999999</v>
      </c>
      <c r="S868">
        <v>687.24</v>
      </c>
      <c r="T868">
        <v>1270.29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s="164">
        <v>40909</v>
      </c>
      <c r="AC868" s="164">
        <v>41274</v>
      </c>
      <c r="AD868" s="164">
        <v>41305</v>
      </c>
      <c r="AE868" s="34">
        <f>SUMPRODUCT(DB_STProjectsSOF[[#This Row],[Plan01]:[Plan12]],$D$4:$O$4)/valUnits2</f>
        <v>2.2357029999999996</v>
      </c>
      <c r="AF868" s="34">
        <f>SUMPRODUCT(DB_STProjectsSOF[[#This Row],[Act01]:[Act12]],$P$4:$AA$4)/valUnits2</f>
        <v>1.95753</v>
      </c>
      <c r="AG868" s="34">
        <f>DB_STProjectsSOF[[#This Row],[Actual]]-DB_STProjectsSOF[[#This Row],[Plan]]</f>
        <v>-0.27817299999999956</v>
      </c>
      <c r="AH868" s="34">
        <f>IF(DB_STProjectsSOF[[#This Row],[Plan]]&lt;&gt;0,DB_STProjectsSOF[[#This Row],[Actual]]/DB_STProjectsSOF[[#This Row],[Plan]],1.000011000011)</f>
        <v>0.87557694380693696</v>
      </c>
      <c r="AI868" s="34">
        <f>SUM(DB_STProjectsSOF[[#This Row],[Plan01]:[Plan12]])/valUnits2</f>
        <v>2.9720889999999982</v>
      </c>
      <c r="AJ868" s="34">
        <f>SUMPRODUCT(DB_STProjectsSOF[[#This Row],[Act01]:[Act12]],$P$3:$AA$3)/valUnits2</f>
        <v>1.95753</v>
      </c>
      <c r="AK868" s="34">
        <f>IF(DB_STProjectsSOF[[#This Row],[FY Plan]]&lt;&gt;0,DB_STProjectsSOF[[#This Row],[FY Actuals]]/DB_STProjectsSOF[[#This Row],[FY Plan]],1.000011000011)</f>
        <v>0.65863774604327163</v>
      </c>
    </row>
    <row r="869" spans="1:37" hidden="1" x14ac:dyDescent="0.2">
      <c r="A869">
        <f>SUBTOTAL(3,$B$6:B869)</f>
        <v>0</v>
      </c>
      <c r="B869" t="s">
        <v>496</v>
      </c>
      <c r="C869" t="s">
        <v>933</v>
      </c>
      <c r="D869">
        <v>279.24</v>
      </c>
      <c r="E869">
        <v>0</v>
      </c>
      <c r="F869">
        <v>5.03</v>
      </c>
      <c r="G869">
        <v>33.69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279.24</v>
      </c>
      <c r="Q869">
        <v>0</v>
      </c>
      <c r="R869">
        <v>5.03</v>
      </c>
      <c r="S869">
        <v>33.69</v>
      </c>
      <c r="T869">
        <v>0</v>
      </c>
      <c r="U869">
        <v>3.14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s="164">
        <v>40817</v>
      </c>
      <c r="AC869" s="164">
        <v>42155</v>
      </c>
      <c r="AD869" s="164">
        <v>42217</v>
      </c>
      <c r="AE869" s="34">
        <f>SUMPRODUCT(DB_STProjectsSOF[[#This Row],[Plan01]:[Plan12]],$D$4:$O$4)/valUnits2</f>
        <v>0.31795999999999996</v>
      </c>
      <c r="AF869" s="34">
        <f>SUMPRODUCT(DB_STProjectsSOF[[#This Row],[Act01]:[Act12]],$P$4:$AA$4)/valUnits2</f>
        <v>0.32109999999999994</v>
      </c>
      <c r="AG869" s="34">
        <f>DB_STProjectsSOF[[#This Row],[Actual]]-DB_STProjectsSOF[[#This Row],[Plan]]</f>
        <v>3.1399999999999761E-3</v>
      </c>
      <c r="AH869" s="34">
        <f>IF(DB_STProjectsSOF[[#This Row],[Plan]]&lt;&gt;0,DB_STProjectsSOF[[#This Row],[Actual]]/DB_STProjectsSOF[[#This Row],[Plan]],1.000011000011)</f>
        <v>1.0098754560322052</v>
      </c>
      <c r="AI869" s="34">
        <f>SUM(DB_STProjectsSOF[[#This Row],[Plan01]:[Plan12]])/valUnits2</f>
        <v>0.31795999999999996</v>
      </c>
      <c r="AJ869" s="34">
        <f>SUMPRODUCT(DB_STProjectsSOF[[#This Row],[Act01]:[Act12]],$P$3:$AA$3)/valUnits2</f>
        <v>0.32109999999999994</v>
      </c>
      <c r="AK869" s="34">
        <f>IF(DB_STProjectsSOF[[#This Row],[FY Plan]]&lt;&gt;0,DB_STProjectsSOF[[#This Row],[FY Actuals]]/DB_STProjectsSOF[[#This Row],[FY Plan]],1.000011000011)</f>
        <v>1.0098754560322052</v>
      </c>
    </row>
    <row r="870" spans="1:37" hidden="1" x14ac:dyDescent="0.2">
      <c r="A870">
        <f>SUBTOTAL(3,$B$6:B870)</f>
        <v>0</v>
      </c>
      <c r="B870" t="s">
        <v>496</v>
      </c>
      <c r="C870" t="s">
        <v>935</v>
      </c>
      <c r="D870">
        <v>1023.5359999999999</v>
      </c>
      <c r="E870">
        <v>1271.4599999999998</v>
      </c>
      <c r="F870">
        <v>1192.1109999999999</v>
      </c>
      <c r="G870">
        <v>10164.751000000002</v>
      </c>
      <c r="H870">
        <v>7361.8890000000001</v>
      </c>
      <c r="I870">
        <v>2493.1780000000003</v>
      </c>
      <c r="J870">
        <v>2493.1780000000003</v>
      </c>
      <c r="K870">
        <v>2493.1780000000003</v>
      </c>
      <c r="L870">
        <v>2493.1780000000003</v>
      </c>
      <c r="M870">
        <v>2493.1780000000003</v>
      </c>
      <c r="N870">
        <v>2493.1780000000003</v>
      </c>
      <c r="O870">
        <v>2734.2469999999998</v>
      </c>
      <c r="P870">
        <v>1028.8899999999999</v>
      </c>
      <c r="Q870">
        <v>1303.83</v>
      </c>
      <c r="R870">
        <v>1184.0700000000002</v>
      </c>
      <c r="S870">
        <v>10208.48</v>
      </c>
      <c r="T870">
        <v>7396.2799999999988</v>
      </c>
      <c r="U870">
        <v>5953.0000000000018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s="164">
        <v>41000</v>
      </c>
      <c r="AC870" s="164">
        <v>42094</v>
      </c>
      <c r="AD870" s="164">
        <v>42124</v>
      </c>
      <c r="AE870" s="34">
        <f>SUMPRODUCT(DB_STProjectsSOF[[#This Row],[Plan01]:[Plan12]],$D$4:$O$4)/valUnits2</f>
        <v>23.506925000000003</v>
      </c>
      <c r="AF870" s="34">
        <f>SUMPRODUCT(DB_STProjectsSOF[[#This Row],[Act01]:[Act12]],$P$4:$AA$4)/valUnits2</f>
        <v>27.074550000000002</v>
      </c>
      <c r="AG870" s="34">
        <f>DB_STProjectsSOF[[#This Row],[Actual]]-DB_STProjectsSOF[[#This Row],[Plan]]</f>
        <v>3.5676249999999996</v>
      </c>
      <c r="AH870" s="34">
        <f>IF(DB_STProjectsSOF[[#This Row],[Plan]]&lt;&gt;0,DB_STProjectsSOF[[#This Row],[Actual]]/DB_STProjectsSOF[[#This Row],[Plan]],1.000011000011)</f>
        <v>1.1517691063378133</v>
      </c>
      <c r="AI870" s="34">
        <f>SUM(DB_STProjectsSOF[[#This Row],[Plan01]:[Plan12]])/valUnits2</f>
        <v>38.707062000000008</v>
      </c>
      <c r="AJ870" s="34">
        <f>SUMPRODUCT(DB_STProjectsSOF[[#This Row],[Act01]:[Act12]],$P$3:$AA$3)/valUnits2</f>
        <v>27.074550000000002</v>
      </c>
      <c r="AK870" s="34">
        <f>IF(DB_STProjectsSOF[[#This Row],[FY Plan]]&lt;&gt;0,DB_STProjectsSOF[[#This Row],[FY Actuals]]/DB_STProjectsSOF[[#This Row],[FY Plan]],1.000011000011)</f>
        <v>0.69947313490235963</v>
      </c>
    </row>
    <row r="871" spans="1:37" hidden="1" x14ac:dyDescent="0.2">
      <c r="A871">
        <f>SUBTOTAL(3,$B$6:B871)</f>
        <v>0</v>
      </c>
      <c r="B871" t="s">
        <v>496</v>
      </c>
      <c r="C871" t="s">
        <v>937</v>
      </c>
      <c r="F871">
        <v>0</v>
      </c>
      <c r="G871">
        <v>3932.77</v>
      </c>
      <c r="H871">
        <v>2772.9</v>
      </c>
      <c r="I871">
        <v>6395.7629999999999</v>
      </c>
      <c r="R871">
        <v>0</v>
      </c>
      <c r="S871">
        <v>3932.7699999999995</v>
      </c>
      <c r="T871">
        <v>2772.9</v>
      </c>
      <c r="U871">
        <v>2865.04</v>
      </c>
      <c r="AB871" s="164">
        <v>41275</v>
      </c>
      <c r="AC871" s="164">
        <v>43100</v>
      </c>
      <c r="AD871" s="164">
        <v>43159</v>
      </c>
      <c r="AE871" s="34">
        <f>SUMPRODUCT(DB_STProjectsSOF[[#This Row],[Plan01]:[Plan12]],$D$4:$O$4)/valUnits2</f>
        <v>13.101433</v>
      </c>
      <c r="AF871" s="34">
        <f>SUMPRODUCT(DB_STProjectsSOF[[#This Row],[Act01]:[Act12]],$P$4:$AA$4)/valUnits2</f>
        <v>9.5707099999999983</v>
      </c>
      <c r="AG871" s="34">
        <f>DB_STProjectsSOF[[#This Row],[Actual]]-DB_STProjectsSOF[[#This Row],[Plan]]</f>
        <v>-3.5307230000000018</v>
      </c>
      <c r="AH871" s="34">
        <f>IF(DB_STProjectsSOF[[#This Row],[Plan]]&lt;&gt;0,DB_STProjectsSOF[[#This Row],[Actual]]/DB_STProjectsSOF[[#This Row],[Plan]],1.000011000011)</f>
        <v>0.73050863978009106</v>
      </c>
      <c r="AI871" s="34">
        <f>SUM(DB_STProjectsSOF[[#This Row],[Plan01]:[Plan12]])/valUnits2</f>
        <v>13.101433</v>
      </c>
      <c r="AJ871" s="34">
        <f>SUMPRODUCT(DB_STProjectsSOF[[#This Row],[Act01]:[Act12]],$P$3:$AA$3)/valUnits2</f>
        <v>9.5707099999999983</v>
      </c>
      <c r="AK871" s="34">
        <f>IF(DB_STProjectsSOF[[#This Row],[FY Plan]]&lt;&gt;0,DB_STProjectsSOF[[#This Row],[FY Actuals]]/DB_STProjectsSOF[[#This Row],[FY Plan]],1.000011000011)</f>
        <v>0.73050863978009106</v>
      </c>
    </row>
    <row r="872" spans="1:37" hidden="1" x14ac:dyDescent="0.2">
      <c r="A872">
        <f>SUBTOTAL(3,$B$6:B872)</f>
        <v>0</v>
      </c>
      <c r="B872" t="s">
        <v>497</v>
      </c>
      <c r="C872" t="s">
        <v>843</v>
      </c>
      <c r="G872">
        <v>0</v>
      </c>
      <c r="H872">
        <v>0</v>
      </c>
      <c r="I872">
        <v>879.74599999999998</v>
      </c>
      <c r="J872">
        <v>879.74599999999998</v>
      </c>
      <c r="K872">
        <v>879.74599999999998</v>
      </c>
      <c r="L872">
        <v>879.74599999999998</v>
      </c>
      <c r="M872">
        <v>879.74599999999998</v>
      </c>
      <c r="N872">
        <v>879.74599999999998</v>
      </c>
      <c r="O872">
        <v>879.74599999999998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s="164">
        <v>41275</v>
      </c>
      <c r="AC872" s="164">
        <v>42369</v>
      </c>
      <c r="AD872" s="164">
        <v>42492</v>
      </c>
      <c r="AE872" s="34">
        <f>SUMPRODUCT(DB_STProjectsSOF[[#This Row],[Plan01]:[Plan12]],$D$4:$O$4)/valUnits2</f>
        <v>0.87974600000000003</v>
      </c>
      <c r="AF872" s="34">
        <f>SUMPRODUCT(DB_STProjectsSOF[[#This Row],[Act01]:[Act12]],$P$4:$AA$4)/valUnits2</f>
        <v>0</v>
      </c>
      <c r="AG872" s="34">
        <f>DB_STProjectsSOF[[#This Row],[Actual]]-DB_STProjectsSOF[[#This Row],[Plan]]</f>
        <v>-0.87974600000000003</v>
      </c>
      <c r="AH872" s="34">
        <f>IF(DB_STProjectsSOF[[#This Row],[Plan]]&lt;&gt;0,DB_STProjectsSOF[[#This Row],[Actual]]/DB_STProjectsSOF[[#This Row],[Plan]],1.000011000011)</f>
        <v>0</v>
      </c>
      <c r="AI872" s="34">
        <f>SUM(DB_STProjectsSOF[[#This Row],[Plan01]:[Plan12]])/valUnits2</f>
        <v>6.1582219999999994</v>
      </c>
      <c r="AJ872" s="34">
        <f>SUMPRODUCT(DB_STProjectsSOF[[#This Row],[Act01]:[Act12]],$P$3:$AA$3)/valUnits2</f>
        <v>0</v>
      </c>
      <c r="AK872" s="34">
        <f>IF(DB_STProjectsSOF[[#This Row],[FY Plan]]&lt;&gt;0,DB_STProjectsSOF[[#This Row],[FY Actuals]]/DB_STProjectsSOF[[#This Row],[FY Plan]],1.000011000011)</f>
        <v>0</v>
      </c>
    </row>
    <row r="873" spans="1:37" hidden="1" x14ac:dyDescent="0.2">
      <c r="A873">
        <f>SUBTOTAL(3,$B$6:B873)</f>
        <v>0</v>
      </c>
      <c r="B873" t="s">
        <v>497</v>
      </c>
      <c r="C873" t="s">
        <v>846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61.297000000000004</v>
      </c>
      <c r="J873">
        <v>61.297000000000004</v>
      </c>
      <c r="K873">
        <v>61.297000000000004</v>
      </c>
      <c r="L873">
        <v>61.297000000000004</v>
      </c>
      <c r="M873">
        <v>61.297000000000004</v>
      </c>
      <c r="N873">
        <v>61.297000000000004</v>
      </c>
      <c r="O873">
        <v>61.297000000000004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s="164">
        <v>40817</v>
      </c>
      <c r="AC873" s="164">
        <v>41599</v>
      </c>
      <c r="AD873" s="164">
        <v>41305</v>
      </c>
      <c r="AE873" s="34">
        <f>SUMPRODUCT(DB_STProjectsSOF[[#This Row],[Plan01]:[Plan12]],$D$4:$O$4)/valUnits2</f>
        <v>6.1297000000000004E-2</v>
      </c>
      <c r="AF873" s="34">
        <f>SUMPRODUCT(DB_STProjectsSOF[[#This Row],[Act01]:[Act12]],$P$4:$AA$4)/valUnits2</f>
        <v>0</v>
      </c>
      <c r="AG873" s="34">
        <f>DB_STProjectsSOF[[#This Row],[Actual]]-DB_STProjectsSOF[[#This Row],[Plan]]</f>
        <v>-6.1297000000000004E-2</v>
      </c>
      <c r="AH873" s="34">
        <f>IF(DB_STProjectsSOF[[#This Row],[Plan]]&lt;&gt;0,DB_STProjectsSOF[[#This Row],[Actual]]/DB_STProjectsSOF[[#This Row],[Plan]],1.000011000011)</f>
        <v>0</v>
      </c>
      <c r="AI873" s="34">
        <f>SUM(DB_STProjectsSOF[[#This Row],[Plan01]:[Plan12]])/valUnits2</f>
        <v>0.42907900000000004</v>
      </c>
      <c r="AJ873" s="34">
        <f>SUMPRODUCT(DB_STProjectsSOF[[#This Row],[Act01]:[Act12]],$P$3:$AA$3)/valUnits2</f>
        <v>0</v>
      </c>
      <c r="AK873" s="34">
        <f>IF(DB_STProjectsSOF[[#This Row],[FY Plan]]&lt;&gt;0,DB_STProjectsSOF[[#This Row],[FY Actuals]]/DB_STProjectsSOF[[#This Row],[FY Plan]],1.000011000011)</f>
        <v>0</v>
      </c>
    </row>
    <row r="874" spans="1:37" hidden="1" x14ac:dyDescent="0.2">
      <c r="A874">
        <f>SUBTOTAL(3,$B$6:B874)</f>
        <v>0</v>
      </c>
      <c r="B874" t="s">
        <v>497</v>
      </c>
      <c r="C874" t="s">
        <v>849</v>
      </c>
      <c r="G874">
        <v>0</v>
      </c>
      <c r="H874">
        <v>0</v>
      </c>
      <c r="S874">
        <v>0</v>
      </c>
      <c r="T874">
        <v>0</v>
      </c>
      <c r="AB874" s="164">
        <v>41153</v>
      </c>
      <c r="AC874" s="164">
        <v>41364</v>
      </c>
      <c r="AD874" s="164">
        <v>41424</v>
      </c>
      <c r="AE874" s="34">
        <f>SUMPRODUCT(DB_STProjectsSOF[[#This Row],[Plan01]:[Plan12]],$D$4:$O$4)/valUnits2</f>
        <v>0</v>
      </c>
      <c r="AF874" s="34">
        <f>SUMPRODUCT(DB_STProjectsSOF[[#This Row],[Act01]:[Act12]],$P$4:$AA$4)/valUnits2</f>
        <v>0</v>
      </c>
      <c r="AG874" s="34">
        <f>DB_STProjectsSOF[[#This Row],[Actual]]-DB_STProjectsSOF[[#This Row],[Plan]]</f>
        <v>0</v>
      </c>
      <c r="AH874" s="34">
        <f>IF(DB_STProjectsSOF[[#This Row],[Plan]]&lt;&gt;0,DB_STProjectsSOF[[#This Row],[Actual]]/DB_STProjectsSOF[[#This Row],[Plan]],1.000011000011)</f>
        <v>1.0000110000110001</v>
      </c>
      <c r="AI874" s="34">
        <f>SUM(DB_STProjectsSOF[[#This Row],[Plan01]:[Plan12]])/valUnits2</f>
        <v>0</v>
      </c>
      <c r="AJ874" s="34">
        <f>SUMPRODUCT(DB_STProjectsSOF[[#This Row],[Act01]:[Act12]],$P$3:$AA$3)/valUnits2</f>
        <v>0</v>
      </c>
      <c r="AK874" s="34">
        <f>IF(DB_STProjectsSOF[[#This Row],[FY Plan]]&lt;&gt;0,DB_STProjectsSOF[[#This Row],[FY Actuals]]/DB_STProjectsSOF[[#This Row],[FY Plan]],1.000011000011)</f>
        <v>1.0000110000110001</v>
      </c>
    </row>
    <row r="875" spans="1:37" hidden="1" x14ac:dyDescent="0.2">
      <c r="A875">
        <f>SUBTOTAL(3,$B$6:B875)</f>
        <v>0</v>
      </c>
      <c r="B875" t="s">
        <v>497</v>
      </c>
      <c r="C875" t="s">
        <v>850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170.35399999999998</v>
      </c>
      <c r="J875">
        <v>170.35399999999998</v>
      </c>
      <c r="K875">
        <v>170.35399999999998</v>
      </c>
      <c r="L875">
        <v>170.35399999999998</v>
      </c>
      <c r="M875">
        <v>170.35399999999998</v>
      </c>
      <c r="N875">
        <v>170.35399999999998</v>
      </c>
      <c r="O875">
        <v>170.35399999999998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s="164">
        <v>40817</v>
      </c>
      <c r="AC875" s="164">
        <v>41639</v>
      </c>
      <c r="AD875" s="164">
        <v>41820</v>
      </c>
      <c r="AE875" s="34">
        <f>SUMPRODUCT(DB_STProjectsSOF[[#This Row],[Plan01]:[Plan12]],$D$4:$O$4)/valUnits2</f>
        <v>0.17035399999999998</v>
      </c>
      <c r="AF875" s="34">
        <f>SUMPRODUCT(DB_STProjectsSOF[[#This Row],[Act01]:[Act12]],$P$4:$AA$4)/valUnits2</f>
        <v>0</v>
      </c>
      <c r="AG875" s="34">
        <f>DB_STProjectsSOF[[#This Row],[Actual]]-DB_STProjectsSOF[[#This Row],[Plan]]</f>
        <v>-0.17035399999999998</v>
      </c>
      <c r="AH875" s="34">
        <f>IF(DB_STProjectsSOF[[#This Row],[Plan]]&lt;&gt;0,DB_STProjectsSOF[[#This Row],[Actual]]/DB_STProjectsSOF[[#This Row],[Plan]],1.000011000011)</f>
        <v>0</v>
      </c>
      <c r="AI875" s="34">
        <f>SUM(DB_STProjectsSOF[[#This Row],[Plan01]:[Plan12]])/valUnits2</f>
        <v>1.1924780000000001</v>
      </c>
      <c r="AJ875" s="34">
        <f>SUMPRODUCT(DB_STProjectsSOF[[#This Row],[Act01]:[Act12]],$P$3:$AA$3)/valUnits2</f>
        <v>0</v>
      </c>
      <c r="AK875" s="34">
        <f>IF(DB_STProjectsSOF[[#This Row],[FY Plan]]&lt;&gt;0,DB_STProjectsSOF[[#This Row],[FY Actuals]]/DB_STProjectsSOF[[#This Row],[FY Plan]],1.000011000011)</f>
        <v>0</v>
      </c>
    </row>
    <row r="876" spans="1:37" hidden="1" x14ac:dyDescent="0.2">
      <c r="A876">
        <f>SUBTOTAL(3,$B$6:B876)</f>
        <v>0</v>
      </c>
      <c r="B876" t="s">
        <v>497</v>
      </c>
      <c r="C876" t="s">
        <v>853</v>
      </c>
      <c r="G876">
        <v>0</v>
      </c>
      <c r="H876">
        <v>0</v>
      </c>
      <c r="I876">
        <v>16.921999999999997</v>
      </c>
      <c r="J876">
        <v>16.921999999999997</v>
      </c>
      <c r="K876">
        <v>16.921999999999997</v>
      </c>
      <c r="L876">
        <v>16.921999999999997</v>
      </c>
      <c r="M876">
        <v>16.921999999999997</v>
      </c>
      <c r="N876">
        <v>16.921999999999997</v>
      </c>
      <c r="O876">
        <v>16.921999999999997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s="164">
        <v>41275</v>
      </c>
      <c r="AC876" s="164">
        <v>41639</v>
      </c>
      <c r="AD876" s="164">
        <v>41669</v>
      </c>
      <c r="AE876" s="34">
        <f>SUMPRODUCT(DB_STProjectsSOF[[#This Row],[Plan01]:[Plan12]],$D$4:$O$4)/valUnits2</f>
        <v>1.6921999999999996E-2</v>
      </c>
      <c r="AF876" s="34">
        <f>SUMPRODUCT(DB_STProjectsSOF[[#This Row],[Act01]:[Act12]],$P$4:$AA$4)/valUnits2</f>
        <v>0</v>
      </c>
      <c r="AG876" s="34">
        <f>DB_STProjectsSOF[[#This Row],[Actual]]-DB_STProjectsSOF[[#This Row],[Plan]]</f>
        <v>-1.6921999999999996E-2</v>
      </c>
      <c r="AH876" s="34">
        <f>IF(DB_STProjectsSOF[[#This Row],[Plan]]&lt;&gt;0,DB_STProjectsSOF[[#This Row],[Actual]]/DB_STProjectsSOF[[#This Row],[Plan]],1.000011000011)</f>
        <v>0</v>
      </c>
      <c r="AI876" s="34">
        <f>SUM(DB_STProjectsSOF[[#This Row],[Plan01]:[Plan12]])/valUnits2</f>
        <v>0.11845399999999998</v>
      </c>
      <c r="AJ876" s="34">
        <f>SUMPRODUCT(DB_STProjectsSOF[[#This Row],[Act01]:[Act12]],$P$3:$AA$3)/valUnits2</f>
        <v>0</v>
      </c>
      <c r="AK876" s="34">
        <f>IF(DB_STProjectsSOF[[#This Row],[FY Plan]]&lt;&gt;0,DB_STProjectsSOF[[#This Row],[FY Actuals]]/DB_STProjectsSOF[[#This Row],[FY Plan]],1.000011000011)</f>
        <v>0</v>
      </c>
    </row>
    <row r="877" spans="1:37" hidden="1" x14ac:dyDescent="0.2">
      <c r="A877">
        <f>SUBTOTAL(3,$B$6:B877)</f>
        <v>0</v>
      </c>
      <c r="B877" t="s">
        <v>497</v>
      </c>
      <c r="C877" t="s">
        <v>854</v>
      </c>
      <c r="F877">
        <v>0</v>
      </c>
      <c r="G877">
        <v>967.04499999999996</v>
      </c>
      <c r="H877">
        <v>-903.99099999999999</v>
      </c>
      <c r="I877">
        <v>289.17700000000002</v>
      </c>
      <c r="J877">
        <v>289.17700000000002</v>
      </c>
      <c r="K877">
        <v>289.17700000000002</v>
      </c>
      <c r="L877">
        <v>289.17700000000002</v>
      </c>
      <c r="M877">
        <v>289.17700000000002</v>
      </c>
      <c r="N877">
        <v>289.17700000000002</v>
      </c>
      <c r="O877">
        <v>289.17700000000002</v>
      </c>
      <c r="R877">
        <v>0</v>
      </c>
      <c r="S877">
        <v>978.69</v>
      </c>
      <c r="T877">
        <v>-978.69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s="164">
        <v>40923</v>
      </c>
      <c r="AC877" s="164">
        <v>41698</v>
      </c>
      <c r="AD877" s="164">
        <v>41759</v>
      </c>
      <c r="AE877" s="34">
        <f>SUMPRODUCT(DB_STProjectsSOF[[#This Row],[Plan01]:[Plan12]],$D$4:$O$4)/valUnits2</f>
        <v>0.35223100000000002</v>
      </c>
      <c r="AF877" s="34">
        <f>SUMPRODUCT(DB_STProjectsSOF[[#This Row],[Act01]:[Act12]],$P$4:$AA$4)/valUnits2</f>
        <v>0</v>
      </c>
      <c r="AG877" s="34">
        <f>DB_STProjectsSOF[[#This Row],[Actual]]-DB_STProjectsSOF[[#This Row],[Plan]]</f>
        <v>-0.35223100000000002</v>
      </c>
      <c r="AH877" s="34">
        <f>IF(DB_STProjectsSOF[[#This Row],[Plan]]&lt;&gt;0,DB_STProjectsSOF[[#This Row],[Actual]]/DB_STProjectsSOF[[#This Row],[Plan]],1.000011000011)</f>
        <v>0</v>
      </c>
      <c r="AI877" s="34">
        <f>SUM(DB_STProjectsSOF[[#This Row],[Plan01]:[Plan12]])/valUnits2</f>
        <v>2.0872930000000007</v>
      </c>
      <c r="AJ877" s="34">
        <f>SUMPRODUCT(DB_STProjectsSOF[[#This Row],[Act01]:[Act12]],$P$3:$AA$3)/valUnits2</f>
        <v>0</v>
      </c>
      <c r="AK877" s="34">
        <f>IF(DB_STProjectsSOF[[#This Row],[FY Plan]]&lt;&gt;0,DB_STProjectsSOF[[#This Row],[FY Actuals]]/DB_STProjectsSOF[[#This Row],[FY Plan]],1.000011000011)</f>
        <v>0</v>
      </c>
    </row>
    <row r="878" spans="1:37" hidden="1" x14ac:dyDescent="0.2">
      <c r="A878">
        <f>SUBTOTAL(3,$B$6:B878)</f>
        <v>0</v>
      </c>
      <c r="B878" t="s">
        <v>497</v>
      </c>
      <c r="C878" t="s">
        <v>855</v>
      </c>
      <c r="G878">
        <v>0</v>
      </c>
      <c r="H878">
        <v>0</v>
      </c>
      <c r="I878">
        <v>553.59699999999998</v>
      </c>
      <c r="J878">
        <v>553.59699999999998</v>
      </c>
      <c r="K878">
        <v>553.59699999999998</v>
      </c>
      <c r="L878">
        <v>553.59699999999998</v>
      </c>
      <c r="M878">
        <v>553.59699999999998</v>
      </c>
      <c r="N878">
        <v>553.59699999999998</v>
      </c>
      <c r="O878">
        <v>553.59699999999998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s="164">
        <v>40817</v>
      </c>
      <c r="AC878" s="164">
        <v>41759</v>
      </c>
      <c r="AD878" s="164">
        <v>41820</v>
      </c>
      <c r="AE878" s="34">
        <f>SUMPRODUCT(DB_STProjectsSOF[[#This Row],[Plan01]:[Plan12]],$D$4:$O$4)/valUnits2</f>
        <v>0.55359700000000001</v>
      </c>
      <c r="AF878" s="34">
        <f>SUMPRODUCT(DB_STProjectsSOF[[#This Row],[Act01]:[Act12]],$P$4:$AA$4)/valUnits2</f>
        <v>0</v>
      </c>
      <c r="AG878" s="34">
        <f>DB_STProjectsSOF[[#This Row],[Actual]]-DB_STProjectsSOF[[#This Row],[Plan]]</f>
        <v>-0.55359700000000001</v>
      </c>
      <c r="AH878" s="34">
        <f>IF(DB_STProjectsSOF[[#This Row],[Plan]]&lt;&gt;0,DB_STProjectsSOF[[#This Row],[Actual]]/DB_STProjectsSOF[[#This Row],[Plan]],1.000011000011)</f>
        <v>0</v>
      </c>
      <c r="AI878" s="34">
        <f>SUM(DB_STProjectsSOF[[#This Row],[Plan01]:[Plan12]])/valUnits2</f>
        <v>3.8751789999999993</v>
      </c>
      <c r="AJ878" s="34">
        <f>SUMPRODUCT(DB_STProjectsSOF[[#This Row],[Act01]:[Act12]],$P$3:$AA$3)/valUnits2</f>
        <v>0</v>
      </c>
      <c r="AK878" s="34">
        <f>IF(DB_STProjectsSOF[[#This Row],[FY Plan]]&lt;&gt;0,DB_STProjectsSOF[[#This Row],[FY Actuals]]/DB_STProjectsSOF[[#This Row],[FY Plan]],1.000011000011)</f>
        <v>0</v>
      </c>
    </row>
    <row r="879" spans="1:37" hidden="1" x14ac:dyDescent="0.2">
      <c r="A879">
        <f>SUBTOTAL(3,$B$6:B879)</f>
        <v>0</v>
      </c>
      <c r="B879" t="s">
        <v>497</v>
      </c>
      <c r="C879" t="s">
        <v>856</v>
      </c>
      <c r="D879">
        <v>1377.2750000000001</v>
      </c>
      <c r="E879">
        <v>3461.6750000000002</v>
      </c>
      <c r="F879">
        <v>4760.7349999999997</v>
      </c>
      <c r="G879">
        <v>5447.9470000000001</v>
      </c>
      <c r="H879">
        <v>3236.5329999999999</v>
      </c>
      <c r="I879">
        <v>1377.2750000000001</v>
      </c>
      <c r="J879">
        <v>1377.2750000000001</v>
      </c>
      <c r="K879">
        <v>1377.2750000000001</v>
      </c>
      <c r="L879">
        <v>1377.2750000000001</v>
      </c>
      <c r="M879">
        <v>1377.2750000000001</v>
      </c>
      <c r="N879">
        <v>1377.2750000000001</v>
      </c>
      <c r="O879">
        <v>1377.2750000000001</v>
      </c>
      <c r="P879">
        <v>0</v>
      </c>
      <c r="Q879">
        <v>1999.6000000000001</v>
      </c>
      <c r="R879">
        <v>3251.58</v>
      </c>
      <c r="S879">
        <v>3903.4600000000005</v>
      </c>
      <c r="T879">
        <v>1810.07</v>
      </c>
      <c r="U879">
        <v>2007.9199999999998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s="164">
        <v>40817</v>
      </c>
      <c r="AC879" s="164">
        <v>42338</v>
      </c>
      <c r="AD879" s="164">
        <v>42490</v>
      </c>
      <c r="AE879" s="34">
        <f>SUMPRODUCT(DB_STProjectsSOF[[#This Row],[Plan01]:[Plan12]],$D$4:$O$4)/valUnits2</f>
        <v>19.661440000000002</v>
      </c>
      <c r="AF879" s="34">
        <f>SUMPRODUCT(DB_STProjectsSOF[[#This Row],[Act01]:[Act12]],$P$4:$AA$4)/valUnits2</f>
        <v>12.972630000000001</v>
      </c>
      <c r="AG879" s="34">
        <f>DB_STProjectsSOF[[#This Row],[Actual]]-DB_STProjectsSOF[[#This Row],[Plan]]</f>
        <v>-6.6888100000000019</v>
      </c>
      <c r="AH879" s="34">
        <f>IF(DB_STProjectsSOF[[#This Row],[Plan]]&lt;&gt;0,DB_STProjectsSOF[[#This Row],[Actual]]/DB_STProjectsSOF[[#This Row],[Plan]],1.000011000011)</f>
        <v>0.65980060463526569</v>
      </c>
      <c r="AI879" s="34">
        <f>SUM(DB_STProjectsSOF[[#This Row],[Plan01]:[Plan12]])/valUnits2</f>
        <v>27.925090000000012</v>
      </c>
      <c r="AJ879" s="34">
        <f>SUMPRODUCT(DB_STProjectsSOF[[#This Row],[Act01]:[Act12]],$P$3:$AA$3)/valUnits2</f>
        <v>12.972630000000001</v>
      </c>
      <c r="AK879" s="34">
        <f>IF(DB_STProjectsSOF[[#This Row],[FY Plan]]&lt;&gt;0,DB_STProjectsSOF[[#This Row],[FY Actuals]]/DB_STProjectsSOF[[#This Row],[FY Plan]],1.000011000011)</f>
        <v>0.46455105426696908</v>
      </c>
    </row>
    <row r="880" spans="1:37" hidden="1" x14ac:dyDescent="0.2">
      <c r="A880">
        <f>SUBTOTAL(3,$B$6:B880)</f>
        <v>0</v>
      </c>
      <c r="B880" t="s">
        <v>497</v>
      </c>
      <c r="C880" t="s">
        <v>858</v>
      </c>
      <c r="D880">
        <v>0</v>
      </c>
      <c r="E880">
        <v>15.97</v>
      </c>
      <c r="F880">
        <v>0</v>
      </c>
      <c r="G880">
        <v>118.37</v>
      </c>
      <c r="H880">
        <v>2219.34</v>
      </c>
      <c r="I880">
        <v>1917.155</v>
      </c>
      <c r="J880">
        <v>1917.155</v>
      </c>
      <c r="K880">
        <v>1917.155</v>
      </c>
      <c r="L880">
        <v>1917.155</v>
      </c>
      <c r="M880">
        <v>1917.155</v>
      </c>
      <c r="N880">
        <v>1917.155</v>
      </c>
      <c r="O880">
        <v>1917.155</v>
      </c>
      <c r="P880">
        <v>0</v>
      </c>
      <c r="Q880">
        <v>15.97</v>
      </c>
      <c r="R880">
        <v>0</v>
      </c>
      <c r="S880">
        <v>118.36999999999999</v>
      </c>
      <c r="T880">
        <v>2219.34</v>
      </c>
      <c r="U880">
        <v>791.96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s="164">
        <v>41275</v>
      </c>
      <c r="AC880" s="164">
        <v>41639</v>
      </c>
      <c r="AD880" s="164">
        <v>41784</v>
      </c>
      <c r="AE880" s="34">
        <f>SUMPRODUCT(DB_STProjectsSOF[[#This Row],[Plan01]:[Plan12]],$D$4:$O$4)/valUnits2</f>
        <v>4.2708349999999999</v>
      </c>
      <c r="AF880" s="34">
        <f>SUMPRODUCT(DB_STProjectsSOF[[#This Row],[Act01]:[Act12]],$P$4:$AA$4)/valUnits2</f>
        <v>3.1456400000000002</v>
      </c>
      <c r="AG880" s="34">
        <f>DB_STProjectsSOF[[#This Row],[Actual]]-DB_STProjectsSOF[[#This Row],[Plan]]</f>
        <v>-1.1251949999999997</v>
      </c>
      <c r="AH880" s="34">
        <f>IF(DB_STProjectsSOF[[#This Row],[Plan]]&lt;&gt;0,DB_STProjectsSOF[[#This Row],[Actual]]/DB_STProjectsSOF[[#This Row],[Plan]],1.000011000011)</f>
        <v>0.73653981013080583</v>
      </c>
      <c r="AI880" s="34">
        <f>SUM(DB_STProjectsSOF[[#This Row],[Plan01]:[Plan12]])/valUnits2</f>
        <v>15.773765000000001</v>
      </c>
      <c r="AJ880" s="34">
        <f>SUMPRODUCT(DB_STProjectsSOF[[#This Row],[Act01]:[Act12]],$P$3:$AA$3)/valUnits2</f>
        <v>3.1456400000000002</v>
      </c>
      <c r="AK880" s="34">
        <f>IF(DB_STProjectsSOF[[#This Row],[FY Plan]]&lt;&gt;0,DB_STProjectsSOF[[#This Row],[FY Actuals]]/DB_STProjectsSOF[[#This Row],[FY Plan]],1.000011000011)</f>
        <v>0.1994222685579505</v>
      </c>
    </row>
    <row r="881" spans="1:37" hidden="1" x14ac:dyDescent="0.2">
      <c r="A881">
        <f>SUBTOTAL(3,$B$6:B881)</f>
        <v>0</v>
      </c>
      <c r="B881" t="s">
        <v>497</v>
      </c>
      <c r="C881" t="s">
        <v>860</v>
      </c>
      <c r="D881">
        <v>13</v>
      </c>
      <c r="E881">
        <v>2.54</v>
      </c>
      <c r="F881">
        <v>0.13</v>
      </c>
      <c r="G881">
        <v>0</v>
      </c>
      <c r="H881">
        <v>0</v>
      </c>
      <c r="I881">
        <v>530.78899999999999</v>
      </c>
      <c r="J881">
        <v>530.78899999999999</v>
      </c>
      <c r="K881">
        <v>530.78899999999999</v>
      </c>
      <c r="L881">
        <v>530.78899999999999</v>
      </c>
      <c r="P881">
        <v>13</v>
      </c>
      <c r="Q881">
        <v>2.54</v>
      </c>
      <c r="R881">
        <v>0.12999999999999545</v>
      </c>
      <c r="S881">
        <v>0</v>
      </c>
      <c r="T881">
        <v>0</v>
      </c>
      <c r="U881">
        <v>395.5</v>
      </c>
      <c r="V881">
        <v>0</v>
      </c>
      <c r="W881">
        <v>0</v>
      </c>
      <c r="X881">
        <v>0</v>
      </c>
      <c r="AB881" s="164">
        <v>40969</v>
      </c>
      <c r="AC881" s="164">
        <v>42643</v>
      </c>
      <c r="AD881" s="164">
        <v>42704</v>
      </c>
      <c r="AE881" s="34">
        <f>SUMPRODUCT(DB_STProjectsSOF[[#This Row],[Plan01]:[Plan12]],$D$4:$O$4)/valUnits2</f>
        <v>0.54645899999999992</v>
      </c>
      <c r="AF881" s="34">
        <f>SUMPRODUCT(DB_STProjectsSOF[[#This Row],[Act01]:[Act12]],$P$4:$AA$4)/valUnits2</f>
        <v>0.41117000000000004</v>
      </c>
      <c r="AG881" s="34">
        <f>DB_STProjectsSOF[[#This Row],[Actual]]-DB_STProjectsSOF[[#This Row],[Plan]]</f>
        <v>-0.13528899999999988</v>
      </c>
      <c r="AH881" s="34">
        <f>IF(DB_STProjectsSOF[[#This Row],[Plan]]&lt;&gt;0,DB_STProjectsSOF[[#This Row],[Actual]]/DB_STProjectsSOF[[#This Row],[Plan]],1.000011000011)</f>
        <v>0.75242607405130135</v>
      </c>
      <c r="AI881" s="34">
        <f>SUM(DB_STProjectsSOF[[#This Row],[Plan01]:[Plan12]])/valUnits2</f>
        <v>2.1388259999999999</v>
      </c>
      <c r="AJ881" s="34">
        <f>SUMPRODUCT(DB_STProjectsSOF[[#This Row],[Act01]:[Act12]],$P$3:$AA$3)/valUnits2</f>
        <v>0.41117000000000004</v>
      </c>
      <c r="AK881" s="34">
        <f>IF(DB_STProjectsSOF[[#This Row],[FY Plan]]&lt;&gt;0,DB_STProjectsSOF[[#This Row],[FY Actuals]]/DB_STProjectsSOF[[#This Row],[FY Plan]],1.000011000011)</f>
        <v>0.19224097705937745</v>
      </c>
    </row>
    <row r="882" spans="1:37" hidden="1" x14ac:dyDescent="0.2">
      <c r="A882">
        <f>SUBTOTAL(3,$B$6:B882)</f>
        <v>0</v>
      </c>
      <c r="B882" t="s">
        <v>497</v>
      </c>
      <c r="C882" t="s">
        <v>862</v>
      </c>
      <c r="G882">
        <v>0</v>
      </c>
      <c r="H882">
        <v>0</v>
      </c>
      <c r="I882">
        <v>512.62099999999998</v>
      </c>
      <c r="J882">
        <v>512.62099999999998</v>
      </c>
      <c r="K882">
        <v>512.62099999999998</v>
      </c>
      <c r="L882">
        <v>512.62099999999998</v>
      </c>
      <c r="M882">
        <v>512.62099999999998</v>
      </c>
      <c r="N882">
        <v>512.62099999999998</v>
      </c>
      <c r="O882">
        <v>512.62099999999998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s="164">
        <v>41275</v>
      </c>
      <c r="AC882" s="164">
        <v>41639</v>
      </c>
      <c r="AD882" s="164">
        <v>3</v>
      </c>
      <c r="AE882" s="34">
        <f>SUMPRODUCT(DB_STProjectsSOF[[#This Row],[Plan01]:[Plan12]],$D$4:$O$4)/valUnits2</f>
        <v>0.51262099999999999</v>
      </c>
      <c r="AF882" s="34">
        <f>SUMPRODUCT(DB_STProjectsSOF[[#This Row],[Act01]:[Act12]],$P$4:$AA$4)/valUnits2</f>
        <v>0</v>
      </c>
      <c r="AG882" s="34">
        <f>DB_STProjectsSOF[[#This Row],[Actual]]-DB_STProjectsSOF[[#This Row],[Plan]]</f>
        <v>-0.51262099999999999</v>
      </c>
      <c r="AH882" s="34">
        <f>IF(DB_STProjectsSOF[[#This Row],[Plan]]&lt;&gt;0,DB_STProjectsSOF[[#This Row],[Actual]]/DB_STProjectsSOF[[#This Row],[Plan]],1.000011000011)</f>
        <v>0</v>
      </c>
      <c r="AI882" s="34">
        <f>SUM(DB_STProjectsSOF[[#This Row],[Plan01]:[Plan12]])/valUnits2</f>
        <v>3.5883470000000002</v>
      </c>
      <c r="AJ882" s="34">
        <f>SUMPRODUCT(DB_STProjectsSOF[[#This Row],[Act01]:[Act12]],$P$3:$AA$3)/valUnits2</f>
        <v>0</v>
      </c>
      <c r="AK882" s="34">
        <f>IF(DB_STProjectsSOF[[#This Row],[FY Plan]]&lt;&gt;0,DB_STProjectsSOF[[#This Row],[FY Actuals]]/DB_STProjectsSOF[[#This Row],[FY Plan]],1.000011000011)</f>
        <v>0</v>
      </c>
    </row>
    <row r="883" spans="1:37" hidden="1" x14ac:dyDescent="0.2">
      <c r="A883">
        <f>SUBTOTAL(3,$B$6:B883)</f>
        <v>0</v>
      </c>
      <c r="B883" t="s">
        <v>497</v>
      </c>
      <c r="C883" t="s">
        <v>865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s="164">
        <v>40817</v>
      </c>
      <c r="AC883" s="164">
        <v>41639</v>
      </c>
      <c r="AD883" s="164">
        <v>41820</v>
      </c>
      <c r="AE883" s="34">
        <f>SUMPRODUCT(DB_STProjectsSOF[[#This Row],[Plan01]:[Plan12]],$D$4:$O$4)/valUnits2</f>
        <v>0</v>
      </c>
      <c r="AF883" s="34">
        <f>SUMPRODUCT(DB_STProjectsSOF[[#This Row],[Act01]:[Act12]],$P$4:$AA$4)/valUnits2</f>
        <v>0</v>
      </c>
      <c r="AG883" s="34">
        <f>DB_STProjectsSOF[[#This Row],[Actual]]-DB_STProjectsSOF[[#This Row],[Plan]]</f>
        <v>0</v>
      </c>
      <c r="AH883" s="34">
        <f>IF(DB_STProjectsSOF[[#This Row],[Plan]]&lt;&gt;0,DB_STProjectsSOF[[#This Row],[Actual]]/DB_STProjectsSOF[[#This Row],[Plan]],1.000011000011)</f>
        <v>1.0000110000110001</v>
      </c>
      <c r="AI883" s="34">
        <f>SUM(DB_STProjectsSOF[[#This Row],[Plan01]:[Plan12]])/valUnits2</f>
        <v>0</v>
      </c>
      <c r="AJ883" s="34">
        <f>SUMPRODUCT(DB_STProjectsSOF[[#This Row],[Act01]:[Act12]],$P$3:$AA$3)/valUnits2</f>
        <v>0</v>
      </c>
      <c r="AK883" s="34">
        <f>IF(DB_STProjectsSOF[[#This Row],[FY Plan]]&lt;&gt;0,DB_STProjectsSOF[[#This Row],[FY Actuals]]/DB_STProjectsSOF[[#This Row],[FY Plan]],1.000011000011)</f>
        <v>1.0000110000110001</v>
      </c>
    </row>
    <row r="884" spans="1:37" hidden="1" x14ac:dyDescent="0.2">
      <c r="A884">
        <f>SUBTOTAL(3,$B$6:B884)</f>
        <v>0</v>
      </c>
      <c r="B884" t="s">
        <v>497</v>
      </c>
      <c r="C884" t="s">
        <v>866</v>
      </c>
      <c r="D884">
        <v>330.83</v>
      </c>
      <c r="E884">
        <v>11034</v>
      </c>
      <c r="F884">
        <v>1338.19</v>
      </c>
      <c r="G884">
        <v>-1706.8500000000001</v>
      </c>
      <c r="H884">
        <v>0</v>
      </c>
      <c r="I884">
        <v>3829.2219999999998</v>
      </c>
      <c r="J884">
        <v>3829.2219999999998</v>
      </c>
      <c r="K884">
        <v>3829.2219999999998</v>
      </c>
      <c r="L884">
        <v>3829.2219999999998</v>
      </c>
      <c r="P884">
        <v>330.83</v>
      </c>
      <c r="Q884">
        <v>11034</v>
      </c>
      <c r="R884">
        <v>1338.19</v>
      </c>
      <c r="S884">
        <v>-1706.8500000000001</v>
      </c>
      <c r="T884">
        <v>0</v>
      </c>
      <c r="U884">
        <v>8687.7400000000016</v>
      </c>
      <c r="V884">
        <v>0</v>
      </c>
      <c r="W884">
        <v>0</v>
      </c>
      <c r="X884">
        <v>0</v>
      </c>
      <c r="AB884" s="164">
        <v>41275</v>
      </c>
      <c r="AC884" s="164">
        <v>41639</v>
      </c>
      <c r="AD884" s="164">
        <v>41760</v>
      </c>
      <c r="AE884" s="34">
        <f>SUMPRODUCT(DB_STProjectsSOF[[#This Row],[Plan01]:[Plan12]],$D$4:$O$4)/valUnits2</f>
        <v>14.825391999999999</v>
      </c>
      <c r="AF884" s="34">
        <f>SUMPRODUCT(DB_STProjectsSOF[[#This Row],[Act01]:[Act12]],$P$4:$AA$4)/valUnits2</f>
        <v>19.683910000000004</v>
      </c>
      <c r="AG884" s="34">
        <f>DB_STProjectsSOF[[#This Row],[Actual]]-DB_STProjectsSOF[[#This Row],[Plan]]</f>
        <v>4.8585180000000054</v>
      </c>
      <c r="AH884" s="34">
        <f>IF(DB_STProjectsSOF[[#This Row],[Plan]]&lt;&gt;0,DB_STProjectsSOF[[#This Row],[Actual]]/DB_STProjectsSOF[[#This Row],[Plan]],1.000011000011)</f>
        <v>1.3277159888925707</v>
      </c>
      <c r="AI884" s="34">
        <f>SUM(DB_STProjectsSOF[[#This Row],[Plan01]:[Plan12]])/valUnits2</f>
        <v>26.313058000000005</v>
      </c>
      <c r="AJ884" s="34">
        <f>SUMPRODUCT(DB_STProjectsSOF[[#This Row],[Act01]:[Act12]],$P$3:$AA$3)/valUnits2</f>
        <v>19.683910000000004</v>
      </c>
      <c r="AK884" s="34">
        <f>IF(DB_STProjectsSOF[[#This Row],[FY Plan]]&lt;&gt;0,DB_STProjectsSOF[[#This Row],[FY Actuals]]/DB_STProjectsSOF[[#This Row],[FY Plan]],1.000011000011)</f>
        <v>0.74806622628202324</v>
      </c>
    </row>
    <row r="885" spans="1:37" hidden="1" x14ac:dyDescent="0.2">
      <c r="A885">
        <f>SUBTOTAL(3,$B$6:B885)</f>
        <v>0</v>
      </c>
      <c r="B885" t="s">
        <v>497</v>
      </c>
      <c r="C885" t="s">
        <v>869</v>
      </c>
      <c r="E885">
        <v>1237.8800000000001</v>
      </c>
      <c r="F885">
        <v>2267.6899999999996</v>
      </c>
      <c r="G885">
        <v>2403.3199999999997</v>
      </c>
      <c r="H885">
        <v>660.81</v>
      </c>
      <c r="I885">
        <v>1618</v>
      </c>
      <c r="J885">
        <v>1618</v>
      </c>
      <c r="K885">
        <v>1618</v>
      </c>
      <c r="L885">
        <v>1618</v>
      </c>
      <c r="M885">
        <v>1618</v>
      </c>
      <c r="N885">
        <v>1618</v>
      </c>
      <c r="O885">
        <v>1618</v>
      </c>
      <c r="Q885">
        <v>1237.8800000000001</v>
      </c>
      <c r="R885">
        <v>2267.69</v>
      </c>
      <c r="S885">
        <v>2403.3199999999997</v>
      </c>
      <c r="T885">
        <v>660.81000000000006</v>
      </c>
      <c r="U885">
        <v>1346.78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s="164">
        <v>40817</v>
      </c>
      <c r="AC885" s="164">
        <v>42155</v>
      </c>
      <c r="AD885" s="164">
        <v>42217</v>
      </c>
      <c r="AE885" s="34">
        <f>SUMPRODUCT(DB_STProjectsSOF[[#This Row],[Plan01]:[Plan12]],$D$4:$O$4)/valUnits2</f>
        <v>8.1876999999999995</v>
      </c>
      <c r="AF885" s="34">
        <f>SUMPRODUCT(DB_STProjectsSOF[[#This Row],[Act01]:[Act12]],$P$4:$AA$4)/valUnits2</f>
        <v>7.91648</v>
      </c>
      <c r="AG885" s="34">
        <f>DB_STProjectsSOF[[#This Row],[Actual]]-DB_STProjectsSOF[[#This Row],[Plan]]</f>
        <v>-0.27121999999999957</v>
      </c>
      <c r="AH885" s="34">
        <f>IF(DB_STProjectsSOF[[#This Row],[Plan]]&lt;&gt;0,DB_STProjectsSOF[[#This Row],[Actual]]/DB_STProjectsSOF[[#This Row],[Plan]],1.000011000011)</f>
        <v>0.96687470229734851</v>
      </c>
      <c r="AI885" s="34">
        <f>SUM(DB_STProjectsSOF[[#This Row],[Plan01]:[Plan12]])/valUnits2</f>
        <v>17.895699999999998</v>
      </c>
      <c r="AJ885" s="34">
        <f>SUMPRODUCT(DB_STProjectsSOF[[#This Row],[Act01]:[Act12]],$P$3:$AA$3)/valUnits2</f>
        <v>7.91648</v>
      </c>
      <c r="AK885" s="34">
        <f>IF(DB_STProjectsSOF[[#This Row],[FY Plan]]&lt;&gt;0,DB_STProjectsSOF[[#This Row],[FY Actuals]]/DB_STProjectsSOF[[#This Row],[FY Plan]],1.000011000011)</f>
        <v>0.44236771961979698</v>
      </c>
    </row>
    <row r="886" spans="1:37" hidden="1" x14ac:dyDescent="0.2">
      <c r="A886">
        <f>SUBTOTAL(3,$B$6:B886)</f>
        <v>0</v>
      </c>
      <c r="B886" t="s">
        <v>497</v>
      </c>
      <c r="C886" t="s">
        <v>874</v>
      </c>
      <c r="D886">
        <v>0</v>
      </c>
      <c r="E886">
        <v>391.93099999999998</v>
      </c>
      <c r="F886">
        <v>472.47300000000001</v>
      </c>
      <c r="G886">
        <v>1175.4649999999999</v>
      </c>
      <c r="H886">
        <v>544.17600000000004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400.15</v>
      </c>
      <c r="R886">
        <v>476.75</v>
      </c>
      <c r="S886">
        <v>1181.92</v>
      </c>
      <c r="T886">
        <v>537.57999999999993</v>
      </c>
      <c r="U886">
        <v>633.33999999999992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s="164">
        <v>40879</v>
      </c>
      <c r="AC886" s="164">
        <v>43071</v>
      </c>
      <c r="AD886" s="164">
        <v>43161</v>
      </c>
      <c r="AE886" s="34">
        <f>SUMPRODUCT(DB_STProjectsSOF[[#This Row],[Plan01]:[Plan12]],$D$4:$O$4)/valUnits2</f>
        <v>2.5840450000000001</v>
      </c>
      <c r="AF886" s="34">
        <f>SUMPRODUCT(DB_STProjectsSOF[[#This Row],[Act01]:[Act12]],$P$4:$AA$4)/valUnits2</f>
        <v>3.2297399999999996</v>
      </c>
      <c r="AG886" s="34">
        <f>DB_STProjectsSOF[[#This Row],[Actual]]-DB_STProjectsSOF[[#This Row],[Plan]]</f>
        <v>0.64569499999999946</v>
      </c>
      <c r="AH886" s="34">
        <f>IF(DB_STProjectsSOF[[#This Row],[Plan]]&lt;&gt;0,DB_STProjectsSOF[[#This Row],[Actual]]/DB_STProjectsSOF[[#This Row],[Plan]],1.000011000011)</f>
        <v>1.2498776143604309</v>
      </c>
      <c r="AI886" s="34">
        <f>SUM(DB_STProjectsSOF[[#This Row],[Plan01]:[Plan12]])/valUnits2</f>
        <v>2.5840450000000001</v>
      </c>
      <c r="AJ886" s="34">
        <f>SUMPRODUCT(DB_STProjectsSOF[[#This Row],[Act01]:[Act12]],$P$3:$AA$3)/valUnits2</f>
        <v>3.2297399999999996</v>
      </c>
      <c r="AK886" s="34">
        <f>IF(DB_STProjectsSOF[[#This Row],[FY Plan]]&lt;&gt;0,DB_STProjectsSOF[[#This Row],[FY Actuals]]/DB_STProjectsSOF[[#This Row],[FY Plan]],1.000011000011)</f>
        <v>1.2498776143604309</v>
      </c>
    </row>
    <row r="887" spans="1:37" hidden="1" x14ac:dyDescent="0.2">
      <c r="A887">
        <f>SUBTOTAL(3,$B$6:B887)</f>
        <v>0</v>
      </c>
      <c r="B887" t="s">
        <v>497</v>
      </c>
      <c r="C887" t="s">
        <v>875</v>
      </c>
      <c r="F887">
        <v>0</v>
      </c>
      <c r="G887">
        <v>602.72</v>
      </c>
      <c r="H887">
        <v>389.88799999999998</v>
      </c>
      <c r="I887">
        <v>241.98700000000002</v>
      </c>
      <c r="J887">
        <v>241.98700000000002</v>
      </c>
      <c r="K887">
        <v>241.98700000000002</v>
      </c>
      <c r="L887">
        <v>241.98700000000002</v>
      </c>
      <c r="M887">
        <v>241.98700000000002</v>
      </c>
      <c r="N887">
        <v>241.98700000000002</v>
      </c>
      <c r="O887">
        <v>241.98700000000002</v>
      </c>
      <c r="R887">
        <v>0</v>
      </c>
      <c r="S887">
        <v>601.67999999999995</v>
      </c>
      <c r="T887">
        <v>394.83</v>
      </c>
      <c r="U887">
        <v>430.17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s="164">
        <v>41275</v>
      </c>
      <c r="AC887" s="164">
        <v>41639</v>
      </c>
      <c r="AD887" s="164">
        <v>41649</v>
      </c>
      <c r="AE887" s="34">
        <f>SUMPRODUCT(DB_STProjectsSOF[[#This Row],[Plan01]:[Plan12]],$D$4:$O$4)/valUnits2</f>
        <v>1.2345950000000001</v>
      </c>
      <c r="AF887" s="34">
        <f>SUMPRODUCT(DB_STProjectsSOF[[#This Row],[Act01]:[Act12]],$P$4:$AA$4)/valUnits2</f>
        <v>1.4266800000000002</v>
      </c>
      <c r="AG887" s="34">
        <f>DB_STProjectsSOF[[#This Row],[Actual]]-DB_STProjectsSOF[[#This Row],[Plan]]</f>
        <v>0.19208500000000006</v>
      </c>
      <c r="AH887" s="34">
        <f>IF(DB_STProjectsSOF[[#This Row],[Plan]]&lt;&gt;0,DB_STProjectsSOF[[#This Row],[Actual]]/DB_STProjectsSOF[[#This Row],[Plan]],1.000011000011)</f>
        <v>1.1555854348997039</v>
      </c>
      <c r="AI887" s="34">
        <f>SUM(DB_STProjectsSOF[[#This Row],[Plan01]:[Plan12]])/valUnits2</f>
        <v>2.6865170000000003</v>
      </c>
      <c r="AJ887" s="34">
        <f>SUMPRODUCT(DB_STProjectsSOF[[#This Row],[Act01]:[Act12]],$P$3:$AA$3)/valUnits2</f>
        <v>1.4266800000000002</v>
      </c>
      <c r="AK887" s="34">
        <f>IF(DB_STProjectsSOF[[#This Row],[FY Plan]]&lt;&gt;0,DB_STProjectsSOF[[#This Row],[FY Actuals]]/DB_STProjectsSOF[[#This Row],[FY Plan]],1.000011000011)</f>
        <v>0.53105191591938561</v>
      </c>
    </row>
    <row r="888" spans="1:37" hidden="1" x14ac:dyDescent="0.2">
      <c r="A888">
        <f>SUBTOTAL(3,$B$6:B888)</f>
        <v>0</v>
      </c>
      <c r="B888" t="s">
        <v>497</v>
      </c>
      <c r="C888" t="s">
        <v>876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AB888" s="164">
        <v>40817</v>
      </c>
      <c r="AC888" s="164">
        <v>41820</v>
      </c>
      <c r="AD888" s="164">
        <v>41835</v>
      </c>
      <c r="AE888" s="34">
        <f>SUMPRODUCT(DB_STProjectsSOF[[#This Row],[Plan01]:[Plan12]],$D$4:$O$4)/valUnits2</f>
        <v>0</v>
      </c>
      <c r="AF888" s="34">
        <f>SUMPRODUCT(DB_STProjectsSOF[[#This Row],[Act01]:[Act12]],$P$4:$AA$4)/valUnits2</f>
        <v>0</v>
      </c>
      <c r="AG888" s="34">
        <f>DB_STProjectsSOF[[#This Row],[Actual]]-DB_STProjectsSOF[[#This Row],[Plan]]</f>
        <v>0</v>
      </c>
      <c r="AH888" s="34">
        <f>IF(DB_STProjectsSOF[[#This Row],[Plan]]&lt;&gt;0,DB_STProjectsSOF[[#This Row],[Actual]]/DB_STProjectsSOF[[#This Row],[Plan]],1.000011000011)</f>
        <v>1.0000110000110001</v>
      </c>
      <c r="AI888" s="34">
        <f>SUM(DB_STProjectsSOF[[#This Row],[Plan01]:[Plan12]])/valUnits2</f>
        <v>0</v>
      </c>
      <c r="AJ888" s="34">
        <f>SUMPRODUCT(DB_STProjectsSOF[[#This Row],[Act01]:[Act12]],$P$3:$AA$3)/valUnits2</f>
        <v>0</v>
      </c>
      <c r="AK888" s="34">
        <f>IF(DB_STProjectsSOF[[#This Row],[FY Plan]]&lt;&gt;0,DB_STProjectsSOF[[#This Row],[FY Actuals]]/DB_STProjectsSOF[[#This Row],[FY Plan]],1.000011000011)</f>
        <v>1.0000110000110001</v>
      </c>
    </row>
    <row r="889" spans="1:37" hidden="1" x14ac:dyDescent="0.2">
      <c r="A889">
        <f>SUBTOTAL(3,$B$6:B889)</f>
        <v>0</v>
      </c>
      <c r="B889" t="s">
        <v>497</v>
      </c>
      <c r="C889" t="s">
        <v>877</v>
      </c>
      <c r="E889">
        <v>0</v>
      </c>
      <c r="F889">
        <v>0</v>
      </c>
      <c r="G889">
        <v>0</v>
      </c>
      <c r="H889">
        <v>0</v>
      </c>
      <c r="I889">
        <v>155.62299999999999</v>
      </c>
      <c r="J889">
        <v>155.62299999999999</v>
      </c>
      <c r="K889">
        <v>155.62299999999999</v>
      </c>
      <c r="L889">
        <v>155.62299999999999</v>
      </c>
      <c r="M889">
        <v>155.62299999999999</v>
      </c>
      <c r="N889">
        <v>155.62299999999999</v>
      </c>
      <c r="O889">
        <v>155.62299999999999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s="164">
        <v>40817</v>
      </c>
      <c r="AC889" s="164">
        <v>41639</v>
      </c>
      <c r="AD889" s="164">
        <v>41729</v>
      </c>
      <c r="AE889" s="34">
        <f>SUMPRODUCT(DB_STProjectsSOF[[#This Row],[Plan01]:[Plan12]],$D$4:$O$4)/valUnits2</f>
        <v>0.15562299999999998</v>
      </c>
      <c r="AF889" s="34">
        <f>SUMPRODUCT(DB_STProjectsSOF[[#This Row],[Act01]:[Act12]],$P$4:$AA$4)/valUnits2</f>
        <v>0</v>
      </c>
      <c r="AG889" s="34">
        <f>DB_STProjectsSOF[[#This Row],[Actual]]-DB_STProjectsSOF[[#This Row],[Plan]]</f>
        <v>-0.15562299999999998</v>
      </c>
      <c r="AH889" s="34">
        <f>IF(DB_STProjectsSOF[[#This Row],[Plan]]&lt;&gt;0,DB_STProjectsSOF[[#This Row],[Actual]]/DB_STProjectsSOF[[#This Row],[Plan]],1.000011000011)</f>
        <v>0</v>
      </c>
      <c r="AI889" s="34">
        <f>SUM(DB_STProjectsSOF[[#This Row],[Plan01]:[Plan12]])/valUnits2</f>
        <v>1.089361</v>
      </c>
      <c r="AJ889" s="34">
        <f>SUMPRODUCT(DB_STProjectsSOF[[#This Row],[Act01]:[Act12]],$P$3:$AA$3)/valUnits2</f>
        <v>0</v>
      </c>
      <c r="AK889" s="34">
        <f>IF(DB_STProjectsSOF[[#This Row],[FY Plan]]&lt;&gt;0,DB_STProjectsSOF[[#This Row],[FY Actuals]]/DB_STProjectsSOF[[#This Row],[FY Plan]],1.000011000011)</f>
        <v>0</v>
      </c>
    </row>
    <row r="890" spans="1:37" hidden="1" x14ac:dyDescent="0.2">
      <c r="A890">
        <f>SUBTOTAL(3,$B$6:B890)</f>
        <v>0</v>
      </c>
      <c r="B890" t="s">
        <v>497</v>
      </c>
      <c r="C890" t="s">
        <v>878</v>
      </c>
      <c r="D890">
        <v>0</v>
      </c>
      <c r="E890">
        <v>0</v>
      </c>
      <c r="F890">
        <v>140.63800000000001</v>
      </c>
      <c r="G890">
        <v>140.63800000000001</v>
      </c>
      <c r="H890">
        <v>140.63800000000001</v>
      </c>
      <c r="I890">
        <v>140.63800000000001</v>
      </c>
      <c r="J890">
        <v>140.63800000000001</v>
      </c>
      <c r="K890">
        <v>140.63800000000001</v>
      </c>
      <c r="L890">
        <v>140.63800000000001</v>
      </c>
      <c r="M890">
        <v>140.63800000000001</v>
      </c>
      <c r="N890">
        <v>140.63800000000001</v>
      </c>
      <c r="O890">
        <v>140.63800000000001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s="164">
        <v>40969</v>
      </c>
      <c r="AC890" s="164">
        <v>41333</v>
      </c>
      <c r="AD890" s="164">
        <v>41364</v>
      </c>
      <c r="AE890" s="34">
        <f>SUMPRODUCT(DB_STProjectsSOF[[#This Row],[Plan01]:[Plan12]],$D$4:$O$4)/valUnits2</f>
        <v>0.56255200000000005</v>
      </c>
      <c r="AF890" s="34">
        <f>SUMPRODUCT(DB_STProjectsSOF[[#This Row],[Act01]:[Act12]],$P$4:$AA$4)/valUnits2</f>
        <v>0</v>
      </c>
      <c r="AG890" s="34">
        <f>DB_STProjectsSOF[[#This Row],[Actual]]-DB_STProjectsSOF[[#This Row],[Plan]]</f>
        <v>-0.56255200000000005</v>
      </c>
      <c r="AH890" s="34">
        <f>IF(DB_STProjectsSOF[[#This Row],[Plan]]&lt;&gt;0,DB_STProjectsSOF[[#This Row],[Actual]]/DB_STProjectsSOF[[#This Row],[Plan]],1.000011000011)</f>
        <v>0</v>
      </c>
      <c r="AI890" s="34">
        <f>SUM(DB_STProjectsSOF[[#This Row],[Plan01]:[Plan12]])/valUnits2</f>
        <v>1.40638</v>
      </c>
      <c r="AJ890" s="34">
        <f>SUMPRODUCT(DB_STProjectsSOF[[#This Row],[Act01]:[Act12]],$P$3:$AA$3)/valUnits2</f>
        <v>0</v>
      </c>
      <c r="AK890" s="34">
        <f>IF(DB_STProjectsSOF[[#This Row],[FY Plan]]&lt;&gt;0,DB_STProjectsSOF[[#This Row],[FY Actuals]]/DB_STProjectsSOF[[#This Row],[FY Plan]],1.000011000011)</f>
        <v>0</v>
      </c>
    </row>
    <row r="891" spans="1:37" hidden="1" x14ac:dyDescent="0.2">
      <c r="A891">
        <f>SUBTOTAL(3,$B$6:B891)</f>
        <v>0</v>
      </c>
      <c r="B891" t="s">
        <v>497</v>
      </c>
      <c r="C891" t="s">
        <v>881</v>
      </c>
      <c r="G891">
        <v>0</v>
      </c>
      <c r="H891">
        <v>0</v>
      </c>
      <c r="I891">
        <v>68.117999999999995</v>
      </c>
      <c r="J891">
        <v>136.23599999999999</v>
      </c>
      <c r="K891">
        <v>68.117999999999995</v>
      </c>
      <c r="L891">
        <v>68.117999999999995</v>
      </c>
      <c r="M891">
        <v>68.117999999999995</v>
      </c>
      <c r="N891">
        <v>68.117999999999995</v>
      </c>
      <c r="O891">
        <v>136.23599999999999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s="164">
        <v>41275</v>
      </c>
      <c r="AC891" s="164">
        <v>41639</v>
      </c>
      <c r="AD891" s="164">
        <v>41685</v>
      </c>
      <c r="AE891" s="34">
        <f>SUMPRODUCT(DB_STProjectsSOF[[#This Row],[Plan01]:[Plan12]],$D$4:$O$4)/valUnits2</f>
        <v>6.8117999999999998E-2</v>
      </c>
      <c r="AF891" s="34">
        <f>SUMPRODUCT(DB_STProjectsSOF[[#This Row],[Act01]:[Act12]],$P$4:$AA$4)/valUnits2</f>
        <v>0</v>
      </c>
      <c r="AG891" s="34">
        <f>DB_STProjectsSOF[[#This Row],[Actual]]-DB_STProjectsSOF[[#This Row],[Plan]]</f>
        <v>-6.8117999999999998E-2</v>
      </c>
      <c r="AH891" s="34">
        <f>IF(DB_STProjectsSOF[[#This Row],[Plan]]&lt;&gt;0,DB_STProjectsSOF[[#This Row],[Actual]]/DB_STProjectsSOF[[#This Row],[Plan]],1.000011000011)</f>
        <v>0</v>
      </c>
      <c r="AI891" s="34">
        <f>SUM(DB_STProjectsSOF[[#This Row],[Plan01]:[Plan12]])/valUnits2</f>
        <v>0.61306199999999988</v>
      </c>
      <c r="AJ891" s="34">
        <f>SUMPRODUCT(DB_STProjectsSOF[[#This Row],[Act01]:[Act12]],$P$3:$AA$3)/valUnits2</f>
        <v>0</v>
      </c>
      <c r="AK891" s="34">
        <f>IF(DB_STProjectsSOF[[#This Row],[FY Plan]]&lt;&gt;0,DB_STProjectsSOF[[#This Row],[FY Actuals]]/DB_STProjectsSOF[[#This Row],[FY Plan]],1.000011000011)</f>
        <v>0</v>
      </c>
    </row>
    <row r="892" spans="1:37" hidden="1" x14ac:dyDescent="0.2">
      <c r="A892">
        <f>SUBTOTAL(3,$B$6:B892)</f>
        <v>0</v>
      </c>
      <c r="B892" t="s">
        <v>497</v>
      </c>
      <c r="C892" t="s">
        <v>882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164.34200000000001</v>
      </c>
      <c r="J892">
        <v>164.34200000000001</v>
      </c>
      <c r="K892">
        <v>164.34200000000001</v>
      </c>
      <c r="L892">
        <v>164.34200000000001</v>
      </c>
      <c r="M892">
        <v>164.34200000000001</v>
      </c>
      <c r="N892">
        <v>164.34200000000001</v>
      </c>
      <c r="O892">
        <v>164.34200000000001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s="164">
        <v>40817</v>
      </c>
      <c r="AC892" s="164">
        <v>41913</v>
      </c>
      <c r="AD892" s="164">
        <v>42005</v>
      </c>
      <c r="AE892" s="34">
        <f>SUMPRODUCT(DB_STProjectsSOF[[#This Row],[Plan01]:[Plan12]],$D$4:$O$4)/valUnits2</f>
        <v>0.16434200000000002</v>
      </c>
      <c r="AF892" s="34">
        <f>SUMPRODUCT(DB_STProjectsSOF[[#This Row],[Act01]:[Act12]],$P$4:$AA$4)/valUnits2</f>
        <v>0</v>
      </c>
      <c r="AG892" s="34">
        <f>DB_STProjectsSOF[[#This Row],[Actual]]-DB_STProjectsSOF[[#This Row],[Plan]]</f>
        <v>-0.16434200000000002</v>
      </c>
      <c r="AH892" s="34">
        <f>IF(DB_STProjectsSOF[[#This Row],[Plan]]&lt;&gt;0,DB_STProjectsSOF[[#This Row],[Actual]]/DB_STProjectsSOF[[#This Row],[Plan]],1.000011000011)</f>
        <v>0</v>
      </c>
      <c r="AI892" s="34">
        <f>SUM(DB_STProjectsSOF[[#This Row],[Plan01]:[Plan12]])/valUnits2</f>
        <v>1.1503939999999999</v>
      </c>
      <c r="AJ892" s="34">
        <f>SUMPRODUCT(DB_STProjectsSOF[[#This Row],[Act01]:[Act12]],$P$3:$AA$3)/valUnits2</f>
        <v>0</v>
      </c>
      <c r="AK892" s="34">
        <f>IF(DB_STProjectsSOF[[#This Row],[FY Plan]]&lt;&gt;0,DB_STProjectsSOF[[#This Row],[FY Actuals]]/DB_STProjectsSOF[[#This Row],[FY Plan]],1.000011000011)</f>
        <v>0</v>
      </c>
    </row>
    <row r="893" spans="1:37" hidden="1" x14ac:dyDescent="0.2">
      <c r="A893">
        <f>SUBTOTAL(3,$B$6:B893)</f>
        <v>0</v>
      </c>
      <c r="B893" t="s">
        <v>497</v>
      </c>
      <c r="C893" t="s">
        <v>883</v>
      </c>
      <c r="D893">
        <v>0</v>
      </c>
      <c r="E893">
        <v>406.47899999999998</v>
      </c>
      <c r="F893">
        <v>0</v>
      </c>
      <c r="G893">
        <v>641.94499999999994</v>
      </c>
      <c r="H893">
        <v>595.91499999999996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415.53000000000003</v>
      </c>
      <c r="R893">
        <v>0</v>
      </c>
      <c r="S893">
        <v>634.97</v>
      </c>
      <c r="T893">
        <v>601.46</v>
      </c>
      <c r="U893">
        <v>445.99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s="164">
        <v>40940</v>
      </c>
      <c r="AC893" s="164">
        <v>41639</v>
      </c>
      <c r="AD893" s="164">
        <v>41698</v>
      </c>
      <c r="AE893" s="34">
        <f>SUMPRODUCT(DB_STProjectsSOF[[#This Row],[Plan01]:[Plan12]],$D$4:$O$4)/valUnits2</f>
        <v>1.644339</v>
      </c>
      <c r="AF893" s="34">
        <f>SUMPRODUCT(DB_STProjectsSOF[[#This Row],[Act01]:[Act12]],$P$4:$AA$4)/valUnits2</f>
        <v>2.09795</v>
      </c>
      <c r="AG893" s="34">
        <f>DB_STProjectsSOF[[#This Row],[Actual]]-DB_STProjectsSOF[[#This Row],[Plan]]</f>
        <v>0.45361099999999999</v>
      </c>
      <c r="AH893" s="34">
        <f>IF(DB_STProjectsSOF[[#This Row],[Plan]]&lt;&gt;0,DB_STProjectsSOF[[#This Row],[Actual]]/DB_STProjectsSOF[[#This Row],[Plan]],1.000011000011)</f>
        <v>1.2758622157596458</v>
      </c>
      <c r="AI893" s="34">
        <f>SUM(DB_STProjectsSOF[[#This Row],[Plan01]:[Plan12]])/valUnits2</f>
        <v>1.644339</v>
      </c>
      <c r="AJ893" s="34">
        <f>SUMPRODUCT(DB_STProjectsSOF[[#This Row],[Act01]:[Act12]],$P$3:$AA$3)/valUnits2</f>
        <v>2.09795</v>
      </c>
      <c r="AK893" s="34">
        <f>IF(DB_STProjectsSOF[[#This Row],[FY Plan]]&lt;&gt;0,DB_STProjectsSOF[[#This Row],[FY Actuals]]/DB_STProjectsSOF[[#This Row],[FY Plan]],1.000011000011)</f>
        <v>1.2758622157596458</v>
      </c>
    </row>
    <row r="894" spans="1:37" hidden="1" x14ac:dyDescent="0.2">
      <c r="A894">
        <f>SUBTOTAL(3,$B$6:B894)</f>
        <v>0</v>
      </c>
      <c r="B894" t="s">
        <v>497</v>
      </c>
      <c r="C894" t="s">
        <v>885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379.43700000000001</v>
      </c>
      <c r="J894">
        <v>379.43700000000001</v>
      </c>
      <c r="K894">
        <v>379.43700000000001</v>
      </c>
      <c r="L894">
        <v>379.43700000000001</v>
      </c>
      <c r="M894">
        <v>379.43700000000001</v>
      </c>
      <c r="N894">
        <v>379.43700000000001</v>
      </c>
      <c r="O894">
        <v>379.43700000000001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s="164">
        <v>40817</v>
      </c>
      <c r="AC894" s="164">
        <v>41639</v>
      </c>
      <c r="AD894" s="164">
        <v>41820</v>
      </c>
      <c r="AE894" s="34">
        <f>SUMPRODUCT(DB_STProjectsSOF[[#This Row],[Plan01]:[Plan12]],$D$4:$O$4)/valUnits2</f>
        <v>0.37943700000000002</v>
      </c>
      <c r="AF894" s="34">
        <f>SUMPRODUCT(DB_STProjectsSOF[[#This Row],[Act01]:[Act12]],$P$4:$AA$4)/valUnits2</f>
        <v>0</v>
      </c>
      <c r="AG894" s="34">
        <f>DB_STProjectsSOF[[#This Row],[Actual]]-DB_STProjectsSOF[[#This Row],[Plan]]</f>
        <v>-0.37943700000000002</v>
      </c>
      <c r="AH894" s="34">
        <f>IF(DB_STProjectsSOF[[#This Row],[Plan]]&lt;&gt;0,DB_STProjectsSOF[[#This Row],[Actual]]/DB_STProjectsSOF[[#This Row],[Plan]],1.000011000011)</f>
        <v>0</v>
      </c>
      <c r="AI894" s="34">
        <f>SUM(DB_STProjectsSOF[[#This Row],[Plan01]:[Plan12]])/valUnits2</f>
        <v>2.6560589999999999</v>
      </c>
      <c r="AJ894" s="34">
        <f>SUMPRODUCT(DB_STProjectsSOF[[#This Row],[Act01]:[Act12]],$P$3:$AA$3)/valUnits2</f>
        <v>0</v>
      </c>
      <c r="AK894" s="34">
        <f>IF(DB_STProjectsSOF[[#This Row],[FY Plan]]&lt;&gt;0,DB_STProjectsSOF[[#This Row],[FY Actuals]]/DB_STProjectsSOF[[#This Row],[FY Plan]],1.000011000011)</f>
        <v>0</v>
      </c>
    </row>
    <row r="895" spans="1:37" hidden="1" x14ac:dyDescent="0.2">
      <c r="A895">
        <f>SUBTOTAL(3,$B$6:B895)</f>
        <v>0</v>
      </c>
      <c r="B895" t="s">
        <v>497</v>
      </c>
      <c r="C895" t="s">
        <v>361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180.71299999999999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s="164">
        <v>41091</v>
      </c>
      <c r="AC895" s="164">
        <v>41455</v>
      </c>
      <c r="AD895" s="164">
        <v>41486</v>
      </c>
      <c r="AE895" s="34">
        <f>SUMPRODUCT(DB_STProjectsSOF[[#This Row],[Plan01]:[Plan12]],$D$4:$O$4)/valUnits2</f>
        <v>0.18071299999999998</v>
      </c>
      <c r="AF895" s="34">
        <f>SUMPRODUCT(DB_STProjectsSOF[[#This Row],[Act01]:[Act12]],$P$4:$AA$4)/valUnits2</f>
        <v>0</v>
      </c>
      <c r="AG895" s="34">
        <f>DB_STProjectsSOF[[#This Row],[Actual]]-DB_STProjectsSOF[[#This Row],[Plan]]</f>
        <v>-0.18071299999999998</v>
      </c>
      <c r="AH895" s="34">
        <f>IF(DB_STProjectsSOF[[#This Row],[Plan]]&lt;&gt;0,DB_STProjectsSOF[[#This Row],[Actual]]/DB_STProjectsSOF[[#This Row],[Plan]],1.000011000011)</f>
        <v>0</v>
      </c>
      <c r="AI895" s="34">
        <f>SUM(DB_STProjectsSOF[[#This Row],[Plan01]:[Plan12]])/valUnits2</f>
        <v>0.18071299999999998</v>
      </c>
      <c r="AJ895" s="34">
        <f>SUMPRODUCT(DB_STProjectsSOF[[#This Row],[Act01]:[Act12]],$P$3:$AA$3)/valUnits2</f>
        <v>0</v>
      </c>
      <c r="AK895" s="34">
        <f>IF(DB_STProjectsSOF[[#This Row],[FY Plan]]&lt;&gt;0,DB_STProjectsSOF[[#This Row],[FY Actuals]]/DB_STProjectsSOF[[#This Row],[FY Plan]],1.000011000011)</f>
        <v>0</v>
      </c>
    </row>
    <row r="896" spans="1:37" hidden="1" x14ac:dyDescent="0.2">
      <c r="A896">
        <f>SUBTOTAL(3,$B$6:B896)</f>
        <v>0</v>
      </c>
      <c r="B896" t="s">
        <v>497</v>
      </c>
      <c r="C896" t="s">
        <v>358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379.21199999999999</v>
      </c>
      <c r="J896">
        <v>379.21199999999999</v>
      </c>
      <c r="K896">
        <v>379.21199999999999</v>
      </c>
      <c r="L896">
        <v>379.21199999999999</v>
      </c>
      <c r="M896">
        <v>379.21199999999999</v>
      </c>
      <c r="N896">
        <v>379.21199999999999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B896" s="164">
        <v>41091</v>
      </c>
      <c r="AC896" s="164">
        <v>41455</v>
      </c>
      <c r="AD896" s="164">
        <v>41517</v>
      </c>
      <c r="AE896" s="34">
        <f>SUMPRODUCT(DB_STProjectsSOF[[#This Row],[Plan01]:[Plan12]],$D$4:$O$4)/valUnits2</f>
        <v>0.37921199999999999</v>
      </c>
      <c r="AF896" s="34">
        <f>SUMPRODUCT(DB_STProjectsSOF[[#This Row],[Act01]:[Act12]],$P$4:$AA$4)/valUnits2</f>
        <v>0</v>
      </c>
      <c r="AG896" s="34">
        <f>DB_STProjectsSOF[[#This Row],[Actual]]-DB_STProjectsSOF[[#This Row],[Plan]]</f>
        <v>-0.37921199999999999</v>
      </c>
      <c r="AH896" s="34">
        <f>IF(DB_STProjectsSOF[[#This Row],[Plan]]&lt;&gt;0,DB_STProjectsSOF[[#This Row],[Actual]]/DB_STProjectsSOF[[#This Row],[Plan]],1.000011000011)</f>
        <v>0</v>
      </c>
      <c r="AI896" s="34">
        <f>SUM(DB_STProjectsSOF[[#This Row],[Plan01]:[Plan12]])/valUnits2</f>
        <v>2.2752719999999997</v>
      </c>
      <c r="AJ896" s="34">
        <f>SUMPRODUCT(DB_STProjectsSOF[[#This Row],[Act01]:[Act12]],$P$3:$AA$3)/valUnits2</f>
        <v>0</v>
      </c>
      <c r="AK896" s="34">
        <f>IF(DB_STProjectsSOF[[#This Row],[FY Plan]]&lt;&gt;0,DB_STProjectsSOF[[#This Row],[FY Actuals]]/DB_STProjectsSOF[[#This Row],[FY Plan]],1.000011000011)</f>
        <v>0</v>
      </c>
    </row>
    <row r="897" spans="1:37" hidden="1" x14ac:dyDescent="0.2">
      <c r="A897">
        <f>SUBTOTAL(3,$B$6:B897)</f>
        <v>0</v>
      </c>
      <c r="B897" t="s">
        <v>497</v>
      </c>
      <c r="C897" t="s">
        <v>890</v>
      </c>
      <c r="I897">
        <v>0</v>
      </c>
      <c r="U897">
        <v>305.52999999999997</v>
      </c>
      <c r="AB897" s="164">
        <v>40817</v>
      </c>
      <c r="AC897" s="164">
        <v>41639</v>
      </c>
      <c r="AD897" s="164">
        <v>41639</v>
      </c>
      <c r="AE897" s="34">
        <f>SUMPRODUCT(DB_STProjectsSOF[[#This Row],[Plan01]:[Plan12]],$D$4:$O$4)/valUnits2</f>
        <v>0</v>
      </c>
      <c r="AF897" s="34">
        <f>SUMPRODUCT(DB_STProjectsSOF[[#This Row],[Act01]:[Act12]],$P$4:$AA$4)/valUnits2</f>
        <v>0.30552999999999997</v>
      </c>
      <c r="AG897" s="34">
        <f>DB_STProjectsSOF[[#This Row],[Actual]]-DB_STProjectsSOF[[#This Row],[Plan]]</f>
        <v>0.30552999999999997</v>
      </c>
      <c r="AH897" s="34">
        <f>IF(DB_STProjectsSOF[[#This Row],[Plan]]&lt;&gt;0,DB_STProjectsSOF[[#This Row],[Actual]]/DB_STProjectsSOF[[#This Row],[Plan]],1.000011000011)</f>
        <v>1.0000110000110001</v>
      </c>
      <c r="AI897" s="34">
        <f>SUM(DB_STProjectsSOF[[#This Row],[Plan01]:[Plan12]])/valUnits2</f>
        <v>0</v>
      </c>
      <c r="AJ897" s="34">
        <f>SUMPRODUCT(DB_STProjectsSOF[[#This Row],[Act01]:[Act12]],$P$3:$AA$3)/valUnits2</f>
        <v>0.30552999999999997</v>
      </c>
      <c r="AK897" s="34">
        <f>IF(DB_STProjectsSOF[[#This Row],[FY Plan]]&lt;&gt;0,DB_STProjectsSOF[[#This Row],[FY Actuals]]/DB_STProjectsSOF[[#This Row],[FY Plan]],1.000011000011)</f>
        <v>1.0000110000110001</v>
      </c>
    </row>
    <row r="898" spans="1:37" hidden="1" x14ac:dyDescent="0.2">
      <c r="A898">
        <f>SUBTOTAL(3,$B$6:B898)</f>
        <v>0</v>
      </c>
      <c r="B898" t="s">
        <v>497</v>
      </c>
      <c r="C898" t="s">
        <v>891</v>
      </c>
      <c r="G898">
        <v>0</v>
      </c>
      <c r="H898">
        <v>0</v>
      </c>
      <c r="I898">
        <v>118.761</v>
      </c>
      <c r="J898">
        <v>118.761</v>
      </c>
      <c r="K898">
        <v>118.761</v>
      </c>
      <c r="L898">
        <v>118.761</v>
      </c>
      <c r="M898">
        <v>118.761</v>
      </c>
      <c r="N898">
        <v>118.761</v>
      </c>
      <c r="O898">
        <v>118.761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s="164">
        <v>41214</v>
      </c>
      <c r="AC898" s="164">
        <v>42308</v>
      </c>
      <c r="AD898" s="164">
        <v>42389</v>
      </c>
      <c r="AE898" s="34">
        <f>SUMPRODUCT(DB_STProjectsSOF[[#This Row],[Plan01]:[Plan12]],$D$4:$O$4)/valUnits2</f>
        <v>0.11876099999999999</v>
      </c>
      <c r="AF898" s="34">
        <f>SUMPRODUCT(DB_STProjectsSOF[[#This Row],[Act01]:[Act12]],$P$4:$AA$4)/valUnits2</f>
        <v>0</v>
      </c>
      <c r="AG898" s="34">
        <f>DB_STProjectsSOF[[#This Row],[Actual]]-DB_STProjectsSOF[[#This Row],[Plan]]</f>
        <v>-0.11876099999999999</v>
      </c>
      <c r="AH898" s="34">
        <f>IF(DB_STProjectsSOF[[#This Row],[Plan]]&lt;&gt;0,DB_STProjectsSOF[[#This Row],[Actual]]/DB_STProjectsSOF[[#This Row],[Plan]],1.000011000011)</f>
        <v>0</v>
      </c>
      <c r="AI898" s="34">
        <f>SUM(DB_STProjectsSOF[[#This Row],[Plan01]:[Plan12]])/valUnits2</f>
        <v>0.83132699999999993</v>
      </c>
      <c r="AJ898" s="34">
        <f>SUMPRODUCT(DB_STProjectsSOF[[#This Row],[Act01]:[Act12]],$P$3:$AA$3)/valUnits2</f>
        <v>0</v>
      </c>
      <c r="AK898" s="34">
        <f>IF(DB_STProjectsSOF[[#This Row],[FY Plan]]&lt;&gt;0,DB_STProjectsSOF[[#This Row],[FY Actuals]]/DB_STProjectsSOF[[#This Row],[FY Plan]],1.000011000011)</f>
        <v>0</v>
      </c>
    </row>
    <row r="899" spans="1:37" hidden="1" x14ac:dyDescent="0.2">
      <c r="A899">
        <f>SUBTOTAL(3,$B$6:B899)</f>
        <v>0</v>
      </c>
      <c r="B899" t="s">
        <v>497</v>
      </c>
      <c r="C899" t="s">
        <v>368</v>
      </c>
      <c r="D899">
        <v>132.21</v>
      </c>
      <c r="E899">
        <v>0</v>
      </c>
      <c r="G899">
        <v>266.02999999999997</v>
      </c>
      <c r="H899">
        <v>3455.9780000000001</v>
      </c>
      <c r="I899">
        <v>2468.6880000000001</v>
      </c>
      <c r="J899">
        <v>2468.6880000000001</v>
      </c>
      <c r="K899">
        <v>2468.6880000000001</v>
      </c>
      <c r="L899">
        <v>2468.6880000000001</v>
      </c>
      <c r="M899">
        <v>2468.6880000000001</v>
      </c>
      <c r="N899">
        <v>2468.6880000000001</v>
      </c>
      <c r="P899">
        <v>132.21</v>
      </c>
      <c r="Q899">
        <v>0</v>
      </c>
      <c r="S899">
        <v>266.02999999999997</v>
      </c>
      <c r="T899">
        <v>987.29</v>
      </c>
      <c r="U899">
        <v>1175.7</v>
      </c>
      <c r="V899">
        <v>0</v>
      </c>
      <c r="W899">
        <v>0</v>
      </c>
      <c r="X899">
        <v>0</v>
      </c>
      <c r="Y899">
        <v>0</v>
      </c>
      <c r="Z899">
        <v>0</v>
      </c>
      <c r="AB899" s="164">
        <v>41000</v>
      </c>
      <c r="AC899" s="164">
        <v>41820</v>
      </c>
      <c r="AD899" s="164">
        <v>41517</v>
      </c>
      <c r="AE899" s="34">
        <f>SUMPRODUCT(DB_STProjectsSOF[[#This Row],[Plan01]:[Plan12]],$D$4:$O$4)/valUnits2</f>
        <v>6.3229059999999997</v>
      </c>
      <c r="AF899" s="34">
        <f>SUMPRODUCT(DB_STProjectsSOF[[#This Row],[Act01]:[Act12]],$P$4:$AA$4)/valUnits2</f>
        <v>2.5612300000000001</v>
      </c>
      <c r="AG899" s="34">
        <f>DB_STProjectsSOF[[#This Row],[Actual]]-DB_STProjectsSOF[[#This Row],[Plan]]</f>
        <v>-3.7616759999999996</v>
      </c>
      <c r="AH899" s="34">
        <f>IF(DB_STProjectsSOF[[#This Row],[Plan]]&lt;&gt;0,DB_STProjectsSOF[[#This Row],[Actual]]/DB_STProjectsSOF[[#This Row],[Plan]],1.000011000011)</f>
        <v>0.40507165534328682</v>
      </c>
      <c r="AI899" s="34">
        <f>SUM(DB_STProjectsSOF[[#This Row],[Plan01]:[Plan12]])/valUnits2</f>
        <v>18.666346000000001</v>
      </c>
      <c r="AJ899" s="34">
        <f>SUMPRODUCT(DB_STProjectsSOF[[#This Row],[Act01]:[Act12]],$P$3:$AA$3)/valUnits2</f>
        <v>2.5612300000000001</v>
      </c>
      <c r="AK899" s="34">
        <f>IF(DB_STProjectsSOF[[#This Row],[FY Plan]]&lt;&gt;0,DB_STProjectsSOF[[#This Row],[FY Actuals]]/DB_STProjectsSOF[[#This Row],[FY Plan]],1.000011000011)</f>
        <v>0.13721110709080395</v>
      </c>
    </row>
    <row r="900" spans="1:37" hidden="1" x14ac:dyDescent="0.2">
      <c r="A900">
        <f>SUBTOTAL(3,$B$6:B900)</f>
        <v>0</v>
      </c>
      <c r="B900" t="s">
        <v>497</v>
      </c>
      <c r="C900" t="s">
        <v>896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535.10300000000007</v>
      </c>
      <c r="J900">
        <v>535.10300000000007</v>
      </c>
      <c r="K900">
        <v>535.10300000000007</v>
      </c>
      <c r="L900">
        <v>535.10300000000007</v>
      </c>
      <c r="M900">
        <v>535.10300000000007</v>
      </c>
      <c r="N900">
        <v>535.10300000000007</v>
      </c>
      <c r="O900">
        <v>535.10300000000007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s="164">
        <v>40817</v>
      </c>
      <c r="AC900" s="164">
        <v>41639</v>
      </c>
      <c r="AD900" s="164">
        <v>41820</v>
      </c>
      <c r="AE900" s="34">
        <f>SUMPRODUCT(DB_STProjectsSOF[[#This Row],[Plan01]:[Plan12]],$D$4:$O$4)/valUnits2</f>
        <v>0.53510300000000011</v>
      </c>
      <c r="AF900" s="34">
        <f>SUMPRODUCT(DB_STProjectsSOF[[#This Row],[Act01]:[Act12]],$P$4:$AA$4)/valUnits2</f>
        <v>0</v>
      </c>
      <c r="AG900" s="34">
        <f>DB_STProjectsSOF[[#This Row],[Actual]]-DB_STProjectsSOF[[#This Row],[Plan]]</f>
        <v>-0.53510300000000011</v>
      </c>
      <c r="AH900" s="34">
        <f>IF(DB_STProjectsSOF[[#This Row],[Plan]]&lt;&gt;0,DB_STProjectsSOF[[#This Row],[Actual]]/DB_STProjectsSOF[[#This Row],[Plan]],1.000011000011)</f>
        <v>0</v>
      </c>
      <c r="AI900" s="34">
        <f>SUM(DB_STProjectsSOF[[#This Row],[Plan01]:[Plan12]])/valUnits2</f>
        <v>3.7457210000000005</v>
      </c>
      <c r="AJ900" s="34">
        <f>SUMPRODUCT(DB_STProjectsSOF[[#This Row],[Act01]:[Act12]],$P$3:$AA$3)/valUnits2</f>
        <v>0</v>
      </c>
      <c r="AK900" s="34">
        <f>IF(DB_STProjectsSOF[[#This Row],[FY Plan]]&lt;&gt;0,DB_STProjectsSOF[[#This Row],[FY Actuals]]/DB_STProjectsSOF[[#This Row],[FY Plan]],1.000011000011)</f>
        <v>0</v>
      </c>
    </row>
    <row r="901" spans="1:37" hidden="1" x14ac:dyDescent="0.2">
      <c r="A901">
        <f>SUBTOTAL(3,$B$6:B901)</f>
        <v>0</v>
      </c>
      <c r="B901" t="s">
        <v>497</v>
      </c>
      <c r="C901" t="s">
        <v>903</v>
      </c>
      <c r="G901">
        <v>0</v>
      </c>
      <c r="H901">
        <v>0</v>
      </c>
      <c r="I901">
        <v>135.37700000000001</v>
      </c>
      <c r="J901">
        <v>135.37700000000001</v>
      </c>
      <c r="K901">
        <v>135.37700000000001</v>
      </c>
      <c r="L901">
        <v>135.37700000000001</v>
      </c>
      <c r="M901">
        <v>135.37700000000001</v>
      </c>
      <c r="N901">
        <v>135.37700000000001</v>
      </c>
      <c r="O901">
        <v>135.37700000000001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s="164">
        <v>41275</v>
      </c>
      <c r="AC901" s="164">
        <v>41639</v>
      </c>
      <c r="AD901" s="164">
        <v>41670</v>
      </c>
      <c r="AE901" s="34">
        <f>SUMPRODUCT(DB_STProjectsSOF[[#This Row],[Plan01]:[Plan12]],$D$4:$O$4)/valUnits2</f>
        <v>0.135377</v>
      </c>
      <c r="AF901" s="34">
        <f>SUMPRODUCT(DB_STProjectsSOF[[#This Row],[Act01]:[Act12]],$P$4:$AA$4)/valUnits2</f>
        <v>0</v>
      </c>
      <c r="AG901" s="34">
        <f>DB_STProjectsSOF[[#This Row],[Actual]]-DB_STProjectsSOF[[#This Row],[Plan]]</f>
        <v>-0.135377</v>
      </c>
      <c r="AH901" s="34">
        <f>IF(DB_STProjectsSOF[[#This Row],[Plan]]&lt;&gt;0,DB_STProjectsSOF[[#This Row],[Actual]]/DB_STProjectsSOF[[#This Row],[Plan]],1.000011000011)</f>
        <v>0</v>
      </c>
      <c r="AI901" s="34">
        <f>SUM(DB_STProjectsSOF[[#This Row],[Plan01]:[Plan12]])/valUnits2</f>
        <v>0.9476389999999999</v>
      </c>
      <c r="AJ901" s="34">
        <f>SUMPRODUCT(DB_STProjectsSOF[[#This Row],[Act01]:[Act12]],$P$3:$AA$3)/valUnits2</f>
        <v>0</v>
      </c>
      <c r="AK901" s="34">
        <f>IF(DB_STProjectsSOF[[#This Row],[FY Plan]]&lt;&gt;0,DB_STProjectsSOF[[#This Row],[FY Actuals]]/DB_STProjectsSOF[[#This Row],[FY Plan]],1.000011000011)</f>
        <v>0</v>
      </c>
    </row>
    <row r="902" spans="1:37" hidden="1" x14ac:dyDescent="0.2">
      <c r="A902">
        <f>SUBTOTAL(3,$B$6:B902)</f>
        <v>0</v>
      </c>
      <c r="B902" t="s">
        <v>497</v>
      </c>
      <c r="C902" t="s">
        <v>365</v>
      </c>
      <c r="G902">
        <v>0</v>
      </c>
      <c r="H902">
        <v>0</v>
      </c>
      <c r="I902">
        <v>52.024999999999999</v>
      </c>
      <c r="J902">
        <v>52.024999999999999</v>
      </c>
      <c r="K902">
        <v>52.024999999999999</v>
      </c>
      <c r="S902">
        <v>0</v>
      </c>
      <c r="T902">
        <v>0</v>
      </c>
      <c r="U902">
        <v>0</v>
      </c>
      <c r="V902">
        <v>0</v>
      </c>
      <c r="W902">
        <v>0</v>
      </c>
      <c r="AB902" s="164">
        <v>40878</v>
      </c>
      <c r="AC902" s="164">
        <v>41517</v>
      </c>
      <c r="AD902" s="164">
        <v>41547</v>
      </c>
      <c r="AE902" s="34">
        <f>SUMPRODUCT(DB_STProjectsSOF[[#This Row],[Plan01]:[Plan12]],$D$4:$O$4)/valUnits2</f>
        <v>5.2025000000000002E-2</v>
      </c>
      <c r="AF902" s="34">
        <f>SUMPRODUCT(DB_STProjectsSOF[[#This Row],[Act01]:[Act12]],$P$4:$AA$4)/valUnits2</f>
        <v>0</v>
      </c>
      <c r="AG902" s="34">
        <f>DB_STProjectsSOF[[#This Row],[Actual]]-DB_STProjectsSOF[[#This Row],[Plan]]</f>
        <v>-5.2025000000000002E-2</v>
      </c>
      <c r="AH902" s="34">
        <f>IF(DB_STProjectsSOF[[#This Row],[Plan]]&lt;&gt;0,DB_STProjectsSOF[[#This Row],[Actual]]/DB_STProjectsSOF[[#This Row],[Plan]],1.000011000011)</f>
        <v>0</v>
      </c>
      <c r="AI902" s="34">
        <f>SUM(DB_STProjectsSOF[[#This Row],[Plan01]:[Plan12]])/valUnits2</f>
        <v>0.15607499999999999</v>
      </c>
      <c r="AJ902" s="34">
        <f>SUMPRODUCT(DB_STProjectsSOF[[#This Row],[Act01]:[Act12]],$P$3:$AA$3)/valUnits2</f>
        <v>0</v>
      </c>
      <c r="AK902" s="34">
        <f>IF(DB_STProjectsSOF[[#This Row],[FY Plan]]&lt;&gt;0,DB_STProjectsSOF[[#This Row],[FY Actuals]]/DB_STProjectsSOF[[#This Row],[FY Plan]],1.000011000011)</f>
        <v>0</v>
      </c>
    </row>
    <row r="903" spans="1:37" hidden="1" x14ac:dyDescent="0.2">
      <c r="A903">
        <f>SUBTOTAL(3,$B$6:B903)</f>
        <v>0</v>
      </c>
      <c r="B903" t="s">
        <v>497</v>
      </c>
      <c r="C903" t="s">
        <v>904</v>
      </c>
      <c r="D903">
        <v>0</v>
      </c>
      <c r="E903">
        <v>120.20400000000001</v>
      </c>
      <c r="F903">
        <v>0.47399999999999998</v>
      </c>
      <c r="G903">
        <v>277.721</v>
      </c>
      <c r="H903">
        <v>0</v>
      </c>
      <c r="I903">
        <v>59.516999999999996</v>
      </c>
      <c r="J903">
        <v>59.516999999999996</v>
      </c>
      <c r="K903">
        <v>59.516999999999996</v>
      </c>
      <c r="L903">
        <v>59.516999999999996</v>
      </c>
      <c r="M903">
        <v>59.516999999999996</v>
      </c>
      <c r="N903">
        <v>59.516999999999996</v>
      </c>
      <c r="O903">
        <v>59.516999999999996</v>
      </c>
      <c r="P903">
        <v>0</v>
      </c>
      <c r="Q903">
        <v>120.17000000000002</v>
      </c>
      <c r="R903">
        <v>0.47</v>
      </c>
      <c r="S903">
        <v>276.78999999999996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s="164">
        <v>40817</v>
      </c>
      <c r="AC903" s="164">
        <v>41639</v>
      </c>
      <c r="AD903" s="164">
        <v>41698</v>
      </c>
      <c r="AE903" s="34">
        <f>SUMPRODUCT(DB_STProjectsSOF[[#This Row],[Plan01]:[Plan12]],$D$4:$O$4)/valUnits2</f>
        <v>0.45791599999999999</v>
      </c>
      <c r="AF903" s="34">
        <f>SUMPRODUCT(DB_STProjectsSOF[[#This Row],[Act01]:[Act12]],$P$4:$AA$4)/valUnits2</f>
        <v>0.39742999999999995</v>
      </c>
      <c r="AG903" s="34">
        <f>DB_STProjectsSOF[[#This Row],[Actual]]-DB_STProjectsSOF[[#This Row],[Plan]]</f>
        <v>-6.048600000000004E-2</v>
      </c>
      <c r="AH903" s="34">
        <f>IF(DB_STProjectsSOF[[#This Row],[Plan]]&lt;&gt;0,DB_STProjectsSOF[[#This Row],[Actual]]/DB_STProjectsSOF[[#This Row],[Plan]],1.000011000011)</f>
        <v>0.86791027175289781</v>
      </c>
      <c r="AI903" s="34">
        <f>SUM(DB_STProjectsSOF[[#This Row],[Plan01]:[Plan12]])/valUnits2</f>
        <v>0.81501800000000024</v>
      </c>
      <c r="AJ903" s="34">
        <f>SUMPRODUCT(DB_STProjectsSOF[[#This Row],[Act01]:[Act12]],$P$3:$AA$3)/valUnits2</f>
        <v>0.39742999999999995</v>
      </c>
      <c r="AK903" s="34">
        <f>IF(DB_STProjectsSOF[[#This Row],[FY Plan]]&lt;&gt;0,DB_STProjectsSOF[[#This Row],[FY Actuals]]/DB_STProjectsSOF[[#This Row],[FY Plan]],1.000011000011)</f>
        <v>0.48763340196167426</v>
      </c>
    </row>
    <row r="904" spans="1:37" hidden="1" x14ac:dyDescent="0.2">
      <c r="A904">
        <f>SUBTOTAL(3,$B$6:B904)</f>
        <v>0</v>
      </c>
      <c r="B904" t="s">
        <v>497</v>
      </c>
      <c r="C904" t="s">
        <v>905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s="164">
        <v>40909</v>
      </c>
      <c r="AC904" s="164">
        <v>41274</v>
      </c>
      <c r="AD904" s="164">
        <v>41364</v>
      </c>
      <c r="AE904" s="34">
        <f>SUMPRODUCT(DB_STProjectsSOF[[#This Row],[Plan01]:[Plan12]],$D$4:$O$4)/valUnits2</f>
        <v>0</v>
      </c>
      <c r="AF904" s="34">
        <f>SUMPRODUCT(DB_STProjectsSOF[[#This Row],[Act01]:[Act12]],$P$4:$AA$4)/valUnits2</f>
        <v>0</v>
      </c>
      <c r="AG904" s="34">
        <f>DB_STProjectsSOF[[#This Row],[Actual]]-DB_STProjectsSOF[[#This Row],[Plan]]</f>
        <v>0</v>
      </c>
      <c r="AH904" s="34">
        <f>IF(DB_STProjectsSOF[[#This Row],[Plan]]&lt;&gt;0,DB_STProjectsSOF[[#This Row],[Actual]]/DB_STProjectsSOF[[#This Row],[Plan]],1.000011000011)</f>
        <v>1.0000110000110001</v>
      </c>
      <c r="AI904" s="34">
        <f>SUM(DB_STProjectsSOF[[#This Row],[Plan01]:[Plan12]])/valUnits2</f>
        <v>0</v>
      </c>
      <c r="AJ904" s="34">
        <f>SUMPRODUCT(DB_STProjectsSOF[[#This Row],[Act01]:[Act12]],$P$3:$AA$3)/valUnits2</f>
        <v>0</v>
      </c>
      <c r="AK904" s="34">
        <f>IF(DB_STProjectsSOF[[#This Row],[FY Plan]]&lt;&gt;0,DB_STProjectsSOF[[#This Row],[FY Actuals]]/DB_STProjectsSOF[[#This Row],[FY Plan]],1.000011000011)</f>
        <v>1.0000110000110001</v>
      </c>
    </row>
    <row r="905" spans="1:37" hidden="1" x14ac:dyDescent="0.2">
      <c r="A905">
        <f>SUBTOTAL(3,$B$6:B905)</f>
        <v>0</v>
      </c>
      <c r="B905" t="s">
        <v>497</v>
      </c>
      <c r="C905" t="s">
        <v>907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s="164">
        <v>40909</v>
      </c>
      <c r="AC905" s="164">
        <v>41274</v>
      </c>
      <c r="AD905" s="164">
        <v>41320</v>
      </c>
      <c r="AE905" s="34">
        <f>SUMPRODUCT(DB_STProjectsSOF[[#This Row],[Plan01]:[Plan12]],$D$4:$O$4)/valUnits2</f>
        <v>0</v>
      </c>
      <c r="AF905" s="34">
        <f>SUMPRODUCT(DB_STProjectsSOF[[#This Row],[Act01]:[Act12]],$P$4:$AA$4)/valUnits2</f>
        <v>0</v>
      </c>
      <c r="AG905" s="34">
        <f>DB_STProjectsSOF[[#This Row],[Actual]]-DB_STProjectsSOF[[#This Row],[Plan]]</f>
        <v>0</v>
      </c>
      <c r="AH905" s="34">
        <f>IF(DB_STProjectsSOF[[#This Row],[Plan]]&lt;&gt;0,DB_STProjectsSOF[[#This Row],[Actual]]/DB_STProjectsSOF[[#This Row],[Plan]],1.000011000011)</f>
        <v>1.0000110000110001</v>
      </c>
      <c r="AI905" s="34">
        <f>SUM(DB_STProjectsSOF[[#This Row],[Plan01]:[Plan12]])/valUnits2</f>
        <v>0</v>
      </c>
      <c r="AJ905" s="34">
        <f>SUMPRODUCT(DB_STProjectsSOF[[#This Row],[Act01]:[Act12]],$P$3:$AA$3)/valUnits2</f>
        <v>0</v>
      </c>
      <c r="AK905" s="34">
        <f>IF(DB_STProjectsSOF[[#This Row],[FY Plan]]&lt;&gt;0,DB_STProjectsSOF[[#This Row],[FY Actuals]]/DB_STProjectsSOF[[#This Row],[FY Plan]],1.000011000011)</f>
        <v>1.0000110000110001</v>
      </c>
    </row>
    <row r="906" spans="1:37" hidden="1" x14ac:dyDescent="0.2">
      <c r="A906">
        <f>SUBTOTAL(3,$B$6:B906)</f>
        <v>0</v>
      </c>
      <c r="B906" t="s">
        <v>497</v>
      </c>
      <c r="C906" t="s">
        <v>909</v>
      </c>
      <c r="D906">
        <v>21.759999999999998</v>
      </c>
      <c r="E906">
        <v>4146.7</v>
      </c>
      <c r="F906">
        <v>5564.2400000000007</v>
      </c>
      <c r="G906">
        <v>6661.63</v>
      </c>
      <c r="H906">
        <v>2598.2999999999997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21.759999999999998</v>
      </c>
      <c r="Q906">
        <v>4146.7</v>
      </c>
      <c r="R906">
        <v>5564.24</v>
      </c>
      <c r="S906">
        <v>6661.63</v>
      </c>
      <c r="T906">
        <v>2598.3000000000002</v>
      </c>
      <c r="U906">
        <v>2516.69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s="164">
        <v>40817</v>
      </c>
      <c r="AC906" s="164">
        <v>42155</v>
      </c>
      <c r="AD906" s="164">
        <v>42217</v>
      </c>
      <c r="AE906" s="34">
        <f>SUMPRODUCT(DB_STProjectsSOF[[#This Row],[Plan01]:[Plan12]],$D$4:$O$4)/valUnits2</f>
        <v>18.992630000000002</v>
      </c>
      <c r="AF906" s="34">
        <f>SUMPRODUCT(DB_STProjectsSOF[[#This Row],[Act01]:[Act12]],$P$4:$AA$4)/valUnits2</f>
        <v>21.509319999999999</v>
      </c>
      <c r="AG906" s="34">
        <f>DB_STProjectsSOF[[#This Row],[Actual]]-DB_STProjectsSOF[[#This Row],[Plan]]</f>
        <v>2.516689999999997</v>
      </c>
      <c r="AH906" s="34">
        <f>IF(DB_STProjectsSOF[[#This Row],[Plan]]&lt;&gt;0,DB_STProjectsSOF[[#This Row],[Actual]]/DB_STProjectsSOF[[#This Row],[Plan]],1.000011000011)</f>
        <v>1.1325087678746966</v>
      </c>
      <c r="AI906" s="34">
        <f>SUM(DB_STProjectsSOF[[#This Row],[Plan01]:[Plan12]])/valUnits2</f>
        <v>18.992630000000002</v>
      </c>
      <c r="AJ906" s="34">
        <f>SUMPRODUCT(DB_STProjectsSOF[[#This Row],[Act01]:[Act12]],$P$3:$AA$3)/valUnits2</f>
        <v>21.509319999999999</v>
      </c>
      <c r="AK906" s="34">
        <f>IF(DB_STProjectsSOF[[#This Row],[FY Plan]]&lt;&gt;0,DB_STProjectsSOF[[#This Row],[FY Actuals]]/DB_STProjectsSOF[[#This Row],[FY Plan]],1.000011000011)</f>
        <v>1.1325087678746966</v>
      </c>
    </row>
    <row r="907" spans="1:37" hidden="1" x14ac:dyDescent="0.2">
      <c r="A907">
        <f>SUBTOTAL(3,$B$6:B907)</f>
        <v>0</v>
      </c>
      <c r="B907" t="s">
        <v>497</v>
      </c>
      <c r="C907" t="s">
        <v>354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297.35399999999998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AB907" s="164">
        <v>41091</v>
      </c>
      <c r="AC907" s="164">
        <v>41455</v>
      </c>
      <c r="AD907" s="164">
        <v>41517</v>
      </c>
      <c r="AE907" s="34">
        <f>SUMPRODUCT(DB_STProjectsSOF[[#This Row],[Plan01]:[Plan12]],$D$4:$O$4)/valUnits2</f>
        <v>0.29735400000000001</v>
      </c>
      <c r="AF907" s="34">
        <f>SUMPRODUCT(DB_STProjectsSOF[[#This Row],[Act01]:[Act12]],$P$4:$AA$4)/valUnits2</f>
        <v>0</v>
      </c>
      <c r="AG907" s="34">
        <f>DB_STProjectsSOF[[#This Row],[Actual]]-DB_STProjectsSOF[[#This Row],[Plan]]</f>
        <v>-0.29735400000000001</v>
      </c>
      <c r="AH907" s="34">
        <f>IF(DB_STProjectsSOF[[#This Row],[Plan]]&lt;&gt;0,DB_STProjectsSOF[[#This Row],[Actual]]/DB_STProjectsSOF[[#This Row],[Plan]],1.000011000011)</f>
        <v>0</v>
      </c>
      <c r="AI907" s="34">
        <f>SUM(DB_STProjectsSOF[[#This Row],[Plan01]:[Plan12]])/valUnits2</f>
        <v>0.29735400000000001</v>
      </c>
      <c r="AJ907" s="34">
        <f>SUMPRODUCT(DB_STProjectsSOF[[#This Row],[Act01]:[Act12]],$P$3:$AA$3)/valUnits2</f>
        <v>0</v>
      </c>
      <c r="AK907" s="34">
        <f>IF(DB_STProjectsSOF[[#This Row],[FY Plan]]&lt;&gt;0,DB_STProjectsSOF[[#This Row],[FY Actuals]]/DB_STProjectsSOF[[#This Row],[FY Plan]],1.000011000011)</f>
        <v>0</v>
      </c>
    </row>
    <row r="908" spans="1:37" hidden="1" x14ac:dyDescent="0.2">
      <c r="A908">
        <f>SUBTOTAL(3,$B$6:B908)</f>
        <v>0</v>
      </c>
      <c r="B908" t="s">
        <v>497</v>
      </c>
      <c r="C908" t="s">
        <v>911</v>
      </c>
      <c r="E908">
        <v>775.52</v>
      </c>
      <c r="F908">
        <v>1316.1</v>
      </c>
      <c r="G908">
        <v>1564.8899999999999</v>
      </c>
      <c r="H908">
        <v>768.24</v>
      </c>
      <c r="I908">
        <v>0</v>
      </c>
      <c r="Q908">
        <v>775.52</v>
      </c>
      <c r="R908">
        <v>1316.1</v>
      </c>
      <c r="S908">
        <v>1564.8899999999999</v>
      </c>
      <c r="T908">
        <v>768.24</v>
      </c>
      <c r="U908">
        <v>892.75</v>
      </c>
      <c r="AB908" s="164">
        <v>40817</v>
      </c>
      <c r="AC908" s="164">
        <v>41578</v>
      </c>
      <c r="AD908" s="164">
        <v>41639</v>
      </c>
      <c r="AE908" s="34">
        <f>SUMPRODUCT(DB_STProjectsSOF[[#This Row],[Plan01]:[Plan12]],$D$4:$O$4)/valUnits2</f>
        <v>4.4247500000000004</v>
      </c>
      <c r="AF908" s="34">
        <f>SUMPRODUCT(DB_STProjectsSOF[[#This Row],[Act01]:[Act12]],$P$4:$AA$4)/valUnits2</f>
        <v>5.3174999999999999</v>
      </c>
      <c r="AG908" s="34">
        <f>DB_STProjectsSOF[[#This Row],[Actual]]-DB_STProjectsSOF[[#This Row],[Plan]]</f>
        <v>0.89274999999999949</v>
      </c>
      <c r="AH908" s="34">
        <f>IF(DB_STProjectsSOF[[#This Row],[Plan]]&lt;&gt;0,DB_STProjectsSOF[[#This Row],[Actual]]/DB_STProjectsSOF[[#This Row],[Plan]],1.000011000011)</f>
        <v>1.2017628114582743</v>
      </c>
      <c r="AI908" s="34">
        <f>SUM(DB_STProjectsSOF[[#This Row],[Plan01]:[Plan12]])/valUnits2</f>
        <v>4.4247500000000004</v>
      </c>
      <c r="AJ908" s="34">
        <f>SUMPRODUCT(DB_STProjectsSOF[[#This Row],[Act01]:[Act12]],$P$3:$AA$3)/valUnits2</f>
        <v>5.3174999999999999</v>
      </c>
      <c r="AK908" s="34">
        <f>IF(DB_STProjectsSOF[[#This Row],[FY Plan]]&lt;&gt;0,DB_STProjectsSOF[[#This Row],[FY Actuals]]/DB_STProjectsSOF[[#This Row],[FY Plan]],1.000011000011)</f>
        <v>1.2017628114582743</v>
      </c>
    </row>
    <row r="909" spans="1:37" hidden="1" x14ac:dyDescent="0.2">
      <c r="A909">
        <f>SUBTOTAL(3,$B$6:B909)</f>
        <v>0</v>
      </c>
      <c r="B909" t="s">
        <v>497</v>
      </c>
      <c r="C909" t="s">
        <v>913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84.236000000000004</v>
      </c>
      <c r="J909">
        <v>84.236000000000004</v>
      </c>
      <c r="K909">
        <v>84.236000000000004</v>
      </c>
      <c r="L909">
        <v>84.236000000000004</v>
      </c>
      <c r="M909">
        <v>84.236000000000004</v>
      </c>
      <c r="N909">
        <v>84.236000000000004</v>
      </c>
      <c r="O909">
        <v>84.236000000000004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s="164">
        <v>40817</v>
      </c>
      <c r="AC909" s="164">
        <v>41639</v>
      </c>
      <c r="AD909" s="164">
        <v>41685</v>
      </c>
      <c r="AE909" s="34">
        <f>SUMPRODUCT(DB_STProjectsSOF[[#This Row],[Plan01]:[Plan12]],$D$4:$O$4)/valUnits2</f>
        <v>8.4236000000000005E-2</v>
      </c>
      <c r="AF909" s="34">
        <f>SUMPRODUCT(DB_STProjectsSOF[[#This Row],[Act01]:[Act12]],$P$4:$AA$4)/valUnits2</f>
        <v>0</v>
      </c>
      <c r="AG909" s="34">
        <f>DB_STProjectsSOF[[#This Row],[Actual]]-DB_STProjectsSOF[[#This Row],[Plan]]</f>
        <v>-8.4236000000000005E-2</v>
      </c>
      <c r="AH909" s="34">
        <f>IF(DB_STProjectsSOF[[#This Row],[Plan]]&lt;&gt;0,DB_STProjectsSOF[[#This Row],[Actual]]/DB_STProjectsSOF[[#This Row],[Plan]],1.000011000011)</f>
        <v>0</v>
      </c>
      <c r="AI909" s="34">
        <f>SUM(DB_STProjectsSOF[[#This Row],[Plan01]:[Plan12]])/valUnits2</f>
        <v>0.58965200000000006</v>
      </c>
      <c r="AJ909" s="34">
        <f>SUMPRODUCT(DB_STProjectsSOF[[#This Row],[Act01]:[Act12]],$P$3:$AA$3)/valUnits2</f>
        <v>0</v>
      </c>
      <c r="AK909" s="34">
        <f>IF(DB_STProjectsSOF[[#This Row],[FY Plan]]&lt;&gt;0,DB_STProjectsSOF[[#This Row],[FY Actuals]]/DB_STProjectsSOF[[#This Row],[FY Plan]],1.000011000011)</f>
        <v>0</v>
      </c>
    </row>
    <row r="910" spans="1:37" hidden="1" x14ac:dyDescent="0.2">
      <c r="A910">
        <f>SUBTOTAL(3,$B$6:B910)</f>
        <v>0</v>
      </c>
      <c r="B910" t="s">
        <v>497</v>
      </c>
      <c r="C910" t="s">
        <v>915</v>
      </c>
      <c r="D910">
        <v>0</v>
      </c>
      <c r="E910">
        <v>0</v>
      </c>
      <c r="F910">
        <v>0</v>
      </c>
      <c r="G910">
        <v>0</v>
      </c>
      <c r="H910">
        <v>360.13600000000002</v>
      </c>
      <c r="I910">
        <v>43.953000000000003</v>
      </c>
      <c r="J910">
        <v>43.953000000000003</v>
      </c>
      <c r="K910">
        <v>43.953000000000003</v>
      </c>
      <c r="L910">
        <v>43.953000000000003</v>
      </c>
      <c r="M910">
        <v>43.953000000000003</v>
      </c>
      <c r="N910">
        <v>43.953000000000003</v>
      </c>
      <c r="O910">
        <v>43.953000000000003</v>
      </c>
      <c r="P910">
        <v>0</v>
      </c>
      <c r="Q910">
        <v>0</v>
      </c>
      <c r="R910">
        <v>0</v>
      </c>
      <c r="S910">
        <v>0</v>
      </c>
      <c r="T910">
        <v>363.53999999999996</v>
      </c>
      <c r="U910">
        <v>387.76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s="164">
        <v>41061</v>
      </c>
      <c r="AC910" s="164">
        <v>42155</v>
      </c>
      <c r="AD910" s="164">
        <v>42185</v>
      </c>
      <c r="AE910" s="34">
        <f>SUMPRODUCT(DB_STProjectsSOF[[#This Row],[Plan01]:[Plan12]],$D$4:$O$4)/valUnits2</f>
        <v>0.40408900000000003</v>
      </c>
      <c r="AF910" s="34">
        <f>SUMPRODUCT(DB_STProjectsSOF[[#This Row],[Act01]:[Act12]],$P$4:$AA$4)/valUnits2</f>
        <v>0.75129999999999997</v>
      </c>
      <c r="AG910" s="34">
        <f>DB_STProjectsSOF[[#This Row],[Actual]]-DB_STProjectsSOF[[#This Row],[Plan]]</f>
        <v>0.34721099999999994</v>
      </c>
      <c r="AH910" s="34">
        <f>IF(DB_STProjectsSOF[[#This Row],[Plan]]&lt;&gt;0,DB_STProjectsSOF[[#This Row],[Actual]]/DB_STProjectsSOF[[#This Row],[Plan]],1.000011000011)</f>
        <v>1.8592438794423998</v>
      </c>
      <c r="AI910" s="34">
        <f>SUM(DB_STProjectsSOF[[#This Row],[Plan01]:[Plan12]])/valUnits2</f>
        <v>0.66780699999999993</v>
      </c>
      <c r="AJ910" s="34">
        <f>SUMPRODUCT(DB_STProjectsSOF[[#This Row],[Act01]:[Act12]],$P$3:$AA$3)/valUnits2</f>
        <v>0.75129999999999997</v>
      </c>
      <c r="AK910" s="34">
        <f>IF(DB_STProjectsSOF[[#This Row],[FY Plan]]&lt;&gt;0,DB_STProjectsSOF[[#This Row],[FY Actuals]]/DB_STProjectsSOF[[#This Row],[FY Plan]],1.000011000011)</f>
        <v>1.1250256436365598</v>
      </c>
    </row>
    <row r="911" spans="1:37" hidden="1" x14ac:dyDescent="0.2">
      <c r="A911">
        <f>SUBTOTAL(3,$B$6:B911)</f>
        <v>0</v>
      </c>
      <c r="B911" t="s">
        <v>497</v>
      </c>
      <c r="C911" t="s">
        <v>917</v>
      </c>
      <c r="D911">
        <v>137.845</v>
      </c>
      <c r="E911">
        <v>139.86000000000001</v>
      </c>
      <c r="F911">
        <v>141.02600000000001</v>
      </c>
      <c r="G911">
        <v>140.72499999999999</v>
      </c>
      <c r="H911">
        <v>141.267</v>
      </c>
      <c r="I911">
        <v>124.598</v>
      </c>
      <c r="J911">
        <v>160.46700000000001</v>
      </c>
      <c r="K911">
        <v>160.46700000000001</v>
      </c>
      <c r="L911">
        <v>160.46700000000001</v>
      </c>
      <c r="M911">
        <v>160.46700000000001</v>
      </c>
      <c r="N911">
        <v>160.46700000000001</v>
      </c>
      <c r="O911">
        <v>160.46700000000001</v>
      </c>
      <c r="P911">
        <v>137.84</v>
      </c>
      <c r="Q911">
        <v>139.86000000000001</v>
      </c>
      <c r="R911">
        <v>140.11000000000001</v>
      </c>
      <c r="S911">
        <v>141.51</v>
      </c>
      <c r="T911">
        <v>141.94</v>
      </c>
      <c r="U911">
        <v>141.84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s="164">
        <v>40817</v>
      </c>
      <c r="AC911" s="164">
        <v>42155</v>
      </c>
      <c r="AD911" s="164">
        <v>42246</v>
      </c>
      <c r="AE911" s="34">
        <f>SUMPRODUCT(DB_STProjectsSOF[[#This Row],[Plan01]:[Plan12]],$D$4:$O$4)/valUnits2</f>
        <v>0.82532099999999986</v>
      </c>
      <c r="AF911" s="34">
        <f>SUMPRODUCT(DB_STProjectsSOF[[#This Row],[Act01]:[Act12]],$P$4:$AA$4)/valUnits2</f>
        <v>0.84310000000000007</v>
      </c>
      <c r="AG911" s="34">
        <f>DB_STProjectsSOF[[#This Row],[Actual]]-DB_STProjectsSOF[[#This Row],[Plan]]</f>
        <v>1.7779000000000211E-2</v>
      </c>
      <c r="AH911" s="34">
        <f>IF(DB_STProjectsSOF[[#This Row],[Plan]]&lt;&gt;0,DB_STProjectsSOF[[#This Row],[Actual]]/DB_STProjectsSOF[[#This Row],[Plan]],1.000011000011)</f>
        <v>1.0215419212645749</v>
      </c>
      <c r="AI911" s="34">
        <f>SUM(DB_STProjectsSOF[[#This Row],[Plan01]:[Plan12]])/valUnits2</f>
        <v>1.7881230000000004</v>
      </c>
      <c r="AJ911" s="34">
        <f>SUMPRODUCT(DB_STProjectsSOF[[#This Row],[Act01]:[Act12]],$P$3:$AA$3)/valUnits2</f>
        <v>0.84310000000000007</v>
      </c>
      <c r="AK911" s="34">
        <f>IF(DB_STProjectsSOF[[#This Row],[FY Plan]]&lt;&gt;0,DB_STProjectsSOF[[#This Row],[FY Actuals]]/DB_STProjectsSOF[[#This Row],[FY Plan]],1.000011000011)</f>
        <v>0.47150000307585099</v>
      </c>
    </row>
    <row r="912" spans="1:37" hidden="1" x14ac:dyDescent="0.2">
      <c r="A912">
        <f>SUBTOTAL(3,$B$6:B912)</f>
        <v>0</v>
      </c>
      <c r="B912" t="s">
        <v>497</v>
      </c>
      <c r="C912" t="s">
        <v>356</v>
      </c>
      <c r="G912">
        <v>205.62700000000001</v>
      </c>
      <c r="H912">
        <v>263.05399999999997</v>
      </c>
      <c r="I912">
        <v>378.20799999999997</v>
      </c>
      <c r="S912">
        <v>203.76</v>
      </c>
      <c r="T912">
        <v>266.58</v>
      </c>
      <c r="U912">
        <v>293.35000000000002</v>
      </c>
      <c r="AB912" s="164">
        <v>41091</v>
      </c>
      <c r="AC912" s="164">
        <v>41455</v>
      </c>
      <c r="AD912" s="164">
        <v>41547</v>
      </c>
      <c r="AE912" s="34">
        <f>SUMPRODUCT(DB_STProjectsSOF[[#This Row],[Plan01]:[Plan12]],$D$4:$O$4)/valUnits2</f>
        <v>0.84688899999999989</v>
      </c>
      <c r="AF912" s="34">
        <f>SUMPRODUCT(DB_STProjectsSOF[[#This Row],[Act01]:[Act12]],$P$4:$AA$4)/valUnits2</f>
        <v>0.76369000000000009</v>
      </c>
      <c r="AG912" s="34">
        <f>DB_STProjectsSOF[[#This Row],[Actual]]-DB_STProjectsSOF[[#This Row],[Plan]]</f>
        <v>-8.3198999999999801E-2</v>
      </c>
      <c r="AH912" s="34">
        <f>IF(DB_STProjectsSOF[[#This Row],[Plan]]&lt;&gt;0,DB_STProjectsSOF[[#This Row],[Actual]]/DB_STProjectsSOF[[#This Row],[Plan]],1.000011000011)</f>
        <v>0.90175926242990545</v>
      </c>
      <c r="AI912" s="34">
        <f>SUM(DB_STProjectsSOF[[#This Row],[Plan01]:[Plan12]])/valUnits2</f>
        <v>0.84688899999999989</v>
      </c>
      <c r="AJ912" s="34">
        <f>SUMPRODUCT(DB_STProjectsSOF[[#This Row],[Act01]:[Act12]],$P$3:$AA$3)/valUnits2</f>
        <v>0.76369000000000009</v>
      </c>
      <c r="AK912" s="34">
        <f>IF(DB_STProjectsSOF[[#This Row],[FY Plan]]&lt;&gt;0,DB_STProjectsSOF[[#This Row],[FY Actuals]]/DB_STProjectsSOF[[#This Row],[FY Plan]],1.000011000011)</f>
        <v>0.90175926242990545</v>
      </c>
    </row>
    <row r="913" spans="1:37" hidden="1" x14ac:dyDescent="0.2">
      <c r="A913">
        <f>SUBTOTAL(3,$B$6:B913)</f>
        <v>0</v>
      </c>
      <c r="B913" t="s">
        <v>497</v>
      </c>
      <c r="C913" t="s">
        <v>919</v>
      </c>
      <c r="D913">
        <v>0</v>
      </c>
      <c r="E913">
        <v>629.08600000000001</v>
      </c>
      <c r="F913">
        <v>949.29700000000003</v>
      </c>
      <c r="G913">
        <v>1428.876</v>
      </c>
      <c r="H913">
        <v>597.00599999999997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642.28</v>
      </c>
      <c r="R913">
        <v>957.89</v>
      </c>
      <c r="S913">
        <v>1433.69</v>
      </c>
      <c r="T913">
        <v>589.77</v>
      </c>
      <c r="U913">
        <v>727.22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s="164">
        <v>40878</v>
      </c>
      <c r="AC913" s="164">
        <v>42794</v>
      </c>
      <c r="AD913" s="164">
        <v>42978</v>
      </c>
      <c r="AE913" s="34">
        <f>SUMPRODUCT(DB_STProjectsSOF[[#This Row],[Plan01]:[Plan12]],$D$4:$O$4)/valUnits2</f>
        <v>3.6042649999999998</v>
      </c>
      <c r="AF913" s="34">
        <f>SUMPRODUCT(DB_STProjectsSOF[[#This Row],[Act01]:[Act12]],$P$4:$AA$4)/valUnits2</f>
        <v>4.3508500000000003</v>
      </c>
      <c r="AG913" s="34">
        <f>DB_STProjectsSOF[[#This Row],[Actual]]-DB_STProjectsSOF[[#This Row],[Plan]]</f>
        <v>0.7465850000000005</v>
      </c>
      <c r="AH913" s="34">
        <f>IF(DB_STProjectsSOF[[#This Row],[Plan]]&lt;&gt;0,DB_STProjectsSOF[[#This Row],[Actual]]/DB_STProjectsSOF[[#This Row],[Plan]],1.000011000011)</f>
        <v>1.2071393196671167</v>
      </c>
      <c r="AI913" s="34">
        <f>SUM(DB_STProjectsSOF[[#This Row],[Plan01]:[Plan12]])/valUnits2</f>
        <v>3.6042649999999998</v>
      </c>
      <c r="AJ913" s="34">
        <f>SUMPRODUCT(DB_STProjectsSOF[[#This Row],[Act01]:[Act12]],$P$3:$AA$3)/valUnits2</f>
        <v>4.3508500000000003</v>
      </c>
      <c r="AK913" s="34">
        <f>IF(DB_STProjectsSOF[[#This Row],[FY Plan]]&lt;&gt;0,DB_STProjectsSOF[[#This Row],[FY Actuals]]/DB_STProjectsSOF[[#This Row],[FY Plan]],1.000011000011)</f>
        <v>1.2071393196671167</v>
      </c>
    </row>
    <row r="914" spans="1:37" hidden="1" x14ac:dyDescent="0.2">
      <c r="A914">
        <f>SUBTOTAL(3,$B$6:B914)</f>
        <v>0</v>
      </c>
      <c r="B914" t="s">
        <v>497</v>
      </c>
      <c r="C914" t="s">
        <v>921</v>
      </c>
      <c r="D914">
        <v>0</v>
      </c>
      <c r="E914">
        <v>1.6910000000000001</v>
      </c>
      <c r="F914">
        <v>0.09</v>
      </c>
      <c r="P914">
        <v>0</v>
      </c>
      <c r="Q914">
        <v>1.68</v>
      </c>
      <c r="R914">
        <v>0.09</v>
      </c>
      <c r="AB914" s="164">
        <v>40909</v>
      </c>
      <c r="AC914" s="164">
        <v>41363</v>
      </c>
      <c r="AD914" s="164">
        <v>41389</v>
      </c>
      <c r="AE914" s="34">
        <f>SUMPRODUCT(DB_STProjectsSOF[[#This Row],[Plan01]:[Plan12]],$D$4:$O$4)/valUnits2</f>
        <v>1.781E-3</v>
      </c>
      <c r="AF914" s="34">
        <f>SUMPRODUCT(DB_STProjectsSOF[[#This Row],[Act01]:[Act12]],$P$4:$AA$4)/valUnits2</f>
        <v>1.7700000000000001E-3</v>
      </c>
      <c r="AG914" s="34">
        <f>DB_STProjectsSOF[[#This Row],[Actual]]-DB_STProjectsSOF[[#This Row],[Plan]]</f>
        <v>-1.0999999999999942E-5</v>
      </c>
      <c r="AH914" s="34">
        <f>IF(DB_STProjectsSOF[[#This Row],[Plan]]&lt;&gt;0,DB_STProjectsSOF[[#This Row],[Actual]]/DB_STProjectsSOF[[#This Row],[Plan]],1.000011000011)</f>
        <v>0.99382369455362163</v>
      </c>
      <c r="AI914" s="34">
        <f>SUM(DB_STProjectsSOF[[#This Row],[Plan01]:[Plan12]])/valUnits2</f>
        <v>1.781E-3</v>
      </c>
      <c r="AJ914" s="34">
        <f>SUMPRODUCT(DB_STProjectsSOF[[#This Row],[Act01]:[Act12]],$P$3:$AA$3)/valUnits2</f>
        <v>1.7700000000000001E-3</v>
      </c>
      <c r="AK914" s="34">
        <f>IF(DB_STProjectsSOF[[#This Row],[FY Plan]]&lt;&gt;0,DB_STProjectsSOF[[#This Row],[FY Actuals]]/DB_STProjectsSOF[[#This Row],[FY Plan]],1.000011000011)</f>
        <v>0.99382369455362163</v>
      </c>
    </row>
    <row r="915" spans="1:37" hidden="1" x14ac:dyDescent="0.2">
      <c r="A915">
        <f>SUBTOTAL(3,$B$6:B915)</f>
        <v>0</v>
      </c>
      <c r="B915" t="s">
        <v>497</v>
      </c>
      <c r="C915" t="s">
        <v>922</v>
      </c>
      <c r="D915">
        <v>0</v>
      </c>
      <c r="E915">
        <v>4.0919999999999996</v>
      </c>
      <c r="F915">
        <v>0.215</v>
      </c>
      <c r="G915">
        <v>0</v>
      </c>
      <c r="H915">
        <v>0</v>
      </c>
      <c r="I915">
        <v>156.083</v>
      </c>
      <c r="J915">
        <v>156.083</v>
      </c>
      <c r="K915">
        <v>156.083</v>
      </c>
      <c r="L915">
        <v>156.083</v>
      </c>
      <c r="M915">
        <v>156.083</v>
      </c>
      <c r="N915">
        <v>156.083</v>
      </c>
      <c r="O915">
        <v>156.083</v>
      </c>
      <c r="P915">
        <v>0</v>
      </c>
      <c r="Q915">
        <v>4.2300000000000004</v>
      </c>
      <c r="R915">
        <v>0.22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s="164">
        <v>41000</v>
      </c>
      <c r="AC915" s="164">
        <v>41989</v>
      </c>
      <c r="AD915" s="164">
        <v>42078</v>
      </c>
      <c r="AE915" s="34">
        <f>SUMPRODUCT(DB_STProjectsSOF[[#This Row],[Plan01]:[Plan12]],$D$4:$O$4)/valUnits2</f>
        <v>0.16038999999999998</v>
      </c>
      <c r="AF915" s="34">
        <f>SUMPRODUCT(DB_STProjectsSOF[[#This Row],[Act01]:[Act12]],$P$4:$AA$4)/valUnits2</f>
        <v>4.45E-3</v>
      </c>
      <c r="AG915" s="34">
        <f>DB_STProjectsSOF[[#This Row],[Actual]]-DB_STProjectsSOF[[#This Row],[Plan]]</f>
        <v>-0.15593999999999997</v>
      </c>
      <c r="AH915" s="34">
        <f>IF(DB_STProjectsSOF[[#This Row],[Plan]]&lt;&gt;0,DB_STProjectsSOF[[#This Row],[Actual]]/DB_STProjectsSOF[[#This Row],[Plan]],1.000011000011)</f>
        <v>2.7744871874805167E-2</v>
      </c>
      <c r="AI915" s="34">
        <f>SUM(DB_STProjectsSOF[[#This Row],[Plan01]:[Plan12]])/valUnits2</f>
        <v>1.0968879999999999</v>
      </c>
      <c r="AJ915" s="34">
        <f>SUMPRODUCT(DB_STProjectsSOF[[#This Row],[Act01]:[Act12]],$P$3:$AA$3)/valUnits2</f>
        <v>4.45E-3</v>
      </c>
      <c r="AK915" s="34">
        <f>IF(DB_STProjectsSOF[[#This Row],[FY Plan]]&lt;&gt;0,DB_STProjectsSOF[[#This Row],[FY Actuals]]/DB_STProjectsSOF[[#This Row],[FY Plan]],1.000011000011)</f>
        <v>4.056931974823319E-3</v>
      </c>
    </row>
    <row r="916" spans="1:37" hidden="1" x14ac:dyDescent="0.2">
      <c r="A916">
        <f>SUBTOTAL(3,$B$6:B916)</f>
        <v>0</v>
      </c>
      <c r="B916" t="s">
        <v>497</v>
      </c>
      <c r="C916" t="s">
        <v>924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184.553</v>
      </c>
      <c r="J916">
        <v>184.553</v>
      </c>
      <c r="K916">
        <v>184.553</v>
      </c>
      <c r="L916">
        <v>184.553</v>
      </c>
      <c r="M916">
        <v>184.553</v>
      </c>
      <c r="N916">
        <v>184.553</v>
      </c>
      <c r="O916">
        <v>184.553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s="164">
        <v>40817</v>
      </c>
      <c r="AC916" s="164">
        <v>41639</v>
      </c>
      <c r="AD916" s="164">
        <v>41685</v>
      </c>
      <c r="AE916" s="34">
        <f>SUMPRODUCT(DB_STProjectsSOF[[#This Row],[Plan01]:[Plan12]],$D$4:$O$4)/valUnits2</f>
        <v>0.18455299999999999</v>
      </c>
      <c r="AF916" s="34">
        <f>SUMPRODUCT(DB_STProjectsSOF[[#This Row],[Act01]:[Act12]],$P$4:$AA$4)/valUnits2</f>
        <v>0</v>
      </c>
      <c r="AG916" s="34">
        <f>DB_STProjectsSOF[[#This Row],[Actual]]-DB_STProjectsSOF[[#This Row],[Plan]]</f>
        <v>-0.18455299999999999</v>
      </c>
      <c r="AH916" s="34">
        <f>IF(DB_STProjectsSOF[[#This Row],[Plan]]&lt;&gt;0,DB_STProjectsSOF[[#This Row],[Actual]]/DB_STProjectsSOF[[#This Row],[Plan]],1.000011000011)</f>
        <v>0</v>
      </c>
      <c r="AI916" s="34">
        <f>SUM(DB_STProjectsSOF[[#This Row],[Plan01]:[Plan12]])/valUnits2</f>
        <v>1.291871</v>
      </c>
      <c r="AJ916" s="34">
        <f>SUMPRODUCT(DB_STProjectsSOF[[#This Row],[Act01]:[Act12]],$P$3:$AA$3)/valUnits2</f>
        <v>0</v>
      </c>
      <c r="AK916" s="34">
        <f>IF(DB_STProjectsSOF[[#This Row],[FY Plan]]&lt;&gt;0,DB_STProjectsSOF[[#This Row],[FY Actuals]]/DB_STProjectsSOF[[#This Row],[FY Plan]],1.000011000011)</f>
        <v>0</v>
      </c>
    </row>
    <row r="917" spans="1:37" hidden="1" x14ac:dyDescent="0.2">
      <c r="A917">
        <f>SUBTOTAL(3,$B$6:B917)</f>
        <v>0</v>
      </c>
      <c r="B917" t="s">
        <v>497</v>
      </c>
      <c r="C917" t="s">
        <v>925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s="164">
        <v>40909</v>
      </c>
      <c r="AC917" s="164">
        <v>41639</v>
      </c>
      <c r="AD917" s="164">
        <v>41713</v>
      </c>
      <c r="AE917" s="34">
        <f>SUMPRODUCT(DB_STProjectsSOF[[#This Row],[Plan01]:[Plan12]],$D$4:$O$4)/valUnits2</f>
        <v>0</v>
      </c>
      <c r="AF917" s="34">
        <f>SUMPRODUCT(DB_STProjectsSOF[[#This Row],[Act01]:[Act12]],$P$4:$AA$4)/valUnits2</f>
        <v>0</v>
      </c>
      <c r="AG917" s="34">
        <f>DB_STProjectsSOF[[#This Row],[Actual]]-DB_STProjectsSOF[[#This Row],[Plan]]</f>
        <v>0</v>
      </c>
      <c r="AH917" s="34">
        <f>IF(DB_STProjectsSOF[[#This Row],[Plan]]&lt;&gt;0,DB_STProjectsSOF[[#This Row],[Actual]]/DB_STProjectsSOF[[#This Row],[Plan]],1.000011000011)</f>
        <v>1.0000110000110001</v>
      </c>
      <c r="AI917" s="34">
        <f>SUM(DB_STProjectsSOF[[#This Row],[Plan01]:[Plan12]])/valUnits2</f>
        <v>0</v>
      </c>
      <c r="AJ917" s="34">
        <f>SUMPRODUCT(DB_STProjectsSOF[[#This Row],[Act01]:[Act12]],$P$3:$AA$3)/valUnits2</f>
        <v>0</v>
      </c>
      <c r="AK917" s="34">
        <f>IF(DB_STProjectsSOF[[#This Row],[FY Plan]]&lt;&gt;0,DB_STProjectsSOF[[#This Row],[FY Actuals]]/DB_STProjectsSOF[[#This Row],[FY Plan]],1.000011000011)</f>
        <v>1.0000110000110001</v>
      </c>
    </row>
    <row r="918" spans="1:37" hidden="1" x14ac:dyDescent="0.2">
      <c r="A918">
        <f>SUBTOTAL(3,$B$6:B918)</f>
        <v>0</v>
      </c>
      <c r="B918" t="s">
        <v>497</v>
      </c>
      <c r="C918" t="s">
        <v>927</v>
      </c>
      <c r="D918">
        <v>0</v>
      </c>
      <c r="E918">
        <v>1756.97</v>
      </c>
      <c r="F918">
        <v>2841.68</v>
      </c>
      <c r="G918">
        <v>3925.85</v>
      </c>
      <c r="H918">
        <v>2587.54</v>
      </c>
      <c r="I918">
        <v>1104.549</v>
      </c>
      <c r="J918">
        <v>1104.549</v>
      </c>
      <c r="K918">
        <v>1104.549</v>
      </c>
      <c r="L918">
        <v>1104.549</v>
      </c>
      <c r="M918">
        <v>1104.549</v>
      </c>
      <c r="N918">
        <v>1104.549</v>
      </c>
      <c r="O918">
        <v>1104.549</v>
      </c>
      <c r="P918">
        <v>0</v>
      </c>
      <c r="Q918">
        <v>1756.97</v>
      </c>
      <c r="R918">
        <v>2841.68</v>
      </c>
      <c r="S918">
        <v>3925.85</v>
      </c>
      <c r="T918">
        <v>2587.54</v>
      </c>
      <c r="U918">
        <v>2427.86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s="164">
        <v>40817</v>
      </c>
      <c r="AC918" s="164">
        <v>42052</v>
      </c>
      <c r="AD918" s="164">
        <v>42141</v>
      </c>
      <c r="AE918" s="34">
        <f>SUMPRODUCT(DB_STProjectsSOF[[#This Row],[Plan01]:[Plan12]],$D$4:$O$4)/valUnits2</f>
        <v>12.216589000000001</v>
      </c>
      <c r="AF918" s="34">
        <f>SUMPRODUCT(DB_STProjectsSOF[[#This Row],[Act01]:[Act12]],$P$4:$AA$4)/valUnits2</f>
        <v>13.539900000000001</v>
      </c>
      <c r="AG918" s="34">
        <f>DB_STProjectsSOF[[#This Row],[Actual]]-DB_STProjectsSOF[[#This Row],[Plan]]</f>
        <v>1.3233110000000003</v>
      </c>
      <c r="AH918" s="34">
        <f>IF(DB_STProjectsSOF[[#This Row],[Plan]]&lt;&gt;0,DB_STProjectsSOF[[#This Row],[Actual]]/DB_STProjectsSOF[[#This Row],[Plan]],1.000011000011)</f>
        <v>1.1083208250682739</v>
      </c>
      <c r="AI918" s="34">
        <f>SUM(DB_STProjectsSOF[[#This Row],[Plan01]:[Plan12]])/valUnits2</f>
        <v>18.843882999999995</v>
      </c>
      <c r="AJ918" s="34">
        <f>SUMPRODUCT(DB_STProjectsSOF[[#This Row],[Act01]:[Act12]],$P$3:$AA$3)/valUnits2</f>
        <v>13.539900000000001</v>
      </c>
      <c r="AK918" s="34">
        <f>IF(DB_STProjectsSOF[[#This Row],[FY Plan]]&lt;&gt;0,DB_STProjectsSOF[[#This Row],[FY Actuals]]/DB_STProjectsSOF[[#This Row],[FY Plan]],1.000011000011)</f>
        <v>0.71853025196558507</v>
      </c>
    </row>
    <row r="919" spans="1:37" hidden="1" x14ac:dyDescent="0.2">
      <c r="A919">
        <f>SUBTOTAL(3,$B$6:B919)</f>
        <v>0</v>
      </c>
      <c r="B919" t="s">
        <v>497</v>
      </c>
      <c r="C919" t="s">
        <v>359</v>
      </c>
      <c r="G919">
        <v>0</v>
      </c>
      <c r="H919">
        <v>0</v>
      </c>
      <c r="I919">
        <v>88.990999999999985</v>
      </c>
      <c r="S919">
        <v>0</v>
      </c>
      <c r="T919">
        <v>0</v>
      </c>
      <c r="U919">
        <v>0</v>
      </c>
      <c r="AB919" s="164">
        <v>41275</v>
      </c>
      <c r="AC919" s="164">
        <v>41455</v>
      </c>
      <c r="AD919" s="164">
        <v>41547</v>
      </c>
      <c r="AE919" s="34">
        <f>SUMPRODUCT(DB_STProjectsSOF[[#This Row],[Plan01]:[Plan12]],$D$4:$O$4)/valUnits2</f>
        <v>8.8990999999999987E-2</v>
      </c>
      <c r="AF919" s="34">
        <f>SUMPRODUCT(DB_STProjectsSOF[[#This Row],[Act01]:[Act12]],$P$4:$AA$4)/valUnits2</f>
        <v>0</v>
      </c>
      <c r="AG919" s="34">
        <f>DB_STProjectsSOF[[#This Row],[Actual]]-DB_STProjectsSOF[[#This Row],[Plan]]</f>
        <v>-8.8990999999999987E-2</v>
      </c>
      <c r="AH919" s="34">
        <f>IF(DB_STProjectsSOF[[#This Row],[Plan]]&lt;&gt;0,DB_STProjectsSOF[[#This Row],[Actual]]/DB_STProjectsSOF[[#This Row],[Plan]],1.000011000011)</f>
        <v>0</v>
      </c>
      <c r="AI919" s="34">
        <f>SUM(DB_STProjectsSOF[[#This Row],[Plan01]:[Plan12]])/valUnits2</f>
        <v>8.8990999999999987E-2</v>
      </c>
      <c r="AJ919" s="34">
        <f>SUMPRODUCT(DB_STProjectsSOF[[#This Row],[Act01]:[Act12]],$P$3:$AA$3)/valUnits2</f>
        <v>0</v>
      </c>
      <c r="AK919" s="34">
        <f>IF(DB_STProjectsSOF[[#This Row],[FY Plan]]&lt;&gt;0,DB_STProjectsSOF[[#This Row],[FY Actuals]]/DB_STProjectsSOF[[#This Row],[FY Plan]],1.000011000011)</f>
        <v>0</v>
      </c>
    </row>
    <row r="920" spans="1:37" hidden="1" x14ac:dyDescent="0.2">
      <c r="A920">
        <f>SUBTOTAL(3,$B$6:B920)</f>
        <v>0</v>
      </c>
      <c r="B920" t="s">
        <v>497</v>
      </c>
      <c r="C920" t="s">
        <v>360</v>
      </c>
      <c r="F920">
        <v>0</v>
      </c>
      <c r="G920">
        <v>0</v>
      </c>
      <c r="H920">
        <v>0</v>
      </c>
      <c r="I920">
        <v>312.31199999999995</v>
      </c>
      <c r="R920">
        <v>0</v>
      </c>
      <c r="S920">
        <v>0</v>
      </c>
      <c r="T920">
        <v>0</v>
      </c>
      <c r="U920">
        <v>0</v>
      </c>
      <c r="AB920" s="164">
        <v>41091</v>
      </c>
      <c r="AC920" s="164">
        <v>41455</v>
      </c>
      <c r="AD920" s="164">
        <v>41547</v>
      </c>
      <c r="AE920" s="34">
        <f>SUMPRODUCT(DB_STProjectsSOF[[#This Row],[Plan01]:[Plan12]],$D$4:$O$4)/valUnits2</f>
        <v>0.31231199999999998</v>
      </c>
      <c r="AF920" s="34">
        <f>SUMPRODUCT(DB_STProjectsSOF[[#This Row],[Act01]:[Act12]],$P$4:$AA$4)/valUnits2</f>
        <v>0</v>
      </c>
      <c r="AG920" s="34">
        <f>DB_STProjectsSOF[[#This Row],[Actual]]-DB_STProjectsSOF[[#This Row],[Plan]]</f>
        <v>-0.31231199999999998</v>
      </c>
      <c r="AH920" s="34">
        <f>IF(DB_STProjectsSOF[[#This Row],[Plan]]&lt;&gt;0,DB_STProjectsSOF[[#This Row],[Actual]]/DB_STProjectsSOF[[#This Row],[Plan]],1.000011000011)</f>
        <v>0</v>
      </c>
      <c r="AI920" s="34">
        <f>SUM(DB_STProjectsSOF[[#This Row],[Plan01]:[Plan12]])/valUnits2</f>
        <v>0.31231199999999998</v>
      </c>
      <c r="AJ920" s="34">
        <f>SUMPRODUCT(DB_STProjectsSOF[[#This Row],[Act01]:[Act12]],$P$3:$AA$3)/valUnits2</f>
        <v>0</v>
      </c>
      <c r="AK920" s="34">
        <f>IF(DB_STProjectsSOF[[#This Row],[FY Plan]]&lt;&gt;0,DB_STProjectsSOF[[#This Row],[FY Actuals]]/DB_STProjectsSOF[[#This Row],[FY Plan]],1.000011000011)</f>
        <v>0</v>
      </c>
    </row>
    <row r="921" spans="1:37" hidden="1" x14ac:dyDescent="0.2">
      <c r="A921">
        <f>SUBTOTAL(3,$B$6:B921)</f>
        <v>0</v>
      </c>
      <c r="B921" t="s">
        <v>497</v>
      </c>
      <c r="C921" t="s">
        <v>930</v>
      </c>
      <c r="E921">
        <v>8.4600000000000009</v>
      </c>
      <c r="F921">
        <v>0.43</v>
      </c>
      <c r="H921">
        <v>210.95</v>
      </c>
      <c r="I921">
        <v>0</v>
      </c>
      <c r="Q921">
        <v>8.4600000000000009</v>
      </c>
      <c r="R921">
        <v>0.43</v>
      </c>
      <c r="T921">
        <v>210.95000000000002</v>
      </c>
      <c r="U921">
        <v>533.96</v>
      </c>
      <c r="AB921" s="164">
        <v>40848</v>
      </c>
      <c r="AC921" s="164">
        <v>41729</v>
      </c>
      <c r="AD921" s="164">
        <v>41654</v>
      </c>
      <c r="AE921" s="34">
        <f>SUMPRODUCT(DB_STProjectsSOF[[#This Row],[Plan01]:[Plan12]],$D$4:$O$4)/valUnits2</f>
        <v>0.21983999999999998</v>
      </c>
      <c r="AF921" s="34">
        <f>SUMPRODUCT(DB_STProjectsSOF[[#This Row],[Act01]:[Act12]],$P$4:$AA$4)/valUnits2</f>
        <v>0.75380000000000003</v>
      </c>
      <c r="AG921" s="34">
        <f>DB_STProjectsSOF[[#This Row],[Actual]]-DB_STProjectsSOF[[#This Row],[Plan]]</f>
        <v>0.53395999999999999</v>
      </c>
      <c r="AH921" s="34">
        <f>IF(DB_STProjectsSOF[[#This Row],[Plan]]&lt;&gt;0,DB_STProjectsSOF[[#This Row],[Actual]]/DB_STProjectsSOF[[#This Row],[Plan]],1.000011000011)</f>
        <v>3.4288573508005826</v>
      </c>
      <c r="AI921" s="34">
        <f>SUM(DB_STProjectsSOF[[#This Row],[Plan01]:[Plan12]])/valUnits2</f>
        <v>0.21983999999999998</v>
      </c>
      <c r="AJ921" s="34">
        <f>SUMPRODUCT(DB_STProjectsSOF[[#This Row],[Act01]:[Act12]],$P$3:$AA$3)/valUnits2</f>
        <v>0.75380000000000003</v>
      </c>
      <c r="AK921" s="34">
        <f>IF(DB_STProjectsSOF[[#This Row],[FY Plan]]&lt;&gt;0,DB_STProjectsSOF[[#This Row],[FY Actuals]]/DB_STProjectsSOF[[#This Row],[FY Plan]],1.000011000011)</f>
        <v>3.4288573508005826</v>
      </c>
    </row>
    <row r="922" spans="1:37" hidden="1" x14ac:dyDescent="0.2">
      <c r="A922">
        <f>SUBTOTAL(3,$B$6:B922)</f>
        <v>0</v>
      </c>
      <c r="B922" t="s">
        <v>497</v>
      </c>
      <c r="C922" t="s">
        <v>932</v>
      </c>
      <c r="G922">
        <v>178.14999999999998</v>
      </c>
      <c r="H922">
        <v>178.14999999999998</v>
      </c>
      <c r="I922">
        <v>178.14999999999998</v>
      </c>
      <c r="J922">
        <v>178.14999999999998</v>
      </c>
      <c r="K922">
        <v>178.14999999999998</v>
      </c>
      <c r="L922">
        <v>178.14999999999998</v>
      </c>
      <c r="M922">
        <v>178.14999999999998</v>
      </c>
      <c r="N922">
        <v>178.14999999999998</v>
      </c>
      <c r="O922">
        <v>178.14999999999998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s="164">
        <v>40909</v>
      </c>
      <c r="AC922" s="164">
        <v>41274</v>
      </c>
      <c r="AD922" s="164">
        <v>41305</v>
      </c>
      <c r="AE922" s="34">
        <f>SUMPRODUCT(DB_STProjectsSOF[[#This Row],[Plan01]:[Plan12]],$D$4:$O$4)/valUnits2</f>
        <v>0.53444999999999998</v>
      </c>
      <c r="AF922" s="34">
        <f>SUMPRODUCT(DB_STProjectsSOF[[#This Row],[Act01]:[Act12]],$P$4:$AA$4)/valUnits2</f>
        <v>0</v>
      </c>
      <c r="AG922" s="34">
        <f>DB_STProjectsSOF[[#This Row],[Actual]]-DB_STProjectsSOF[[#This Row],[Plan]]</f>
        <v>-0.53444999999999998</v>
      </c>
      <c r="AH922" s="34">
        <f>IF(DB_STProjectsSOF[[#This Row],[Plan]]&lt;&gt;0,DB_STProjectsSOF[[#This Row],[Actual]]/DB_STProjectsSOF[[#This Row],[Plan]],1.000011000011)</f>
        <v>0</v>
      </c>
      <c r="AI922" s="34">
        <f>SUM(DB_STProjectsSOF[[#This Row],[Plan01]:[Plan12]])/valUnits2</f>
        <v>1.6033499999999998</v>
      </c>
      <c r="AJ922" s="34">
        <f>SUMPRODUCT(DB_STProjectsSOF[[#This Row],[Act01]:[Act12]],$P$3:$AA$3)/valUnits2</f>
        <v>0</v>
      </c>
      <c r="AK922" s="34">
        <f>IF(DB_STProjectsSOF[[#This Row],[FY Plan]]&lt;&gt;0,DB_STProjectsSOF[[#This Row],[FY Actuals]]/DB_STProjectsSOF[[#This Row],[FY Plan]],1.000011000011)</f>
        <v>0</v>
      </c>
    </row>
    <row r="923" spans="1:37" hidden="1" x14ac:dyDescent="0.2">
      <c r="A923">
        <f>SUBTOTAL(3,$B$6:B923)</f>
        <v>0</v>
      </c>
      <c r="B923" t="s">
        <v>497</v>
      </c>
      <c r="C923" t="s">
        <v>933</v>
      </c>
      <c r="E923">
        <v>3297.7799999999997</v>
      </c>
      <c r="F923">
        <v>2277.79</v>
      </c>
      <c r="G923">
        <v>1039.17</v>
      </c>
      <c r="H923">
        <v>0</v>
      </c>
      <c r="I923">
        <v>10</v>
      </c>
      <c r="J923">
        <v>10</v>
      </c>
      <c r="K923">
        <v>10</v>
      </c>
      <c r="L923">
        <v>10</v>
      </c>
      <c r="M923">
        <v>10</v>
      </c>
      <c r="N923">
        <v>10</v>
      </c>
      <c r="O923">
        <v>10</v>
      </c>
      <c r="Q923">
        <v>3297.7799999999997</v>
      </c>
      <c r="R923">
        <v>2277.79</v>
      </c>
      <c r="S923">
        <v>1039.17</v>
      </c>
      <c r="T923">
        <v>0</v>
      </c>
      <c r="U923">
        <v>568.54999999999995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s="164">
        <v>40817</v>
      </c>
      <c r="AC923" s="164">
        <v>42155</v>
      </c>
      <c r="AD923" s="164">
        <v>42217</v>
      </c>
      <c r="AE923" s="34">
        <f>SUMPRODUCT(DB_STProjectsSOF[[#This Row],[Plan01]:[Plan12]],$D$4:$O$4)/valUnits2</f>
        <v>6.6247400000000001</v>
      </c>
      <c r="AF923" s="34">
        <f>SUMPRODUCT(DB_STProjectsSOF[[#This Row],[Act01]:[Act12]],$P$4:$AA$4)/valUnits2</f>
        <v>7.1832900000000004</v>
      </c>
      <c r="AG923" s="34">
        <f>DB_STProjectsSOF[[#This Row],[Actual]]-DB_STProjectsSOF[[#This Row],[Plan]]</f>
        <v>0.55855000000000032</v>
      </c>
      <c r="AH923" s="34">
        <f>IF(DB_STProjectsSOF[[#This Row],[Plan]]&lt;&gt;0,DB_STProjectsSOF[[#This Row],[Actual]]/DB_STProjectsSOF[[#This Row],[Plan]],1.000011000011)</f>
        <v>1.084312742839719</v>
      </c>
      <c r="AI923" s="34">
        <f>SUM(DB_STProjectsSOF[[#This Row],[Plan01]:[Plan12]])/valUnits2</f>
        <v>6.6847399999999997</v>
      </c>
      <c r="AJ923" s="34">
        <f>SUMPRODUCT(DB_STProjectsSOF[[#This Row],[Act01]:[Act12]],$P$3:$AA$3)/valUnits2</f>
        <v>7.1832900000000004</v>
      </c>
      <c r="AK923" s="34">
        <f>IF(DB_STProjectsSOF[[#This Row],[FY Plan]]&lt;&gt;0,DB_STProjectsSOF[[#This Row],[FY Actuals]]/DB_STProjectsSOF[[#This Row],[FY Plan]],1.000011000011)</f>
        <v>1.074580312772075</v>
      </c>
    </row>
    <row r="924" spans="1:37" hidden="1" x14ac:dyDescent="0.2">
      <c r="A924">
        <f>SUBTOTAL(3,$B$6:B924)</f>
        <v>0</v>
      </c>
      <c r="B924" t="s">
        <v>497</v>
      </c>
      <c r="C924" t="s">
        <v>935</v>
      </c>
      <c r="E924">
        <v>1146.1790000000001</v>
      </c>
      <c r="F924">
        <v>1208.664</v>
      </c>
      <c r="G924">
        <v>2332.13</v>
      </c>
      <c r="H924">
        <v>238.72200000000001</v>
      </c>
      <c r="I924">
        <v>1185.5720000000001</v>
      </c>
      <c r="J924">
        <v>1185.5720000000001</v>
      </c>
      <c r="K924">
        <v>1185.5720000000001</v>
      </c>
      <c r="L924">
        <v>1185.5720000000001</v>
      </c>
      <c r="M924">
        <v>1185.5720000000001</v>
      </c>
      <c r="N924">
        <v>1185.5720000000001</v>
      </c>
      <c r="O924">
        <v>1185.5720000000001</v>
      </c>
      <c r="Q924">
        <v>1171.7</v>
      </c>
      <c r="R924">
        <v>1201.9100000000001</v>
      </c>
      <c r="S924">
        <v>2339.88</v>
      </c>
      <c r="T924">
        <v>238.25</v>
      </c>
      <c r="U924">
        <v>269.11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s="164">
        <v>41000</v>
      </c>
      <c r="AC924" s="164">
        <v>42094</v>
      </c>
      <c r="AD924" s="164">
        <v>42124</v>
      </c>
      <c r="AE924" s="34">
        <f>SUMPRODUCT(DB_STProjectsSOF[[#This Row],[Plan01]:[Plan12]],$D$4:$O$4)/valUnits2</f>
        <v>6.1112669999999998</v>
      </c>
      <c r="AF924" s="34">
        <f>SUMPRODUCT(DB_STProjectsSOF[[#This Row],[Act01]:[Act12]],$P$4:$AA$4)/valUnits2</f>
        <v>5.2208499999999995</v>
      </c>
      <c r="AG924" s="34">
        <f>DB_STProjectsSOF[[#This Row],[Actual]]-DB_STProjectsSOF[[#This Row],[Plan]]</f>
        <v>-0.89041700000000024</v>
      </c>
      <c r="AH924" s="34">
        <f>IF(DB_STProjectsSOF[[#This Row],[Plan]]&lt;&gt;0,DB_STProjectsSOF[[#This Row],[Actual]]/DB_STProjectsSOF[[#This Row],[Plan]],1.000011000011)</f>
        <v>0.8542991166970777</v>
      </c>
      <c r="AI924" s="34">
        <f>SUM(DB_STProjectsSOF[[#This Row],[Plan01]:[Plan12]])/valUnits2</f>
        <v>13.224699000000001</v>
      </c>
      <c r="AJ924" s="34">
        <f>SUMPRODUCT(DB_STProjectsSOF[[#This Row],[Act01]:[Act12]],$P$3:$AA$3)/valUnits2</f>
        <v>5.2208499999999995</v>
      </c>
      <c r="AK924" s="34">
        <f>IF(DB_STProjectsSOF[[#This Row],[FY Plan]]&lt;&gt;0,DB_STProjectsSOF[[#This Row],[FY Actuals]]/DB_STProjectsSOF[[#This Row],[FY Plan]],1.000011000011)</f>
        <v>0.39478025170932052</v>
      </c>
    </row>
    <row r="925" spans="1:37" hidden="1" x14ac:dyDescent="0.2">
      <c r="A925">
        <f>SUBTOTAL(3,$B$6:B925)</f>
        <v>0</v>
      </c>
      <c r="B925" t="s">
        <v>498</v>
      </c>
      <c r="C925" t="s">
        <v>842</v>
      </c>
      <c r="D925">
        <v>0</v>
      </c>
      <c r="E925">
        <v>0</v>
      </c>
      <c r="F925">
        <v>0</v>
      </c>
      <c r="G925">
        <v>0</v>
      </c>
      <c r="H925">
        <v>1287.8109999999999</v>
      </c>
      <c r="I925">
        <v>374.988</v>
      </c>
      <c r="J925">
        <v>374.988</v>
      </c>
      <c r="K925">
        <v>374.988</v>
      </c>
      <c r="L925">
        <v>374.988</v>
      </c>
      <c r="M925">
        <v>374.988</v>
      </c>
      <c r="N925">
        <v>374.988</v>
      </c>
      <c r="O925">
        <v>374.988</v>
      </c>
      <c r="P925">
        <v>0</v>
      </c>
      <c r="Q925">
        <v>0</v>
      </c>
      <c r="R925">
        <v>0</v>
      </c>
      <c r="S925">
        <v>0</v>
      </c>
      <c r="T925">
        <v>1272.2</v>
      </c>
      <c r="U925">
        <v>2168.92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s="164">
        <v>41214</v>
      </c>
      <c r="AC925" s="164">
        <v>42308</v>
      </c>
      <c r="AD925" s="164">
        <v>42389</v>
      </c>
      <c r="AE925" s="34">
        <f>SUMPRODUCT(DB_STProjectsSOF[[#This Row],[Plan01]:[Plan12]],$D$4:$O$4)/valUnits2</f>
        <v>1.6627989999999999</v>
      </c>
      <c r="AF925" s="34">
        <f>SUMPRODUCT(DB_STProjectsSOF[[#This Row],[Act01]:[Act12]],$P$4:$AA$4)/valUnits2</f>
        <v>3.4411199999999997</v>
      </c>
      <c r="AG925" s="34">
        <f>DB_STProjectsSOF[[#This Row],[Actual]]-DB_STProjectsSOF[[#This Row],[Plan]]</f>
        <v>1.7783209999999998</v>
      </c>
      <c r="AH925" s="34">
        <f>IF(DB_STProjectsSOF[[#This Row],[Plan]]&lt;&gt;0,DB_STProjectsSOF[[#This Row],[Actual]]/DB_STProjectsSOF[[#This Row],[Plan]],1.000011000011)</f>
        <v>2.0694744223444927</v>
      </c>
      <c r="AI925" s="34">
        <f>SUM(DB_STProjectsSOF[[#This Row],[Plan01]:[Plan12]])/valUnits2</f>
        <v>3.9127269999999994</v>
      </c>
      <c r="AJ925" s="34">
        <f>SUMPRODUCT(DB_STProjectsSOF[[#This Row],[Act01]:[Act12]],$P$3:$AA$3)/valUnits2</f>
        <v>3.4411199999999997</v>
      </c>
      <c r="AK925" s="34">
        <f>IF(DB_STProjectsSOF[[#This Row],[FY Plan]]&lt;&gt;0,DB_STProjectsSOF[[#This Row],[FY Actuals]]/DB_STProjectsSOF[[#This Row],[FY Plan]],1.000011000011)</f>
        <v>0.87946846278822932</v>
      </c>
    </row>
    <row r="926" spans="1:37" hidden="1" x14ac:dyDescent="0.2">
      <c r="A926">
        <f>SUBTOTAL(3,$B$6:B926)</f>
        <v>0</v>
      </c>
      <c r="B926" t="s">
        <v>498</v>
      </c>
      <c r="C926" t="s">
        <v>843</v>
      </c>
      <c r="G926">
        <v>4022.5070000000001</v>
      </c>
      <c r="H926">
        <v>6886.0330000000004</v>
      </c>
      <c r="I926">
        <v>879.74599999999998</v>
      </c>
      <c r="J926">
        <v>879.74599999999998</v>
      </c>
      <c r="K926">
        <v>879.74599999999998</v>
      </c>
      <c r="L926">
        <v>879.74599999999998</v>
      </c>
      <c r="M926">
        <v>879.74599999999998</v>
      </c>
      <c r="N926">
        <v>879.74599999999998</v>
      </c>
      <c r="O926">
        <v>879.74599999999998</v>
      </c>
      <c r="S926">
        <v>4026.44</v>
      </c>
      <c r="T926">
        <v>6953.75</v>
      </c>
      <c r="U926">
        <v>2400.9299999999998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s="164">
        <v>41275</v>
      </c>
      <c r="AC926" s="164">
        <v>42369</v>
      </c>
      <c r="AD926" s="164">
        <v>42492</v>
      </c>
      <c r="AE926" s="34">
        <f>SUMPRODUCT(DB_STProjectsSOF[[#This Row],[Plan01]:[Plan12]],$D$4:$O$4)/valUnits2</f>
        <v>11.788285999999999</v>
      </c>
      <c r="AF926" s="34">
        <f>SUMPRODUCT(DB_STProjectsSOF[[#This Row],[Act01]:[Act12]],$P$4:$AA$4)/valUnits2</f>
        <v>13.381120000000001</v>
      </c>
      <c r="AG926" s="34">
        <f>DB_STProjectsSOF[[#This Row],[Actual]]-DB_STProjectsSOF[[#This Row],[Plan]]</f>
        <v>1.5928340000000016</v>
      </c>
      <c r="AH926" s="34">
        <f>IF(DB_STProjectsSOF[[#This Row],[Plan]]&lt;&gt;0,DB_STProjectsSOF[[#This Row],[Actual]]/DB_STProjectsSOF[[#This Row],[Plan]],1.000011000011)</f>
        <v>1.1351200674975142</v>
      </c>
      <c r="AI926" s="34">
        <f>SUM(DB_STProjectsSOF[[#This Row],[Plan01]:[Plan12]])/valUnits2</f>
        <v>17.066761999999994</v>
      </c>
      <c r="AJ926" s="34">
        <f>SUMPRODUCT(DB_STProjectsSOF[[#This Row],[Act01]:[Act12]],$P$3:$AA$3)/valUnits2</f>
        <v>13.381120000000001</v>
      </c>
      <c r="AK926" s="34">
        <f>IF(DB_STProjectsSOF[[#This Row],[FY Plan]]&lt;&gt;0,DB_STProjectsSOF[[#This Row],[FY Actuals]]/DB_STProjectsSOF[[#This Row],[FY Plan]],1.000011000011)</f>
        <v>0.78404562037016778</v>
      </c>
    </row>
    <row r="927" spans="1:37" hidden="1" x14ac:dyDescent="0.2">
      <c r="A927">
        <f>SUBTOTAL(3,$B$6:B927)</f>
        <v>0</v>
      </c>
      <c r="B927" t="s">
        <v>498</v>
      </c>
      <c r="C927" t="s">
        <v>357</v>
      </c>
      <c r="G927">
        <v>0</v>
      </c>
      <c r="H927">
        <v>0</v>
      </c>
      <c r="I927">
        <v>78.599999999999994</v>
      </c>
      <c r="S927">
        <v>0</v>
      </c>
      <c r="T927">
        <v>0</v>
      </c>
      <c r="U927">
        <v>0</v>
      </c>
      <c r="AB927" s="164">
        <v>40817</v>
      </c>
      <c r="AC927" s="164">
        <v>41455</v>
      </c>
      <c r="AD927" s="164">
        <v>41517</v>
      </c>
      <c r="AE927" s="34">
        <f>SUMPRODUCT(DB_STProjectsSOF[[#This Row],[Plan01]:[Plan12]],$D$4:$O$4)/valUnits2</f>
        <v>7.8599999999999989E-2</v>
      </c>
      <c r="AF927" s="34">
        <f>SUMPRODUCT(DB_STProjectsSOF[[#This Row],[Act01]:[Act12]],$P$4:$AA$4)/valUnits2</f>
        <v>0</v>
      </c>
      <c r="AG927" s="34">
        <f>DB_STProjectsSOF[[#This Row],[Actual]]-DB_STProjectsSOF[[#This Row],[Plan]]</f>
        <v>-7.8599999999999989E-2</v>
      </c>
      <c r="AH927" s="34">
        <f>IF(DB_STProjectsSOF[[#This Row],[Plan]]&lt;&gt;0,DB_STProjectsSOF[[#This Row],[Actual]]/DB_STProjectsSOF[[#This Row],[Plan]],1.000011000011)</f>
        <v>0</v>
      </c>
      <c r="AI927" s="34">
        <f>SUM(DB_STProjectsSOF[[#This Row],[Plan01]:[Plan12]])/valUnits2</f>
        <v>7.8599999999999989E-2</v>
      </c>
      <c r="AJ927" s="34">
        <f>SUMPRODUCT(DB_STProjectsSOF[[#This Row],[Act01]:[Act12]],$P$3:$AA$3)/valUnits2</f>
        <v>0</v>
      </c>
      <c r="AK927" s="34">
        <f>IF(DB_STProjectsSOF[[#This Row],[FY Plan]]&lt;&gt;0,DB_STProjectsSOF[[#This Row],[FY Actuals]]/DB_STProjectsSOF[[#This Row],[FY Plan]],1.000011000011)</f>
        <v>0</v>
      </c>
    </row>
    <row r="928" spans="1:37" hidden="1" x14ac:dyDescent="0.2">
      <c r="A928">
        <f>SUBTOTAL(3,$B$6:B928)</f>
        <v>0</v>
      </c>
      <c r="B928" t="s">
        <v>498</v>
      </c>
      <c r="C928" t="s">
        <v>846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186.34700000000001</v>
      </c>
      <c r="J928">
        <v>186.34700000000001</v>
      </c>
      <c r="K928">
        <v>186.34700000000001</v>
      </c>
      <c r="L928">
        <v>186.34700000000001</v>
      </c>
      <c r="M928">
        <v>186.34700000000001</v>
      </c>
      <c r="N928">
        <v>186.34700000000001</v>
      </c>
      <c r="O928">
        <v>186.34700000000001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s="164">
        <v>40817</v>
      </c>
      <c r="AC928" s="164">
        <v>41599</v>
      </c>
      <c r="AD928" s="164">
        <v>41305</v>
      </c>
      <c r="AE928" s="34">
        <f>SUMPRODUCT(DB_STProjectsSOF[[#This Row],[Plan01]:[Plan12]],$D$4:$O$4)/valUnits2</f>
        <v>0.18634700000000001</v>
      </c>
      <c r="AF928" s="34">
        <f>SUMPRODUCT(DB_STProjectsSOF[[#This Row],[Act01]:[Act12]],$P$4:$AA$4)/valUnits2</f>
        <v>0</v>
      </c>
      <c r="AG928" s="34">
        <f>DB_STProjectsSOF[[#This Row],[Actual]]-DB_STProjectsSOF[[#This Row],[Plan]]</f>
        <v>-0.18634700000000001</v>
      </c>
      <c r="AH928" s="34">
        <f>IF(DB_STProjectsSOF[[#This Row],[Plan]]&lt;&gt;0,DB_STProjectsSOF[[#This Row],[Actual]]/DB_STProjectsSOF[[#This Row],[Plan]],1.000011000011)</f>
        <v>0</v>
      </c>
      <c r="AI928" s="34">
        <f>SUM(DB_STProjectsSOF[[#This Row],[Plan01]:[Plan12]])/valUnits2</f>
        <v>1.3044290000000001</v>
      </c>
      <c r="AJ928" s="34">
        <f>SUMPRODUCT(DB_STProjectsSOF[[#This Row],[Act01]:[Act12]],$P$3:$AA$3)/valUnits2</f>
        <v>0</v>
      </c>
      <c r="AK928" s="34">
        <f>IF(DB_STProjectsSOF[[#This Row],[FY Plan]]&lt;&gt;0,DB_STProjectsSOF[[#This Row],[FY Actuals]]/DB_STProjectsSOF[[#This Row],[FY Plan]],1.000011000011)</f>
        <v>0</v>
      </c>
    </row>
    <row r="929" spans="1:37" hidden="1" x14ac:dyDescent="0.2">
      <c r="A929">
        <f>SUBTOTAL(3,$B$6:B929)</f>
        <v>0</v>
      </c>
      <c r="B929" t="s">
        <v>498</v>
      </c>
      <c r="C929" t="s">
        <v>847</v>
      </c>
      <c r="H929">
        <v>2107.2779999999998</v>
      </c>
      <c r="I929">
        <v>0</v>
      </c>
      <c r="T929">
        <v>2167.4</v>
      </c>
      <c r="U929">
        <v>-1056.29</v>
      </c>
      <c r="AB929" s="164">
        <v>41334</v>
      </c>
      <c r="AC929" s="164">
        <v>41698</v>
      </c>
      <c r="AD929" s="164">
        <v>41759</v>
      </c>
      <c r="AE929" s="34">
        <f>SUMPRODUCT(DB_STProjectsSOF[[#This Row],[Plan01]:[Plan12]],$D$4:$O$4)/valUnits2</f>
        <v>2.107278</v>
      </c>
      <c r="AF929" s="34">
        <f>SUMPRODUCT(DB_STProjectsSOF[[#This Row],[Act01]:[Act12]],$P$4:$AA$4)/valUnits2</f>
        <v>1.11111</v>
      </c>
      <c r="AG929" s="34">
        <f>DB_STProjectsSOF[[#This Row],[Actual]]-DB_STProjectsSOF[[#This Row],[Plan]]</f>
        <v>-0.99616799999999994</v>
      </c>
      <c r="AH929" s="34">
        <f>IF(DB_STProjectsSOF[[#This Row],[Plan]]&lt;&gt;0,DB_STProjectsSOF[[#This Row],[Actual]]/DB_STProjectsSOF[[#This Row],[Plan]],1.000011000011)</f>
        <v>0.52727262373545403</v>
      </c>
      <c r="AI929" s="34">
        <f>SUM(DB_STProjectsSOF[[#This Row],[Plan01]:[Plan12]])/valUnits2</f>
        <v>2.107278</v>
      </c>
      <c r="AJ929" s="34">
        <f>SUMPRODUCT(DB_STProjectsSOF[[#This Row],[Act01]:[Act12]],$P$3:$AA$3)/valUnits2</f>
        <v>1.11111</v>
      </c>
      <c r="AK929" s="34">
        <f>IF(DB_STProjectsSOF[[#This Row],[FY Plan]]&lt;&gt;0,DB_STProjectsSOF[[#This Row],[FY Actuals]]/DB_STProjectsSOF[[#This Row],[FY Plan]],1.000011000011)</f>
        <v>0.52727262373545403</v>
      </c>
    </row>
    <row r="930" spans="1:37" hidden="1" x14ac:dyDescent="0.2">
      <c r="A930">
        <f>SUBTOTAL(3,$B$6:B930)</f>
        <v>0</v>
      </c>
      <c r="B930" t="s">
        <v>498</v>
      </c>
      <c r="C930" t="s">
        <v>849</v>
      </c>
      <c r="G930">
        <v>0</v>
      </c>
      <c r="H930">
        <v>0</v>
      </c>
      <c r="S930">
        <v>0</v>
      </c>
      <c r="T930">
        <v>0</v>
      </c>
      <c r="AB930" s="164">
        <v>41153</v>
      </c>
      <c r="AC930" s="164">
        <v>41364</v>
      </c>
      <c r="AD930" s="164">
        <v>41424</v>
      </c>
      <c r="AE930" s="34">
        <f>SUMPRODUCT(DB_STProjectsSOF[[#This Row],[Plan01]:[Plan12]],$D$4:$O$4)/valUnits2</f>
        <v>0</v>
      </c>
      <c r="AF930" s="34">
        <f>SUMPRODUCT(DB_STProjectsSOF[[#This Row],[Act01]:[Act12]],$P$4:$AA$4)/valUnits2</f>
        <v>0</v>
      </c>
      <c r="AG930" s="34">
        <f>DB_STProjectsSOF[[#This Row],[Actual]]-DB_STProjectsSOF[[#This Row],[Plan]]</f>
        <v>0</v>
      </c>
      <c r="AH930" s="34">
        <f>IF(DB_STProjectsSOF[[#This Row],[Plan]]&lt;&gt;0,DB_STProjectsSOF[[#This Row],[Actual]]/DB_STProjectsSOF[[#This Row],[Plan]],1.000011000011)</f>
        <v>1.0000110000110001</v>
      </c>
      <c r="AI930" s="34">
        <f>SUM(DB_STProjectsSOF[[#This Row],[Plan01]:[Plan12]])/valUnits2</f>
        <v>0</v>
      </c>
      <c r="AJ930" s="34">
        <f>SUMPRODUCT(DB_STProjectsSOF[[#This Row],[Act01]:[Act12]],$P$3:$AA$3)/valUnits2</f>
        <v>0</v>
      </c>
      <c r="AK930" s="34">
        <f>IF(DB_STProjectsSOF[[#This Row],[FY Plan]]&lt;&gt;0,DB_STProjectsSOF[[#This Row],[FY Actuals]]/DB_STProjectsSOF[[#This Row],[FY Plan]],1.000011000011)</f>
        <v>1.0000110000110001</v>
      </c>
    </row>
    <row r="931" spans="1:37" hidden="1" x14ac:dyDescent="0.2">
      <c r="A931">
        <f>SUBTOTAL(3,$B$6:B931)</f>
        <v>0</v>
      </c>
      <c r="B931" t="s">
        <v>498</v>
      </c>
      <c r="C931" t="s">
        <v>353</v>
      </c>
      <c r="F931">
        <v>0</v>
      </c>
      <c r="G931">
        <v>0</v>
      </c>
      <c r="R931">
        <v>0</v>
      </c>
      <c r="S931">
        <v>0</v>
      </c>
      <c r="AB931" s="164">
        <v>41214</v>
      </c>
      <c r="AC931" s="164">
        <v>41455</v>
      </c>
      <c r="AD931" s="164">
        <v>41532</v>
      </c>
      <c r="AE931" s="34">
        <f>SUMPRODUCT(DB_STProjectsSOF[[#This Row],[Plan01]:[Plan12]],$D$4:$O$4)/valUnits2</f>
        <v>0</v>
      </c>
      <c r="AF931" s="34">
        <f>SUMPRODUCT(DB_STProjectsSOF[[#This Row],[Act01]:[Act12]],$P$4:$AA$4)/valUnits2</f>
        <v>0</v>
      </c>
      <c r="AG931" s="34">
        <f>DB_STProjectsSOF[[#This Row],[Actual]]-DB_STProjectsSOF[[#This Row],[Plan]]</f>
        <v>0</v>
      </c>
      <c r="AH931" s="34">
        <f>IF(DB_STProjectsSOF[[#This Row],[Plan]]&lt;&gt;0,DB_STProjectsSOF[[#This Row],[Actual]]/DB_STProjectsSOF[[#This Row],[Plan]],1.000011000011)</f>
        <v>1.0000110000110001</v>
      </c>
      <c r="AI931" s="34">
        <f>SUM(DB_STProjectsSOF[[#This Row],[Plan01]:[Plan12]])/valUnits2</f>
        <v>0</v>
      </c>
      <c r="AJ931" s="34">
        <f>SUMPRODUCT(DB_STProjectsSOF[[#This Row],[Act01]:[Act12]],$P$3:$AA$3)/valUnits2</f>
        <v>0</v>
      </c>
      <c r="AK931" s="34">
        <f>IF(DB_STProjectsSOF[[#This Row],[FY Plan]]&lt;&gt;0,DB_STProjectsSOF[[#This Row],[FY Actuals]]/DB_STProjectsSOF[[#This Row],[FY Plan]],1.000011000011)</f>
        <v>1.0000110000110001</v>
      </c>
    </row>
    <row r="932" spans="1:37" hidden="1" x14ac:dyDescent="0.2">
      <c r="A932">
        <f>SUBTOTAL(3,$B$6:B932)</f>
        <v>0</v>
      </c>
      <c r="B932" t="s">
        <v>498</v>
      </c>
      <c r="C932" t="s">
        <v>850</v>
      </c>
      <c r="D932">
        <v>0</v>
      </c>
      <c r="E932">
        <v>987.45100000000002</v>
      </c>
      <c r="F932">
        <v>0</v>
      </c>
      <c r="G932">
        <v>1128.7820000000002</v>
      </c>
      <c r="H932">
        <v>898.23699999999985</v>
      </c>
      <c r="I932">
        <v>170.35399999999998</v>
      </c>
      <c r="J932">
        <v>170.35399999999998</v>
      </c>
      <c r="K932">
        <v>170.35399999999998</v>
      </c>
      <c r="L932">
        <v>170.35399999999998</v>
      </c>
      <c r="M932">
        <v>170.35399999999998</v>
      </c>
      <c r="N932">
        <v>170.35399999999998</v>
      </c>
      <c r="O932">
        <v>170.35399999999998</v>
      </c>
      <c r="P932">
        <v>0</v>
      </c>
      <c r="Q932">
        <v>987.43000000000006</v>
      </c>
      <c r="R932">
        <v>0</v>
      </c>
      <c r="S932">
        <v>1128.9999999999998</v>
      </c>
      <c r="T932">
        <v>893.70999999999992</v>
      </c>
      <c r="U932">
        <v>526.05999999999995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s="164">
        <v>40817</v>
      </c>
      <c r="AC932" s="164">
        <v>41639</v>
      </c>
      <c r="AD932" s="164">
        <v>41820</v>
      </c>
      <c r="AE932" s="34">
        <f>SUMPRODUCT(DB_STProjectsSOF[[#This Row],[Plan01]:[Plan12]],$D$4:$O$4)/valUnits2</f>
        <v>3.1848239999999999</v>
      </c>
      <c r="AF932" s="34">
        <f>SUMPRODUCT(DB_STProjectsSOF[[#This Row],[Act01]:[Act12]],$P$4:$AA$4)/valUnits2</f>
        <v>3.5362</v>
      </c>
      <c r="AG932" s="34">
        <f>DB_STProjectsSOF[[#This Row],[Actual]]-DB_STProjectsSOF[[#This Row],[Plan]]</f>
        <v>0.35137600000000013</v>
      </c>
      <c r="AH932" s="34">
        <f>IF(DB_STProjectsSOF[[#This Row],[Plan]]&lt;&gt;0,DB_STProjectsSOF[[#This Row],[Actual]]/DB_STProjectsSOF[[#This Row],[Plan]],1.000011000011)</f>
        <v>1.1103282316385459</v>
      </c>
      <c r="AI932" s="34">
        <f>SUM(DB_STProjectsSOF[[#This Row],[Plan01]:[Plan12]])/valUnits2</f>
        <v>4.2069479999999997</v>
      </c>
      <c r="AJ932" s="34">
        <f>SUMPRODUCT(DB_STProjectsSOF[[#This Row],[Act01]:[Act12]],$P$3:$AA$3)/valUnits2</f>
        <v>3.5362</v>
      </c>
      <c r="AK932" s="34">
        <f>IF(DB_STProjectsSOF[[#This Row],[FY Plan]]&lt;&gt;0,DB_STProjectsSOF[[#This Row],[FY Actuals]]/DB_STProjectsSOF[[#This Row],[FY Plan]],1.000011000011)</f>
        <v>0.84056185148948837</v>
      </c>
    </row>
    <row r="933" spans="1:37" hidden="1" x14ac:dyDescent="0.2">
      <c r="A933">
        <f>SUBTOTAL(3,$B$6:B933)</f>
        <v>0</v>
      </c>
      <c r="B933" t="s">
        <v>498</v>
      </c>
      <c r="C933" t="s">
        <v>853</v>
      </c>
      <c r="G933">
        <v>0</v>
      </c>
      <c r="H933">
        <v>0</v>
      </c>
      <c r="I933">
        <v>16.921999999999997</v>
      </c>
      <c r="J933">
        <v>16.921999999999997</v>
      </c>
      <c r="K933">
        <v>16.921999999999997</v>
      </c>
      <c r="L933">
        <v>16.921999999999997</v>
      </c>
      <c r="M933">
        <v>16.921999999999997</v>
      </c>
      <c r="N933">
        <v>16.921999999999997</v>
      </c>
      <c r="O933">
        <v>16.921999999999997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s="164">
        <v>41275</v>
      </c>
      <c r="AC933" s="164">
        <v>41639</v>
      </c>
      <c r="AD933" s="164">
        <v>41669</v>
      </c>
      <c r="AE933" s="34">
        <f>SUMPRODUCT(DB_STProjectsSOF[[#This Row],[Plan01]:[Plan12]],$D$4:$O$4)/valUnits2</f>
        <v>1.6921999999999996E-2</v>
      </c>
      <c r="AF933" s="34">
        <f>SUMPRODUCT(DB_STProjectsSOF[[#This Row],[Act01]:[Act12]],$P$4:$AA$4)/valUnits2</f>
        <v>0</v>
      </c>
      <c r="AG933" s="34">
        <f>DB_STProjectsSOF[[#This Row],[Actual]]-DB_STProjectsSOF[[#This Row],[Plan]]</f>
        <v>-1.6921999999999996E-2</v>
      </c>
      <c r="AH933" s="34">
        <f>IF(DB_STProjectsSOF[[#This Row],[Plan]]&lt;&gt;0,DB_STProjectsSOF[[#This Row],[Actual]]/DB_STProjectsSOF[[#This Row],[Plan]],1.000011000011)</f>
        <v>0</v>
      </c>
      <c r="AI933" s="34">
        <f>SUM(DB_STProjectsSOF[[#This Row],[Plan01]:[Plan12]])/valUnits2</f>
        <v>0.11845399999999998</v>
      </c>
      <c r="AJ933" s="34">
        <f>SUMPRODUCT(DB_STProjectsSOF[[#This Row],[Act01]:[Act12]],$P$3:$AA$3)/valUnits2</f>
        <v>0</v>
      </c>
      <c r="AK933" s="34">
        <f>IF(DB_STProjectsSOF[[#This Row],[FY Plan]]&lt;&gt;0,DB_STProjectsSOF[[#This Row],[FY Actuals]]/DB_STProjectsSOF[[#This Row],[FY Plan]],1.000011000011)</f>
        <v>0</v>
      </c>
    </row>
    <row r="934" spans="1:37" hidden="1" x14ac:dyDescent="0.2">
      <c r="A934">
        <f>SUBTOTAL(3,$B$6:B934)</f>
        <v>0</v>
      </c>
      <c r="B934" t="s">
        <v>498</v>
      </c>
      <c r="C934" t="s">
        <v>854</v>
      </c>
      <c r="F934">
        <v>0</v>
      </c>
      <c r="G934">
        <v>0</v>
      </c>
      <c r="H934">
        <v>656.30200000000002</v>
      </c>
      <c r="I934">
        <v>289.17700000000002</v>
      </c>
      <c r="J934">
        <v>289.17700000000002</v>
      </c>
      <c r="K934">
        <v>289.17700000000002</v>
      </c>
      <c r="L934">
        <v>289.17700000000002</v>
      </c>
      <c r="M934">
        <v>289.17700000000002</v>
      </c>
      <c r="N934">
        <v>289.17700000000002</v>
      </c>
      <c r="O934">
        <v>289.17700000000002</v>
      </c>
      <c r="R934">
        <v>0</v>
      </c>
      <c r="S934">
        <v>0</v>
      </c>
      <c r="T934">
        <v>665.1</v>
      </c>
      <c r="U934">
        <v>696.32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s="164">
        <v>40923</v>
      </c>
      <c r="AC934" s="164">
        <v>41698</v>
      </c>
      <c r="AD934" s="164">
        <v>41759</v>
      </c>
      <c r="AE934" s="34">
        <f>SUMPRODUCT(DB_STProjectsSOF[[#This Row],[Plan01]:[Plan12]],$D$4:$O$4)/valUnits2</f>
        <v>0.94547900000000007</v>
      </c>
      <c r="AF934" s="34">
        <f>SUMPRODUCT(DB_STProjectsSOF[[#This Row],[Act01]:[Act12]],$P$4:$AA$4)/valUnits2</f>
        <v>1.3614200000000001</v>
      </c>
      <c r="AG934" s="34">
        <f>DB_STProjectsSOF[[#This Row],[Actual]]-DB_STProjectsSOF[[#This Row],[Plan]]</f>
        <v>0.41594100000000001</v>
      </c>
      <c r="AH934" s="34">
        <f>IF(DB_STProjectsSOF[[#This Row],[Plan]]&lt;&gt;0,DB_STProjectsSOF[[#This Row],[Actual]]/DB_STProjectsSOF[[#This Row],[Plan]],1.000011000011)</f>
        <v>1.4399262172930334</v>
      </c>
      <c r="AI934" s="34">
        <f>SUM(DB_STProjectsSOF[[#This Row],[Plan01]:[Plan12]])/valUnits2</f>
        <v>2.6805410000000007</v>
      </c>
      <c r="AJ934" s="34">
        <f>SUMPRODUCT(DB_STProjectsSOF[[#This Row],[Act01]:[Act12]],$P$3:$AA$3)/valUnits2</f>
        <v>1.3614200000000001</v>
      </c>
      <c r="AK934" s="34">
        <f>IF(DB_STProjectsSOF[[#This Row],[FY Plan]]&lt;&gt;0,DB_STProjectsSOF[[#This Row],[FY Actuals]]/DB_STProjectsSOF[[#This Row],[FY Plan]],1.000011000011)</f>
        <v>0.50789001175508963</v>
      </c>
    </row>
    <row r="935" spans="1:37" hidden="1" x14ac:dyDescent="0.2">
      <c r="A935">
        <f>SUBTOTAL(3,$B$6:B935)</f>
        <v>0</v>
      </c>
      <c r="B935" t="s">
        <v>498</v>
      </c>
      <c r="C935" t="s">
        <v>855</v>
      </c>
      <c r="G935">
        <v>2183.9290000000001</v>
      </c>
      <c r="H935">
        <v>617.16099999999994</v>
      </c>
      <c r="I935">
        <v>553.59699999999998</v>
      </c>
      <c r="J935">
        <v>553.59699999999998</v>
      </c>
      <c r="K935">
        <v>553.59699999999998</v>
      </c>
      <c r="L935">
        <v>553.59699999999998</v>
      </c>
      <c r="M935">
        <v>553.59699999999998</v>
      </c>
      <c r="N935">
        <v>553.59699999999998</v>
      </c>
      <c r="O935">
        <v>553.59699999999998</v>
      </c>
      <c r="S935">
        <v>2193.1000000000004</v>
      </c>
      <c r="T935">
        <v>609.68000000000006</v>
      </c>
      <c r="U935">
        <v>609.28999999999974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s="164">
        <v>40817</v>
      </c>
      <c r="AC935" s="164">
        <v>41759</v>
      </c>
      <c r="AD935" s="164">
        <v>41820</v>
      </c>
      <c r="AE935" s="34">
        <f>SUMPRODUCT(DB_STProjectsSOF[[#This Row],[Plan01]:[Plan12]],$D$4:$O$4)/valUnits2</f>
        <v>3.3546869999999998</v>
      </c>
      <c r="AF935" s="34">
        <f>SUMPRODUCT(DB_STProjectsSOF[[#This Row],[Act01]:[Act12]],$P$4:$AA$4)/valUnits2</f>
        <v>3.4120700000000008</v>
      </c>
      <c r="AG935" s="34">
        <f>DB_STProjectsSOF[[#This Row],[Actual]]-DB_STProjectsSOF[[#This Row],[Plan]]</f>
        <v>5.7383000000001072E-2</v>
      </c>
      <c r="AH935" s="34">
        <f>IF(DB_STProjectsSOF[[#This Row],[Plan]]&lt;&gt;0,DB_STProjectsSOF[[#This Row],[Actual]]/DB_STProjectsSOF[[#This Row],[Plan]],1.000011000011)</f>
        <v>1.0171053215993031</v>
      </c>
      <c r="AI935" s="34">
        <f>SUM(DB_STProjectsSOF[[#This Row],[Plan01]:[Plan12]])/valUnits2</f>
        <v>6.6762689999999987</v>
      </c>
      <c r="AJ935" s="34">
        <f>SUMPRODUCT(DB_STProjectsSOF[[#This Row],[Act01]:[Act12]],$P$3:$AA$3)/valUnits2</f>
        <v>3.4120700000000008</v>
      </c>
      <c r="AK935" s="34">
        <f>IF(DB_STProjectsSOF[[#This Row],[FY Plan]]&lt;&gt;0,DB_STProjectsSOF[[#This Row],[FY Actuals]]/DB_STProjectsSOF[[#This Row],[FY Plan]],1.000011000011)</f>
        <v>0.51107437402537281</v>
      </c>
    </row>
    <row r="936" spans="1:37" hidden="1" x14ac:dyDescent="0.2">
      <c r="A936">
        <f>SUBTOTAL(3,$B$6:B936)</f>
        <v>0</v>
      </c>
      <c r="B936" t="s">
        <v>498</v>
      </c>
      <c r="C936" t="s">
        <v>856</v>
      </c>
      <c r="D936">
        <v>2422.4369999999999</v>
      </c>
      <c r="E936">
        <v>2491.3820000000001</v>
      </c>
      <c r="F936">
        <v>3502.0919999999996</v>
      </c>
      <c r="G936">
        <v>4174.1350000000002</v>
      </c>
      <c r="H936">
        <v>2701.3710000000001</v>
      </c>
      <c r="I936">
        <v>1560.912</v>
      </c>
      <c r="J936">
        <v>1560.912</v>
      </c>
      <c r="K936">
        <v>1560.912</v>
      </c>
      <c r="L936">
        <v>1560.912</v>
      </c>
      <c r="M936">
        <v>1560.912</v>
      </c>
      <c r="N936">
        <v>1560.912</v>
      </c>
      <c r="O936">
        <v>1560.912</v>
      </c>
      <c r="P936">
        <v>814.56</v>
      </c>
      <c r="Q936">
        <v>892.62</v>
      </c>
      <c r="R936">
        <v>1865.54</v>
      </c>
      <c r="S936">
        <v>2513.39</v>
      </c>
      <c r="T936">
        <v>1109.9099999999999</v>
      </c>
      <c r="U936">
        <v>1589.6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s="164">
        <v>40817</v>
      </c>
      <c r="AC936" s="164">
        <v>42338</v>
      </c>
      <c r="AD936" s="164">
        <v>42490</v>
      </c>
      <c r="AE936" s="34">
        <f>SUMPRODUCT(DB_STProjectsSOF[[#This Row],[Plan01]:[Plan12]],$D$4:$O$4)/valUnits2</f>
        <v>16.852329000000001</v>
      </c>
      <c r="AF936" s="34">
        <f>SUMPRODUCT(DB_STProjectsSOF[[#This Row],[Act01]:[Act12]],$P$4:$AA$4)/valUnits2</f>
        <v>8.7856199999999998</v>
      </c>
      <c r="AG936" s="34">
        <f>DB_STProjectsSOF[[#This Row],[Actual]]-DB_STProjectsSOF[[#This Row],[Plan]]</f>
        <v>-8.0667090000000012</v>
      </c>
      <c r="AH936" s="34">
        <f>IF(DB_STProjectsSOF[[#This Row],[Plan]]&lt;&gt;0,DB_STProjectsSOF[[#This Row],[Actual]]/DB_STProjectsSOF[[#This Row],[Plan]],1.000011000011)</f>
        <v>0.52132972243777098</v>
      </c>
      <c r="AI936" s="34">
        <f>SUM(DB_STProjectsSOF[[#This Row],[Plan01]:[Plan12]])/valUnits2</f>
        <v>26.217801000000001</v>
      </c>
      <c r="AJ936" s="34">
        <f>SUMPRODUCT(DB_STProjectsSOF[[#This Row],[Act01]:[Act12]],$P$3:$AA$3)/valUnits2</f>
        <v>8.7856199999999998</v>
      </c>
      <c r="AK936" s="34">
        <f>IF(DB_STProjectsSOF[[#This Row],[FY Plan]]&lt;&gt;0,DB_STProjectsSOF[[#This Row],[FY Actuals]]/DB_STProjectsSOF[[#This Row],[FY Plan]],1.000011000011)</f>
        <v>0.33510133058069969</v>
      </c>
    </row>
    <row r="937" spans="1:37" hidden="1" x14ac:dyDescent="0.2">
      <c r="A937">
        <f>SUBTOTAL(3,$B$6:B937)</f>
        <v>0</v>
      </c>
      <c r="B937" t="s">
        <v>498</v>
      </c>
      <c r="C937" t="s">
        <v>857</v>
      </c>
      <c r="E937">
        <v>1035.3599999999999</v>
      </c>
      <c r="H937">
        <v>-1035.3599999999999</v>
      </c>
      <c r="Q937">
        <v>1035.3599999999999</v>
      </c>
      <c r="T937">
        <v>-1035.3599999999999</v>
      </c>
      <c r="AB937" s="164">
        <v>40909</v>
      </c>
      <c r="AC937" s="164">
        <v>41274</v>
      </c>
      <c r="AD937" s="164">
        <v>41364</v>
      </c>
      <c r="AE937" s="34">
        <f>SUMPRODUCT(DB_STProjectsSOF[[#This Row],[Plan01]:[Plan12]],$D$4:$O$4)/valUnits2</f>
        <v>0</v>
      </c>
      <c r="AF937" s="34">
        <f>SUMPRODUCT(DB_STProjectsSOF[[#This Row],[Act01]:[Act12]],$P$4:$AA$4)/valUnits2</f>
        <v>0</v>
      </c>
      <c r="AG937" s="34">
        <f>DB_STProjectsSOF[[#This Row],[Actual]]-DB_STProjectsSOF[[#This Row],[Plan]]</f>
        <v>0</v>
      </c>
      <c r="AH937" s="34">
        <f>IF(DB_STProjectsSOF[[#This Row],[Plan]]&lt;&gt;0,DB_STProjectsSOF[[#This Row],[Actual]]/DB_STProjectsSOF[[#This Row],[Plan]],1.000011000011)</f>
        <v>1.0000110000110001</v>
      </c>
      <c r="AI937" s="34">
        <f>SUM(DB_STProjectsSOF[[#This Row],[Plan01]:[Plan12]])/valUnits2</f>
        <v>0</v>
      </c>
      <c r="AJ937" s="34">
        <f>SUMPRODUCT(DB_STProjectsSOF[[#This Row],[Act01]:[Act12]],$P$3:$AA$3)/valUnits2</f>
        <v>0</v>
      </c>
      <c r="AK937" s="34">
        <f>IF(DB_STProjectsSOF[[#This Row],[FY Plan]]&lt;&gt;0,DB_STProjectsSOF[[#This Row],[FY Actuals]]/DB_STProjectsSOF[[#This Row],[FY Plan]],1.000011000011)</f>
        <v>1.0000110000110001</v>
      </c>
    </row>
    <row r="938" spans="1:37" hidden="1" x14ac:dyDescent="0.2">
      <c r="A938">
        <f>SUBTOTAL(3,$B$6:B938)</f>
        <v>0</v>
      </c>
      <c r="B938" t="s">
        <v>498</v>
      </c>
      <c r="C938" t="s">
        <v>858</v>
      </c>
      <c r="D938">
        <v>207.44</v>
      </c>
      <c r="E938">
        <v>10.15</v>
      </c>
      <c r="F938">
        <v>-60.66</v>
      </c>
      <c r="G938">
        <v>2193.1</v>
      </c>
      <c r="H938">
        <v>605.04</v>
      </c>
      <c r="I938">
        <v>4529.5909999999994</v>
      </c>
      <c r="J938">
        <v>4529.5909999999994</v>
      </c>
      <c r="K938">
        <v>4879.5909999999994</v>
      </c>
      <c r="L938">
        <v>4529.5909999999994</v>
      </c>
      <c r="M938">
        <v>4529.5909999999994</v>
      </c>
      <c r="N938">
        <v>4529.5910000000003</v>
      </c>
      <c r="O938">
        <v>4529.5909999999994</v>
      </c>
      <c r="P938">
        <v>207.44</v>
      </c>
      <c r="Q938">
        <v>10.15</v>
      </c>
      <c r="R938">
        <v>-60.66</v>
      </c>
      <c r="S938">
        <v>2193.1000000000004</v>
      </c>
      <c r="T938">
        <v>605.04000000000008</v>
      </c>
      <c r="U938">
        <v>763.74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s="164">
        <v>41275</v>
      </c>
      <c r="AC938" s="164">
        <v>41639</v>
      </c>
      <c r="AD938" s="164">
        <v>41784</v>
      </c>
      <c r="AE938" s="34">
        <f>SUMPRODUCT(DB_STProjectsSOF[[#This Row],[Plan01]:[Plan12]],$D$4:$O$4)/valUnits2</f>
        <v>7.4846609999999991</v>
      </c>
      <c r="AF938" s="34">
        <f>SUMPRODUCT(DB_STProjectsSOF[[#This Row],[Act01]:[Act12]],$P$4:$AA$4)/valUnits2</f>
        <v>3.7188100000000004</v>
      </c>
      <c r="AG938" s="34">
        <f>DB_STProjectsSOF[[#This Row],[Actual]]-DB_STProjectsSOF[[#This Row],[Plan]]</f>
        <v>-3.7658509999999987</v>
      </c>
      <c r="AH938" s="34">
        <f>IF(DB_STProjectsSOF[[#This Row],[Plan]]&lt;&gt;0,DB_STProjectsSOF[[#This Row],[Actual]]/DB_STProjectsSOF[[#This Row],[Plan]],1.000011000011)</f>
        <v>0.4968575063052289</v>
      </c>
      <c r="AI938" s="34">
        <f>SUM(DB_STProjectsSOF[[#This Row],[Plan01]:[Plan12]])/valUnits2</f>
        <v>35.012206999999997</v>
      </c>
      <c r="AJ938" s="34">
        <f>SUMPRODUCT(DB_STProjectsSOF[[#This Row],[Act01]:[Act12]],$P$3:$AA$3)/valUnits2</f>
        <v>3.7188100000000004</v>
      </c>
      <c r="AK938" s="34">
        <f>IF(DB_STProjectsSOF[[#This Row],[FY Plan]]&lt;&gt;0,DB_STProjectsSOF[[#This Row],[FY Actuals]]/DB_STProjectsSOF[[#This Row],[FY Plan]],1.000011000011)</f>
        <v>0.10621466964364745</v>
      </c>
    </row>
    <row r="939" spans="1:37" hidden="1" x14ac:dyDescent="0.2">
      <c r="A939">
        <f>SUBTOTAL(3,$B$6:B939)</f>
        <v>0</v>
      </c>
      <c r="B939" t="s">
        <v>498</v>
      </c>
      <c r="C939" t="s">
        <v>859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s="164">
        <v>40909</v>
      </c>
      <c r="AC939" s="164">
        <v>42004</v>
      </c>
      <c r="AD939" s="164">
        <v>42094</v>
      </c>
      <c r="AE939" s="34">
        <f>SUMPRODUCT(DB_STProjectsSOF[[#This Row],[Plan01]:[Plan12]],$D$4:$O$4)/valUnits2</f>
        <v>0</v>
      </c>
      <c r="AF939" s="34">
        <f>SUMPRODUCT(DB_STProjectsSOF[[#This Row],[Act01]:[Act12]],$P$4:$AA$4)/valUnits2</f>
        <v>0</v>
      </c>
      <c r="AG939" s="34">
        <f>DB_STProjectsSOF[[#This Row],[Actual]]-DB_STProjectsSOF[[#This Row],[Plan]]</f>
        <v>0</v>
      </c>
      <c r="AH939" s="34">
        <f>IF(DB_STProjectsSOF[[#This Row],[Plan]]&lt;&gt;0,DB_STProjectsSOF[[#This Row],[Actual]]/DB_STProjectsSOF[[#This Row],[Plan]],1.000011000011)</f>
        <v>1.0000110000110001</v>
      </c>
      <c r="AI939" s="34">
        <f>SUM(DB_STProjectsSOF[[#This Row],[Plan01]:[Plan12]])/valUnits2</f>
        <v>0</v>
      </c>
      <c r="AJ939" s="34">
        <f>SUMPRODUCT(DB_STProjectsSOF[[#This Row],[Act01]:[Act12]],$P$3:$AA$3)/valUnits2</f>
        <v>0</v>
      </c>
      <c r="AK939" s="34">
        <f>IF(DB_STProjectsSOF[[#This Row],[FY Plan]]&lt;&gt;0,DB_STProjectsSOF[[#This Row],[FY Actuals]]/DB_STProjectsSOF[[#This Row],[FY Plan]],1.000011000011)</f>
        <v>1.0000110000110001</v>
      </c>
    </row>
    <row r="940" spans="1:37" hidden="1" x14ac:dyDescent="0.2">
      <c r="A940">
        <f>SUBTOTAL(3,$B$6:B940)</f>
        <v>0</v>
      </c>
      <c r="B940" t="s">
        <v>498</v>
      </c>
      <c r="C940" t="s">
        <v>860</v>
      </c>
      <c r="D940">
        <v>412.14</v>
      </c>
      <c r="E940">
        <v>418.17</v>
      </c>
      <c r="F940">
        <v>908.37</v>
      </c>
      <c r="G940">
        <v>548.88</v>
      </c>
      <c r="H940">
        <v>7.2</v>
      </c>
      <c r="I940">
        <v>796.18399999999997</v>
      </c>
      <c r="J940">
        <v>796.18399999999997</v>
      </c>
      <c r="K940">
        <v>796.18399999999997</v>
      </c>
      <c r="L940">
        <v>796.18399999999997</v>
      </c>
      <c r="M940">
        <v>0</v>
      </c>
      <c r="N940">
        <v>0</v>
      </c>
      <c r="O940">
        <v>0</v>
      </c>
      <c r="P940">
        <v>412.14</v>
      </c>
      <c r="Q940">
        <v>418.17</v>
      </c>
      <c r="R940">
        <v>908.37</v>
      </c>
      <c r="S940">
        <v>548.88</v>
      </c>
      <c r="T940">
        <v>7.1999999999999993</v>
      </c>
      <c r="U940">
        <v>3.0700000000000003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s="164">
        <v>40969</v>
      </c>
      <c r="AC940" s="164">
        <v>42643</v>
      </c>
      <c r="AD940" s="164">
        <v>42704</v>
      </c>
      <c r="AE940" s="34">
        <f>SUMPRODUCT(DB_STProjectsSOF[[#This Row],[Plan01]:[Plan12]],$D$4:$O$4)/valUnits2</f>
        <v>3.0909439999999995</v>
      </c>
      <c r="AF940" s="34">
        <f>SUMPRODUCT(DB_STProjectsSOF[[#This Row],[Act01]:[Act12]],$P$4:$AA$4)/valUnits2</f>
        <v>2.2978299999999998</v>
      </c>
      <c r="AG940" s="34">
        <f>DB_STProjectsSOF[[#This Row],[Actual]]-DB_STProjectsSOF[[#This Row],[Plan]]</f>
        <v>-0.79311399999999965</v>
      </c>
      <c r="AH940" s="34">
        <f>IF(DB_STProjectsSOF[[#This Row],[Plan]]&lt;&gt;0,DB_STProjectsSOF[[#This Row],[Actual]]/DB_STProjectsSOF[[#This Row],[Plan]],1.000011000011)</f>
        <v>0.7434071921070069</v>
      </c>
      <c r="AI940" s="34">
        <f>SUM(DB_STProjectsSOF[[#This Row],[Plan01]:[Plan12]])/valUnits2</f>
        <v>5.4794960000000001</v>
      </c>
      <c r="AJ940" s="34">
        <f>SUMPRODUCT(DB_STProjectsSOF[[#This Row],[Act01]:[Act12]],$P$3:$AA$3)/valUnits2</f>
        <v>2.2978299999999998</v>
      </c>
      <c r="AK940" s="34">
        <f>IF(DB_STProjectsSOF[[#This Row],[FY Plan]]&lt;&gt;0,DB_STProjectsSOF[[#This Row],[FY Actuals]]/DB_STProjectsSOF[[#This Row],[FY Plan]],1.000011000011)</f>
        <v>0.41935061180809324</v>
      </c>
    </row>
    <row r="941" spans="1:37" hidden="1" x14ac:dyDescent="0.2">
      <c r="A941">
        <f>SUBTOTAL(3,$B$6:B941)</f>
        <v>0</v>
      </c>
      <c r="B941" t="s">
        <v>498</v>
      </c>
      <c r="C941" t="s">
        <v>862</v>
      </c>
      <c r="G941">
        <v>3552.6390000000001</v>
      </c>
      <c r="H941">
        <v>6305.4740000000002</v>
      </c>
      <c r="I941">
        <v>512.62099999999998</v>
      </c>
      <c r="J941">
        <v>512.62099999999998</v>
      </c>
      <c r="K941">
        <v>512.62099999999998</v>
      </c>
      <c r="L941">
        <v>512.62099999999998</v>
      </c>
      <c r="M941">
        <v>512.62099999999998</v>
      </c>
      <c r="N941">
        <v>512.62099999999998</v>
      </c>
      <c r="O941">
        <v>512.62099999999998</v>
      </c>
      <c r="S941">
        <v>3562.17</v>
      </c>
      <c r="T941">
        <v>6383.0700000000006</v>
      </c>
      <c r="U941">
        <v>1971.91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s="164">
        <v>41275</v>
      </c>
      <c r="AC941" s="164">
        <v>41639</v>
      </c>
      <c r="AD941" s="164">
        <v>3</v>
      </c>
      <c r="AE941" s="34">
        <f>SUMPRODUCT(DB_STProjectsSOF[[#This Row],[Plan01]:[Plan12]],$D$4:$O$4)/valUnits2</f>
        <v>10.370734000000001</v>
      </c>
      <c r="AF941" s="34">
        <f>SUMPRODUCT(DB_STProjectsSOF[[#This Row],[Act01]:[Act12]],$P$4:$AA$4)/valUnits2</f>
        <v>11.917150000000001</v>
      </c>
      <c r="AG941" s="34">
        <f>DB_STProjectsSOF[[#This Row],[Actual]]-DB_STProjectsSOF[[#This Row],[Plan]]</f>
        <v>1.5464160000000007</v>
      </c>
      <c r="AH941" s="34">
        <f>IF(DB_STProjectsSOF[[#This Row],[Plan]]&lt;&gt;0,DB_STProjectsSOF[[#This Row],[Actual]]/DB_STProjectsSOF[[#This Row],[Plan]],1.000011000011)</f>
        <v>1.1491134571574202</v>
      </c>
      <c r="AI941" s="34">
        <f>SUM(DB_STProjectsSOF[[#This Row],[Plan01]:[Plan12]])/valUnits2</f>
        <v>13.446459999999995</v>
      </c>
      <c r="AJ941" s="34">
        <f>SUMPRODUCT(DB_STProjectsSOF[[#This Row],[Act01]:[Act12]],$P$3:$AA$3)/valUnits2</f>
        <v>11.917150000000001</v>
      </c>
      <c r="AK941" s="34">
        <f>IF(DB_STProjectsSOF[[#This Row],[FY Plan]]&lt;&gt;0,DB_STProjectsSOF[[#This Row],[FY Actuals]]/DB_STProjectsSOF[[#This Row],[FY Plan]],1.000011000011)</f>
        <v>0.88626672001404128</v>
      </c>
    </row>
    <row r="942" spans="1:37" hidden="1" x14ac:dyDescent="0.2">
      <c r="A942">
        <f>SUBTOTAL(3,$B$6:B942)</f>
        <v>0</v>
      </c>
      <c r="B942" t="s">
        <v>498</v>
      </c>
      <c r="C942" t="s">
        <v>865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s="164">
        <v>40817</v>
      </c>
      <c r="AC942" s="164">
        <v>41639</v>
      </c>
      <c r="AD942" s="164">
        <v>41820</v>
      </c>
      <c r="AE942" s="34">
        <f>SUMPRODUCT(DB_STProjectsSOF[[#This Row],[Plan01]:[Plan12]],$D$4:$O$4)/valUnits2</f>
        <v>0</v>
      </c>
      <c r="AF942" s="34">
        <f>SUMPRODUCT(DB_STProjectsSOF[[#This Row],[Act01]:[Act12]],$P$4:$AA$4)/valUnits2</f>
        <v>0</v>
      </c>
      <c r="AG942" s="34">
        <f>DB_STProjectsSOF[[#This Row],[Actual]]-DB_STProjectsSOF[[#This Row],[Plan]]</f>
        <v>0</v>
      </c>
      <c r="AH942" s="34">
        <f>IF(DB_STProjectsSOF[[#This Row],[Plan]]&lt;&gt;0,DB_STProjectsSOF[[#This Row],[Actual]]/DB_STProjectsSOF[[#This Row],[Plan]],1.000011000011)</f>
        <v>1.0000110000110001</v>
      </c>
      <c r="AI942" s="34">
        <f>SUM(DB_STProjectsSOF[[#This Row],[Plan01]:[Plan12]])/valUnits2</f>
        <v>0</v>
      </c>
      <c r="AJ942" s="34">
        <f>SUMPRODUCT(DB_STProjectsSOF[[#This Row],[Act01]:[Act12]],$P$3:$AA$3)/valUnits2</f>
        <v>0</v>
      </c>
      <c r="AK942" s="34">
        <f>IF(DB_STProjectsSOF[[#This Row],[FY Plan]]&lt;&gt;0,DB_STProjectsSOF[[#This Row],[FY Actuals]]/DB_STProjectsSOF[[#This Row],[FY Plan]],1.000011000011)</f>
        <v>1.0000110000110001</v>
      </c>
    </row>
    <row r="943" spans="1:37" hidden="1" x14ac:dyDescent="0.2">
      <c r="A943">
        <f>SUBTOTAL(3,$B$6:B943)</f>
        <v>0</v>
      </c>
      <c r="B943" t="s">
        <v>498</v>
      </c>
      <c r="C943" t="s">
        <v>866</v>
      </c>
      <c r="D943">
        <v>411.03999999999996</v>
      </c>
      <c r="E943">
        <v>506.65000000000003</v>
      </c>
      <c r="F943">
        <v>2301.8199999999997</v>
      </c>
      <c r="G943">
        <v>2730.8399999999997</v>
      </c>
      <c r="H943">
        <v>2688.5299999999997</v>
      </c>
      <c r="I943">
        <v>5743.5550000000003</v>
      </c>
      <c r="J943">
        <v>5743.5550000000003</v>
      </c>
      <c r="K943">
        <v>5743.5550000000003</v>
      </c>
      <c r="L943">
        <v>5743.5550000000003</v>
      </c>
      <c r="P943">
        <v>411.03999999999996</v>
      </c>
      <c r="Q943">
        <v>506.65</v>
      </c>
      <c r="R943">
        <v>2301.8200000000002</v>
      </c>
      <c r="S943">
        <v>2730.8399999999997</v>
      </c>
      <c r="T943">
        <v>2688.5299999999997</v>
      </c>
      <c r="U943">
        <v>1865.73</v>
      </c>
      <c r="V943">
        <v>0</v>
      </c>
      <c r="W943">
        <v>0</v>
      </c>
      <c r="X943">
        <v>0</v>
      </c>
      <c r="AB943" s="164">
        <v>41275</v>
      </c>
      <c r="AC943" s="164">
        <v>41639</v>
      </c>
      <c r="AD943" s="164">
        <v>41760</v>
      </c>
      <c r="AE943" s="34">
        <f>SUMPRODUCT(DB_STProjectsSOF[[#This Row],[Plan01]:[Plan12]],$D$4:$O$4)/valUnits2</f>
        <v>14.382434999999999</v>
      </c>
      <c r="AF943" s="34">
        <f>SUMPRODUCT(DB_STProjectsSOF[[#This Row],[Act01]:[Act12]],$P$4:$AA$4)/valUnits2</f>
        <v>10.504610000000001</v>
      </c>
      <c r="AG943" s="34">
        <f>DB_STProjectsSOF[[#This Row],[Actual]]-DB_STProjectsSOF[[#This Row],[Plan]]</f>
        <v>-3.8778249999999979</v>
      </c>
      <c r="AH943" s="34">
        <f>IF(DB_STProjectsSOF[[#This Row],[Plan]]&lt;&gt;0,DB_STProjectsSOF[[#This Row],[Actual]]/DB_STProjectsSOF[[#This Row],[Plan]],1.000011000011)</f>
        <v>0.73037771420486186</v>
      </c>
      <c r="AI943" s="34">
        <f>SUM(DB_STProjectsSOF[[#This Row],[Plan01]:[Plan12]])/valUnits2</f>
        <v>31.613099999999999</v>
      </c>
      <c r="AJ943" s="34">
        <f>SUMPRODUCT(DB_STProjectsSOF[[#This Row],[Act01]:[Act12]],$P$3:$AA$3)/valUnits2</f>
        <v>10.504610000000001</v>
      </c>
      <c r="AK943" s="34">
        <f>IF(DB_STProjectsSOF[[#This Row],[FY Plan]]&lt;&gt;0,DB_STProjectsSOF[[#This Row],[FY Actuals]]/DB_STProjectsSOF[[#This Row],[FY Plan]],1.000011000011)</f>
        <v>0.33228661535882281</v>
      </c>
    </row>
    <row r="944" spans="1:37" hidden="1" x14ac:dyDescent="0.2">
      <c r="A944">
        <f>SUBTOTAL(3,$B$6:B944)</f>
        <v>0</v>
      </c>
      <c r="B944" t="s">
        <v>498</v>
      </c>
      <c r="C944" t="s">
        <v>869</v>
      </c>
      <c r="D944">
        <v>1250.5999999999999</v>
      </c>
      <c r="E944">
        <v>1348.68</v>
      </c>
      <c r="F944">
        <v>1595.38</v>
      </c>
      <c r="G944">
        <v>1484.9099999999999</v>
      </c>
      <c r="H944">
        <v>2332.8000000000002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1250.5999999999999</v>
      </c>
      <c r="Q944">
        <v>1348.68</v>
      </c>
      <c r="R944">
        <v>1595.38</v>
      </c>
      <c r="S944">
        <v>1484.9099999999999</v>
      </c>
      <c r="T944">
        <v>2332.8000000000002</v>
      </c>
      <c r="U944">
        <v>1897.0800000000002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s="164">
        <v>40817</v>
      </c>
      <c r="AC944" s="164">
        <v>42155</v>
      </c>
      <c r="AD944" s="164">
        <v>42217</v>
      </c>
      <c r="AE944" s="34">
        <f>SUMPRODUCT(DB_STProjectsSOF[[#This Row],[Plan01]:[Plan12]],$D$4:$O$4)/valUnits2</f>
        <v>8.0123700000000007</v>
      </c>
      <c r="AF944" s="34">
        <f>SUMPRODUCT(DB_STProjectsSOF[[#This Row],[Act01]:[Act12]],$P$4:$AA$4)/valUnits2</f>
        <v>9.9094500000000014</v>
      </c>
      <c r="AG944" s="34">
        <f>DB_STProjectsSOF[[#This Row],[Actual]]-DB_STProjectsSOF[[#This Row],[Plan]]</f>
        <v>1.8970800000000008</v>
      </c>
      <c r="AH944" s="34">
        <f>IF(DB_STProjectsSOF[[#This Row],[Plan]]&lt;&gt;0,DB_STProjectsSOF[[#This Row],[Actual]]/DB_STProjectsSOF[[#This Row],[Plan]],1.000011000011)</f>
        <v>1.2367688960944141</v>
      </c>
      <c r="AI944" s="34">
        <f>SUM(DB_STProjectsSOF[[#This Row],[Plan01]:[Plan12]])/valUnits2</f>
        <v>8.0123700000000007</v>
      </c>
      <c r="AJ944" s="34">
        <f>SUMPRODUCT(DB_STProjectsSOF[[#This Row],[Act01]:[Act12]],$P$3:$AA$3)/valUnits2</f>
        <v>9.9094500000000014</v>
      </c>
      <c r="AK944" s="34">
        <f>IF(DB_STProjectsSOF[[#This Row],[FY Plan]]&lt;&gt;0,DB_STProjectsSOF[[#This Row],[FY Actuals]]/DB_STProjectsSOF[[#This Row],[FY Plan]],1.000011000011)</f>
        <v>1.2367688960944141</v>
      </c>
    </row>
    <row r="945" spans="1:37" hidden="1" x14ac:dyDescent="0.2">
      <c r="A945">
        <f>SUBTOTAL(3,$B$6:B945)</f>
        <v>0</v>
      </c>
      <c r="B945" t="s">
        <v>498</v>
      </c>
      <c r="C945" t="s">
        <v>874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929.96999999999991</v>
      </c>
      <c r="J945">
        <v>929.96999999999991</v>
      </c>
      <c r="K945">
        <v>929.96999999999991</v>
      </c>
      <c r="L945">
        <v>929.96999999999991</v>
      </c>
      <c r="M945">
        <v>929.96999999999991</v>
      </c>
      <c r="N945">
        <v>929.96999999999991</v>
      </c>
      <c r="O945">
        <v>929.96999999999991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s="164">
        <v>40879</v>
      </c>
      <c r="AC945" s="164">
        <v>43071</v>
      </c>
      <c r="AD945" s="164">
        <v>43161</v>
      </c>
      <c r="AE945" s="34">
        <f>SUMPRODUCT(DB_STProjectsSOF[[#This Row],[Plan01]:[Plan12]],$D$4:$O$4)/valUnits2</f>
        <v>0.92996999999999996</v>
      </c>
      <c r="AF945" s="34">
        <f>SUMPRODUCT(DB_STProjectsSOF[[#This Row],[Act01]:[Act12]],$P$4:$AA$4)/valUnits2</f>
        <v>0</v>
      </c>
      <c r="AG945" s="34">
        <f>DB_STProjectsSOF[[#This Row],[Actual]]-DB_STProjectsSOF[[#This Row],[Plan]]</f>
        <v>-0.92996999999999996</v>
      </c>
      <c r="AH945" s="34">
        <f>IF(DB_STProjectsSOF[[#This Row],[Plan]]&lt;&gt;0,DB_STProjectsSOF[[#This Row],[Actual]]/DB_STProjectsSOF[[#This Row],[Plan]],1.000011000011)</f>
        <v>0</v>
      </c>
      <c r="AI945" s="34">
        <f>SUM(DB_STProjectsSOF[[#This Row],[Plan01]:[Plan12]])/valUnits2</f>
        <v>6.5097899999999997</v>
      </c>
      <c r="AJ945" s="34">
        <f>SUMPRODUCT(DB_STProjectsSOF[[#This Row],[Act01]:[Act12]],$P$3:$AA$3)/valUnits2</f>
        <v>0</v>
      </c>
      <c r="AK945" s="34">
        <f>IF(DB_STProjectsSOF[[#This Row],[FY Plan]]&lt;&gt;0,DB_STProjectsSOF[[#This Row],[FY Actuals]]/DB_STProjectsSOF[[#This Row],[FY Plan]],1.000011000011)</f>
        <v>0</v>
      </c>
    </row>
    <row r="946" spans="1:37" hidden="1" x14ac:dyDescent="0.2">
      <c r="A946">
        <f>SUBTOTAL(3,$B$6:B946)</f>
        <v>0</v>
      </c>
      <c r="B946" t="s">
        <v>498</v>
      </c>
      <c r="C946" t="s">
        <v>875</v>
      </c>
      <c r="F946">
        <v>0</v>
      </c>
      <c r="G946">
        <v>671.87</v>
      </c>
      <c r="H946">
        <v>557.91800000000001</v>
      </c>
      <c r="I946">
        <v>241.98700000000002</v>
      </c>
      <c r="J946">
        <v>241.98700000000002</v>
      </c>
      <c r="K946">
        <v>241.98700000000002</v>
      </c>
      <c r="L946">
        <v>241.98700000000002</v>
      </c>
      <c r="M946">
        <v>241.98700000000002</v>
      </c>
      <c r="N946">
        <v>241.98700000000002</v>
      </c>
      <c r="O946">
        <v>241.98700000000002</v>
      </c>
      <c r="R946">
        <v>0</v>
      </c>
      <c r="S946">
        <v>680.83</v>
      </c>
      <c r="T946">
        <v>564.99</v>
      </c>
      <c r="U946">
        <v>594.23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s="164">
        <v>41275</v>
      </c>
      <c r="AC946" s="164">
        <v>41639</v>
      </c>
      <c r="AD946" s="164">
        <v>41649</v>
      </c>
      <c r="AE946" s="34">
        <f>SUMPRODUCT(DB_STProjectsSOF[[#This Row],[Plan01]:[Plan12]],$D$4:$O$4)/valUnits2</f>
        <v>1.4717750000000001</v>
      </c>
      <c r="AF946" s="34">
        <f>SUMPRODUCT(DB_STProjectsSOF[[#This Row],[Act01]:[Act12]],$P$4:$AA$4)/valUnits2</f>
        <v>1.8400500000000002</v>
      </c>
      <c r="AG946" s="34">
        <f>DB_STProjectsSOF[[#This Row],[Actual]]-DB_STProjectsSOF[[#This Row],[Plan]]</f>
        <v>0.36827500000000013</v>
      </c>
      <c r="AH946" s="34">
        <f>IF(DB_STProjectsSOF[[#This Row],[Plan]]&lt;&gt;0,DB_STProjectsSOF[[#This Row],[Actual]]/DB_STProjectsSOF[[#This Row],[Plan]],1.000011000011)</f>
        <v>1.2502250683698257</v>
      </c>
      <c r="AI946" s="34">
        <f>SUM(DB_STProjectsSOF[[#This Row],[Plan01]:[Plan12]])/valUnits2</f>
        <v>2.9236970000000007</v>
      </c>
      <c r="AJ946" s="34">
        <f>SUMPRODUCT(DB_STProjectsSOF[[#This Row],[Act01]:[Act12]],$P$3:$AA$3)/valUnits2</f>
        <v>1.8400500000000002</v>
      </c>
      <c r="AK946" s="34">
        <f>IF(DB_STProjectsSOF[[#This Row],[FY Plan]]&lt;&gt;0,DB_STProjectsSOF[[#This Row],[FY Actuals]]/DB_STProjectsSOF[[#This Row],[FY Plan]],1.000011000011)</f>
        <v>0.62935728291953641</v>
      </c>
    </row>
    <row r="947" spans="1:37" hidden="1" x14ac:dyDescent="0.2">
      <c r="A947">
        <f>SUBTOTAL(3,$B$6:B947)</f>
        <v>0</v>
      </c>
      <c r="B947" t="s">
        <v>498</v>
      </c>
      <c r="C947" t="s">
        <v>876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213.12</v>
      </c>
      <c r="J947">
        <v>213.12</v>
      </c>
      <c r="K947">
        <v>213.12</v>
      </c>
      <c r="L947">
        <v>213.12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AB947" s="164">
        <v>40817</v>
      </c>
      <c r="AC947" s="164">
        <v>41820</v>
      </c>
      <c r="AD947" s="164">
        <v>41835</v>
      </c>
      <c r="AE947" s="34">
        <f>SUMPRODUCT(DB_STProjectsSOF[[#This Row],[Plan01]:[Plan12]],$D$4:$O$4)/valUnits2</f>
        <v>0.21312</v>
      </c>
      <c r="AF947" s="34">
        <f>SUMPRODUCT(DB_STProjectsSOF[[#This Row],[Act01]:[Act12]],$P$4:$AA$4)/valUnits2</f>
        <v>0</v>
      </c>
      <c r="AG947" s="34">
        <f>DB_STProjectsSOF[[#This Row],[Actual]]-DB_STProjectsSOF[[#This Row],[Plan]]</f>
        <v>-0.21312</v>
      </c>
      <c r="AH947" s="34">
        <f>IF(DB_STProjectsSOF[[#This Row],[Plan]]&lt;&gt;0,DB_STProjectsSOF[[#This Row],[Actual]]/DB_STProjectsSOF[[#This Row],[Plan]],1.000011000011)</f>
        <v>0</v>
      </c>
      <c r="AI947" s="34">
        <f>SUM(DB_STProjectsSOF[[#This Row],[Plan01]:[Plan12]])/valUnits2</f>
        <v>0.85248000000000002</v>
      </c>
      <c r="AJ947" s="34">
        <f>SUMPRODUCT(DB_STProjectsSOF[[#This Row],[Act01]:[Act12]],$P$3:$AA$3)/valUnits2</f>
        <v>0</v>
      </c>
      <c r="AK947" s="34">
        <f>IF(DB_STProjectsSOF[[#This Row],[FY Plan]]&lt;&gt;0,DB_STProjectsSOF[[#This Row],[FY Actuals]]/DB_STProjectsSOF[[#This Row],[FY Plan]],1.000011000011)</f>
        <v>0</v>
      </c>
    </row>
    <row r="948" spans="1:37" hidden="1" x14ac:dyDescent="0.2">
      <c r="A948">
        <f>SUBTOTAL(3,$B$6:B948)</f>
        <v>0</v>
      </c>
      <c r="B948" t="s">
        <v>498</v>
      </c>
      <c r="C948" t="s">
        <v>362</v>
      </c>
      <c r="D948">
        <v>0</v>
      </c>
      <c r="P948">
        <v>0</v>
      </c>
      <c r="AB948" s="164">
        <v>40909</v>
      </c>
      <c r="AC948" s="164">
        <v>41486</v>
      </c>
      <c r="AD948" s="164">
        <v>41670</v>
      </c>
      <c r="AE948" s="34">
        <f>SUMPRODUCT(DB_STProjectsSOF[[#This Row],[Plan01]:[Plan12]],$D$4:$O$4)/valUnits2</f>
        <v>0</v>
      </c>
      <c r="AF948" s="34">
        <f>SUMPRODUCT(DB_STProjectsSOF[[#This Row],[Act01]:[Act12]],$P$4:$AA$4)/valUnits2</f>
        <v>0</v>
      </c>
      <c r="AG948" s="34">
        <f>DB_STProjectsSOF[[#This Row],[Actual]]-DB_STProjectsSOF[[#This Row],[Plan]]</f>
        <v>0</v>
      </c>
      <c r="AH948" s="34">
        <f>IF(DB_STProjectsSOF[[#This Row],[Plan]]&lt;&gt;0,DB_STProjectsSOF[[#This Row],[Actual]]/DB_STProjectsSOF[[#This Row],[Plan]],1.000011000011)</f>
        <v>1.0000110000110001</v>
      </c>
      <c r="AI948" s="34">
        <f>SUM(DB_STProjectsSOF[[#This Row],[Plan01]:[Plan12]])/valUnits2</f>
        <v>0</v>
      </c>
      <c r="AJ948" s="34">
        <f>SUMPRODUCT(DB_STProjectsSOF[[#This Row],[Act01]:[Act12]],$P$3:$AA$3)/valUnits2</f>
        <v>0</v>
      </c>
      <c r="AK948" s="34">
        <f>IF(DB_STProjectsSOF[[#This Row],[FY Plan]]&lt;&gt;0,DB_STProjectsSOF[[#This Row],[FY Actuals]]/DB_STProjectsSOF[[#This Row],[FY Plan]],1.000011000011)</f>
        <v>1.0000110000110001</v>
      </c>
    </row>
    <row r="949" spans="1:37" hidden="1" x14ac:dyDescent="0.2">
      <c r="A949">
        <f>SUBTOTAL(3,$B$6:B949)</f>
        <v>0</v>
      </c>
      <c r="B949" t="s">
        <v>498</v>
      </c>
      <c r="C949" t="s">
        <v>877</v>
      </c>
      <c r="D949">
        <v>0</v>
      </c>
      <c r="E949">
        <v>0</v>
      </c>
      <c r="F949">
        <v>0</v>
      </c>
      <c r="G949">
        <v>2942.5550000000003</v>
      </c>
      <c r="H949">
        <v>1382.9949999999999</v>
      </c>
      <c r="I949">
        <v>1863.3919999999998</v>
      </c>
      <c r="J949">
        <v>1863.3920000000003</v>
      </c>
      <c r="K949">
        <v>1863.3920000000003</v>
      </c>
      <c r="L949">
        <v>1863.3920000000003</v>
      </c>
      <c r="M949">
        <v>1863.3920000000001</v>
      </c>
      <c r="N949">
        <v>1863.3920000000001</v>
      </c>
      <c r="O949">
        <v>1863.3920000000003</v>
      </c>
      <c r="P949">
        <v>0</v>
      </c>
      <c r="Q949">
        <v>0</v>
      </c>
      <c r="R949">
        <v>0</v>
      </c>
      <c r="S949">
        <v>2947.4</v>
      </c>
      <c r="T949">
        <v>1366.2300000000005</v>
      </c>
      <c r="U949">
        <v>1041.32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s="164">
        <v>40817</v>
      </c>
      <c r="AC949" s="164">
        <v>41639</v>
      </c>
      <c r="AD949" s="164">
        <v>41729</v>
      </c>
      <c r="AE949" s="34">
        <f>SUMPRODUCT(DB_STProjectsSOF[[#This Row],[Plan01]:[Plan12]],$D$4:$O$4)/valUnits2</f>
        <v>6.1889419999999999</v>
      </c>
      <c r="AF949" s="34">
        <f>SUMPRODUCT(DB_STProjectsSOF[[#This Row],[Act01]:[Act12]],$P$4:$AA$4)/valUnits2</f>
        <v>5.3549500000000005</v>
      </c>
      <c r="AG949" s="34">
        <f>DB_STProjectsSOF[[#This Row],[Actual]]-DB_STProjectsSOF[[#This Row],[Plan]]</f>
        <v>-0.8339919999999994</v>
      </c>
      <c r="AH949" s="34">
        <f>IF(DB_STProjectsSOF[[#This Row],[Plan]]&lt;&gt;0,DB_STProjectsSOF[[#This Row],[Actual]]/DB_STProjectsSOF[[#This Row],[Plan]],1.000011000011)</f>
        <v>0.86524481890442673</v>
      </c>
      <c r="AI949" s="34">
        <f>SUM(DB_STProjectsSOF[[#This Row],[Plan01]:[Plan12]])/valUnits2</f>
        <v>17.369294</v>
      </c>
      <c r="AJ949" s="34">
        <f>SUMPRODUCT(DB_STProjectsSOF[[#This Row],[Act01]:[Act12]],$P$3:$AA$3)/valUnits2</f>
        <v>5.3549500000000005</v>
      </c>
      <c r="AK949" s="34">
        <f>IF(DB_STProjectsSOF[[#This Row],[FY Plan]]&lt;&gt;0,DB_STProjectsSOF[[#This Row],[FY Actuals]]/DB_STProjectsSOF[[#This Row],[FY Plan]],1.000011000011)</f>
        <v>0.30829980769511994</v>
      </c>
    </row>
    <row r="950" spans="1:37" hidden="1" x14ac:dyDescent="0.2">
      <c r="A950">
        <f>SUBTOTAL(3,$B$6:B950)</f>
        <v>0</v>
      </c>
      <c r="B950" t="s">
        <v>498</v>
      </c>
      <c r="C950" t="s">
        <v>878</v>
      </c>
      <c r="D950">
        <v>0</v>
      </c>
      <c r="E950">
        <v>0</v>
      </c>
      <c r="F950">
        <v>140.63800000000001</v>
      </c>
      <c r="G950">
        <v>140.63800000000001</v>
      </c>
      <c r="H950">
        <v>140.63800000000001</v>
      </c>
      <c r="I950">
        <v>140.63800000000001</v>
      </c>
      <c r="J950">
        <v>140.63800000000001</v>
      </c>
      <c r="K950">
        <v>140.63800000000001</v>
      </c>
      <c r="L950">
        <v>140.63800000000001</v>
      </c>
      <c r="M950">
        <v>140.63800000000001</v>
      </c>
      <c r="N950">
        <v>140.63800000000001</v>
      </c>
      <c r="O950">
        <v>140.63800000000001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1056.29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s="164">
        <v>40969</v>
      </c>
      <c r="AC950" s="164">
        <v>41333</v>
      </c>
      <c r="AD950" s="164">
        <v>41364</v>
      </c>
      <c r="AE950" s="34">
        <f>SUMPRODUCT(DB_STProjectsSOF[[#This Row],[Plan01]:[Plan12]],$D$4:$O$4)/valUnits2</f>
        <v>0.56255200000000005</v>
      </c>
      <c r="AF950" s="34">
        <f>SUMPRODUCT(DB_STProjectsSOF[[#This Row],[Act01]:[Act12]],$P$4:$AA$4)/valUnits2</f>
        <v>1.05629</v>
      </c>
      <c r="AG950" s="34">
        <f>DB_STProjectsSOF[[#This Row],[Actual]]-DB_STProjectsSOF[[#This Row],[Plan]]</f>
        <v>0.4937379999999999</v>
      </c>
      <c r="AH950" s="34">
        <f>IF(DB_STProjectsSOF[[#This Row],[Plan]]&lt;&gt;0,DB_STProjectsSOF[[#This Row],[Actual]]/DB_STProjectsSOF[[#This Row],[Plan]],1.000011000011)</f>
        <v>1.8776753082381714</v>
      </c>
      <c r="AI950" s="34">
        <f>SUM(DB_STProjectsSOF[[#This Row],[Plan01]:[Plan12]])/valUnits2</f>
        <v>1.40638</v>
      </c>
      <c r="AJ950" s="34">
        <f>SUMPRODUCT(DB_STProjectsSOF[[#This Row],[Act01]:[Act12]],$P$3:$AA$3)/valUnits2</f>
        <v>1.05629</v>
      </c>
      <c r="AK950" s="34">
        <f>IF(DB_STProjectsSOF[[#This Row],[FY Plan]]&lt;&gt;0,DB_STProjectsSOF[[#This Row],[FY Actuals]]/DB_STProjectsSOF[[#This Row],[FY Plan]],1.000011000011)</f>
        <v>0.75107012329526868</v>
      </c>
    </row>
    <row r="951" spans="1:37" hidden="1" x14ac:dyDescent="0.2">
      <c r="A951">
        <f>SUBTOTAL(3,$B$6:B951)</f>
        <v>0</v>
      </c>
      <c r="B951" t="s">
        <v>498</v>
      </c>
      <c r="C951" t="s">
        <v>881</v>
      </c>
      <c r="G951">
        <v>657.59</v>
      </c>
      <c r="H951">
        <v>0</v>
      </c>
      <c r="I951">
        <v>702.976</v>
      </c>
      <c r="J951">
        <v>1405.954</v>
      </c>
      <c r="K951">
        <v>702.976</v>
      </c>
      <c r="L951">
        <v>702.976</v>
      </c>
      <c r="M951">
        <v>702.976</v>
      </c>
      <c r="N951">
        <v>702.976</v>
      </c>
      <c r="O951">
        <v>1405.954</v>
      </c>
      <c r="S951">
        <v>657.59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s="164">
        <v>41275</v>
      </c>
      <c r="AC951" s="164">
        <v>41639</v>
      </c>
      <c r="AD951" s="164">
        <v>41685</v>
      </c>
      <c r="AE951" s="34">
        <f>SUMPRODUCT(DB_STProjectsSOF[[#This Row],[Plan01]:[Plan12]],$D$4:$O$4)/valUnits2</f>
        <v>1.3605659999999999</v>
      </c>
      <c r="AF951" s="34">
        <f>SUMPRODUCT(DB_STProjectsSOF[[#This Row],[Act01]:[Act12]],$P$4:$AA$4)/valUnits2</f>
        <v>0.65759000000000001</v>
      </c>
      <c r="AG951" s="34">
        <f>DB_STProjectsSOF[[#This Row],[Actual]]-DB_STProjectsSOF[[#This Row],[Plan]]</f>
        <v>-0.70297599999999993</v>
      </c>
      <c r="AH951" s="34">
        <f>IF(DB_STProjectsSOF[[#This Row],[Plan]]&lt;&gt;0,DB_STProjectsSOF[[#This Row],[Actual]]/DB_STProjectsSOF[[#This Row],[Plan]],1.000011000011)</f>
        <v>0.4833209120321984</v>
      </c>
      <c r="AI951" s="34">
        <f>SUM(DB_STProjectsSOF[[#This Row],[Plan01]:[Plan12]])/valUnits2</f>
        <v>6.9843779999999986</v>
      </c>
      <c r="AJ951" s="34">
        <f>SUMPRODUCT(DB_STProjectsSOF[[#This Row],[Act01]:[Act12]],$P$3:$AA$3)/valUnits2</f>
        <v>0.65759000000000001</v>
      </c>
      <c r="AK951" s="34">
        <f>IF(DB_STProjectsSOF[[#This Row],[FY Plan]]&lt;&gt;0,DB_STProjectsSOF[[#This Row],[FY Actuals]]/DB_STProjectsSOF[[#This Row],[FY Plan]],1.000011000011)</f>
        <v>9.4151547925957063E-2</v>
      </c>
    </row>
    <row r="952" spans="1:37" hidden="1" x14ac:dyDescent="0.2">
      <c r="A952">
        <f>SUBTOTAL(3,$B$6:B952)</f>
        <v>0</v>
      </c>
      <c r="B952" t="s">
        <v>498</v>
      </c>
      <c r="C952" t="s">
        <v>882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929.96900000000005</v>
      </c>
      <c r="J952">
        <v>929.96900000000005</v>
      </c>
      <c r="K952">
        <v>929.96900000000005</v>
      </c>
      <c r="L952">
        <v>929.96900000000005</v>
      </c>
      <c r="M952">
        <v>929.96900000000005</v>
      </c>
      <c r="N952">
        <v>929.96900000000005</v>
      </c>
      <c r="O952">
        <v>929.96900000000005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s="164">
        <v>40817</v>
      </c>
      <c r="AC952" s="164">
        <v>41913</v>
      </c>
      <c r="AD952" s="164">
        <v>42005</v>
      </c>
      <c r="AE952" s="34">
        <f>SUMPRODUCT(DB_STProjectsSOF[[#This Row],[Plan01]:[Plan12]],$D$4:$O$4)/valUnits2</f>
        <v>0.92996900000000005</v>
      </c>
      <c r="AF952" s="34">
        <f>SUMPRODUCT(DB_STProjectsSOF[[#This Row],[Act01]:[Act12]],$P$4:$AA$4)/valUnits2</f>
        <v>0</v>
      </c>
      <c r="AG952" s="34">
        <f>DB_STProjectsSOF[[#This Row],[Actual]]-DB_STProjectsSOF[[#This Row],[Plan]]</f>
        <v>-0.92996900000000005</v>
      </c>
      <c r="AH952" s="34">
        <f>IF(DB_STProjectsSOF[[#This Row],[Plan]]&lt;&gt;0,DB_STProjectsSOF[[#This Row],[Actual]]/DB_STProjectsSOF[[#This Row],[Plan]],1.000011000011)</f>
        <v>0</v>
      </c>
      <c r="AI952" s="34">
        <f>SUM(DB_STProjectsSOF[[#This Row],[Plan01]:[Plan12]])/valUnits2</f>
        <v>6.5097830000000005</v>
      </c>
      <c r="AJ952" s="34">
        <f>SUMPRODUCT(DB_STProjectsSOF[[#This Row],[Act01]:[Act12]],$P$3:$AA$3)/valUnits2</f>
        <v>0</v>
      </c>
      <c r="AK952" s="34">
        <f>IF(DB_STProjectsSOF[[#This Row],[FY Plan]]&lt;&gt;0,DB_STProjectsSOF[[#This Row],[FY Actuals]]/DB_STProjectsSOF[[#This Row],[FY Plan]],1.000011000011)</f>
        <v>0</v>
      </c>
    </row>
    <row r="953" spans="1:37" hidden="1" x14ac:dyDescent="0.2">
      <c r="A953">
        <f>SUBTOTAL(3,$B$6:B953)</f>
        <v>0</v>
      </c>
      <c r="B953" t="s">
        <v>498</v>
      </c>
      <c r="C953" t="s">
        <v>883</v>
      </c>
      <c r="D953">
        <v>0</v>
      </c>
      <c r="E953">
        <v>150.25399999999999</v>
      </c>
      <c r="G953">
        <v>846.12</v>
      </c>
      <c r="H953">
        <v>285.09100000000001</v>
      </c>
      <c r="I953">
        <v>903.40200000000004</v>
      </c>
      <c r="J953">
        <v>903.40200000000004</v>
      </c>
      <c r="K953">
        <v>903.40200000000004</v>
      </c>
      <c r="L953">
        <v>897.255</v>
      </c>
      <c r="M953">
        <v>897.255</v>
      </c>
      <c r="N953">
        <v>897.255</v>
      </c>
      <c r="O953">
        <v>897.255</v>
      </c>
      <c r="P953">
        <v>0</v>
      </c>
      <c r="Q953">
        <v>153.6</v>
      </c>
      <c r="S953">
        <v>846.76</v>
      </c>
      <c r="T953">
        <v>290.26</v>
      </c>
      <c r="U953">
        <v>171.42999999999998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s="164">
        <v>40940</v>
      </c>
      <c r="AC953" s="164">
        <v>41639</v>
      </c>
      <c r="AD953" s="164">
        <v>41698</v>
      </c>
      <c r="AE953" s="34">
        <f>SUMPRODUCT(DB_STProjectsSOF[[#This Row],[Plan01]:[Plan12]],$D$4:$O$4)/valUnits2</f>
        <v>2.1848670000000001</v>
      </c>
      <c r="AF953" s="34">
        <f>SUMPRODUCT(DB_STProjectsSOF[[#This Row],[Act01]:[Act12]],$P$4:$AA$4)/valUnits2</f>
        <v>1.4620499999999998</v>
      </c>
      <c r="AG953" s="34">
        <f>DB_STProjectsSOF[[#This Row],[Actual]]-DB_STProjectsSOF[[#This Row],[Plan]]</f>
        <v>-0.72281700000000026</v>
      </c>
      <c r="AH953" s="34">
        <f>IF(DB_STProjectsSOF[[#This Row],[Plan]]&lt;&gt;0,DB_STProjectsSOF[[#This Row],[Actual]]/DB_STProjectsSOF[[#This Row],[Plan]],1.000011000011)</f>
        <v>0.66917116694059631</v>
      </c>
      <c r="AI953" s="34">
        <f>SUM(DB_STProjectsSOF[[#This Row],[Plan01]:[Plan12]])/valUnits2</f>
        <v>7.5806910000000007</v>
      </c>
      <c r="AJ953" s="34">
        <f>SUMPRODUCT(DB_STProjectsSOF[[#This Row],[Act01]:[Act12]],$P$3:$AA$3)/valUnits2</f>
        <v>1.4620499999999998</v>
      </c>
      <c r="AK953" s="34">
        <f>IF(DB_STProjectsSOF[[#This Row],[FY Plan]]&lt;&gt;0,DB_STProjectsSOF[[#This Row],[FY Actuals]]/DB_STProjectsSOF[[#This Row],[FY Plan]],1.000011000011)</f>
        <v>0.19286500399501835</v>
      </c>
    </row>
    <row r="954" spans="1:37" hidden="1" x14ac:dyDescent="0.2">
      <c r="A954">
        <f>SUBTOTAL(3,$B$6:B954)</f>
        <v>0</v>
      </c>
      <c r="B954" t="s">
        <v>498</v>
      </c>
      <c r="C954" t="s">
        <v>884</v>
      </c>
      <c r="D954">
        <v>1666.6659999999999</v>
      </c>
      <c r="E954">
        <v>1666.6659999999999</v>
      </c>
      <c r="F954">
        <v>1666.6659999999999</v>
      </c>
      <c r="G954">
        <v>1666.6659999999999</v>
      </c>
      <c r="H954">
        <v>1666.6659999999999</v>
      </c>
      <c r="I954">
        <v>1666.6659999999999</v>
      </c>
      <c r="J954">
        <v>1666.6659999999999</v>
      </c>
      <c r="K954">
        <v>1666.6659999999999</v>
      </c>
      <c r="L954">
        <v>1666.6659999999999</v>
      </c>
      <c r="M954">
        <v>1666.6659999999999</v>
      </c>
      <c r="N954">
        <v>1666.6659999999999</v>
      </c>
      <c r="O954">
        <v>1666.6659999999999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s="164">
        <v>40909</v>
      </c>
      <c r="AC954" s="164">
        <v>41274</v>
      </c>
      <c r="AD954" s="164">
        <v>41364</v>
      </c>
      <c r="AE954" s="34">
        <f>SUMPRODUCT(DB_STProjectsSOF[[#This Row],[Plan01]:[Plan12]],$D$4:$O$4)/valUnits2</f>
        <v>9.9999959999999994</v>
      </c>
      <c r="AF954" s="34">
        <f>SUMPRODUCT(DB_STProjectsSOF[[#This Row],[Act01]:[Act12]],$P$4:$AA$4)/valUnits2</f>
        <v>0</v>
      </c>
      <c r="AG954" s="34">
        <f>DB_STProjectsSOF[[#This Row],[Actual]]-DB_STProjectsSOF[[#This Row],[Plan]]</f>
        <v>-9.9999959999999994</v>
      </c>
      <c r="AH954" s="34">
        <f>IF(DB_STProjectsSOF[[#This Row],[Plan]]&lt;&gt;0,DB_STProjectsSOF[[#This Row],[Actual]]/DB_STProjectsSOF[[#This Row],[Plan]],1.000011000011)</f>
        <v>0</v>
      </c>
      <c r="AI954" s="34">
        <f>SUM(DB_STProjectsSOF[[#This Row],[Plan01]:[Plan12]])/valUnits2</f>
        <v>19.999991999999999</v>
      </c>
      <c r="AJ954" s="34">
        <f>SUMPRODUCT(DB_STProjectsSOF[[#This Row],[Act01]:[Act12]],$P$3:$AA$3)/valUnits2</f>
        <v>0</v>
      </c>
      <c r="AK954" s="34">
        <f>IF(DB_STProjectsSOF[[#This Row],[FY Plan]]&lt;&gt;0,DB_STProjectsSOF[[#This Row],[FY Actuals]]/DB_STProjectsSOF[[#This Row],[FY Plan]],1.000011000011)</f>
        <v>0</v>
      </c>
    </row>
    <row r="955" spans="1:37" hidden="1" x14ac:dyDescent="0.2">
      <c r="A955">
        <f>SUBTOTAL(3,$B$6:B955)</f>
        <v>0</v>
      </c>
      <c r="B955" t="s">
        <v>498</v>
      </c>
      <c r="C955" t="s">
        <v>885</v>
      </c>
      <c r="D955">
        <v>0</v>
      </c>
      <c r="E955">
        <v>783.94200000000001</v>
      </c>
      <c r="F955">
        <v>0</v>
      </c>
      <c r="G955">
        <v>3967.855</v>
      </c>
      <c r="H955">
        <v>2246.8139999999999</v>
      </c>
      <c r="I955">
        <v>379.43700000000001</v>
      </c>
      <c r="J955">
        <v>379.43700000000001</v>
      </c>
      <c r="K955">
        <v>379.43700000000001</v>
      </c>
      <c r="L955">
        <v>379.43700000000001</v>
      </c>
      <c r="M955">
        <v>379.43700000000001</v>
      </c>
      <c r="N955">
        <v>379.43700000000001</v>
      </c>
      <c r="O955">
        <v>379.43700000000001</v>
      </c>
      <c r="P955">
        <v>0</v>
      </c>
      <c r="Q955">
        <v>783.93999999999994</v>
      </c>
      <c r="R955">
        <v>0</v>
      </c>
      <c r="S955">
        <v>3956.42</v>
      </c>
      <c r="T955">
        <v>2243.46</v>
      </c>
      <c r="U955">
        <v>1570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s="164">
        <v>40817</v>
      </c>
      <c r="AC955" s="164">
        <v>41639</v>
      </c>
      <c r="AD955" s="164">
        <v>41820</v>
      </c>
      <c r="AE955" s="34">
        <f>SUMPRODUCT(DB_STProjectsSOF[[#This Row],[Plan01]:[Plan12]],$D$4:$O$4)/valUnits2</f>
        <v>7.3780480000000006</v>
      </c>
      <c r="AF955" s="34">
        <f>SUMPRODUCT(DB_STProjectsSOF[[#This Row],[Act01]:[Act12]],$P$4:$AA$4)/valUnits2</f>
        <v>8.55382</v>
      </c>
      <c r="AG955" s="34">
        <f>DB_STProjectsSOF[[#This Row],[Actual]]-DB_STProjectsSOF[[#This Row],[Plan]]</f>
        <v>1.1757719999999994</v>
      </c>
      <c r="AH955" s="34">
        <f>IF(DB_STProjectsSOF[[#This Row],[Plan]]&lt;&gt;0,DB_STProjectsSOF[[#This Row],[Actual]]/DB_STProjectsSOF[[#This Row],[Plan]],1.000011000011)</f>
        <v>1.1593608499158583</v>
      </c>
      <c r="AI955" s="34">
        <f>SUM(DB_STProjectsSOF[[#This Row],[Plan01]:[Plan12]])/valUnits2</f>
        <v>9.6546699999999994</v>
      </c>
      <c r="AJ955" s="34">
        <f>SUMPRODUCT(DB_STProjectsSOF[[#This Row],[Act01]:[Act12]],$P$3:$AA$3)/valUnits2</f>
        <v>8.55382</v>
      </c>
      <c r="AK955" s="34">
        <f>IF(DB_STProjectsSOF[[#This Row],[FY Plan]]&lt;&gt;0,DB_STProjectsSOF[[#This Row],[FY Actuals]]/DB_STProjectsSOF[[#This Row],[FY Plan]],1.000011000011)</f>
        <v>0.88597745961280916</v>
      </c>
    </row>
    <row r="956" spans="1:37" hidden="1" x14ac:dyDescent="0.2">
      <c r="A956">
        <f>SUBTOTAL(3,$B$6:B956)</f>
        <v>0</v>
      </c>
      <c r="B956" t="s">
        <v>498</v>
      </c>
      <c r="C956" t="s">
        <v>887</v>
      </c>
      <c r="D956">
        <v>0</v>
      </c>
      <c r="E956">
        <v>0</v>
      </c>
      <c r="F956">
        <v>0</v>
      </c>
      <c r="P956">
        <v>0</v>
      </c>
      <c r="Q956">
        <v>0</v>
      </c>
      <c r="R956">
        <v>0</v>
      </c>
      <c r="AB956" s="164">
        <v>40817</v>
      </c>
      <c r="AC956" s="164">
        <v>41364</v>
      </c>
      <c r="AD956" s="164">
        <v>41389</v>
      </c>
      <c r="AE956" s="34">
        <f>SUMPRODUCT(DB_STProjectsSOF[[#This Row],[Plan01]:[Plan12]],$D$4:$O$4)/valUnits2</f>
        <v>0</v>
      </c>
      <c r="AF956" s="34">
        <f>SUMPRODUCT(DB_STProjectsSOF[[#This Row],[Act01]:[Act12]],$P$4:$AA$4)/valUnits2</f>
        <v>0</v>
      </c>
      <c r="AG956" s="34">
        <f>DB_STProjectsSOF[[#This Row],[Actual]]-DB_STProjectsSOF[[#This Row],[Plan]]</f>
        <v>0</v>
      </c>
      <c r="AH956" s="34">
        <f>IF(DB_STProjectsSOF[[#This Row],[Plan]]&lt;&gt;0,DB_STProjectsSOF[[#This Row],[Actual]]/DB_STProjectsSOF[[#This Row],[Plan]],1.000011000011)</f>
        <v>1.0000110000110001</v>
      </c>
      <c r="AI956" s="34">
        <f>SUM(DB_STProjectsSOF[[#This Row],[Plan01]:[Plan12]])/valUnits2</f>
        <v>0</v>
      </c>
      <c r="AJ956" s="34">
        <f>SUMPRODUCT(DB_STProjectsSOF[[#This Row],[Act01]:[Act12]],$P$3:$AA$3)/valUnits2</f>
        <v>0</v>
      </c>
      <c r="AK956" s="34">
        <f>IF(DB_STProjectsSOF[[#This Row],[FY Plan]]&lt;&gt;0,DB_STProjectsSOF[[#This Row],[FY Actuals]]/DB_STProjectsSOF[[#This Row],[FY Plan]],1.000011000011)</f>
        <v>1.0000110000110001</v>
      </c>
    </row>
    <row r="957" spans="1:37" hidden="1" x14ac:dyDescent="0.2">
      <c r="A957">
        <f>SUBTOTAL(3,$B$6:B957)</f>
        <v>0</v>
      </c>
      <c r="B957" t="s">
        <v>498</v>
      </c>
      <c r="C957" t="s">
        <v>361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180.71299999999999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s="164">
        <v>41091</v>
      </c>
      <c r="AC957" s="164">
        <v>41455</v>
      </c>
      <c r="AD957" s="164">
        <v>41486</v>
      </c>
      <c r="AE957" s="34">
        <f>SUMPRODUCT(DB_STProjectsSOF[[#This Row],[Plan01]:[Plan12]],$D$4:$O$4)/valUnits2</f>
        <v>0.18071299999999998</v>
      </c>
      <c r="AF957" s="34">
        <f>SUMPRODUCT(DB_STProjectsSOF[[#This Row],[Act01]:[Act12]],$P$4:$AA$4)/valUnits2</f>
        <v>0</v>
      </c>
      <c r="AG957" s="34">
        <f>DB_STProjectsSOF[[#This Row],[Actual]]-DB_STProjectsSOF[[#This Row],[Plan]]</f>
        <v>-0.18071299999999998</v>
      </c>
      <c r="AH957" s="34">
        <f>IF(DB_STProjectsSOF[[#This Row],[Plan]]&lt;&gt;0,DB_STProjectsSOF[[#This Row],[Actual]]/DB_STProjectsSOF[[#This Row],[Plan]],1.000011000011)</f>
        <v>0</v>
      </c>
      <c r="AI957" s="34">
        <f>SUM(DB_STProjectsSOF[[#This Row],[Plan01]:[Plan12]])/valUnits2</f>
        <v>0.18071299999999998</v>
      </c>
      <c r="AJ957" s="34">
        <f>SUMPRODUCT(DB_STProjectsSOF[[#This Row],[Act01]:[Act12]],$P$3:$AA$3)/valUnits2</f>
        <v>0</v>
      </c>
      <c r="AK957" s="34">
        <f>IF(DB_STProjectsSOF[[#This Row],[FY Plan]]&lt;&gt;0,DB_STProjectsSOF[[#This Row],[FY Actuals]]/DB_STProjectsSOF[[#This Row],[FY Plan]],1.000011000011)</f>
        <v>0</v>
      </c>
    </row>
    <row r="958" spans="1:37" hidden="1" x14ac:dyDescent="0.2">
      <c r="A958">
        <f>SUBTOTAL(3,$B$6:B958)</f>
        <v>0</v>
      </c>
      <c r="B958" t="s">
        <v>498</v>
      </c>
      <c r="C958" t="s">
        <v>358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379.21199999999999</v>
      </c>
      <c r="J958">
        <v>379.21199999999999</v>
      </c>
      <c r="K958">
        <v>379.21199999999999</v>
      </c>
      <c r="L958">
        <v>379.21199999999999</v>
      </c>
      <c r="M958">
        <v>379.21199999999999</v>
      </c>
      <c r="N958">
        <v>379.21199999999999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B958" s="164">
        <v>41091</v>
      </c>
      <c r="AC958" s="164">
        <v>41455</v>
      </c>
      <c r="AD958" s="164">
        <v>41517</v>
      </c>
      <c r="AE958" s="34">
        <f>SUMPRODUCT(DB_STProjectsSOF[[#This Row],[Plan01]:[Plan12]],$D$4:$O$4)/valUnits2</f>
        <v>0.37921199999999999</v>
      </c>
      <c r="AF958" s="34">
        <f>SUMPRODUCT(DB_STProjectsSOF[[#This Row],[Act01]:[Act12]],$P$4:$AA$4)/valUnits2</f>
        <v>0</v>
      </c>
      <c r="AG958" s="34">
        <f>DB_STProjectsSOF[[#This Row],[Actual]]-DB_STProjectsSOF[[#This Row],[Plan]]</f>
        <v>-0.37921199999999999</v>
      </c>
      <c r="AH958" s="34">
        <f>IF(DB_STProjectsSOF[[#This Row],[Plan]]&lt;&gt;0,DB_STProjectsSOF[[#This Row],[Actual]]/DB_STProjectsSOF[[#This Row],[Plan]],1.000011000011)</f>
        <v>0</v>
      </c>
      <c r="AI958" s="34">
        <f>SUM(DB_STProjectsSOF[[#This Row],[Plan01]:[Plan12]])/valUnits2</f>
        <v>2.2752719999999997</v>
      </c>
      <c r="AJ958" s="34">
        <f>SUMPRODUCT(DB_STProjectsSOF[[#This Row],[Act01]:[Act12]],$P$3:$AA$3)/valUnits2</f>
        <v>0</v>
      </c>
      <c r="AK958" s="34">
        <f>IF(DB_STProjectsSOF[[#This Row],[FY Plan]]&lt;&gt;0,DB_STProjectsSOF[[#This Row],[FY Actuals]]/DB_STProjectsSOF[[#This Row],[FY Plan]],1.000011000011)</f>
        <v>0</v>
      </c>
    </row>
    <row r="959" spans="1:37" hidden="1" x14ac:dyDescent="0.2">
      <c r="A959">
        <f>SUBTOTAL(3,$B$6:B959)</f>
        <v>0</v>
      </c>
      <c r="B959" t="s">
        <v>498</v>
      </c>
      <c r="C959" t="s">
        <v>890</v>
      </c>
      <c r="E959">
        <v>0</v>
      </c>
      <c r="F959">
        <v>0</v>
      </c>
      <c r="G959">
        <v>0</v>
      </c>
      <c r="H959">
        <v>0</v>
      </c>
      <c r="I959">
        <v>142.32999999999998</v>
      </c>
      <c r="J959">
        <v>142.32999999999998</v>
      </c>
      <c r="K959">
        <v>142.32999999999998</v>
      </c>
      <c r="L959">
        <v>142.32999999999998</v>
      </c>
      <c r="M959">
        <v>142.32999999999998</v>
      </c>
      <c r="N959">
        <v>142.32999999999998</v>
      </c>
      <c r="O959">
        <v>142.32999999999998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s="164">
        <v>40817</v>
      </c>
      <c r="AC959" s="164">
        <v>41639</v>
      </c>
      <c r="AD959" s="164">
        <v>41639</v>
      </c>
      <c r="AE959" s="34">
        <f>SUMPRODUCT(DB_STProjectsSOF[[#This Row],[Plan01]:[Plan12]],$D$4:$O$4)/valUnits2</f>
        <v>0.14232999999999998</v>
      </c>
      <c r="AF959" s="34">
        <f>SUMPRODUCT(DB_STProjectsSOF[[#This Row],[Act01]:[Act12]],$P$4:$AA$4)/valUnits2</f>
        <v>0</v>
      </c>
      <c r="AG959" s="34">
        <f>DB_STProjectsSOF[[#This Row],[Actual]]-DB_STProjectsSOF[[#This Row],[Plan]]</f>
        <v>-0.14232999999999998</v>
      </c>
      <c r="AH959" s="34">
        <f>IF(DB_STProjectsSOF[[#This Row],[Plan]]&lt;&gt;0,DB_STProjectsSOF[[#This Row],[Actual]]/DB_STProjectsSOF[[#This Row],[Plan]],1.000011000011)</f>
        <v>0</v>
      </c>
      <c r="AI959" s="34">
        <f>SUM(DB_STProjectsSOF[[#This Row],[Plan01]:[Plan12]])/valUnits2</f>
        <v>0.9963099999999997</v>
      </c>
      <c r="AJ959" s="34">
        <f>SUMPRODUCT(DB_STProjectsSOF[[#This Row],[Act01]:[Act12]],$P$3:$AA$3)/valUnits2</f>
        <v>0</v>
      </c>
      <c r="AK959" s="34">
        <f>IF(DB_STProjectsSOF[[#This Row],[FY Plan]]&lt;&gt;0,DB_STProjectsSOF[[#This Row],[FY Actuals]]/DB_STProjectsSOF[[#This Row],[FY Plan]],1.000011000011)</f>
        <v>0</v>
      </c>
    </row>
    <row r="960" spans="1:37" hidden="1" x14ac:dyDescent="0.2">
      <c r="A960">
        <f>SUBTOTAL(3,$B$6:B960)</f>
        <v>0</v>
      </c>
      <c r="B960" t="s">
        <v>498</v>
      </c>
      <c r="C960" t="s">
        <v>891</v>
      </c>
      <c r="G960">
        <v>480.16899999999998</v>
      </c>
      <c r="H960">
        <v>616.94899999999996</v>
      </c>
      <c r="I960">
        <v>475.04300000000001</v>
      </c>
      <c r="J960">
        <v>475.04300000000001</v>
      </c>
      <c r="K960">
        <v>475.04300000000001</v>
      </c>
      <c r="L960">
        <v>475.04300000000001</v>
      </c>
      <c r="M960">
        <v>475.04300000000001</v>
      </c>
      <c r="N960">
        <v>475.04300000000001</v>
      </c>
      <c r="O960">
        <v>475.04300000000001</v>
      </c>
      <c r="S960">
        <v>477.43</v>
      </c>
      <c r="T960">
        <v>620.34</v>
      </c>
      <c r="U960">
        <v>2042.3600000000001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s="164">
        <v>41214</v>
      </c>
      <c r="AC960" s="164">
        <v>42308</v>
      </c>
      <c r="AD960" s="164">
        <v>42389</v>
      </c>
      <c r="AE960" s="34">
        <f>SUMPRODUCT(DB_STProjectsSOF[[#This Row],[Plan01]:[Plan12]],$D$4:$O$4)/valUnits2</f>
        <v>1.5721610000000001</v>
      </c>
      <c r="AF960" s="34">
        <f>SUMPRODUCT(DB_STProjectsSOF[[#This Row],[Act01]:[Act12]],$P$4:$AA$4)/valUnits2</f>
        <v>3.1401300000000001</v>
      </c>
      <c r="AG960" s="34">
        <f>DB_STProjectsSOF[[#This Row],[Actual]]-DB_STProjectsSOF[[#This Row],[Plan]]</f>
        <v>1.5679689999999999</v>
      </c>
      <c r="AH960" s="34">
        <f>IF(DB_STProjectsSOF[[#This Row],[Plan]]&lt;&gt;0,DB_STProjectsSOF[[#This Row],[Actual]]/DB_STProjectsSOF[[#This Row],[Plan]],1.000011000011)</f>
        <v>1.9973336064181721</v>
      </c>
      <c r="AI960" s="34">
        <f>SUM(DB_STProjectsSOF[[#This Row],[Plan01]:[Plan12]])/valUnits2</f>
        <v>4.4224190000000005</v>
      </c>
      <c r="AJ960" s="34">
        <f>SUMPRODUCT(DB_STProjectsSOF[[#This Row],[Act01]:[Act12]],$P$3:$AA$3)/valUnits2</f>
        <v>3.1401300000000001</v>
      </c>
      <c r="AK960" s="34">
        <f>IF(DB_STProjectsSOF[[#This Row],[FY Plan]]&lt;&gt;0,DB_STProjectsSOF[[#This Row],[FY Actuals]]/DB_STProjectsSOF[[#This Row],[FY Plan]],1.000011000011)</f>
        <v>0.71004805288689288</v>
      </c>
    </row>
    <row r="961" spans="1:37" hidden="1" x14ac:dyDescent="0.2">
      <c r="A961">
        <f>SUBTOTAL(3,$B$6:B961)</f>
        <v>0</v>
      </c>
      <c r="B961" t="s">
        <v>498</v>
      </c>
      <c r="C961" t="s">
        <v>368</v>
      </c>
      <c r="D961">
        <v>0</v>
      </c>
      <c r="E961">
        <v>0</v>
      </c>
      <c r="G961">
        <v>2265.21</v>
      </c>
      <c r="H961">
        <v>19291.304</v>
      </c>
      <c r="I961">
        <v>10546.154</v>
      </c>
      <c r="J961">
        <v>10546.154</v>
      </c>
      <c r="K961">
        <v>10546.154</v>
      </c>
      <c r="L961">
        <v>10546.154</v>
      </c>
      <c r="M961">
        <v>10546.154</v>
      </c>
      <c r="N961">
        <v>10546.154</v>
      </c>
      <c r="P961">
        <v>0</v>
      </c>
      <c r="Q961">
        <v>0</v>
      </c>
      <c r="S961">
        <v>2265.21</v>
      </c>
      <c r="T961">
        <v>8745.15</v>
      </c>
      <c r="U961">
        <v>4354.24</v>
      </c>
      <c r="V961">
        <v>0</v>
      </c>
      <c r="W961">
        <v>0</v>
      </c>
      <c r="X961">
        <v>0</v>
      </c>
      <c r="Y961">
        <v>0</v>
      </c>
      <c r="Z961">
        <v>0</v>
      </c>
      <c r="AB961" s="164">
        <v>41000</v>
      </c>
      <c r="AC961" s="164">
        <v>41820</v>
      </c>
      <c r="AD961" s="164">
        <v>41517</v>
      </c>
      <c r="AE961" s="34">
        <f>SUMPRODUCT(DB_STProjectsSOF[[#This Row],[Plan01]:[Plan12]],$D$4:$O$4)/valUnits2</f>
        <v>32.102668000000001</v>
      </c>
      <c r="AF961" s="34">
        <f>SUMPRODUCT(DB_STProjectsSOF[[#This Row],[Act01]:[Act12]],$P$4:$AA$4)/valUnits2</f>
        <v>15.364600000000001</v>
      </c>
      <c r="AG961" s="34">
        <f>DB_STProjectsSOF[[#This Row],[Actual]]-DB_STProjectsSOF[[#This Row],[Plan]]</f>
        <v>-16.738067999999998</v>
      </c>
      <c r="AH961" s="34">
        <f>IF(DB_STProjectsSOF[[#This Row],[Plan]]&lt;&gt;0,DB_STProjectsSOF[[#This Row],[Actual]]/DB_STProjectsSOF[[#This Row],[Plan]],1.000011000011)</f>
        <v>0.47860819543098415</v>
      </c>
      <c r="AI961" s="34">
        <f>SUM(DB_STProjectsSOF[[#This Row],[Plan01]:[Plan12]])/valUnits2</f>
        <v>84.833438000000001</v>
      </c>
      <c r="AJ961" s="34">
        <f>SUMPRODUCT(DB_STProjectsSOF[[#This Row],[Act01]:[Act12]],$P$3:$AA$3)/valUnits2</f>
        <v>15.364600000000001</v>
      </c>
      <c r="AK961" s="34">
        <f>IF(DB_STProjectsSOF[[#This Row],[FY Plan]]&lt;&gt;0,DB_STProjectsSOF[[#This Row],[FY Actuals]]/DB_STProjectsSOF[[#This Row],[FY Plan]],1.000011000011)</f>
        <v>0.18111490424330087</v>
      </c>
    </row>
    <row r="962" spans="1:37" hidden="1" x14ac:dyDescent="0.2">
      <c r="A962">
        <f>SUBTOTAL(3,$B$6:B962)</f>
        <v>0</v>
      </c>
      <c r="B962" t="s">
        <v>498</v>
      </c>
      <c r="C962" t="s">
        <v>892</v>
      </c>
      <c r="D962">
        <v>338.06600000000003</v>
      </c>
      <c r="E962">
        <v>327.05399999999997</v>
      </c>
      <c r="F962">
        <v>327.05399999999997</v>
      </c>
      <c r="G962">
        <v>327.05399999999997</v>
      </c>
      <c r="H962">
        <v>327.05399999999997</v>
      </c>
      <c r="I962">
        <v>327.05399999999997</v>
      </c>
      <c r="J962">
        <v>327.05399999999997</v>
      </c>
      <c r="K962">
        <v>327.05399999999997</v>
      </c>
      <c r="L962">
        <v>327.05399999999997</v>
      </c>
      <c r="M962">
        <v>327.05399999999997</v>
      </c>
      <c r="N962">
        <v>327.05399999999997</v>
      </c>
      <c r="O962">
        <v>327.05399999999997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s="164">
        <v>40817</v>
      </c>
      <c r="AC962" s="164">
        <v>41639</v>
      </c>
      <c r="AD962" s="164">
        <v>3</v>
      </c>
      <c r="AE962" s="34">
        <f>SUMPRODUCT(DB_STProjectsSOF[[#This Row],[Plan01]:[Plan12]],$D$4:$O$4)/valUnits2</f>
        <v>1.9733360000000002</v>
      </c>
      <c r="AF962" s="34">
        <f>SUMPRODUCT(DB_STProjectsSOF[[#This Row],[Act01]:[Act12]],$P$4:$AA$4)/valUnits2</f>
        <v>0</v>
      </c>
      <c r="AG962" s="34">
        <f>DB_STProjectsSOF[[#This Row],[Actual]]-DB_STProjectsSOF[[#This Row],[Plan]]</f>
        <v>-1.9733360000000002</v>
      </c>
      <c r="AH962" s="34">
        <f>IF(DB_STProjectsSOF[[#This Row],[Plan]]&lt;&gt;0,DB_STProjectsSOF[[#This Row],[Actual]]/DB_STProjectsSOF[[#This Row],[Plan]],1.000011000011)</f>
        <v>0</v>
      </c>
      <c r="AI962" s="34">
        <f>SUM(DB_STProjectsSOF[[#This Row],[Plan01]:[Plan12]])/valUnits2</f>
        <v>3.9356600000000008</v>
      </c>
      <c r="AJ962" s="34">
        <f>SUMPRODUCT(DB_STProjectsSOF[[#This Row],[Act01]:[Act12]],$P$3:$AA$3)/valUnits2</f>
        <v>0</v>
      </c>
      <c r="AK962" s="34">
        <f>IF(DB_STProjectsSOF[[#This Row],[FY Plan]]&lt;&gt;0,DB_STProjectsSOF[[#This Row],[FY Actuals]]/DB_STProjectsSOF[[#This Row],[FY Plan]],1.000011000011)</f>
        <v>0</v>
      </c>
    </row>
    <row r="963" spans="1:37" hidden="1" x14ac:dyDescent="0.2">
      <c r="A963">
        <f>SUBTOTAL(3,$B$6:B963)</f>
        <v>0</v>
      </c>
      <c r="B963" t="s">
        <v>498</v>
      </c>
      <c r="C963" t="s">
        <v>895</v>
      </c>
      <c r="D963">
        <v>0</v>
      </c>
      <c r="E963">
        <v>0</v>
      </c>
      <c r="F963">
        <v>0</v>
      </c>
      <c r="G963">
        <v>1091.9839999999999</v>
      </c>
      <c r="H963">
        <v>308.58199999999999</v>
      </c>
      <c r="I963">
        <v>759.14200000000005</v>
      </c>
      <c r="J963">
        <v>759.14200000000005</v>
      </c>
      <c r="K963">
        <v>759.14200000000005</v>
      </c>
      <c r="L963">
        <v>759.14200000000005</v>
      </c>
      <c r="M963">
        <v>759.14200000000005</v>
      </c>
      <c r="N963">
        <v>759.14200000000005</v>
      </c>
      <c r="O963">
        <v>759.14200000000005</v>
      </c>
      <c r="P963">
        <v>0</v>
      </c>
      <c r="Q963">
        <v>0</v>
      </c>
      <c r="R963">
        <v>0</v>
      </c>
      <c r="S963">
        <v>1096.5700000000002</v>
      </c>
      <c r="T963">
        <v>304.84000000000003</v>
      </c>
      <c r="U963">
        <v>304.64000000000004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s="164">
        <v>40553</v>
      </c>
      <c r="AC963" s="164">
        <v>41897</v>
      </c>
      <c r="AD963" s="164">
        <v>41988</v>
      </c>
      <c r="AE963" s="34">
        <f>SUMPRODUCT(DB_STProjectsSOF[[#This Row],[Plan01]:[Plan12]],$D$4:$O$4)/valUnits2</f>
        <v>2.1597079999999997</v>
      </c>
      <c r="AF963" s="34">
        <f>SUMPRODUCT(DB_STProjectsSOF[[#This Row],[Act01]:[Act12]],$P$4:$AA$4)/valUnits2</f>
        <v>1.7060500000000005</v>
      </c>
      <c r="AG963" s="34">
        <f>DB_STProjectsSOF[[#This Row],[Actual]]-DB_STProjectsSOF[[#This Row],[Plan]]</f>
        <v>-0.45365799999999923</v>
      </c>
      <c r="AH963" s="34">
        <f>IF(DB_STProjectsSOF[[#This Row],[Plan]]&lt;&gt;0,DB_STProjectsSOF[[#This Row],[Actual]]/DB_STProjectsSOF[[#This Row],[Plan]],1.000011000011)</f>
        <v>0.78994475179052015</v>
      </c>
      <c r="AI963" s="34">
        <f>SUM(DB_STProjectsSOF[[#This Row],[Plan01]:[Plan12]])/valUnits2</f>
        <v>6.7145599999999988</v>
      </c>
      <c r="AJ963" s="34">
        <f>SUMPRODUCT(DB_STProjectsSOF[[#This Row],[Act01]:[Act12]],$P$3:$AA$3)/valUnits2</f>
        <v>1.7060500000000005</v>
      </c>
      <c r="AK963" s="34">
        <f>IF(DB_STProjectsSOF[[#This Row],[FY Plan]]&lt;&gt;0,DB_STProjectsSOF[[#This Row],[FY Actuals]]/DB_STProjectsSOF[[#This Row],[FY Plan]],1.000011000011)</f>
        <v>0.25408217366439512</v>
      </c>
    </row>
    <row r="964" spans="1:37" hidden="1" x14ac:dyDescent="0.2">
      <c r="A964">
        <f>SUBTOTAL(3,$B$6:B964)</f>
        <v>0</v>
      </c>
      <c r="B964" t="s">
        <v>498</v>
      </c>
      <c r="C964" t="s">
        <v>896</v>
      </c>
      <c r="D964">
        <v>0</v>
      </c>
      <c r="E964">
        <v>807.74300000000005</v>
      </c>
      <c r="F964">
        <v>0</v>
      </c>
      <c r="G964">
        <v>1591.0330000000001</v>
      </c>
      <c r="H964">
        <v>1900.9860000000001</v>
      </c>
      <c r="I964">
        <v>535.10300000000007</v>
      </c>
      <c r="J964">
        <v>535.10300000000007</v>
      </c>
      <c r="K964">
        <v>535.10300000000007</v>
      </c>
      <c r="L964">
        <v>535.10300000000007</v>
      </c>
      <c r="M964">
        <v>535.10300000000007</v>
      </c>
      <c r="N964">
        <v>535.10300000000007</v>
      </c>
      <c r="O964">
        <v>535.10300000000007</v>
      </c>
      <c r="P964">
        <v>0</v>
      </c>
      <c r="Q964">
        <v>807.74</v>
      </c>
      <c r="R964">
        <v>0</v>
      </c>
      <c r="S964">
        <v>1591.68</v>
      </c>
      <c r="T964">
        <v>1890.02</v>
      </c>
      <c r="U964">
        <v>686.26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s="164">
        <v>40817</v>
      </c>
      <c r="AC964" s="164">
        <v>41639</v>
      </c>
      <c r="AD964" s="164">
        <v>41820</v>
      </c>
      <c r="AE964" s="34">
        <f>SUMPRODUCT(DB_STProjectsSOF[[#This Row],[Plan01]:[Plan12]],$D$4:$O$4)/valUnits2</f>
        <v>4.8348650000000006</v>
      </c>
      <c r="AF964" s="34">
        <f>SUMPRODUCT(DB_STProjectsSOF[[#This Row],[Act01]:[Act12]],$P$4:$AA$4)/valUnits2</f>
        <v>4.9757000000000007</v>
      </c>
      <c r="AG964" s="34">
        <f>DB_STProjectsSOF[[#This Row],[Actual]]-DB_STProjectsSOF[[#This Row],[Plan]]</f>
        <v>0.14083500000000004</v>
      </c>
      <c r="AH964" s="34">
        <f>IF(DB_STProjectsSOF[[#This Row],[Plan]]&lt;&gt;0,DB_STProjectsSOF[[#This Row],[Actual]]/DB_STProjectsSOF[[#This Row],[Plan]],1.000011000011)</f>
        <v>1.0291290449681636</v>
      </c>
      <c r="AI964" s="34">
        <f>SUM(DB_STProjectsSOF[[#This Row],[Plan01]:[Plan12]])/valUnits2</f>
        <v>8.0454830000000008</v>
      </c>
      <c r="AJ964" s="34">
        <f>SUMPRODUCT(DB_STProjectsSOF[[#This Row],[Act01]:[Act12]],$P$3:$AA$3)/valUnits2</f>
        <v>4.9757000000000007</v>
      </c>
      <c r="AK964" s="34">
        <f>IF(DB_STProjectsSOF[[#This Row],[FY Plan]]&lt;&gt;0,DB_STProjectsSOF[[#This Row],[FY Actuals]]/DB_STProjectsSOF[[#This Row],[FY Plan]],1.000011000011)</f>
        <v>0.618446400296912</v>
      </c>
    </row>
    <row r="965" spans="1:37" hidden="1" x14ac:dyDescent="0.2">
      <c r="A965">
        <f>SUBTOTAL(3,$B$6:B965)</f>
        <v>0</v>
      </c>
      <c r="B965" t="s">
        <v>498</v>
      </c>
      <c r="C965" t="s">
        <v>903</v>
      </c>
      <c r="G965">
        <v>0</v>
      </c>
      <c r="H965">
        <v>0</v>
      </c>
      <c r="I965">
        <v>135.37700000000001</v>
      </c>
      <c r="J965">
        <v>135.37700000000001</v>
      </c>
      <c r="K965">
        <v>135.37700000000001</v>
      </c>
      <c r="L965">
        <v>135.37700000000001</v>
      </c>
      <c r="M965">
        <v>135.37700000000001</v>
      </c>
      <c r="N965">
        <v>135.37700000000001</v>
      </c>
      <c r="O965">
        <v>135.37700000000001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s="164">
        <v>41275</v>
      </c>
      <c r="AC965" s="164">
        <v>41639</v>
      </c>
      <c r="AD965" s="164">
        <v>41670</v>
      </c>
      <c r="AE965" s="34">
        <f>SUMPRODUCT(DB_STProjectsSOF[[#This Row],[Plan01]:[Plan12]],$D$4:$O$4)/valUnits2</f>
        <v>0.135377</v>
      </c>
      <c r="AF965" s="34">
        <f>SUMPRODUCT(DB_STProjectsSOF[[#This Row],[Act01]:[Act12]],$P$4:$AA$4)/valUnits2</f>
        <v>0</v>
      </c>
      <c r="AG965" s="34">
        <f>DB_STProjectsSOF[[#This Row],[Actual]]-DB_STProjectsSOF[[#This Row],[Plan]]</f>
        <v>-0.135377</v>
      </c>
      <c r="AH965" s="34">
        <f>IF(DB_STProjectsSOF[[#This Row],[Plan]]&lt;&gt;0,DB_STProjectsSOF[[#This Row],[Actual]]/DB_STProjectsSOF[[#This Row],[Plan]],1.000011000011)</f>
        <v>0</v>
      </c>
      <c r="AI965" s="34">
        <f>SUM(DB_STProjectsSOF[[#This Row],[Plan01]:[Plan12]])/valUnits2</f>
        <v>0.9476389999999999</v>
      </c>
      <c r="AJ965" s="34">
        <f>SUMPRODUCT(DB_STProjectsSOF[[#This Row],[Act01]:[Act12]],$P$3:$AA$3)/valUnits2</f>
        <v>0</v>
      </c>
      <c r="AK965" s="34">
        <f>IF(DB_STProjectsSOF[[#This Row],[FY Plan]]&lt;&gt;0,DB_STProjectsSOF[[#This Row],[FY Actuals]]/DB_STProjectsSOF[[#This Row],[FY Plan]],1.000011000011)</f>
        <v>0</v>
      </c>
    </row>
    <row r="966" spans="1:37" hidden="1" x14ac:dyDescent="0.2">
      <c r="A966">
        <f>SUBTOTAL(3,$B$6:B966)</f>
        <v>0</v>
      </c>
      <c r="B966" t="s">
        <v>498</v>
      </c>
      <c r="C966" t="s">
        <v>365</v>
      </c>
      <c r="G966">
        <v>0</v>
      </c>
      <c r="H966">
        <v>0</v>
      </c>
      <c r="I966">
        <v>52.024999999999999</v>
      </c>
      <c r="J966">
        <v>52.024999999999999</v>
      </c>
      <c r="K966">
        <v>52.024999999999999</v>
      </c>
      <c r="S966">
        <v>0</v>
      </c>
      <c r="T966">
        <v>0</v>
      </c>
      <c r="U966">
        <v>0</v>
      </c>
      <c r="V966">
        <v>0</v>
      </c>
      <c r="W966">
        <v>0</v>
      </c>
      <c r="AB966" s="164">
        <v>40878</v>
      </c>
      <c r="AC966" s="164">
        <v>41517</v>
      </c>
      <c r="AD966" s="164">
        <v>41547</v>
      </c>
      <c r="AE966" s="34">
        <f>SUMPRODUCT(DB_STProjectsSOF[[#This Row],[Plan01]:[Plan12]],$D$4:$O$4)/valUnits2</f>
        <v>5.2025000000000002E-2</v>
      </c>
      <c r="AF966" s="34">
        <f>SUMPRODUCT(DB_STProjectsSOF[[#This Row],[Act01]:[Act12]],$P$4:$AA$4)/valUnits2</f>
        <v>0</v>
      </c>
      <c r="AG966" s="34">
        <f>DB_STProjectsSOF[[#This Row],[Actual]]-DB_STProjectsSOF[[#This Row],[Plan]]</f>
        <v>-5.2025000000000002E-2</v>
      </c>
      <c r="AH966" s="34">
        <f>IF(DB_STProjectsSOF[[#This Row],[Plan]]&lt;&gt;0,DB_STProjectsSOF[[#This Row],[Actual]]/DB_STProjectsSOF[[#This Row],[Plan]],1.000011000011)</f>
        <v>0</v>
      </c>
      <c r="AI966" s="34">
        <f>SUM(DB_STProjectsSOF[[#This Row],[Plan01]:[Plan12]])/valUnits2</f>
        <v>0.15607499999999999</v>
      </c>
      <c r="AJ966" s="34">
        <f>SUMPRODUCT(DB_STProjectsSOF[[#This Row],[Act01]:[Act12]],$P$3:$AA$3)/valUnits2</f>
        <v>0</v>
      </c>
      <c r="AK966" s="34">
        <f>IF(DB_STProjectsSOF[[#This Row],[FY Plan]]&lt;&gt;0,DB_STProjectsSOF[[#This Row],[FY Actuals]]/DB_STProjectsSOF[[#This Row],[FY Plan]],1.000011000011)</f>
        <v>0</v>
      </c>
    </row>
    <row r="967" spans="1:37" hidden="1" x14ac:dyDescent="0.2">
      <c r="A967">
        <f>SUBTOTAL(3,$B$6:B967)</f>
        <v>0</v>
      </c>
      <c r="B967" t="s">
        <v>498</v>
      </c>
      <c r="C967" t="s">
        <v>904</v>
      </c>
      <c r="D967">
        <v>463.38400000000001</v>
      </c>
      <c r="E967">
        <v>0</v>
      </c>
      <c r="F967">
        <v>6.1029999999999998</v>
      </c>
      <c r="G967">
        <v>14.469000000000001</v>
      </c>
      <c r="H967">
        <v>26.289000000000001</v>
      </c>
      <c r="I967">
        <v>565.27</v>
      </c>
      <c r="J967">
        <v>565.27</v>
      </c>
      <c r="K967">
        <v>565.27</v>
      </c>
      <c r="L967">
        <v>565.27</v>
      </c>
      <c r="M967">
        <v>565.27</v>
      </c>
      <c r="N967">
        <v>565.27</v>
      </c>
      <c r="O967">
        <v>565.27</v>
      </c>
      <c r="P967">
        <v>463.38</v>
      </c>
      <c r="Q967">
        <v>0</v>
      </c>
      <c r="R967">
        <v>6.0600000000000005</v>
      </c>
      <c r="S967">
        <v>14.55</v>
      </c>
      <c r="T967">
        <v>26.33</v>
      </c>
      <c r="U967">
        <v>4.42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s="164">
        <v>40817</v>
      </c>
      <c r="AC967" s="164">
        <v>41639</v>
      </c>
      <c r="AD967" s="164">
        <v>41698</v>
      </c>
      <c r="AE967" s="34">
        <f>SUMPRODUCT(DB_STProjectsSOF[[#This Row],[Plan01]:[Plan12]],$D$4:$O$4)/valUnits2</f>
        <v>1.0755149999999998</v>
      </c>
      <c r="AF967" s="34">
        <f>SUMPRODUCT(DB_STProjectsSOF[[#This Row],[Act01]:[Act12]],$P$4:$AA$4)/valUnits2</f>
        <v>0.51473999999999998</v>
      </c>
      <c r="AG967" s="34">
        <f>DB_STProjectsSOF[[#This Row],[Actual]]-DB_STProjectsSOF[[#This Row],[Plan]]</f>
        <v>-0.5607749999999998</v>
      </c>
      <c r="AH967" s="34">
        <f>IF(DB_STProjectsSOF[[#This Row],[Plan]]&lt;&gt;0,DB_STProjectsSOF[[#This Row],[Actual]]/DB_STProjectsSOF[[#This Row],[Plan]],1.000011000011)</f>
        <v>0.47859862484484184</v>
      </c>
      <c r="AI967" s="34">
        <f>SUM(DB_STProjectsSOF[[#This Row],[Plan01]:[Plan12]])/valUnits2</f>
        <v>4.4671349999999999</v>
      </c>
      <c r="AJ967" s="34">
        <f>SUMPRODUCT(DB_STProjectsSOF[[#This Row],[Act01]:[Act12]],$P$3:$AA$3)/valUnits2</f>
        <v>0.51473999999999998</v>
      </c>
      <c r="AK967" s="34">
        <f>IF(DB_STProjectsSOF[[#This Row],[FY Plan]]&lt;&gt;0,DB_STProjectsSOF[[#This Row],[FY Actuals]]/DB_STProjectsSOF[[#This Row],[FY Plan]],1.000011000011)</f>
        <v>0.11522821674294598</v>
      </c>
    </row>
    <row r="968" spans="1:37" hidden="1" x14ac:dyDescent="0.2">
      <c r="A968">
        <f>SUBTOTAL(3,$B$6:B968)</f>
        <v>0</v>
      </c>
      <c r="B968" t="s">
        <v>498</v>
      </c>
      <c r="C968" t="s">
        <v>905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s="164">
        <v>40909</v>
      </c>
      <c r="AC968" s="164">
        <v>41274</v>
      </c>
      <c r="AD968" s="164">
        <v>41364</v>
      </c>
      <c r="AE968" s="34">
        <f>SUMPRODUCT(DB_STProjectsSOF[[#This Row],[Plan01]:[Plan12]],$D$4:$O$4)/valUnits2</f>
        <v>0</v>
      </c>
      <c r="AF968" s="34">
        <f>SUMPRODUCT(DB_STProjectsSOF[[#This Row],[Act01]:[Act12]],$P$4:$AA$4)/valUnits2</f>
        <v>0</v>
      </c>
      <c r="AG968" s="34">
        <f>DB_STProjectsSOF[[#This Row],[Actual]]-DB_STProjectsSOF[[#This Row],[Plan]]</f>
        <v>0</v>
      </c>
      <c r="AH968" s="34">
        <f>IF(DB_STProjectsSOF[[#This Row],[Plan]]&lt;&gt;0,DB_STProjectsSOF[[#This Row],[Actual]]/DB_STProjectsSOF[[#This Row],[Plan]],1.000011000011)</f>
        <v>1.0000110000110001</v>
      </c>
      <c r="AI968" s="34">
        <f>SUM(DB_STProjectsSOF[[#This Row],[Plan01]:[Plan12]])/valUnits2</f>
        <v>0</v>
      </c>
      <c r="AJ968" s="34">
        <f>SUMPRODUCT(DB_STProjectsSOF[[#This Row],[Act01]:[Act12]],$P$3:$AA$3)/valUnits2</f>
        <v>0</v>
      </c>
      <c r="AK968" s="34">
        <f>IF(DB_STProjectsSOF[[#This Row],[FY Plan]]&lt;&gt;0,DB_STProjectsSOF[[#This Row],[FY Actuals]]/DB_STProjectsSOF[[#This Row],[FY Plan]],1.000011000011)</f>
        <v>1.0000110000110001</v>
      </c>
    </row>
    <row r="969" spans="1:37" hidden="1" x14ac:dyDescent="0.2">
      <c r="A969">
        <f>SUBTOTAL(3,$B$6:B969)</f>
        <v>0</v>
      </c>
      <c r="B969" t="s">
        <v>498</v>
      </c>
      <c r="C969" t="s">
        <v>907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s="164">
        <v>40909</v>
      </c>
      <c r="AC969" s="164">
        <v>41274</v>
      </c>
      <c r="AD969" s="164">
        <v>41320</v>
      </c>
      <c r="AE969" s="34">
        <f>SUMPRODUCT(DB_STProjectsSOF[[#This Row],[Plan01]:[Plan12]],$D$4:$O$4)/valUnits2</f>
        <v>0</v>
      </c>
      <c r="AF969" s="34">
        <f>SUMPRODUCT(DB_STProjectsSOF[[#This Row],[Act01]:[Act12]],$P$4:$AA$4)/valUnits2</f>
        <v>0</v>
      </c>
      <c r="AG969" s="34">
        <f>DB_STProjectsSOF[[#This Row],[Actual]]-DB_STProjectsSOF[[#This Row],[Plan]]</f>
        <v>0</v>
      </c>
      <c r="AH969" s="34">
        <f>IF(DB_STProjectsSOF[[#This Row],[Plan]]&lt;&gt;0,DB_STProjectsSOF[[#This Row],[Actual]]/DB_STProjectsSOF[[#This Row],[Plan]],1.000011000011)</f>
        <v>1.0000110000110001</v>
      </c>
      <c r="AI969" s="34">
        <f>SUM(DB_STProjectsSOF[[#This Row],[Plan01]:[Plan12]])/valUnits2</f>
        <v>0</v>
      </c>
      <c r="AJ969" s="34">
        <f>SUMPRODUCT(DB_STProjectsSOF[[#This Row],[Act01]:[Act12]],$P$3:$AA$3)/valUnits2</f>
        <v>0</v>
      </c>
      <c r="AK969" s="34">
        <f>IF(DB_STProjectsSOF[[#This Row],[FY Plan]]&lt;&gt;0,DB_STProjectsSOF[[#This Row],[FY Actuals]]/DB_STProjectsSOF[[#This Row],[FY Plan]],1.000011000011)</f>
        <v>1.0000110000110001</v>
      </c>
    </row>
    <row r="970" spans="1:37" hidden="1" x14ac:dyDescent="0.2">
      <c r="A970">
        <f>SUBTOTAL(3,$B$6:B970)</f>
        <v>0</v>
      </c>
      <c r="B970" t="s">
        <v>498</v>
      </c>
      <c r="C970" t="s">
        <v>909</v>
      </c>
      <c r="D970">
        <v>2403.8500000000004</v>
      </c>
      <c r="E970">
        <v>813.38</v>
      </c>
      <c r="F970">
        <v>1866.2499999999995</v>
      </c>
      <c r="G970">
        <v>3246.35</v>
      </c>
      <c r="H970">
        <v>3122.45</v>
      </c>
      <c r="I970">
        <v>5061.5</v>
      </c>
      <c r="J970">
        <v>5061.5</v>
      </c>
      <c r="K970">
        <v>5061.5</v>
      </c>
      <c r="L970">
        <v>5061.5</v>
      </c>
      <c r="M970">
        <v>5061.5</v>
      </c>
      <c r="N970">
        <v>5061.5</v>
      </c>
      <c r="O970">
        <v>5061.5</v>
      </c>
      <c r="P970">
        <v>2403.85</v>
      </c>
      <c r="Q970">
        <v>813.38000000000011</v>
      </c>
      <c r="R970">
        <v>1866.25</v>
      </c>
      <c r="S970">
        <v>3246.35</v>
      </c>
      <c r="T970">
        <v>3122.45</v>
      </c>
      <c r="U970">
        <v>3606.93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s="164">
        <v>40817</v>
      </c>
      <c r="AC970" s="164">
        <v>42155</v>
      </c>
      <c r="AD970" s="164">
        <v>42217</v>
      </c>
      <c r="AE970" s="34">
        <f>SUMPRODUCT(DB_STProjectsSOF[[#This Row],[Plan01]:[Plan12]],$D$4:$O$4)/valUnits2</f>
        <v>16.513780000000001</v>
      </c>
      <c r="AF970" s="34">
        <f>SUMPRODUCT(DB_STProjectsSOF[[#This Row],[Act01]:[Act12]],$P$4:$AA$4)/valUnits2</f>
        <v>15.059209999999998</v>
      </c>
      <c r="AG970" s="34">
        <f>DB_STProjectsSOF[[#This Row],[Actual]]-DB_STProjectsSOF[[#This Row],[Plan]]</f>
        <v>-1.4545700000000021</v>
      </c>
      <c r="AH970" s="34">
        <f>IF(DB_STProjectsSOF[[#This Row],[Plan]]&lt;&gt;0,DB_STProjectsSOF[[#This Row],[Actual]]/DB_STProjectsSOF[[#This Row],[Plan]],1.000011000011)</f>
        <v>0.91191780440335268</v>
      </c>
      <c r="AI970" s="34">
        <f>SUM(DB_STProjectsSOF[[#This Row],[Plan01]:[Plan12]])/valUnits2</f>
        <v>46.882779999999997</v>
      </c>
      <c r="AJ970" s="34">
        <f>SUMPRODUCT(DB_STProjectsSOF[[#This Row],[Act01]:[Act12]],$P$3:$AA$3)/valUnits2</f>
        <v>15.059209999999998</v>
      </c>
      <c r="AK970" s="34">
        <f>IF(DB_STProjectsSOF[[#This Row],[FY Plan]]&lt;&gt;0,DB_STProjectsSOF[[#This Row],[FY Actuals]]/DB_STProjectsSOF[[#This Row],[FY Plan]],1.000011000011)</f>
        <v>0.32120983439975187</v>
      </c>
    </row>
    <row r="971" spans="1:37" hidden="1" x14ac:dyDescent="0.2">
      <c r="A971">
        <f>SUBTOTAL(3,$B$6:B971)</f>
        <v>0</v>
      </c>
      <c r="B971" t="s">
        <v>498</v>
      </c>
      <c r="C971" t="s">
        <v>354</v>
      </c>
      <c r="G971">
        <v>1884.212</v>
      </c>
      <c r="H971">
        <v>2970.05</v>
      </c>
      <c r="I971">
        <v>297.35399999999998</v>
      </c>
      <c r="S971">
        <v>1856.49</v>
      </c>
      <c r="T971">
        <v>3061.98</v>
      </c>
      <c r="U971">
        <v>1886.81</v>
      </c>
      <c r="AB971" s="164">
        <v>41091</v>
      </c>
      <c r="AC971" s="164">
        <v>41455</v>
      </c>
      <c r="AD971" s="164">
        <v>41517</v>
      </c>
      <c r="AE971" s="34">
        <f>SUMPRODUCT(DB_STProjectsSOF[[#This Row],[Plan01]:[Plan12]],$D$4:$O$4)/valUnits2</f>
        <v>5.1516160000000006</v>
      </c>
      <c r="AF971" s="34">
        <f>SUMPRODUCT(DB_STProjectsSOF[[#This Row],[Act01]:[Act12]],$P$4:$AA$4)/valUnits2</f>
        <v>6.8052800000000007</v>
      </c>
      <c r="AG971" s="34">
        <f>DB_STProjectsSOF[[#This Row],[Actual]]-DB_STProjectsSOF[[#This Row],[Plan]]</f>
        <v>1.653664</v>
      </c>
      <c r="AH971" s="34">
        <f>IF(DB_STProjectsSOF[[#This Row],[Plan]]&lt;&gt;0,DB_STProjectsSOF[[#This Row],[Actual]]/DB_STProjectsSOF[[#This Row],[Plan]],1.000011000011)</f>
        <v>1.3209990806768206</v>
      </c>
      <c r="AI971" s="34">
        <f>SUM(DB_STProjectsSOF[[#This Row],[Plan01]:[Plan12]])/valUnits2</f>
        <v>5.1516160000000006</v>
      </c>
      <c r="AJ971" s="34">
        <f>SUMPRODUCT(DB_STProjectsSOF[[#This Row],[Act01]:[Act12]],$P$3:$AA$3)/valUnits2</f>
        <v>6.8052800000000007</v>
      </c>
      <c r="AK971" s="34">
        <f>IF(DB_STProjectsSOF[[#This Row],[FY Plan]]&lt;&gt;0,DB_STProjectsSOF[[#This Row],[FY Actuals]]/DB_STProjectsSOF[[#This Row],[FY Plan]],1.000011000011)</f>
        <v>1.3209990806768206</v>
      </c>
    </row>
    <row r="972" spans="1:37" hidden="1" x14ac:dyDescent="0.2">
      <c r="A972">
        <f>SUBTOTAL(3,$B$6:B972)</f>
        <v>0</v>
      </c>
      <c r="B972" t="s">
        <v>498</v>
      </c>
      <c r="C972" t="s">
        <v>911</v>
      </c>
      <c r="D972">
        <v>1876.0929999999998</v>
      </c>
      <c r="E972">
        <v>2329.654</v>
      </c>
      <c r="F972">
        <v>4073.848</v>
      </c>
      <c r="G972">
        <v>4377.4780000000001</v>
      </c>
      <c r="H972">
        <v>3186.7479999999996</v>
      </c>
      <c r="I972">
        <v>1581.838</v>
      </c>
      <c r="J972">
        <v>1581.838</v>
      </c>
      <c r="K972">
        <v>1581.838</v>
      </c>
      <c r="L972">
        <v>1581.838</v>
      </c>
      <c r="M972">
        <v>1581.838</v>
      </c>
      <c r="P972">
        <v>1216.8399999999999</v>
      </c>
      <c r="Q972">
        <v>1347.66</v>
      </c>
      <c r="R972">
        <v>2492.0100000000002</v>
      </c>
      <c r="S972">
        <v>2795.64</v>
      </c>
      <c r="T972">
        <v>1604.9099999999999</v>
      </c>
      <c r="U972">
        <v>1720.21</v>
      </c>
      <c r="V972">
        <v>0</v>
      </c>
      <c r="W972">
        <v>0</v>
      </c>
      <c r="X972">
        <v>0</v>
      </c>
      <c r="Y972">
        <v>0</v>
      </c>
      <c r="AB972" s="164">
        <v>40817</v>
      </c>
      <c r="AC972" s="164">
        <v>41578</v>
      </c>
      <c r="AD972" s="164">
        <v>41639</v>
      </c>
      <c r="AE972" s="34">
        <f>SUMPRODUCT(DB_STProjectsSOF[[#This Row],[Plan01]:[Plan12]],$D$4:$O$4)/valUnits2</f>
        <v>17.425659</v>
      </c>
      <c r="AF972" s="34">
        <f>SUMPRODUCT(DB_STProjectsSOF[[#This Row],[Act01]:[Act12]],$P$4:$AA$4)/valUnits2</f>
        <v>11.17727</v>
      </c>
      <c r="AG972" s="34">
        <f>DB_STProjectsSOF[[#This Row],[Actual]]-DB_STProjectsSOF[[#This Row],[Plan]]</f>
        <v>-6.2483889999999995</v>
      </c>
      <c r="AH972" s="34">
        <f>IF(DB_STProjectsSOF[[#This Row],[Plan]]&lt;&gt;0,DB_STProjectsSOF[[#This Row],[Actual]]/DB_STProjectsSOF[[#This Row],[Plan]],1.000011000011)</f>
        <v>0.6414259569752857</v>
      </c>
      <c r="AI972" s="34">
        <f>SUM(DB_STProjectsSOF[[#This Row],[Plan01]:[Plan12]])/valUnits2</f>
        <v>23.753010999999997</v>
      </c>
      <c r="AJ972" s="34">
        <f>SUMPRODUCT(DB_STProjectsSOF[[#This Row],[Act01]:[Act12]],$P$3:$AA$3)/valUnits2</f>
        <v>11.17727</v>
      </c>
      <c r="AK972" s="34">
        <f>IF(DB_STProjectsSOF[[#This Row],[FY Plan]]&lt;&gt;0,DB_STProjectsSOF[[#This Row],[FY Actuals]]/DB_STProjectsSOF[[#This Row],[FY Plan]],1.000011000011)</f>
        <v>0.47056223735171937</v>
      </c>
    </row>
    <row r="973" spans="1:37" hidden="1" x14ac:dyDescent="0.2">
      <c r="A973">
        <f>SUBTOTAL(3,$B$6:B973)</f>
        <v>0</v>
      </c>
      <c r="B973" t="s">
        <v>498</v>
      </c>
      <c r="C973" t="s">
        <v>912</v>
      </c>
      <c r="D973">
        <v>411.44</v>
      </c>
      <c r="G973">
        <v>-411.44</v>
      </c>
      <c r="P973">
        <v>411.44</v>
      </c>
      <c r="S973">
        <v>-411.44</v>
      </c>
      <c r="AB973" s="164">
        <v>40909</v>
      </c>
      <c r="AC973" s="164">
        <v>41274</v>
      </c>
      <c r="AD973" s="164">
        <v>41320</v>
      </c>
      <c r="AE973" s="34">
        <f>SUMPRODUCT(DB_STProjectsSOF[[#This Row],[Plan01]:[Plan12]],$D$4:$O$4)/valUnits2</f>
        <v>0</v>
      </c>
      <c r="AF973" s="34">
        <f>SUMPRODUCT(DB_STProjectsSOF[[#This Row],[Act01]:[Act12]],$P$4:$AA$4)/valUnits2</f>
        <v>0</v>
      </c>
      <c r="AG973" s="34">
        <f>DB_STProjectsSOF[[#This Row],[Actual]]-DB_STProjectsSOF[[#This Row],[Plan]]</f>
        <v>0</v>
      </c>
      <c r="AH973" s="34">
        <f>IF(DB_STProjectsSOF[[#This Row],[Plan]]&lt;&gt;0,DB_STProjectsSOF[[#This Row],[Actual]]/DB_STProjectsSOF[[#This Row],[Plan]],1.000011000011)</f>
        <v>1.0000110000110001</v>
      </c>
      <c r="AI973" s="34">
        <f>SUM(DB_STProjectsSOF[[#This Row],[Plan01]:[Plan12]])/valUnits2</f>
        <v>0</v>
      </c>
      <c r="AJ973" s="34">
        <f>SUMPRODUCT(DB_STProjectsSOF[[#This Row],[Act01]:[Act12]],$P$3:$AA$3)/valUnits2</f>
        <v>0</v>
      </c>
      <c r="AK973" s="34">
        <f>IF(DB_STProjectsSOF[[#This Row],[FY Plan]]&lt;&gt;0,DB_STProjectsSOF[[#This Row],[FY Actuals]]/DB_STProjectsSOF[[#This Row],[FY Plan]],1.000011000011)</f>
        <v>1.0000110000110001</v>
      </c>
    </row>
    <row r="974" spans="1:37" hidden="1" x14ac:dyDescent="0.2">
      <c r="A974">
        <f>SUBTOTAL(3,$B$6:B974)</f>
        <v>0</v>
      </c>
      <c r="B974" t="s">
        <v>498</v>
      </c>
      <c r="C974" t="s">
        <v>913</v>
      </c>
      <c r="D974">
        <v>0</v>
      </c>
      <c r="E974">
        <v>0</v>
      </c>
      <c r="F974">
        <v>0</v>
      </c>
      <c r="G974">
        <v>1263.364</v>
      </c>
      <c r="H974">
        <v>2416.6660000000002</v>
      </c>
      <c r="I974">
        <v>84.236000000000004</v>
      </c>
      <c r="J974">
        <v>84.236000000000004</v>
      </c>
      <c r="K974">
        <v>84.236000000000004</v>
      </c>
      <c r="L974">
        <v>84.236000000000004</v>
      </c>
      <c r="M974">
        <v>84.236000000000004</v>
      </c>
      <c r="N974">
        <v>84.236000000000004</v>
      </c>
      <c r="O974">
        <v>84.236000000000004</v>
      </c>
      <c r="P974">
        <v>0</v>
      </c>
      <c r="Q974">
        <v>0</v>
      </c>
      <c r="R974">
        <v>0</v>
      </c>
      <c r="S974">
        <v>1256.1599999999999</v>
      </c>
      <c r="T974">
        <v>2422.7800000000002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s="164">
        <v>40817</v>
      </c>
      <c r="AC974" s="164">
        <v>41639</v>
      </c>
      <c r="AD974" s="164">
        <v>41685</v>
      </c>
      <c r="AE974" s="34">
        <f>SUMPRODUCT(DB_STProjectsSOF[[#This Row],[Plan01]:[Plan12]],$D$4:$O$4)/valUnits2</f>
        <v>3.7642660000000001</v>
      </c>
      <c r="AF974" s="34">
        <f>SUMPRODUCT(DB_STProjectsSOF[[#This Row],[Act01]:[Act12]],$P$4:$AA$4)/valUnits2</f>
        <v>3.6789399999999999</v>
      </c>
      <c r="AG974" s="34">
        <f>DB_STProjectsSOF[[#This Row],[Actual]]-DB_STProjectsSOF[[#This Row],[Plan]]</f>
        <v>-8.5326000000000235E-2</v>
      </c>
      <c r="AH974" s="34">
        <f>IF(DB_STProjectsSOF[[#This Row],[Plan]]&lt;&gt;0,DB_STProjectsSOF[[#This Row],[Actual]]/DB_STProjectsSOF[[#This Row],[Plan]],1.000011000011)</f>
        <v>0.97733263270980308</v>
      </c>
      <c r="AI974" s="34">
        <f>SUM(DB_STProjectsSOF[[#This Row],[Plan01]:[Plan12]])/valUnits2</f>
        <v>4.2696819999999995</v>
      </c>
      <c r="AJ974" s="34">
        <f>SUMPRODUCT(DB_STProjectsSOF[[#This Row],[Act01]:[Act12]],$P$3:$AA$3)/valUnits2</f>
        <v>3.6789399999999999</v>
      </c>
      <c r="AK974" s="34">
        <f>IF(DB_STProjectsSOF[[#This Row],[FY Plan]]&lt;&gt;0,DB_STProjectsSOF[[#This Row],[FY Actuals]]/DB_STProjectsSOF[[#This Row],[FY Plan]],1.000011000011)</f>
        <v>0.86164262350217191</v>
      </c>
    </row>
    <row r="975" spans="1:37" hidden="1" x14ac:dyDescent="0.2">
      <c r="A975">
        <f>SUBTOTAL(3,$B$6:B975)</f>
        <v>0</v>
      </c>
      <c r="B975" t="s">
        <v>498</v>
      </c>
      <c r="C975" t="s">
        <v>915</v>
      </c>
      <c r="D975">
        <v>0</v>
      </c>
      <c r="E975">
        <v>0</v>
      </c>
      <c r="F975">
        <v>0</v>
      </c>
      <c r="G975">
        <v>240.73099999999999</v>
      </c>
      <c r="H975">
        <v>983.173</v>
      </c>
      <c r="I975">
        <v>43.953000000000003</v>
      </c>
      <c r="J975">
        <v>43.953000000000003</v>
      </c>
      <c r="K975">
        <v>43.953000000000003</v>
      </c>
      <c r="L975">
        <v>43.953000000000003</v>
      </c>
      <c r="M975">
        <v>43.953000000000003</v>
      </c>
      <c r="N975">
        <v>43.953000000000003</v>
      </c>
      <c r="O975">
        <v>43.953000000000003</v>
      </c>
      <c r="P975">
        <v>0</v>
      </c>
      <c r="Q975">
        <v>0</v>
      </c>
      <c r="R975">
        <v>0</v>
      </c>
      <c r="S975">
        <v>236.53</v>
      </c>
      <c r="T975">
        <v>998.71</v>
      </c>
      <c r="U975">
        <v>560.29999999999995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s="164">
        <v>41061</v>
      </c>
      <c r="AC975" s="164">
        <v>42155</v>
      </c>
      <c r="AD975" s="164">
        <v>42185</v>
      </c>
      <c r="AE975" s="34">
        <f>SUMPRODUCT(DB_STProjectsSOF[[#This Row],[Plan01]:[Plan12]],$D$4:$O$4)/valUnits2</f>
        <v>1.267857</v>
      </c>
      <c r="AF975" s="34">
        <f>SUMPRODUCT(DB_STProjectsSOF[[#This Row],[Act01]:[Act12]],$P$4:$AA$4)/valUnits2</f>
        <v>1.7955399999999999</v>
      </c>
      <c r="AG975" s="34">
        <f>DB_STProjectsSOF[[#This Row],[Actual]]-DB_STProjectsSOF[[#This Row],[Plan]]</f>
        <v>0.5276829999999999</v>
      </c>
      <c r="AH975" s="34">
        <f>IF(DB_STProjectsSOF[[#This Row],[Plan]]&lt;&gt;0,DB_STProjectsSOF[[#This Row],[Actual]]/DB_STProjectsSOF[[#This Row],[Plan]],1.000011000011)</f>
        <v>1.416200722952194</v>
      </c>
      <c r="AI975" s="34">
        <f>SUM(DB_STProjectsSOF[[#This Row],[Plan01]:[Plan12]])/valUnits2</f>
        <v>1.5315749999999999</v>
      </c>
      <c r="AJ975" s="34">
        <f>SUMPRODUCT(DB_STProjectsSOF[[#This Row],[Act01]:[Act12]],$P$3:$AA$3)/valUnits2</f>
        <v>1.7955399999999999</v>
      </c>
      <c r="AK975" s="34">
        <f>IF(DB_STProjectsSOF[[#This Row],[FY Plan]]&lt;&gt;0,DB_STProjectsSOF[[#This Row],[FY Actuals]]/DB_STProjectsSOF[[#This Row],[FY Plan]],1.000011000011)</f>
        <v>1.172348725984689</v>
      </c>
    </row>
    <row r="976" spans="1:37" hidden="1" x14ac:dyDescent="0.2">
      <c r="A976">
        <f>SUBTOTAL(3,$B$6:B976)</f>
        <v>0</v>
      </c>
      <c r="B976" t="s">
        <v>498</v>
      </c>
      <c r="C976" t="s">
        <v>356</v>
      </c>
      <c r="G976">
        <v>0</v>
      </c>
      <c r="H976">
        <v>0</v>
      </c>
      <c r="I976">
        <v>378.20799999999997</v>
      </c>
      <c r="S976">
        <v>0</v>
      </c>
      <c r="T976">
        <v>0</v>
      </c>
      <c r="U976">
        <v>0</v>
      </c>
      <c r="AB976" s="164">
        <v>41091</v>
      </c>
      <c r="AC976" s="164">
        <v>41455</v>
      </c>
      <c r="AD976" s="164">
        <v>41547</v>
      </c>
      <c r="AE976" s="34">
        <f>SUMPRODUCT(DB_STProjectsSOF[[#This Row],[Plan01]:[Plan12]],$D$4:$O$4)/valUnits2</f>
        <v>0.37820799999999999</v>
      </c>
      <c r="AF976" s="34">
        <f>SUMPRODUCT(DB_STProjectsSOF[[#This Row],[Act01]:[Act12]],$P$4:$AA$4)/valUnits2</f>
        <v>0</v>
      </c>
      <c r="AG976" s="34">
        <f>DB_STProjectsSOF[[#This Row],[Actual]]-DB_STProjectsSOF[[#This Row],[Plan]]</f>
        <v>-0.37820799999999999</v>
      </c>
      <c r="AH976" s="34">
        <f>IF(DB_STProjectsSOF[[#This Row],[Plan]]&lt;&gt;0,DB_STProjectsSOF[[#This Row],[Actual]]/DB_STProjectsSOF[[#This Row],[Plan]],1.000011000011)</f>
        <v>0</v>
      </c>
      <c r="AI976" s="34">
        <f>SUM(DB_STProjectsSOF[[#This Row],[Plan01]:[Plan12]])/valUnits2</f>
        <v>0.37820799999999999</v>
      </c>
      <c r="AJ976" s="34">
        <f>SUMPRODUCT(DB_STProjectsSOF[[#This Row],[Act01]:[Act12]],$P$3:$AA$3)/valUnits2</f>
        <v>0</v>
      </c>
      <c r="AK976" s="34">
        <f>IF(DB_STProjectsSOF[[#This Row],[FY Plan]]&lt;&gt;0,DB_STProjectsSOF[[#This Row],[FY Actuals]]/DB_STProjectsSOF[[#This Row],[FY Plan]],1.000011000011)</f>
        <v>0</v>
      </c>
    </row>
    <row r="977" spans="1:37" hidden="1" x14ac:dyDescent="0.2">
      <c r="A977">
        <f>SUBTOTAL(3,$B$6:B977)</f>
        <v>0</v>
      </c>
      <c r="B977" t="s">
        <v>498</v>
      </c>
      <c r="C977" t="s">
        <v>919</v>
      </c>
      <c r="D977">
        <v>0</v>
      </c>
      <c r="E977">
        <v>1146.6559999999999</v>
      </c>
      <c r="F977">
        <v>1323.0130000000001</v>
      </c>
      <c r="G977">
        <v>2395.5709999999999</v>
      </c>
      <c r="H977">
        <v>0</v>
      </c>
      <c r="I977">
        <v>821.96499999999992</v>
      </c>
      <c r="J977">
        <v>821.96500000000003</v>
      </c>
      <c r="K977">
        <v>821.96500000000003</v>
      </c>
      <c r="L977">
        <v>821.96500000000003</v>
      </c>
      <c r="M977">
        <v>821.96500000000003</v>
      </c>
      <c r="N977">
        <v>821.96500000000003</v>
      </c>
      <c r="O977">
        <v>821.96500000000003</v>
      </c>
      <c r="P977">
        <v>0</v>
      </c>
      <c r="Q977">
        <v>1170.7</v>
      </c>
      <c r="R977">
        <v>1334.9899999999998</v>
      </c>
      <c r="S977">
        <v>2398.27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s="164">
        <v>40878</v>
      </c>
      <c r="AC977" s="164">
        <v>42794</v>
      </c>
      <c r="AD977" s="164">
        <v>42978</v>
      </c>
      <c r="AE977" s="34">
        <f>SUMPRODUCT(DB_STProjectsSOF[[#This Row],[Plan01]:[Plan12]],$D$4:$O$4)/valUnits2</f>
        <v>5.6872049999999996</v>
      </c>
      <c r="AF977" s="34">
        <f>SUMPRODUCT(DB_STProjectsSOF[[#This Row],[Act01]:[Act12]],$P$4:$AA$4)/valUnits2</f>
        <v>4.9039599999999988</v>
      </c>
      <c r="AG977" s="34">
        <f>DB_STProjectsSOF[[#This Row],[Actual]]-DB_STProjectsSOF[[#This Row],[Plan]]</f>
        <v>-0.78324500000000086</v>
      </c>
      <c r="AH977" s="34">
        <f>IF(DB_STProjectsSOF[[#This Row],[Plan]]&lt;&gt;0,DB_STProjectsSOF[[#This Row],[Actual]]/DB_STProjectsSOF[[#This Row],[Plan]],1.000011000011)</f>
        <v>0.86227945009895002</v>
      </c>
      <c r="AI977" s="34">
        <f>SUM(DB_STProjectsSOF[[#This Row],[Plan01]:[Plan12]])/valUnits2</f>
        <v>10.618995</v>
      </c>
      <c r="AJ977" s="34">
        <f>SUMPRODUCT(DB_STProjectsSOF[[#This Row],[Act01]:[Act12]],$P$3:$AA$3)/valUnits2</f>
        <v>4.9039599999999988</v>
      </c>
      <c r="AK977" s="34">
        <f>IF(DB_STProjectsSOF[[#This Row],[FY Plan]]&lt;&gt;0,DB_STProjectsSOF[[#This Row],[FY Actuals]]/DB_STProjectsSOF[[#This Row],[FY Plan]],1.000011000011)</f>
        <v>0.46181018071860835</v>
      </c>
    </row>
    <row r="978" spans="1:37" hidden="1" x14ac:dyDescent="0.2">
      <c r="A978">
        <f>SUBTOTAL(3,$B$6:B978)</f>
        <v>0</v>
      </c>
      <c r="B978" t="s">
        <v>498</v>
      </c>
      <c r="C978" t="s">
        <v>921</v>
      </c>
      <c r="D978">
        <v>0</v>
      </c>
      <c r="E978">
        <v>108.074</v>
      </c>
      <c r="F978">
        <v>1.1019999999999999</v>
      </c>
      <c r="G978">
        <v>2.226</v>
      </c>
      <c r="P978">
        <v>0</v>
      </c>
      <c r="Q978">
        <v>106.52</v>
      </c>
      <c r="R978">
        <v>1.0900000000000001</v>
      </c>
      <c r="S978">
        <v>2.2400000000000002</v>
      </c>
      <c r="AB978" s="164">
        <v>40909</v>
      </c>
      <c r="AC978" s="164">
        <v>41363</v>
      </c>
      <c r="AD978" s="164">
        <v>41389</v>
      </c>
      <c r="AE978" s="34">
        <f>SUMPRODUCT(DB_STProjectsSOF[[#This Row],[Plan01]:[Plan12]],$D$4:$O$4)/valUnits2</f>
        <v>0.111402</v>
      </c>
      <c r="AF978" s="34">
        <f>SUMPRODUCT(DB_STProjectsSOF[[#This Row],[Act01]:[Act12]],$P$4:$AA$4)/valUnits2</f>
        <v>0.10984999999999999</v>
      </c>
      <c r="AG978" s="34">
        <f>DB_STProjectsSOF[[#This Row],[Actual]]-DB_STProjectsSOF[[#This Row],[Plan]]</f>
        <v>-1.5520000000000117E-3</v>
      </c>
      <c r="AH978" s="34">
        <f>IF(DB_STProjectsSOF[[#This Row],[Plan]]&lt;&gt;0,DB_STProjectsSOF[[#This Row],[Actual]]/DB_STProjectsSOF[[#This Row],[Plan]],1.000011000011)</f>
        <v>0.98606847273837084</v>
      </c>
      <c r="AI978" s="34">
        <f>SUM(DB_STProjectsSOF[[#This Row],[Plan01]:[Plan12]])/valUnits2</f>
        <v>0.111402</v>
      </c>
      <c r="AJ978" s="34">
        <f>SUMPRODUCT(DB_STProjectsSOF[[#This Row],[Act01]:[Act12]],$P$3:$AA$3)/valUnits2</f>
        <v>0.10984999999999999</v>
      </c>
      <c r="AK978" s="34">
        <f>IF(DB_STProjectsSOF[[#This Row],[FY Plan]]&lt;&gt;0,DB_STProjectsSOF[[#This Row],[FY Actuals]]/DB_STProjectsSOF[[#This Row],[FY Plan]],1.000011000011)</f>
        <v>0.98606847273837084</v>
      </c>
    </row>
    <row r="979" spans="1:37" hidden="1" x14ac:dyDescent="0.2">
      <c r="A979">
        <f>SUBTOTAL(3,$B$6:B979)</f>
        <v>0</v>
      </c>
      <c r="B979" t="s">
        <v>498</v>
      </c>
      <c r="C979" t="s">
        <v>922</v>
      </c>
      <c r="D979">
        <v>386.62700000000001</v>
      </c>
      <c r="E979">
        <v>0</v>
      </c>
      <c r="F979">
        <v>2.7160000000000002</v>
      </c>
      <c r="G979">
        <v>23.036000000000001</v>
      </c>
      <c r="H979">
        <v>11.99</v>
      </c>
      <c r="I979">
        <v>818.23299999999995</v>
      </c>
      <c r="J979">
        <v>818.23299999999995</v>
      </c>
      <c r="K979">
        <v>818.23300000000006</v>
      </c>
      <c r="L979">
        <v>818.23299999999995</v>
      </c>
      <c r="M979">
        <v>818.23300000000006</v>
      </c>
      <c r="N979">
        <v>818.23300000000006</v>
      </c>
      <c r="O979">
        <v>818.23300000000006</v>
      </c>
      <c r="P979">
        <v>380.90999999999997</v>
      </c>
      <c r="Q979">
        <v>0</v>
      </c>
      <c r="R979">
        <v>2.77</v>
      </c>
      <c r="S979">
        <v>23.04</v>
      </c>
      <c r="T979">
        <v>11.969999999999999</v>
      </c>
      <c r="U979">
        <v>1.9000000000000001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s="164">
        <v>41000</v>
      </c>
      <c r="AC979" s="164">
        <v>41989</v>
      </c>
      <c r="AD979" s="164">
        <v>42078</v>
      </c>
      <c r="AE979" s="34">
        <f>SUMPRODUCT(DB_STProjectsSOF[[#This Row],[Plan01]:[Plan12]],$D$4:$O$4)/valUnits2</f>
        <v>1.2426019999999998</v>
      </c>
      <c r="AF979" s="34">
        <f>SUMPRODUCT(DB_STProjectsSOF[[#This Row],[Act01]:[Act12]],$P$4:$AA$4)/valUnits2</f>
        <v>0.42058999999999991</v>
      </c>
      <c r="AG979" s="34">
        <f>DB_STProjectsSOF[[#This Row],[Actual]]-DB_STProjectsSOF[[#This Row],[Plan]]</f>
        <v>-0.82201199999999985</v>
      </c>
      <c r="AH979" s="34">
        <f>IF(DB_STProjectsSOF[[#This Row],[Plan]]&lt;&gt;0,DB_STProjectsSOF[[#This Row],[Actual]]/DB_STProjectsSOF[[#This Row],[Plan]],1.000011000011)</f>
        <v>0.33847523181195588</v>
      </c>
      <c r="AI979" s="34">
        <f>SUM(DB_STProjectsSOF[[#This Row],[Plan01]:[Plan12]])/valUnits2</f>
        <v>6.152000000000001</v>
      </c>
      <c r="AJ979" s="34">
        <f>SUMPRODUCT(DB_STProjectsSOF[[#This Row],[Act01]:[Act12]],$P$3:$AA$3)/valUnits2</f>
        <v>0.42058999999999991</v>
      </c>
      <c r="AK979" s="34">
        <f>IF(DB_STProjectsSOF[[#This Row],[FY Plan]]&lt;&gt;0,DB_STProjectsSOF[[#This Row],[FY Actuals]]/DB_STProjectsSOF[[#This Row],[FY Plan]],1.000011000011)</f>
        <v>6.8366384915474615E-2</v>
      </c>
    </row>
    <row r="980" spans="1:37" hidden="1" x14ac:dyDescent="0.2">
      <c r="A980">
        <f>SUBTOTAL(3,$B$6:B980)</f>
        <v>0</v>
      </c>
      <c r="B980" t="s">
        <v>498</v>
      </c>
      <c r="C980" t="s">
        <v>924</v>
      </c>
      <c r="D980">
        <v>0</v>
      </c>
      <c r="E980">
        <v>0</v>
      </c>
      <c r="F980">
        <v>0</v>
      </c>
      <c r="G980">
        <v>270.18</v>
      </c>
      <c r="H980">
        <v>729.52499999999998</v>
      </c>
      <c r="I980">
        <v>184.54399999999998</v>
      </c>
      <c r="J980">
        <v>184.54399999999998</v>
      </c>
      <c r="K980">
        <v>184.54399999999998</v>
      </c>
      <c r="L980">
        <v>184.54399999999998</v>
      </c>
      <c r="M980">
        <v>184.54399999999998</v>
      </c>
      <c r="N980">
        <v>184.54399999999998</v>
      </c>
      <c r="O980">
        <v>184.54399999999998</v>
      </c>
      <c r="P980">
        <v>0</v>
      </c>
      <c r="Q980">
        <v>0</v>
      </c>
      <c r="R980">
        <v>0</v>
      </c>
      <c r="S980">
        <v>268.64</v>
      </c>
      <c r="T980">
        <v>725.03</v>
      </c>
      <c r="U980">
        <v>1085.2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s="164">
        <v>40817</v>
      </c>
      <c r="AC980" s="164">
        <v>41639</v>
      </c>
      <c r="AD980" s="164">
        <v>41685</v>
      </c>
      <c r="AE980" s="34">
        <f>SUMPRODUCT(DB_STProjectsSOF[[#This Row],[Plan01]:[Plan12]],$D$4:$O$4)/valUnits2</f>
        <v>1.1842489999999999</v>
      </c>
      <c r="AF980" s="34">
        <f>SUMPRODUCT(DB_STProjectsSOF[[#This Row],[Act01]:[Act12]],$P$4:$AA$4)/valUnits2</f>
        <v>2.0788699999999998</v>
      </c>
      <c r="AG980" s="34">
        <f>DB_STProjectsSOF[[#This Row],[Actual]]-DB_STProjectsSOF[[#This Row],[Plan]]</f>
        <v>0.89462099999999989</v>
      </c>
      <c r="AH980" s="34">
        <f>IF(DB_STProjectsSOF[[#This Row],[Plan]]&lt;&gt;0,DB_STProjectsSOF[[#This Row],[Actual]]/DB_STProjectsSOF[[#This Row],[Plan]],1.000011000011)</f>
        <v>1.7554331901483555</v>
      </c>
      <c r="AI980" s="34">
        <f>SUM(DB_STProjectsSOF[[#This Row],[Plan01]:[Plan12]])/valUnits2</f>
        <v>2.2915129999999988</v>
      </c>
      <c r="AJ980" s="34">
        <f>SUMPRODUCT(DB_STProjectsSOF[[#This Row],[Act01]:[Act12]],$P$3:$AA$3)/valUnits2</f>
        <v>2.0788699999999998</v>
      </c>
      <c r="AK980" s="34">
        <f>IF(DB_STProjectsSOF[[#This Row],[FY Plan]]&lt;&gt;0,DB_STProjectsSOF[[#This Row],[FY Actuals]]/DB_STProjectsSOF[[#This Row],[FY Plan]],1.000011000011)</f>
        <v>0.90720410488616077</v>
      </c>
    </row>
    <row r="981" spans="1:37" hidden="1" x14ac:dyDescent="0.2">
      <c r="A981">
        <f>SUBTOTAL(3,$B$6:B981)</f>
        <v>0</v>
      </c>
      <c r="B981" t="s">
        <v>498</v>
      </c>
      <c r="C981" t="s">
        <v>925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s="164">
        <v>40909</v>
      </c>
      <c r="AC981" s="164">
        <v>41639</v>
      </c>
      <c r="AD981" s="164">
        <v>41713</v>
      </c>
      <c r="AE981" s="34">
        <f>SUMPRODUCT(DB_STProjectsSOF[[#This Row],[Plan01]:[Plan12]],$D$4:$O$4)/valUnits2</f>
        <v>0</v>
      </c>
      <c r="AF981" s="34">
        <f>SUMPRODUCT(DB_STProjectsSOF[[#This Row],[Act01]:[Act12]],$P$4:$AA$4)/valUnits2</f>
        <v>0</v>
      </c>
      <c r="AG981" s="34">
        <f>DB_STProjectsSOF[[#This Row],[Actual]]-DB_STProjectsSOF[[#This Row],[Plan]]</f>
        <v>0</v>
      </c>
      <c r="AH981" s="34">
        <f>IF(DB_STProjectsSOF[[#This Row],[Plan]]&lt;&gt;0,DB_STProjectsSOF[[#This Row],[Actual]]/DB_STProjectsSOF[[#This Row],[Plan]],1.000011000011)</f>
        <v>1.0000110000110001</v>
      </c>
      <c r="AI981" s="34">
        <f>SUM(DB_STProjectsSOF[[#This Row],[Plan01]:[Plan12]])/valUnits2</f>
        <v>0</v>
      </c>
      <c r="AJ981" s="34">
        <f>SUMPRODUCT(DB_STProjectsSOF[[#This Row],[Act01]:[Act12]],$P$3:$AA$3)/valUnits2</f>
        <v>0</v>
      </c>
      <c r="AK981" s="34">
        <f>IF(DB_STProjectsSOF[[#This Row],[FY Plan]]&lt;&gt;0,DB_STProjectsSOF[[#This Row],[FY Actuals]]/DB_STProjectsSOF[[#This Row],[FY Plan]],1.000011000011)</f>
        <v>1.0000110000110001</v>
      </c>
    </row>
    <row r="982" spans="1:37" hidden="1" x14ac:dyDescent="0.2">
      <c r="A982">
        <f>SUBTOTAL(3,$B$6:B982)</f>
        <v>0</v>
      </c>
      <c r="B982" t="s">
        <v>498</v>
      </c>
      <c r="C982" t="s">
        <v>927</v>
      </c>
      <c r="D982">
        <v>0</v>
      </c>
      <c r="E982">
        <v>102.4</v>
      </c>
      <c r="F982">
        <v>939.76</v>
      </c>
      <c r="G982">
        <v>5559.63</v>
      </c>
      <c r="H982">
        <v>2845.0099999999998</v>
      </c>
      <c r="I982">
        <v>6310.27</v>
      </c>
      <c r="J982">
        <v>6310.27</v>
      </c>
      <c r="K982">
        <v>6310.27</v>
      </c>
      <c r="L982">
        <v>6310.27</v>
      </c>
      <c r="M982">
        <v>6310.27</v>
      </c>
      <c r="N982">
        <v>6310.27</v>
      </c>
      <c r="O982">
        <v>6310.27</v>
      </c>
      <c r="P982">
        <v>0</v>
      </c>
      <c r="Q982">
        <v>102.39999999999999</v>
      </c>
      <c r="R982">
        <v>939.76</v>
      </c>
      <c r="S982">
        <v>5559.6299999999992</v>
      </c>
      <c r="T982">
        <v>2845.01</v>
      </c>
      <c r="U982">
        <v>2101.52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s="164">
        <v>40817</v>
      </c>
      <c r="AC982" s="164">
        <v>42052</v>
      </c>
      <c r="AD982" s="164">
        <v>42141</v>
      </c>
      <c r="AE982" s="34">
        <f>SUMPRODUCT(DB_STProjectsSOF[[#This Row],[Plan01]:[Plan12]],$D$4:$O$4)/valUnits2</f>
        <v>15.757070000000001</v>
      </c>
      <c r="AF982" s="34">
        <f>SUMPRODUCT(DB_STProjectsSOF[[#This Row],[Act01]:[Act12]],$P$4:$AA$4)/valUnits2</f>
        <v>11.54832</v>
      </c>
      <c r="AG982" s="34">
        <f>DB_STProjectsSOF[[#This Row],[Actual]]-DB_STProjectsSOF[[#This Row],[Plan]]</f>
        <v>-4.2087500000000002</v>
      </c>
      <c r="AH982" s="34">
        <f>IF(DB_STProjectsSOF[[#This Row],[Plan]]&lt;&gt;0,DB_STProjectsSOF[[#This Row],[Actual]]/DB_STProjectsSOF[[#This Row],[Plan]],1.000011000011)</f>
        <v>0.73289767704274966</v>
      </c>
      <c r="AI982" s="34">
        <f>SUM(DB_STProjectsSOF[[#This Row],[Plan01]:[Plan12]])/valUnits2</f>
        <v>53.618690000000015</v>
      </c>
      <c r="AJ982" s="34">
        <f>SUMPRODUCT(DB_STProjectsSOF[[#This Row],[Act01]:[Act12]],$P$3:$AA$3)/valUnits2</f>
        <v>11.54832</v>
      </c>
      <c r="AK982" s="34">
        <f>IF(DB_STProjectsSOF[[#This Row],[FY Plan]]&lt;&gt;0,DB_STProjectsSOF[[#This Row],[FY Actuals]]/DB_STProjectsSOF[[#This Row],[FY Plan]],1.000011000011)</f>
        <v>0.21537863010080993</v>
      </c>
    </row>
    <row r="983" spans="1:37" hidden="1" x14ac:dyDescent="0.2">
      <c r="A983">
        <f>SUBTOTAL(3,$B$6:B983)</f>
        <v>0</v>
      </c>
      <c r="B983" t="s">
        <v>498</v>
      </c>
      <c r="C983" t="s">
        <v>359</v>
      </c>
      <c r="G983">
        <v>0</v>
      </c>
      <c r="H983">
        <v>0</v>
      </c>
      <c r="I983">
        <v>83.958999999999989</v>
      </c>
      <c r="S983">
        <v>0</v>
      </c>
      <c r="T983">
        <v>0</v>
      </c>
      <c r="U983">
        <v>0</v>
      </c>
      <c r="AB983" s="164">
        <v>41275</v>
      </c>
      <c r="AC983" s="164">
        <v>41455</v>
      </c>
      <c r="AD983" s="164">
        <v>41547</v>
      </c>
      <c r="AE983" s="34">
        <f>SUMPRODUCT(DB_STProjectsSOF[[#This Row],[Plan01]:[Plan12]],$D$4:$O$4)/valUnits2</f>
        <v>8.3958999999999992E-2</v>
      </c>
      <c r="AF983" s="34">
        <f>SUMPRODUCT(DB_STProjectsSOF[[#This Row],[Act01]:[Act12]],$P$4:$AA$4)/valUnits2</f>
        <v>0</v>
      </c>
      <c r="AG983" s="34">
        <f>DB_STProjectsSOF[[#This Row],[Actual]]-DB_STProjectsSOF[[#This Row],[Plan]]</f>
        <v>-8.3958999999999992E-2</v>
      </c>
      <c r="AH983" s="34">
        <f>IF(DB_STProjectsSOF[[#This Row],[Plan]]&lt;&gt;0,DB_STProjectsSOF[[#This Row],[Actual]]/DB_STProjectsSOF[[#This Row],[Plan]],1.000011000011)</f>
        <v>0</v>
      </c>
      <c r="AI983" s="34">
        <f>SUM(DB_STProjectsSOF[[#This Row],[Plan01]:[Plan12]])/valUnits2</f>
        <v>8.3958999999999992E-2</v>
      </c>
      <c r="AJ983" s="34">
        <f>SUMPRODUCT(DB_STProjectsSOF[[#This Row],[Act01]:[Act12]],$P$3:$AA$3)/valUnits2</f>
        <v>0</v>
      </c>
      <c r="AK983" s="34">
        <f>IF(DB_STProjectsSOF[[#This Row],[FY Plan]]&lt;&gt;0,DB_STProjectsSOF[[#This Row],[FY Actuals]]/DB_STProjectsSOF[[#This Row],[FY Plan]],1.000011000011)</f>
        <v>0</v>
      </c>
    </row>
    <row r="984" spans="1:37" hidden="1" x14ac:dyDescent="0.2">
      <c r="A984">
        <f>SUBTOTAL(3,$B$6:B984)</f>
        <v>0</v>
      </c>
      <c r="B984" t="s">
        <v>498</v>
      </c>
      <c r="C984" t="s">
        <v>360</v>
      </c>
      <c r="G984">
        <v>0</v>
      </c>
      <c r="H984">
        <v>0</v>
      </c>
      <c r="I984">
        <v>294.93599999999998</v>
      </c>
      <c r="S984">
        <v>0</v>
      </c>
      <c r="T984">
        <v>0</v>
      </c>
      <c r="U984">
        <v>0</v>
      </c>
      <c r="AB984" s="164">
        <v>41091</v>
      </c>
      <c r="AC984" s="164">
        <v>41455</v>
      </c>
      <c r="AD984" s="164">
        <v>41547</v>
      </c>
      <c r="AE984" s="34">
        <f>SUMPRODUCT(DB_STProjectsSOF[[#This Row],[Plan01]:[Plan12]],$D$4:$O$4)/valUnits2</f>
        <v>0.29493599999999998</v>
      </c>
      <c r="AF984" s="34">
        <f>SUMPRODUCT(DB_STProjectsSOF[[#This Row],[Act01]:[Act12]],$P$4:$AA$4)/valUnits2</f>
        <v>0</v>
      </c>
      <c r="AG984" s="34">
        <f>DB_STProjectsSOF[[#This Row],[Actual]]-DB_STProjectsSOF[[#This Row],[Plan]]</f>
        <v>-0.29493599999999998</v>
      </c>
      <c r="AH984" s="34">
        <f>IF(DB_STProjectsSOF[[#This Row],[Plan]]&lt;&gt;0,DB_STProjectsSOF[[#This Row],[Actual]]/DB_STProjectsSOF[[#This Row],[Plan]],1.000011000011)</f>
        <v>0</v>
      </c>
      <c r="AI984" s="34">
        <f>SUM(DB_STProjectsSOF[[#This Row],[Plan01]:[Plan12]])/valUnits2</f>
        <v>0.29493599999999998</v>
      </c>
      <c r="AJ984" s="34">
        <f>SUMPRODUCT(DB_STProjectsSOF[[#This Row],[Act01]:[Act12]],$P$3:$AA$3)/valUnits2</f>
        <v>0</v>
      </c>
      <c r="AK984" s="34">
        <f>IF(DB_STProjectsSOF[[#This Row],[FY Plan]]&lt;&gt;0,DB_STProjectsSOF[[#This Row],[FY Actuals]]/DB_STProjectsSOF[[#This Row],[FY Plan]],1.000011000011)</f>
        <v>0</v>
      </c>
    </row>
    <row r="985" spans="1:37" hidden="1" x14ac:dyDescent="0.2">
      <c r="A985">
        <f>SUBTOTAL(3,$B$6:B985)</f>
        <v>0</v>
      </c>
      <c r="B985" t="s">
        <v>498</v>
      </c>
      <c r="C985" t="s">
        <v>929</v>
      </c>
      <c r="F985">
        <v>0</v>
      </c>
      <c r="G985">
        <v>0</v>
      </c>
      <c r="R985">
        <v>0</v>
      </c>
      <c r="S985">
        <v>0</v>
      </c>
      <c r="AB985" s="164">
        <v>41214</v>
      </c>
      <c r="AC985" s="164">
        <v>41379</v>
      </c>
      <c r="AD985" s="164">
        <v>41409</v>
      </c>
      <c r="AE985" s="34">
        <f>SUMPRODUCT(DB_STProjectsSOF[[#This Row],[Plan01]:[Plan12]],$D$4:$O$4)/valUnits2</f>
        <v>0</v>
      </c>
      <c r="AF985" s="34">
        <f>SUMPRODUCT(DB_STProjectsSOF[[#This Row],[Act01]:[Act12]],$P$4:$AA$4)/valUnits2</f>
        <v>0</v>
      </c>
      <c r="AG985" s="34">
        <f>DB_STProjectsSOF[[#This Row],[Actual]]-DB_STProjectsSOF[[#This Row],[Plan]]</f>
        <v>0</v>
      </c>
      <c r="AH985" s="34">
        <f>IF(DB_STProjectsSOF[[#This Row],[Plan]]&lt;&gt;0,DB_STProjectsSOF[[#This Row],[Actual]]/DB_STProjectsSOF[[#This Row],[Plan]],1.000011000011)</f>
        <v>1.0000110000110001</v>
      </c>
      <c r="AI985" s="34">
        <f>SUM(DB_STProjectsSOF[[#This Row],[Plan01]:[Plan12]])/valUnits2</f>
        <v>0</v>
      </c>
      <c r="AJ985" s="34">
        <f>SUMPRODUCT(DB_STProjectsSOF[[#This Row],[Act01]:[Act12]],$P$3:$AA$3)/valUnits2</f>
        <v>0</v>
      </c>
      <c r="AK985" s="34">
        <f>IF(DB_STProjectsSOF[[#This Row],[FY Plan]]&lt;&gt;0,DB_STProjectsSOF[[#This Row],[FY Actuals]]/DB_STProjectsSOF[[#This Row],[FY Plan]],1.000011000011)</f>
        <v>1.0000110000110001</v>
      </c>
    </row>
    <row r="986" spans="1:37" hidden="1" x14ac:dyDescent="0.2">
      <c r="A986">
        <f>SUBTOTAL(3,$B$6:B986)</f>
        <v>0</v>
      </c>
      <c r="B986" t="s">
        <v>498</v>
      </c>
      <c r="C986" t="s">
        <v>930</v>
      </c>
      <c r="D986">
        <v>227.67</v>
      </c>
      <c r="F986">
        <v>5.52</v>
      </c>
      <c r="G986">
        <v>11.3</v>
      </c>
      <c r="H986">
        <v>26.080000000000002</v>
      </c>
      <c r="I986">
        <v>0</v>
      </c>
      <c r="P986">
        <v>227.67</v>
      </c>
      <c r="R986">
        <v>5.52</v>
      </c>
      <c r="S986">
        <v>11.3</v>
      </c>
      <c r="T986">
        <v>26.080000000000002</v>
      </c>
      <c r="U986">
        <v>4.1999999999999993</v>
      </c>
      <c r="AB986" s="164">
        <v>40848</v>
      </c>
      <c r="AC986" s="164">
        <v>41729</v>
      </c>
      <c r="AD986" s="164">
        <v>41654</v>
      </c>
      <c r="AE986" s="34">
        <f>SUMPRODUCT(DB_STProjectsSOF[[#This Row],[Plan01]:[Plan12]],$D$4:$O$4)/valUnits2</f>
        <v>0.27056999999999998</v>
      </c>
      <c r="AF986" s="34">
        <f>SUMPRODUCT(DB_STProjectsSOF[[#This Row],[Act01]:[Act12]],$P$4:$AA$4)/valUnits2</f>
        <v>0.27476999999999996</v>
      </c>
      <c r="AG986" s="34">
        <f>DB_STProjectsSOF[[#This Row],[Actual]]-DB_STProjectsSOF[[#This Row],[Plan]]</f>
        <v>4.1999999999999815E-3</v>
      </c>
      <c r="AH986" s="34">
        <f>IF(DB_STProjectsSOF[[#This Row],[Plan]]&lt;&gt;0,DB_STProjectsSOF[[#This Row],[Actual]]/DB_STProjectsSOF[[#This Row],[Plan]],1.000011000011)</f>
        <v>1.0155227852311786</v>
      </c>
      <c r="AI986" s="34">
        <f>SUM(DB_STProjectsSOF[[#This Row],[Plan01]:[Plan12]])/valUnits2</f>
        <v>0.27056999999999998</v>
      </c>
      <c r="AJ986" s="34">
        <f>SUMPRODUCT(DB_STProjectsSOF[[#This Row],[Act01]:[Act12]],$P$3:$AA$3)/valUnits2</f>
        <v>0.27476999999999996</v>
      </c>
      <c r="AK986" s="34">
        <f>IF(DB_STProjectsSOF[[#This Row],[FY Plan]]&lt;&gt;0,DB_STProjectsSOF[[#This Row],[FY Actuals]]/DB_STProjectsSOF[[#This Row],[FY Plan]],1.000011000011)</f>
        <v>1.0155227852311786</v>
      </c>
    </row>
    <row r="987" spans="1:37" hidden="1" x14ac:dyDescent="0.2">
      <c r="A987">
        <f>SUBTOTAL(3,$B$6:B987)</f>
        <v>0</v>
      </c>
      <c r="B987" t="s">
        <v>498</v>
      </c>
      <c r="C987" t="s">
        <v>932</v>
      </c>
      <c r="G987">
        <v>178.14999999999998</v>
      </c>
      <c r="H987">
        <v>178.14999999999998</v>
      </c>
      <c r="I987">
        <v>178.14999999999998</v>
      </c>
      <c r="J987">
        <v>178.14999999999998</v>
      </c>
      <c r="K987">
        <v>178.14999999999998</v>
      </c>
      <c r="L987">
        <v>178.14999999999998</v>
      </c>
      <c r="M987">
        <v>178.14999999999998</v>
      </c>
      <c r="N987">
        <v>178.14999999999998</v>
      </c>
      <c r="O987">
        <v>178.14999999999998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s="164">
        <v>40909</v>
      </c>
      <c r="AC987" s="164">
        <v>41274</v>
      </c>
      <c r="AD987" s="164">
        <v>41305</v>
      </c>
      <c r="AE987" s="34">
        <f>SUMPRODUCT(DB_STProjectsSOF[[#This Row],[Plan01]:[Plan12]],$D$4:$O$4)/valUnits2</f>
        <v>0.53444999999999998</v>
      </c>
      <c r="AF987" s="34">
        <f>SUMPRODUCT(DB_STProjectsSOF[[#This Row],[Act01]:[Act12]],$P$4:$AA$4)/valUnits2</f>
        <v>0</v>
      </c>
      <c r="AG987" s="34">
        <f>DB_STProjectsSOF[[#This Row],[Actual]]-DB_STProjectsSOF[[#This Row],[Plan]]</f>
        <v>-0.53444999999999998</v>
      </c>
      <c r="AH987" s="34">
        <f>IF(DB_STProjectsSOF[[#This Row],[Plan]]&lt;&gt;0,DB_STProjectsSOF[[#This Row],[Actual]]/DB_STProjectsSOF[[#This Row],[Plan]],1.000011000011)</f>
        <v>0</v>
      </c>
      <c r="AI987" s="34">
        <f>SUM(DB_STProjectsSOF[[#This Row],[Plan01]:[Plan12]])/valUnits2</f>
        <v>1.6033499999999998</v>
      </c>
      <c r="AJ987" s="34">
        <f>SUMPRODUCT(DB_STProjectsSOF[[#This Row],[Act01]:[Act12]],$P$3:$AA$3)/valUnits2</f>
        <v>0</v>
      </c>
      <c r="AK987" s="34">
        <f>IF(DB_STProjectsSOF[[#This Row],[FY Plan]]&lt;&gt;0,DB_STProjectsSOF[[#This Row],[FY Actuals]]/DB_STProjectsSOF[[#This Row],[FY Plan]],1.000011000011)</f>
        <v>0</v>
      </c>
    </row>
    <row r="988" spans="1:37" hidden="1" x14ac:dyDescent="0.2">
      <c r="A988">
        <f>SUBTOTAL(3,$B$6:B988)</f>
        <v>0</v>
      </c>
      <c r="B988" t="s">
        <v>498</v>
      </c>
      <c r="C988" t="s">
        <v>933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AB988" s="164">
        <v>40817</v>
      </c>
      <c r="AC988" s="164">
        <v>42155</v>
      </c>
      <c r="AD988" s="164">
        <v>42217</v>
      </c>
      <c r="AE988" s="34">
        <f>SUMPRODUCT(DB_STProjectsSOF[[#This Row],[Plan01]:[Plan12]],$D$4:$O$4)/valUnits2</f>
        <v>0</v>
      </c>
      <c r="AF988" s="34">
        <f>SUMPRODUCT(DB_STProjectsSOF[[#This Row],[Act01]:[Act12]],$P$4:$AA$4)/valUnits2</f>
        <v>0</v>
      </c>
      <c r="AG988" s="34">
        <f>DB_STProjectsSOF[[#This Row],[Actual]]-DB_STProjectsSOF[[#This Row],[Plan]]</f>
        <v>0</v>
      </c>
      <c r="AH988" s="34">
        <f>IF(DB_STProjectsSOF[[#This Row],[Plan]]&lt;&gt;0,DB_STProjectsSOF[[#This Row],[Actual]]/DB_STProjectsSOF[[#This Row],[Plan]],1.000011000011)</f>
        <v>1.0000110000110001</v>
      </c>
      <c r="AI988" s="34">
        <f>SUM(DB_STProjectsSOF[[#This Row],[Plan01]:[Plan12]])/valUnits2</f>
        <v>0</v>
      </c>
      <c r="AJ988" s="34">
        <f>SUMPRODUCT(DB_STProjectsSOF[[#This Row],[Act01]:[Act12]],$P$3:$AA$3)/valUnits2</f>
        <v>0</v>
      </c>
      <c r="AK988" s="34">
        <f>IF(DB_STProjectsSOF[[#This Row],[FY Plan]]&lt;&gt;0,DB_STProjectsSOF[[#This Row],[FY Actuals]]/DB_STProjectsSOF[[#This Row],[FY Plan]],1.000011000011)</f>
        <v>1.0000110000110001</v>
      </c>
    </row>
    <row r="989" spans="1:37" hidden="1" x14ac:dyDescent="0.2">
      <c r="A989">
        <f>SUBTOTAL(3,$B$6:B989)</f>
        <v>0</v>
      </c>
      <c r="B989" t="s">
        <v>498</v>
      </c>
      <c r="C989" t="s">
        <v>935</v>
      </c>
      <c r="D989">
        <v>672.27300000000002</v>
      </c>
      <c r="E989">
        <v>1888.5010000000002</v>
      </c>
      <c r="F989">
        <v>2082.1259999999997</v>
      </c>
      <c r="G989">
        <v>5161.8739999999998</v>
      </c>
      <c r="H989">
        <v>1641.4490000000001</v>
      </c>
      <c r="I989">
        <v>1820.5030000000002</v>
      </c>
      <c r="J989">
        <v>1820.5030000000002</v>
      </c>
      <c r="K989">
        <v>1820.5030000000002</v>
      </c>
      <c r="L989">
        <v>1820.5030000000002</v>
      </c>
      <c r="M989">
        <v>1820.5030000000002</v>
      </c>
      <c r="N989">
        <v>1820.5030000000002</v>
      </c>
      <c r="O989">
        <v>1820.5030000000002</v>
      </c>
      <c r="P989">
        <v>675.79</v>
      </c>
      <c r="Q989">
        <v>1930.55</v>
      </c>
      <c r="R989">
        <v>2070.4899999999998</v>
      </c>
      <c r="S989">
        <v>5128.7700000000004</v>
      </c>
      <c r="T989">
        <v>1638.21</v>
      </c>
      <c r="U989">
        <v>1831.9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s="164">
        <v>41000</v>
      </c>
      <c r="AC989" s="164">
        <v>42094</v>
      </c>
      <c r="AD989" s="164">
        <v>42124</v>
      </c>
      <c r="AE989" s="34">
        <f>SUMPRODUCT(DB_STProjectsSOF[[#This Row],[Plan01]:[Plan12]],$D$4:$O$4)/valUnits2</f>
        <v>13.266726</v>
      </c>
      <c r="AF989" s="34">
        <f>SUMPRODUCT(DB_STProjectsSOF[[#This Row],[Act01]:[Act12]],$P$4:$AA$4)/valUnits2</f>
        <v>13.27571</v>
      </c>
      <c r="AG989" s="34">
        <f>DB_STProjectsSOF[[#This Row],[Actual]]-DB_STProjectsSOF[[#This Row],[Plan]]</f>
        <v>8.983999999999881E-3</v>
      </c>
      <c r="AH989" s="34">
        <f>IF(DB_STProjectsSOF[[#This Row],[Plan]]&lt;&gt;0,DB_STProjectsSOF[[#This Row],[Actual]]/DB_STProjectsSOF[[#This Row],[Plan]],1.000011000011)</f>
        <v>1.0006771829010412</v>
      </c>
      <c r="AI989" s="34">
        <f>SUM(DB_STProjectsSOF[[#This Row],[Plan01]:[Plan12]])/valUnits2</f>
        <v>24.189744000000001</v>
      </c>
      <c r="AJ989" s="34">
        <f>SUMPRODUCT(DB_STProjectsSOF[[#This Row],[Act01]:[Act12]],$P$3:$AA$3)/valUnits2</f>
        <v>13.27571</v>
      </c>
      <c r="AK989" s="34">
        <f>IF(DB_STProjectsSOF[[#This Row],[FY Plan]]&lt;&gt;0,DB_STProjectsSOF[[#This Row],[FY Actuals]]/DB_STProjectsSOF[[#This Row],[FY Plan]],1.000011000011)</f>
        <v>0.54881564682949935</v>
      </c>
    </row>
    <row r="990" spans="1:37" hidden="1" x14ac:dyDescent="0.2">
      <c r="A990">
        <f>SUBTOTAL(3,$B$6:B990)</f>
        <v>0</v>
      </c>
      <c r="B990" t="s">
        <v>499</v>
      </c>
      <c r="C990" t="s">
        <v>842</v>
      </c>
      <c r="G990">
        <v>1853.046</v>
      </c>
      <c r="H990">
        <v>1473.1009999999999</v>
      </c>
      <c r="I990">
        <v>0</v>
      </c>
      <c r="S990">
        <v>1847.81</v>
      </c>
      <c r="T990">
        <v>1455.91</v>
      </c>
      <c r="U990">
        <v>705.13</v>
      </c>
      <c r="AB990" s="164">
        <v>41214</v>
      </c>
      <c r="AC990" s="164">
        <v>42308</v>
      </c>
      <c r="AD990" s="164">
        <v>42389</v>
      </c>
      <c r="AE990" s="34">
        <f>SUMPRODUCT(DB_STProjectsSOF[[#This Row],[Plan01]:[Plan12]],$D$4:$O$4)/valUnits2</f>
        <v>3.3261469999999997</v>
      </c>
      <c r="AF990" s="34">
        <f>SUMPRODUCT(DB_STProjectsSOF[[#This Row],[Act01]:[Act12]],$P$4:$AA$4)/valUnits2</f>
        <v>4.0088500000000007</v>
      </c>
      <c r="AG990" s="34">
        <f>DB_STProjectsSOF[[#This Row],[Actual]]-DB_STProjectsSOF[[#This Row],[Plan]]</f>
        <v>0.68270300000000095</v>
      </c>
      <c r="AH990" s="34">
        <f>IF(DB_STProjectsSOF[[#This Row],[Plan]]&lt;&gt;0,DB_STProjectsSOF[[#This Row],[Actual]]/DB_STProjectsSOF[[#This Row],[Plan]],1.000011000011)</f>
        <v>1.2052534058176025</v>
      </c>
      <c r="AI990" s="34">
        <f>SUM(DB_STProjectsSOF[[#This Row],[Plan01]:[Plan12]])/valUnits2</f>
        <v>3.3261469999999997</v>
      </c>
      <c r="AJ990" s="34">
        <f>SUMPRODUCT(DB_STProjectsSOF[[#This Row],[Act01]:[Act12]],$P$3:$AA$3)/valUnits2</f>
        <v>4.0088500000000007</v>
      </c>
      <c r="AK990" s="34">
        <f>IF(DB_STProjectsSOF[[#This Row],[FY Plan]]&lt;&gt;0,DB_STProjectsSOF[[#This Row],[FY Actuals]]/DB_STProjectsSOF[[#This Row],[FY Plan]],1.000011000011)</f>
        <v>1.2052534058176025</v>
      </c>
    </row>
    <row r="991" spans="1:37" hidden="1" x14ac:dyDescent="0.2">
      <c r="A991">
        <f>SUBTOTAL(3,$B$6:B991)</f>
        <v>0</v>
      </c>
      <c r="B991" t="s">
        <v>499</v>
      </c>
      <c r="C991" t="s">
        <v>843</v>
      </c>
      <c r="G991">
        <v>0</v>
      </c>
      <c r="H991">
        <v>0</v>
      </c>
      <c r="I991">
        <v>1759.4940000000001</v>
      </c>
      <c r="J991">
        <v>1759.4940000000001</v>
      </c>
      <c r="K991">
        <v>1759.4940000000001</v>
      </c>
      <c r="L991">
        <v>1759.4940000000001</v>
      </c>
      <c r="M991">
        <v>1759.4940000000001</v>
      </c>
      <c r="N991">
        <v>1759.4940000000001</v>
      </c>
      <c r="O991">
        <v>1759.4940000000001</v>
      </c>
      <c r="S991">
        <v>0</v>
      </c>
      <c r="T991">
        <v>0</v>
      </c>
      <c r="U991">
        <v>637.87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s="164">
        <v>41275</v>
      </c>
      <c r="AC991" s="164">
        <v>42369</v>
      </c>
      <c r="AD991" s="164">
        <v>42492</v>
      </c>
      <c r="AE991" s="34">
        <f>SUMPRODUCT(DB_STProjectsSOF[[#This Row],[Plan01]:[Plan12]],$D$4:$O$4)/valUnits2</f>
        <v>1.7594940000000001</v>
      </c>
      <c r="AF991" s="34">
        <f>SUMPRODUCT(DB_STProjectsSOF[[#This Row],[Act01]:[Act12]],$P$4:$AA$4)/valUnits2</f>
        <v>0.63787000000000005</v>
      </c>
      <c r="AG991" s="34">
        <f>DB_STProjectsSOF[[#This Row],[Actual]]-DB_STProjectsSOF[[#This Row],[Plan]]</f>
        <v>-1.1216240000000002</v>
      </c>
      <c r="AH991" s="34">
        <f>IF(DB_STProjectsSOF[[#This Row],[Plan]]&lt;&gt;0,DB_STProjectsSOF[[#This Row],[Actual]]/DB_STProjectsSOF[[#This Row],[Plan]],1.000011000011)</f>
        <v>0.36253036384324128</v>
      </c>
      <c r="AI991" s="34">
        <f>SUM(DB_STProjectsSOF[[#This Row],[Plan01]:[Plan12]])/valUnits2</f>
        <v>12.316458000000003</v>
      </c>
      <c r="AJ991" s="34">
        <f>SUMPRODUCT(DB_STProjectsSOF[[#This Row],[Act01]:[Act12]],$P$3:$AA$3)/valUnits2</f>
        <v>0.63787000000000005</v>
      </c>
      <c r="AK991" s="34">
        <f>IF(DB_STProjectsSOF[[#This Row],[FY Plan]]&lt;&gt;0,DB_STProjectsSOF[[#This Row],[FY Actuals]]/DB_STProjectsSOF[[#This Row],[FY Plan]],1.000011000011)</f>
        <v>5.1790051977605896E-2</v>
      </c>
    </row>
    <row r="992" spans="1:37" hidden="1" x14ac:dyDescent="0.2">
      <c r="A992">
        <f>SUBTOTAL(3,$B$6:B992)</f>
        <v>0</v>
      </c>
      <c r="B992" t="s">
        <v>499</v>
      </c>
      <c r="C992" t="s">
        <v>357</v>
      </c>
      <c r="G992">
        <v>0</v>
      </c>
      <c r="H992">
        <v>0</v>
      </c>
      <c r="I992">
        <v>78.599999999999994</v>
      </c>
      <c r="S992">
        <v>0</v>
      </c>
      <c r="T992">
        <v>0</v>
      </c>
      <c r="U992">
        <v>0</v>
      </c>
      <c r="AB992" s="164">
        <v>40817</v>
      </c>
      <c r="AC992" s="164">
        <v>41455</v>
      </c>
      <c r="AD992" s="164">
        <v>41517</v>
      </c>
      <c r="AE992" s="34">
        <f>SUMPRODUCT(DB_STProjectsSOF[[#This Row],[Plan01]:[Plan12]],$D$4:$O$4)/valUnits2</f>
        <v>7.8599999999999989E-2</v>
      </c>
      <c r="AF992" s="34">
        <f>SUMPRODUCT(DB_STProjectsSOF[[#This Row],[Act01]:[Act12]],$P$4:$AA$4)/valUnits2</f>
        <v>0</v>
      </c>
      <c r="AG992" s="34">
        <f>DB_STProjectsSOF[[#This Row],[Actual]]-DB_STProjectsSOF[[#This Row],[Plan]]</f>
        <v>-7.8599999999999989E-2</v>
      </c>
      <c r="AH992" s="34">
        <f>IF(DB_STProjectsSOF[[#This Row],[Plan]]&lt;&gt;0,DB_STProjectsSOF[[#This Row],[Actual]]/DB_STProjectsSOF[[#This Row],[Plan]],1.000011000011)</f>
        <v>0</v>
      </c>
      <c r="AI992" s="34">
        <f>SUM(DB_STProjectsSOF[[#This Row],[Plan01]:[Plan12]])/valUnits2</f>
        <v>7.8599999999999989E-2</v>
      </c>
      <c r="AJ992" s="34">
        <f>SUMPRODUCT(DB_STProjectsSOF[[#This Row],[Act01]:[Act12]],$P$3:$AA$3)/valUnits2</f>
        <v>0</v>
      </c>
      <c r="AK992" s="34">
        <f>IF(DB_STProjectsSOF[[#This Row],[FY Plan]]&lt;&gt;0,DB_STProjectsSOF[[#This Row],[FY Actuals]]/DB_STProjectsSOF[[#This Row],[FY Plan]],1.000011000011)</f>
        <v>0</v>
      </c>
    </row>
    <row r="993" spans="1:37" hidden="1" x14ac:dyDescent="0.2">
      <c r="A993">
        <f>SUBTOTAL(3,$B$6:B993)</f>
        <v>0</v>
      </c>
      <c r="B993" t="s">
        <v>499</v>
      </c>
      <c r="C993" t="s">
        <v>848</v>
      </c>
      <c r="G993">
        <v>582.07600000000002</v>
      </c>
      <c r="H993">
        <v>0</v>
      </c>
      <c r="S993">
        <v>576.66999999999996</v>
      </c>
      <c r="T993">
        <v>0</v>
      </c>
      <c r="AB993" s="164">
        <v>40817</v>
      </c>
      <c r="AC993" s="164">
        <v>41090</v>
      </c>
      <c r="AD993" s="164">
        <v>41090</v>
      </c>
      <c r="AE993" s="34">
        <f>SUMPRODUCT(DB_STProjectsSOF[[#This Row],[Plan01]:[Plan12]],$D$4:$O$4)/valUnits2</f>
        <v>0.58207600000000004</v>
      </c>
      <c r="AF993" s="34">
        <f>SUMPRODUCT(DB_STProjectsSOF[[#This Row],[Act01]:[Act12]],$P$4:$AA$4)/valUnits2</f>
        <v>0.5766699999999999</v>
      </c>
      <c r="AG993" s="34">
        <f>DB_STProjectsSOF[[#This Row],[Actual]]-DB_STProjectsSOF[[#This Row],[Plan]]</f>
        <v>-5.4060000000001329E-3</v>
      </c>
      <c r="AH993" s="34">
        <f>IF(DB_STProjectsSOF[[#This Row],[Plan]]&lt;&gt;0,DB_STProjectsSOF[[#This Row],[Actual]]/DB_STProjectsSOF[[#This Row],[Plan]],1.000011000011)</f>
        <v>0.99071255299995165</v>
      </c>
      <c r="AI993" s="34">
        <f>SUM(DB_STProjectsSOF[[#This Row],[Plan01]:[Plan12]])/valUnits2</f>
        <v>0.58207600000000004</v>
      </c>
      <c r="AJ993" s="34">
        <f>SUMPRODUCT(DB_STProjectsSOF[[#This Row],[Act01]:[Act12]],$P$3:$AA$3)/valUnits2</f>
        <v>0.5766699999999999</v>
      </c>
      <c r="AK993" s="34">
        <f>IF(DB_STProjectsSOF[[#This Row],[FY Plan]]&lt;&gt;0,DB_STProjectsSOF[[#This Row],[FY Actuals]]/DB_STProjectsSOF[[#This Row],[FY Plan]],1.000011000011)</f>
        <v>0.99071255299995165</v>
      </c>
    </row>
    <row r="994" spans="1:37" hidden="1" x14ac:dyDescent="0.2">
      <c r="A994">
        <f>SUBTOTAL(3,$B$6:B994)</f>
        <v>0</v>
      </c>
      <c r="B994" t="s">
        <v>499</v>
      </c>
      <c r="C994" t="s">
        <v>849</v>
      </c>
      <c r="G994">
        <v>0</v>
      </c>
      <c r="H994">
        <v>0</v>
      </c>
      <c r="S994">
        <v>0</v>
      </c>
      <c r="T994">
        <v>0</v>
      </c>
      <c r="AB994" s="164">
        <v>41153</v>
      </c>
      <c r="AC994" s="164">
        <v>41364</v>
      </c>
      <c r="AD994" s="164">
        <v>41424</v>
      </c>
      <c r="AE994" s="34">
        <f>SUMPRODUCT(DB_STProjectsSOF[[#This Row],[Plan01]:[Plan12]],$D$4:$O$4)/valUnits2</f>
        <v>0</v>
      </c>
      <c r="AF994" s="34">
        <f>SUMPRODUCT(DB_STProjectsSOF[[#This Row],[Act01]:[Act12]],$P$4:$AA$4)/valUnits2</f>
        <v>0</v>
      </c>
      <c r="AG994" s="34">
        <f>DB_STProjectsSOF[[#This Row],[Actual]]-DB_STProjectsSOF[[#This Row],[Plan]]</f>
        <v>0</v>
      </c>
      <c r="AH994" s="34">
        <f>IF(DB_STProjectsSOF[[#This Row],[Plan]]&lt;&gt;0,DB_STProjectsSOF[[#This Row],[Actual]]/DB_STProjectsSOF[[#This Row],[Plan]],1.000011000011)</f>
        <v>1.0000110000110001</v>
      </c>
      <c r="AI994" s="34">
        <f>SUM(DB_STProjectsSOF[[#This Row],[Plan01]:[Plan12]])/valUnits2</f>
        <v>0</v>
      </c>
      <c r="AJ994" s="34">
        <f>SUMPRODUCT(DB_STProjectsSOF[[#This Row],[Act01]:[Act12]],$P$3:$AA$3)/valUnits2</f>
        <v>0</v>
      </c>
      <c r="AK994" s="34">
        <f>IF(DB_STProjectsSOF[[#This Row],[FY Plan]]&lt;&gt;0,DB_STProjectsSOF[[#This Row],[FY Actuals]]/DB_STProjectsSOF[[#This Row],[FY Plan]],1.000011000011)</f>
        <v>1.0000110000110001</v>
      </c>
    </row>
    <row r="995" spans="1:37" hidden="1" x14ac:dyDescent="0.2">
      <c r="A995">
        <f>SUBTOTAL(3,$B$6:B995)</f>
        <v>0</v>
      </c>
      <c r="B995" t="s">
        <v>499</v>
      </c>
      <c r="C995" t="s">
        <v>353</v>
      </c>
      <c r="F995">
        <v>0</v>
      </c>
      <c r="G995">
        <v>0</v>
      </c>
      <c r="I995">
        <v>0</v>
      </c>
      <c r="R995">
        <v>0</v>
      </c>
      <c r="S995">
        <v>0</v>
      </c>
      <c r="U995">
        <v>664.75</v>
      </c>
      <c r="AB995" s="164">
        <v>41214</v>
      </c>
      <c r="AC995" s="164">
        <v>41455</v>
      </c>
      <c r="AD995" s="164">
        <v>41532</v>
      </c>
      <c r="AE995" s="34">
        <f>SUMPRODUCT(DB_STProjectsSOF[[#This Row],[Plan01]:[Plan12]],$D$4:$O$4)/valUnits2</f>
        <v>0</v>
      </c>
      <c r="AF995" s="34">
        <f>SUMPRODUCT(DB_STProjectsSOF[[#This Row],[Act01]:[Act12]],$P$4:$AA$4)/valUnits2</f>
        <v>0.66474999999999995</v>
      </c>
      <c r="AG995" s="34">
        <f>DB_STProjectsSOF[[#This Row],[Actual]]-DB_STProjectsSOF[[#This Row],[Plan]]</f>
        <v>0.66474999999999995</v>
      </c>
      <c r="AH995" s="34">
        <f>IF(DB_STProjectsSOF[[#This Row],[Plan]]&lt;&gt;0,DB_STProjectsSOF[[#This Row],[Actual]]/DB_STProjectsSOF[[#This Row],[Plan]],1.000011000011)</f>
        <v>1.0000110000110001</v>
      </c>
      <c r="AI995" s="34">
        <f>SUM(DB_STProjectsSOF[[#This Row],[Plan01]:[Plan12]])/valUnits2</f>
        <v>0</v>
      </c>
      <c r="AJ995" s="34">
        <f>SUMPRODUCT(DB_STProjectsSOF[[#This Row],[Act01]:[Act12]],$P$3:$AA$3)/valUnits2</f>
        <v>0.66474999999999995</v>
      </c>
      <c r="AK995" s="34">
        <f>IF(DB_STProjectsSOF[[#This Row],[FY Plan]]&lt;&gt;0,DB_STProjectsSOF[[#This Row],[FY Actuals]]/DB_STProjectsSOF[[#This Row],[FY Plan]],1.000011000011)</f>
        <v>1.0000110000110001</v>
      </c>
    </row>
    <row r="996" spans="1:37" hidden="1" x14ac:dyDescent="0.2">
      <c r="A996">
        <f>SUBTOTAL(3,$B$6:B996)</f>
        <v>0</v>
      </c>
      <c r="B996" t="s">
        <v>499</v>
      </c>
      <c r="C996" t="s">
        <v>850</v>
      </c>
      <c r="D996">
        <v>21.917000000000002</v>
      </c>
      <c r="E996">
        <v>385.27699999999999</v>
      </c>
      <c r="F996">
        <v>0</v>
      </c>
      <c r="G996">
        <v>620.99900000000002</v>
      </c>
      <c r="H996">
        <v>527.577</v>
      </c>
      <c r="I996">
        <v>340.70600000000002</v>
      </c>
      <c r="J996">
        <v>340.70600000000002</v>
      </c>
      <c r="K996">
        <v>340.70600000000002</v>
      </c>
      <c r="L996">
        <v>340.70600000000002</v>
      </c>
      <c r="M996">
        <v>340.70600000000002</v>
      </c>
      <c r="N996">
        <v>340.70600000000002</v>
      </c>
      <c r="O996">
        <v>340.70600000000002</v>
      </c>
      <c r="P996">
        <v>21.92</v>
      </c>
      <c r="Q996">
        <v>385.27</v>
      </c>
      <c r="R996">
        <v>0</v>
      </c>
      <c r="S996">
        <v>619.24</v>
      </c>
      <c r="T996">
        <v>527.32999999999993</v>
      </c>
      <c r="U996">
        <v>443.10999999999996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s="164">
        <v>40817</v>
      </c>
      <c r="AC996" s="164">
        <v>41639</v>
      </c>
      <c r="AD996" s="164">
        <v>41820</v>
      </c>
      <c r="AE996" s="34">
        <f>SUMPRODUCT(DB_STProjectsSOF[[#This Row],[Plan01]:[Plan12]],$D$4:$O$4)/valUnits2</f>
        <v>1.8964760000000001</v>
      </c>
      <c r="AF996" s="34">
        <f>SUMPRODUCT(DB_STProjectsSOF[[#This Row],[Act01]:[Act12]],$P$4:$AA$4)/valUnits2</f>
        <v>1.9968699999999999</v>
      </c>
      <c r="AG996" s="34">
        <f>DB_STProjectsSOF[[#This Row],[Actual]]-DB_STProjectsSOF[[#This Row],[Plan]]</f>
        <v>0.10039399999999987</v>
      </c>
      <c r="AH996" s="34">
        <f>IF(DB_STProjectsSOF[[#This Row],[Plan]]&lt;&gt;0,DB_STProjectsSOF[[#This Row],[Actual]]/DB_STProjectsSOF[[#This Row],[Plan]],1.000011000011)</f>
        <v>1.0529371318171177</v>
      </c>
      <c r="AI996" s="34">
        <f>SUM(DB_STProjectsSOF[[#This Row],[Plan01]:[Plan12]])/valUnits2</f>
        <v>3.9407120000000009</v>
      </c>
      <c r="AJ996" s="34">
        <f>SUMPRODUCT(DB_STProjectsSOF[[#This Row],[Act01]:[Act12]],$P$3:$AA$3)/valUnits2</f>
        <v>1.9968699999999999</v>
      </c>
      <c r="AK996" s="34">
        <f>IF(DB_STProjectsSOF[[#This Row],[FY Plan]]&lt;&gt;0,DB_STProjectsSOF[[#This Row],[FY Actuals]]/DB_STProjectsSOF[[#This Row],[FY Plan]],1.000011000011)</f>
        <v>0.50672822576224785</v>
      </c>
    </row>
    <row r="997" spans="1:37" hidden="1" x14ac:dyDescent="0.2">
      <c r="A997">
        <f>SUBTOTAL(3,$B$6:B997)</f>
        <v>0</v>
      </c>
      <c r="B997" t="s">
        <v>499</v>
      </c>
      <c r="C997" t="s">
        <v>853</v>
      </c>
      <c r="G997">
        <v>0</v>
      </c>
      <c r="H997">
        <v>0</v>
      </c>
      <c r="I997">
        <v>33.844999999999999</v>
      </c>
      <c r="J997">
        <v>33.844999999999999</v>
      </c>
      <c r="K997">
        <v>33.844999999999999</v>
      </c>
      <c r="L997">
        <v>33.844999999999999</v>
      </c>
      <c r="M997">
        <v>33.844999999999999</v>
      </c>
      <c r="N997">
        <v>33.844999999999999</v>
      </c>
      <c r="O997">
        <v>33.844999999999999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 s="164">
        <v>41275</v>
      </c>
      <c r="AC997" s="164">
        <v>41639</v>
      </c>
      <c r="AD997" s="164">
        <v>41669</v>
      </c>
      <c r="AE997" s="34">
        <f>SUMPRODUCT(DB_STProjectsSOF[[#This Row],[Plan01]:[Plan12]],$D$4:$O$4)/valUnits2</f>
        <v>3.3845E-2</v>
      </c>
      <c r="AF997" s="34">
        <f>SUMPRODUCT(DB_STProjectsSOF[[#This Row],[Act01]:[Act12]],$P$4:$AA$4)/valUnits2</f>
        <v>0</v>
      </c>
      <c r="AG997" s="34">
        <f>DB_STProjectsSOF[[#This Row],[Actual]]-DB_STProjectsSOF[[#This Row],[Plan]]</f>
        <v>-3.3845E-2</v>
      </c>
      <c r="AH997" s="34">
        <f>IF(DB_STProjectsSOF[[#This Row],[Plan]]&lt;&gt;0,DB_STProjectsSOF[[#This Row],[Actual]]/DB_STProjectsSOF[[#This Row],[Plan]],1.000011000011)</f>
        <v>0</v>
      </c>
      <c r="AI997" s="34">
        <f>SUM(DB_STProjectsSOF[[#This Row],[Plan01]:[Plan12]])/valUnits2</f>
        <v>0.23691499999999999</v>
      </c>
      <c r="AJ997" s="34">
        <f>SUMPRODUCT(DB_STProjectsSOF[[#This Row],[Act01]:[Act12]],$P$3:$AA$3)/valUnits2</f>
        <v>0</v>
      </c>
      <c r="AK997" s="34">
        <f>IF(DB_STProjectsSOF[[#This Row],[FY Plan]]&lt;&gt;0,DB_STProjectsSOF[[#This Row],[FY Actuals]]/DB_STProjectsSOF[[#This Row],[FY Plan]],1.000011000011)</f>
        <v>0</v>
      </c>
    </row>
    <row r="998" spans="1:37" hidden="1" x14ac:dyDescent="0.2">
      <c r="A998">
        <f>SUBTOTAL(3,$B$6:B998)</f>
        <v>0</v>
      </c>
      <c r="B998" t="s">
        <v>499</v>
      </c>
      <c r="C998" t="s">
        <v>854</v>
      </c>
      <c r="F998">
        <v>0</v>
      </c>
      <c r="G998">
        <v>0</v>
      </c>
      <c r="H998">
        <v>148.065</v>
      </c>
      <c r="I998">
        <v>578.35500000000002</v>
      </c>
      <c r="J998">
        <v>578.35500000000002</v>
      </c>
      <c r="K998">
        <v>578.35500000000002</v>
      </c>
      <c r="L998">
        <v>578.35500000000002</v>
      </c>
      <c r="M998">
        <v>578.35500000000002</v>
      </c>
      <c r="N998">
        <v>578.35500000000002</v>
      </c>
      <c r="O998">
        <v>578.35500000000002</v>
      </c>
      <c r="R998">
        <v>0</v>
      </c>
      <c r="S998">
        <v>0</v>
      </c>
      <c r="T998">
        <v>150.05000000000001</v>
      </c>
      <c r="U998">
        <v>132.47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 s="164">
        <v>40923</v>
      </c>
      <c r="AC998" s="164">
        <v>41698</v>
      </c>
      <c r="AD998" s="164">
        <v>41759</v>
      </c>
      <c r="AE998" s="34">
        <f>SUMPRODUCT(DB_STProjectsSOF[[#This Row],[Plan01]:[Plan12]],$D$4:$O$4)/valUnits2</f>
        <v>0.72642000000000007</v>
      </c>
      <c r="AF998" s="34">
        <f>SUMPRODUCT(DB_STProjectsSOF[[#This Row],[Act01]:[Act12]],$P$4:$AA$4)/valUnits2</f>
        <v>0.28251999999999999</v>
      </c>
      <c r="AG998" s="34">
        <f>DB_STProjectsSOF[[#This Row],[Actual]]-DB_STProjectsSOF[[#This Row],[Plan]]</f>
        <v>-0.44390000000000007</v>
      </c>
      <c r="AH998" s="34">
        <f>IF(DB_STProjectsSOF[[#This Row],[Plan]]&lt;&gt;0,DB_STProjectsSOF[[#This Row],[Actual]]/DB_STProjectsSOF[[#This Row],[Plan]],1.000011000011)</f>
        <v>0.38892100988408906</v>
      </c>
      <c r="AI998" s="34">
        <f>SUM(DB_STProjectsSOF[[#This Row],[Plan01]:[Plan12]])/valUnits2</f>
        <v>4.1965500000000002</v>
      </c>
      <c r="AJ998" s="34">
        <f>SUMPRODUCT(DB_STProjectsSOF[[#This Row],[Act01]:[Act12]],$P$3:$AA$3)/valUnits2</f>
        <v>0.28251999999999999</v>
      </c>
      <c r="AK998" s="34">
        <f>IF(DB_STProjectsSOF[[#This Row],[FY Plan]]&lt;&gt;0,DB_STProjectsSOF[[#This Row],[FY Actuals]]/DB_STProjectsSOF[[#This Row],[FY Plan]],1.000011000011)</f>
        <v>6.7321966853725074E-2</v>
      </c>
    </row>
    <row r="999" spans="1:37" hidden="1" x14ac:dyDescent="0.2">
      <c r="A999">
        <f>SUBTOTAL(3,$B$6:B999)</f>
        <v>0</v>
      </c>
      <c r="B999" t="s">
        <v>499</v>
      </c>
      <c r="C999" t="s">
        <v>855</v>
      </c>
      <c r="E999">
        <v>291.52699999999999</v>
      </c>
      <c r="F999">
        <v>333.00700000000001</v>
      </c>
      <c r="G999">
        <v>437.536</v>
      </c>
      <c r="H999">
        <v>441.69400000000002</v>
      </c>
      <c r="I999">
        <v>1107.1959999999999</v>
      </c>
      <c r="J999">
        <v>1107.1959999999999</v>
      </c>
      <c r="K999">
        <v>1107.1959999999999</v>
      </c>
      <c r="L999">
        <v>1107.1959999999999</v>
      </c>
      <c r="M999">
        <v>1107.1959999999999</v>
      </c>
      <c r="N999">
        <v>1107.1959999999999</v>
      </c>
      <c r="O999">
        <v>1107.1959999999999</v>
      </c>
      <c r="Q999">
        <v>297.64</v>
      </c>
      <c r="R999">
        <v>336.02000000000004</v>
      </c>
      <c r="S999">
        <v>435.04</v>
      </c>
      <c r="T999">
        <v>436.34000000000003</v>
      </c>
      <c r="U999">
        <v>498.28000000000003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s="164">
        <v>40817</v>
      </c>
      <c r="AC999" s="164">
        <v>41759</v>
      </c>
      <c r="AD999" s="164">
        <v>41820</v>
      </c>
      <c r="AE999" s="34">
        <f>SUMPRODUCT(DB_STProjectsSOF[[#This Row],[Plan01]:[Plan12]],$D$4:$O$4)/valUnits2</f>
        <v>2.6109599999999999</v>
      </c>
      <c r="AF999" s="34">
        <f>SUMPRODUCT(DB_STProjectsSOF[[#This Row],[Act01]:[Act12]],$P$4:$AA$4)/valUnits2</f>
        <v>2.00332</v>
      </c>
      <c r="AG999" s="34">
        <f>DB_STProjectsSOF[[#This Row],[Actual]]-DB_STProjectsSOF[[#This Row],[Plan]]</f>
        <v>-0.60763999999999996</v>
      </c>
      <c r="AH999" s="34">
        <f>IF(DB_STProjectsSOF[[#This Row],[Plan]]&lt;&gt;0,DB_STProjectsSOF[[#This Row],[Actual]]/DB_STProjectsSOF[[#This Row],[Plan]],1.000011000011)</f>
        <v>0.76727334007414894</v>
      </c>
      <c r="AI999" s="34">
        <f>SUM(DB_STProjectsSOF[[#This Row],[Plan01]:[Plan12]])/valUnits2</f>
        <v>9.254135999999999</v>
      </c>
      <c r="AJ999" s="34">
        <f>SUMPRODUCT(DB_STProjectsSOF[[#This Row],[Act01]:[Act12]],$P$3:$AA$3)/valUnits2</f>
        <v>2.00332</v>
      </c>
      <c r="AK999" s="34">
        <f>IF(DB_STProjectsSOF[[#This Row],[FY Plan]]&lt;&gt;0,DB_STProjectsSOF[[#This Row],[FY Actuals]]/DB_STProjectsSOF[[#This Row],[FY Plan]],1.000011000011)</f>
        <v>0.21647834006329714</v>
      </c>
    </row>
    <row r="1000" spans="1:37" hidden="1" x14ac:dyDescent="0.2">
      <c r="A1000">
        <f>SUBTOTAL(3,$B$6:B1000)</f>
        <v>0</v>
      </c>
      <c r="B1000" t="s">
        <v>499</v>
      </c>
      <c r="C1000" t="s">
        <v>856</v>
      </c>
      <c r="D1000">
        <v>16164.042999999998</v>
      </c>
      <c r="E1000">
        <v>16037.682000000001</v>
      </c>
      <c r="F1000">
        <v>18221.552000000003</v>
      </c>
      <c r="G1000">
        <v>15946.973000000002</v>
      </c>
      <c r="H1000">
        <v>16133.349000000002</v>
      </c>
      <c r="I1000">
        <v>11425.502</v>
      </c>
      <c r="J1000">
        <v>11425.502</v>
      </c>
      <c r="K1000">
        <v>11425.502</v>
      </c>
      <c r="L1000">
        <v>11425.502</v>
      </c>
      <c r="M1000">
        <v>11425.502</v>
      </c>
      <c r="N1000">
        <v>11425.502</v>
      </c>
      <c r="O1000">
        <v>11425.502</v>
      </c>
      <c r="P1000">
        <v>4480.0999999999995</v>
      </c>
      <c r="Q1000">
        <v>4424.54</v>
      </c>
      <c r="R1000">
        <v>6531.15</v>
      </c>
      <c r="S1000">
        <v>4388.82</v>
      </c>
      <c r="T1000">
        <v>4583.3100000000004</v>
      </c>
      <c r="U1000">
        <v>4989.6600000000008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s="164">
        <v>40817</v>
      </c>
      <c r="AC1000" s="164">
        <v>42338</v>
      </c>
      <c r="AD1000" s="164">
        <v>42490</v>
      </c>
      <c r="AE1000" s="34">
        <f>SUMPRODUCT(DB_STProjectsSOF[[#This Row],[Plan01]:[Plan12]],$D$4:$O$4)/valUnits2</f>
        <v>93.929100999999989</v>
      </c>
      <c r="AF1000" s="34">
        <f>SUMPRODUCT(DB_STProjectsSOF[[#This Row],[Act01]:[Act12]],$P$4:$AA$4)/valUnits2</f>
        <v>29.397580000000001</v>
      </c>
      <c r="AG1000" s="34">
        <f>DB_STProjectsSOF[[#This Row],[Actual]]-DB_STProjectsSOF[[#This Row],[Plan]]</f>
        <v>-64.531520999999984</v>
      </c>
      <c r="AH1000" s="34">
        <f>IF(DB_STProjectsSOF[[#This Row],[Plan]]&lt;&gt;0,DB_STProjectsSOF[[#This Row],[Actual]]/DB_STProjectsSOF[[#This Row],[Plan]],1.000011000011)</f>
        <v>0.31297627345544388</v>
      </c>
      <c r="AI1000" s="34">
        <f>SUM(DB_STProjectsSOF[[#This Row],[Plan01]:[Plan12]])/valUnits2</f>
        <v>162.48211300000006</v>
      </c>
      <c r="AJ1000" s="34">
        <f>SUMPRODUCT(DB_STProjectsSOF[[#This Row],[Act01]:[Act12]],$P$3:$AA$3)/valUnits2</f>
        <v>29.397580000000001</v>
      </c>
      <c r="AK1000" s="34">
        <f>IF(DB_STProjectsSOF[[#This Row],[FY Plan]]&lt;&gt;0,DB_STProjectsSOF[[#This Row],[FY Actuals]]/DB_STProjectsSOF[[#This Row],[FY Plan]],1.000011000011)</f>
        <v>0.18092810006723628</v>
      </c>
    </row>
    <row r="1001" spans="1:37" hidden="1" x14ac:dyDescent="0.2">
      <c r="A1001">
        <f>SUBTOTAL(3,$B$6:B1001)</f>
        <v>0</v>
      </c>
      <c r="B1001" t="s">
        <v>499</v>
      </c>
      <c r="C1001" t="s">
        <v>857</v>
      </c>
      <c r="D1001">
        <v>641.61</v>
      </c>
      <c r="E1001">
        <v>3694.53</v>
      </c>
      <c r="F1001">
        <v>1310.3</v>
      </c>
      <c r="H1001">
        <v>-4404.6400000000003</v>
      </c>
      <c r="P1001">
        <v>641.61</v>
      </c>
      <c r="Q1001">
        <v>3694.53</v>
      </c>
      <c r="R1001">
        <v>1310.3</v>
      </c>
      <c r="T1001">
        <v>-4404.6400000000003</v>
      </c>
      <c r="AB1001" s="164">
        <v>40909</v>
      </c>
      <c r="AC1001" s="164">
        <v>41274</v>
      </c>
      <c r="AD1001" s="164">
        <v>41364</v>
      </c>
      <c r="AE1001" s="34">
        <f>SUMPRODUCT(DB_STProjectsSOF[[#This Row],[Plan01]:[Plan12]],$D$4:$O$4)/valUnits2</f>
        <v>1.2418000000000002</v>
      </c>
      <c r="AF1001" s="34">
        <f>SUMPRODUCT(DB_STProjectsSOF[[#This Row],[Act01]:[Act12]],$P$4:$AA$4)/valUnits2</f>
        <v>1.2418000000000002</v>
      </c>
      <c r="AG1001" s="34">
        <f>DB_STProjectsSOF[[#This Row],[Actual]]-DB_STProjectsSOF[[#This Row],[Plan]]</f>
        <v>0</v>
      </c>
      <c r="AH1001" s="34">
        <f>IF(DB_STProjectsSOF[[#This Row],[Plan]]&lt;&gt;0,DB_STProjectsSOF[[#This Row],[Actual]]/DB_STProjectsSOF[[#This Row],[Plan]],1.000011000011)</f>
        <v>1</v>
      </c>
      <c r="AI1001" s="34">
        <f>SUM(DB_STProjectsSOF[[#This Row],[Plan01]:[Plan12]])/valUnits2</f>
        <v>1.2418000000000002</v>
      </c>
      <c r="AJ1001" s="34">
        <f>SUMPRODUCT(DB_STProjectsSOF[[#This Row],[Act01]:[Act12]],$P$3:$AA$3)/valUnits2</f>
        <v>1.2418000000000002</v>
      </c>
      <c r="AK1001" s="34">
        <f>IF(DB_STProjectsSOF[[#This Row],[FY Plan]]&lt;&gt;0,DB_STProjectsSOF[[#This Row],[FY Actuals]]/DB_STProjectsSOF[[#This Row],[FY Plan]],1.000011000011)</f>
        <v>1</v>
      </c>
    </row>
    <row r="1002" spans="1:37" hidden="1" x14ac:dyDescent="0.2">
      <c r="A1002">
        <f>SUBTOTAL(3,$B$6:B1002)</f>
        <v>0</v>
      </c>
      <c r="B1002" t="s">
        <v>499</v>
      </c>
      <c r="C1002" t="s">
        <v>858</v>
      </c>
      <c r="D1002">
        <v>50535.54</v>
      </c>
      <c r="E1002">
        <v>8685.3700000000008</v>
      </c>
      <c r="F1002">
        <v>-43797.240000000005</v>
      </c>
      <c r="G1002">
        <v>6252.78</v>
      </c>
      <c r="H1002">
        <v>4474.2700000000004</v>
      </c>
      <c r="I1002">
        <v>5119.1009999999997</v>
      </c>
      <c r="J1002">
        <v>5119.1009999999997</v>
      </c>
      <c r="K1002">
        <v>5819.1009999999997</v>
      </c>
      <c r="L1002">
        <v>5119.1009999999997</v>
      </c>
      <c r="M1002">
        <v>5119.1009999999997</v>
      </c>
      <c r="N1002">
        <v>5119.1009999999997</v>
      </c>
      <c r="O1002">
        <v>5119.1009999999997</v>
      </c>
      <c r="P1002">
        <v>50535.54</v>
      </c>
      <c r="Q1002">
        <v>8685.3700000000008</v>
      </c>
      <c r="R1002">
        <v>-43797.240000000005</v>
      </c>
      <c r="S1002">
        <v>6252.78</v>
      </c>
      <c r="T1002">
        <v>4474.2700000000004</v>
      </c>
      <c r="U1002">
        <v>773.53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 s="164">
        <v>41275</v>
      </c>
      <c r="AC1002" s="164">
        <v>41639</v>
      </c>
      <c r="AD1002" s="164">
        <v>41784</v>
      </c>
      <c r="AE1002" s="34">
        <f>SUMPRODUCT(DB_STProjectsSOF[[#This Row],[Plan01]:[Plan12]],$D$4:$O$4)/valUnits2</f>
        <v>31.269820999999997</v>
      </c>
      <c r="AF1002" s="34">
        <f>SUMPRODUCT(DB_STProjectsSOF[[#This Row],[Act01]:[Act12]],$P$4:$AA$4)/valUnits2</f>
        <v>26.924249999999997</v>
      </c>
      <c r="AG1002" s="34">
        <f>DB_STProjectsSOF[[#This Row],[Actual]]-DB_STProjectsSOF[[#This Row],[Plan]]</f>
        <v>-4.3455709999999996</v>
      </c>
      <c r="AH1002" s="34">
        <f>IF(DB_STProjectsSOF[[#This Row],[Plan]]&lt;&gt;0,DB_STProjectsSOF[[#This Row],[Actual]]/DB_STProjectsSOF[[#This Row],[Plan]],1.000011000011)</f>
        <v>0.86102987286048105</v>
      </c>
      <c r="AI1002" s="34">
        <f>SUM(DB_STProjectsSOF[[#This Row],[Plan01]:[Plan12]])/valUnits2</f>
        <v>62.684427000000014</v>
      </c>
      <c r="AJ1002" s="34">
        <f>SUMPRODUCT(DB_STProjectsSOF[[#This Row],[Act01]:[Act12]],$P$3:$AA$3)/valUnits2</f>
        <v>26.924249999999997</v>
      </c>
      <c r="AK1002" s="34">
        <f>IF(DB_STProjectsSOF[[#This Row],[FY Plan]]&lt;&gt;0,DB_STProjectsSOF[[#This Row],[FY Actuals]]/DB_STProjectsSOF[[#This Row],[FY Plan]],1.000011000011)</f>
        <v>0.42952055699575897</v>
      </c>
    </row>
    <row r="1003" spans="1:37" hidden="1" x14ac:dyDescent="0.2">
      <c r="A1003">
        <f>SUBTOTAL(3,$B$6:B1003)</f>
        <v>0</v>
      </c>
      <c r="B1003" t="s">
        <v>499</v>
      </c>
      <c r="C1003" t="s">
        <v>859</v>
      </c>
      <c r="D1003">
        <v>815.15499999999997</v>
      </c>
      <c r="E1003">
        <v>912.28899999999999</v>
      </c>
      <c r="F1003">
        <v>953.73699999999997</v>
      </c>
      <c r="O1003">
        <v>1304.3050000000001</v>
      </c>
      <c r="P1003">
        <v>803.1</v>
      </c>
      <c r="Q1003">
        <v>931.42000000000007</v>
      </c>
      <c r="R1003">
        <v>962.37</v>
      </c>
      <c r="AA1003">
        <v>0</v>
      </c>
      <c r="AB1003" s="164">
        <v>40909</v>
      </c>
      <c r="AC1003" s="164">
        <v>42004</v>
      </c>
      <c r="AD1003" s="164">
        <v>42094</v>
      </c>
      <c r="AE1003" s="34">
        <f>SUMPRODUCT(DB_STProjectsSOF[[#This Row],[Plan01]:[Plan12]],$D$4:$O$4)/valUnits2</f>
        <v>2.681181</v>
      </c>
      <c r="AF1003" s="34">
        <f>SUMPRODUCT(DB_STProjectsSOF[[#This Row],[Act01]:[Act12]],$P$4:$AA$4)/valUnits2</f>
        <v>2.6968899999999998</v>
      </c>
      <c r="AG1003" s="34">
        <f>DB_STProjectsSOF[[#This Row],[Actual]]-DB_STProjectsSOF[[#This Row],[Plan]]</f>
        <v>1.5708999999999751E-2</v>
      </c>
      <c r="AH1003" s="34">
        <f>IF(DB_STProjectsSOF[[#This Row],[Plan]]&lt;&gt;0,DB_STProjectsSOF[[#This Row],[Actual]]/DB_STProjectsSOF[[#This Row],[Plan]],1.000011000011)</f>
        <v>1.0058589852755184</v>
      </c>
      <c r="AI1003" s="34">
        <f>SUM(DB_STProjectsSOF[[#This Row],[Plan01]:[Plan12]])/valUnits2</f>
        <v>3.9854859999999999</v>
      </c>
      <c r="AJ1003" s="34">
        <f>SUMPRODUCT(DB_STProjectsSOF[[#This Row],[Act01]:[Act12]],$P$3:$AA$3)/valUnits2</f>
        <v>2.6968899999999998</v>
      </c>
      <c r="AK1003" s="34">
        <f>IF(DB_STProjectsSOF[[#This Row],[FY Plan]]&lt;&gt;0,DB_STProjectsSOF[[#This Row],[FY Actuals]]/DB_STProjectsSOF[[#This Row],[FY Plan]],1.000011000011)</f>
        <v>0.67667782548978972</v>
      </c>
    </row>
    <row r="1004" spans="1:37" hidden="1" x14ac:dyDescent="0.2">
      <c r="A1004">
        <f>SUBTOTAL(3,$B$6:B1004)</f>
        <v>0</v>
      </c>
      <c r="B1004" t="s">
        <v>499</v>
      </c>
      <c r="C1004" t="s">
        <v>860</v>
      </c>
      <c r="D1004">
        <v>0</v>
      </c>
      <c r="E1004">
        <v>0</v>
      </c>
      <c r="F1004">
        <v>0</v>
      </c>
      <c r="G1004">
        <v>0</v>
      </c>
      <c r="H1004">
        <v>150.05000000000001</v>
      </c>
      <c r="I1004">
        <v>1626.316</v>
      </c>
      <c r="J1004">
        <v>1626.316</v>
      </c>
      <c r="K1004">
        <v>1626.316</v>
      </c>
      <c r="L1004">
        <v>1626.316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150.05000000000001</v>
      </c>
      <c r="U1004">
        <v>132.47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 s="164">
        <v>40969</v>
      </c>
      <c r="AC1004" s="164">
        <v>42643</v>
      </c>
      <c r="AD1004" s="164">
        <v>42704</v>
      </c>
      <c r="AE1004" s="34">
        <f>SUMPRODUCT(DB_STProjectsSOF[[#This Row],[Plan01]:[Plan12]],$D$4:$O$4)/valUnits2</f>
        <v>1.7763659999999999</v>
      </c>
      <c r="AF1004" s="34">
        <f>SUMPRODUCT(DB_STProjectsSOF[[#This Row],[Act01]:[Act12]],$P$4:$AA$4)/valUnits2</f>
        <v>0.28251999999999999</v>
      </c>
      <c r="AG1004" s="34">
        <f>DB_STProjectsSOF[[#This Row],[Actual]]-DB_STProjectsSOF[[#This Row],[Plan]]</f>
        <v>-1.493846</v>
      </c>
      <c r="AH1004" s="34">
        <f>IF(DB_STProjectsSOF[[#This Row],[Plan]]&lt;&gt;0,DB_STProjectsSOF[[#This Row],[Actual]]/DB_STProjectsSOF[[#This Row],[Plan]],1.000011000011)</f>
        <v>0.1590438006581977</v>
      </c>
      <c r="AI1004" s="34">
        <f>SUM(DB_STProjectsSOF[[#This Row],[Plan01]:[Plan12]])/valUnits2</f>
        <v>6.6553139999999997</v>
      </c>
      <c r="AJ1004" s="34">
        <f>SUMPRODUCT(DB_STProjectsSOF[[#This Row],[Act01]:[Act12]],$P$3:$AA$3)/valUnits2</f>
        <v>0.28251999999999999</v>
      </c>
      <c r="AK1004" s="34">
        <f>IF(DB_STProjectsSOF[[#This Row],[FY Plan]]&lt;&gt;0,DB_STProjectsSOF[[#This Row],[FY Actuals]]/DB_STProjectsSOF[[#This Row],[FY Plan]],1.000011000011)</f>
        <v>4.2450288596450898E-2</v>
      </c>
    </row>
    <row r="1005" spans="1:37" hidden="1" x14ac:dyDescent="0.2">
      <c r="A1005">
        <f>SUBTOTAL(3,$B$6:B1005)</f>
        <v>0</v>
      </c>
      <c r="B1005" t="s">
        <v>499</v>
      </c>
      <c r="C1005" t="s">
        <v>862</v>
      </c>
      <c r="G1005">
        <v>0</v>
      </c>
      <c r="H1005">
        <v>0</v>
      </c>
      <c r="I1005">
        <v>1025.2429999999999</v>
      </c>
      <c r="J1005">
        <v>1025.2429999999999</v>
      </c>
      <c r="K1005">
        <v>1025.2429999999999</v>
      </c>
      <c r="L1005">
        <v>1025.2429999999999</v>
      </c>
      <c r="M1005">
        <v>1025.2429999999999</v>
      </c>
      <c r="N1005">
        <v>1025.2429999999999</v>
      </c>
      <c r="O1005">
        <v>1025.2429999999999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 s="164">
        <v>41275</v>
      </c>
      <c r="AC1005" s="164">
        <v>41639</v>
      </c>
      <c r="AD1005" s="164">
        <v>3</v>
      </c>
      <c r="AE1005" s="34">
        <f>SUMPRODUCT(DB_STProjectsSOF[[#This Row],[Plan01]:[Plan12]],$D$4:$O$4)/valUnits2</f>
        <v>1.0252429999999999</v>
      </c>
      <c r="AF1005" s="34">
        <f>SUMPRODUCT(DB_STProjectsSOF[[#This Row],[Act01]:[Act12]],$P$4:$AA$4)/valUnits2</f>
        <v>0</v>
      </c>
      <c r="AG1005" s="34">
        <f>DB_STProjectsSOF[[#This Row],[Actual]]-DB_STProjectsSOF[[#This Row],[Plan]]</f>
        <v>-1.0252429999999999</v>
      </c>
      <c r="AH1005" s="34">
        <f>IF(DB_STProjectsSOF[[#This Row],[Plan]]&lt;&gt;0,DB_STProjectsSOF[[#This Row],[Actual]]/DB_STProjectsSOF[[#This Row],[Plan]],1.000011000011)</f>
        <v>0</v>
      </c>
      <c r="AI1005" s="34">
        <f>SUM(DB_STProjectsSOF[[#This Row],[Plan01]:[Plan12]])/valUnits2</f>
        <v>7.1767010000000013</v>
      </c>
      <c r="AJ1005" s="34">
        <f>SUMPRODUCT(DB_STProjectsSOF[[#This Row],[Act01]:[Act12]],$P$3:$AA$3)/valUnits2</f>
        <v>0</v>
      </c>
      <c r="AK1005" s="34">
        <f>IF(DB_STProjectsSOF[[#This Row],[FY Plan]]&lt;&gt;0,DB_STProjectsSOF[[#This Row],[FY Actuals]]/DB_STProjectsSOF[[#This Row],[FY Plan]],1.000011000011)</f>
        <v>0</v>
      </c>
    </row>
    <row r="1006" spans="1:37" hidden="1" x14ac:dyDescent="0.2">
      <c r="A1006">
        <f>SUBTOTAL(3,$B$6:B1006)</f>
        <v>0</v>
      </c>
      <c r="B1006" t="s">
        <v>499</v>
      </c>
      <c r="C1006" t="s">
        <v>865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 s="164">
        <v>40817</v>
      </c>
      <c r="AC1006" s="164">
        <v>41639</v>
      </c>
      <c r="AD1006" s="164">
        <v>41820</v>
      </c>
      <c r="AE1006" s="34">
        <f>SUMPRODUCT(DB_STProjectsSOF[[#This Row],[Plan01]:[Plan12]],$D$4:$O$4)/valUnits2</f>
        <v>0</v>
      </c>
      <c r="AF1006" s="34">
        <f>SUMPRODUCT(DB_STProjectsSOF[[#This Row],[Act01]:[Act12]],$P$4:$AA$4)/valUnits2</f>
        <v>0</v>
      </c>
      <c r="AG1006" s="34">
        <f>DB_STProjectsSOF[[#This Row],[Actual]]-DB_STProjectsSOF[[#This Row],[Plan]]</f>
        <v>0</v>
      </c>
      <c r="AH1006" s="34">
        <f>IF(DB_STProjectsSOF[[#This Row],[Plan]]&lt;&gt;0,DB_STProjectsSOF[[#This Row],[Actual]]/DB_STProjectsSOF[[#This Row],[Plan]],1.000011000011)</f>
        <v>1.0000110000110001</v>
      </c>
      <c r="AI1006" s="34">
        <f>SUM(DB_STProjectsSOF[[#This Row],[Plan01]:[Plan12]])/valUnits2</f>
        <v>0</v>
      </c>
      <c r="AJ1006" s="34">
        <f>SUMPRODUCT(DB_STProjectsSOF[[#This Row],[Act01]:[Act12]],$P$3:$AA$3)/valUnits2</f>
        <v>0</v>
      </c>
      <c r="AK1006" s="34">
        <f>IF(DB_STProjectsSOF[[#This Row],[FY Plan]]&lt;&gt;0,DB_STProjectsSOF[[#This Row],[FY Actuals]]/DB_STProjectsSOF[[#This Row],[FY Plan]],1.000011000011)</f>
        <v>1.0000110000110001</v>
      </c>
    </row>
    <row r="1007" spans="1:37" hidden="1" x14ac:dyDescent="0.2">
      <c r="A1007">
        <f>SUBTOTAL(3,$B$6:B1007)</f>
        <v>0</v>
      </c>
      <c r="B1007" t="s">
        <v>499</v>
      </c>
      <c r="C1007" t="s">
        <v>866</v>
      </c>
      <c r="D1007">
        <v>166753.01999999999</v>
      </c>
      <c r="E1007">
        <v>64641.53</v>
      </c>
      <c r="F1007">
        <v>127255.34</v>
      </c>
      <c r="G1007">
        <v>-136842.93000000002</v>
      </c>
      <c r="H1007">
        <v>-121443.40000000001</v>
      </c>
      <c r="I1007">
        <v>5743.7780000000002</v>
      </c>
      <c r="J1007">
        <v>5743.7780000000002</v>
      </c>
      <c r="K1007">
        <v>5743.7780000000002</v>
      </c>
      <c r="L1007">
        <v>5743.7780000000002</v>
      </c>
      <c r="P1007">
        <v>166753.02000000002</v>
      </c>
      <c r="Q1007">
        <v>64641.53</v>
      </c>
      <c r="R1007">
        <v>127255.34</v>
      </c>
      <c r="S1007">
        <v>-136842.93</v>
      </c>
      <c r="T1007">
        <v>-121443.40000000001</v>
      </c>
      <c r="U1007">
        <v>10654.779999999997</v>
      </c>
      <c r="V1007">
        <v>858.06</v>
      </c>
      <c r="W1007">
        <v>0</v>
      </c>
      <c r="X1007">
        <v>0</v>
      </c>
      <c r="AB1007" s="164">
        <v>41275</v>
      </c>
      <c r="AC1007" s="164">
        <v>41639</v>
      </c>
      <c r="AD1007" s="164">
        <v>41760</v>
      </c>
      <c r="AE1007" s="34">
        <f>SUMPRODUCT(DB_STProjectsSOF[[#This Row],[Plan01]:[Plan12]],$D$4:$O$4)/valUnits2</f>
        <v>106.10733799999998</v>
      </c>
      <c r="AF1007" s="34">
        <f>SUMPRODUCT(DB_STProjectsSOF[[#This Row],[Act01]:[Act12]],$P$4:$AA$4)/valUnits2</f>
        <v>111.01834000000001</v>
      </c>
      <c r="AG1007" s="34">
        <f>DB_STProjectsSOF[[#This Row],[Actual]]-DB_STProjectsSOF[[#This Row],[Plan]]</f>
        <v>4.9110020000000247</v>
      </c>
      <c r="AH1007" s="34">
        <f>IF(DB_STProjectsSOF[[#This Row],[Plan]]&lt;&gt;0,DB_STProjectsSOF[[#This Row],[Actual]]/DB_STProjectsSOF[[#This Row],[Plan]],1.000011000011)</f>
        <v>1.0462833399891724</v>
      </c>
      <c r="AI1007" s="34">
        <f>SUM(DB_STProjectsSOF[[#This Row],[Plan01]:[Plan12]])/valUnits2</f>
        <v>123.338672</v>
      </c>
      <c r="AJ1007" s="34">
        <f>SUMPRODUCT(DB_STProjectsSOF[[#This Row],[Act01]:[Act12]],$P$3:$AA$3)/valUnits2</f>
        <v>111.01834000000001</v>
      </c>
      <c r="AK1007" s="34">
        <f>IF(DB_STProjectsSOF[[#This Row],[FY Plan]]&lt;&gt;0,DB_STProjectsSOF[[#This Row],[FY Actuals]]/DB_STProjectsSOF[[#This Row],[FY Plan]],1.000011000011)</f>
        <v>0.90010974011460099</v>
      </c>
    </row>
    <row r="1008" spans="1:37" hidden="1" x14ac:dyDescent="0.2">
      <c r="A1008">
        <f>SUBTOTAL(3,$B$6:B1008)</f>
        <v>0</v>
      </c>
      <c r="B1008" t="s">
        <v>499</v>
      </c>
      <c r="C1008" t="s">
        <v>867</v>
      </c>
      <c r="I1008">
        <v>0</v>
      </c>
      <c r="U1008">
        <v>2398.8100000000004</v>
      </c>
      <c r="AB1008" s="164">
        <v>41365</v>
      </c>
      <c r="AC1008" s="164">
        <v>41639</v>
      </c>
      <c r="AD1008" s="164">
        <v>41670</v>
      </c>
      <c r="AE1008" s="34">
        <f>SUMPRODUCT(DB_STProjectsSOF[[#This Row],[Plan01]:[Plan12]],$D$4:$O$4)/valUnits2</f>
        <v>0</v>
      </c>
      <c r="AF1008" s="34">
        <f>SUMPRODUCT(DB_STProjectsSOF[[#This Row],[Act01]:[Act12]],$P$4:$AA$4)/valUnits2</f>
        <v>2.3988100000000006</v>
      </c>
      <c r="AG1008" s="34">
        <f>DB_STProjectsSOF[[#This Row],[Actual]]-DB_STProjectsSOF[[#This Row],[Plan]]</f>
        <v>2.3988100000000006</v>
      </c>
      <c r="AH1008" s="34">
        <f>IF(DB_STProjectsSOF[[#This Row],[Plan]]&lt;&gt;0,DB_STProjectsSOF[[#This Row],[Actual]]/DB_STProjectsSOF[[#This Row],[Plan]],1.000011000011)</f>
        <v>1.0000110000110001</v>
      </c>
      <c r="AI1008" s="34">
        <f>SUM(DB_STProjectsSOF[[#This Row],[Plan01]:[Plan12]])/valUnits2</f>
        <v>0</v>
      </c>
      <c r="AJ1008" s="34">
        <f>SUMPRODUCT(DB_STProjectsSOF[[#This Row],[Act01]:[Act12]],$P$3:$AA$3)/valUnits2</f>
        <v>2.3988100000000006</v>
      </c>
      <c r="AK1008" s="34">
        <f>IF(DB_STProjectsSOF[[#This Row],[FY Plan]]&lt;&gt;0,DB_STProjectsSOF[[#This Row],[FY Actuals]]/DB_STProjectsSOF[[#This Row],[FY Plan]],1.000011000011)</f>
        <v>1.0000110000110001</v>
      </c>
    </row>
    <row r="1009" spans="1:37" hidden="1" x14ac:dyDescent="0.2">
      <c r="A1009">
        <f>SUBTOTAL(3,$B$6:B1009)</f>
        <v>0</v>
      </c>
      <c r="B1009" t="s">
        <v>499</v>
      </c>
      <c r="C1009" t="s">
        <v>869</v>
      </c>
      <c r="D1009">
        <v>139.29</v>
      </c>
      <c r="E1009">
        <v>0</v>
      </c>
      <c r="F1009">
        <v>0</v>
      </c>
      <c r="G1009">
        <v>0</v>
      </c>
      <c r="H1009">
        <v>0</v>
      </c>
      <c r="I1009">
        <v>2842</v>
      </c>
      <c r="J1009">
        <v>2842</v>
      </c>
      <c r="K1009">
        <v>2842</v>
      </c>
      <c r="L1009">
        <v>2842</v>
      </c>
      <c r="M1009">
        <v>2842</v>
      </c>
      <c r="N1009">
        <v>2842</v>
      </c>
      <c r="O1009">
        <v>2842</v>
      </c>
      <c r="P1009">
        <v>139.29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 s="164">
        <v>40817</v>
      </c>
      <c r="AC1009" s="164">
        <v>42155</v>
      </c>
      <c r="AD1009" s="164">
        <v>42217</v>
      </c>
      <c r="AE1009" s="34">
        <f>SUMPRODUCT(DB_STProjectsSOF[[#This Row],[Plan01]:[Plan12]],$D$4:$O$4)/valUnits2</f>
        <v>2.98129</v>
      </c>
      <c r="AF1009" s="34">
        <f>SUMPRODUCT(DB_STProjectsSOF[[#This Row],[Act01]:[Act12]],$P$4:$AA$4)/valUnits2</f>
        <v>0.13929</v>
      </c>
      <c r="AG1009" s="34">
        <f>DB_STProjectsSOF[[#This Row],[Actual]]-DB_STProjectsSOF[[#This Row],[Plan]]</f>
        <v>-2.8420000000000001</v>
      </c>
      <c r="AH1009" s="34">
        <f>IF(DB_STProjectsSOF[[#This Row],[Plan]]&lt;&gt;0,DB_STProjectsSOF[[#This Row],[Actual]]/DB_STProjectsSOF[[#This Row],[Plan]],1.000011000011)</f>
        <v>4.6721385708870994E-2</v>
      </c>
      <c r="AI1009" s="34">
        <f>SUM(DB_STProjectsSOF[[#This Row],[Plan01]:[Plan12]])/valUnits2</f>
        <v>20.033290000000001</v>
      </c>
      <c r="AJ1009" s="34">
        <f>SUMPRODUCT(DB_STProjectsSOF[[#This Row],[Act01]:[Act12]],$P$3:$AA$3)/valUnits2</f>
        <v>0.13929</v>
      </c>
      <c r="AK1009" s="34">
        <f>IF(DB_STProjectsSOF[[#This Row],[FY Plan]]&lt;&gt;0,DB_STProjectsSOF[[#This Row],[FY Actuals]]/DB_STProjectsSOF[[#This Row],[FY Plan]],1.000011000011)</f>
        <v>6.95292685325276E-3</v>
      </c>
    </row>
    <row r="1010" spans="1:37" hidden="1" x14ac:dyDescent="0.2">
      <c r="A1010">
        <f>SUBTOTAL(3,$B$6:B1010)</f>
        <v>0</v>
      </c>
      <c r="B1010" t="s">
        <v>499</v>
      </c>
      <c r="C1010" t="s">
        <v>870</v>
      </c>
      <c r="G1010">
        <v>0</v>
      </c>
      <c r="J1010">
        <v>0</v>
      </c>
      <c r="M1010">
        <v>0</v>
      </c>
      <c r="S1010">
        <v>0</v>
      </c>
      <c r="V1010">
        <v>0</v>
      </c>
      <c r="Y1010">
        <v>0</v>
      </c>
      <c r="AB1010" s="164">
        <v>40909</v>
      </c>
      <c r="AC1010" s="164">
        <v>41274</v>
      </c>
      <c r="AD1010" s="164">
        <v>41305</v>
      </c>
      <c r="AE1010" s="34">
        <f>SUMPRODUCT(DB_STProjectsSOF[[#This Row],[Plan01]:[Plan12]],$D$4:$O$4)/valUnits2</f>
        <v>0</v>
      </c>
      <c r="AF1010" s="34">
        <f>SUMPRODUCT(DB_STProjectsSOF[[#This Row],[Act01]:[Act12]],$P$4:$AA$4)/valUnits2</f>
        <v>0</v>
      </c>
      <c r="AG1010" s="34">
        <f>DB_STProjectsSOF[[#This Row],[Actual]]-DB_STProjectsSOF[[#This Row],[Plan]]</f>
        <v>0</v>
      </c>
      <c r="AH1010" s="34">
        <f>IF(DB_STProjectsSOF[[#This Row],[Plan]]&lt;&gt;0,DB_STProjectsSOF[[#This Row],[Actual]]/DB_STProjectsSOF[[#This Row],[Plan]],1.000011000011)</f>
        <v>1.0000110000110001</v>
      </c>
      <c r="AI1010" s="34">
        <f>SUM(DB_STProjectsSOF[[#This Row],[Plan01]:[Plan12]])/valUnits2</f>
        <v>0</v>
      </c>
      <c r="AJ1010" s="34">
        <f>SUMPRODUCT(DB_STProjectsSOF[[#This Row],[Act01]:[Act12]],$P$3:$AA$3)/valUnits2</f>
        <v>0</v>
      </c>
      <c r="AK1010" s="34">
        <f>IF(DB_STProjectsSOF[[#This Row],[FY Plan]]&lt;&gt;0,DB_STProjectsSOF[[#This Row],[FY Actuals]]/DB_STProjectsSOF[[#This Row],[FY Plan]],1.000011000011)</f>
        <v>1.0000110000110001</v>
      </c>
    </row>
    <row r="1011" spans="1:37" hidden="1" x14ac:dyDescent="0.2">
      <c r="A1011">
        <f>SUBTOTAL(3,$B$6:B1011)</f>
        <v>0</v>
      </c>
      <c r="B1011" t="s">
        <v>499</v>
      </c>
      <c r="C1011" t="s">
        <v>874</v>
      </c>
      <c r="D1011">
        <v>815.15499999999997</v>
      </c>
      <c r="E1011">
        <v>861.95399999999995</v>
      </c>
      <c r="F1011">
        <v>1055.7349999999999</v>
      </c>
      <c r="G1011">
        <v>966.83199999999999</v>
      </c>
      <c r="H1011">
        <v>981.072</v>
      </c>
      <c r="I1011">
        <v>0</v>
      </c>
      <c r="P1011">
        <v>803.1</v>
      </c>
      <c r="Q1011">
        <v>880.03</v>
      </c>
      <c r="R1011">
        <v>1065.29</v>
      </c>
      <c r="S1011">
        <v>961.32</v>
      </c>
      <c r="T1011">
        <v>969.18000000000006</v>
      </c>
      <c r="U1011">
        <v>1372.55</v>
      </c>
      <c r="AB1011" s="164">
        <v>40879</v>
      </c>
      <c r="AC1011" s="164">
        <v>43071</v>
      </c>
      <c r="AD1011" s="164">
        <v>43161</v>
      </c>
      <c r="AE1011" s="34">
        <f>SUMPRODUCT(DB_STProjectsSOF[[#This Row],[Plan01]:[Plan12]],$D$4:$O$4)/valUnits2</f>
        <v>4.6807479999999995</v>
      </c>
      <c r="AF1011" s="34">
        <f>SUMPRODUCT(DB_STProjectsSOF[[#This Row],[Act01]:[Act12]],$P$4:$AA$4)/valUnits2</f>
        <v>6.0514700000000001</v>
      </c>
      <c r="AG1011" s="34">
        <f>DB_STProjectsSOF[[#This Row],[Actual]]-DB_STProjectsSOF[[#This Row],[Plan]]</f>
        <v>1.3707220000000007</v>
      </c>
      <c r="AH1011" s="34">
        <f>IF(DB_STProjectsSOF[[#This Row],[Plan]]&lt;&gt;0,DB_STProjectsSOF[[#This Row],[Actual]]/DB_STProjectsSOF[[#This Row],[Plan]],1.000011000011)</f>
        <v>1.292842511496026</v>
      </c>
      <c r="AI1011" s="34">
        <f>SUM(DB_STProjectsSOF[[#This Row],[Plan01]:[Plan12]])/valUnits2</f>
        <v>4.6807479999999995</v>
      </c>
      <c r="AJ1011" s="34">
        <f>SUMPRODUCT(DB_STProjectsSOF[[#This Row],[Act01]:[Act12]],$P$3:$AA$3)/valUnits2</f>
        <v>6.0514700000000001</v>
      </c>
      <c r="AK1011" s="34">
        <f>IF(DB_STProjectsSOF[[#This Row],[FY Plan]]&lt;&gt;0,DB_STProjectsSOF[[#This Row],[FY Actuals]]/DB_STProjectsSOF[[#This Row],[FY Plan]],1.000011000011)</f>
        <v>1.292842511496026</v>
      </c>
    </row>
    <row r="1012" spans="1:37" hidden="1" x14ac:dyDescent="0.2">
      <c r="A1012">
        <f>SUBTOTAL(3,$B$6:B1012)</f>
        <v>0</v>
      </c>
      <c r="B1012" t="s">
        <v>499</v>
      </c>
      <c r="C1012" t="s">
        <v>875</v>
      </c>
      <c r="D1012">
        <v>0</v>
      </c>
      <c r="E1012">
        <v>0</v>
      </c>
      <c r="F1012">
        <v>0</v>
      </c>
      <c r="G1012">
        <v>473.67899999999997</v>
      </c>
      <c r="H1012">
        <v>1265.0540000000001</v>
      </c>
      <c r="I1012">
        <v>1186.2249999999999</v>
      </c>
      <c r="J1012">
        <v>1186.2249999999999</v>
      </c>
      <c r="K1012">
        <v>1186.2249999999999</v>
      </c>
      <c r="L1012">
        <v>1186.2249999999999</v>
      </c>
      <c r="M1012">
        <v>1186.2250000000001</v>
      </c>
      <c r="N1012">
        <v>1186.2250000000001</v>
      </c>
      <c r="O1012">
        <v>1186.2250000000001</v>
      </c>
      <c r="P1012">
        <v>0</v>
      </c>
      <c r="Q1012">
        <v>0</v>
      </c>
      <c r="R1012">
        <v>0</v>
      </c>
      <c r="S1012">
        <v>466.71</v>
      </c>
      <c r="T1012">
        <v>1288.02</v>
      </c>
      <c r="U1012">
        <v>952.72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 s="164">
        <v>41275</v>
      </c>
      <c r="AC1012" s="164">
        <v>41639</v>
      </c>
      <c r="AD1012" s="164">
        <v>41649</v>
      </c>
      <c r="AE1012" s="34">
        <f>SUMPRODUCT(DB_STProjectsSOF[[#This Row],[Plan01]:[Plan12]],$D$4:$O$4)/valUnits2</f>
        <v>2.9249580000000002</v>
      </c>
      <c r="AF1012" s="34">
        <f>SUMPRODUCT(DB_STProjectsSOF[[#This Row],[Act01]:[Act12]],$P$4:$AA$4)/valUnits2</f>
        <v>2.7074499999999997</v>
      </c>
      <c r="AG1012" s="34">
        <f>DB_STProjectsSOF[[#This Row],[Actual]]-DB_STProjectsSOF[[#This Row],[Plan]]</f>
        <v>-0.21750800000000048</v>
      </c>
      <c r="AH1012" s="34">
        <f>IF(DB_STProjectsSOF[[#This Row],[Plan]]&lt;&gt;0,DB_STProjectsSOF[[#This Row],[Actual]]/DB_STProjectsSOF[[#This Row],[Plan]],1.000011000011)</f>
        <v>0.92563722282507976</v>
      </c>
      <c r="AI1012" s="34">
        <f>SUM(DB_STProjectsSOF[[#This Row],[Plan01]:[Plan12]])/valUnits2</f>
        <v>10.042308</v>
      </c>
      <c r="AJ1012" s="34">
        <f>SUMPRODUCT(DB_STProjectsSOF[[#This Row],[Act01]:[Act12]],$P$3:$AA$3)/valUnits2</f>
        <v>2.7074499999999997</v>
      </c>
      <c r="AK1012" s="34">
        <f>IF(DB_STProjectsSOF[[#This Row],[FY Plan]]&lt;&gt;0,DB_STProjectsSOF[[#This Row],[FY Actuals]]/DB_STProjectsSOF[[#This Row],[FY Plan]],1.000011000011)</f>
        <v>0.26960435788266995</v>
      </c>
    </row>
    <row r="1013" spans="1:37" hidden="1" x14ac:dyDescent="0.2">
      <c r="A1013">
        <f>SUBTOTAL(3,$B$6:B1013)</f>
        <v>0</v>
      </c>
      <c r="B1013" t="s">
        <v>499</v>
      </c>
      <c r="C1013" t="s">
        <v>876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213.12</v>
      </c>
      <c r="J1013">
        <v>213.12</v>
      </c>
      <c r="K1013">
        <v>213.12</v>
      </c>
      <c r="L1013">
        <v>213.12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AB1013" s="164">
        <v>40817</v>
      </c>
      <c r="AC1013" s="164">
        <v>41820</v>
      </c>
      <c r="AD1013" s="164">
        <v>41835</v>
      </c>
      <c r="AE1013" s="34">
        <f>SUMPRODUCT(DB_STProjectsSOF[[#This Row],[Plan01]:[Plan12]],$D$4:$O$4)/valUnits2</f>
        <v>0.21312</v>
      </c>
      <c r="AF1013" s="34">
        <f>SUMPRODUCT(DB_STProjectsSOF[[#This Row],[Act01]:[Act12]],$P$4:$AA$4)/valUnits2</f>
        <v>0</v>
      </c>
      <c r="AG1013" s="34">
        <f>DB_STProjectsSOF[[#This Row],[Actual]]-DB_STProjectsSOF[[#This Row],[Plan]]</f>
        <v>-0.21312</v>
      </c>
      <c r="AH1013" s="34">
        <f>IF(DB_STProjectsSOF[[#This Row],[Plan]]&lt;&gt;0,DB_STProjectsSOF[[#This Row],[Actual]]/DB_STProjectsSOF[[#This Row],[Plan]],1.000011000011)</f>
        <v>0</v>
      </c>
      <c r="AI1013" s="34">
        <f>SUM(DB_STProjectsSOF[[#This Row],[Plan01]:[Plan12]])/valUnits2</f>
        <v>0.85248000000000002</v>
      </c>
      <c r="AJ1013" s="34">
        <f>SUMPRODUCT(DB_STProjectsSOF[[#This Row],[Act01]:[Act12]],$P$3:$AA$3)/valUnits2</f>
        <v>0</v>
      </c>
      <c r="AK1013" s="34">
        <f>IF(DB_STProjectsSOF[[#This Row],[FY Plan]]&lt;&gt;0,DB_STProjectsSOF[[#This Row],[FY Actuals]]/DB_STProjectsSOF[[#This Row],[FY Plan]],1.000011000011)</f>
        <v>0</v>
      </c>
    </row>
    <row r="1014" spans="1:37" hidden="1" x14ac:dyDescent="0.2">
      <c r="A1014">
        <f>SUBTOTAL(3,$B$6:B1014)</f>
        <v>0</v>
      </c>
      <c r="B1014" t="s">
        <v>499</v>
      </c>
      <c r="C1014" t="s">
        <v>362</v>
      </c>
      <c r="D1014">
        <v>0</v>
      </c>
      <c r="G1014">
        <v>569.07399999999996</v>
      </c>
      <c r="H1014">
        <v>0</v>
      </c>
      <c r="I1014">
        <v>18.573</v>
      </c>
      <c r="P1014">
        <v>0</v>
      </c>
      <c r="S1014">
        <v>569.94000000000005</v>
      </c>
      <c r="T1014">
        <v>0</v>
      </c>
      <c r="U1014">
        <v>0</v>
      </c>
      <c r="AB1014" s="164">
        <v>40909</v>
      </c>
      <c r="AC1014" s="164">
        <v>41486</v>
      </c>
      <c r="AD1014" s="164">
        <v>41670</v>
      </c>
      <c r="AE1014" s="34">
        <f>SUMPRODUCT(DB_STProjectsSOF[[#This Row],[Plan01]:[Plan12]],$D$4:$O$4)/valUnits2</f>
        <v>0.58764699999999992</v>
      </c>
      <c r="AF1014" s="34">
        <f>SUMPRODUCT(DB_STProjectsSOF[[#This Row],[Act01]:[Act12]],$P$4:$AA$4)/valUnits2</f>
        <v>0.56994</v>
      </c>
      <c r="AG1014" s="34">
        <f>DB_STProjectsSOF[[#This Row],[Actual]]-DB_STProjectsSOF[[#This Row],[Plan]]</f>
        <v>-1.7706999999999917E-2</v>
      </c>
      <c r="AH1014" s="34">
        <f>IF(DB_STProjectsSOF[[#This Row],[Plan]]&lt;&gt;0,DB_STProjectsSOF[[#This Row],[Actual]]/DB_STProjectsSOF[[#This Row],[Plan]],1.000011000011)</f>
        <v>0.96986796495174843</v>
      </c>
      <c r="AI1014" s="34">
        <f>SUM(DB_STProjectsSOF[[#This Row],[Plan01]:[Plan12]])/valUnits2</f>
        <v>0.58764699999999992</v>
      </c>
      <c r="AJ1014" s="34">
        <f>SUMPRODUCT(DB_STProjectsSOF[[#This Row],[Act01]:[Act12]],$P$3:$AA$3)/valUnits2</f>
        <v>0.56994</v>
      </c>
      <c r="AK1014" s="34">
        <f>IF(DB_STProjectsSOF[[#This Row],[FY Plan]]&lt;&gt;0,DB_STProjectsSOF[[#This Row],[FY Actuals]]/DB_STProjectsSOF[[#This Row],[FY Plan]],1.000011000011)</f>
        <v>0.96986796495174843</v>
      </c>
    </row>
    <row r="1015" spans="1:37" hidden="1" x14ac:dyDescent="0.2">
      <c r="A1015">
        <f>SUBTOTAL(3,$B$6:B1015)</f>
        <v>0</v>
      </c>
      <c r="B1015" t="s">
        <v>499</v>
      </c>
      <c r="C1015" t="s">
        <v>877</v>
      </c>
      <c r="D1015">
        <v>0</v>
      </c>
      <c r="E1015">
        <v>145.75399999999999</v>
      </c>
      <c r="F1015">
        <v>166.50299999999999</v>
      </c>
      <c r="G1015">
        <v>145.822</v>
      </c>
      <c r="H1015">
        <v>147.20400000000001</v>
      </c>
      <c r="I1015">
        <v>165.18900000000002</v>
      </c>
      <c r="J1015">
        <v>165.18900000000002</v>
      </c>
      <c r="K1015">
        <v>165.18900000000002</v>
      </c>
      <c r="L1015">
        <v>165.18900000000002</v>
      </c>
      <c r="M1015">
        <v>165.18900000000002</v>
      </c>
      <c r="N1015">
        <v>165.18900000000002</v>
      </c>
      <c r="O1015">
        <v>165.18900000000002</v>
      </c>
      <c r="P1015">
        <v>0</v>
      </c>
      <c r="Q1015">
        <v>148.81</v>
      </c>
      <c r="R1015">
        <v>168.01</v>
      </c>
      <c r="S1015">
        <v>144.98999999999998</v>
      </c>
      <c r="T1015">
        <v>145.42000000000002</v>
      </c>
      <c r="U1015">
        <v>166.08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 s="164">
        <v>40817</v>
      </c>
      <c r="AC1015" s="164">
        <v>41639</v>
      </c>
      <c r="AD1015" s="164">
        <v>41729</v>
      </c>
      <c r="AE1015" s="34">
        <f>SUMPRODUCT(DB_STProjectsSOF[[#This Row],[Plan01]:[Plan12]],$D$4:$O$4)/valUnits2</f>
        <v>0.77047199999999993</v>
      </c>
      <c r="AF1015" s="34">
        <f>SUMPRODUCT(DB_STProjectsSOF[[#This Row],[Act01]:[Act12]],$P$4:$AA$4)/valUnits2</f>
        <v>0.77331000000000005</v>
      </c>
      <c r="AG1015" s="34">
        <f>DB_STProjectsSOF[[#This Row],[Actual]]-DB_STProjectsSOF[[#This Row],[Plan]]</f>
        <v>2.8380000000001182E-3</v>
      </c>
      <c r="AH1015" s="34">
        <f>IF(DB_STProjectsSOF[[#This Row],[Plan]]&lt;&gt;0,DB_STProjectsSOF[[#This Row],[Actual]]/DB_STProjectsSOF[[#This Row],[Plan]],1.000011000011)</f>
        <v>1.0036834563747938</v>
      </c>
      <c r="AI1015" s="34">
        <f>SUM(DB_STProjectsSOF[[#This Row],[Plan01]:[Plan12]])/valUnits2</f>
        <v>1.7616060000000004</v>
      </c>
      <c r="AJ1015" s="34">
        <f>SUMPRODUCT(DB_STProjectsSOF[[#This Row],[Act01]:[Act12]],$P$3:$AA$3)/valUnits2</f>
        <v>0.77331000000000005</v>
      </c>
      <c r="AK1015" s="34">
        <f>IF(DB_STProjectsSOF[[#This Row],[FY Plan]]&lt;&gt;0,DB_STProjectsSOF[[#This Row],[FY Actuals]]/DB_STProjectsSOF[[#This Row],[FY Plan]],1.000011000011)</f>
        <v>0.4389801124655569</v>
      </c>
    </row>
    <row r="1016" spans="1:37" hidden="1" x14ac:dyDescent="0.2">
      <c r="A1016">
        <f>SUBTOTAL(3,$B$6:B1016)</f>
        <v>0</v>
      </c>
      <c r="B1016" t="s">
        <v>499</v>
      </c>
      <c r="C1016" t="s">
        <v>878</v>
      </c>
      <c r="D1016">
        <v>0</v>
      </c>
      <c r="E1016">
        <v>0</v>
      </c>
      <c r="F1016">
        <v>281.27800000000002</v>
      </c>
      <c r="G1016">
        <v>281.27800000000002</v>
      </c>
      <c r="H1016">
        <v>281.27800000000002</v>
      </c>
      <c r="I1016">
        <v>281.27800000000002</v>
      </c>
      <c r="J1016">
        <v>281.27800000000002</v>
      </c>
      <c r="K1016">
        <v>281.27800000000002</v>
      </c>
      <c r="L1016">
        <v>281.27800000000002</v>
      </c>
      <c r="M1016">
        <v>281.27800000000002</v>
      </c>
      <c r="N1016">
        <v>281.27800000000002</v>
      </c>
      <c r="O1016">
        <v>281.27800000000002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 s="164">
        <v>40969</v>
      </c>
      <c r="AC1016" s="164">
        <v>41333</v>
      </c>
      <c r="AD1016" s="164">
        <v>41364</v>
      </c>
      <c r="AE1016" s="34">
        <f>SUMPRODUCT(DB_STProjectsSOF[[#This Row],[Plan01]:[Plan12]],$D$4:$O$4)/valUnits2</f>
        <v>1.1251120000000001</v>
      </c>
      <c r="AF1016" s="34">
        <f>SUMPRODUCT(DB_STProjectsSOF[[#This Row],[Act01]:[Act12]],$P$4:$AA$4)/valUnits2</f>
        <v>0</v>
      </c>
      <c r="AG1016" s="34">
        <f>DB_STProjectsSOF[[#This Row],[Actual]]-DB_STProjectsSOF[[#This Row],[Plan]]</f>
        <v>-1.1251120000000001</v>
      </c>
      <c r="AH1016" s="34">
        <f>IF(DB_STProjectsSOF[[#This Row],[Plan]]&lt;&gt;0,DB_STProjectsSOF[[#This Row],[Actual]]/DB_STProjectsSOF[[#This Row],[Plan]],1.000011000011)</f>
        <v>0</v>
      </c>
      <c r="AI1016" s="34">
        <f>SUM(DB_STProjectsSOF[[#This Row],[Plan01]:[Plan12]])/valUnits2</f>
        <v>2.8127800000000005</v>
      </c>
      <c r="AJ1016" s="34">
        <f>SUMPRODUCT(DB_STProjectsSOF[[#This Row],[Act01]:[Act12]],$P$3:$AA$3)/valUnits2</f>
        <v>0</v>
      </c>
      <c r="AK1016" s="34">
        <f>IF(DB_STProjectsSOF[[#This Row],[FY Plan]]&lt;&gt;0,DB_STProjectsSOF[[#This Row],[FY Actuals]]/DB_STProjectsSOF[[#This Row],[FY Plan]],1.000011000011)</f>
        <v>0</v>
      </c>
    </row>
    <row r="1017" spans="1:37" hidden="1" x14ac:dyDescent="0.2">
      <c r="A1017">
        <f>SUBTOTAL(3,$B$6:B1017)</f>
        <v>0</v>
      </c>
      <c r="B1017" t="s">
        <v>499</v>
      </c>
      <c r="C1017" t="s">
        <v>881</v>
      </c>
      <c r="G1017">
        <v>1013.45</v>
      </c>
      <c r="H1017">
        <v>300.56</v>
      </c>
      <c r="I1017">
        <v>319.80200000000002</v>
      </c>
      <c r="J1017">
        <v>639.60699999999997</v>
      </c>
      <c r="K1017">
        <v>319.80200000000002</v>
      </c>
      <c r="L1017">
        <v>319.80200000000002</v>
      </c>
      <c r="M1017">
        <v>319.80200000000002</v>
      </c>
      <c r="N1017">
        <v>319.80200000000002</v>
      </c>
      <c r="O1017">
        <v>639.60699999999997</v>
      </c>
      <c r="S1017">
        <v>1013.45</v>
      </c>
      <c r="T1017">
        <v>300.56</v>
      </c>
      <c r="U1017">
        <v>820.17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 s="164">
        <v>41275</v>
      </c>
      <c r="AC1017" s="164">
        <v>41639</v>
      </c>
      <c r="AD1017" s="164">
        <v>41685</v>
      </c>
      <c r="AE1017" s="34">
        <f>SUMPRODUCT(DB_STProjectsSOF[[#This Row],[Plan01]:[Plan12]],$D$4:$O$4)/valUnits2</f>
        <v>1.6338119999999998</v>
      </c>
      <c r="AF1017" s="34">
        <f>SUMPRODUCT(DB_STProjectsSOF[[#This Row],[Act01]:[Act12]],$P$4:$AA$4)/valUnits2</f>
        <v>2.1341799999999997</v>
      </c>
      <c r="AG1017" s="34">
        <f>DB_STProjectsSOF[[#This Row],[Actual]]-DB_STProjectsSOF[[#This Row],[Plan]]</f>
        <v>0.50036799999999992</v>
      </c>
      <c r="AH1017" s="34">
        <f>IF(DB_STProjectsSOF[[#This Row],[Plan]]&lt;&gt;0,DB_STProjectsSOF[[#This Row],[Actual]]/DB_STProjectsSOF[[#This Row],[Plan]],1.000011000011)</f>
        <v>1.3062580027567432</v>
      </c>
      <c r="AI1017" s="34">
        <f>SUM(DB_STProjectsSOF[[#This Row],[Plan01]:[Plan12]])/valUnits2</f>
        <v>4.192234</v>
      </c>
      <c r="AJ1017" s="34">
        <f>SUMPRODUCT(DB_STProjectsSOF[[#This Row],[Act01]:[Act12]],$P$3:$AA$3)/valUnits2</f>
        <v>2.1341799999999997</v>
      </c>
      <c r="AK1017" s="34">
        <f>IF(DB_STProjectsSOF[[#This Row],[FY Plan]]&lt;&gt;0,DB_STProjectsSOF[[#This Row],[FY Actuals]]/DB_STProjectsSOF[[#This Row],[FY Plan]],1.000011000011)</f>
        <v>0.50907940730407697</v>
      </c>
    </row>
    <row r="1018" spans="1:37" hidden="1" x14ac:dyDescent="0.2">
      <c r="A1018">
        <f>SUBTOTAL(3,$B$6:B1018)</f>
        <v>0</v>
      </c>
      <c r="B1018" t="s">
        <v>499</v>
      </c>
      <c r="C1018" t="s">
        <v>882</v>
      </c>
      <c r="D1018">
        <v>586.077</v>
      </c>
      <c r="E1018">
        <v>619.72500000000002</v>
      </c>
      <c r="F1018">
        <v>1026.577</v>
      </c>
      <c r="G1018">
        <v>686.64599999999996</v>
      </c>
      <c r="H1018">
        <v>625.90899999999999</v>
      </c>
      <c r="I1018">
        <v>434.76800000000003</v>
      </c>
      <c r="J1018">
        <v>108.69199999999999</v>
      </c>
      <c r="K1018">
        <v>108.69199999999999</v>
      </c>
      <c r="L1018">
        <v>434.76800000000003</v>
      </c>
      <c r="M1018">
        <v>108.69199999999999</v>
      </c>
      <c r="N1018">
        <v>108.69199999999999</v>
      </c>
      <c r="O1018">
        <v>434.76800000000003</v>
      </c>
      <c r="P1018">
        <v>577.41</v>
      </c>
      <c r="Q1018">
        <v>632.72</v>
      </c>
      <c r="R1018">
        <v>1035.8699999999999</v>
      </c>
      <c r="S1018">
        <v>682.73</v>
      </c>
      <c r="T1018">
        <v>618.32000000000005</v>
      </c>
      <c r="U1018">
        <v>850.67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 s="164">
        <v>40817</v>
      </c>
      <c r="AC1018" s="164">
        <v>41913</v>
      </c>
      <c r="AD1018" s="164">
        <v>42005</v>
      </c>
      <c r="AE1018" s="34">
        <f>SUMPRODUCT(DB_STProjectsSOF[[#This Row],[Plan01]:[Plan12]],$D$4:$O$4)/valUnits2</f>
        <v>3.9797019999999996</v>
      </c>
      <c r="AF1018" s="34">
        <f>SUMPRODUCT(DB_STProjectsSOF[[#This Row],[Act01]:[Act12]],$P$4:$AA$4)/valUnits2</f>
        <v>4.3977200000000005</v>
      </c>
      <c r="AG1018" s="34">
        <f>DB_STProjectsSOF[[#This Row],[Actual]]-DB_STProjectsSOF[[#This Row],[Plan]]</f>
        <v>0.41801800000000089</v>
      </c>
      <c r="AH1018" s="34">
        <f>IF(DB_STProjectsSOF[[#This Row],[Plan]]&lt;&gt;0,DB_STProjectsSOF[[#This Row],[Actual]]/DB_STProjectsSOF[[#This Row],[Plan]],1.000011000011)</f>
        <v>1.1050375128590033</v>
      </c>
      <c r="AI1018" s="34">
        <f>SUM(DB_STProjectsSOF[[#This Row],[Plan01]:[Plan12]])/valUnits2</f>
        <v>5.2840059999999998</v>
      </c>
      <c r="AJ1018" s="34">
        <f>SUMPRODUCT(DB_STProjectsSOF[[#This Row],[Act01]:[Act12]],$P$3:$AA$3)/valUnits2</f>
        <v>4.3977200000000005</v>
      </c>
      <c r="AK1018" s="34">
        <f>IF(DB_STProjectsSOF[[#This Row],[FY Plan]]&lt;&gt;0,DB_STProjectsSOF[[#This Row],[FY Actuals]]/DB_STProjectsSOF[[#This Row],[FY Plan]],1.000011000011)</f>
        <v>0.83227006176753027</v>
      </c>
    </row>
    <row r="1019" spans="1:37" hidden="1" x14ac:dyDescent="0.2">
      <c r="A1019">
        <f>SUBTOTAL(3,$B$6:B1019)</f>
        <v>0</v>
      </c>
      <c r="B1019" t="s">
        <v>499</v>
      </c>
      <c r="C1019" t="s">
        <v>883</v>
      </c>
      <c r="D1019">
        <v>0</v>
      </c>
      <c r="E1019">
        <v>1075.6590000000001</v>
      </c>
      <c r="F1019">
        <v>134.13900000000001</v>
      </c>
      <c r="G1019">
        <v>3066.9230000000002</v>
      </c>
      <c r="H1019">
        <v>1411.761</v>
      </c>
      <c r="I1019">
        <v>841.81</v>
      </c>
      <c r="J1019">
        <v>841.81</v>
      </c>
      <c r="K1019">
        <v>841.81</v>
      </c>
      <c r="L1019">
        <v>836.08299999999997</v>
      </c>
      <c r="M1019">
        <v>836.08299999999997</v>
      </c>
      <c r="N1019">
        <v>836.08299999999997</v>
      </c>
      <c r="O1019">
        <v>836.08299999999997</v>
      </c>
      <c r="P1019">
        <v>0</v>
      </c>
      <c r="Q1019">
        <v>1099.6100000000001</v>
      </c>
      <c r="R1019">
        <v>133.38999999999999</v>
      </c>
      <c r="S1019">
        <v>3059.3599999999997</v>
      </c>
      <c r="T1019">
        <v>1412.12</v>
      </c>
      <c r="U1019">
        <v>1204.4299999999998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 s="164">
        <v>40940</v>
      </c>
      <c r="AC1019" s="164">
        <v>41639</v>
      </c>
      <c r="AD1019" s="164">
        <v>41698</v>
      </c>
      <c r="AE1019" s="34">
        <f>SUMPRODUCT(DB_STProjectsSOF[[#This Row],[Plan01]:[Plan12]],$D$4:$O$4)/valUnits2</f>
        <v>6.5302919999999993</v>
      </c>
      <c r="AF1019" s="34">
        <f>SUMPRODUCT(DB_STProjectsSOF[[#This Row],[Act01]:[Act12]],$P$4:$AA$4)/valUnits2</f>
        <v>6.9089099999999997</v>
      </c>
      <c r="AG1019" s="34">
        <f>DB_STProjectsSOF[[#This Row],[Actual]]-DB_STProjectsSOF[[#This Row],[Plan]]</f>
        <v>0.37861800000000034</v>
      </c>
      <c r="AH1019" s="34">
        <f>IF(DB_STProjectsSOF[[#This Row],[Plan]]&lt;&gt;0,DB_STProjectsSOF[[#This Row],[Actual]]/DB_STProjectsSOF[[#This Row],[Plan]],1.000011000011)</f>
        <v>1.0579787243816969</v>
      </c>
      <c r="AI1019" s="34">
        <f>SUM(DB_STProjectsSOF[[#This Row],[Plan01]:[Plan12]])/valUnits2</f>
        <v>11.558244</v>
      </c>
      <c r="AJ1019" s="34">
        <f>SUMPRODUCT(DB_STProjectsSOF[[#This Row],[Act01]:[Act12]],$P$3:$AA$3)/valUnits2</f>
        <v>6.9089099999999997</v>
      </c>
      <c r="AK1019" s="34">
        <f>IF(DB_STProjectsSOF[[#This Row],[FY Plan]]&lt;&gt;0,DB_STProjectsSOF[[#This Row],[FY Actuals]]/DB_STProjectsSOF[[#This Row],[FY Plan]],1.000011000011)</f>
        <v>0.59774737408208367</v>
      </c>
    </row>
    <row r="1020" spans="1:37" hidden="1" x14ac:dyDescent="0.2">
      <c r="A1020">
        <f>SUBTOTAL(3,$B$6:B1020)</f>
        <v>0</v>
      </c>
      <c r="B1020" t="s">
        <v>499</v>
      </c>
      <c r="C1020" t="s">
        <v>884</v>
      </c>
      <c r="D1020">
        <v>5000</v>
      </c>
      <c r="E1020">
        <v>5000</v>
      </c>
      <c r="F1020">
        <v>5000</v>
      </c>
      <c r="G1020">
        <v>5000</v>
      </c>
      <c r="H1020">
        <v>5000</v>
      </c>
      <c r="I1020">
        <v>5000</v>
      </c>
      <c r="J1020">
        <v>5000</v>
      </c>
      <c r="K1020">
        <v>5000</v>
      </c>
      <c r="L1020">
        <v>5000</v>
      </c>
      <c r="M1020">
        <v>5000</v>
      </c>
      <c r="N1020">
        <v>5000</v>
      </c>
      <c r="O1020">
        <v>5000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 s="164">
        <v>40909</v>
      </c>
      <c r="AC1020" s="164">
        <v>41274</v>
      </c>
      <c r="AD1020" s="164">
        <v>41364</v>
      </c>
      <c r="AE1020" s="34">
        <f>SUMPRODUCT(DB_STProjectsSOF[[#This Row],[Plan01]:[Plan12]],$D$4:$O$4)/valUnits2</f>
        <v>30</v>
      </c>
      <c r="AF1020" s="34">
        <f>SUMPRODUCT(DB_STProjectsSOF[[#This Row],[Act01]:[Act12]],$P$4:$AA$4)/valUnits2</f>
        <v>0</v>
      </c>
      <c r="AG1020" s="34">
        <f>DB_STProjectsSOF[[#This Row],[Actual]]-DB_STProjectsSOF[[#This Row],[Plan]]</f>
        <v>-30</v>
      </c>
      <c r="AH1020" s="34">
        <f>IF(DB_STProjectsSOF[[#This Row],[Plan]]&lt;&gt;0,DB_STProjectsSOF[[#This Row],[Actual]]/DB_STProjectsSOF[[#This Row],[Plan]],1.000011000011)</f>
        <v>0</v>
      </c>
      <c r="AI1020" s="34">
        <f>SUM(DB_STProjectsSOF[[#This Row],[Plan01]:[Plan12]])/valUnits2</f>
        <v>60</v>
      </c>
      <c r="AJ1020" s="34">
        <f>SUMPRODUCT(DB_STProjectsSOF[[#This Row],[Act01]:[Act12]],$P$3:$AA$3)/valUnits2</f>
        <v>0</v>
      </c>
      <c r="AK1020" s="34">
        <f>IF(DB_STProjectsSOF[[#This Row],[FY Plan]]&lt;&gt;0,DB_STProjectsSOF[[#This Row],[FY Actuals]]/DB_STProjectsSOF[[#This Row],[FY Plan]],1.000011000011)</f>
        <v>0</v>
      </c>
    </row>
    <row r="1021" spans="1:37" hidden="1" x14ac:dyDescent="0.2">
      <c r="A1021">
        <f>SUBTOTAL(3,$B$6:B1021)</f>
        <v>0</v>
      </c>
      <c r="B1021" t="s">
        <v>499</v>
      </c>
      <c r="C1021" t="s">
        <v>885</v>
      </c>
      <c r="D1021">
        <v>21.917000000000002</v>
      </c>
      <c r="E1021">
        <v>0</v>
      </c>
      <c r="F1021">
        <v>0</v>
      </c>
      <c r="G1021">
        <v>0</v>
      </c>
      <c r="H1021">
        <v>0</v>
      </c>
      <c r="I1021">
        <v>951.12</v>
      </c>
      <c r="J1021">
        <v>951.12</v>
      </c>
      <c r="K1021">
        <v>951.12</v>
      </c>
      <c r="L1021">
        <v>951.12</v>
      </c>
      <c r="M1021">
        <v>951.12</v>
      </c>
      <c r="N1021">
        <v>951.12</v>
      </c>
      <c r="O1021">
        <v>951.12</v>
      </c>
      <c r="P1021">
        <v>21.92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 s="164">
        <v>40817</v>
      </c>
      <c r="AC1021" s="164">
        <v>41639</v>
      </c>
      <c r="AD1021" s="164">
        <v>41820</v>
      </c>
      <c r="AE1021" s="34">
        <f>SUMPRODUCT(DB_STProjectsSOF[[#This Row],[Plan01]:[Plan12]],$D$4:$O$4)/valUnits2</f>
        <v>0.97303700000000004</v>
      </c>
      <c r="AF1021" s="34">
        <f>SUMPRODUCT(DB_STProjectsSOF[[#This Row],[Act01]:[Act12]],$P$4:$AA$4)/valUnits2</f>
        <v>2.1920000000000002E-2</v>
      </c>
      <c r="AG1021" s="34">
        <f>DB_STProjectsSOF[[#This Row],[Actual]]-DB_STProjectsSOF[[#This Row],[Plan]]</f>
        <v>-0.95111699999999999</v>
      </c>
      <c r="AH1021" s="34">
        <f>IF(DB_STProjectsSOF[[#This Row],[Plan]]&lt;&gt;0,DB_STProjectsSOF[[#This Row],[Actual]]/DB_STProjectsSOF[[#This Row],[Plan]],1.000011000011)</f>
        <v>2.2527406460391537E-2</v>
      </c>
      <c r="AI1021" s="34">
        <f>SUM(DB_STProjectsSOF[[#This Row],[Plan01]:[Plan12]])/valUnits2</f>
        <v>6.6797569999999995</v>
      </c>
      <c r="AJ1021" s="34">
        <f>SUMPRODUCT(DB_STProjectsSOF[[#This Row],[Act01]:[Act12]],$P$3:$AA$3)/valUnits2</f>
        <v>2.1920000000000002E-2</v>
      </c>
      <c r="AK1021" s="34">
        <f>IF(DB_STProjectsSOF[[#This Row],[FY Plan]]&lt;&gt;0,DB_STProjectsSOF[[#This Row],[FY Actuals]]/DB_STProjectsSOF[[#This Row],[FY Plan]],1.000011000011)</f>
        <v>3.2815564997349458E-3</v>
      </c>
    </row>
    <row r="1022" spans="1:37" hidden="1" x14ac:dyDescent="0.2">
      <c r="A1022">
        <f>SUBTOTAL(3,$B$6:B1022)</f>
        <v>0</v>
      </c>
      <c r="B1022" t="s">
        <v>499</v>
      </c>
      <c r="C1022" t="s">
        <v>887</v>
      </c>
      <c r="G1022">
        <v>377.01400000000001</v>
      </c>
      <c r="S1022">
        <v>369.3</v>
      </c>
      <c r="AB1022" s="164">
        <v>40817</v>
      </c>
      <c r="AC1022" s="164">
        <v>41364</v>
      </c>
      <c r="AD1022" s="164">
        <v>41389</v>
      </c>
      <c r="AE1022" s="34">
        <f>SUMPRODUCT(DB_STProjectsSOF[[#This Row],[Plan01]:[Plan12]],$D$4:$O$4)/valUnits2</f>
        <v>0.37701400000000002</v>
      </c>
      <c r="AF1022" s="34">
        <f>SUMPRODUCT(DB_STProjectsSOF[[#This Row],[Act01]:[Act12]],$P$4:$AA$4)/valUnits2</f>
        <v>0.36930000000000002</v>
      </c>
      <c r="AG1022" s="34">
        <f>DB_STProjectsSOF[[#This Row],[Actual]]-DB_STProjectsSOF[[#This Row],[Plan]]</f>
        <v>-7.7139999999999986E-3</v>
      </c>
      <c r="AH1022" s="34">
        <f>IF(DB_STProjectsSOF[[#This Row],[Plan]]&lt;&gt;0,DB_STProjectsSOF[[#This Row],[Actual]]/DB_STProjectsSOF[[#This Row],[Plan]],1.000011000011)</f>
        <v>0.97953922135517513</v>
      </c>
      <c r="AI1022" s="34">
        <f>SUM(DB_STProjectsSOF[[#This Row],[Plan01]:[Plan12]])/valUnits2</f>
        <v>0.37701400000000002</v>
      </c>
      <c r="AJ1022" s="34">
        <f>SUMPRODUCT(DB_STProjectsSOF[[#This Row],[Act01]:[Act12]],$P$3:$AA$3)/valUnits2</f>
        <v>0.36930000000000002</v>
      </c>
      <c r="AK1022" s="34">
        <f>IF(DB_STProjectsSOF[[#This Row],[FY Plan]]&lt;&gt;0,DB_STProjectsSOF[[#This Row],[FY Actuals]]/DB_STProjectsSOF[[#This Row],[FY Plan]],1.000011000011)</f>
        <v>0.97953922135517513</v>
      </c>
    </row>
    <row r="1023" spans="1:37" hidden="1" x14ac:dyDescent="0.2">
      <c r="A1023">
        <f>SUBTOTAL(3,$B$6:B1023)</f>
        <v>0</v>
      </c>
      <c r="B1023" t="s">
        <v>499</v>
      </c>
      <c r="C1023" t="s">
        <v>361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361.42500000000001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 s="164">
        <v>41091</v>
      </c>
      <c r="AC1023" s="164">
        <v>41455</v>
      </c>
      <c r="AD1023" s="164">
        <v>41486</v>
      </c>
      <c r="AE1023" s="34">
        <f>SUMPRODUCT(DB_STProjectsSOF[[#This Row],[Plan01]:[Plan12]],$D$4:$O$4)/valUnits2</f>
        <v>0.361425</v>
      </c>
      <c r="AF1023" s="34">
        <f>SUMPRODUCT(DB_STProjectsSOF[[#This Row],[Act01]:[Act12]],$P$4:$AA$4)/valUnits2</f>
        <v>0</v>
      </c>
      <c r="AG1023" s="34">
        <f>DB_STProjectsSOF[[#This Row],[Actual]]-DB_STProjectsSOF[[#This Row],[Plan]]</f>
        <v>-0.361425</v>
      </c>
      <c r="AH1023" s="34">
        <f>IF(DB_STProjectsSOF[[#This Row],[Plan]]&lt;&gt;0,DB_STProjectsSOF[[#This Row],[Actual]]/DB_STProjectsSOF[[#This Row],[Plan]],1.000011000011)</f>
        <v>0</v>
      </c>
      <c r="AI1023" s="34">
        <f>SUM(DB_STProjectsSOF[[#This Row],[Plan01]:[Plan12]])/valUnits2</f>
        <v>0.361425</v>
      </c>
      <c r="AJ1023" s="34">
        <f>SUMPRODUCT(DB_STProjectsSOF[[#This Row],[Act01]:[Act12]],$P$3:$AA$3)/valUnits2</f>
        <v>0</v>
      </c>
      <c r="AK1023" s="34">
        <f>IF(DB_STProjectsSOF[[#This Row],[FY Plan]]&lt;&gt;0,DB_STProjectsSOF[[#This Row],[FY Actuals]]/DB_STProjectsSOF[[#This Row],[FY Plan]],1.000011000011)</f>
        <v>0</v>
      </c>
    </row>
    <row r="1024" spans="1:37" hidden="1" x14ac:dyDescent="0.2">
      <c r="A1024">
        <f>SUBTOTAL(3,$B$6:B1024)</f>
        <v>0</v>
      </c>
      <c r="B1024" t="s">
        <v>499</v>
      </c>
      <c r="C1024" t="s">
        <v>358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758.42199999999991</v>
      </c>
      <c r="J1024">
        <v>758.42199999999991</v>
      </c>
      <c r="K1024">
        <v>758.42199999999991</v>
      </c>
      <c r="L1024">
        <v>758.42199999999991</v>
      </c>
      <c r="M1024">
        <v>758.42199999999991</v>
      </c>
      <c r="N1024">
        <v>758.42199999999991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B1024" s="164">
        <v>41091</v>
      </c>
      <c r="AC1024" s="164">
        <v>41455</v>
      </c>
      <c r="AD1024" s="164">
        <v>41517</v>
      </c>
      <c r="AE1024" s="34">
        <f>SUMPRODUCT(DB_STProjectsSOF[[#This Row],[Plan01]:[Plan12]],$D$4:$O$4)/valUnits2</f>
        <v>0.75842199999999993</v>
      </c>
      <c r="AF1024" s="34">
        <f>SUMPRODUCT(DB_STProjectsSOF[[#This Row],[Act01]:[Act12]],$P$4:$AA$4)/valUnits2</f>
        <v>0</v>
      </c>
      <c r="AG1024" s="34">
        <f>DB_STProjectsSOF[[#This Row],[Actual]]-DB_STProjectsSOF[[#This Row],[Plan]]</f>
        <v>-0.75842199999999993</v>
      </c>
      <c r="AH1024" s="34">
        <f>IF(DB_STProjectsSOF[[#This Row],[Plan]]&lt;&gt;0,DB_STProjectsSOF[[#This Row],[Actual]]/DB_STProjectsSOF[[#This Row],[Plan]],1.000011000011)</f>
        <v>0</v>
      </c>
      <c r="AI1024" s="34">
        <f>SUM(DB_STProjectsSOF[[#This Row],[Plan01]:[Plan12]])/valUnits2</f>
        <v>4.5505319999999996</v>
      </c>
      <c r="AJ1024" s="34">
        <f>SUMPRODUCT(DB_STProjectsSOF[[#This Row],[Act01]:[Act12]],$P$3:$AA$3)/valUnits2</f>
        <v>0</v>
      </c>
      <c r="AK1024" s="34">
        <f>IF(DB_STProjectsSOF[[#This Row],[FY Plan]]&lt;&gt;0,DB_STProjectsSOF[[#This Row],[FY Actuals]]/DB_STProjectsSOF[[#This Row],[FY Plan]],1.000011000011)</f>
        <v>0</v>
      </c>
    </row>
    <row r="1025" spans="1:37" hidden="1" x14ac:dyDescent="0.2">
      <c r="A1025">
        <f>SUBTOTAL(3,$B$6:B1025)</f>
        <v>0</v>
      </c>
      <c r="B1025" t="s">
        <v>499</v>
      </c>
      <c r="C1025" t="s">
        <v>890</v>
      </c>
      <c r="I1025">
        <v>0</v>
      </c>
      <c r="U1025">
        <v>16.809999999999999</v>
      </c>
      <c r="AB1025" s="164">
        <v>40817</v>
      </c>
      <c r="AC1025" s="164">
        <v>41639</v>
      </c>
      <c r="AD1025" s="164">
        <v>41639</v>
      </c>
      <c r="AE1025" s="34">
        <f>SUMPRODUCT(DB_STProjectsSOF[[#This Row],[Plan01]:[Plan12]],$D$4:$O$4)/valUnits2</f>
        <v>0</v>
      </c>
      <c r="AF1025" s="34">
        <f>SUMPRODUCT(DB_STProjectsSOF[[#This Row],[Act01]:[Act12]],$P$4:$AA$4)/valUnits2</f>
        <v>1.6809999999999999E-2</v>
      </c>
      <c r="AG1025" s="34">
        <f>DB_STProjectsSOF[[#This Row],[Actual]]-DB_STProjectsSOF[[#This Row],[Plan]]</f>
        <v>1.6809999999999999E-2</v>
      </c>
      <c r="AH1025" s="34">
        <f>IF(DB_STProjectsSOF[[#This Row],[Plan]]&lt;&gt;0,DB_STProjectsSOF[[#This Row],[Actual]]/DB_STProjectsSOF[[#This Row],[Plan]],1.000011000011)</f>
        <v>1.0000110000110001</v>
      </c>
      <c r="AI1025" s="34">
        <f>SUM(DB_STProjectsSOF[[#This Row],[Plan01]:[Plan12]])/valUnits2</f>
        <v>0</v>
      </c>
      <c r="AJ1025" s="34">
        <f>SUMPRODUCT(DB_STProjectsSOF[[#This Row],[Act01]:[Act12]],$P$3:$AA$3)/valUnits2</f>
        <v>1.6809999999999999E-2</v>
      </c>
      <c r="AK1025" s="34">
        <f>IF(DB_STProjectsSOF[[#This Row],[FY Plan]]&lt;&gt;0,DB_STProjectsSOF[[#This Row],[FY Actuals]]/DB_STProjectsSOF[[#This Row],[FY Plan]],1.000011000011)</f>
        <v>1.0000110000110001</v>
      </c>
    </row>
    <row r="1026" spans="1:37" hidden="1" x14ac:dyDescent="0.2">
      <c r="A1026">
        <f>SUBTOTAL(3,$B$6:B1026)</f>
        <v>0</v>
      </c>
      <c r="B1026" t="s">
        <v>499</v>
      </c>
      <c r="C1026" t="s">
        <v>891</v>
      </c>
      <c r="E1026">
        <v>129.51599999999999</v>
      </c>
      <c r="G1026">
        <v>0</v>
      </c>
      <c r="H1026">
        <v>455.62299999999999</v>
      </c>
      <c r="I1026">
        <v>510.09000000000003</v>
      </c>
      <c r="J1026">
        <v>510.09000000000003</v>
      </c>
      <c r="K1026">
        <v>510.09000000000003</v>
      </c>
      <c r="L1026">
        <v>510.09000000000003</v>
      </c>
      <c r="M1026">
        <v>510.09000000000003</v>
      </c>
      <c r="N1026">
        <v>510.09000000000003</v>
      </c>
      <c r="O1026">
        <v>510.09000000000003</v>
      </c>
      <c r="Q1026">
        <v>133.21</v>
      </c>
      <c r="S1026">
        <v>0</v>
      </c>
      <c r="T1026">
        <v>450.1</v>
      </c>
      <c r="U1026">
        <v>1396.74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 s="164">
        <v>41214</v>
      </c>
      <c r="AC1026" s="164">
        <v>42308</v>
      </c>
      <c r="AD1026" s="164">
        <v>42389</v>
      </c>
      <c r="AE1026" s="34">
        <f>SUMPRODUCT(DB_STProjectsSOF[[#This Row],[Plan01]:[Plan12]],$D$4:$O$4)/valUnits2</f>
        <v>1.095229</v>
      </c>
      <c r="AF1026" s="34">
        <f>SUMPRODUCT(DB_STProjectsSOF[[#This Row],[Act01]:[Act12]],$P$4:$AA$4)/valUnits2</f>
        <v>1.9800500000000001</v>
      </c>
      <c r="AG1026" s="34">
        <f>DB_STProjectsSOF[[#This Row],[Actual]]-DB_STProjectsSOF[[#This Row],[Plan]]</f>
        <v>0.88482100000000008</v>
      </c>
      <c r="AH1026" s="34">
        <f>IF(DB_STProjectsSOF[[#This Row],[Plan]]&lt;&gt;0,DB_STProjectsSOF[[#This Row],[Actual]]/DB_STProjectsSOF[[#This Row],[Plan]],1.000011000011)</f>
        <v>1.8078867524508573</v>
      </c>
      <c r="AI1026" s="34">
        <f>SUM(DB_STProjectsSOF[[#This Row],[Plan01]:[Plan12]])/valUnits2</f>
        <v>4.1557690000000003</v>
      </c>
      <c r="AJ1026" s="34">
        <f>SUMPRODUCT(DB_STProjectsSOF[[#This Row],[Act01]:[Act12]],$P$3:$AA$3)/valUnits2</f>
        <v>1.9800500000000001</v>
      </c>
      <c r="AK1026" s="34">
        <f>IF(DB_STProjectsSOF[[#This Row],[FY Plan]]&lt;&gt;0,DB_STProjectsSOF[[#This Row],[FY Actuals]]/DB_STProjectsSOF[[#This Row],[FY Plan]],1.000011000011)</f>
        <v>0.47645814769781475</v>
      </c>
    </row>
    <row r="1027" spans="1:37" hidden="1" x14ac:dyDescent="0.2">
      <c r="A1027">
        <f>SUBTOTAL(3,$B$6:B1027)</f>
        <v>0</v>
      </c>
      <c r="B1027" t="s">
        <v>499</v>
      </c>
      <c r="C1027" t="s">
        <v>368</v>
      </c>
      <c r="D1027">
        <v>0</v>
      </c>
      <c r="E1027">
        <v>0</v>
      </c>
      <c r="F1027">
        <v>0</v>
      </c>
      <c r="G1027">
        <v>0</v>
      </c>
      <c r="H1027">
        <v>10486.585999999999</v>
      </c>
      <c r="I1027">
        <v>9833.4360000000015</v>
      </c>
      <c r="J1027">
        <v>9833.4360000000015</v>
      </c>
      <c r="K1027">
        <v>9833.4360000000015</v>
      </c>
      <c r="L1027">
        <v>9833.4360000000015</v>
      </c>
      <c r="M1027">
        <v>9833.4360000000015</v>
      </c>
      <c r="N1027">
        <v>9833.4360000000015</v>
      </c>
      <c r="P1027">
        <v>0</v>
      </c>
      <c r="Q1027">
        <v>0</v>
      </c>
      <c r="R1027">
        <v>0</v>
      </c>
      <c r="S1027">
        <v>0</v>
      </c>
      <c r="T1027">
        <v>653.15</v>
      </c>
      <c r="U1027">
        <v>652.73</v>
      </c>
      <c r="V1027">
        <v>0</v>
      </c>
      <c r="W1027">
        <v>0</v>
      </c>
      <c r="X1027">
        <v>0</v>
      </c>
      <c r="Y1027">
        <v>0</v>
      </c>
      <c r="Z1027">
        <v>0</v>
      </c>
      <c r="AB1027" s="164">
        <v>41000</v>
      </c>
      <c r="AC1027" s="164">
        <v>41820</v>
      </c>
      <c r="AD1027" s="164">
        <v>41517</v>
      </c>
      <c r="AE1027" s="34">
        <f>SUMPRODUCT(DB_STProjectsSOF[[#This Row],[Plan01]:[Plan12]],$D$4:$O$4)/valUnits2</f>
        <v>20.320022000000002</v>
      </c>
      <c r="AF1027" s="34">
        <f>SUMPRODUCT(DB_STProjectsSOF[[#This Row],[Act01]:[Act12]],$P$4:$AA$4)/valUnits2</f>
        <v>1.3058800000000002</v>
      </c>
      <c r="AG1027" s="34">
        <f>DB_STProjectsSOF[[#This Row],[Actual]]-DB_STProjectsSOF[[#This Row],[Plan]]</f>
        <v>-19.014142</v>
      </c>
      <c r="AH1027" s="34">
        <f>IF(DB_STProjectsSOF[[#This Row],[Plan]]&lt;&gt;0,DB_STProjectsSOF[[#This Row],[Actual]]/DB_STProjectsSOF[[#This Row],[Plan]],1.000011000011)</f>
        <v>6.4265678452513492E-2</v>
      </c>
      <c r="AI1027" s="34">
        <f>SUM(DB_STProjectsSOF[[#This Row],[Plan01]:[Plan12]])/valUnits2</f>
        <v>69.487202000000011</v>
      </c>
      <c r="AJ1027" s="34">
        <f>SUMPRODUCT(DB_STProjectsSOF[[#This Row],[Act01]:[Act12]],$P$3:$AA$3)/valUnits2</f>
        <v>1.3058800000000002</v>
      </c>
      <c r="AK1027" s="34">
        <f>IF(DB_STProjectsSOF[[#This Row],[FY Plan]]&lt;&gt;0,DB_STProjectsSOF[[#This Row],[FY Actuals]]/DB_STProjectsSOF[[#This Row],[FY Plan]],1.000011000011)</f>
        <v>1.8793100922382799E-2</v>
      </c>
    </row>
    <row r="1028" spans="1:37" hidden="1" x14ac:dyDescent="0.2">
      <c r="A1028">
        <f>SUBTOTAL(3,$B$6:B1028)</f>
        <v>0</v>
      </c>
      <c r="B1028" t="s">
        <v>499</v>
      </c>
      <c r="C1028" t="s">
        <v>892</v>
      </c>
      <c r="E1028">
        <v>207.48</v>
      </c>
      <c r="Q1028">
        <v>211.83</v>
      </c>
      <c r="AB1028" s="164">
        <v>40817</v>
      </c>
      <c r="AC1028" s="164">
        <v>41639</v>
      </c>
      <c r="AD1028" s="164">
        <v>3</v>
      </c>
      <c r="AE1028" s="34">
        <f>SUMPRODUCT(DB_STProjectsSOF[[#This Row],[Plan01]:[Plan12]],$D$4:$O$4)/valUnits2</f>
        <v>0.20748</v>
      </c>
      <c r="AF1028" s="34">
        <f>SUMPRODUCT(DB_STProjectsSOF[[#This Row],[Act01]:[Act12]],$P$4:$AA$4)/valUnits2</f>
        <v>0.21183000000000002</v>
      </c>
      <c r="AG1028" s="34">
        <f>DB_STProjectsSOF[[#This Row],[Actual]]-DB_STProjectsSOF[[#This Row],[Plan]]</f>
        <v>4.3500000000000205E-3</v>
      </c>
      <c r="AH1028" s="34">
        <f>IF(DB_STProjectsSOF[[#This Row],[Plan]]&lt;&gt;0,DB_STProjectsSOF[[#This Row],[Actual]]/DB_STProjectsSOF[[#This Row],[Plan]],1.000011000011)</f>
        <v>1.0209658762290341</v>
      </c>
      <c r="AI1028" s="34">
        <f>SUM(DB_STProjectsSOF[[#This Row],[Plan01]:[Plan12]])/valUnits2</f>
        <v>0.20748</v>
      </c>
      <c r="AJ1028" s="34">
        <f>SUMPRODUCT(DB_STProjectsSOF[[#This Row],[Act01]:[Act12]],$P$3:$AA$3)/valUnits2</f>
        <v>0.21183000000000002</v>
      </c>
      <c r="AK1028" s="34">
        <f>IF(DB_STProjectsSOF[[#This Row],[FY Plan]]&lt;&gt;0,DB_STProjectsSOF[[#This Row],[FY Actuals]]/DB_STProjectsSOF[[#This Row],[FY Plan]],1.000011000011)</f>
        <v>1.0209658762290341</v>
      </c>
    </row>
    <row r="1029" spans="1:37" hidden="1" x14ac:dyDescent="0.2">
      <c r="A1029">
        <f>SUBTOTAL(3,$B$6:B1029)</f>
        <v>0</v>
      </c>
      <c r="B1029" t="s">
        <v>499</v>
      </c>
      <c r="C1029" t="s">
        <v>895</v>
      </c>
      <c r="D1029">
        <v>586.077</v>
      </c>
      <c r="E1029">
        <v>619.72500000000002</v>
      </c>
      <c r="F1029">
        <v>704.59199999999998</v>
      </c>
      <c r="G1029">
        <v>620.01599999999996</v>
      </c>
      <c r="H1029">
        <v>625.90899999999999</v>
      </c>
      <c r="I1029">
        <v>0</v>
      </c>
      <c r="P1029">
        <v>577.41</v>
      </c>
      <c r="Q1029">
        <v>632.72</v>
      </c>
      <c r="R1029">
        <v>710.97</v>
      </c>
      <c r="S1029">
        <v>616.48</v>
      </c>
      <c r="T1029">
        <v>618.32000000000005</v>
      </c>
      <c r="U1029">
        <v>811.17</v>
      </c>
      <c r="AB1029" s="164">
        <v>40553</v>
      </c>
      <c r="AC1029" s="164">
        <v>41897</v>
      </c>
      <c r="AD1029" s="164">
        <v>41988</v>
      </c>
      <c r="AE1029" s="34">
        <f>SUMPRODUCT(DB_STProjectsSOF[[#This Row],[Plan01]:[Plan12]],$D$4:$O$4)/valUnits2</f>
        <v>3.1563190000000003</v>
      </c>
      <c r="AF1029" s="34">
        <f>SUMPRODUCT(DB_STProjectsSOF[[#This Row],[Act01]:[Act12]],$P$4:$AA$4)/valUnits2</f>
        <v>3.9670700000000001</v>
      </c>
      <c r="AG1029" s="34">
        <f>DB_STProjectsSOF[[#This Row],[Actual]]-DB_STProjectsSOF[[#This Row],[Plan]]</f>
        <v>0.81075099999999978</v>
      </c>
      <c r="AH1029" s="34">
        <f>IF(DB_STProjectsSOF[[#This Row],[Plan]]&lt;&gt;0,DB_STProjectsSOF[[#This Row],[Actual]]/DB_STProjectsSOF[[#This Row],[Plan]],1.000011000011)</f>
        <v>1.2568659885138351</v>
      </c>
      <c r="AI1029" s="34">
        <f>SUM(DB_STProjectsSOF[[#This Row],[Plan01]:[Plan12]])/valUnits2</f>
        <v>3.1563190000000003</v>
      </c>
      <c r="AJ1029" s="34">
        <f>SUMPRODUCT(DB_STProjectsSOF[[#This Row],[Act01]:[Act12]],$P$3:$AA$3)/valUnits2</f>
        <v>3.9670700000000001</v>
      </c>
      <c r="AK1029" s="34">
        <f>IF(DB_STProjectsSOF[[#This Row],[FY Plan]]&lt;&gt;0,DB_STProjectsSOF[[#This Row],[FY Actuals]]/DB_STProjectsSOF[[#This Row],[FY Plan]],1.000011000011)</f>
        <v>1.2568659885138351</v>
      </c>
    </row>
    <row r="1030" spans="1:37" hidden="1" x14ac:dyDescent="0.2">
      <c r="A1030">
        <f>SUBTOTAL(3,$B$6:B1030)</f>
        <v>0</v>
      </c>
      <c r="B1030" t="s">
        <v>499</v>
      </c>
      <c r="C1030" t="s">
        <v>896</v>
      </c>
      <c r="D1030">
        <v>22.581</v>
      </c>
      <c r="E1030">
        <v>0</v>
      </c>
      <c r="F1030">
        <v>0</v>
      </c>
      <c r="G1030">
        <v>0</v>
      </c>
      <c r="H1030">
        <v>0</v>
      </c>
      <c r="I1030">
        <v>1070.2049999999999</v>
      </c>
      <c r="J1030">
        <v>1070.2049999999999</v>
      </c>
      <c r="K1030">
        <v>1070.2049999999999</v>
      </c>
      <c r="L1030">
        <v>1070.2049999999999</v>
      </c>
      <c r="M1030">
        <v>1070.2049999999999</v>
      </c>
      <c r="N1030">
        <v>1070.2049999999999</v>
      </c>
      <c r="O1030">
        <v>1070.2049999999999</v>
      </c>
      <c r="P1030">
        <v>22.58</v>
      </c>
      <c r="Q1030">
        <v>0</v>
      </c>
      <c r="R1030">
        <v>0</v>
      </c>
      <c r="S1030">
        <v>0</v>
      </c>
      <c r="T1030">
        <v>0</v>
      </c>
      <c r="U1030">
        <v>16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 s="164">
        <v>40817</v>
      </c>
      <c r="AC1030" s="164">
        <v>41639</v>
      </c>
      <c r="AD1030" s="164">
        <v>41820</v>
      </c>
      <c r="AE1030" s="34">
        <f>SUMPRODUCT(DB_STProjectsSOF[[#This Row],[Plan01]:[Plan12]],$D$4:$O$4)/valUnits2</f>
        <v>1.0927859999999998</v>
      </c>
      <c r="AF1030" s="34">
        <f>SUMPRODUCT(DB_STProjectsSOF[[#This Row],[Act01]:[Act12]],$P$4:$AA$4)/valUnits2</f>
        <v>3.8579999999999996E-2</v>
      </c>
      <c r="AG1030" s="34">
        <f>DB_STProjectsSOF[[#This Row],[Actual]]-DB_STProjectsSOF[[#This Row],[Plan]]</f>
        <v>-1.0542059999999998</v>
      </c>
      <c r="AH1030" s="34">
        <f>IF(DB_STProjectsSOF[[#This Row],[Plan]]&lt;&gt;0,DB_STProjectsSOF[[#This Row],[Actual]]/DB_STProjectsSOF[[#This Row],[Plan]],1.000011000011)</f>
        <v>3.5304259022352048E-2</v>
      </c>
      <c r="AI1030" s="34">
        <f>SUM(DB_STProjectsSOF[[#This Row],[Plan01]:[Plan12]])/valUnits2</f>
        <v>7.5140159999999998</v>
      </c>
      <c r="AJ1030" s="34">
        <f>SUMPRODUCT(DB_STProjectsSOF[[#This Row],[Act01]:[Act12]],$P$3:$AA$3)/valUnits2</f>
        <v>3.8579999999999996E-2</v>
      </c>
      <c r="AK1030" s="34">
        <f>IF(DB_STProjectsSOF[[#This Row],[FY Plan]]&lt;&gt;0,DB_STProjectsSOF[[#This Row],[FY Actuals]]/DB_STProjectsSOF[[#This Row],[FY Plan]],1.000011000011)</f>
        <v>5.1344048242644141E-3</v>
      </c>
    </row>
    <row r="1031" spans="1:37" hidden="1" x14ac:dyDescent="0.2">
      <c r="A1031">
        <f>SUBTOTAL(3,$B$6:B1031)</f>
        <v>0</v>
      </c>
      <c r="B1031" t="s">
        <v>499</v>
      </c>
      <c r="C1031" t="s">
        <v>903</v>
      </c>
      <c r="G1031">
        <v>0</v>
      </c>
      <c r="H1031">
        <v>0</v>
      </c>
      <c r="I1031">
        <v>270.75400000000002</v>
      </c>
      <c r="J1031">
        <v>270.75400000000002</v>
      </c>
      <c r="K1031">
        <v>270.75400000000002</v>
      </c>
      <c r="L1031">
        <v>270.75400000000002</v>
      </c>
      <c r="M1031">
        <v>270.75400000000002</v>
      </c>
      <c r="N1031">
        <v>270.75400000000002</v>
      </c>
      <c r="O1031">
        <v>270.75400000000002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 s="164">
        <v>41275</v>
      </c>
      <c r="AC1031" s="164">
        <v>41639</v>
      </c>
      <c r="AD1031" s="164">
        <v>41670</v>
      </c>
      <c r="AE1031" s="34">
        <f>SUMPRODUCT(DB_STProjectsSOF[[#This Row],[Plan01]:[Plan12]],$D$4:$O$4)/valUnits2</f>
        <v>0.27075399999999999</v>
      </c>
      <c r="AF1031" s="34">
        <f>SUMPRODUCT(DB_STProjectsSOF[[#This Row],[Act01]:[Act12]],$P$4:$AA$4)/valUnits2</f>
        <v>0</v>
      </c>
      <c r="AG1031" s="34">
        <f>DB_STProjectsSOF[[#This Row],[Actual]]-DB_STProjectsSOF[[#This Row],[Plan]]</f>
        <v>-0.27075399999999999</v>
      </c>
      <c r="AH1031" s="34">
        <f>IF(DB_STProjectsSOF[[#This Row],[Plan]]&lt;&gt;0,DB_STProjectsSOF[[#This Row],[Actual]]/DB_STProjectsSOF[[#This Row],[Plan]],1.000011000011)</f>
        <v>0</v>
      </c>
      <c r="AI1031" s="34">
        <f>SUM(DB_STProjectsSOF[[#This Row],[Plan01]:[Plan12]])/valUnits2</f>
        <v>1.8952779999999998</v>
      </c>
      <c r="AJ1031" s="34">
        <f>SUMPRODUCT(DB_STProjectsSOF[[#This Row],[Act01]:[Act12]],$P$3:$AA$3)/valUnits2</f>
        <v>0</v>
      </c>
      <c r="AK1031" s="34">
        <f>IF(DB_STProjectsSOF[[#This Row],[FY Plan]]&lt;&gt;0,DB_STProjectsSOF[[#This Row],[FY Actuals]]/DB_STProjectsSOF[[#This Row],[FY Plan]],1.000011000011)</f>
        <v>0</v>
      </c>
    </row>
    <row r="1032" spans="1:37" hidden="1" x14ac:dyDescent="0.2">
      <c r="A1032">
        <f>SUBTOTAL(3,$B$6:B1032)</f>
        <v>0</v>
      </c>
      <c r="B1032" t="s">
        <v>499</v>
      </c>
      <c r="C1032" t="s">
        <v>365</v>
      </c>
      <c r="G1032">
        <v>0</v>
      </c>
      <c r="H1032">
        <v>0</v>
      </c>
      <c r="I1032">
        <v>104.051</v>
      </c>
      <c r="J1032">
        <v>104.051</v>
      </c>
      <c r="K1032">
        <v>104.051</v>
      </c>
      <c r="S1032">
        <v>0</v>
      </c>
      <c r="T1032">
        <v>0</v>
      </c>
      <c r="U1032">
        <v>0</v>
      </c>
      <c r="V1032">
        <v>0</v>
      </c>
      <c r="W1032">
        <v>0</v>
      </c>
      <c r="AB1032" s="164">
        <v>40878</v>
      </c>
      <c r="AC1032" s="164">
        <v>41517</v>
      </c>
      <c r="AD1032" s="164">
        <v>41547</v>
      </c>
      <c r="AE1032" s="34">
        <f>SUMPRODUCT(DB_STProjectsSOF[[#This Row],[Plan01]:[Plan12]],$D$4:$O$4)/valUnits2</f>
        <v>0.104051</v>
      </c>
      <c r="AF1032" s="34">
        <f>SUMPRODUCT(DB_STProjectsSOF[[#This Row],[Act01]:[Act12]],$P$4:$AA$4)/valUnits2</f>
        <v>0</v>
      </c>
      <c r="AG1032" s="34">
        <f>DB_STProjectsSOF[[#This Row],[Actual]]-DB_STProjectsSOF[[#This Row],[Plan]]</f>
        <v>-0.104051</v>
      </c>
      <c r="AH1032" s="34">
        <f>IF(DB_STProjectsSOF[[#This Row],[Plan]]&lt;&gt;0,DB_STProjectsSOF[[#This Row],[Actual]]/DB_STProjectsSOF[[#This Row],[Plan]],1.000011000011)</f>
        <v>0</v>
      </c>
      <c r="AI1032" s="34">
        <f>SUM(DB_STProjectsSOF[[#This Row],[Plan01]:[Plan12]])/valUnits2</f>
        <v>0.31215300000000001</v>
      </c>
      <c r="AJ1032" s="34">
        <f>SUMPRODUCT(DB_STProjectsSOF[[#This Row],[Act01]:[Act12]],$P$3:$AA$3)/valUnits2</f>
        <v>0</v>
      </c>
      <c r="AK1032" s="34">
        <f>IF(DB_STProjectsSOF[[#This Row],[FY Plan]]&lt;&gt;0,DB_STProjectsSOF[[#This Row],[FY Actuals]]/DB_STProjectsSOF[[#This Row],[FY Plan]],1.000011000011)</f>
        <v>0</v>
      </c>
    </row>
    <row r="1033" spans="1:37" hidden="1" x14ac:dyDescent="0.2">
      <c r="A1033">
        <f>SUBTOTAL(3,$B$6:B1033)</f>
        <v>0</v>
      </c>
      <c r="B1033" t="s">
        <v>499</v>
      </c>
      <c r="C1033" t="s">
        <v>904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81.698000000000008</v>
      </c>
      <c r="J1033">
        <v>81.698000000000008</v>
      </c>
      <c r="K1033">
        <v>81.698000000000008</v>
      </c>
      <c r="L1033">
        <v>81.698000000000008</v>
      </c>
      <c r="M1033">
        <v>81.698000000000008</v>
      </c>
      <c r="N1033">
        <v>81.698000000000008</v>
      </c>
      <c r="O1033">
        <v>81.698000000000008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432.03000000000003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 s="164">
        <v>40817</v>
      </c>
      <c r="AC1033" s="164">
        <v>41639</v>
      </c>
      <c r="AD1033" s="164">
        <v>41698</v>
      </c>
      <c r="AE1033" s="34">
        <f>SUMPRODUCT(DB_STProjectsSOF[[#This Row],[Plan01]:[Plan12]],$D$4:$O$4)/valUnits2</f>
        <v>8.1698000000000007E-2</v>
      </c>
      <c r="AF1033" s="34">
        <f>SUMPRODUCT(DB_STProjectsSOF[[#This Row],[Act01]:[Act12]],$P$4:$AA$4)/valUnits2</f>
        <v>0.43203000000000003</v>
      </c>
      <c r="AG1033" s="34">
        <f>DB_STProjectsSOF[[#This Row],[Actual]]-DB_STProjectsSOF[[#This Row],[Plan]]</f>
        <v>0.35033200000000003</v>
      </c>
      <c r="AH1033" s="34">
        <f>IF(DB_STProjectsSOF[[#This Row],[Plan]]&lt;&gt;0,DB_STProjectsSOF[[#This Row],[Actual]]/DB_STProjectsSOF[[#This Row],[Plan]],1.000011000011)</f>
        <v>5.2881343484540624</v>
      </c>
      <c r="AI1033" s="34">
        <f>SUM(DB_STProjectsSOF[[#This Row],[Plan01]:[Plan12]])/valUnits2</f>
        <v>0.57188600000000001</v>
      </c>
      <c r="AJ1033" s="34">
        <f>SUMPRODUCT(DB_STProjectsSOF[[#This Row],[Act01]:[Act12]],$P$3:$AA$3)/valUnits2</f>
        <v>0.43203000000000003</v>
      </c>
      <c r="AK1033" s="34">
        <f>IF(DB_STProjectsSOF[[#This Row],[FY Plan]]&lt;&gt;0,DB_STProjectsSOF[[#This Row],[FY Actuals]]/DB_STProjectsSOF[[#This Row],[FY Plan]],1.000011000011)</f>
        <v>0.75544776406486613</v>
      </c>
    </row>
    <row r="1034" spans="1:37" hidden="1" x14ac:dyDescent="0.2">
      <c r="A1034">
        <f>SUBTOTAL(3,$B$6:B1034)</f>
        <v>0</v>
      </c>
      <c r="B1034" t="s">
        <v>499</v>
      </c>
      <c r="C1034" t="s">
        <v>905</v>
      </c>
      <c r="D1034">
        <v>7.36</v>
      </c>
      <c r="E1034">
        <v>0</v>
      </c>
      <c r="F1034">
        <v>0</v>
      </c>
      <c r="G1034">
        <v>0</v>
      </c>
      <c r="H1034">
        <v>-7.36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7.36</v>
      </c>
      <c r="Q1034">
        <v>0</v>
      </c>
      <c r="R1034">
        <v>0</v>
      </c>
      <c r="S1034">
        <v>0</v>
      </c>
      <c r="T1034">
        <v>-7.36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 s="164">
        <v>40909</v>
      </c>
      <c r="AC1034" s="164">
        <v>41274</v>
      </c>
      <c r="AD1034" s="164">
        <v>41364</v>
      </c>
      <c r="AE1034" s="34">
        <f>SUMPRODUCT(DB_STProjectsSOF[[#This Row],[Plan01]:[Plan12]],$D$4:$O$4)/valUnits2</f>
        <v>0</v>
      </c>
      <c r="AF1034" s="34">
        <f>SUMPRODUCT(DB_STProjectsSOF[[#This Row],[Act01]:[Act12]],$P$4:$AA$4)/valUnits2</f>
        <v>0</v>
      </c>
      <c r="AG1034" s="34">
        <f>DB_STProjectsSOF[[#This Row],[Actual]]-DB_STProjectsSOF[[#This Row],[Plan]]</f>
        <v>0</v>
      </c>
      <c r="AH1034" s="34">
        <f>IF(DB_STProjectsSOF[[#This Row],[Plan]]&lt;&gt;0,DB_STProjectsSOF[[#This Row],[Actual]]/DB_STProjectsSOF[[#This Row],[Plan]],1.000011000011)</f>
        <v>1.0000110000110001</v>
      </c>
      <c r="AI1034" s="34">
        <f>SUM(DB_STProjectsSOF[[#This Row],[Plan01]:[Plan12]])/valUnits2</f>
        <v>0</v>
      </c>
      <c r="AJ1034" s="34">
        <f>SUMPRODUCT(DB_STProjectsSOF[[#This Row],[Act01]:[Act12]],$P$3:$AA$3)/valUnits2</f>
        <v>0</v>
      </c>
      <c r="AK1034" s="34">
        <f>IF(DB_STProjectsSOF[[#This Row],[FY Plan]]&lt;&gt;0,DB_STProjectsSOF[[#This Row],[FY Actuals]]/DB_STProjectsSOF[[#This Row],[FY Plan]],1.000011000011)</f>
        <v>1.0000110000110001</v>
      </c>
    </row>
    <row r="1035" spans="1:37" hidden="1" x14ac:dyDescent="0.2">
      <c r="A1035">
        <f>SUBTOTAL(3,$B$6:B1035)</f>
        <v>0</v>
      </c>
      <c r="B1035" t="s">
        <v>499</v>
      </c>
      <c r="C1035" t="s">
        <v>907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 s="164">
        <v>40909</v>
      </c>
      <c r="AC1035" s="164">
        <v>41274</v>
      </c>
      <c r="AD1035" s="164">
        <v>41320</v>
      </c>
      <c r="AE1035" s="34">
        <f>SUMPRODUCT(DB_STProjectsSOF[[#This Row],[Plan01]:[Plan12]],$D$4:$O$4)/valUnits2</f>
        <v>0</v>
      </c>
      <c r="AF1035" s="34">
        <f>SUMPRODUCT(DB_STProjectsSOF[[#This Row],[Act01]:[Act12]],$P$4:$AA$4)/valUnits2</f>
        <v>0</v>
      </c>
      <c r="AG1035" s="34">
        <f>DB_STProjectsSOF[[#This Row],[Actual]]-DB_STProjectsSOF[[#This Row],[Plan]]</f>
        <v>0</v>
      </c>
      <c r="AH1035" s="34">
        <f>IF(DB_STProjectsSOF[[#This Row],[Plan]]&lt;&gt;0,DB_STProjectsSOF[[#This Row],[Actual]]/DB_STProjectsSOF[[#This Row],[Plan]],1.000011000011)</f>
        <v>1.0000110000110001</v>
      </c>
      <c r="AI1035" s="34">
        <f>SUM(DB_STProjectsSOF[[#This Row],[Plan01]:[Plan12]])/valUnits2</f>
        <v>0</v>
      </c>
      <c r="AJ1035" s="34">
        <f>SUMPRODUCT(DB_STProjectsSOF[[#This Row],[Act01]:[Act12]],$P$3:$AA$3)/valUnits2</f>
        <v>0</v>
      </c>
      <c r="AK1035" s="34">
        <f>IF(DB_STProjectsSOF[[#This Row],[FY Plan]]&lt;&gt;0,DB_STProjectsSOF[[#This Row],[FY Actuals]]/DB_STProjectsSOF[[#This Row],[FY Plan]],1.000011000011)</f>
        <v>1.0000110000110001</v>
      </c>
    </row>
    <row r="1036" spans="1:37" hidden="1" x14ac:dyDescent="0.2">
      <c r="A1036">
        <f>SUBTOTAL(3,$B$6:B1036)</f>
        <v>0</v>
      </c>
      <c r="B1036" t="s">
        <v>499</v>
      </c>
      <c r="C1036" t="s">
        <v>908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49.588999999999999</v>
      </c>
      <c r="J1036">
        <v>49.588999999999999</v>
      </c>
      <c r="K1036">
        <v>49.588999999999999</v>
      </c>
      <c r="L1036">
        <v>49.588999999999999</v>
      </c>
      <c r="M1036">
        <v>49.588999999999999</v>
      </c>
      <c r="N1036">
        <v>49.588999999999999</v>
      </c>
      <c r="O1036">
        <v>49.588999999999999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 s="164">
        <v>40909</v>
      </c>
      <c r="AC1036" s="164">
        <v>42003</v>
      </c>
      <c r="AD1036" s="164">
        <v>42063</v>
      </c>
      <c r="AE1036" s="34">
        <f>SUMPRODUCT(DB_STProjectsSOF[[#This Row],[Plan01]:[Plan12]],$D$4:$O$4)/valUnits2</f>
        <v>4.9589000000000001E-2</v>
      </c>
      <c r="AF1036" s="34">
        <f>SUMPRODUCT(DB_STProjectsSOF[[#This Row],[Act01]:[Act12]],$P$4:$AA$4)/valUnits2</f>
        <v>0</v>
      </c>
      <c r="AG1036" s="34">
        <f>DB_STProjectsSOF[[#This Row],[Actual]]-DB_STProjectsSOF[[#This Row],[Plan]]</f>
        <v>-4.9589000000000001E-2</v>
      </c>
      <c r="AH1036" s="34">
        <f>IF(DB_STProjectsSOF[[#This Row],[Plan]]&lt;&gt;0,DB_STProjectsSOF[[#This Row],[Actual]]/DB_STProjectsSOF[[#This Row],[Plan]],1.000011000011)</f>
        <v>0</v>
      </c>
      <c r="AI1036" s="34">
        <f>SUM(DB_STProjectsSOF[[#This Row],[Plan01]:[Plan12]])/valUnits2</f>
        <v>0.34712300000000001</v>
      </c>
      <c r="AJ1036" s="34">
        <f>SUMPRODUCT(DB_STProjectsSOF[[#This Row],[Act01]:[Act12]],$P$3:$AA$3)/valUnits2</f>
        <v>0</v>
      </c>
      <c r="AK1036" s="34">
        <f>IF(DB_STProjectsSOF[[#This Row],[FY Plan]]&lt;&gt;0,DB_STProjectsSOF[[#This Row],[FY Actuals]]/DB_STProjectsSOF[[#This Row],[FY Plan]],1.000011000011)</f>
        <v>0</v>
      </c>
    </row>
    <row r="1037" spans="1:37" hidden="1" x14ac:dyDescent="0.2">
      <c r="A1037">
        <f>SUBTOTAL(3,$B$6:B1037)</f>
        <v>0</v>
      </c>
      <c r="B1037" t="s">
        <v>499</v>
      </c>
      <c r="C1037" t="s">
        <v>909</v>
      </c>
      <c r="D1037">
        <v>1480.4</v>
      </c>
      <c r="E1037">
        <v>531.71</v>
      </c>
      <c r="F1037">
        <v>615.61</v>
      </c>
      <c r="G1037">
        <v>3189.09</v>
      </c>
      <c r="H1037">
        <v>2360.66</v>
      </c>
      <c r="I1037">
        <v>200</v>
      </c>
      <c r="J1037">
        <v>200</v>
      </c>
      <c r="K1037">
        <v>200</v>
      </c>
      <c r="L1037">
        <v>200</v>
      </c>
      <c r="M1037">
        <v>200</v>
      </c>
      <c r="N1037">
        <v>200</v>
      </c>
      <c r="O1037">
        <v>200</v>
      </c>
      <c r="P1037">
        <v>1480.3999999999999</v>
      </c>
      <c r="Q1037">
        <v>531.70999999999992</v>
      </c>
      <c r="R1037">
        <v>615.61</v>
      </c>
      <c r="S1037">
        <v>3189.09</v>
      </c>
      <c r="T1037">
        <v>2360.66</v>
      </c>
      <c r="U1037">
        <v>2473.9299999999998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 s="164">
        <v>40817</v>
      </c>
      <c r="AC1037" s="164">
        <v>42155</v>
      </c>
      <c r="AD1037" s="164">
        <v>42217</v>
      </c>
      <c r="AE1037" s="34">
        <f>SUMPRODUCT(DB_STProjectsSOF[[#This Row],[Plan01]:[Plan12]],$D$4:$O$4)/valUnits2</f>
        <v>8.3774700000000006</v>
      </c>
      <c r="AF1037" s="34">
        <f>SUMPRODUCT(DB_STProjectsSOF[[#This Row],[Act01]:[Act12]],$P$4:$AA$4)/valUnits2</f>
        <v>10.651399999999999</v>
      </c>
      <c r="AG1037" s="34">
        <f>DB_STProjectsSOF[[#This Row],[Actual]]-DB_STProjectsSOF[[#This Row],[Plan]]</f>
        <v>2.2739299999999982</v>
      </c>
      <c r="AH1037" s="34">
        <f>IF(DB_STProjectsSOF[[#This Row],[Plan]]&lt;&gt;0,DB_STProjectsSOF[[#This Row],[Actual]]/DB_STProjectsSOF[[#This Row],[Plan]],1.000011000011)</f>
        <v>1.2714339770837733</v>
      </c>
      <c r="AI1037" s="34">
        <f>SUM(DB_STProjectsSOF[[#This Row],[Plan01]:[Plan12]])/valUnits2</f>
        <v>9.5774700000000017</v>
      </c>
      <c r="AJ1037" s="34">
        <f>SUMPRODUCT(DB_STProjectsSOF[[#This Row],[Act01]:[Act12]],$P$3:$AA$3)/valUnits2</f>
        <v>10.651399999999999</v>
      </c>
      <c r="AK1037" s="34">
        <f>IF(DB_STProjectsSOF[[#This Row],[FY Plan]]&lt;&gt;0,DB_STProjectsSOF[[#This Row],[FY Actuals]]/DB_STProjectsSOF[[#This Row],[FY Plan]],1.000011000011)</f>
        <v>1.1121308654582052</v>
      </c>
    </row>
    <row r="1038" spans="1:37" hidden="1" x14ac:dyDescent="0.2">
      <c r="A1038">
        <f>SUBTOTAL(3,$B$6:B1038)</f>
        <v>0</v>
      </c>
      <c r="B1038" t="s">
        <v>499</v>
      </c>
      <c r="C1038" t="s">
        <v>910</v>
      </c>
      <c r="E1038">
        <v>581.47</v>
      </c>
      <c r="F1038">
        <v>521.39</v>
      </c>
      <c r="Q1038">
        <v>581.47</v>
      </c>
      <c r="R1038">
        <v>521.39</v>
      </c>
      <c r="AB1038" s="164">
        <v>40817</v>
      </c>
      <c r="AC1038" s="164">
        <v>41356</v>
      </c>
      <c r="AD1038" s="164">
        <v>41425</v>
      </c>
      <c r="AE1038" s="34">
        <f>SUMPRODUCT(DB_STProjectsSOF[[#This Row],[Plan01]:[Plan12]],$D$4:$O$4)/valUnits2</f>
        <v>1.1028600000000002</v>
      </c>
      <c r="AF1038" s="34">
        <f>SUMPRODUCT(DB_STProjectsSOF[[#This Row],[Act01]:[Act12]],$P$4:$AA$4)/valUnits2</f>
        <v>1.1028600000000002</v>
      </c>
      <c r="AG1038" s="34">
        <f>DB_STProjectsSOF[[#This Row],[Actual]]-DB_STProjectsSOF[[#This Row],[Plan]]</f>
        <v>0</v>
      </c>
      <c r="AH1038" s="34">
        <f>IF(DB_STProjectsSOF[[#This Row],[Plan]]&lt;&gt;0,DB_STProjectsSOF[[#This Row],[Actual]]/DB_STProjectsSOF[[#This Row],[Plan]],1.000011000011)</f>
        <v>1</v>
      </c>
      <c r="AI1038" s="34">
        <f>SUM(DB_STProjectsSOF[[#This Row],[Plan01]:[Plan12]])/valUnits2</f>
        <v>1.1028600000000002</v>
      </c>
      <c r="AJ1038" s="34">
        <f>SUMPRODUCT(DB_STProjectsSOF[[#This Row],[Act01]:[Act12]],$P$3:$AA$3)/valUnits2</f>
        <v>1.1028600000000002</v>
      </c>
      <c r="AK1038" s="34">
        <f>IF(DB_STProjectsSOF[[#This Row],[FY Plan]]&lt;&gt;0,DB_STProjectsSOF[[#This Row],[FY Actuals]]/DB_STProjectsSOF[[#This Row],[FY Plan]],1.000011000011)</f>
        <v>1</v>
      </c>
    </row>
    <row r="1039" spans="1:37" hidden="1" x14ac:dyDescent="0.2">
      <c r="A1039">
        <f>SUBTOTAL(3,$B$6:B1039)</f>
        <v>0</v>
      </c>
      <c r="B1039" t="s">
        <v>499</v>
      </c>
      <c r="C1039" t="s">
        <v>354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594.70799999999997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AB1039" s="164">
        <v>41091</v>
      </c>
      <c r="AC1039" s="164">
        <v>41455</v>
      </c>
      <c r="AD1039" s="164">
        <v>41517</v>
      </c>
      <c r="AE1039" s="34">
        <f>SUMPRODUCT(DB_STProjectsSOF[[#This Row],[Plan01]:[Plan12]],$D$4:$O$4)/valUnits2</f>
        <v>0.59470800000000001</v>
      </c>
      <c r="AF1039" s="34">
        <f>SUMPRODUCT(DB_STProjectsSOF[[#This Row],[Act01]:[Act12]],$P$4:$AA$4)/valUnits2</f>
        <v>0</v>
      </c>
      <c r="AG1039" s="34">
        <f>DB_STProjectsSOF[[#This Row],[Actual]]-DB_STProjectsSOF[[#This Row],[Plan]]</f>
        <v>-0.59470800000000001</v>
      </c>
      <c r="AH1039" s="34">
        <f>IF(DB_STProjectsSOF[[#This Row],[Plan]]&lt;&gt;0,DB_STProjectsSOF[[#This Row],[Actual]]/DB_STProjectsSOF[[#This Row],[Plan]],1.000011000011)</f>
        <v>0</v>
      </c>
      <c r="AI1039" s="34">
        <f>SUM(DB_STProjectsSOF[[#This Row],[Plan01]:[Plan12]])/valUnits2</f>
        <v>0.59470800000000001</v>
      </c>
      <c r="AJ1039" s="34">
        <f>SUMPRODUCT(DB_STProjectsSOF[[#This Row],[Act01]:[Act12]],$P$3:$AA$3)/valUnits2</f>
        <v>0</v>
      </c>
      <c r="AK1039" s="34">
        <f>IF(DB_STProjectsSOF[[#This Row],[FY Plan]]&lt;&gt;0,DB_STProjectsSOF[[#This Row],[FY Actuals]]/DB_STProjectsSOF[[#This Row],[FY Plan]],1.000011000011)</f>
        <v>0</v>
      </c>
    </row>
    <row r="1040" spans="1:37" hidden="1" x14ac:dyDescent="0.2">
      <c r="A1040">
        <f>SUBTOTAL(3,$B$6:B1040)</f>
        <v>0</v>
      </c>
      <c r="B1040" t="s">
        <v>499</v>
      </c>
      <c r="C1040" t="s">
        <v>911</v>
      </c>
      <c r="D1040">
        <v>570.41</v>
      </c>
      <c r="E1040">
        <v>2725.15</v>
      </c>
      <c r="F1040">
        <v>1312.38</v>
      </c>
      <c r="G1040">
        <v>1751.73</v>
      </c>
      <c r="H1040">
        <v>1225.73</v>
      </c>
      <c r="I1040">
        <v>0</v>
      </c>
      <c r="J1040">
        <v>0</v>
      </c>
      <c r="K1040">
        <v>0</v>
      </c>
      <c r="L1040">
        <v>0</v>
      </c>
      <c r="M1040">
        <v>0</v>
      </c>
      <c r="P1040">
        <v>570.41000000000008</v>
      </c>
      <c r="Q1040">
        <v>2725.15</v>
      </c>
      <c r="R1040">
        <v>1312.38</v>
      </c>
      <c r="S1040">
        <v>1751.73</v>
      </c>
      <c r="T1040">
        <v>1225.73</v>
      </c>
      <c r="U1040">
        <v>865.65000000000009</v>
      </c>
      <c r="V1040">
        <v>0</v>
      </c>
      <c r="W1040">
        <v>0</v>
      </c>
      <c r="X1040">
        <v>0</v>
      </c>
      <c r="Y1040">
        <v>0</v>
      </c>
      <c r="AB1040" s="164">
        <v>40817</v>
      </c>
      <c r="AC1040" s="164">
        <v>41578</v>
      </c>
      <c r="AD1040" s="164">
        <v>41639</v>
      </c>
      <c r="AE1040" s="34">
        <f>SUMPRODUCT(DB_STProjectsSOF[[#This Row],[Plan01]:[Plan12]],$D$4:$O$4)/valUnits2</f>
        <v>7.5853999999999999</v>
      </c>
      <c r="AF1040" s="34">
        <f>SUMPRODUCT(DB_STProjectsSOF[[#This Row],[Act01]:[Act12]],$P$4:$AA$4)/valUnits2</f>
        <v>8.4510499999999986</v>
      </c>
      <c r="AG1040" s="34">
        <f>DB_STProjectsSOF[[#This Row],[Actual]]-DB_STProjectsSOF[[#This Row],[Plan]]</f>
        <v>0.8656499999999987</v>
      </c>
      <c r="AH1040" s="34">
        <f>IF(DB_STProjectsSOF[[#This Row],[Plan]]&lt;&gt;0,DB_STProjectsSOF[[#This Row],[Actual]]/DB_STProjectsSOF[[#This Row],[Plan]],1.000011000011)</f>
        <v>1.1141205473673108</v>
      </c>
      <c r="AI1040" s="34">
        <f>SUM(DB_STProjectsSOF[[#This Row],[Plan01]:[Plan12]])/valUnits2</f>
        <v>7.5853999999999999</v>
      </c>
      <c r="AJ1040" s="34">
        <f>SUMPRODUCT(DB_STProjectsSOF[[#This Row],[Act01]:[Act12]],$P$3:$AA$3)/valUnits2</f>
        <v>8.4510499999999986</v>
      </c>
      <c r="AK1040" s="34">
        <f>IF(DB_STProjectsSOF[[#This Row],[FY Plan]]&lt;&gt;0,DB_STProjectsSOF[[#This Row],[FY Actuals]]/DB_STProjectsSOF[[#This Row],[FY Plan]],1.000011000011)</f>
        <v>1.1141205473673108</v>
      </c>
    </row>
    <row r="1041" spans="1:37" hidden="1" x14ac:dyDescent="0.2">
      <c r="A1041">
        <f>SUBTOTAL(3,$B$6:B1041)</f>
        <v>0</v>
      </c>
      <c r="B1041" t="s">
        <v>499</v>
      </c>
      <c r="C1041" t="s">
        <v>913</v>
      </c>
      <c r="D1041">
        <v>0</v>
      </c>
      <c r="E1041">
        <v>0</v>
      </c>
      <c r="F1041">
        <v>0</v>
      </c>
      <c r="G1041">
        <v>612.58299999999997</v>
      </c>
      <c r="H1041">
        <v>705.08</v>
      </c>
      <c r="I1041">
        <v>168.452</v>
      </c>
      <c r="J1041">
        <v>168.452</v>
      </c>
      <c r="K1041">
        <v>168.452</v>
      </c>
      <c r="L1041">
        <v>168.452</v>
      </c>
      <c r="M1041">
        <v>168.452</v>
      </c>
      <c r="N1041">
        <v>168.452</v>
      </c>
      <c r="O1041">
        <v>168.452</v>
      </c>
      <c r="P1041">
        <v>0</v>
      </c>
      <c r="Q1041">
        <v>0</v>
      </c>
      <c r="R1041">
        <v>0</v>
      </c>
      <c r="S1041">
        <v>609.09</v>
      </c>
      <c r="T1041">
        <v>700.88</v>
      </c>
      <c r="U1041">
        <v>1388.3400000000001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 s="164">
        <v>40817</v>
      </c>
      <c r="AC1041" s="164">
        <v>41639</v>
      </c>
      <c r="AD1041" s="164">
        <v>41685</v>
      </c>
      <c r="AE1041" s="34">
        <f>SUMPRODUCT(DB_STProjectsSOF[[#This Row],[Plan01]:[Plan12]],$D$4:$O$4)/valUnits2</f>
        <v>1.4861150000000001</v>
      </c>
      <c r="AF1041" s="34">
        <f>SUMPRODUCT(DB_STProjectsSOF[[#This Row],[Act01]:[Act12]],$P$4:$AA$4)/valUnits2</f>
        <v>2.6983100000000002</v>
      </c>
      <c r="AG1041" s="34">
        <f>DB_STProjectsSOF[[#This Row],[Actual]]-DB_STProjectsSOF[[#This Row],[Plan]]</f>
        <v>1.2121950000000001</v>
      </c>
      <c r="AH1041" s="34">
        <f>IF(DB_STProjectsSOF[[#This Row],[Plan]]&lt;&gt;0,DB_STProjectsSOF[[#This Row],[Actual]]/DB_STProjectsSOF[[#This Row],[Plan]],1.000011000011)</f>
        <v>1.8156804823314481</v>
      </c>
      <c r="AI1041" s="34">
        <f>SUM(DB_STProjectsSOF[[#This Row],[Plan01]:[Plan12]])/valUnits2</f>
        <v>2.4968270000000001</v>
      </c>
      <c r="AJ1041" s="34">
        <f>SUMPRODUCT(DB_STProjectsSOF[[#This Row],[Act01]:[Act12]],$P$3:$AA$3)/valUnits2</f>
        <v>2.6983100000000002</v>
      </c>
      <c r="AK1041" s="34">
        <f>IF(DB_STProjectsSOF[[#This Row],[FY Plan]]&lt;&gt;0,DB_STProjectsSOF[[#This Row],[FY Actuals]]/DB_STProjectsSOF[[#This Row],[FY Plan]],1.000011000011)</f>
        <v>1.0806956188794818</v>
      </c>
    </row>
    <row r="1042" spans="1:37" hidden="1" x14ac:dyDescent="0.2">
      <c r="A1042">
        <f>SUBTOTAL(3,$B$6:B1042)</f>
        <v>0</v>
      </c>
      <c r="B1042" t="s">
        <v>499</v>
      </c>
      <c r="C1042" t="s">
        <v>915</v>
      </c>
      <c r="D1042">
        <v>0</v>
      </c>
      <c r="E1042">
        <v>0</v>
      </c>
      <c r="F1042">
        <v>0</v>
      </c>
      <c r="G1042">
        <v>0</v>
      </c>
      <c r="H1042">
        <v>812.30200000000002</v>
      </c>
      <c r="I1042">
        <v>87.908000000000001</v>
      </c>
      <c r="J1042">
        <v>87.908000000000001</v>
      </c>
      <c r="K1042">
        <v>87.908000000000001</v>
      </c>
      <c r="L1042">
        <v>87.908000000000001</v>
      </c>
      <c r="M1042">
        <v>87.908000000000001</v>
      </c>
      <c r="N1042">
        <v>87.908000000000001</v>
      </c>
      <c r="O1042">
        <v>87.908000000000001</v>
      </c>
      <c r="P1042">
        <v>0</v>
      </c>
      <c r="Q1042">
        <v>0</v>
      </c>
      <c r="R1042">
        <v>0</v>
      </c>
      <c r="S1042">
        <v>0</v>
      </c>
      <c r="T1042">
        <v>819.98</v>
      </c>
      <c r="U1042">
        <v>909.14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 s="164">
        <v>41061</v>
      </c>
      <c r="AC1042" s="164">
        <v>42155</v>
      </c>
      <c r="AD1042" s="164">
        <v>42185</v>
      </c>
      <c r="AE1042" s="34">
        <f>SUMPRODUCT(DB_STProjectsSOF[[#This Row],[Plan01]:[Plan12]],$D$4:$O$4)/valUnits2</f>
        <v>0.90021000000000007</v>
      </c>
      <c r="AF1042" s="34">
        <f>SUMPRODUCT(DB_STProjectsSOF[[#This Row],[Act01]:[Act12]],$P$4:$AA$4)/valUnits2</f>
        <v>1.72912</v>
      </c>
      <c r="AG1042" s="34">
        <f>DB_STProjectsSOF[[#This Row],[Actual]]-DB_STProjectsSOF[[#This Row],[Plan]]</f>
        <v>0.82890999999999992</v>
      </c>
      <c r="AH1042" s="34">
        <f>IF(DB_STProjectsSOF[[#This Row],[Plan]]&lt;&gt;0,DB_STProjectsSOF[[#This Row],[Actual]]/DB_STProjectsSOF[[#This Row],[Plan]],1.000011000011)</f>
        <v>1.9207962586507592</v>
      </c>
      <c r="AI1042" s="34">
        <f>SUM(DB_STProjectsSOF[[#This Row],[Plan01]:[Plan12]])/valUnits2</f>
        <v>1.4276579999999996</v>
      </c>
      <c r="AJ1042" s="34">
        <f>SUMPRODUCT(DB_STProjectsSOF[[#This Row],[Act01]:[Act12]],$P$3:$AA$3)/valUnits2</f>
        <v>1.72912</v>
      </c>
      <c r="AK1042" s="34">
        <f>IF(DB_STProjectsSOF[[#This Row],[FY Plan]]&lt;&gt;0,DB_STProjectsSOF[[#This Row],[FY Actuals]]/DB_STProjectsSOF[[#This Row],[FY Plan]],1.000011000011)</f>
        <v>1.2111584146903533</v>
      </c>
    </row>
    <row r="1043" spans="1:37" hidden="1" x14ac:dyDescent="0.2">
      <c r="A1043">
        <f>SUBTOTAL(3,$B$6:B1043)</f>
        <v>0</v>
      </c>
      <c r="B1043" t="s">
        <v>499</v>
      </c>
      <c r="C1043" t="s">
        <v>356</v>
      </c>
      <c r="G1043">
        <v>0</v>
      </c>
      <c r="H1043">
        <v>0</v>
      </c>
      <c r="I1043">
        <v>756.41599999999994</v>
      </c>
      <c r="S1043">
        <v>0</v>
      </c>
      <c r="T1043">
        <v>0</v>
      </c>
      <c r="U1043">
        <v>0</v>
      </c>
      <c r="AB1043" s="164">
        <v>41091</v>
      </c>
      <c r="AC1043" s="164">
        <v>41455</v>
      </c>
      <c r="AD1043" s="164">
        <v>41547</v>
      </c>
      <c r="AE1043" s="34">
        <f>SUMPRODUCT(DB_STProjectsSOF[[#This Row],[Plan01]:[Plan12]],$D$4:$O$4)/valUnits2</f>
        <v>0.75641599999999998</v>
      </c>
      <c r="AF1043" s="34">
        <f>SUMPRODUCT(DB_STProjectsSOF[[#This Row],[Act01]:[Act12]],$P$4:$AA$4)/valUnits2</f>
        <v>0</v>
      </c>
      <c r="AG1043" s="34">
        <f>DB_STProjectsSOF[[#This Row],[Actual]]-DB_STProjectsSOF[[#This Row],[Plan]]</f>
        <v>-0.75641599999999998</v>
      </c>
      <c r="AH1043" s="34">
        <f>IF(DB_STProjectsSOF[[#This Row],[Plan]]&lt;&gt;0,DB_STProjectsSOF[[#This Row],[Actual]]/DB_STProjectsSOF[[#This Row],[Plan]],1.000011000011)</f>
        <v>0</v>
      </c>
      <c r="AI1043" s="34">
        <f>SUM(DB_STProjectsSOF[[#This Row],[Plan01]:[Plan12]])/valUnits2</f>
        <v>0.75641599999999998</v>
      </c>
      <c r="AJ1043" s="34">
        <f>SUMPRODUCT(DB_STProjectsSOF[[#This Row],[Act01]:[Act12]],$P$3:$AA$3)/valUnits2</f>
        <v>0</v>
      </c>
      <c r="AK1043" s="34">
        <f>IF(DB_STProjectsSOF[[#This Row],[FY Plan]]&lt;&gt;0,DB_STProjectsSOF[[#This Row],[FY Actuals]]/DB_STProjectsSOF[[#This Row],[FY Plan]],1.000011000011)</f>
        <v>0</v>
      </c>
    </row>
    <row r="1044" spans="1:37" hidden="1" x14ac:dyDescent="0.2">
      <c r="A1044">
        <f>SUBTOTAL(3,$B$6:B1044)</f>
        <v>0</v>
      </c>
      <c r="B1044" t="s">
        <v>499</v>
      </c>
      <c r="C1044" t="s">
        <v>919</v>
      </c>
      <c r="D1044">
        <v>0</v>
      </c>
      <c r="E1044">
        <v>1034.3209999999999</v>
      </c>
      <c r="F1044">
        <v>1230.154</v>
      </c>
      <c r="G1044">
        <v>7685.2150000000001</v>
      </c>
      <c r="H1044">
        <v>2026.375</v>
      </c>
      <c r="I1044">
        <v>3303.1480000000001</v>
      </c>
      <c r="J1044">
        <v>3303.1479999999997</v>
      </c>
      <c r="K1044">
        <v>3303.1480000000001</v>
      </c>
      <c r="L1044">
        <v>3303.1479999999997</v>
      </c>
      <c r="M1044">
        <v>3303.1479999999997</v>
      </c>
      <c r="N1044">
        <v>3303.1480000000001</v>
      </c>
      <c r="O1044">
        <v>3303.1479999999997</v>
      </c>
      <c r="P1044">
        <v>0</v>
      </c>
      <c r="Q1044">
        <v>1056.01</v>
      </c>
      <c r="R1044">
        <v>1241.29</v>
      </c>
      <c r="S1044">
        <v>7689.04</v>
      </c>
      <c r="T1044">
        <v>2001.8100000000002</v>
      </c>
      <c r="U1044">
        <v>2451.66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 s="164">
        <v>40878</v>
      </c>
      <c r="AC1044" s="164">
        <v>42794</v>
      </c>
      <c r="AD1044" s="164">
        <v>42978</v>
      </c>
      <c r="AE1044" s="34">
        <f>SUMPRODUCT(DB_STProjectsSOF[[#This Row],[Plan01]:[Plan12]],$D$4:$O$4)/valUnits2</f>
        <v>15.279213</v>
      </c>
      <c r="AF1044" s="34">
        <f>SUMPRODUCT(DB_STProjectsSOF[[#This Row],[Act01]:[Act12]],$P$4:$AA$4)/valUnits2</f>
        <v>14.43981</v>
      </c>
      <c r="AG1044" s="34">
        <f>DB_STProjectsSOF[[#This Row],[Actual]]-DB_STProjectsSOF[[#This Row],[Plan]]</f>
        <v>-0.83940300000000079</v>
      </c>
      <c r="AH1044" s="34">
        <f>IF(DB_STProjectsSOF[[#This Row],[Plan]]&lt;&gt;0,DB_STProjectsSOF[[#This Row],[Actual]]/DB_STProjectsSOF[[#This Row],[Plan]],1.000011000011)</f>
        <v>0.94506241911805267</v>
      </c>
      <c r="AI1044" s="34">
        <f>SUM(DB_STProjectsSOF[[#This Row],[Plan01]:[Plan12]])/valUnits2</f>
        <v>35.098101</v>
      </c>
      <c r="AJ1044" s="34">
        <f>SUMPRODUCT(DB_STProjectsSOF[[#This Row],[Act01]:[Act12]],$P$3:$AA$3)/valUnits2</f>
        <v>14.43981</v>
      </c>
      <c r="AK1044" s="34">
        <f>IF(DB_STProjectsSOF[[#This Row],[FY Plan]]&lt;&gt;0,DB_STProjectsSOF[[#This Row],[FY Actuals]]/DB_STProjectsSOF[[#This Row],[FY Plan]],1.000011000011)</f>
        <v>0.41141285678105488</v>
      </c>
    </row>
    <row r="1045" spans="1:37" hidden="1" x14ac:dyDescent="0.2">
      <c r="A1045">
        <f>SUBTOTAL(3,$B$6:B1045)</f>
        <v>0</v>
      </c>
      <c r="B1045" t="s">
        <v>499</v>
      </c>
      <c r="C1045" t="s">
        <v>921</v>
      </c>
      <c r="D1045">
        <v>0</v>
      </c>
      <c r="E1045">
        <v>586.76400000000001</v>
      </c>
      <c r="F1045">
        <v>683.49900000000002</v>
      </c>
      <c r="H1045">
        <v>352.012</v>
      </c>
      <c r="P1045">
        <v>0</v>
      </c>
      <c r="Q1045">
        <v>586.76</v>
      </c>
      <c r="R1045">
        <v>679.07</v>
      </c>
      <c r="T1045">
        <v>353.68</v>
      </c>
      <c r="AB1045" s="164">
        <v>40909</v>
      </c>
      <c r="AC1045" s="164">
        <v>41363</v>
      </c>
      <c r="AD1045" s="164">
        <v>41389</v>
      </c>
      <c r="AE1045" s="34">
        <f>SUMPRODUCT(DB_STProjectsSOF[[#This Row],[Plan01]:[Plan12]],$D$4:$O$4)/valUnits2</f>
        <v>1.6222749999999999</v>
      </c>
      <c r="AF1045" s="34">
        <f>SUMPRODUCT(DB_STProjectsSOF[[#This Row],[Act01]:[Act12]],$P$4:$AA$4)/valUnits2</f>
        <v>1.61951</v>
      </c>
      <c r="AG1045" s="34">
        <f>DB_STProjectsSOF[[#This Row],[Actual]]-DB_STProjectsSOF[[#This Row],[Plan]]</f>
        <v>-2.7649999999999064E-3</v>
      </c>
      <c r="AH1045" s="34">
        <f>IF(DB_STProjectsSOF[[#This Row],[Plan]]&lt;&gt;0,DB_STProjectsSOF[[#This Row],[Actual]]/DB_STProjectsSOF[[#This Row],[Plan]],1.000011000011)</f>
        <v>0.99829560339646495</v>
      </c>
      <c r="AI1045" s="34">
        <f>SUM(DB_STProjectsSOF[[#This Row],[Plan01]:[Plan12]])/valUnits2</f>
        <v>1.6222749999999999</v>
      </c>
      <c r="AJ1045" s="34">
        <f>SUMPRODUCT(DB_STProjectsSOF[[#This Row],[Act01]:[Act12]],$P$3:$AA$3)/valUnits2</f>
        <v>1.61951</v>
      </c>
      <c r="AK1045" s="34">
        <f>IF(DB_STProjectsSOF[[#This Row],[FY Plan]]&lt;&gt;0,DB_STProjectsSOF[[#This Row],[FY Actuals]]/DB_STProjectsSOF[[#This Row],[FY Plan]],1.000011000011)</f>
        <v>0.99829560339646495</v>
      </c>
    </row>
    <row r="1046" spans="1:37" hidden="1" x14ac:dyDescent="0.2">
      <c r="A1046">
        <f>SUBTOTAL(3,$B$6:B1046)</f>
        <v>0</v>
      </c>
      <c r="B1046" t="s">
        <v>499</v>
      </c>
      <c r="C1046" t="s">
        <v>922</v>
      </c>
      <c r="D1046">
        <v>0</v>
      </c>
      <c r="E1046">
        <v>123.95099999999999</v>
      </c>
      <c r="F1046">
        <v>156.87</v>
      </c>
      <c r="G1046">
        <v>843.38800000000003</v>
      </c>
      <c r="H1046">
        <v>337.50099999999998</v>
      </c>
      <c r="I1046">
        <v>257.81799999999998</v>
      </c>
      <c r="J1046">
        <v>257.81799999999998</v>
      </c>
      <c r="K1046">
        <v>257.81799999999998</v>
      </c>
      <c r="L1046">
        <v>257.81799999999998</v>
      </c>
      <c r="M1046">
        <v>257.81799999999998</v>
      </c>
      <c r="N1046">
        <v>257.81799999999998</v>
      </c>
      <c r="O1046">
        <v>257.81799999999998</v>
      </c>
      <c r="P1046">
        <v>0</v>
      </c>
      <c r="Q1046">
        <v>126.55</v>
      </c>
      <c r="R1046">
        <v>158.29</v>
      </c>
      <c r="S1046">
        <v>844.44999999999993</v>
      </c>
      <c r="T1046">
        <v>333.40999999999997</v>
      </c>
      <c r="U1046">
        <v>395.32000000000005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 s="164">
        <v>41000</v>
      </c>
      <c r="AC1046" s="164">
        <v>41989</v>
      </c>
      <c r="AD1046" s="164">
        <v>42078</v>
      </c>
      <c r="AE1046" s="34">
        <f>SUMPRODUCT(DB_STProjectsSOF[[#This Row],[Plan01]:[Plan12]],$D$4:$O$4)/valUnits2</f>
        <v>1.7195279999999999</v>
      </c>
      <c r="AF1046" s="34">
        <f>SUMPRODUCT(DB_STProjectsSOF[[#This Row],[Act01]:[Act12]],$P$4:$AA$4)/valUnits2</f>
        <v>1.85802</v>
      </c>
      <c r="AG1046" s="34">
        <f>DB_STProjectsSOF[[#This Row],[Actual]]-DB_STProjectsSOF[[#This Row],[Plan]]</f>
        <v>0.13849200000000006</v>
      </c>
      <c r="AH1046" s="34">
        <f>IF(DB_STProjectsSOF[[#This Row],[Plan]]&lt;&gt;0,DB_STProjectsSOF[[#This Row],[Actual]]/DB_STProjectsSOF[[#This Row],[Plan]],1.000011000011)</f>
        <v>1.0805407065194634</v>
      </c>
      <c r="AI1046" s="34">
        <f>SUM(DB_STProjectsSOF[[#This Row],[Plan01]:[Plan12]])/valUnits2</f>
        <v>3.2664360000000006</v>
      </c>
      <c r="AJ1046" s="34">
        <f>SUMPRODUCT(DB_STProjectsSOF[[#This Row],[Act01]:[Act12]],$P$3:$AA$3)/valUnits2</f>
        <v>1.85802</v>
      </c>
      <c r="AK1046" s="34">
        <f>IF(DB_STProjectsSOF[[#This Row],[FY Plan]]&lt;&gt;0,DB_STProjectsSOF[[#This Row],[FY Actuals]]/DB_STProjectsSOF[[#This Row],[FY Plan]],1.000011000011)</f>
        <v>0.56882179843719571</v>
      </c>
    </row>
    <row r="1047" spans="1:37" hidden="1" x14ac:dyDescent="0.2">
      <c r="A1047">
        <f>SUBTOTAL(3,$B$6:B1047)</f>
        <v>0</v>
      </c>
      <c r="B1047" t="s">
        <v>499</v>
      </c>
      <c r="C1047" t="s">
        <v>924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369.08800000000002</v>
      </c>
      <c r="J1047">
        <v>369.08800000000002</v>
      </c>
      <c r="K1047">
        <v>369.08800000000002</v>
      </c>
      <c r="L1047">
        <v>369.08800000000002</v>
      </c>
      <c r="M1047">
        <v>369.08800000000002</v>
      </c>
      <c r="N1047">
        <v>369.08800000000002</v>
      </c>
      <c r="O1047">
        <v>369.08800000000002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 s="164">
        <v>40817</v>
      </c>
      <c r="AC1047" s="164">
        <v>41639</v>
      </c>
      <c r="AD1047" s="164">
        <v>41685</v>
      </c>
      <c r="AE1047" s="34">
        <f>SUMPRODUCT(DB_STProjectsSOF[[#This Row],[Plan01]:[Plan12]],$D$4:$O$4)/valUnits2</f>
        <v>0.36908800000000003</v>
      </c>
      <c r="AF1047" s="34">
        <f>SUMPRODUCT(DB_STProjectsSOF[[#This Row],[Act01]:[Act12]],$P$4:$AA$4)/valUnits2</f>
        <v>0</v>
      </c>
      <c r="AG1047" s="34">
        <f>DB_STProjectsSOF[[#This Row],[Actual]]-DB_STProjectsSOF[[#This Row],[Plan]]</f>
        <v>-0.36908800000000003</v>
      </c>
      <c r="AH1047" s="34">
        <f>IF(DB_STProjectsSOF[[#This Row],[Plan]]&lt;&gt;0,DB_STProjectsSOF[[#This Row],[Actual]]/DB_STProjectsSOF[[#This Row],[Plan]],1.000011000011)</f>
        <v>0</v>
      </c>
      <c r="AI1047" s="34">
        <f>SUM(DB_STProjectsSOF[[#This Row],[Plan01]:[Plan12]])/valUnits2</f>
        <v>2.5836160000000006</v>
      </c>
      <c r="AJ1047" s="34">
        <f>SUMPRODUCT(DB_STProjectsSOF[[#This Row],[Act01]:[Act12]],$P$3:$AA$3)/valUnits2</f>
        <v>0</v>
      </c>
      <c r="AK1047" s="34">
        <f>IF(DB_STProjectsSOF[[#This Row],[FY Plan]]&lt;&gt;0,DB_STProjectsSOF[[#This Row],[FY Actuals]]/DB_STProjectsSOF[[#This Row],[FY Plan]],1.000011000011)</f>
        <v>0</v>
      </c>
    </row>
    <row r="1048" spans="1:37" hidden="1" x14ac:dyDescent="0.2">
      <c r="A1048">
        <f>SUBTOTAL(3,$B$6:B1048)</f>
        <v>0</v>
      </c>
      <c r="B1048" t="s">
        <v>499</v>
      </c>
      <c r="C1048" t="s">
        <v>925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 s="164">
        <v>40909</v>
      </c>
      <c r="AC1048" s="164">
        <v>41639</v>
      </c>
      <c r="AD1048" s="164">
        <v>41713</v>
      </c>
      <c r="AE1048" s="34">
        <f>SUMPRODUCT(DB_STProjectsSOF[[#This Row],[Plan01]:[Plan12]],$D$4:$O$4)/valUnits2</f>
        <v>0</v>
      </c>
      <c r="AF1048" s="34">
        <f>SUMPRODUCT(DB_STProjectsSOF[[#This Row],[Act01]:[Act12]],$P$4:$AA$4)/valUnits2</f>
        <v>0</v>
      </c>
      <c r="AG1048" s="34">
        <f>DB_STProjectsSOF[[#This Row],[Actual]]-DB_STProjectsSOF[[#This Row],[Plan]]</f>
        <v>0</v>
      </c>
      <c r="AH1048" s="34">
        <f>IF(DB_STProjectsSOF[[#This Row],[Plan]]&lt;&gt;0,DB_STProjectsSOF[[#This Row],[Actual]]/DB_STProjectsSOF[[#This Row],[Plan]],1.000011000011)</f>
        <v>1.0000110000110001</v>
      </c>
      <c r="AI1048" s="34">
        <f>SUM(DB_STProjectsSOF[[#This Row],[Plan01]:[Plan12]])/valUnits2</f>
        <v>0</v>
      </c>
      <c r="AJ1048" s="34">
        <f>SUMPRODUCT(DB_STProjectsSOF[[#This Row],[Act01]:[Act12]],$P$3:$AA$3)/valUnits2</f>
        <v>0</v>
      </c>
      <c r="AK1048" s="34">
        <f>IF(DB_STProjectsSOF[[#This Row],[FY Plan]]&lt;&gt;0,DB_STProjectsSOF[[#This Row],[FY Actuals]]/DB_STProjectsSOF[[#This Row],[FY Plan]],1.000011000011)</f>
        <v>1.0000110000110001</v>
      </c>
    </row>
    <row r="1049" spans="1:37" hidden="1" x14ac:dyDescent="0.2">
      <c r="A1049">
        <f>SUBTOTAL(3,$B$6:B1049)</f>
        <v>0</v>
      </c>
      <c r="B1049" t="s">
        <v>499</v>
      </c>
      <c r="C1049" t="s">
        <v>927</v>
      </c>
      <c r="D1049">
        <v>0</v>
      </c>
      <c r="E1049">
        <v>3937.0899999999997</v>
      </c>
      <c r="F1049">
        <v>2515.14</v>
      </c>
      <c r="G1049">
        <v>8343.2999999999993</v>
      </c>
      <c r="H1049">
        <v>3032.08</v>
      </c>
      <c r="I1049">
        <v>3404</v>
      </c>
      <c r="J1049">
        <v>3404</v>
      </c>
      <c r="K1049">
        <v>3404</v>
      </c>
      <c r="L1049">
        <v>3404</v>
      </c>
      <c r="M1049">
        <v>3404</v>
      </c>
      <c r="N1049">
        <v>3404</v>
      </c>
      <c r="O1049">
        <v>3404</v>
      </c>
      <c r="P1049">
        <v>0</v>
      </c>
      <c r="Q1049">
        <v>3937.09</v>
      </c>
      <c r="R1049">
        <v>2515.14</v>
      </c>
      <c r="S1049">
        <v>8343.3000000000011</v>
      </c>
      <c r="T1049">
        <v>3032.08</v>
      </c>
      <c r="U1049">
        <v>1239.33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 s="164">
        <v>40817</v>
      </c>
      <c r="AC1049" s="164">
        <v>42052</v>
      </c>
      <c r="AD1049" s="164">
        <v>42141</v>
      </c>
      <c r="AE1049" s="34">
        <f>SUMPRODUCT(DB_STProjectsSOF[[#This Row],[Plan01]:[Plan12]],$D$4:$O$4)/valUnits2</f>
        <v>21.23161</v>
      </c>
      <c r="AF1049" s="34">
        <f>SUMPRODUCT(DB_STProjectsSOF[[#This Row],[Act01]:[Act12]],$P$4:$AA$4)/valUnits2</f>
        <v>19.066940000000002</v>
      </c>
      <c r="AG1049" s="34">
        <f>DB_STProjectsSOF[[#This Row],[Actual]]-DB_STProjectsSOF[[#This Row],[Plan]]</f>
        <v>-2.1646699999999974</v>
      </c>
      <c r="AH1049" s="34">
        <f>IF(DB_STProjectsSOF[[#This Row],[Plan]]&lt;&gt;0,DB_STProjectsSOF[[#This Row],[Actual]]/DB_STProjectsSOF[[#This Row],[Plan]],1.000011000011)</f>
        <v>0.89804494336510521</v>
      </c>
      <c r="AI1049" s="34">
        <f>SUM(DB_STProjectsSOF[[#This Row],[Plan01]:[Plan12]])/valUnits2</f>
        <v>41.655610000000003</v>
      </c>
      <c r="AJ1049" s="34">
        <f>SUMPRODUCT(DB_STProjectsSOF[[#This Row],[Act01]:[Act12]],$P$3:$AA$3)/valUnits2</f>
        <v>19.066940000000002</v>
      </c>
      <c r="AK1049" s="34">
        <f>IF(DB_STProjectsSOF[[#This Row],[FY Plan]]&lt;&gt;0,DB_STProjectsSOF[[#This Row],[FY Actuals]]/DB_STProjectsSOF[[#This Row],[FY Plan]],1.000011000011)</f>
        <v>0.45772802270810586</v>
      </c>
    </row>
    <row r="1050" spans="1:37" hidden="1" x14ac:dyDescent="0.2">
      <c r="A1050">
        <f>SUBTOTAL(3,$B$6:B1050)</f>
        <v>0</v>
      </c>
      <c r="B1050" t="s">
        <v>499</v>
      </c>
      <c r="C1050" t="s">
        <v>359</v>
      </c>
      <c r="G1050">
        <v>0</v>
      </c>
      <c r="H1050">
        <v>0</v>
      </c>
      <c r="I1050">
        <v>167.91899999999998</v>
      </c>
      <c r="S1050">
        <v>0</v>
      </c>
      <c r="T1050">
        <v>0</v>
      </c>
      <c r="U1050">
        <v>0</v>
      </c>
      <c r="AB1050" s="164">
        <v>41275</v>
      </c>
      <c r="AC1050" s="164">
        <v>41455</v>
      </c>
      <c r="AD1050" s="164">
        <v>41547</v>
      </c>
      <c r="AE1050" s="34">
        <f>SUMPRODUCT(DB_STProjectsSOF[[#This Row],[Plan01]:[Plan12]],$D$4:$O$4)/valUnits2</f>
        <v>0.16791899999999998</v>
      </c>
      <c r="AF1050" s="34">
        <f>SUMPRODUCT(DB_STProjectsSOF[[#This Row],[Act01]:[Act12]],$P$4:$AA$4)/valUnits2</f>
        <v>0</v>
      </c>
      <c r="AG1050" s="34">
        <f>DB_STProjectsSOF[[#This Row],[Actual]]-DB_STProjectsSOF[[#This Row],[Plan]]</f>
        <v>-0.16791899999999998</v>
      </c>
      <c r="AH1050" s="34">
        <f>IF(DB_STProjectsSOF[[#This Row],[Plan]]&lt;&gt;0,DB_STProjectsSOF[[#This Row],[Actual]]/DB_STProjectsSOF[[#This Row],[Plan]],1.000011000011)</f>
        <v>0</v>
      </c>
      <c r="AI1050" s="34">
        <f>SUM(DB_STProjectsSOF[[#This Row],[Plan01]:[Plan12]])/valUnits2</f>
        <v>0.16791899999999998</v>
      </c>
      <c r="AJ1050" s="34">
        <f>SUMPRODUCT(DB_STProjectsSOF[[#This Row],[Act01]:[Act12]],$P$3:$AA$3)/valUnits2</f>
        <v>0</v>
      </c>
      <c r="AK1050" s="34">
        <f>IF(DB_STProjectsSOF[[#This Row],[FY Plan]]&lt;&gt;0,DB_STProjectsSOF[[#This Row],[FY Actuals]]/DB_STProjectsSOF[[#This Row],[FY Plan]],1.000011000011)</f>
        <v>0</v>
      </c>
    </row>
    <row r="1051" spans="1:37" hidden="1" x14ac:dyDescent="0.2">
      <c r="A1051">
        <f>SUBTOTAL(3,$B$6:B1051)</f>
        <v>0</v>
      </c>
      <c r="B1051" t="s">
        <v>499</v>
      </c>
      <c r="C1051" t="s">
        <v>360</v>
      </c>
      <c r="G1051">
        <v>0</v>
      </c>
      <c r="H1051">
        <v>0</v>
      </c>
      <c r="I1051">
        <v>589.87300000000005</v>
      </c>
      <c r="S1051">
        <v>0</v>
      </c>
      <c r="T1051">
        <v>0</v>
      </c>
      <c r="U1051">
        <v>0</v>
      </c>
      <c r="AB1051" s="164">
        <v>41091</v>
      </c>
      <c r="AC1051" s="164">
        <v>41455</v>
      </c>
      <c r="AD1051" s="164">
        <v>41547</v>
      </c>
      <c r="AE1051" s="34">
        <f>SUMPRODUCT(DB_STProjectsSOF[[#This Row],[Plan01]:[Plan12]],$D$4:$O$4)/valUnits2</f>
        <v>0.58987300000000009</v>
      </c>
      <c r="AF1051" s="34">
        <f>SUMPRODUCT(DB_STProjectsSOF[[#This Row],[Act01]:[Act12]],$P$4:$AA$4)/valUnits2</f>
        <v>0</v>
      </c>
      <c r="AG1051" s="34">
        <f>DB_STProjectsSOF[[#This Row],[Actual]]-DB_STProjectsSOF[[#This Row],[Plan]]</f>
        <v>-0.58987300000000009</v>
      </c>
      <c r="AH1051" s="34">
        <f>IF(DB_STProjectsSOF[[#This Row],[Plan]]&lt;&gt;0,DB_STProjectsSOF[[#This Row],[Actual]]/DB_STProjectsSOF[[#This Row],[Plan]],1.000011000011)</f>
        <v>0</v>
      </c>
      <c r="AI1051" s="34">
        <f>SUM(DB_STProjectsSOF[[#This Row],[Plan01]:[Plan12]])/valUnits2</f>
        <v>0.58987300000000009</v>
      </c>
      <c r="AJ1051" s="34">
        <f>SUMPRODUCT(DB_STProjectsSOF[[#This Row],[Act01]:[Act12]],$P$3:$AA$3)/valUnits2</f>
        <v>0</v>
      </c>
      <c r="AK1051" s="34">
        <f>IF(DB_STProjectsSOF[[#This Row],[FY Plan]]&lt;&gt;0,DB_STProjectsSOF[[#This Row],[FY Actuals]]/DB_STProjectsSOF[[#This Row],[FY Plan]],1.000011000011)</f>
        <v>0</v>
      </c>
    </row>
    <row r="1052" spans="1:37" hidden="1" x14ac:dyDescent="0.2">
      <c r="A1052">
        <f>SUBTOTAL(3,$B$6:B1052)</f>
        <v>0</v>
      </c>
      <c r="B1052" t="s">
        <v>499</v>
      </c>
      <c r="C1052" t="s">
        <v>928</v>
      </c>
      <c r="D1052">
        <v>0</v>
      </c>
      <c r="E1052">
        <v>357.875</v>
      </c>
      <c r="F1052">
        <v>355.303</v>
      </c>
      <c r="G1052">
        <v>311.19499999999999</v>
      </c>
      <c r="I1052">
        <v>0</v>
      </c>
      <c r="P1052">
        <v>0</v>
      </c>
      <c r="Q1052">
        <v>365.38</v>
      </c>
      <c r="R1052">
        <v>358.52</v>
      </c>
      <c r="S1052">
        <v>309.42</v>
      </c>
      <c r="U1052">
        <v>-1033.32</v>
      </c>
      <c r="AB1052" s="164">
        <v>40817</v>
      </c>
      <c r="AC1052" s="164">
        <v>41305</v>
      </c>
      <c r="AD1052" s="164">
        <v>41394</v>
      </c>
      <c r="AE1052" s="34">
        <f>SUMPRODUCT(DB_STProjectsSOF[[#This Row],[Plan01]:[Plan12]],$D$4:$O$4)/valUnits2</f>
        <v>1.024373</v>
      </c>
      <c r="AF1052" s="34">
        <f>SUMPRODUCT(DB_STProjectsSOF[[#This Row],[Act01]:[Act12]],$P$4:$AA$4)/valUnits2</f>
        <v>0</v>
      </c>
      <c r="AG1052" s="34">
        <f>DB_STProjectsSOF[[#This Row],[Actual]]-DB_STProjectsSOF[[#This Row],[Plan]]</f>
        <v>-1.024373</v>
      </c>
      <c r="AH1052" s="34">
        <f>IF(DB_STProjectsSOF[[#This Row],[Plan]]&lt;&gt;0,DB_STProjectsSOF[[#This Row],[Actual]]/DB_STProjectsSOF[[#This Row],[Plan]],1.000011000011)</f>
        <v>0</v>
      </c>
      <c r="AI1052" s="34">
        <f>SUM(DB_STProjectsSOF[[#This Row],[Plan01]:[Plan12]])/valUnits2</f>
        <v>1.024373</v>
      </c>
      <c r="AJ1052" s="34">
        <f>SUMPRODUCT(DB_STProjectsSOF[[#This Row],[Act01]:[Act12]],$P$3:$AA$3)/valUnits2</f>
        <v>0</v>
      </c>
      <c r="AK1052" s="34">
        <f>IF(DB_STProjectsSOF[[#This Row],[FY Plan]]&lt;&gt;0,DB_STProjectsSOF[[#This Row],[FY Actuals]]/DB_STProjectsSOF[[#This Row],[FY Plan]],1.000011000011)</f>
        <v>0</v>
      </c>
    </row>
    <row r="1053" spans="1:37" hidden="1" x14ac:dyDescent="0.2">
      <c r="A1053">
        <f>SUBTOTAL(3,$B$6:B1053)</f>
        <v>0</v>
      </c>
      <c r="B1053" t="s">
        <v>499</v>
      </c>
      <c r="C1053" t="s">
        <v>929</v>
      </c>
      <c r="F1053">
        <v>0</v>
      </c>
      <c r="G1053">
        <v>0</v>
      </c>
      <c r="H1053">
        <v>314.13799999999998</v>
      </c>
      <c r="I1053">
        <v>0</v>
      </c>
      <c r="R1053">
        <v>0</v>
      </c>
      <c r="S1053">
        <v>0</v>
      </c>
      <c r="T1053">
        <v>310.33</v>
      </c>
      <c r="U1053">
        <v>-310.33</v>
      </c>
      <c r="AB1053" s="164">
        <v>41214</v>
      </c>
      <c r="AC1053" s="164">
        <v>41379</v>
      </c>
      <c r="AD1053" s="164">
        <v>41409</v>
      </c>
      <c r="AE1053" s="34">
        <f>SUMPRODUCT(DB_STProjectsSOF[[#This Row],[Plan01]:[Plan12]],$D$4:$O$4)/valUnits2</f>
        <v>0.31413799999999997</v>
      </c>
      <c r="AF1053" s="34">
        <f>SUMPRODUCT(DB_STProjectsSOF[[#This Row],[Act01]:[Act12]],$P$4:$AA$4)/valUnits2</f>
        <v>0</v>
      </c>
      <c r="AG1053" s="34">
        <f>DB_STProjectsSOF[[#This Row],[Actual]]-DB_STProjectsSOF[[#This Row],[Plan]]</f>
        <v>-0.31413799999999997</v>
      </c>
      <c r="AH1053" s="34">
        <f>IF(DB_STProjectsSOF[[#This Row],[Plan]]&lt;&gt;0,DB_STProjectsSOF[[#This Row],[Actual]]/DB_STProjectsSOF[[#This Row],[Plan]],1.000011000011)</f>
        <v>0</v>
      </c>
      <c r="AI1053" s="34">
        <f>SUM(DB_STProjectsSOF[[#This Row],[Plan01]:[Plan12]])/valUnits2</f>
        <v>0.31413799999999997</v>
      </c>
      <c r="AJ1053" s="34">
        <f>SUMPRODUCT(DB_STProjectsSOF[[#This Row],[Act01]:[Act12]],$P$3:$AA$3)/valUnits2</f>
        <v>0</v>
      </c>
      <c r="AK1053" s="34">
        <f>IF(DB_STProjectsSOF[[#This Row],[FY Plan]]&lt;&gt;0,DB_STProjectsSOF[[#This Row],[FY Actuals]]/DB_STProjectsSOF[[#This Row],[FY Plan]],1.000011000011)</f>
        <v>0</v>
      </c>
    </row>
    <row r="1054" spans="1:37" hidden="1" x14ac:dyDescent="0.2">
      <c r="A1054">
        <f>SUBTOTAL(3,$B$6:B1054)</f>
        <v>0</v>
      </c>
      <c r="B1054" t="s">
        <v>499</v>
      </c>
      <c r="C1054" t="s">
        <v>932</v>
      </c>
      <c r="G1054">
        <v>356.3</v>
      </c>
      <c r="H1054">
        <v>356.3</v>
      </c>
      <c r="I1054">
        <v>356.3</v>
      </c>
      <c r="J1054">
        <v>356.3</v>
      </c>
      <c r="K1054">
        <v>356.3</v>
      </c>
      <c r="L1054">
        <v>356.3</v>
      </c>
      <c r="M1054">
        <v>356.3</v>
      </c>
      <c r="N1054">
        <v>356.3</v>
      </c>
      <c r="O1054">
        <v>356.3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 s="164">
        <v>40909</v>
      </c>
      <c r="AC1054" s="164">
        <v>41274</v>
      </c>
      <c r="AD1054" s="164">
        <v>41305</v>
      </c>
      <c r="AE1054" s="34">
        <f>SUMPRODUCT(DB_STProjectsSOF[[#This Row],[Plan01]:[Plan12]],$D$4:$O$4)/valUnits2</f>
        <v>1.0689000000000002</v>
      </c>
      <c r="AF1054" s="34">
        <f>SUMPRODUCT(DB_STProjectsSOF[[#This Row],[Act01]:[Act12]],$P$4:$AA$4)/valUnits2</f>
        <v>0</v>
      </c>
      <c r="AG1054" s="34">
        <f>DB_STProjectsSOF[[#This Row],[Actual]]-DB_STProjectsSOF[[#This Row],[Plan]]</f>
        <v>-1.0689000000000002</v>
      </c>
      <c r="AH1054" s="34">
        <f>IF(DB_STProjectsSOF[[#This Row],[Plan]]&lt;&gt;0,DB_STProjectsSOF[[#This Row],[Actual]]/DB_STProjectsSOF[[#This Row],[Plan]],1.000011000011)</f>
        <v>0</v>
      </c>
      <c r="AI1054" s="34">
        <f>SUM(DB_STProjectsSOF[[#This Row],[Plan01]:[Plan12]])/valUnits2</f>
        <v>3.2067000000000005</v>
      </c>
      <c r="AJ1054" s="34">
        <f>SUMPRODUCT(DB_STProjectsSOF[[#This Row],[Act01]:[Act12]],$P$3:$AA$3)/valUnits2</f>
        <v>0</v>
      </c>
      <c r="AK1054" s="34">
        <f>IF(DB_STProjectsSOF[[#This Row],[FY Plan]]&lt;&gt;0,DB_STProjectsSOF[[#This Row],[FY Actuals]]/DB_STProjectsSOF[[#This Row],[FY Plan]],1.000011000011)</f>
        <v>0</v>
      </c>
    </row>
    <row r="1055" spans="1:37" hidden="1" x14ac:dyDescent="0.2">
      <c r="A1055">
        <f>SUBTOTAL(3,$B$6:B1055)</f>
        <v>0</v>
      </c>
      <c r="B1055" t="s">
        <v>499</v>
      </c>
      <c r="C1055" t="s">
        <v>933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 s="164">
        <v>40817</v>
      </c>
      <c r="AC1055" s="164">
        <v>42155</v>
      </c>
      <c r="AD1055" s="164">
        <v>42217</v>
      </c>
      <c r="AE1055" s="34">
        <f>SUMPRODUCT(DB_STProjectsSOF[[#This Row],[Plan01]:[Plan12]],$D$4:$O$4)/valUnits2</f>
        <v>0</v>
      </c>
      <c r="AF1055" s="34">
        <f>SUMPRODUCT(DB_STProjectsSOF[[#This Row],[Act01]:[Act12]],$P$4:$AA$4)/valUnits2</f>
        <v>0</v>
      </c>
      <c r="AG1055" s="34">
        <f>DB_STProjectsSOF[[#This Row],[Actual]]-DB_STProjectsSOF[[#This Row],[Plan]]</f>
        <v>0</v>
      </c>
      <c r="AH1055" s="34">
        <f>IF(DB_STProjectsSOF[[#This Row],[Plan]]&lt;&gt;0,DB_STProjectsSOF[[#This Row],[Actual]]/DB_STProjectsSOF[[#This Row],[Plan]],1.000011000011)</f>
        <v>1.0000110000110001</v>
      </c>
      <c r="AI1055" s="34">
        <f>SUM(DB_STProjectsSOF[[#This Row],[Plan01]:[Plan12]])/valUnits2</f>
        <v>0</v>
      </c>
      <c r="AJ1055" s="34">
        <f>SUMPRODUCT(DB_STProjectsSOF[[#This Row],[Act01]:[Act12]],$P$3:$AA$3)/valUnits2</f>
        <v>0</v>
      </c>
      <c r="AK1055" s="34">
        <f>IF(DB_STProjectsSOF[[#This Row],[FY Plan]]&lt;&gt;0,DB_STProjectsSOF[[#This Row],[FY Actuals]]/DB_STProjectsSOF[[#This Row],[FY Plan]],1.000011000011)</f>
        <v>1.0000110000110001</v>
      </c>
    </row>
    <row r="1056" spans="1:37" hidden="1" x14ac:dyDescent="0.2">
      <c r="A1056">
        <f>SUBTOTAL(3,$B$6:B1056)</f>
        <v>0</v>
      </c>
      <c r="B1056" t="s">
        <v>499</v>
      </c>
      <c r="C1056" t="s">
        <v>935</v>
      </c>
      <c r="D1056">
        <v>0</v>
      </c>
      <c r="E1056">
        <v>1269.9349999999999</v>
      </c>
      <c r="F1056">
        <v>1294.5839999999998</v>
      </c>
      <c r="G1056">
        <v>2138.3629999999998</v>
      </c>
      <c r="H1056">
        <v>1497.6220000000001</v>
      </c>
      <c r="I1056">
        <v>921.91200000000003</v>
      </c>
      <c r="J1056">
        <v>921.91200000000003</v>
      </c>
      <c r="K1056">
        <v>921.91200000000003</v>
      </c>
      <c r="L1056">
        <v>921.91200000000003</v>
      </c>
      <c r="M1056">
        <v>921.91200000000003</v>
      </c>
      <c r="N1056">
        <v>921.91200000000003</v>
      </c>
      <c r="O1056">
        <v>921.91200000000003</v>
      </c>
      <c r="P1056">
        <v>0</v>
      </c>
      <c r="Q1056">
        <v>1300.1500000000001</v>
      </c>
      <c r="R1056">
        <v>1287.3499999999999</v>
      </c>
      <c r="S1056">
        <v>2122.8999999999996</v>
      </c>
      <c r="T1056">
        <v>1527.23</v>
      </c>
      <c r="U1056">
        <v>647.79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 s="164">
        <v>41000</v>
      </c>
      <c r="AC1056" s="164">
        <v>42094</v>
      </c>
      <c r="AD1056" s="164">
        <v>42124</v>
      </c>
      <c r="AE1056" s="34">
        <f>SUMPRODUCT(DB_STProjectsSOF[[#This Row],[Plan01]:[Plan12]],$D$4:$O$4)/valUnits2</f>
        <v>7.1224160000000003</v>
      </c>
      <c r="AF1056" s="34">
        <f>SUMPRODUCT(DB_STProjectsSOF[[#This Row],[Act01]:[Act12]],$P$4:$AA$4)/valUnits2</f>
        <v>6.885419999999999</v>
      </c>
      <c r="AG1056" s="34">
        <f>DB_STProjectsSOF[[#This Row],[Actual]]-DB_STProjectsSOF[[#This Row],[Plan]]</f>
        <v>-0.23699600000000132</v>
      </c>
      <c r="AH1056" s="34">
        <f>IF(DB_STProjectsSOF[[#This Row],[Plan]]&lt;&gt;0,DB_STProjectsSOF[[#This Row],[Actual]]/DB_STProjectsSOF[[#This Row],[Plan]],1.000011000011)</f>
        <v>0.96672533589725718</v>
      </c>
      <c r="AI1056" s="34">
        <f>SUM(DB_STProjectsSOF[[#This Row],[Plan01]:[Plan12]])/valUnits2</f>
        <v>12.653888</v>
      </c>
      <c r="AJ1056" s="34">
        <f>SUMPRODUCT(DB_STProjectsSOF[[#This Row],[Act01]:[Act12]],$P$3:$AA$3)/valUnits2</f>
        <v>6.885419999999999</v>
      </c>
      <c r="AK1056" s="34">
        <f>IF(DB_STProjectsSOF[[#This Row],[FY Plan]]&lt;&gt;0,DB_STProjectsSOF[[#This Row],[FY Actuals]]/DB_STProjectsSOF[[#This Row],[FY Plan]],1.000011000011)</f>
        <v>0.54413473550579861</v>
      </c>
    </row>
    <row r="1057" spans="1:37" hidden="1" x14ac:dyDescent="0.2">
      <c r="A1057">
        <f>SUBTOTAL(3,$B$6:B1057)</f>
        <v>0</v>
      </c>
      <c r="B1057" t="s">
        <v>499</v>
      </c>
      <c r="C1057" t="s">
        <v>937</v>
      </c>
      <c r="G1057">
        <v>0</v>
      </c>
      <c r="H1057">
        <v>0</v>
      </c>
      <c r="I1057">
        <v>750</v>
      </c>
      <c r="S1057">
        <v>0</v>
      </c>
      <c r="T1057">
        <v>0</v>
      </c>
      <c r="U1057">
        <v>0</v>
      </c>
      <c r="AB1057" s="164">
        <v>41275</v>
      </c>
      <c r="AC1057" s="164">
        <v>43100</v>
      </c>
      <c r="AD1057" s="164">
        <v>43159</v>
      </c>
      <c r="AE1057" s="34">
        <f>SUMPRODUCT(DB_STProjectsSOF[[#This Row],[Plan01]:[Plan12]],$D$4:$O$4)/valUnits2</f>
        <v>0.75</v>
      </c>
      <c r="AF1057" s="34">
        <f>SUMPRODUCT(DB_STProjectsSOF[[#This Row],[Act01]:[Act12]],$P$4:$AA$4)/valUnits2</f>
        <v>0</v>
      </c>
      <c r="AG1057" s="34">
        <f>DB_STProjectsSOF[[#This Row],[Actual]]-DB_STProjectsSOF[[#This Row],[Plan]]</f>
        <v>-0.75</v>
      </c>
      <c r="AH1057" s="34">
        <f>IF(DB_STProjectsSOF[[#This Row],[Plan]]&lt;&gt;0,DB_STProjectsSOF[[#This Row],[Actual]]/DB_STProjectsSOF[[#This Row],[Plan]],1.000011000011)</f>
        <v>0</v>
      </c>
      <c r="AI1057" s="34">
        <f>SUM(DB_STProjectsSOF[[#This Row],[Plan01]:[Plan12]])/valUnits2</f>
        <v>0.75</v>
      </c>
      <c r="AJ1057" s="34">
        <f>SUMPRODUCT(DB_STProjectsSOF[[#This Row],[Act01]:[Act12]],$P$3:$AA$3)/valUnits2</f>
        <v>0</v>
      </c>
      <c r="AK1057" s="34">
        <f>IF(DB_STProjectsSOF[[#This Row],[FY Plan]]&lt;&gt;0,DB_STProjectsSOF[[#This Row],[FY Actuals]]/DB_STProjectsSOF[[#This Row],[FY Plan]],1.000011000011)</f>
        <v>0</v>
      </c>
    </row>
    <row r="1058" spans="1:37" hidden="1" x14ac:dyDescent="0.2">
      <c r="A1058">
        <f>SUBTOTAL(3,$B$6:B1058)</f>
        <v>0</v>
      </c>
      <c r="B1058" t="s">
        <v>500</v>
      </c>
      <c r="C1058" t="s">
        <v>842</v>
      </c>
      <c r="H1058">
        <v>8238.5650000000005</v>
      </c>
      <c r="I1058">
        <v>0</v>
      </c>
      <c r="T1058">
        <v>8252.3799999999992</v>
      </c>
      <c r="U1058">
        <v>2465.2399999999998</v>
      </c>
      <c r="AB1058" s="164">
        <v>41214</v>
      </c>
      <c r="AC1058" s="164">
        <v>42308</v>
      </c>
      <c r="AD1058" s="164">
        <v>42389</v>
      </c>
      <c r="AE1058" s="34">
        <f>SUMPRODUCT(DB_STProjectsSOF[[#This Row],[Plan01]:[Plan12]],$D$4:$O$4)/valUnits2</f>
        <v>8.2385650000000012</v>
      </c>
      <c r="AF1058" s="34">
        <f>SUMPRODUCT(DB_STProjectsSOF[[#This Row],[Act01]:[Act12]],$P$4:$AA$4)/valUnits2</f>
        <v>10.717619999999998</v>
      </c>
      <c r="AG1058" s="34">
        <f>DB_STProjectsSOF[[#This Row],[Actual]]-DB_STProjectsSOF[[#This Row],[Plan]]</f>
        <v>2.4790549999999971</v>
      </c>
      <c r="AH1058" s="34">
        <f>IF(DB_STProjectsSOF[[#This Row],[Plan]]&lt;&gt;0,DB_STProjectsSOF[[#This Row],[Actual]]/DB_STProjectsSOF[[#This Row],[Plan]],1.000011000011)</f>
        <v>1.3009085926978785</v>
      </c>
      <c r="AI1058" s="34">
        <f>SUM(DB_STProjectsSOF[[#This Row],[Plan01]:[Plan12]])/valUnits2</f>
        <v>8.2385650000000012</v>
      </c>
      <c r="AJ1058" s="34">
        <f>SUMPRODUCT(DB_STProjectsSOF[[#This Row],[Act01]:[Act12]],$P$3:$AA$3)/valUnits2</f>
        <v>10.717619999999998</v>
      </c>
      <c r="AK1058" s="34">
        <f>IF(DB_STProjectsSOF[[#This Row],[FY Plan]]&lt;&gt;0,DB_STProjectsSOF[[#This Row],[FY Actuals]]/DB_STProjectsSOF[[#This Row],[FY Plan]],1.000011000011)</f>
        <v>1.3009085926978785</v>
      </c>
    </row>
    <row r="1059" spans="1:37" hidden="1" x14ac:dyDescent="0.2">
      <c r="A1059">
        <f>SUBTOTAL(3,$B$6:B1059)</f>
        <v>0</v>
      </c>
      <c r="B1059" t="s">
        <v>500</v>
      </c>
      <c r="C1059" t="s">
        <v>845</v>
      </c>
      <c r="I1059">
        <v>0</v>
      </c>
      <c r="U1059">
        <v>247.09000000000003</v>
      </c>
      <c r="AB1059" s="164">
        <v>41275</v>
      </c>
      <c r="AC1059" s="164">
        <v>41639</v>
      </c>
      <c r="AD1059" s="164">
        <v>41729</v>
      </c>
      <c r="AE1059" s="34">
        <f>SUMPRODUCT(DB_STProjectsSOF[[#This Row],[Plan01]:[Plan12]],$D$4:$O$4)/valUnits2</f>
        <v>0</v>
      </c>
      <c r="AF1059" s="34">
        <f>SUMPRODUCT(DB_STProjectsSOF[[#This Row],[Act01]:[Act12]],$P$4:$AA$4)/valUnits2</f>
        <v>0.24709000000000003</v>
      </c>
      <c r="AG1059" s="34">
        <f>DB_STProjectsSOF[[#This Row],[Actual]]-DB_STProjectsSOF[[#This Row],[Plan]]</f>
        <v>0.24709000000000003</v>
      </c>
      <c r="AH1059" s="34">
        <f>IF(DB_STProjectsSOF[[#This Row],[Plan]]&lt;&gt;0,DB_STProjectsSOF[[#This Row],[Actual]]/DB_STProjectsSOF[[#This Row],[Plan]],1.000011000011)</f>
        <v>1.0000110000110001</v>
      </c>
      <c r="AI1059" s="34">
        <f>SUM(DB_STProjectsSOF[[#This Row],[Plan01]:[Plan12]])/valUnits2</f>
        <v>0</v>
      </c>
      <c r="AJ1059" s="34">
        <f>SUMPRODUCT(DB_STProjectsSOF[[#This Row],[Act01]:[Act12]],$P$3:$AA$3)/valUnits2</f>
        <v>0.24709000000000003</v>
      </c>
      <c r="AK1059" s="34">
        <f>IF(DB_STProjectsSOF[[#This Row],[FY Plan]]&lt;&gt;0,DB_STProjectsSOF[[#This Row],[FY Actuals]]/DB_STProjectsSOF[[#This Row],[FY Plan]],1.000011000011)</f>
        <v>1.0000110000110001</v>
      </c>
    </row>
    <row r="1060" spans="1:37" hidden="1" x14ac:dyDescent="0.2">
      <c r="A1060">
        <f>SUBTOTAL(3,$B$6:B1060)</f>
        <v>0</v>
      </c>
      <c r="B1060" t="s">
        <v>500</v>
      </c>
      <c r="C1060" t="s">
        <v>850</v>
      </c>
      <c r="E1060">
        <v>295.779</v>
      </c>
      <c r="G1060">
        <v>135.27500000000001</v>
      </c>
      <c r="H1060">
        <v>454.19100000000003</v>
      </c>
      <c r="I1060">
        <v>0</v>
      </c>
      <c r="Q1060">
        <v>295.77999999999997</v>
      </c>
      <c r="S1060">
        <v>136.03</v>
      </c>
      <c r="T1060">
        <v>450.25000000000006</v>
      </c>
      <c r="U1060">
        <v>155.82999999999998</v>
      </c>
      <c r="AB1060" s="164">
        <v>40817</v>
      </c>
      <c r="AC1060" s="164">
        <v>41639</v>
      </c>
      <c r="AD1060" s="164">
        <v>41820</v>
      </c>
      <c r="AE1060" s="34">
        <f>SUMPRODUCT(DB_STProjectsSOF[[#This Row],[Plan01]:[Plan12]],$D$4:$O$4)/valUnits2</f>
        <v>0.88524500000000006</v>
      </c>
      <c r="AF1060" s="34">
        <f>SUMPRODUCT(DB_STProjectsSOF[[#This Row],[Act01]:[Act12]],$P$4:$AA$4)/valUnits2</f>
        <v>1.03789</v>
      </c>
      <c r="AG1060" s="34">
        <f>DB_STProjectsSOF[[#This Row],[Actual]]-DB_STProjectsSOF[[#This Row],[Plan]]</f>
        <v>0.15264499999999992</v>
      </c>
      <c r="AH1060" s="34">
        <f>IF(DB_STProjectsSOF[[#This Row],[Plan]]&lt;&gt;0,DB_STProjectsSOF[[#This Row],[Actual]]/DB_STProjectsSOF[[#This Row],[Plan]],1.000011000011)</f>
        <v>1.1724324904404995</v>
      </c>
      <c r="AI1060" s="34">
        <f>SUM(DB_STProjectsSOF[[#This Row],[Plan01]:[Plan12]])/valUnits2</f>
        <v>0.88524500000000006</v>
      </c>
      <c r="AJ1060" s="34">
        <f>SUMPRODUCT(DB_STProjectsSOF[[#This Row],[Act01]:[Act12]],$P$3:$AA$3)/valUnits2</f>
        <v>1.03789</v>
      </c>
      <c r="AK1060" s="34">
        <f>IF(DB_STProjectsSOF[[#This Row],[FY Plan]]&lt;&gt;0,DB_STProjectsSOF[[#This Row],[FY Actuals]]/DB_STProjectsSOF[[#This Row],[FY Plan]],1.000011000011)</f>
        <v>1.1724324904404995</v>
      </c>
    </row>
    <row r="1061" spans="1:37" hidden="1" x14ac:dyDescent="0.2">
      <c r="A1061">
        <f>SUBTOTAL(3,$B$6:B1061)</f>
        <v>0</v>
      </c>
      <c r="B1061" t="s">
        <v>500</v>
      </c>
      <c r="C1061" t="s">
        <v>857</v>
      </c>
      <c r="E1061">
        <v>1317.15</v>
      </c>
      <c r="H1061">
        <v>-1317.15</v>
      </c>
      <c r="Q1061">
        <v>1317.15</v>
      </c>
      <c r="T1061">
        <v>-1317.15</v>
      </c>
      <c r="AB1061" s="164">
        <v>40909</v>
      </c>
      <c r="AC1061" s="164">
        <v>41274</v>
      </c>
      <c r="AD1061" s="164">
        <v>41364</v>
      </c>
      <c r="AE1061" s="34">
        <f>SUMPRODUCT(DB_STProjectsSOF[[#This Row],[Plan01]:[Plan12]],$D$4:$O$4)/valUnits2</f>
        <v>0</v>
      </c>
      <c r="AF1061" s="34">
        <f>SUMPRODUCT(DB_STProjectsSOF[[#This Row],[Act01]:[Act12]],$P$4:$AA$4)/valUnits2</f>
        <v>0</v>
      </c>
      <c r="AG1061" s="34">
        <f>DB_STProjectsSOF[[#This Row],[Actual]]-DB_STProjectsSOF[[#This Row],[Plan]]</f>
        <v>0</v>
      </c>
      <c r="AH1061" s="34">
        <f>IF(DB_STProjectsSOF[[#This Row],[Plan]]&lt;&gt;0,DB_STProjectsSOF[[#This Row],[Actual]]/DB_STProjectsSOF[[#This Row],[Plan]],1.000011000011)</f>
        <v>1.0000110000110001</v>
      </c>
      <c r="AI1061" s="34">
        <f>SUM(DB_STProjectsSOF[[#This Row],[Plan01]:[Plan12]])/valUnits2</f>
        <v>0</v>
      </c>
      <c r="AJ1061" s="34">
        <f>SUMPRODUCT(DB_STProjectsSOF[[#This Row],[Act01]:[Act12]],$P$3:$AA$3)/valUnits2</f>
        <v>0</v>
      </c>
      <c r="AK1061" s="34">
        <f>IF(DB_STProjectsSOF[[#This Row],[FY Plan]]&lt;&gt;0,DB_STProjectsSOF[[#This Row],[FY Actuals]]/DB_STProjectsSOF[[#This Row],[FY Plan]],1.000011000011)</f>
        <v>1.0000110000110001</v>
      </c>
    </row>
    <row r="1062" spans="1:37" hidden="1" x14ac:dyDescent="0.2">
      <c r="A1062">
        <f>SUBTOTAL(3,$B$6:B1062)</f>
        <v>0</v>
      </c>
      <c r="B1062" t="s">
        <v>500</v>
      </c>
      <c r="C1062" t="s">
        <v>858</v>
      </c>
      <c r="E1062">
        <v>5380.9</v>
      </c>
      <c r="F1062">
        <v>2770.11</v>
      </c>
      <c r="G1062">
        <v>6751.46</v>
      </c>
      <c r="H1062">
        <v>2686.63</v>
      </c>
      <c r="I1062">
        <v>0</v>
      </c>
      <c r="Q1062">
        <v>5380.9</v>
      </c>
      <c r="R1062">
        <v>2770.11</v>
      </c>
      <c r="S1062">
        <v>6751.46</v>
      </c>
      <c r="T1062">
        <v>2686.63</v>
      </c>
      <c r="U1062">
        <v>6725.9</v>
      </c>
      <c r="AB1062" s="164">
        <v>41275</v>
      </c>
      <c r="AC1062" s="164">
        <v>41639</v>
      </c>
      <c r="AD1062" s="164">
        <v>41784</v>
      </c>
      <c r="AE1062" s="34">
        <f>SUMPRODUCT(DB_STProjectsSOF[[#This Row],[Plan01]:[Plan12]],$D$4:$O$4)/valUnits2</f>
        <v>17.589100000000002</v>
      </c>
      <c r="AF1062" s="34">
        <f>SUMPRODUCT(DB_STProjectsSOF[[#This Row],[Act01]:[Act12]],$P$4:$AA$4)/valUnits2</f>
        <v>24.315000000000001</v>
      </c>
      <c r="AG1062" s="34">
        <f>DB_STProjectsSOF[[#This Row],[Actual]]-DB_STProjectsSOF[[#This Row],[Plan]]</f>
        <v>6.7258999999999993</v>
      </c>
      <c r="AH1062" s="34">
        <f>IF(DB_STProjectsSOF[[#This Row],[Plan]]&lt;&gt;0,DB_STProjectsSOF[[#This Row],[Actual]]/DB_STProjectsSOF[[#This Row],[Plan]],1.000011000011)</f>
        <v>1.3823902303130915</v>
      </c>
      <c r="AI1062" s="34">
        <f>SUM(DB_STProjectsSOF[[#This Row],[Plan01]:[Plan12]])/valUnits2</f>
        <v>17.589100000000002</v>
      </c>
      <c r="AJ1062" s="34">
        <f>SUMPRODUCT(DB_STProjectsSOF[[#This Row],[Act01]:[Act12]],$P$3:$AA$3)/valUnits2</f>
        <v>24.315000000000001</v>
      </c>
      <c r="AK1062" s="34">
        <f>IF(DB_STProjectsSOF[[#This Row],[FY Plan]]&lt;&gt;0,DB_STProjectsSOF[[#This Row],[FY Actuals]]/DB_STProjectsSOF[[#This Row],[FY Plan]],1.000011000011)</f>
        <v>1.3823902303130915</v>
      </c>
    </row>
    <row r="1063" spans="1:37" hidden="1" x14ac:dyDescent="0.2">
      <c r="A1063">
        <f>SUBTOTAL(3,$B$6:B1063)</f>
        <v>0</v>
      </c>
      <c r="B1063" t="s">
        <v>500</v>
      </c>
      <c r="C1063" t="s">
        <v>866</v>
      </c>
      <c r="D1063">
        <v>321.63000000000005</v>
      </c>
      <c r="E1063">
        <v>4656.43</v>
      </c>
      <c r="F1063">
        <v>2266.54</v>
      </c>
      <c r="G1063">
        <v>8153.9299999999994</v>
      </c>
      <c r="H1063">
        <v>1535.79</v>
      </c>
      <c r="I1063">
        <v>0</v>
      </c>
      <c r="P1063">
        <v>321.63</v>
      </c>
      <c r="Q1063">
        <v>4656.4299999999994</v>
      </c>
      <c r="R1063">
        <v>2266.54</v>
      </c>
      <c r="S1063">
        <v>8153.93</v>
      </c>
      <c r="T1063">
        <v>1535.79</v>
      </c>
      <c r="U1063">
        <v>6659.33</v>
      </c>
      <c r="AB1063" s="164">
        <v>41275</v>
      </c>
      <c r="AC1063" s="164">
        <v>41639</v>
      </c>
      <c r="AD1063" s="164">
        <v>41760</v>
      </c>
      <c r="AE1063" s="34">
        <f>SUMPRODUCT(DB_STProjectsSOF[[#This Row],[Plan01]:[Plan12]],$D$4:$O$4)/valUnits2</f>
        <v>16.93432</v>
      </c>
      <c r="AF1063" s="34">
        <f>SUMPRODUCT(DB_STProjectsSOF[[#This Row],[Act01]:[Act12]],$P$4:$AA$4)/valUnits2</f>
        <v>23.59365</v>
      </c>
      <c r="AG1063" s="34">
        <f>DB_STProjectsSOF[[#This Row],[Actual]]-DB_STProjectsSOF[[#This Row],[Plan]]</f>
        <v>6.6593300000000006</v>
      </c>
      <c r="AH1063" s="34">
        <f>IF(DB_STProjectsSOF[[#This Row],[Plan]]&lt;&gt;0,DB_STProjectsSOF[[#This Row],[Actual]]/DB_STProjectsSOF[[#This Row],[Plan]],1.000011000011)</f>
        <v>1.3932446062197952</v>
      </c>
      <c r="AI1063" s="34">
        <f>SUM(DB_STProjectsSOF[[#This Row],[Plan01]:[Plan12]])/valUnits2</f>
        <v>16.93432</v>
      </c>
      <c r="AJ1063" s="34">
        <f>SUMPRODUCT(DB_STProjectsSOF[[#This Row],[Act01]:[Act12]],$P$3:$AA$3)/valUnits2</f>
        <v>23.59365</v>
      </c>
      <c r="AK1063" s="34">
        <f>IF(DB_STProjectsSOF[[#This Row],[FY Plan]]&lt;&gt;0,DB_STProjectsSOF[[#This Row],[FY Actuals]]/DB_STProjectsSOF[[#This Row],[FY Plan]],1.000011000011)</f>
        <v>1.3932446062197952</v>
      </c>
    </row>
    <row r="1064" spans="1:37" hidden="1" x14ac:dyDescent="0.2">
      <c r="A1064">
        <f>SUBTOTAL(3,$B$6:B1064)</f>
        <v>0</v>
      </c>
      <c r="B1064" t="s">
        <v>500</v>
      </c>
      <c r="C1064" t="s">
        <v>869</v>
      </c>
      <c r="D1064">
        <v>0</v>
      </c>
      <c r="E1064">
        <v>547.75</v>
      </c>
      <c r="F1064">
        <v>581.37</v>
      </c>
      <c r="G1064">
        <v>454.78</v>
      </c>
      <c r="H1064">
        <v>214.71</v>
      </c>
      <c r="I1064">
        <v>245</v>
      </c>
      <c r="J1064">
        <v>245</v>
      </c>
      <c r="K1064">
        <v>245</v>
      </c>
      <c r="L1064">
        <v>245</v>
      </c>
      <c r="M1064">
        <v>245</v>
      </c>
      <c r="N1064">
        <v>245</v>
      </c>
      <c r="O1064">
        <v>245</v>
      </c>
      <c r="P1064">
        <v>0</v>
      </c>
      <c r="Q1064">
        <v>547.75</v>
      </c>
      <c r="R1064">
        <v>581.37</v>
      </c>
      <c r="S1064">
        <v>454.78000000000003</v>
      </c>
      <c r="T1064">
        <v>214.71</v>
      </c>
      <c r="U1064">
        <v>245.22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 s="164">
        <v>40817</v>
      </c>
      <c r="AC1064" s="164">
        <v>42155</v>
      </c>
      <c r="AD1064" s="164">
        <v>42217</v>
      </c>
      <c r="AE1064" s="34">
        <f>SUMPRODUCT(DB_STProjectsSOF[[#This Row],[Plan01]:[Plan12]],$D$4:$O$4)/valUnits2</f>
        <v>2.0436099999999997</v>
      </c>
      <c r="AF1064" s="34">
        <f>SUMPRODUCT(DB_STProjectsSOF[[#This Row],[Act01]:[Act12]],$P$4:$AA$4)/valUnits2</f>
        <v>2.0438299999999998</v>
      </c>
      <c r="AG1064" s="34">
        <f>DB_STProjectsSOF[[#This Row],[Actual]]-DB_STProjectsSOF[[#This Row],[Plan]]</f>
        <v>2.20000000000109E-4</v>
      </c>
      <c r="AH1064" s="34">
        <f>IF(DB_STProjectsSOF[[#This Row],[Plan]]&lt;&gt;0,DB_STProjectsSOF[[#This Row],[Actual]]/DB_STProjectsSOF[[#This Row],[Plan]],1.000011000011)</f>
        <v>1.0001076526343089</v>
      </c>
      <c r="AI1064" s="34">
        <f>SUM(DB_STProjectsSOF[[#This Row],[Plan01]:[Plan12]])/valUnits2</f>
        <v>3.5136099999999995</v>
      </c>
      <c r="AJ1064" s="34">
        <f>SUMPRODUCT(DB_STProjectsSOF[[#This Row],[Act01]:[Act12]],$P$3:$AA$3)/valUnits2</f>
        <v>2.0438299999999998</v>
      </c>
      <c r="AK1064" s="34">
        <f>IF(DB_STProjectsSOF[[#This Row],[FY Plan]]&lt;&gt;0,DB_STProjectsSOF[[#This Row],[FY Actuals]]/DB_STProjectsSOF[[#This Row],[FY Plan]],1.000011000011)</f>
        <v>0.5816894874502293</v>
      </c>
    </row>
    <row r="1065" spans="1:37" hidden="1" x14ac:dyDescent="0.2">
      <c r="A1065">
        <f>SUBTOTAL(3,$B$6:B1065)</f>
        <v>0</v>
      </c>
      <c r="B1065" t="s">
        <v>500</v>
      </c>
      <c r="C1065" t="s">
        <v>882</v>
      </c>
      <c r="D1065">
        <v>399.35500000000002</v>
      </c>
      <c r="G1065">
        <v>694.07400000000007</v>
      </c>
      <c r="H1065">
        <v>862.42700000000002</v>
      </c>
      <c r="I1065">
        <v>0</v>
      </c>
      <c r="P1065">
        <v>393.45</v>
      </c>
      <c r="S1065">
        <v>688.18999999999994</v>
      </c>
      <c r="T1065">
        <v>866.81999999999994</v>
      </c>
      <c r="U1065">
        <v>476.15000000000003</v>
      </c>
      <c r="AB1065" s="164">
        <v>40817</v>
      </c>
      <c r="AC1065" s="164">
        <v>41913</v>
      </c>
      <c r="AD1065" s="164">
        <v>42005</v>
      </c>
      <c r="AE1065" s="34">
        <f>SUMPRODUCT(DB_STProjectsSOF[[#This Row],[Plan01]:[Plan12]],$D$4:$O$4)/valUnits2</f>
        <v>1.9558560000000003</v>
      </c>
      <c r="AF1065" s="34">
        <f>SUMPRODUCT(DB_STProjectsSOF[[#This Row],[Act01]:[Act12]],$P$4:$AA$4)/valUnits2</f>
        <v>2.4246099999999995</v>
      </c>
      <c r="AG1065" s="34">
        <f>DB_STProjectsSOF[[#This Row],[Actual]]-DB_STProjectsSOF[[#This Row],[Plan]]</f>
        <v>0.46875399999999923</v>
      </c>
      <c r="AH1065" s="34">
        <f>IF(DB_STProjectsSOF[[#This Row],[Plan]]&lt;&gt;0,DB_STProjectsSOF[[#This Row],[Actual]]/DB_STProjectsSOF[[#This Row],[Plan]],1.000011000011)</f>
        <v>1.2396669284446293</v>
      </c>
      <c r="AI1065" s="34">
        <f>SUM(DB_STProjectsSOF[[#This Row],[Plan01]:[Plan12]])/valUnits2</f>
        <v>1.9558560000000003</v>
      </c>
      <c r="AJ1065" s="34">
        <f>SUMPRODUCT(DB_STProjectsSOF[[#This Row],[Act01]:[Act12]],$P$3:$AA$3)/valUnits2</f>
        <v>2.4246099999999995</v>
      </c>
      <c r="AK1065" s="34">
        <f>IF(DB_STProjectsSOF[[#This Row],[FY Plan]]&lt;&gt;0,DB_STProjectsSOF[[#This Row],[FY Actuals]]/DB_STProjectsSOF[[#This Row],[FY Plan]],1.000011000011)</f>
        <v>1.2396669284446293</v>
      </c>
    </row>
    <row r="1066" spans="1:37" hidden="1" x14ac:dyDescent="0.2">
      <c r="A1066">
        <f>SUBTOTAL(3,$B$6:B1066)</f>
        <v>0</v>
      </c>
      <c r="B1066" t="s">
        <v>500</v>
      </c>
      <c r="C1066" t="s">
        <v>883</v>
      </c>
      <c r="D1066">
        <v>61.866999999999997</v>
      </c>
      <c r="E1066">
        <v>1155.296</v>
      </c>
      <c r="G1066">
        <v>2712.2809999999999</v>
      </c>
      <c r="H1066">
        <v>1213.635</v>
      </c>
      <c r="I1066">
        <v>0</v>
      </c>
      <c r="P1066">
        <v>62.19</v>
      </c>
      <c r="Q1066">
        <v>1181.02</v>
      </c>
      <c r="S1066">
        <v>2656.9</v>
      </c>
      <c r="T1066">
        <v>1211.24</v>
      </c>
      <c r="U1066">
        <v>1324.36</v>
      </c>
      <c r="AB1066" s="164">
        <v>40940</v>
      </c>
      <c r="AC1066" s="164">
        <v>41639</v>
      </c>
      <c r="AD1066" s="164">
        <v>41698</v>
      </c>
      <c r="AE1066" s="34">
        <f>SUMPRODUCT(DB_STProjectsSOF[[#This Row],[Plan01]:[Plan12]],$D$4:$O$4)/valUnits2</f>
        <v>5.1430789999999993</v>
      </c>
      <c r="AF1066" s="34">
        <f>SUMPRODUCT(DB_STProjectsSOF[[#This Row],[Act01]:[Act12]],$P$4:$AA$4)/valUnits2</f>
        <v>6.4357100000000003</v>
      </c>
      <c r="AG1066" s="34">
        <f>DB_STProjectsSOF[[#This Row],[Actual]]-DB_STProjectsSOF[[#This Row],[Plan]]</f>
        <v>1.292631000000001</v>
      </c>
      <c r="AH1066" s="34">
        <f>IF(DB_STProjectsSOF[[#This Row],[Plan]]&lt;&gt;0,DB_STProjectsSOF[[#This Row],[Actual]]/DB_STProjectsSOF[[#This Row],[Plan]],1.000011000011)</f>
        <v>1.2513340743939576</v>
      </c>
      <c r="AI1066" s="34">
        <f>SUM(DB_STProjectsSOF[[#This Row],[Plan01]:[Plan12]])/valUnits2</f>
        <v>5.1430789999999993</v>
      </c>
      <c r="AJ1066" s="34">
        <f>SUMPRODUCT(DB_STProjectsSOF[[#This Row],[Act01]:[Act12]],$P$3:$AA$3)/valUnits2</f>
        <v>6.4357100000000003</v>
      </c>
      <c r="AK1066" s="34">
        <f>IF(DB_STProjectsSOF[[#This Row],[FY Plan]]&lt;&gt;0,DB_STProjectsSOF[[#This Row],[FY Actuals]]/DB_STProjectsSOF[[#This Row],[FY Plan]],1.000011000011)</f>
        <v>1.2513340743939576</v>
      </c>
    </row>
    <row r="1067" spans="1:37" hidden="1" x14ac:dyDescent="0.2">
      <c r="A1067">
        <f>SUBTOTAL(3,$B$6:B1067)</f>
        <v>0</v>
      </c>
      <c r="B1067" t="s">
        <v>500</v>
      </c>
      <c r="C1067" t="s">
        <v>885</v>
      </c>
      <c r="E1067">
        <v>295.779</v>
      </c>
      <c r="G1067">
        <v>315.64499999999998</v>
      </c>
      <c r="H1067">
        <v>1059.7750000000001</v>
      </c>
      <c r="I1067">
        <v>0</v>
      </c>
      <c r="Q1067">
        <v>295.77999999999997</v>
      </c>
      <c r="S1067">
        <v>317.41999999999996</v>
      </c>
      <c r="T1067">
        <v>1050.54</v>
      </c>
      <c r="U1067">
        <v>363.62</v>
      </c>
      <c r="AB1067" s="164">
        <v>40817</v>
      </c>
      <c r="AC1067" s="164">
        <v>41639</v>
      </c>
      <c r="AD1067" s="164">
        <v>41820</v>
      </c>
      <c r="AE1067" s="34">
        <f>SUMPRODUCT(DB_STProjectsSOF[[#This Row],[Plan01]:[Plan12]],$D$4:$O$4)/valUnits2</f>
        <v>1.6711990000000001</v>
      </c>
      <c r="AF1067" s="34">
        <f>SUMPRODUCT(DB_STProjectsSOF[[#This Row],[Act01]:[Act12]],$P$4:$AA$4)/valUnits2</f>
        <v>2.0273599999999998</v>
      </c>
      <c r="AG1067" s="34">
        <f>DB_STProjectsSOF[[#This Row],[Actual]]-DB_STProjectsSOF[[#This Row],[Plan]]</f>
        <v>0.35616099999999973</v>
      </c>
      <c r="AH1067" s="34">
        <f>IF(DB_STProjectsSOF[[#This Row],[Plan]]&lt;&gt;0,DB_STProjectsSOF[[#This Row],[Actual]]/DB_STProjectsSOF[[#This Row],[Plan]],1.000011000011)</f>
        <v>1.2131170494956014</v>
      </c>
      <c r="AI1067" s="34">
        <f>SUM(DB_STProjectsSOF[[#This Row],[Plan01]:[Plan12]])/valUnits2</f>
        <v>1.6711990000000001</v>
      </c>
      <c r="AJ1067" s="34">
        <f>SUMPRODUCT(DB_STProjectsSOF[[#This Row],[Act01]:[Act12]],$P$3:$AA$3)/valUnits2</f>
        <v>2.0273599999999998</v>
      </c>
      <c r="AK1067" s="34">
        <f>IF(DB_STProjectsSOF[[#This Row],[FY Plan]]&lt;&gt;0,DB_STProjectsSOF[[#This Row],[FY Actuals]]/DB_STProjectsSOF[[#This Row],[FY Plan]],1.000011000011)</f>
        <v>1.2131170494956014</v>
      </c>
    </row>
    <row r="1068" spans="1:37" hidden="1" x14ac:dyDescent="0.2">
      <c r="A1068">
        <f>SUBTOTAL(3,$B$6:B1068)</f>
        <v>0</v>
      </c>
      <c r="B1068" t="s">
        <v>500</v>
      </c>
      <c r="C1068" t="s">
        <v>891</v>
      </c>
      <c r="I1068">
        <v>0</v>
      </c>
      <c r="U1068">
        <v>428.56000000000006</v>
      </c>
      <c r="AB1068" s="164">
        <v>41214</v>
      </c>
      <c r="AC1068" s="164">
        <v>42308</v>
      </c>
      <c r="AD1068" s="164">
        <v>42389</v>
      </c>
      <c r="AE1068" s="34">
        <f>SUMPRODUCT(DB_STProjectsSOF[[#This Row],[Plan01]:[Plan12]],$D$4:$O$4)/valUnits2</f>
        <v>0</v>
      </c>
      <c r="AF1068" s="34">
        <f>SUMPRODUCT(DB_STProjectsSOF[[#This Row],[Act01]:[Act12]],$P$4:$AA$4)/valUnits2</f>
        <v>0.42856000000000005</v>
      </c>
      <c r="AG1068" s="34">
        <f>DB_STProjectsSOF[[#This Row],[Actual]]-DB_STProjectsSOF[[#This Row],[Plan]]</f>
        <v>0.42856000000000005</v>
      </c>
      <c r="AH1068" s="34">
        <f>IF(DB_STProjectsSOF[[#This Row],[Plan]]&lt;&gt;0,DB_STProjectsSOF[[#This Row],[Actual]]/DB_STProjectsSOF[[#This Row],[Plan]],1.000011000011)</f>
        <v>1.0000110000110001</v>
      </c>
      <c r="AI1068" s="34">
        <f>SUM(DB_STProjectsSOF[[#This Row],[Plan01]:[Plan12]])/valUnits2</f>
        <v>0</v>
      </c>
      <c r="AJ1068" s="34">
        <f>SUMPRODUCT(DB_STProjectsSOF[[#This Row],[Act01]:[Act12]],$P$3:$AA$3)/valUnits2</f>
        <v>0.42856000000000005</v>
      </c>
      <c r="AK1068" s="34">
        <f>IF(DB_STProjectsSOF[[#This Row],[FY Plan]]&lt;&gt;0,DB_STProjectsSOF[[#This Row],[FY Actuals]]/DB_STProjectsSOF[[#This Row],[FY Plan]],1.000011000011)</f>
        <v>1.0000110000110001</v>
      </c>
    </row>
    <row r="1069" spans="1:37" hidden="1" x14ac:dyDescent="0.2">
      <c r="A1069">
        <f>SUBTOTAL(3,$B$6:B1069)</f>
        <v>0</v>
      </c>
      <c r="B1069" t="s">
        <v>500</v>
      </c>
      <c r="C1069" t="s">
        <v>895</v>
      </c>
      <c r="E1069">
        <v>311.18400000000003</v>
      </c>
      <c r="F1069">
        <v>307.41800000000001</v>
      </c>
      <c r="G1069">
        <v>462.71100000000001</v>
      </c>
      <c r="H1069">
        <v>574.93100000000004</v>
      </c>
      <c r="I1069">
        <v>0</v>
      </c>
      <c r="Q1069">
        <v>317.70999999999998</v>
      </c>
      <c r="R1069">
        <v>310.2</v>
      </c>
      <c r="S1069">
        <v>458.78999999999996</v>
      </c>
      <c r="T1069">
        <v>577.86</v>
      </c>
      <c r="U1069">
        <v>317.43</v>
      </c>
      <c r="AB1069" s="164">
        <v>40553</v>
      </c>
      <c r="AC1069" s="164">
        <v>41897</v>
      </c>
      <c r="AD1069" s="164">
        <v>41988</v>
      </c>
      <c r="AE1069" s="34">
        <f>SUMPRODUCT(DB_STProjectsSOF[[#This Row],[Plan01]:[Plan12]],$D$4:$O$4)/valUnits2</f>
        <v>1.656244</v>
      </c>
      <c r="AF1069" s="34">
        <f>SUMPRODUCT(DB_STProjectsSOF[[#This Row],[Act01]:[Act12]],$P$4:$AA$4)/valUnits2</f>
        <v>1.9819899999999999</v>
      </c>
      <c r="AG1069" s="34">
        <f>DB_STProjectsSOF[[#This Row],[Actual]]-DB_STProjectsSOF[[#This Row],[Plan]]</f>
        <v>0.32574599999999987</v>
      </c>
      <c r="AH1069" s="34">
        <f>IF(DB_STProjectsSOF[[#This Row],[Plan]]&lt;&gt;0,DB_STProjectsSOF[[#This Row],[Actual]]/DB_STProjectsSOF[[#This Row],[Plan]],1.000011000011)</f>
        <v>1.1966775426809093</v>
      </c>
      <c r="AI1069" s="34">
        <f>SUM(DB_STProjectsSOF[[#This Row],[Plan01]:[Plan12]])/valUnits2</f>
        <v>1.656244</v>
      </c>
      <c r="AJ1069" s="34">
        <f>SUMPRODUCT(DB_STProjectsSOF[[#This Row],[Act01]:[Act12]],$P$3:$AA$3)/valUnits2</f>
        <v>1.9819899999999999</v>
      </c>
      <c r="AK1069" s="34">
        <f>IF(DB_STProjectsSOF[[#This Row],[FY Plan]]&lt;&gt;0,DB_STProjectsSOF[[#This Row],[FY Actuals]]/DB_STProjectsSOF[[#This Row],[FY Plan]],1.000011000011)</f>
        <v>1.1966775426809093</v>
      </c>
    </row>
    <row r="1070" spans="1:37" hidden="1" x14ac:dyDescent="0.2">
      <c r="A1070">
        <f>SUBTOTAL(3,$B$6:B1070)</f>
        <v>0</v>
      </c>
      <c r="B1070" t="s">
        <v>500</v>
      </c>
      <c r="C1070" t="s">
        <v>896</v>
      </c>
      <c r="E1070">
        <v>304.755</v>
      </c>
      <c r="G1070">
        <v>450.93299999999999</v>
      </c>
      <c r="H1070">
        <v>1513.953</v>
      </c>
      <c r="I1070">
        <v>0</v>
      </c>
      <c r="Q1070">
        <v>304.76</v>
      </c>
      <c r="S1070">
        <v>453.46</v>
      </c>
      <c r="T1070">
        <v>1500.78</v>
      </c>
      <c r="U1070">
        <v>155.82999999999998</v>
      </c>
      <c r="AB1070" s="164">
        <v>40817</v>
      </c>
      <c r="AC1070" s="164">
        <v>41639</v>
      </c>
      <c r="AD1070" s="164">
        <v>41820</v>
      </c>
      <c r="AE1070" s="34">
        <f>SUMPRODUCT(DB_STProjectsSOF[[#This Row],[Plan01]:[Plan12]],$D$4:$O$4)/valUnits2</f>
        <v>2.269641</v>
      </c>
      <c r="AF1070" s="34">
        <f>SUMPRODUCT(DB_STProjectsSOF[[#This Row],[Act01]:[Act12]],$P$4:$AA$4)/valUnits2</f>
        <v>2.4148299999999998</v>
      </c>
      <c r="AG1070" s="34">
        <f>DB_STProjectsSOF[[#This Row],[Actual]]-DB_STProjectsSOF[[#This Row],[Plan]]</f>
        <v>0.14518899999999979</v>
      </c>
      <c r="AH1070" s="34">
        <f>IF(DB_STProjectsSOF[[#This Row],[Plan]]&lt;&gt;0,DB_STProjectsSOF[[#This Row],[Actual]]/DB_STProjectsSOF[[#This Row],[Plan]],1.000011000011)</f>
        <v>1.0639700287402281</v>
      </c>
      <c r="AI1070" s="34">
        <f>SUM(DB_STProjectsSOF[[#This Row],[Plan01]:[Plan12]])/valUnits2</f>
        <v>2.269641</v>
      </c>
      <c r="AJ1070" s="34">
        <f>SUMPRODUCT(DB_STProjectsSOF[[#This Row],[Act01]:[Act12]],$P$3:$AA$3)/valUnits2</f>
        <v>2.4148299999999998</v>
      </c>
      <c r="AK1070" s="34">
        <f>IF(DB_STProjectsSOF[[#This Row],[FY Plan]]&lt;&gt;0,DB_STProjectsSOF[[#This Row],[FY Actuals]]/DB_STProjectsSOF[[#This Row],[FY Plan]],1.000011000011)</f>
        <v>1.0639700287402281</v>
      </c>
    </row>
    <row r="1071" spans="1:37" hidden="1" x14ac:dyDescent="0.2">
      <c r="A1071">
        <f>SUBTOTAL(3,$B$6:B1071)</f>
        <v>0</v>
      </c>
      <c r="B1071" t="s">
        <v>500</v>
      </c>
      <c r="C1071" t="s">
        <v>909</v>
      </c>
      <c r="E1071">
        <v>820.35</v>
      </c>
      <c r="F1071">
        <v>829.97</v>
      </c>
      <c r="G1071">
        <v>113.69</v>
      </c>
      <c r="H1071">
        <v>53.68</v>
      </c>
      <c r="I1071">
        <v>0</v>
      </c>
      <c r="Q1071">
        <v>820.35</v>
      </c>
      <c r="R1071">
        <v>829.97</v>
      </c>
      <c r="S1071">
        <v>113.69</v>
      </c>
      <c r="T1071">
        <v>53.68</v>
      </c>
      <c r="U1071">
        <v>61.3</v>
      </c>
      <c r="AB1071" s="164">
        <v>40817</v>
      </c>
      <c r="AC1071" s="164">
        <v>42155</v>
      </c>
      <c r="AD1071" s="164">
        <v>42217</v>
      </c>
      <c r="AE1071" s="34">
        <f>SUMPRODUCT(DB_STProjectsSOF[[#This Row],[Plan01]:[Plan12]],$D$4:$O$4)/valUnits2</f>
        <v>1.8176900000000002</v>
      </c>
      <c r="AF1071" s="34">
        <f>SUMPRODUCT(DB_STProjectsSOF[[#This Row],[Act01]:[Act12]],$P$4:$AA$4)/valUnits2</f>
        <v>1.8789900000000002</v>
      </c>
      <c r="AG1071" s="34">
        <f>DB_STProjectsSOF[[#This Row],[Actual]]-DB_STProjectsSOF[[#This Row],[Plan]]</f>
        <v>6.129999999999991E-2</v>
      </c>
      <c r="AH1071" s="34">
        <f>IF(DB_STProjectsSOF[[#This Row],[Plan]]&lt;&gt;0,DB_STProjectsSOF[[#This Row],[Actual]]/DB_STProjectsSOF[[#This Row],[Plan]],1.000011000011)</f>
        <v>1.0337241223751024</v>
      </c>
      <c r="AI1071" s="34">
        <f>SUM(DB_STProjectsSOF[[#This Row],[Plan01]:[Plan12]])/valUnits2</f>
        <v>1.8176900000000002</v>
      </c>
      <c r="AJ1071" s="34">
        <f>SUMPRODUCT(DB_STProjectsSOF[[#This Row],[Act01]:[Act12]],$P$3:$AA$3)/valUnits2</f>
        <v>1.8789900000000002</v>
      </c>
      <c r="AK1071" s="34">
        <f>IF(DB_STProjectsSOF[[#This Row],[FY Plan]]&lt;&gt;0,DB_STProjectsSOF[[#This Row],[FY Actuals]]/DB_STProjectsSOF[[#This Row],[FY Plan]],1.000011000011)</f>
        <v>1.0337241223751024</v>
      </c>
    </row>
    <row r="1072" spans="1:37" hidden="1" x14ac:dyDescent="0.2">
      <c r="A1072">
        <f>SUBTOTAL(3,$B$6:B1072)</f>
        <v>0</v>
      </c>
      <c r="B1072" t="s">
        <v>500</v>
      </c>
      <c r="C1072" t="s">
        <v>915</v>
      </c>
      <c r="H1072">
        <v>2423.7060000000001</v>
      </c>
      <c r="I1072">
        <v>0</v>
      </c>
      <c r="T1072">
        <v>2490.4299999999998</v>
      </c>
      <c r="U1072">
        <v>674.41</v>
      </c>
      <c r="AB1072" s="164">
        <v>41061</v>
      </c>
      <c r="AC1072" s="164">
        <v>42155</v>
      </c>
      <c r="AD1072" s="164">
        <v>42185</v>
      </c>
      <c r="AE1072" s="34">
        <f>SUMPRODUCT(DB_STProjectsSOF[[#This Row],[Plan01]:[Plan12]],$D$4:$O$4)/valUnits2</f>
        <v>2.4237060000000001</v>
      </c>
      <c r="AF1072" s="34">
        <f>SUMPRODUCT(DB_STProjectsSOF[[#This Row],[Act01]:[Act12]],$P$4:$AA$4)/valUnits2</f>
        <v>3.1648399999999999</v>
      </c>
      <c r="AG1072" s="34">
        <f>DB_STProjectsSOF[[#This Row],[Actual]]-DB_STProjectsSOF[[#This Row],[Plan]]</f>
        <v>0.74113399999999974</v>
      </c>
      <c r="AH1072" s="34">
        <f>IF(DB_STProjectsSOF[[#This Row],[Plan]]&lt;&gt;0,DB_STProjectsSOF[[#This Row],[Actual]]/DB_STProjectsSOF[[#This Row],[Plan]],1.000011000011)</f>
        <v>1.3057854376727209</v>
      </c>
      <c r="AI1072" s="34">
        <f>SUM(DB_STProjectsSOF[[#This Row],[Plan01]:[Plan12]])/valUnits2</f>
        <v>2.4237060000000001</v>
      </c>
      <c r="AJ1072" s="34">
        <f>SUMPRODUCT(DB_STProjectsSOF[[#This Row],[Act01]:[Act12]],$P$3:$AA$3)/valUnits2</f>
        <v>3.1648399999999999</v>
      </c>
      <c r="AK1072" s="34">
        <f>IF(DB_STProjectsSOF[[#This Row],[FY Plan]]&lt;&gt;0,DB_STProjectsSOF[[#This Row],[FY Actuals]]/DB_STProjectsSOF[[#This Row],[FY Plan]],1.000011000011)</f>
        <v>1.3057854376727209</v>
      </c>
    </row>
    <row r="1073" spans="1:37" hidden="1" x14ac:dyDescent="0.2">
      <c r="A1073">
        <f>SUBTOTAL(3,$B$6:B1073)</f>
        <v>0</v>
      </c>
      <c r="B1073" t="s">
        <v>500</v>
      </c>
      <c r="C1073" t="s">
        <v>927</v>
      </c>
      <c r="E1073">
        <v>109.85</v>
      </c>
      <c r="F1073">
        <v>126.36999999999999</v>
      </c>
      <c r="G1073">
        <v>227.38</v>
      </c>
      <c r="H1073">
        <v>107.33999999999999</v>
      </c>
      <c r="I1073">
        <v>0</v>
      </c>
      <c r="Q1073">
        <v>109.85</v>
      </c>
      <c r="R1073">
        <v>126.36999999999999</v>
      </c>
      <c r="S1073">
        <v>227.38</v>
      </c>
      <c r="T1073">
        <v>107.33999999999999</v>
      </c>
      <c r="U1073">
        <v>122.6</v>
      </c>
      <c r="AB1073" s="164">
        <v>40817</v>
      </c>
      <c r="AC1073" s="164">
        <v>42052</v>
      </c>
      <c r="AD1073" s="164">
        <v>42141</v>
      </c>
      <c r="AE1073" s="34">
        <f>SUMPRODUCT(DB_STProjectsSOF[[#This Row],[Plan01]:[Plan12]],$D$4:$O$4)/valUnits2</f>
        <v>0.57093999999999989</v>
      </c>
      <c r="AF1073" s="34">
        <f>SUMPRODUCT(DB_STProjectsSOF[[#This Row],[Act01]:[Act12]],$P$4:$AA$4)/valUnits2</f>
        <v>0.69353999999999993</v>
      </c>
      <c r="AG1073" s="34">
        <f>DB_STProjectsSOF[[#This Row],[Actual]]-DB_STProjectsSOF[[#This Row],[Plan]]</f>
        <v>0.12260000000000004</v>
      </c>
      <c r="AH1073" s="34">
        <f>IF(DB_STProjectsSOF[[#This Row],[Plan]]&lt;&gt;0,DB_STProjectsSOF[[#This Row],[Actual]]/DB_STProjectsSOF[[#This Row],[Plan]],1.000011000011)</f>
        <v>1.2147335972256281</v>
      </c>
      <c r="AI1073" s="34">
        <f>SUM(DB_STProjectsSOF[[#This Row],[Plan01]:[Plan12]])/valUnits2</f>
        <v>0.57093999999999989</v>
      </c>
      <c r="AJ1073" s="34">
        <f>SUMPRODUCT(DB_STProjectsSOF[[#This Row],[Act01]:[Act12]],$P$3:$AA$3)/valUnits2</f>
        <v>0.69353999999999993</v>
      </c>
      <c r="AK1073" s="34">
        <f>IF(DB_STProjectsSOF[[#This Row],[FY Plan]]&lt;&gt;0,DB_STProjectsSOF[[#This Row],[FY Actuals]]/DB_STProjectsSOF[[#This Row],[FY Plan]],1.000011000011)</f>
        <v>1.2147335972256281</v>
      </c>
    </row>
    <row r="1074" spans="1:37" hidden="1" x14ac:dyDescent="0.2">
      <c r="A1074">
        <f>SUBTOTAL(3,$B$6:B1074)</f>
        <v>0</v>
      </c>
      <c r="B1074" t="s">
        <v>500</v>
      </c>
      <c r="C1074" t="s">
        <v>930</v>
      </c>
      <c r="E1074">
        <v>164.76</v>
      </c>
      <c r="F1074">
        <v>189.54</v>
      </c>
      <c r="G1074">
        <v>341.06</v>
      </c>
      <c r="H1074">
        <v>331.71</v>
      </c>
      <c r="I1074">
        <v>0</v>
      </c>
      <c r="Q1074">
        <v>164.76</v>
      </c>
      <c r="R1074">
        <v>189.54000000000002</v>
      </c>
      <c r="S1074">
        <v>341.06</v>
      </c>
      <c r="T1074">
        <v>331.71</v>
      </c>
      <c r="U1074">
        <v>183.9</v>
      </c>
      <c r="AB1074" s="164">
        <v>40848</v>
      </c>
      <c r="AC1074" s="164">
        <v>41729</v>
      </c>
      <c r="AD1074" s="164">
        <v>41654</v>
      </c>
      <c r="AE1074" s="34">
        <f>SUMPRODUCT(DB_STProjectsSOF[[#This Row],[Plan01]:[Plan12]],$D$4:$O$4)/valUnits2</f>
        <v>1.0270699999999999</v>
      </c>
      <c r="AF1074" s="34">
        <f>SUMPRODUCT(DB_STProjectsSOF[[#This Row],[Act01]:[Act12]],$P$4:$AA$4)/valUnits2</f>
        <v>1.2109700000000001</v>
      </c>
      <c r="AG1074" s="34">
        <f>DB_STProjectsSOF[[#This Row],[Actual]]-DB_STProjectsSOF[[#This Row],[Plan]]</f>
        <v>0.18390000000000017</v>
      </c>
      <c r="AH1074" s="34">
        <f>IF(DB_STProjectsSOF[[#This Row],[Plan]]&lt;&gt;0,DB_STProjectsSOF[[#This Row],[Actual]]/DB_STProjectsSOF[[#This Row],[Plan]],1.000011000011)</f>
        <v>1.1790530343598782</v>
      </c>
      <c r="AI1074" s="34">
        <f>SUM(DB_STProjectsSOF[[#This Row],[Plan01]:[Plan12]])/valUnits2</f>
        <v>1.0270699999999999</v>
      </c>
      <c r="AJ1074" s="34">
        <f>SUMPRODUCT(DB_STProjectsSOF[[#This Row],[Act01]:[Act12]],$P$3:$AA$3)/valUnits2</f>
        <v>1.2109700000000001</v>
      </c>
      <c r="AK1074" s="34">
        <f>IF(DB_STProjectsSOF[[#This Row],[FY Plan]]&lt;&gt;0,DB_STProjectsSOF[[#This Row],[FY Actuals]]/DB_STProjectsSOF[[#This Row],[FY Plan]],1.000011000011)</f>
        <v>1.1790530343598782</v>
      </c>
    </row>
    <row r="1075" spans="1:37" hidden="1" x14ac:dyDescent="0.2">
      <c r="A1075">
        <f>SUBTOTAL(3,$B$6:B1075)</f>
        <v>0</v>
      </c>
      <c r="B1075" t="s">
        <v>500</v>
      </c>
      <c r="C1075" t="s">
        <v>935</v>
      </c>
      <c r="E1075">
        <v>115.527</v>
      </c>
      <c r="F1075">
        <v>144.68899999999999</v>
      </c>
      <c r="G1075">
        <v>117.36499999999999</v>
      </c>
      <c r="H1075">
        <v>117.732</v>
      </c>
      <c r="I1075">
        <v>163.54399999999998</v>
      </c>
      <c r="J1075">
        <v>163.54399999999998</v>
      </c>
      <c r="K1075">
        <v>163.54399999999998</v>
      </c>
      <c r="L1075">
        <v>163.54399999999998</v>
      </c>
      <c r="M1075">
        <v>163.54399999999998</v>
      </c>
      <c r="N1075">
        <v>163.54399999999998</v>
      </c>
      <c r="O1075">
        <v>163.54399999999998</v>
      </c>
      <c r="Q1075">
        <v>118.1</v>
      </c>
      <c r="R1075">
        <v>143.88</v>
      </c>
      <c r="S1075">
        <v>115.61</v>
      </c>
      <c r="T1075">
        <v>117.5</v>
      </c>
      <c r="U1075">
        <v>214.28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 s="164">
        <v>41000</v>
      </c>
      <c r="AC1075" s="164">
        <v>42094</v>
      </c>
      <c r="AD1075" s="164">
        <v>42124</v>
      </c>
      <c r="AE1075" s="34">
        <f>SUMPRODUCT(DB_STProjectsSOF[[#This Row],[Plan01]:[Plan12]],$D$4:$O$4)/valUnits2</f>
        <v>0.65885700000000003</v>
      </c>
      <c r="AF1075" s="34">
        <f>SUMPRODUCT(DB_STProjectsSOF[[#This Row],[Act01]:[Act12]],$P$4:$AA$4)/valUnits2</f>
        <v>0.70937000000000006</v>
      </c>
      <c r="AG1075" s="34">
        <f>DB_STProjectsSOF[[#This Row],[Actual]]-DB_STProjectsSOF[[#This Row],[Plan]]</f>
        <v>5.051300000000003E-2</v>
      </c>
      <c r="AH1075" s="34">
        <f>IF(DB_STProjectsSOF[[#This Row],[Plan]]&lt;&gt;0,DB_STProjectsSOF[[#This Row],[Actual]]/DB_STProjectsSOF[[#This Row],[Plan]],1.000011000011)</f>
        <v>1.0766676228680883</v>
      </c>
      <c r="AI1075" s="34">
        <f>SUM(DB_STProjectsSOF[[#This Row],[Plan01]:[Plan12]])/valUnits2</f>
        <v>1.6401209999999997</v>
      </c>
      <c r="AJ1075" s="34">
        <f>SUMPRODUCT(DB_STProjectsSOF[[#This Row],[Act01]:[Act12]],$P$3:$AA$3)/valUnits2</f>
        <v>0.70937000000000006</v>
      </c>
      <c r="AK1075" s="34">
        <f>IF(DB_STProjectsSOF[[#This Row],[FY Plan]]&lt;&gt;0,DB_STProjectsSOF[[#This Row],[FY Actuals]]/DB_STProjectsSOF[[#This Row],[FY Plan]],1.000011000011)</f>
        <v>0.43251077207108513</v>
      </c>
    </row>
    <row r="1076" spans="1:37" hidden="1" x14ac:dyDescent="0.2">
      <c r="A1076">
        <f>SUBTOTAL(3,$B$6:B1076)</f>
        <v>0</v>
      </c>
      <c r="B1076" t="s">
        <v>501</v>
      </c>
      <c r="C1076" t="s">
        <v>858</v>
      </c>
      <c r="D1076">
        <v>10627.640000000001</v>
      </c>
      <c r="E1076">
        <v>13504.11</v>
      </c>
      <c r="F1076">
        <v>16400.11</v>
      </c>
      <c r="G1076">
        <v>10183.049999999999</v>
      </c>
      <c r="H1076">
        <v>12674.94</v>
      </c>
      <c r="I1076">
        <v>15299.603000000003</v>
      </c>
      <c r="J1076">
        <v>15299.603000000003</v>
      </c>
      <c r="K1076">
        <v>17769.601000000002</v>
      </c>
      <c r="L1076">
        <v>15299.603000000003</v>
      </c>
      <c r="M1076">
        <v>15299.603000000001</v>
      </c>
      <c r="N1076">
        <v>15299.603000000003</v>
      </c>
      <c r="O1076">
        <v>15299.603000000003</v>
      </c>
      <c r="P1076">
        <v>10627.640000000001</v>
      </c>
      <c r="Q1076">
        <v>13504.110000000002</v>
      </c>
      <c r="R1076">
        <v>16400.11</v>
      </c>
      <c r="S1076">
        <v>10362.23</v>
      </c>
      <c r="T1076">
        <v>12674.94</v>
      </c>
      <c r="U1076">
        <v>14755.19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 s="164">
        <v>41275</v>
      </c>
      <c r="AC1076" s="164">
        <v>41639</v>
      </c>
      <c r="AD1076" s="164">
        <v>41784</v>
      </c>
      <c r="AE1076" s="34">
        <f>SUMPRODUCT(DB_STProjectsSOF[[#This Row],[Plan01]:[Plan12]],$D$4:$O$4)/valUnits2</f>
        <v>78.689453000000015</v>
      </c>
      <c r="AF1076" s="34">
        <f>SUMPRODUCT(DB_STProjectsSOF[[#This Row],[Act01]:[Act12]],$P$4:$AA$4)/valUnits2</f>
        <v>78.324219999999997</v>
      </c>
      <c r="AG1076" s="34">
        <f>DB_STProjectsSOF[[#This Row],[Actual]]-DB_STProjectsSOF[[#This Row],[Plan]]</f>
        <v>-0.36523300000001768</v>
      </c>
      <c r="AH1076" s="34">
        <f>IF(DB_STProjectsSOF[[#This Row],[Plan]]&lt;&gt;0,DB_STProjectsSOF[[#This Row],[Actual]]/DB_STProjectsSOF[[#This Row],[Plan]],1.000011000011)</f>
        <v>0.99535855205398338</v>
      </c>
      <c r="AI1076" s="34">
        <f>SUM(DB_STProjectsSOF[[#This Row],[Plan01]:[Plan12]])/valUnits2</f>
        <v>172.95706900000002</v>
      </c>
      <c r="AJ1076" s="34">
        <f>SUMPRODUCT(DB_STProjectsSOF[[#This Row],[Act01]:[Act12]],$P$3:$AA$3)/valUnits2</f>
        <v>78.324219999999997</v>
      </c>
      <c r="AK1076" s="34">
        <f>IF(DB_STProjectsSOF[[#This Row],[FY Plan]]&lt;&gt;0,DB_STProjectsSOF[[#This Row],[FY Actuals]]/DB_STProjectsSOF[[#This Row],[FY Plan]],1.000011000011)</f>
        <v>0.45285353442246407</v>
      </c>
    </row>
    <row r="1077" spans="1:37" hidden="1" x14ac:dyDescent="0.2">
      <c r="A1077">
        <f>SUBTOTAL(3,$B$6:B1077)</f>
        <v>0</v>
      </c>
      <c r="B1077" t="s">
        <v>501</v>
      </c>
      <c r="C1077" t="s">
        <v>905</v>
      </c>
      <c r="D1077">
        <v>116.46000000000001</v>
      </c>
      <c r="E1077">
        <v>0</v>
      </c>
      <c r="F1077">
        <v>0</v>
      </c>
      <c r="G1077">
        <v>5.53</v>
      </c>
      <c r="H1077">
        <v>-121.99000000000001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116.46000000000001</v>
      </c>
      <c r="Q1077">
        <v>0</v>
      </c>
      <c r="R1077">
        <v>0</v>
      </c>
      <c r="S1077">
        <v>5.53</v>
      </c>
      <c r="T1077">
        <v>-121.99000000000001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 s="164">
        <v>40909</v>
      </c>
      <c r="AC1077" s="164">
        <v>41274</v>
      </c>
      <c r="AD1077" s="164">
        <v>41364</v>
      </c>
      <c r="AE1077" s="34">
        <f>SUMPRODUCT(DB_STProjectsSOF[[#This Row],[Plan01]:[Plan12]],$D$4:$O$4)/valUnits2</f>
        <v>0</v>
      </c>
      <c r="AF1077" s="34">
        <f>SUMPRODUCT(DB_STProjectsSOF[[#This Row],[Act01]:[Act12]],$P$4:$AA$4)/valUnits2</f>
        <v>0</v>
      </c>
      <c r="AG1077" s="34">
        <f>DB_STProjectsSOF[[#This Row],[Actual]]-DB_STProjectsSOF[[#This Row],[Plan]]</f>
        <v>0</v>
      </c>
      <c r="AH1077" s="34">
        <f>IF(DB_STProjectsSOF[[#This Row],[Plan]]&lt;&gt;0,DB_STProjectsSOF[[#This Row],[Actual]]/DB_STProjectsSOF[[#This Row],[Plan]],1.000011000011)</f>
        <v>1.0000110000110001</v>
      </c>
      <c r="AI1077" s="34">
        <f>SUM(DB_STProjectsSOF[[#This Row],[Plan01]:[Plan12]])/valUnits2</f>
        <v>0</v>
      </c>
      <c r="AJ1077" s="34">
        <f>SUMPRODUCT(DB_STProjectsSOF[[#This Row],[Act01]:[Act12]],$P$3:$AA$3)/valUnits2</f>
        <v>0</v>
      </c>
      <c r="AK1077" s="34">
        <f>IF(DB_STProjectsSOF[[#This Row],[FY Plan]]&lt;&gt;0,DB_STProjectsSOF[[#This Row],[FY Actuals]]/DB_STProjectsSOF[[#This Row],[FY Plan]],1.000011000011)</f>
        <v>1.0000110000110001</v>
      </c>
    </row>
    <row r="1078" spans="1:37" hidden="1" x14ac:dyDescent="0.2">
      <c r="A1078">
        <f>SUBTOTAL(3,$B$6:B1078)</f>
        <v>0</v>
      </c>
      <c r="B1078" t="s">
        <v>502</v>
      </c>
      <c r="C1078" t="s">
        <v>843</v>
      </c>
      <c r="G1078">
        <v>0</v>
      </c>
      <c r="H1078">
        <v>0</v>
      </c>
      <c r="I1078">
        <v>879.74599999999998</v>
      </c>
      <c r="J1078">
        <v>879.74599999999998</v>
      </c>
      <c r="K1078">
        <v>879.74599999999998</v>
      </c>
      <c r="L1078">
        <v>879.74599999999998</v>
      </c>
      <c r="M1078">
        <v>879.74599999999998</v>
      </c>
      <c r="N1078">
        <v>879.74599999999998</v>
      </c>
      <c r="O1078">
        <v>879.74599999999998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 s="164">
        <v>41275</v>
      </c>
      <c r="AC1078" s="164">
        <v>42369</v>
      </c>
      <c r="AD1078" s="164">
        <v>42492</v>
      </c>
      <c r="AE1078" s="34">
        <f>SUMPRODUCT(DB_STProjectsSOF[[#This Row],[Plan01]:[Plan12]],$D$4:$O$4)/valUnits2</f>
        <v>0.87974600000000003</v>
      </c>
      <c r="AF1078" s="34">
        <f>SUMPRODUCT(DB_STProjectsSOF[[#This Row],[Act01]:[Act12]],$P$4:$AA$4)/valUnits2</f>
        <v>0</v>
      </c>
      <c r="AG1078" s="34">
        <f>DB_STProjectsSOF[[#This Row],[Actual]]-DB_STProjectsSOF[[#This Row],[Plan]]</f>
        <v>-0.87974600000000003</v>
      </c>
      <c r="AH1078" s="34">
        <f>IF(DB_STProjectsSOF[[#This Row],[Plan]]&lt;&gt;0,DB_STProjectsSOF[[#This Row],[Actual]]/DB_STProjectsSOF[[#This Row],[Plan]],1.000011000011)</f>
        <v>0</v>
      </c>
      <c r="AI1078" s="34">
        <f>SUM(DB_STProjectsSOF[[#This Row],[Plan01]:[Plan12]])/valUnits2</f>
        <v>6.1582219999999994</v>
      </c>
      <c r="AJ1078" s="34">
        <f>SUMPRODUCT(DB_STProjectsSOF[[#This Row],[Act01]:[Act12]],$P$3:$AA$3)/valUnits2</f>
        <v>0</v>
      </c>
      <c r="AK1078" s="34">
        <f>IF(DB_STProjectsSOF[[#This Row],[FY Plan]]&lt;&gt;0,DB_STProjectsSOF[[#This Row],[FY Actuals]]/DB_STProjectsSOF[[#This Row],[FY Plan]],1.000011000011)</f>
        <v>0</v>
      </c>
    </row>
    <row r="1079" spans="1:37" hidden="1" x14ac:dyDescent="0.2">
      <c r="A1079">
        <f>SUBTOTAL(3,$B$6:B1079)</f>
        <v>0</v>
      </c>
      <c r="B1079" t="s">
        <v>502</v>
      </c>
      <c r="C1079" t="s">
        <v>849</v>
      </c>
      <c r="G1079">
        <v>0</v>
      </c>
      <c r="H1079">
        <v>0</v>
      </c>
      <c r="S1079">
        <v>0</v>
      </c>
      <c r="T1079">
        <v>0</v>
      </c>
      <c r="AB1079" s="164">
        <v>41153</v>
      </c>
      <c r="AC1079" s="164">
        <v>41364</v>
      </c>
      <c r="AD1079" s="164">
        <v>41424</v>
      </c>
      <c r="AE1079" s="34">
        <f>SUMPRODUCT(DB_STProjectsSOF[[#This Row],[Plan01]:[Plan12]],$D$4:$O$4)/valUnits2</f>
        <v>0</v>
      </c>
      <c r="AF1079" s="34">
        <f>SUMPRODUCT(DB_STProjectsSOF[[#This Row],[Act01]:[Act12]],$P$4:$AA$4)/valUnits2</f>
        <v>0</v>
      </c>
      <c r="AG1079" s="34">
        <f>DB_STProjectsSOF[[#This Row],[Actual]]-DB_STProjectsSOF[[#This Row],[Plan]]</f>
        <v>0</v>
      </c>
      <c r="AH1079" s="34">
        <f>IF(DB_STProjectsSOF[[#This Row],[Plan]]&lt;&gt;0,DB_STProjectsSOF[[#This Row],[Actual]]/DB_STProjectsSOF[[#This Row],[Plan]],1.000011000011)</f>
        <v>1.0000110000110001</v>
      </c>
      <c r="AI1079" s="34">
        <f>SUM(DB_STProjectsSOF[[#This Row],[Plan01]:[Plan12]])/valUnits2</f>
        <v>0</v>
      </c>
      <c r="AJ1079" s="34">
        <f>SUMPRODUCT(DB_STProjectsSOF[[#This Row],[Act01]:[Act12]],$P$3:$AA$3)/valUnits2</f>
        <v>0</v>
      </c>
      <c r="AK1079" s="34">
        <f>IF(DB_STProjectsSOF[[#This Row],[FY Plan]]&lt;&gt;0,DB_STProjectsSOF[[#This Row],[FY Actuals]]/DB_STProjectsSOF[[#This Row],[FY Plan]],1.000011000011)</f>
        <v>1.0000110000110001</v>
      </c>
    </row>
    <row r="1080" spans="1:37" hidden="1" x14ac:dyDescent="0.2">
      <c r="A1080">
        <f>SUBTOTAL(3,$B$6:B1080)</f>
        <v>0</v>
      </c>
      <c r="B1080" t="s">
        <v>502</v>
      </c>
      <c r="C1080" t="s">
        <v>850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170.35399999999998</v>
      </c>
      <c r="J1080">
        <v>170.35399999999998</v>
      </c>
      <c r="K1080">
        <v>170.35399999999998</v>
      </c>
      <c r="L1080">
        <v>170.35399999999998</v>
      </c>
      <c r="M1080">
        <v>170.35399999999998</v>
      </c>
      <c r="N1080">
        <v>170.35399999999998</v>
      </c>
      <c r="O1080">
        <v>170.35399999999998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 s="164">
        <v>40817</v>
      </c>
      <c r="AC1080" s="164">
        <v>41639</v>
      </c>
      <c r="AD1080" s="164">
        <v>41820</v>
      </c>
      <c r="AE1080" s="34">
        <f>SUMPRODUCT(DB_STProjectsSOF[[#This Row],[Plan01]:[Plan12]],$D$4:$O$4)/valUnits2</f>
        <v>0.17035399999999998</v>
      </c>
      <c r="AF1080" s="34">
        <f>SUMPRODUCT(DB_STProjectsSOF[[#This Row],[Act01]:[Act12]],$P$4:$AA$4)/valUnits2</f>
        <v>0</v>
      </c>
      <c r="AG1080" s="34">
        <f>DB_STProjectsSOF[[#This Row],[Actual]]-DB_STProjectsSOF[[#This Row],[Plan]]</f>
        <v>-0.17035399999999998</v>
      </c>
      <c r="AH1080" s="34">
        <f>IF(DB_STProjectsSOF[[#This Row],[Plan]]&lt;&gt;0,DB_STProjectsSOF[[#This Row],[Actual]]/DB_STProjectsSOF[[#This Row],[Plan]],1.000011000011)</f>
        <v>0</v>
      </c>
      <c r="AI1080" s="34">
        <f>SUM(DB_STProjectsSOF[[#This Row],[Plan01]:[Plan12]])/valUnits2</f>
        <v>1.1924780000000001</v>
      </c>
      <c r="AJ1080" s="34">
        <f>SUMPRODUCT(DB_STProjectsSOF[[#This Row],[Act01]:[Act12]],$P$3:$AA$3)/valUnits2</f>
        <v>0</v>
      </c>
      <c r="AK1080" s="34">
        <f>IF(DB_STProjectsSOF[[#This Row],[FY Plan]]&lt;&gt;0,DB_STProjectsSOF[[#This Row],[FY Actuals]]/DB_STProjectsSOF[[#This Row],[FY Plan]],1.000011000011)</f>
        <v>0</v>
      </c>
    </row>
    <row r="1081" spans="1:37" hidden="1" x14ac:dyDescent="0.2">
      <c r="A1081">
        <f>SUBTOTAL(3,$B$6:B1081)</f>
        <v>0</v>
      </c>
      <c r="B1081" t="s">
        <v>502</v>
      </c>
      <c r="C1081" t="s">
        <v>853</v>
      </c>
      <c r="G1081">
        <v>0</v>
      </c>
      <c r="H1081">
        <v>0</v>
      </c>
      <c r="I1081">
        <v>16.921999999999997</v>
      </c>
      <c r="J1081">
        <v>16.921999999999997</v>
      </c>
      <c r="K1081">
        <v>16.921999999999997</v>
      </c>
      <c r="L1081">
        <v>16.921999999999997</v>
      </c>
      <c r="M1081">
        <v>16.921999999999997</v>
      </c>
      <c r="N1081">
        <v>16.921999999999997</v>
      </c>
      <c r="O1081">
        <v>16.921999999999997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 s="164">
        <v>41275</v>
      </c>
      <c r="AC1081" s="164">
        <v>41639</v>
      </c>
      <c r="AD1081" s="164">
        <v>41669</v>
      </c>
      <c r="AE1081" s="34">
        <f>SUMPRODUCT(DB_STProjectsSOF[[#This Row],[Plan01]:[Plan12]],$D$4:$O$4)/valUnits2</f>
        <v>1.6921999999999996E-2</v>
      </c>
      <c r="AF1081" s="34">
        <f>SUMPRODUCT(DB_STProjectsSOF[[#This Row],[Act01]:[Act12]],$P$4:$AA$4)/valUnits2</f>
        <v>0</v>
      </c>
      <c r="AG1081" s="34">
        <f>DB_STProjectsSOF[[#This Row],[Actual]]-DB_STProjectsSOF[[#This Row],[Plan]]</f>
        <v>-1.6921999999999996E-2</v>
      </c>
      <c r="AH1081" s="34">
        <f>IF(DB_STProjectsSOF[[#This Row],[Plan]]&lt;&gt;0,DB_STProjectsSOF[[#This Row],[Actual]]/DB_STProjectsSOF[[#This Row],[Plan]],1.000011000011)</f>
        <v>0</v>
      </c>
      <c r="AI1081" s="34">
        <f>SUM(DB_STProjectsSOF[[#This Row],[Plan01]:[Plan12]])/valUnits2</f>
        <v>0.11845399999999998</v>
      </c>
      <c r="AJ1081" s="34">
        <f>SUMPRODUCT(DB_STProjectsSOF[[#This Row],[Act01]:[Act12]],$P$3:$AA$3)/valUnits2</f>
        <v>0</v>
      </c>
      <c r="AK1081" s="34">
        <f>IF(DB_STProjectsSOF[[#This Row],[FY Plan]]&lt;&gt;0,DB_STProjectsSOF[[#This Row],[FY Actuals]]/DB_STProjectsSOF[[#This Row],[FY Plan]],1.000011000011)</f>
        <v>0</v>
      </c>
    </row>
    <row r="1082" spans="1:37" hidden="1" x14ac:dyDescent="0.2">
      <c r="A1082">
        <f>SUBTOTAL(3,$B$6:B1082)</f>
        <v>0</v>
      </c>
      <c r="B1082" t="s">
        <v>502</v>
      </c>
      <c r="C1082" t="s">
        <v>854</v>
      </c>
      <c r="F1082">
        <v>0</v>
      </c>
      <c r="G1082">
        <v>0</v>
      </c>
      <c r="H1082">
        <v>0</v>
      </c>
      <c r="I1082">
        <v>289.17700000000002</v>
      </c>
      <c r="J1082">
        <v>289.17700000000002</v>
      </c>
      <c r="K1082">
        <v>289.17700000000002</v>
      </c>
      <c r="L1082">
        <v>289.17700000000002</v>
      </c>
      <c r="M1082">
        <v>289.17700000000002</v>
      </c>
      <c r="N1082">
        <v>289.17700000000002</v>
      </c>
      <c r="O1082">
        <v>289.17700000000002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 s="164">
        <v>40923</v>
      </c>
      <c r="AC1082" s="164">
        <v>41698</v>
      </c>
      <c r="AD1082" s="164">
        <v>41759</v>
      </c>
      <c r="AE1082" s="34">
        <f>SUMPRODUCT(DB_STProjectsSOF[[#This Row],[Plan01]:[Plan12]],$D$4:$O$4)/valUnits2</f>
        <v>0.28917700000000002</v>
      </c>
      <c r="AF1082" s="34">
        <f>SUMPRODUCT(DB_STProjectsSOF[[#This Row],[Act01]:[Act12]],$P$4:$AA$4)/valUnits2</f>
        <v>0</v>
      </c>
      <c r="AG1082" s="34">
        <f>DB_STProjectsSOF[[#This Row],[Actual]]-DB_STProjectsSOF[[#This Row],[Plan]]</f>
        <v>-0.28917700000000002</v>
      </c>
      <c r="AH1082" s="34">
        <f>IF(DB_STProjectsSOF[[#This Row],[Plan]]&lt;&gt;0,DB_STProjectsSOF[[#This Row],[Actual]]/DB_STProjectsSOF[[#This Row],[Plan]],1.000011000011)</f>
        <v>0</v>
      </c>
      <c r="AI1082" s="34">
        <f>SUM(DB_STProjectsSOF[[#This Row],[Plan01]:[Plan12]])/valUnits2</f>
        <v>2.0242390000000006</v>
      </c>
      <c r="AJ1082" s="34">
        <f>SUMPRODUCT(DB_STProjectsSOF[[#This Row],[Act01]:[Act12]],$P$3:$AA$3)/valUnits2</f>
        <v>0</v>
      </c>
      <c r="AK1082" s="34">
        <f>IF(DB_STProjectsSOF[[#This Row],[FY Plan]]&lt;&gt;0,DB_STProjectsSOF[[#This Row],[FY Actuals]]/DB_STProjectsSOF[[#This Row],[FY Plan]],1.000011000011)</f>
        <v>0</v>
      </c>
    </row>
    <row r="1083" spans="1:37" hidden="1" x14ac:dyDescent="0.2">
      <c r="A1083">
        <f>SUBTOTAL(3,$B$6:B1083)</f>
        <v>0</v>
      </c>
      <c r="B1083" t="s">
        <v>502</v>
      </c>
      <c r="C1083" t="s">
        <v>855</v>
      </c>
      <c r="G1083">
        <v>0</v>
      </c>
      <c r="H1083">
        <v>0</v>
      </c>
      <c r="I1083">
        <v>553.59699999999998</v>
      </c>
      <c r="J1083">
        <v>553.59699999999998</v>
      </c>
      <c r="K1083">
        <v>553.59699999999998</v>
      </c>
      <c r="L1083">
        <v>553.59699999999998</v>
      </c>
      <c r="M1083">
        <v>553.59699999999998</v>
      </c>
      <c r="N1083">
        <v>553.59699999999998</v>
      </c>
      <c r="O1083">
        <v>553.59699999999998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 s="164">
        <v>40817</v>
      </c>
      <c r="AC1083" s="164">
        <v>41759</v>
      </c>
      <c r="AD1083" s="164">
        <v>41820</v>
      </c>
      <c r="AE1083" s="34">
        <f>SUMPRODUCT(DB_STProjectsSOF[[#This Row],[Plan01]:[Plan12]],$D$4:$O$4)/valUnits2</f>
        <v>0.55359700000000001</v>
      </c>
      <c r="AF1083" s="34">
        <f>SUMPRODUCT(DB_STProjectsSOF[[#This Row],[Act01]:[Act12]],$P$4:$AA$4)/valUnits2</f>
        <v>0</v>
      </c>
      <c r="AG1083" s="34">
        <f>DB_STProjectsSOF[[#This Row],[Actual]]-DB_STProjectsSOF[[#This Row],[Plan]]</f>
        <v>-0.55359700000000001</v>
      </c>
      <c r="AH1083" s="34">
        <f>IF(DB_STProjectsSOF[[#This Row],[Plan]]&lt;&gt;0,DB_STProjectsSOF[[#This Row],[Actual]]/DB_STProjectsSOF[[#This Row],[Plan]],1.000011000011)</f>
        <v>0</v>
      </c>
      <c r="AI1083" s="34">
        <f>SUM(DB_STProjectsSOF[[#This Row],[Plan01]:[Plan12]])/valUnits2</f>
        <v>3.8751789999999993</v>
      </c>
      <c r="AJ1083" s="34">
        <f>SUMPRODUCT(DB_STProjectsSOF[[#This Row],[Act01]:[Act12]],$P$3:$AA$3)/valUnits2</f>
        <v>0</v>
      </c>
      <c r="AK1083" s="34">
        <f>IF(DB_STProjectsSOF[[#This Row],[FY Plan]]&lt;&gt;0,DB_STProjectsSOF[[#This Row],[FY Actuals]]/DB_STProjectsSOF[[#This Row],[FY Plan]],1.000011000011)</f>
        <v>0</v>
      </c>
    </row>
    <row r="1084" spans="1:37" hidden="1" x14ac:dyDescent="0.2">
      <c r="A1084">
        <f>SUBTOTAL(3,$B$6:B1084)</f>
        <v>0</v>
      </c>
      <c r="B1084" t="s">
        <v>502</v>
      </c>
      <c r="C1084" t="s">
        <v>856</v>
      </c>
      <c r="D1084">
        <v>1377.2750000000001</v>
      </c>
      <c r="E1084">
        <v>1851.3899999999999</v>
      </c>
      <c r="F1084">
        <v>2870.5949999999998</v>
      </c>
      <c r="G1084">
        <v>5919.5640000000003</v>
      </c>
      <c r="H1084">
        <v>4420.7609999999995</v>
      </c>
      <c r="I1084">
        <v>1377.2750000000001</v>
      </c>
      <c r="J1084">
        <v>1377.2750000000001</v>
      </c>
      <c r="K1084">
        <v>1377.2750000000001</v>
      </c>
      <c r="L1084">
        <v>1377.2750000000001</v>
      </c>
      <c r="M1084">
        <v>1377.2750000000001</v>
      </c>
      <c r="N1084">
        <v>1377.2750000000001</v>
      </c>
      <c r="O1084">
        <v>1377.2750000000001</v>
      </c>
      <c r="P1084">
        <v>118.41999999999999</v>
      </c>
      <c r="Q1084">
        <v>454.82000000000005</v>
      </c>
      <c r="R1084">
        <v>1435.48</v>
      </c>
      <c r="S1084">
        <v>4394.5599999999995</v>
      </c>
      <c r="T1084">
        <v>2962.9900000000002</v>
      </c>
      <c r="U1084">
        <v>1789.44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 s="164">
        <v>40817</v>
      </c>
      <c r="AC1084" s="164">
        <v>42338</v>
      </c>
      <c r="AD1084" s="164">
        <v>42490</v>
      </c>
      <c r="AE1084" s="34">
        <f>SUMPRODUCT(DB_STProjectsSOF[[#This Row],[Plan01]:[Plan12]],$D$4:$O$4)/valUnits2</f>
        <v>17.816860000000002</v>
      </c>
      <c r="AF1084" s="34">
        <f>SUMPRODUCT(DB_STProjectsSOF[[#This Row],[Act01]:[Act12]],$P$4:$AA$4)/valUnits2</f>
        <v>11.155710000000001</v>
      </c>
      <c r="AG1084" s="34">
        <f>DB_STProjectsSOF[[#This Row],[Actual]]-DB_STProjectsSOF[[#This Row],[Plan]]</f>
        <v>-6.661150000000001</v>
      </c>
      <c r="AH1084" s="34">
        <f>IF(DB_STProjectsSOF[[#This Row],[Plan]]&lt;&gt;0,DB_STProjectsSOF[[#This Row],[Actual]]/DB_STProjectsSOF[[#This Row],[Plan]],1.000011000011)</f>
        <v>0.62613221409384145</v>
      </c>
      <c r="AI1084" s="34">
        <f>SUM(DB_STProjectsSOF[[#This Row],[Plan01]:[Plan12]])/valUnits2</f>
        <v>26.080510000000011</v>
      </c>
      <c r="AJ1084" s="34">
        <f>SUMPRODUCT(DB_STProjectsSOF[[#This Row],[Act01]:[Act12]],$P$3:$AA$3)/valUnits2</f>
        <v>11.155710000000001</v>
      </c>
      <c r="AK1084" s="34">
        <f>IF(DB_STProjectsSOF[[#This Row],[FY Plan]]&lt;&gt;0,DB_STProjectsSOF[[#This Row],[FY Actuals]]/DB_STProjectsSOF[[#This Row],[FY Plan]],1.000011000011)</f>
        <v>0.42774125199238805</v>
      </c>
    </row>
    <row r="1085" spans="1:37" hidden="1" x14ac:dyDescent="0.2">
      <c r="A1085">
        <f>SUBTOTAL(3,$B$6:B1085)</f>
        <v>0</v>
      </c>
      <c r="B1085" t="s">
        <v>502</v>
      </c>
      <c r="C1085" t="s">
        <v>857</v>
      </c>
      <c r="E1085">
        <v>2247.46</v>
      </c>
      <c r="H1085">
        <v>-2247.46</v>
      </c>
      <c r="Q1085">
        <v>2247.4599999999996</v>
      </c>
      <c r="T1085">
        <v>-2247.4599999999996</v>
      </c>
      <c r="AB1085" s="164">
        <v>40909</v>
      </c>
      <c r="AC1085" s="164">
        <v>41274</v>
      </c>
      <c r="AD1085" s="164">
        <v>41364</v>
      </c>
      <c r="AE1085" s="34">
        <f>SUMPRODUCT(DB_STProjectsSOF[[#This Row],[Plan01]:[Plan12]],$D$4:$O$4)/valUnits2</f>
        <v>0</v>
      </c>
      <c r="AF1085" s="34">
        <f>SUMPRODUCT(DB_STProjectsSOF[[#This Row],[Act01]:[Act12]],$P$4:$AA$4)/valUnits2</f>
        <v>0</v>
      </c>
      <c r="AG1085" s="34">
        <f>DB_STProjectsSOF[[#This Row],[Actual]]-DB_STProjectsSOF[[#This Row],[Plan]]</f>
        <v>0</v>
      </c>
      <c r="AH1085" s="34">
        <f>IF(DB_STProjectsSOF[[#This Row],[Plan]]&lt;&gt;0,DB_STProjectsSOF[[#This Row],[Actual]]/DB_STProjectsSOF[[#This Row],[Plan]],1.000011000011)</f>
        <v>1.0000110000110001</v>
      </c>
      <c r="AI1085" s="34">
        <f>SUM(DB_STProjectsSOF[[#This Row],[Plan01]:[Plan12]])/valUnits2</f>
        <v>0</v>
      </c>
      <c r="AJ1085" s="34">
        <f>SUMPRODUCT(DB_STProjectsSOF[[#This Row],[Act01]:[Act12]],$P$3:$AA$3)/valUnits2</f>
        <v>0</v>
      </c>
      <c r="AK1085" s="34">
        <f>IF(DB_STProjectsSOF[[#This Row],[FY Plan]]&lt;&gt;0,DB_STProjectsSOF[[#This Row],[FY Actuals]]/DB_STProjectsSOF[[#This Row],[FY Plan]],1.000011000011)</f>
        <v>1.0000110000110001</v>
      </c>
    </row>
    <row r="1086" spans="1:37" hidden="1" x14ac:dyDescent="0.2">
      <c r="A1086">
        <f>SUBTOTAL(3,$B$6:B1086)</f>
        <v>0</v>
      </c>
      <c r="B1086" t="s">
        <v>502</v>
      </c>
      <c r="C1086" t="s">
        <v>858</v>
      </c>
      <c r="D1086">
        <v>701.75</v>
      </c>
      <c r="G1086">
        <v>451.65000000000009</v>
      </c>
      <c r="H1086">
        <v>789.52</v>
      </c>
      <c r="I1086">
        <v>0</v>
      </c>
      <c r="P1086">
        <v>701.75</v>
      </c>
      <c r="S1086">
        <v>451.65000000000009</v>
      </c>
      <c r="T1086">
        <v>789.52</v>
      </c>
      <c r="U1086">
        <v>640.54</v>
      </c>
      <c r="AB1086" s="164">
        <v>41275</v>
      </c>
      <c r="AC1086" s="164">
        <v>41639</v>
      </c>
      <c r="AD1086" s="164">
        <v>41784</v>
      </c>
      <c r="AE1086" s="34">
        <f>SUMPRODUCT(DB_STProjectsSOF[[#This Row],[Plan01]:[Plan12]],$D$4:$O$4)/valUnits2</f>
        <v>1.94292</v>
      </c>
      <c r="AF1086" s="34">
        <f>SUMPRODUCT(DB_STProjectsSOF[[#This Row],[Act01]:[Act12]],$P$4:$AA$4)/valUnits2</f>
        <v>2.5834600000000001</v>
      </c>
      <c r="AG1086" s="34">
        <f>DB_STProjectsSOF[[#This Row],[Actual]]-DB_STProjectsSOF[[#This Row],[Plan]]</f>
        <v>0.64054000000000011</v>
      </c>
      <c r="AH1086" s="34">
        <f>IF(DB_STProjectsSOF[[#This Row],[Plan]]&lt;&gt;0,DB_STProjectsSOF[[#This Row],[Actual]]/DB_STProjectsSOF[[#This Row],[Plan]],1.000011000011)</f>
        <v>1.3296790397957714</v>
      </c>
      <c r="AI1086" s="34">
        <f>SUM(DB_STProjectsSOF[[#This Row],[Plan01]:[Plan12]])/valUnits2</f>
        <v>1.94292</v>
      </c>
      <c r="AJ1086" s="34">
        <f>SUMPRODUCT(DB_STProjectsSOF[[#This Row],[Act01]:[Act12]],$P$3:$AA$3)/valUnits2</f>
        <v>2.5834600000000001</v>
      </c>
      <c r="AK1086" s="34">
        <f>IF(DB_STProjectsSOF[[#This Row],[FY Plan]]&lt;&gt;0,DB_STProjectsSOF[[#This Row],[FY Actuals]]/DB_STProjectsSOF[[#This Row],[FY Plan]],1.000011000011)</f>
        <v>1.3296790397957714</v>
      </c>
    </row>
    <row r="1087" spans="1:37" hidden="1" x14ac:dyDescent="0.2">
      <c r="A1087">
        <f>SUBTOTAL(3,$B$6:B1087)</f>
        <v>0</v>
      </c>
      <c r="B1087" t="s">
        <v>502</v>
      </c>
      <c r="C1087" t="s">
        <v>860</v>
      </c>
      <c r="D1087">
        <v>2.04</v>
      </c>
      <c r="P1087">
        <v>2.04</v>
      </c>
      <c r="AB1087" s="164">
        <v>40969</v>
      </c>
      <c r="AC1087" s="164">
        <v>42643</v>
      </c>
      <c r="AD1087" s="164">
        <v>42704</v>
      </c>
      <c r="AE1087" s="34">
        <f>SUMPRODUCT(DB_STProjectsSOF[[#This Row],[Plan01]:[Plan12]],$D$4:$O$4)/valUnits2</f>
        <v>2.0400000000000001E-3</v>
      </c>
      <c r="AF1087" s="34">
        <f>SUMPRODUCT(DB_STProjectsSOF[[#This Row],[Act01]:[Act12]],$P$4:$AA$4)/valUnits2</f>
        <v>2.0400000000000001E-3</v>
      </c>
      <c r="AG1087" s="34">
        <f>DB_STProjectsSOF[[#This Row],[Actual]]-DB_STProjectsSOF[[#This Row],[Plan]]</f>
        <v>0</v>
      </c>
      <c r="AH1087" s="34">
        <f>IF(DB_STProjectsSOF[[#This Row],[Plan]]&lt;&gt;0,DB_STProjectsSOF[[#This Row],[Actual]]/DB_STProjectsSOF[[#This Row],[Plan]],1.000011000011)</f>
        <v>1</v>
      </c>
      <c r="AI1087" s="34">
        <f>SUM(DB_STProjectsSOF[[#This Row],[Plan01]:[Plan12]])/valUnits2</f>
        <v>2.0400000000000001E-3</v>
      </c>
      <c r="AJ1087" s="34">
        <f>SUMPRODUCT(DB_STProjectsSOF[[#This Row],[Act01]:[Act12]],$P$3:$AA$3)/valUnits2</f>
        <v>2.0400000000000001E-3</v>
      </c>
      <c r="AK1087" s="34">
        <f>IF(DB_STProjectsSOF[[#This Row],[FY Plan]]&lt;&gt;0,DB_STProjectsSOF[[#This Row],[FY Actuals]]/DB_STProjectsSOF[[#This Row],[FY Plan]],1.000011000011)</f>
        <v>1</v>
      </c>
    </row>
    <row r="1088" spans="1:37" hidden="1" x14ac:dyDescent="0.2">
      <c r="A1088">
        <f>SUBTOTAL(3,$B$6:B1088)</f>
        <v>0</v>
      </c>
      <c r="B1088" t="s">
        <v>502</v>
      </c>
      <c r="C1088" t="s">
        <v>862</v>
      </c>
      <c r="G1088">
        <v>450.59300000000002</v>
      </c>
      <c r="H1088">
        <v>946.72299999999996</v>
      </c>
      <c r="I1088">
        <v>512.62099999999998</v>
      </c>
      <c r="J1088">
        <v>512.62099999999998</v>
      </c>
      <c r="K1088">
        <v>512.62099999999998</v>
      </c>
      <c r="L1088">
        <v>512.62099999999998</v>
      </c>
      <c r="M1088">
        <v>512.62099999999998</v>
      </c>
      <c r="N1088">
        <v>512.62099999999998</v>
      </c>
      <c r="O1088">
        <v>512.62099999999998</v>
      </c>
      <c r="S1088">
        <v>447.29</v>
      </c>
      <c r="T1088">
        <v>956.95999999999992</v>
      </c>
      <c r="U1088">
        <v>512.37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 s="164">
        <v>41275</v>
      </c>
      <c r="AC1088" s="164">
        <v>41639</v>
      </c>
      <c r="AD1088" s="164">
        <v>3</v>
      </c>
      <c r="AE1088" s="34">
        <f>SUMPRODUCT(DB_STProjectsSOF[[#This Row],[Plan01]:[Plan12]],$D$4:$O$4)/valUnits2</f>
        <v>1.909937</v>
      </c>
      <c r="AF1088" s="34">
        <f>SUMPRODUCT(DB_STProjectsSOF[[#This Row],[Act01]:[Act12]],$P$4:$AA$4)/valUnits2</f>
        <v>1.91662</v>
      </c>
      <c r="AG1088" s="34">
        <f>DB_STProjectsSOF[[#This Row],[Actual]]-DB_STProjectsSOF[[#This Row],[Plan]]</f>
        <v>6.6829999999999945E-3</v>
      </c>
      <c r="AH1088" s="34">
        <f>IF(DB_STProjectsSOF[[#This Row],[Plan]]&lt;&gt;0,DB_STProjectsSOF[[#This Row],[Actual]]/DB_STProjectsSOF[[#This Row],[Plan]],1.000011000011)</f>
        <v>1.0034990682938756</v>
      </c>
      <c r="AI1088" s="34">
        <f>SUM(DB_STProjectsSOF[[#This Row],[Plan01]:[Plan12]])/valUnits2</f>
        <v>4.9856630000000006</v>
      </c>
      <c r="AJ1088" s="34">
        <f>SUMPRODUCT(DB_STProjectsSOF[[#This Row],[Act01]:[Act12]],$P$3:$AA$3)/valUnits2</f>
        <v>1.91662</v>
      </c>
      <c r="AK1088" s="34">
        <f>IF(DB_STProjectsSOF[[#This Row],[FY Plan]]&lt;&gt;0,DB_STProjectsSOF[[#This Row],[FY Actuals]]/DB_STProjectsSOF[[#This Row],[FY Plan]],1.000011000011)</f>
        <v>0.38442630398404382</v>
      </c>
    </row>
    <row r="1089" spans="1:37" hidden="1" x14ac:dyDescent="0.2">
      <c r="A1089">
        <f>SUBTOTAL(3,$B$6:B1089)</f>
        <v>0</v>
      </c>
      <c r="B1089" t="s">
        <v>502</v>
      </c>
      <c r="C1089" t="s">
        <v>866</v>
      </c>
      <c r="D1089">
        <v>1654.14</v>
      </c>
      <c r="E1089">
        <v>0</v>
      </c>
      <c r="F1089">
        <v>0</v>
      </c>
      <c r="G1089">
        <v>-461.46000000000009</v>
      </c>
      <c r="H1089">
        <v>0</v>
      </c>
      <c r="I1089">
        <v>1276.4449999999999</v>
      </c>
      <c r="J1089">
        <v>1276.4449999999999</v>
      </c>
      <c r="K1089">
        <v>1276.4449999999999</v>
      </c>
      <c r="L1089">
        <v>1276.4449999999999</v>
      </c>
      <c r="P1089">
        <v>1654.14</v>
      </c>
      <c r="Q1089">
        <v>0</v>
      </c>
      <c r="R1089">
        <v>0</v>
      </c>
      <c r="S1089">
        <v>-117.03000000000003</v>
      </c>
      <c r="T1089">
        <v>-344.43</v>
      </c>
      <c r="U1089">
        <v>0</v>
      </c>
      <c r="V1089">
        <v>0</v>
      </c>
      <c r="W1089">
        <v>0</v>
      </c>
      <c r="X1089">
        <v>0</v>
      </c>
      <c r="AB1089" s="164">
        <v>41275</v>
      </c>
      <c r="AC1089" s="164">
        <v>41639</v>
      </c>
      <c r="AD1089" s="164">
        <v>41760</v>
      </c>
      <c r="AE1089" s="34">
        <f>SUMPRODUCT(DB_STProjectsSOF[[#This Row],[Plan01]:[Plan12]],$D$4:$O$4)/valUnits2</f>
        <v>2.469125</v>
      </c>
      <c r="AF1089" s="34">
        <f>SUMPRODUCT(DB_STProjectsSOF[[#This Row],[Act01]:[Act12]],$P$4:$AA$4)/valUnits2</f>
        <v>1.19268</v>
      </c>
      <c r="AG1089" s="34">
        <f>DB_STProjectsSOF[[#This Row],[Actual]]-DB_STProjectsSOF[[#This Row],[Plan]]</f>
        <v>-1.2764450000000001</v>
      </c>
      <c r="AH1089" s="34">
        <f>IF(DB_STProjectsSOF[[#This Row],[Plan]]&lt;&gt;0,DB_STProjectsSOF[[#This Row],[Actual]]/DB_STProjectsSOF[[#This Row],[Plan]],1.000011000011)</f>
        <v>0.48303751328912065</v>
      </c>
      <c r="AI1089" s="34">
        <f>SUM(DB_STProjectsSOF[[#This Row],[Plan01]:[Plan12]])/valUnits2</f>
        <v>6.2984599999999995</v>
      </c>
      <c r="AJ1089" s="34">
        <f>SUMPRODUCT(DB_STProjectsSOF[[#This Row],[Act01]:[Act12]],$P$3:$AA$3)/valUnits2</f>
        <v>1.19268</v>
      </c>
      <c r="AK1089" s="34">
        <f>IF(DB_STProjectsSOF[[#This Row],[FY Plan]]&lt;&gt;0,DB_STProjectsSOF[[#This Row],[FY Actuals]]/DB_STProjectsSOF[[#This Row],[FY Plan]],1.000011000011)</f>
        <v>0.18936057385456129</v>
      </c>
    </row>
    <row r="1090" spans="1:37" hidden="1" x14ac:dyDescent="0.2">
      <c r="A1090">
        <f>SUBTOTAL(3,$B$6:B1090)</f>
        <v>0</v>
      </c>
      <c r="B1090" t="s">
        <v>502</v>
      </c>
      <c r="C1090" t="s">
        <v>869</v>
      </c>
      <c r="D1090">
        <v>4.84</v>
      </c>
      <c r="E1090">
        <v>1493</v>
      </c>
      <c r="F1090">
        <v>2136.5300000000002</v>
      </c>
      <c r="G1090">
        <v>874.36</v>
      </c>
      <c r="H1090">
        <v>571.46</v>
      </c>
      <c r="I1090">
        <v>0</v>
      </c>
      <c r="P1090">
        <v>4.84</v>
      </c>
      <c r="Q1090">
        <v>1493</v>
      </c>
      <c r="R1090">
        <v>2136.5300000000002</v>
      </c>
      <c r="S1090">
        <v>874.36</v>
      </c>
      <c r="T1090">
        <v>571.46</v>
      </c>
      <c r="U1090">
        <v>282.61</v>
      </c>
      <c r="AB1090" s="164">
        <v>40817</v>
      </c>
      <c r="AC1090" s="164">
        <v>42155</v>
      </c>
      <c r="AD1090" s="164">
        <v>42217</v>
      </c>
      <c r="AE1090" s="34">
        <f>SUMPRODUCT(DB_STProjectsSOF[[#This Row],[Plan01]:[Plan12]],$D$4:$O$4)/valUnits2</f>
        <v>5.08019</v>
      </c>
      <c r="AF1090" s="34">
        <f>SUMPRODUCT(DB_STProjectsSOF[[#This Row],[Act01]:[Act12]],$P$4:$AA$4)/valUnits2</f>
        <v>5.3627999999999991</v>
      </c>
      <c r="AG1090" s="34">
        <f>DB_STProjectsSOF[[#This Row],[Actual]]-DB_STProjectsSOF[[#This Row],[Plan]]</f>
        <v>0.28260999999999914</v>
      </c>
      <c r="AH1090" s="34">
        <f>IF(DB_STProjectsSOF[[#This Row],[Plan]]&lt;&gt;0,DB_STProjectsSOF[[#This Row],[Actual]]/DB_STProjectsSOF[[#This Row],[Plan]],1.000011000011)</f>
        <v>1.0556298091213123</v>
      </c>
      <c r="AI1090" s="34">
        <f>SUM(DB_STProjectsSOF[[#This Row],[Plan01]:[Plan12]])/valUnits2</f>
        <v>5.08019</v>
      </c>
      <c r="AJ1090" s="34">
        <f>SUMPRODUCT(DB_STProjectsSOF[[#This Row],[Act01]:[Act12]],$P$3:$AA$3)/valUnits2</f>
        <v>5.3627999999999991</v>
      </c>
      <c r="AK1090" s="34">
        <f>IF(DB_STProjectsSOF[[#This Row],[FY Plan]]&lt;&gt;0,DB_STProjectsSOF[[#This Row],[FY Actuals]]/DB_STProjectsSOF[[#This Row],[FY Plan]],1.000011000011)</f>
        <v>1.0556298091213123</v>
      </c>
    </row>
    <row r="1091" spans="1:37" hidden="1" x14ac:dyDescent="0.2">
      <c r="A1091">
        <f>SUBTOTAL(3,$B$6:B1091)</f>
        <v>0</v>
      </c>
      <c r="B1091" t="s">
        <v>502</v>
      </c>
      <c r="C1091" t="s">
        <v>874</v>
      </c>
      <c r="D1091">
        <v>0</v>
      </c>
      <c r="E1091">
        <v>0</v>
      </c>
      <c r="F1091">
        <v>0</v>
      </c>
      <c r="G1091">
        <v>906.28800000000001</v>
      </c>
      <c r="H1091">
        <v>436.10700000000003</v>
      </c>
      <c r="I1091">
        <v>371.988</v>
      </c>
      <c r="J1091">
        <v>371.988</v>
      </c>
      <c r="K1091">
        <v>371.988</v>
      </c>
      <c r="L1091">
        <v>371.988</v>
      </c>
      <c r="M1091">
        <v>371.988</v>
      </c>
      <c r="N1091">
        <v>371.988</v>
      </c>
      <c r="O1091">
        <v>371.988</v>
      </c>
      <c r="P1091">
        <v>0</v>
      </c>
      <c r="Q1091">
        <v>0</v>
      </c>
      <c r="R1091">
        <v>0</v>
      </c>
      <c r="S1091">
        <v>897.72</v>
      </c>
      <c r="T1091">
        <v>430.82</v>
      </c>
      <c r="U1091">
        <v>464.02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 s="164">
        <v>40879</v>
      </c>
      <c r="AC1091" s="164">
        <v>43071</v>
      </c>
      <c r="AD1091" s="164">
        <v>43161</v>
      </c>
      <c r="AE1091" s="34">
        <f>SUMPRODUCT(DB_STProjectsSOF[[#This Row],[Plan01]:[Plan12]],$D$4:$O$4)/valUnits2</f>
        <v>1.714383</v>
      </c>
      <c r="AF1091" s="34">
        <f>SUMPRODUCT(DB_STProjectsSOF[[#This Row],[Act01]:[Act12]],$P$4:$AA$4)/valUnits2</f>
        <v>1.7925599999999999</v>
      </c>
      <c r="AG1091" s="34">
        <f>DB_STProjectsSOF[[#This Row],[Actual]]-DB_STProjectsSOF[[#This Row],[Plan]]</f>
        <v>7.8176999999999941E-2</v>
      </c>
      <c r="AH1091" s="34">
        <f>IF(DB_STProjectsSOF[[#This Row],[Plan]]&lt;&gt;0,DB_STProjectsSOF[[#This Row],[Actual]]/DB_STProjectsSOF[[#This Row],[Plan]],1.000011000011)</f>
        <v>1.0456006621624223</v>
      </c>
      <c r="AI1091" s="34">
        <f>SUM(DB_STProjectsSOF[[#This Row],[Plan01]:[Plan12]])/valUnits2</f>
        <v>3.9463109999999992</v>
      </c>
      <c r="AJ1091" s="34">
        <f>SUMPRODUCT(DB_STProjectsSOF[[#This Row],[Act01]:[Act12]],$P$3:$AA$3)/valUnits2</f>
        <v>1.7925599999999999</v>
      </c>
      <c r="AK1091" s="34">
        <f>IF(DB_STProjectsSOF[[#This Row],[FY Plan]]&lt;&gt;0,DB_STProjectsSOF[[#This Row],[FY Actuals]]/DB_STProjectsSOF[[#This Row],[FY Plan]],1.000011000011)</f>
        <v>0.45423688097567583</v>
      </c>
    </row>
    <row r="1092" spans="1:37" hidden="1" x14ac:dyDescent="0.2">
      <c r="A1092">
        <f>SUBTOTAL(3,$B$6:B1092)</f>
        <v>0</v>
      </c>
      <c r="B1092" t="s">
        <v>502</v>
      </c>
      <c r="C1092" t="s">
        <v>875</v>
      </c>
      <c r="F1092">
        <v>0</v>
      </c>
      <c r="G1092">
        <v>143.43899999999999</v>
      </c>
      <c r="H1092">
        <v>55.082000000000001</v>
      </c>
      <c r="I1092">
        <v>241.98700000000002</v>
      </c>
      <c r="J1092">
        <v>241.98700000000002</v>
      </c>
      <c r="K1092">
        <v>241.98700000000002</v>
      </c>
      <c r="L1092">
        <v>241.98700000000002</v>
      </c>
      <c r="M1092">
        <v>241.98700000000002</v>
      </c>
      <c r="N1092">
        <v>241.98700000000002</v>
      </c>
      <c r="O1092">
        <v>241.98700000000002</v>
      </c>
      <c r="R1092">
        <v>0</v>
      </c>
      <c r="S1092">
        <v>145.12</v>
      </c>
      <c r="T1092">
        <v>55.78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 s="164">
        <v>41275</v>
      </c>
      <c r="AC1092" s="164">
        <v>41639</v>
      </c>
      <c r="AD1092" s="164">
        <v>41649</v>
      </c>
      <c r="AE1092" s="34">
        <f>SUMPRODUCT(DB_STProjectsSOF[[#This Row],[Plan01]:[Plan12]],$D$4:$O$4)/valUnits2</f>
        <v>0.44050800000000001</v>
      </c>
      <c r="AF1092" s="34">
        <f>SUMPRODUCT(DB_STProjectsSOF[[#This Row],[Act01]:[Act12]],$P$4:$AA$4)/valUnits2</f>
        <v>0.2009</v>
      </c>
      <c r="AG1092" s="34">
        <f>DB_STProjectsSOF[[#This Row],[Actual]]-DB_STProjectsSOF[[#This Row],[Plan]]</f>
        <v>-0.23960800000000002</v>
      </c>
      <c r="AH1092" s="34">
        <f>IF(DB_STProjectsSOF[[#This Row],[Plan]]&lt;&gt;0,DB_STProjectsSOF[[#This Row],[Actual]]/DB_STProjectsSOF[[#This Row],[Plan]],1.000011000011)</f>
        <v>0.45606436205471862</v>
      </c>
      <c r="AI1092" s="34">
        <f>SUM(DB_STProjectsSOF[[#This Row],[Plan01]:[Plan12]])/valUnits2</f>
        <v>1.8924300000000005</v>
      </c>
      <c r="AJ1092" s="34">
        <f>SUMPRODUCT(DB_STProjectsSOF[[#This Row],[Act01]:[Act12]],$P$3:$AA$3)/valUnits2</f>
        <v>0.2009</v>
      </c>
      <c r="AK1092" s="34">
        <f>IF(DB_STProjectsSOF[[#This Row],[FY Plan]]&lt;&gt;0,DB_STProjectsSOF[[#This Row],[FY Actuals]]/DB_STProjectsSOF[[#This Row],[FY Plan]],1.000011000011)</f>
        <v>0.10615980511828704</v>
      </c>
    </row>
    <row r="1093" spans="1:37" hidden="1" x14ac:dyDescent="0.2">
      <c r="A1093">
        <f>SUBTOTAL(3,$B$6:B1093)</f>
        <v>0</v>
      </c>
      <c r="B1093" t="s">
        <v>502</v>
      </c>
      <c r="C1093" t="s">
        <v>878</v>
      </c>
      <c r="D1093">
        <v>0</v>
      </c>
      <c r="E1093">
        <v>0</v>
      </c>
      <c r="F1093">
        <v>140.63800000000001</v>
      </c>
      <c r="G1093">
        <v>140.63800000000001</v>
      </c>
      <c r="H1093">
        <v>140.63800000000001</v>
      </c>
      <c r="I1093">
        <v>140.63800000000001</v>
      </c>
      <c r="J1093">
        <v>140.63800000000001</v>
      </c>
      <c r="K1093">
        <v>140.63800000000001</v>
      </c>
      <c r="L1093">
        <v>140.63800000000001</v>
      </c>
      <c r="M1093">
        <v>140.63800000000001</v>
      </c>
      <c r="N1093">
        <v>140.63800000000001</v>
      </c>
      <c r="O1093">
        <v>140.63800000000001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 s="164">
        <v>40969</v>
      </c>
      <c r="AC1093" s="164">
        <v>41333</v>
      </c>
      <c r="AD1093" s="164">
        <v>41364</v>
      </c>
      <c r="AE1093" s="34">
        <f>SUMPRODUCT(DB_STProjectsSOF[[#This Row],[Plan01]:[Plan12]],$D$4:$O$4)/valUnits2</f>
        <v>0.56255200000000005</v>
      </c>
      <c r="AF1093" s="34">
        <f>SUMPRODUCT(DB_STProjectsSOF[[#This Row],[Act01]:[Act12]],$P$4:$AA$4)/valUnits2</f>
        <v>0</v>
      </c>
      <c r="AG1093" s="34">
        <f>DB_STProjectsSOF[[#This Row],[Actual]]-DB_STProjectsSOF[[#This Row],[Plan]]</f>
        <v>-0.56255200000000005</v>
      </c>
      <c r="AH1093" s="34">
        <f>IF(DB_STProjectsSOF[[#This Row],[Plan]]&lt;&gt;0,DB_STProjectsSOF[[#This Row],[Actual]]/DB_STProjectsSOF[[#This Row],[Plan]],1.000011000011)</f>
        <v>0</v>
      </c>
      <c r="AI1093" s="34">
        <f>SUM(DB_STProjectsSOF[[#This Row],[Plan01]:[Plan12]])/valUnits2</f>
        <v>1.40638</v>
      </c>
      <c r="AJ1093" s="34">
        <f>SUMPRODUCT(DB_STProjectsSOF[[#This Row],[Act01]:[Act12]],$P$3:$AA$3)/valUnits2</f>
        <v>0</v>
      </c>
      <c r="AK1093" s="34">
        <f>IF(DB_STProjectsSOF[[#This Row],[FY Plan]]&lt;&gt;0,DB_STProjectsSOF[[#This Row],[FY Actuals]]/DB_STProjectsSOF[[#This Row],[FY Plan]],1.000011000011)</f>
        <v>0</v>
      </c>
    </row>
    <row r="1094" spans="1:37" hidden="1" x14ac:dyDescent="0.2">
      <c r="A1094">
        <f>SUBTOTAL(3,$B$6:B1094)</f>
        <v>0</v>
      </c>
      <c r="B1094" t="s">
        <v>502</v>
      </c>
      <c r="C1094" t="s">
        <v>881</v>
      </c>
      <c r="G1094">
        <v>785.51</v>
      </c>
      <c r="H1094">
        <v>376.98</v>
      </c>
      <c r="I1094">
        <v>86.346999999999994</v>
      </c>
      <c r="J1094">
        <v>172.69300000000001</v>
      </c>
      <c r="K1094">
        <v>86.346999999999994</v>
      </c>
      <c r="L1094">
        <v>86.346999999999994</v>
      </c>
      <c r="M1094">
        <v>86.346999999999994</v>
      </c>
      <c r="N1094">
        <v>86.346999999999994</v>
      </c>
      <c r="O1094">
        <v>172.69300000000001</v>
      </c>
      <c r="S1094">
        <v>785.51</v>
      </c>
      <c r="T1094">
        <v>376.98</v>
      </c>
      <c r="U1094">
        <v>406.02000000000004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 s="164">
        <v>41275</v>
      </c>
      <c r="AC1094" s="164">
        <v>41639</v>
      </c>
      <c r="AD1094" s="164">
        <v>41685</v>
      </c>
      <c r="AE1094" s="34">
        <f>SUMPRODUCT(DB_STProjectsSOF[[#This Row],[Plan01]:[Plan12]],$D$4:$O$4)/valUnits2</f>
        <v>1.248837</v>
      </c>
      <c r="AF1094" s="34">
        <f>SUMPRODUCT(DB_STProjectsSOF[[#This Row],[Act01]:[Act12]],$P$4:$AA$4)/valUnits2</f>
        <v>1.5685100000000001</v>
      </c>
      <c r="AG1094" s="34">
        <f>DB_STProjectsSOF[[#This Row],[Actual]]-DB_STProjectsSOF[[#This Row],[Plan]]</f>
        <v>0.3196730000000001</v>
      </c>
      <c r="AH1094" s="34">
        <f>IF(DB_STProjectsSOF[[#This Row],[Plan]]&lt;&gt;0,DB_STProjectsSOF[[#This Row],[Actual]]/DB_STProjectsSOF[[#This Row],[Plan]],1.000011000011)</f>
        <v>1.2559765605919748</v>
      </c>
      <c r="AI1094" s="34">
        <f>SUM(DB_STProjectsSOF[[#This Row],[Plan01]:[Plan12]])/valUnits2</f>
        <v>1.939611</v>
      </c>
      <c r="AJ1094" s="34">
        <f>SUMPRODUCT(DB_STProjectsSOF[[#This Row],[Act01]:[Act12]],$P$3:$AA$3)/valUnits2</f>
        <v>1.5685100000000001</v>
      </c>
      <c r="AK1094" s="34">
        <f>IF(DB_STProjectsSOF[[#This Row],[FY Plan]]&lt;&gt;0,DB_STProjectsSOF[[#This Row],[FY Actuals]]/DB_STProjectsSOF[[#This Row],[FY Plan]],1.000011000011)</f>
        <v>0.80867246061194753</v>
      </c>
    </row>
    <row r="1095" spans="1:37" hidden="1" x14ac:dyDescent="0.2">
      <c r="A1095">
        <f>SUBTOTAL(3,$B$6:B1095)</f>
        <v>0</v>
      </c>
      <c r="B1095" t="s">
        <v>502</v>
      </c>
      <c r="C1095" t="s">
        <v>882</v>
      </c>
      <c r="D1095">
        <v>0</v>
      </c>
      <c r="E1095">
        <v>0</v>
      </c>
      <c r="F1095">
        <v>0</v>
      </c>
      <c r="G1095">
        <v>339.86399999999998</v>
      </c>
      <c r="H1095">
        <v>163.54300000000001</v>
      </c>
      <c r="I1095">
        <v>139.495</v>
      </c>
      <c r="J1095">
        <v>139.495</v>
      </c>
      <c r="K1095">
        <v>139.495</v>
      </c>
      <c r="L1095">
        <v>139.495</v>
      </c>
      <c r="M1095">
        <v>139.495</v>
      </c>
      <c r="N1095">
        <v>139.495</v>
      </c>
      <c r="O1095">
        <v>139.495</v>
      </c>
      <c r="P1095">
        <v>0</v>
      </c>
      <c r="Q1095">
        <v>0</v>
      </c>
      <c r="R1095">
        <v>0</v>
      </c>
      <c r="S1095">
        <v>336.65</v>
      </c>
      <c r="T1095">
        <v>161.56</v>
      </c>
      <c r="U1095">
        <v>174.01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 s="164">
        <v>40817</v>
      </c>
      <c r="AC1095" s="164">
        <v>41913</v>
      </c>
      <c r="AD1095" s="164">
        <v>42005</v>
      </c>
      <c r="AE1095" s="34">
        <f>SUMPRODUCT(DB_STProjectsSOF[[#This Row],[Plan01]:[Plan12]],$D$4:$O$4)/valUnits2</f>
        <v>0.64290200000000008</v>
      </c>
      <c r="AF1095" s="34">
        <f>SUMPRODUCT(DB_STProjectsSOF[[#This Row],[Act01]:[Act12]],$P$4:$AA$4)/valUnits2</f>
        <v>0.67222000000000004</v>
      </c>
      <c r="AG1095" s="34">
        <f>DB_STProjectsSOF[[#This Row],[Actual]]-DB_STProjectsSOF[[#This Row],[Plan]]</f>
        <v>2.9317999999999955E-2</v>
      </c>
      <c r="AH1095" s="34">
        <f>IF(DB_STProjectsSOF[[#This Row],[Plan]]&lt;&gt;0,DB_STProjectsSOF[[#This Row],[Actual]]/DB_STProjectsSOF[[#This Row],[Plan]],1.000011000011)</f>
        <v>1.0456025957299868</v>
      </c>
      <c r="AI1095" s="34">
        <f>SUM(DB_STProjectsSOF[[#This Row],[Plan01]:[Plan12]])/valUnits2</f>
        <v>1.4798719999999999</v>
      </c>
      <c r="AJ1095" s="34">
        <f>SUMPRODUCT(DB_STProjectsSOF[[#This Row],[Act01]:[Act12]],$P$3:$AA$3)/valUnits2</f>
        <v>0.67222000000000004</v>
      </c>
      <c r="AK1095" s="34">
        <f>IF(DB_STProjectsSOF[[#This Row],[FY Plan]]&lt;&gt;0,DB_STProjectsSOF[[#This Row],[FY Actuals]]/DB_STProjectsSOF[[#This Row],[FY Plan]],1.000011000011)</f>
        <v>0.45424198849630243</v>
      </c>
    </row>
    <row r="1096" spans="1:37" hidden="1" x14ac:dyDescent="0.2">
      <c r="A1096">
        <f>SUBTOTAL(3,$B$6:B1096)</f>
        <v>0</v>
      </c>
      <c r="B1096" t="s">
        <v>502</v>
      </c>
      <c r="C1096" t="s">
        <v>883</v>
      </c>
      <c r="E1096">
        <v>231.935</v>
      </c>
      <c r="G1096">
        <v>1352.0159999999998</v>
      </c>
      <c r="H1096">
        <v>589.33600000000001</v>
      </c>
      <c r="I1096">
        <v>0</v>
      </c>
      <c r="Q1096">
        <v>237.1</v>
      </c>
      <c r="S1096">
        <v>1341.74</v>
      </c>
      <c r="T1096">
        <v>592.81999999999994</v>
      </c>
      <c r="U1096">
        <v>428.34000000000003</v>
      </c>
      <c r="AB1096" s="164">
        <v>40940</v>
      </c>
      <c r="AC1096" s="164">
        <v>41639</v>
      </c>
      <c r="AD1096" s="164">
        <v>41698</v>
      </c>
      <c r="AE1096" s="34">
        <f>SUMPRODUCT(DB_STProjectsSOF[[#This Row],[Plan01]:[Plan12]],$D$4:$O$4)/valUnits2</f>
        <v>2.1732869999999997</v>
      </c>
      <c r="AF1096" s="34">
        <f>SUMPRODUCT(DB_STProjectsSOF[[#This Row],[Act01]:[Act12]],$P$4:$AA$4)/valUnits2</f>
        <v>2.6</v>
      </c>
      <c r="AG1096" s="34">
        <f>DB_STProjectsSOF[[#This Row],[Actual]]-DB_STProjectsSOF[[#This Row],[Plan]]</f>
        <v>0.42671300000000034</v>
      </c>
      <c r="AH1096" s="34">
        <f>IF(DB_STProjectsSOF[[#This Row],[Plan]]&lt;&gt;0,DB_STProjectsSOF[[#This Row],[Actual]]/DB_STProjectsSOF[[#This Row],[Plan]],1.000011000011)</f>
        <v>1.196344523295819</v>
      </c>
      <c r="AI1096" s="34">
        <f>SUM(DB_STProjectsSOF[[#This Row],[Plan01]:[Plan12]])/valUnits2</f>
        <v>2.1732869999999997</v>
      </c>
      <c r="AJ1096" s="34">
        <f>SUMPRODUCT(DB_STProjectsSOF[[#This Row],[Act01]:[Act12]],$P$3:$AA$3)/valUnits2</f>
        <v>2.6</v>
      </c>
      <c r="AK1096" s="34">
        <f>IF(DB_STProjectsSOF[[#This Row],[FY Plan]]&lt;&gt;0,DB_STProjectsSOF[[#This Row],[FY Actuals]]/DB_STProjectsSOF[[#This Row],[FY Plan]],1.000011000011)</f>
        <v>1.196344523295819</v>
      </c>
    </row>
    <row r="1097" spans="1:37" hidden="1" x14ac:dyDescent="0.2">
      <c r="A1097">
        <f>SUBTOTAL(3,$B$6:B1097)</f>
        <v>0</v>
      </c>
      <c r="B1097" t="s">
        <v>502</v>
      </c>
      <c r="C1097" t="s">
        <v>885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379.43700000000001</v>
      </c>
      <c r="J1097">
        <v>379.43700000000001</v>
      </c>
      <c r="K1097">
        <v>379.43700000000001</v>
      </c>
      <c r="L1097">
        <v>379.43700000000001</v>
      </c>
      <c r="M1097">
        <v>379.43700000000001</v>
      </c>
      <c r="N1097">
        <v>379.43700000000001</v>
      </c>
      <c r="O1097">
        <v>379.43700000000001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 s="164">
        <v>40817</v>
      </c>
      <c r="AC1097" s="164">
        <v>41639</v>
      </c>
      <c r="AD1097" s="164">
        <v>41820</v>
      </c>
      <c r="AE1097" s="34">
        <f>SUMPRODUCT(DB_STProjectsSOF[[#This Row],[Plan01]:[Plan12]],$D$4:$O$4)/valUnits2</f>
        <v>0.37943700000000002</v>
      </c>
      <c r="AF1097" s="34">
        <f>SUMPRODUCT(DB_STProjectsSOF[[#This Row],[Act01]:[Act12]],$P$4:$AA$4)/valUnits2</f>
        <v>0</v>
      </c>
      <c r="AG1097" s="34">
        <f>DB_STProjectsSOF[[#This Row],[Actual]]-DB_STProjectsSOF[[#This Row],[Plan]]</f>
        <v>-0.37943700000000002</v>
      </c>
      <c r="AH1097" s="34">
        <f>IF(DB_STProjectsSOF[[#This Row],[Plan]]&lt;&gt;0,DB_STProjectsSOF[[#This Row],[Actual]]/DB_STProjectsSOF[[#This Row],[Plan]],1.000011000011)</f>
        <v>0</v>
      </c>
      <c r="AI1097" s="34">
        <f>SUM(DB_STProjectsSOF[[#This Row],[Plan01]:[Plan12]])/valUnits2</f>
        <v>2.6560589999999999</v>
      </c>
      <c r="AJ1097" s="34">
        <f>SUMPRODUCT(DB_STProjectsSOF[[#This Row],[Act01]:[Act12]],$P$3:$AA$3)/valUnits2</f>
        <v>0</v>
      </c>
      <c r="AK1097" s="34">
        <f>IF(DB_STProjectsSOF[[#This Row],[FY Plan]]&lt;&gt;0,DB_STProjectsSOF[[#This Row],[FY Actuals]]/DB_STProjectsSOF[[#This Row],[FY Plan]],1.000011000011)</f>
        <v>0</v>
      </c>
    </row>
    <row r="1098" spans="1:37" hidden="1" x14ac:dyDescent="0.2">
      <c r="A1098">
        <f>SUBTOTAL(3,$B$6:B1098)</f>
        <v>0</v>
      </c>
      <c r="B1098" t="s">
        <v>502</v>
      </c>
      <c r="C1098" t="s">
        <v>361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180.71299999999999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AB1098" s="164">
        <v>41091</v>
      </c>
      <c r="AC1098" s="164">
        <v>41455</v>
      </c>
      <c r="AD1098" s="164">
        <v>41486</v>
      </c>
      <c r="AE1098" s="34">
        <f>SUMPRODUCT(DB_STProjectsSOF[[#This Row],[Plan01]:[Plan12]],$D$4:$O$4)/valUnits2</f>
        <v>0.18071299999999998</v>
      </c>
      <c r="AF1098" s="34">
        <f>SUMPRODUCT(DB_STProjectsSOF[[#This Row],[Act01]:[Act12]],$P$4:$AA$4)/valUnits2</f>
        <v>0</v>
      </c>
      <c r="AG1098" s="34">
        <f>DB_STProjectsSOF[[#This Row],[Actual]]-DB_STProjectsSOF[[#This Row],[Plan]]</f>
        <v>-0.18071299999999998</v>
      </c>
      <c r="AH1098" s="34">
        <f>IF(DB_STProjectsSOF[[#This Row],[Plan]]&lt;&gt;0,DB_STProjectsSOF[[#This Row],[Actual]]/DB_STProjectsSOF[[#This Row],[Plan]],1.000011000011)</f>
        <v>0</v>
      </c>
      <c r="AI1098" s="34">
        <f>SUM(DB_STProjectsSOF[[#This Row],[Plan01]:[Plan12]])/valUnits2</f>
        <v>0.18071299999999998</v>
      </c>
      <c r="AJ1098" s="34">
        <f>SUMPRODUCT(DB_STProjectsSOF[[#This Row],[Act01]:[Act12]],$P$3:$AA$3)/valUnits2</f>
        <v>0</v>
      </c>
      <c r="AK1098" s="34">
        <f>IF(DB_STProjectsSOF[[#This Row],[FY Plan]]&lt;&gt;0,DB_STProjectsSOF[[#This Row],[FY Actuals]]/DB_STProjectsSOF[[#This Row],[FY Plan]],1.000011000011)</f>
        <v>0</v>
      </c>
    </row>
    <row r="1099" spans="1:37" hidden="1" x14ac:dyDescent="0.2">
      <c r="A1099">
        <f>SUBTOTAL(3,$B$6:B1099)</f>
        <v>0</v>
      </c>
      <c r="B1099" t="s">
        <v>502</v>
      </c>
      <c r="C1099" t="s">
        <v>358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379.21199999999999</v>
      </c>
      <c r="J1099">
        <v>379.21199999999999</v>
      </c>
      <c r="K1099">
        <v>379.21199999999999</v>
      </c>
      <c r="L1099">
        <v>379.21199999999999</v>
      </c>
      <c r="M1099">
        <v>379.21199999999999</v>
      </c>
      <c r="N1099">
        <v>379.21199999999999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B1099" s="164">
        <v>41091</v>
      </c>
      <c r="AC1099" s="164">
        <v>41455</v>
      </c>
      <c r="AD1099" s="164">
        <v>41517</v>
      </c>
      <c r="AE1099" s="34">
        <f>SUMPRODUCT(DB_STProjectsSOF[[#This Row],[Plan01]:[Plan12]],$D$4:$O$4)/valUnits2</f>
        <v>0.37921199999999999</v>
      </c>
      <c r="AF1099" s="34">
        <f>SUMPRODUCT(DB_STProjectsSOF[[#This Row],[Act01]:[Act12]],$P$4:$AA$4)/valUnits2</f>
        <v>0</v>
      </c>
      <c r="AG1099" s="34">
        <f>DB_STProjectsSOF[[#This Row],[Actual]]-DB_STProjectsSOF[[#This Row],[Plan]]</f>
        <v>-0.37921199999999999</v>
      </c>
      <c r="AH1099" s="34">
        <f>IF(DB_STProjectsSOF[[#This Row],[Plan]]&lt;&gt;0,DB_STProjectsSOF[[#This Row],[Actual]]/DB_STProjectsSOF[[#This Row],[Plan]],1.000011000011)</f>
        <v>0</v>
      </c>
      <c r="AI1099" s="34">
        <f>SUM(DB_STProjectsSOF[[#This Row],[Plan01]:[Plan12]])/valUnits2</f>
        <v>2.2752719999999997</v>
      </c>
      <c r="AJ1099" s="34">
        <f>SUMPRODUCT(DB_STProjectsSOF[[#This Row],[Act01]:[Act12]],$P$3:$AA$3)/valUnits2</f>
        <v>0</v>
      </c>
      <c r="AK1099" s="34">
        <f>IF(DB_STProjectsSOF[[#This Row],[FY Plan]]&lt;&gt;0,DB_STProjectsSOF[[#This Row],[FY Actuals]]/DB_STProjectsSOF[[#This Row],[FY Plan]],1.000011000011)</f>
        <v>0</v>
      </c>
    </row>
    <row r="1100" spans="1:37" hidden="1" x14ac:dyDescent="0.2">
      <c r="A1100">
        <f>SUBTOTAL(3,$B$6:B1100)</f>
        <v>0</v>
      </c>
      <c r="B1100" t="s">
        <v>502</v>
      </c>
      <c r="C1100" t="s">
        <v>891</v>
      </c>
      <c r="H1100">
        <v>0</v>
      </c>
      <c r="I1100">
        <v>317.27199999999999</v>
      </c>
      <c r="J1100">
        <v>317.27199999999999</v>
      </c>
      <c r="K1100">
        <v>317.27199999999999</v>
      </c>
      <c r="L1100">
        <v>317.27199999999999</v>
      </c>
      <c r="M1100">
        <v>317.27199999999999</v>
      </c>
      <c r="N1100">
        <v>317.27199999999999</v>
      </c>
      <c r="O1100">
        <v>317.27199999999999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 s="164">
        <v>41214</v>
      </c>
      <c r="AC1100" s="164">
        <v>42308</v>
      </c>
      <c r="AD1100" s="164">
        <v>42389</v>
      </c>
      <c r="AE1100" s="34">
        <f>SUMPRODUCT(DB_STProjectsSOF[[#This Row],[Plan01]:[Plan12]],$D$4:$O$4)/valUnits2</f>
        <v>0.317272</v>
      </c>
      <c r="AF1100" s="34">
        <f>SUMPRODUCT(DB_STProjectsSOF[[#This Row],[Act01]:[Act12]],$P$4:$AA$4)/valUnits2</f>
        <v>0</v>
      </c>
      <c r="AG1100" s="34">
        <f>DB_STProjectsSOF[[#This Row],[Actual]]-DB_STProjectsSOF[[#This Row],[Plan]]</f>
        <v>-0.317272</v>
      </c>
      <c r="AH1100" s="34">
        <f>IF(DB_STProjectsSOF[[#This Row],[Plan]]&lt;&gt;0,DB_STProjectsSOF[[#This Row],[Actual]]/DB_STProjectsSOF[[#This Row],[Plan]],1.000011000011)</f>
        <v>0</v>
      </c>
      <c r="AI1100" s="34">
        <f>SUM(DB_STProjectsSOF[[#This Row],[Plan01]:[Plan12]])/valUnits2</f>
        <v>2.220904</v>
      </c>
      <c r="AJ1100" s="34">
        <f>SUMPRODUCT(DB_STProjectsSOF[[#This Row],[Act01]:[Act12]],$P$3:$AA$3)/valUnits2</f>
        <v>0</v>
      </c>
      <c r="AK1100" s="34">
        <f>IF(DB_STProjectsSOF[[#This Row],[FY Plan]]&lt;&gt;0,DB_STProjectsSOF[[#This Row],[FY Actuals]]/DB_STProjectsSOF[[#This Row],[FY Plan]],1.000011000011)</f>
        <v>0</v>
      </c>
    </row>
    <row r="1101" spans="1:37" hidden="1" x14ac:dyDescent="0.2">
      <c r="A1101">
        <f>SUBTOTAL(3,$B$6:B1101)</f>
        <v>0</v>
      </c>
      <c r="B1101" t="s">
        <v>502</v>
      </c>
      <c r="C1101" t="s">
        <v>896</v>
      </c>
      <c r="D1101">
        <v>0</v>
      </c>
      <c r="E1101">
        <v>0</v>
      </c>
      <c r="F1101">
        <v>0</v>
      </c>
      <c r="G1101">
        <v>2321.1120000000001</v>
      </c>
      <c r="H1101">
        <v>1583.3340000000001</v>
      </c>
      <c r="I1101">
        <v>535.10300000000007</v>
      </c>
      <c r="J1101">
        <v>535.10300000000007</v>
      </c>
      <c r="K1101">
        <v>535.10300000000007</v>
      </c>
      <c r="L1101">
        <v>535.10300000000007</v>
      </c>
      <c r="M1101">
        <v>535.10300000000007</v>
      </c>
      <c r="N1101">
        <v>535.10300000000007</v>
      </c>
      <c r="O1101">
        <v>535.10300000000007</v>
      </c>
      <c r="P1101">
        <v>0</v>
      </c>
      <c r="Q1101">
        <v>0</v>
      </c>
      <c r="R1101">
        <v>0</v>
      </c>
      <c r="S1101">
        <v>2306.7599999999998</v>
      </c>
      <c r="T1101">
        <v>1578.99</v>
      </c>
      <c r="U1101">
        <v>1348.46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 s="164">
        <v>40817</v>
      </c>
      <c r="AC1101" s="164">
        <v>41639</v>
      </c>
      <c r="AD1101" s="164">
        <v>41820</v>
      </c>
      <c r="AE1101" s="34">
        <f>SUMPRODUCT(DB_STProjectsSOF[[#This Row],[Plan01]:[Plan12]],$D$4:$O$4)/valUnits2</f>
        <v>4.4395490000000004</v>
      </c>
      <c r="AF1101" s="34">
        <f>SUMPRODUCT(DB_STProjectsSOF[[#This Row],[Act01]:[Act12]],$P$4:$AA$4)/valUnits2</f>
        <v>5.23421</v>
      </c>
      <c r="AG1101" s="34">
        <f>DB_STProjectsSOF[[#This Row],[Actual]]-DB_STProjectsSOF[[#This Row],[Plan]]</f>
        <v>0.79466099999999962</v>
      </c>
      <c r="AH1101" s="34">
        <f>IF(DB_STProjectsSOF[[#This Row],[Plan]]&lt;&gt;0,DB_STProjectsSOF[[#This Row],[Actual]]/DB_STProjectsSOF[[#This Row],[Plan]],1.000011000011)</f>
        <v>1.1789958844918706</v>
      </c>
      <c r="AI1101" s="34">
        <f>SUM(DB_STProjectsSOF[[#This Row],[Plan01]:[Plan12]])/valUnits2</f>
        <v>7.6501670000000006</v>
      </c>
      <c r="AJ1101" s="34">
        <f>SUMPRODUCT(DB_STProjectsSOF[[#This Row],[Act01]:[Act12]],$P$3:$AA$3)/valUnits2</f>
        <v>5.23421</v>
      </c>
      <c r="AK1101" s="34">
        <f>IF(DB_STProjectsSOF[[#This Row],[FY Plan]]&lt;&gt;0,DB_STProjectsSOF[[#This Row],[FY Actuals]]/DB_STProjectsSOF[[#This Row],[FY Plan]],1.000011000011)</f>
        <v>0.68419552148338714</v>
      </c>
    </row>
    <row r="1102" spans="1:37" hidden="1" x14ac:dyDescent="0.2">
      <c r="A1102">
        <f>SUBTOTAL(3,$B$6:B1102)</f>
        <v>0</v>
      </c>
      <c r="B1102" t="s">
        <v>502</v>
      </c>
      <c r="C1102" t="s">
        <v>903</v>
      </c>
      <c r="G1102">
        <v>0</v>
      </c>
      <c r="H1102">
        <v>0</v>
      </c>
      <c r="I1102">
        <v>135.37700000000001</v>
      </c>
      <c r="J1102">
        <v>135.37700000000001</v>
      </c>
      <c r="K1102">
        <v>135.37700000000001</v>
      </c>
      <c r="L1102">
        <v>135.37700000000001</v>
      </c>
      <c r="M1102">
        <v>135.37700000000001</v>
      </c>
      <c r="N1102">
        <v>135.37700000000001</v>
      </c>
      <c r="O1102">
        <v>135.37700000000001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 s="164">
        <v>41275</v>
      </c>
      <c r="AC1102" s="164">
        <v>41639</v>
      </c>
      <c r="AD1102" s="164">
        <v>41670</v>
      </c>
      <c r="AE1102" s="34">
        <f>SUMPRODUCT(DB_STProjectsSOF[[#This Row],[Plan01]:[Plan12]],$D$4:$O$4)/valUnits2</f>
        <v>0.135377</v>
      </c>
      <c r="AF1102" s="34">
        <f>SUMPRODUCT(DB_STProjectsSOF[[#This Row],[Act01]:[Act12]],$P$4:$AA$4)/valUnits2</f>
        <v>0</v>
      </c>
      <c r="AG1102" s="34">
        <f>DB_STProjectsSOF[[#This Row],[Actual]]-DB_STProjectsSOF[[#This Row],[Plan]]</f>
        <v>-0.135377</v>
      </c>
      <c r="AH1102" s="34">
        <f>IF(DB_STProjectsSOF[[#This Row],[Plan]]&lt;&gt;0,DB_STProjectsSOF[[#This Row],[Actual]]/DB_STProjectsSOF[[#This Row],[Plan]],1.000011000011)</f>
        <v>0</v>
      </c>
      <c r="AI1102" s="34">
        <f>SUM(DB_STProjectsSOF[[#This Row],[Plan01]:[Plan12]])/valUnits2</f>
        <v>0.9476389999999999</v>
      </c>
      <c r="AJ1102" s="34">
        <f>SUMPRODUCT(DB_STProjectsSOF[[#This Row],[Act01]:[Act12]],$P$3:$AA$3)/valUnits2</f>
        <v>0</v>
      </c>
      <c r="AK1102" s="34">
        <f>IF(DB_STProjectsSOF[[#This Row],[FY Plan]]&lt;&gt;0,DB_STProjectsSOF[[#This Row],[FY Actuals]]/DB_STProjectsSOF[[#This Row],[FY Plan]],1.000011000011)</f>
        <v>0</v>
      </c>
    </row>
    <row r="1103" spans="1:37" hidden="1" x14ac:dyDescent="0.2">
      <c r="A1103">
        <f>SUBTOTAL(3,$B$6:B1103)</f>
        <v>0</v>
      </c>
      <c r="B1103" t="s">
        <v>502</v>
      </c>
      <c r="C1103" t="s">
        <v>365</v>
      </c>
      <c r="G1103">
        <v>0</v>
      </c>
      <c r="H1103">
        <v>0</v>
      </c>
      <c r="I1103">
        <v>52.024999999999999</v>
      </c>
      <c r="J1103">
        <v>52.024999999999999</v>
      </c>
      <c r="K1103">
        <v>52.024999999999999</v>
      </c>
      <c r="S1103">
        <v>0</v>
      </c>
      <c r="T1103">
        <v>0</v>
      </c>
      <c r="U1103">
        <v>0</v>
      </c>
      <c r="V1103">
        <v>0</v>
      </c>
      <c r="W1103">
        <v>0</v>
      </c>
      <c r="AB1103" s="164">
        <v>40878</v>
      </c>
      <c r="AC1103" s="164">
        <v>41517</v>
      </c>
      <c r="AD1103" s="164">
        <v>41547</v>
      </c>
      <c r="AE1103" s="34">
        <f>SUMPRODUCT(DB_STProjectsSOF[[#This Row],[Plan01]:[Plan12]],$D$4:$O$4)/valUnits2</f>
        <v>5.2025000000000002E-2</v>
      </c>
      <c r="AF1103" s="34">
        <f>SUMPRODUCT(DB_STProjectsSOF[[#This Row],[Act01]:[Act12]],$P$4:$AA$4)/valUnits2</f>
        <v>0</v>
      </c>
      <c r="AG1103" s="34">
        <f>DB_STProjectsSOF[[#This Row],[Actual]]-DB_STProjectsSOF[[#This Row],[Plan]]</f>
        <v>-5.2025000000000002E-2</v>
      </c>
      <c r="AH1103" s="34">
        <f>IF(DB_STProjectsSOF[[#This Row],[Plan]]&lt;&gt;0,DB_STProjectsSOF[[#This Row],[Actual]]/DB_STProjectsSOF[[#This Row],[Plan]],1.000011000011)</f>
        <v>0</v>
      </c>
      <c r="AI1103" s="34">
        <f>SUM(DB_STProjectsSOF[[#This Row],[Plan01]:[Plan12]])/valUnits2</f>
        <v>0.15607499999999999</v>
      </c>
      <c r="AJ1103" s="34">
        <f>SUMPRODUCT(DB_STProjectsSOF[[#This Row],[Act01]:[Act12]],$P$3:$AA$3)/valUnits2</f>
        <v>0</v>
      </c>
      <c r="AK1103" s="34">
        <f>IF(DB_STProjectsSOF[[#This Row],[FY Plan]]&lt;&gt;0,DB_STProjectsSOF[[#This Row],[FY Actuals]]/DB_STProjectsSOF[[#This Row],[FY Plan]],1.000011000011)</f>
        <v>0</v>
      </c>
    </row>
    <row r="1104" spans="1:37" hidden="1" x14ac:dyDescent="0.2">
      <c r="A1104">
        <f>SUBTOTAL(3,$B$6:B1104)</f>
        <v>0</v>
      </c>
      <c r="B1104" t="s">
        <v>502</v>
      </c>
      <c r="C1104" t="s">
        <v>904</v>
      </c>
      <c r="D1104">
        <v>7.5190000000000001</v>
      </c>
      <c r="P1104">
        <v>7.51</v>
      </c>
      <c r="AB1104" s="164">
        <v>40817</v>
      </c>
      <c r="AC1104" s="164">
        <v>41639</v>
      </c>
      <c r="AD1104" s="164">
        <v>41698</v>
      </c>
      <c r="AE1104" s="34">
        <f>SUMPRODUCT(DB_STProjectsSOF[[#This Row],[Plan01]:[Plan12]],$D$4:$O$4)/valUnits2</f>
        <v>7.5190000000000005E-3</v>
      </c>
      <c r="AF1104" s="34">
        <f>SUMPRODUCT(DB_STProjectsSOF[[#This Row],[Act01]:[Act12]],$P$4:$AA$4)/valUnits2</f>
        <v>7.5100000000000002E-3</v>
      </c>
      <c r="AG1104" s="34">
        <f>DB_STProjectsSOF[[#This Row],[Actual]]-DB_STProjectsSOF[[#This Row],[Plan]]</f>
        <v>-9.0000000000003272E-6</v>
      </c>
      <c r="AH1104" s="34">
        <f>IF(DB_STProjectsSOF[[#This Row],[Plan]]&lt;&gt;0,DB_STProjectsSOF[[#This Row],[Actual]]/DB_STProjectsSOF[[#This Row],[Plan]],1.000011000011)</f>
        <v>0.99880303231812739</v>
      </c>
      <c r="AI1104" s="34">
        <f>SUM(DB_STProjectsSOF[[#This Row],[Plan01]:[Plan12]])/valUnits2</f>
        <v>7.5190000000000005E-3</v>
      </c>
      <c r="AJ1104" s="34">
        <f>SUMPRODUCT(DB_STProjectsSOF[[#This Row],[Act01]:[Act12]],$P$3:$AA$3)/valUnits2</f>
        <v>7.5100000000000002E-3</v>
      </c>
      <c r="AK1104" s="34">
        <f>IF(DB_STProjectsSOF[[#This Row],[FY Plan]]&lt;&gt;0,DB_STProjectsSOF[[#This Row],[FY Actuals]]/DB_STProjectsSOF[[#This Row],[FY Plan]],1.000011000011)</f>
        <v>0.99880303231812739</v>
      </c>
    </row>
    <row r="1105" spans="1:37" hidden="1" x14ac:dyDescent="0.2">
      <c r="A1105">
        <f>SUBTOTAL(3,$B$6:B1105)</f>
        <v>0</v>
      </c>
      <c r="B1105" t="s">
        <v>502</v>
      </c>
      <c r="C1105" t="s">
        <v>909</v>
      </c>
      <c r="D1105">
        <v>31.33</v>
      </c>
      <c r="E1105">
        <v>1230.48</v>
      </c>
      <c r="F1105">
        <v>1694.4199999999998</v>
      </c>
      <c r="G1105">
        <v>2354.4699999999998</v>
      </c>
      <c r="H1105">
        <v>1330.21</v>
      </c>
      <c r="I1105">
        <v>1193</v>
      </c>
      <c r="J1105">
        <v>1193</v>
      </c>
      <c r="K1105">
        <v>1193</v>
      </c>
      <c r="L1105">
        <v>1193</v>
      </c>
      <c r="M1105">
        <v>1193</v>
      </c>
      <c r="N1105">
        <v>1193</v>
      </c>
      <c r="O1105">
        <v>1193</v>
      </c>
      <c r="P1105">
        <v>31.33</v>
      </c>
      <c r="Q1105">
        <v>1230.48</v>
      </c>
      <c r="R1105">
        <v>1694.4199999999998</v>
      </c>
      <c r="S1105">
        <v>2354.4699999999998</v>
      </c>
      <c r="T1105">
        <v>1330.2099999999998</v>
      </c>
      <c r="U1105">
        <v>1082.6000000000001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 s="164">
        <v>40817</v>
      </c>
      <c r="AC1105" s="164">
        <v>42155</v>
      </c>
      <c r="AD1105" s="164">
        <v>42217</v>
      </c>
      <c r="AE1105" s="34">
        <f>SUMPRODUCT(DB_STProjectsSOF[[#This Row],[Plan01]:[Plan12]],$D$4:$O$4)/valUnits2</f>
        <v>7.8339099999999986</v>
      </c>
      <c r="AF1105" s="34">
        <f>SUMPRODUCT(DB_STProjectsSOF[[#This Row],[Act01]:[Act12]],$P$4:$AA$4)/valUnits2</f>
        <v>7.7235099999999992</v>
      </c>
      <c r="AG1105" s="34">
        <f>DB_STProjectsSOF[[#This Row],[Actual]]-DB_STProjectsSOF[[#This Row],[Plan]]</f>
        <v>-0.11039999999999939</v>
      </c>
      <c r="AH1105" s="34">
        <f>IF(DB_STProjectsSOF[[#This Row],[Plan]]&lt;&gt;0,DB_STProjectsSOF[[#This Row],[Actual]]/DB_STProjectsSOF[[#This Row],[Plan]],1.000011000011)</f>
        <v>0.98590742043245339</v>
      </c>
      <c r="AI1105" s="34">
        <f>SUM(DB_STProjectsSOF[[#This Row],[Plan01]:[Plan12]])/valUnits2</f>
        <v>14.991910000000001</v>
      </c>
      <c r="AJ1105" s="34">
        <f>SUMPRODUCT(DB_STProjectsSOF[[#This Row],[Act01]:[Act12]],$P$3:$AA$3)/valUnits2</f>
        <v>7.7235099999999992</v>
      </c>
      <c r="AK1105" s="34">
        <f>IF(DB_STProjectsSOF[[#This Row],[FY Plan]]&lt;&gt;0,DB_STProjectsSOF[[#This Row],[FY Actuals]]/DB_STProjectsSOF[[#This Row],[FY Plan]],1.000011000011)</f>
        <v>0.51517851961491223</v>
      </c>
    </row>
    <row r="1106" spans="1:37" hidden="1" x14ac:dyDescent="0.2">
      <c r="A1106">
        <f>SUBTOTAL(3,$B$6:B1106)</f>
        <v>0</v>
      </c>
      <c r="B1106" t="s">
        <v>502</v>
      </c>
      <c r="C1106" t="s">
        <v>354</v>
      </c>
      <c r="G1106">
        <v>0</v>
      </c>
      <c r="H1106">
        <v>0</v>
      </c>
      <c r="I1106">
        <v>297.35399999999998</v>
      </c>
      <c r="S1106">
        <v>0</v>
      </c>
      <c r="T1106">
        <v>0</v>
      </c>
      <c r="U1106">
        <v>0</v>
      </c>
      <c r="AB1106" s="164">
        <v>41091</v>
      </c>
      <c r="AC1106" s="164">
        <v>41455</v>
      </c>
      <c r="AD1106" s="164">
        <v>41517</v>
      </c>
      <c r="AE1106" s="34">
        <f>SUMPRODUCT(DB_STProjectsSOF[[#This Row],[Plan01]:[Plan12]],$D$4:$O$4)/valUnits2</f>
        <v>0.29735400000000001</v>
      </c>
      <c r="AF1106" s="34">
        <f>SUMPRODUCT(DB_STProjectsSOF[[#This Row],[Act01]:[Act12]],$P$4:$AA$4)/valUnits2</f>
        <v>0</v>
      </c>
      <c r="AG1106" s="34">
        <f>DB_STProjectsSOF[[#This Row],[Actual]]-DB_STProjectsSOF[[#This Row],[Plan]]</f>
        <v>-0.29735400000000001</v>
      </c>
      <c r="AH1106" s="34">
        <f>IF(DB_STProjectsSOF[[#This Row],[Plan]]&lt;&gt;0,DB_STProjectsSOF[[#This Row],[Actual]]/DB_STProjectsSOF[[#This Row],[Plan]],1.000011000011)</f>
        <v>0</v>
      </c>
      <c r="AI1106" s="34">
        <f>SUM(DB_STProjectsSOF[[#This Row],[Plan01]:[Plan12]])/valUnits2</f>
        <v>0.29735400000000001</v>
      </c>
      <c r="AJ1106" s="34">
        <f>SUMPRODUCT(DB_STProjectsSOF[[#This Row],[Act01]:[Act12]],$P$3:$AA$3)/valUnits2</f>
        <v>0</v>
      </c>
      <c r="AK1106" s="34">
        <f>IF(DB_STProjectsSOF[[#This Row],[FY Plan]]&lt;&gt;0,DB_STProjectsSOF[[#This Row],[FY Actuals]]/DB_STProjectsSOF[[#This Row],[FY Plan]],1.000011000011)</f>
        <v>0</v>
      </c>
    </row>
    <row r="1107" spans="1:37" hidden="1" x14ac:dyDescent="0.2">
      <c r="A1107">
        <f>SUBTOTAL(3,$B$6:B1107)</f>
        <v>0</v>
      </c>
      <c r="B1107" t="s">
        <v>502</v>
      </c>
      <c r="C1107" t="s">
        <v>911</v>
      </c>
      <c r="E1107">
        <v>173.28</v>
      </c>
      <c r="F1107">
        <v>245.71</v>
      </c>
      <c r="G1107">
        <v>1013.63</v>
      </c>
      <c r="H1107">
        <v>299.37</v>
      </c>
      <c r="I1107">
        <v>0</v>
      </c>
      <c r="Q1107">
        <v>173.28</v>
      </c>
      <c r="R1107">
        <v>245.70999999999998</v>
      </c>
      <c r="S1107">
        <v>1013.63</v>
      </c>
      <c r="T1107">
        <v>299.37</v>
      </c>
      <c r="U1107">
        <v>278.2</v>
      </c>
      <c r="AB1107" s="164">
        <v>40817</v>
      </c>
      <c r="AC1107" s="164">
        <v>41578</v>
      </c>
      <c r="AD1107" s="164">
        <v>41639</v>
      </c>
      <c r="AE1107" s="34">
        <f>SUMPRODUCT(DB_STProjectsSOF[[#This Row],[Plan01]:[Plan12]],$D$4:$O$4)/valUnits2</f>
        <v>1.7319899999999997</v>
      </c>
      <c r="AF1107" s="34">
        <f>SUMPRODUCT(DB_STProjectsSOF[[#This Row],[Act01]:[Act12]],$P$4:$AA$4)/valUnits2</f>
        <v>2.0101899999999997</v>
      </c>
      <c r="AG1107" s="34">
        <f>DB_STProjectsSOF[[#This Row],[Actual]]-DB_STProjectsSOF[[#This Row],[Plan]]</f>
        <v>0.2782</v>
      </c>
      <c r="AH1107" s="34">
        <f>IF(DB_STProjectsSOF[[#This Row],[Plan]]&lt;&gt;0,DB_STProjectsSOF[[#This Row],[Actual]]/DB_STProjectsSOF[[#This Row],[Plan]],1.000011000011)</f>
        <v>1.1606244839750808</v>
      </c>
      <c r="AI1107" s="34">
        <f>SUM(DB_STProjectsSOF[[#This Row],[Plan01]:[Plan12]])/valUnits2</f>
        <v>1.7319899999999997</v>
      </c>
      <c r="AJ1107" s="34">
        <f>SUMPRODUCT(DB_STProjectsSOF[[#This Row],[Act01]:[Act12]],$P$3:$AA$3)/valUnits2</f>
        <v>2.0101899999999997</v>
      </c>
      <c r="AK1107" s="34">
        <f>IF(DB_STProjectsSOF[[#This Row],[FY Plan]]&lt;&gt;0,DB_STProjectsSOF[[#This Row],[FY Actuals]]/DB_STProjectsSOF[[#This Row],[FY Plan]],1.000011000011)</f>
        <v>1.1606244839750808</v>
      </c>
    </row>
    <row r="1108" spans="1:37" hidden="1" x14ac:dyDescent="0.2">
      <c r="A1108">
        <f>SUBTOTAL(3,$B$6:B1108)</f>
        <v>0</v>
      </c>
      <c r="B1108" t="s">
        <v>502</v>
      </c>
      <c r="C1108" t="s">
        <v>913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84.236000000000004</v>
      </c>
      <c r="J1108">
        <v>84.236000000000004</v>
      </c>
      <c r="K1108">
        <v>84.236000000000004</v>
      </c>
      <c r="L1108">
        <v>84.236000000000004</v>
      </c>
      <c r="M1108">
        <v>84.236000000000004</v>
      </c>
      <c r="N1108">
        <v>84.236000000000004</v>
      </c>
      <c r="O1108">
        <v>84.236000000000004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 s="164">
        <v>40817</v>
      </c>
      <c r="AC1108" s="164">
        <v>41639</v>
      </c>
      <c r="AD1108" s="164">
        <v>41685</v>
      </c>
      <c r="AE1108" s="34">
        <f>SUMPRODUCT(DB_STProjectsSOF[[#This Row],[Plan01]:[Plan12]],$D$4:$O$4)/valUnits2</f>
        <v>8.4236000000000005E-2</v>
      </c>
      <c r="AF1108" s="34">
        <f>SUMPRODUCT(DB_STProjectsSOF[[#This Row],[Act01]:[Act12]],$P$4:$AA$4)/valUnits2</f>
        <v>0</v>
      </c>
      <c r="AG1108" s="34">
        <f>DB_STProjectsSOF[[#This Row],[Actual]]-DB_STProjectsSOF[[#This Row],[Plan]]</f>
        <v>-8.4236000000000005E-2</v>
      </c>
      <c r="AH1108" s="34">
        <f>IF(DB_STProjectsSOF[[#This Row],[Plan]]&lt;&gt;0,DB_STProjectsSOF[[#This Row],[Actual]]/DB_STProjectsSOF[[#This Row],[Plan]],1.000011000011)</f>
        <v>0</v>
      </c>
      <c r="AI1108" s="34">
        <f>SUM(DB_STProjectsSOF[[#This Row],[Plan01]:[Plan12]])/valUnits2</f>
        <v>0.58965200000000006</v>
      </c>
      <c r="AJ1108" s="34">
        <f>SUMPRODUCT(DB_STProjectsSOF[[#This Row],[Act01]:[Act12]],$P$3:$AA$3)/valUnits2</f>
        <v>0</v>
      </c>
      <c r="AK1108" s="34">
        <f>IF(DB_STProjectsSOF[[#This Row],[FY Plan]]&lt;&gt;0,DB_STProjectsSOF[[#This Row],[FY Actuals]]/DB_STProjectsSOF[[#This Row],[FY Plan]],1.000011000011)</f>
        <v>0</v>
      </c>
    </row>
    <row r="1109" spans="1:37" hidden="1" x14ac:dyDescent="0.2">
      <c r="A1109">
        <f>SUBTOTAL(3,$B$6:B1109)</f>
        <v>0</v>
      </c>
      <c r="B1109" t="s">
        <v>502</v>
      </c>
      <c r="C1109" t="s">
        <v>915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43.953000000000003</v>
      </c>
      <c r="J1109">
        <v>43.953000000000003</v>
      </c>
      <c r="K1109">
        <v>43.953000000000003</v>
      </c>
      <c r="L1109">
        <v>43.953000000000003</v>
      </c>
      <c r="M1109">
        <v>43.953000000000003</v>
      </c>
      <c r="N1109">
        <v>43.953000000000003</v>
      </c>
      <c r="O1109">
        <v>43.953000000000003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 s="164">
        <v>41061</v>
      </c>
      <c r="AC1109" s="164">
        <v>42155</v>
      </c>
      <c r="AD1109" s="164">
        <v>42185</v>
      </c>
      <c r="AE1109" s="34">
        <f>SUMPRODUCT(DB_STProjectsSOF[[#This Row],[Plan01]:[Plan12]],$D$4:$O$4)/valUnits2</f>
        <v>4.3953000000000006E-2</v>
      </c>
      <c r="AF1109" s="34">
        <f>SUMPRODUCT(DB_STProjectsSOF[[#This Row],[Act01]:[Act12]],$P$4:$AA$4)/valUnits2</f>
        <v>0</v>
      </c>
      <c r="AG1109" s="34">
        <f>DB_STProjectsSOF[[#This Row],[Actual]]-DB_STProjectsSOF[[#This Row],[Plan]]</f>
        <v>-4.3953000000000006E-2</v>
      </c>
      <c r="AH1109" s="34">
        <f>IF(DB_STProjectsSOF[[#This Row],[Plan]]&lt;&gt;0,DB_STProjectsSOF[[#This Row],[Actual]]/DB_STProjectsSOF[[#This Row],[Plan]],1.000011000011)</f>
        <v>0</v>
      </c>
      <c r="AI1109" s="34">
        <f>SUM(DB_STProjectsSOF[[#This Row],[Plan01]:[Plan12]])/valUnits2</f>
        <v>0.30767100000000003</v>
      </c>
      <c r="AJ1109" s="34">
        <f>SUMPRODUCT(DB_STProjectsSOF[[#This Row],[Act01]:[Act12]],$P$3:$AA$3)/valUnits2</f>
        <v>0</v>
      </c>
      <c r="AK1109" s="34">
        <f>IF(DB_STProjectsSOF[[#This Row],[FY Plan]]&lt;&gt;0,DB_STProjectsSOF[[#This Row],[FY Actuals]]/DB_STProjectsSOF[[#This Row],[FY Plan]],1.000011000011)</f>
        <v>0</v>
      </c>
    </row>
    <row r="1110" spans="1:37" hidden="1" x14ac:dyDescent="0.2">
      <c r="A1110">
        <f>SUBTOTAL(3,$B$6:B1110)</f>
        <v>0</v>
      </c>
      <c r="B1110" t="s">
        <v>502</v>
      </c>
      <c r="C1110" t="s">
        <v>356</v>
      </c>
      <c r="G1110">
        <v>0</v>
      </c>
      <c r="H1110">
        <v>0</v>
      </c>
      <c r="I1110">
        <v>378.20799999999997</v>
      </c>
      <c r="S1110">
        <v>0</v>
      </c>
      <c r="T1110">
        <v>0</v>
      </c>
      <c r="U1110">
        <v>0</v>
      </c>
      <c r="AB1110" s="164">
        <v>41091</v>
      </c>
      <c r="AC1110" s="164">
        <v>41455</v>
      </c>
      <c r="AD1110" s="164">
        <v>41547</v>
      </c>
      <c r="AE1110" s="34">
        <f>SUMPRODUCT(DB_STProjectsSOF[[#This Row],[Plan01]:[Plan12]],$D$4:$O$4)/valUnits2</f>
        <v>0.37820799999999999</v>
      </c>
      <c r="AF1110" s="34">
        <f>SUMPRODUCT(DB_STProjectsSOF[[#This Row],[Act01]:[Act12]],$P$4:$AA$4)/valUnits2</f>
        <v>0</v>
      </c>
      <c r="AG1110" s="34">
        <f>DB_STProjectsSOF[[#This Row],[Actual]]-DB_STProjectsSOF[[#This Row],[Plan]]</f>
        <v>-0.37820799999999999</v>
      </c>
      <c r="AH1110" s="34">
        <f>IF(DB_STProjectsSOF[[#This Row],[Plan]]&lt;&gt;0,DB_STProjectsSOF[[#This Row],[Actual]]/DB_STProjectsSOF[[#This Row],[Plan]],1.000011000011)</f>
        <v>0</v>
      </c>
      <c r="AI1110" s="34">
        <f>SUM(DB_STProjectsSOF[[#This Row],[Plan01]:[Plan12]])/valUnits2</f>
        <v>0.37820799999999999</v>
      </c>
      <c r="AJ1110" s="34">
        <f>SUMPRODUCT(DB_STProjectsSOF[[#This Row],[Act01]:[Act12]],$P$3:$AA$3)/valUnits2</f>
        <v>0</v>
      </c>
      <c r="AK1110" s="34">
        <f>IF(DB_STProjectsSOF[[#This Row],[FY Plan]]&lt;&gt;0,DB_STProjectsSOF[[#This Row],[FY Actuals]]/DB_STProjectsSOF[[#This Row],[FY Plan]],1.000011000011)</f>
        <v>0</v>
      </c>
    </row>
    <row r="1111" spans="1:37" hidden="1" x14ac:dyDescent="0.2">
      <c r="A1111">
        <f>SUBTOTAL(3,$B$6:B1111)</f>
        <v>0</v>
      </c>
      <c r="B1111" t="s">
        <v>502</v>
      </c>
      <c r="C1111" t="s">
        <v>919</v>
      </c>
      <c r="D1111">
        <v>0</v>
      </c>
      <c r="E1111">
        <v>0</v>
      </c>
      <c r="F1111">
        <v>0</v>
      </c>
      <c r="G1111">
        <v>478.745</v>
      </c>
      <c r="H1111">
        <v>98.331999999999994</v>
      </c>
      <c r="I1111">
        <v>47.578000000000003</v>
      </c>
      <c r="J1111">
        <v>47.578000000000003</v>
      </c>
      <c r="K1111">
        <v>47.578000000000003</v>
      </c>
      <c r="L1111">
        <v>47.578000000000003</v>
      </c>
      <c r="M1111">
        <v>47.578000000000003</v>
      </c>
      <c r="N1111">
        <v>47.578000000000003</v>
      </c>
      <c r="O1111">
        <v>47.578000000000003</v>
      </c>
      <c r="P1111">
        <v>0</v>
      </c>
      <c r="Q1111">
        <v>0</v>
      </c>
      <c r="R1111">
        <v>0</v>
      </c>
      <c r="S1111">
        <v>479.28</v>
      </c>
      <c r="T1111">
        <v>97.14</v>
      </c>
      <c r="U1111">
        <v>110.93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 s="164">
        <v>40878</v>
      </c>
      <c r="AC1111" s="164">
        <v>42794</v>
      </c>
      <c r="AD1111" s="164">
        <v>42978</v>
      </c>
      <c r="AE1111" s="34">
        <f>SUMPRODUCT(DB_STProjectsSOF[[#This Row],[Plan01]:[Plan12]],$D$4:$O$4)/valUnits2</f>
        <v>0.62465499999999996</v>
      </c>
      <c r="AF1111" s="34">
        <f>SUMPRODUCT(DB_STProjectsSOF[[#This Row],[Act01]:[Act12]],$P$4:$AA$4)/valUnits2</f>
        <v>0.68734999999999991</v>
      </c>
      <c r="AG1111" s="34">
        <f>DB_STProjectsSOF[[#This Row],[Actual]]-DB_STProjectsSOF[[#This Row],[Plan]]</f>
        <v>6.2694999999999945E-2</v>
      </c>
      <c r="AH1111" s="34">
        <f>IF(DB_STProjectsSOF[[#This Row],[Plan]]&lt;&gt;0,DB_STProjectsSOF[[#This Row],[Actual]]/DB_STProjectsSOF[[#This Row],[Plan]],1.000011000011)</f>
        <v>1.100367402806349</v>
      </c>
      <c r="AI1111" s="34">
        <f>SUM(DB_STProjectsSOF[[#This Row],[Plan01]:[Plan12]])/valUnits2</f>
        <v>0.91012299999999979</v>
      </c>
      <c r="AJ1111" s="34">
        <f>SUMPRODUCT(DB_STProjectsSOF[[#This Row],[Act01]:[Act12]],$P$3:$AA$3)/valUnits2</f>
        <v>0.68734999999999991</v>
      </c>
      <c r="AK1111" s="34">
        <f>IF(DB_STProjectsSOF[[#This Row],[FY Plan]]&lt;&gt;0,DB_STProjectsSOF[[#This Row],[FY Actuals]]/DB_STProjectsSOF[[#This Row],[FY Plan]],1.000011000011)</f>
        <v>0.75522759011694029</v>
      </c>
    </row>
    <row r="1112" spans="1:37" hidden="1" x14ac:dyDescent="0.2">
      <c r="A1112">
        <f>SUBTOTAL(3,$B$6:B1112)</f>
        <v>0</v>
      </c>
      <c r="B1112" t="s">
        <v>502</v>
      </c>
      <c r="C1112" t="s">
        <v>921</v>
      </c>
      <c r="D1112">
        <v>1.3660000000000001</v>
      </c>
      <c r="P1112">
        <v>1.36</v>
      </c>
      <c r="AB1112" s="164">
        <v>40909</v>
      </c>
      <c r="AC1112" s="164">
        <v>41363</v>
      </c>
      <c r="AD1112" s="164">
        <v>41389</v>
      </c>
      <c r="AE1112" s="34">
        <f>SUMPRODUCT(DB_STProjectsSOF[[#This Row],[Plan01]:[Plan12]],$D$4:$O$4)/valUnits2</f>
        <v>1.366E-3</v>
      </c>
      <c r="AF1112" s="34">
        <f>SUMPRODUCT(DB_STProjectsSOF[[#This Row],[Act01]:[Act12]],$P$4:$AA$4)/valUnits2</f>
        <v>1.3600000000000001E-3</v>
      </c>
      <c r="AG1112" s="34">
        <f>DB_STProjectsSOF[[#This Row],[Actual]]-DB_STProjectsSOF[[#This Row],[Plan]]</f>
        <v>-5.999999999999929E-6</v>
      </c>
      <c r="AH1112" s="34">
        <f>IF(DB_STProjectsSOF[[#This Row],[Plan]]&lt;&gt;0,DB_STProjectsSOF[[#This Row],[Actual]]/DB_STProjectsSOF[[#This Row],[Plan]],1.000011000011)</f>
        <v>0.99560761346998539</v>
      </c>
      <c r="AI1112" s="34">
        <f>SUM(DB_STProjectsSOF[[#This Row],[Plan01]:[Plan12]])/valUnits2</f>
        <v>1.366E-3</v>
      </c>
      <c r="AJ1112" s="34">
        <f>SUMPRODUCT(DB_STProjectsSOF[[#This Row],[Act01]:[Act12]],$P$3:$AA$3)/valUnits2</f>
        <v>1.3600000000000001E-3</v>
      </c>
      <c r="AK1112" s="34">
        <f>IF(DB_STProjectsSOF[[#This Row],[FY Plan]]&lt;&gt;0,DB_STProjectsSOF[[#This Row],[FY Actuals]]/DB_STProjectsSOF[[#This Row],[FY Plan]],1.000011000011)</f>
        <v>0.99560761346998539</v>
      </c>
    </row>
    <row r="1113" spans="1:37" hidden="1" x14ac:dyDescent="0.2">
      <c r="A1113">
        <f>SUBTOTAL(3,$B$6:B1113)</f>
        <v>0</v>
      </c>
      <c r="B1113" t="s">
        <v>502</v>
      </c>
      <c r="C1113" t="s">
        <v>922</v>
      </c>
      <c r="D1113">
        <v>3.5289999999999999</v>
      </c>
      <c r="P1113">
        <v>3.42</v>
      </c>
      <c r="AB1113" s="164">
        <v>41000</v>
      </c>
      <c r="AC1113" s="164">
        <v>41989</v>
      </c>
      <c r="AD1113" s="164">
        <v>42078</v>
      </c>
      <c r="AE1113" s="34">
        <f>SUMPRODUCT(DB_STProjectsSOF[[#This Row],[Plan01]:[Plan12]],$D$4:$O$4)/valUnits2</f>
        <v>3.529E-3</v>
      </c>
      <c r="AF1113" s="34">
        <f>SUMPRODUCT(DB_STProjectsSOF[[#This Row],[Act01]:[Act12]],$P$4:$AA$4)/valUnits2</f>
        <v>3.4199999999999999E-3</v>
      </c>
      <c r="AG1113" s="34">
        <f>DB_STProjectsSOF[[#This Row],[Actual]]-DB_STProjectsSOF[[#This Row],[Plan]]</f>
        <v>-1.0900000000000016E-4</v>
      </c>
      <c r="AH1113" s="34">
        <f>IF(DB_STProjectsSOF[[#This Row],[Plan]]&lt;&gt;0,DB_STProjectsSOF[[#This Row],[Actual]]/DB_STProjectsSOF[[#This Row],[Plan]],1.000011000011)</f>
        <v>0.96911306319070556</v>
      </c>
      <c r="AI1113" s="34">
        <f>SUM(DB_STProjectsSOF[[#This Row],[Plan01]:[Plan12]])/valUnits2</f>
        <v>3.529E-3</v>
      </c>
      <c r="AJ1113" s="34">
        <f>SUMPRODUCT(DB_STProjectsSOF[[#This Row],[Act01]:[Act12]],$P$3:$AA$3)/valUnits2</f>
        <v>3.4199999999999999E-3</v>
      </c>
      <c r="AK1113" s="34">
        <f>IF(DB_STProjectsSOF[[#This Row],[FY Plan]]&lt;&gt;0,DB_STProjectsSOF[[#This Row],[FY Actuals]]/DB_STProjectsSOF[[#This Row],[FY Plan]],1.000011000011)</f>
        <v>0.96911306319070556</v>
      </c>
    </row>
    <row r="1114" spans="1:37" hidden="1" x14ac:dyDescent="0.2">
      <c r="A1114">
        <f>SUBTOTAL(3,$B$6:B1114)</f>
        <v>0</v>
      </c>
      <c r="B1114" t="s">
        <v>502</v>
      </c>
      <c r="C1114" t="s">
        <v>924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184.54399999999998</v>
      </c>
      <c r="J1114">
        <v>184.54399999999998</v>
      </c>
      <c r="K1114">
        <v>184.54399999999998</v>
      </c>
      <c r="L1114">
        <v>184.54399999999998</v>
      </c>
      <c r="M1114">
        <v>184.54399999999998</v>
      </c>
      <c r="N1114">
        <v>184.54399999999998</v>
      </c>
      <c r="O1114">
        <v>184.54399999999998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 s="164">
        <v>40817</v>
      </c>
      <c r="AC1114" s="164">
        <v>41639</v>
      </c>
      <c r="AD1114" s="164">
        <v>41685</v>
      </c>
      <c r="AE1114" s="34">
        <f>SUMPRODUCT(DB_STProjectsSOF[[#This Row],[Plan01]:[Plan12]],$D$4:$O$4)/valUnits2</f>
        <v>0.18454399999999999</v>
      </c>
      <c r="AF1114" s="34">
        <f>SUMPRODUCT(DB_STProjectsSOF[[#This Row],[Act01]:[Act12]],$P$4:$AA$4)/valUnits2</f>
        <v>0</v>
      </c>
      <c r="AG1114" s="34">
        <f>DB_STProjectsSOF[[#This Row],[Actual]]-DB_STProjectsSOF[[#This Row],[Plan]]</f>
        <v>-0.18454399999999999</v>
      </c>
      <c r="AH1114" s="34">
        <f>IF(DB_STProjectsSOF[[#This Row],[Plan]]&lt;&gt;0,DB_STProjectsSOF[[#This Row],[Actual]]/DB_STProjectsSOF[[#This Row],[Plan]],1.000011000011)</f>
        <v>0</v>
      </c>
      <c r="AI1114" s="34">
        <f>SUM(DB_STProjectsSOF[[#This Row],[Plan01]:[Plan12]])/valUnits2</f>
        <v>1.2918080000000001</v>
      </c>
      <c r="AJ1114" s="34">
        <f>SUMPRODUCT(DB_STProjectsSOF[[#This Row],[Act01]:[Act12]],$P$3:$AA$3)/valUnits2</f>
        <v>0</v>
      </c>
      <c r="AK1114" s="34">
        <f>IF(DB_STProjectsSOF[[#This Row],[FY Plan]]&lt;&gt;0,DB_STProjectsSOF[[#This Row],[FY Actuals]]/DB_STProjectsSOF[[#This Row],[FY Plan]],1.000011000011)</f>
        <v>0</v>
      </c>
    </row>
    <row r="1115" spans="1:37" hidden="1" x14ac:dyDescent="0.2">
      <c r="A1115">
        <f>SUBTOTAL(3,$B$6:B1115)</f>
        <v>0</v>
      </c>
      <c r="B1115" t="s">
        <v>502</v>
      </c>
      <c r="C1115" t="s">
        <v>927</v>
      </c>
      <c r="E1115">
        <v>201.83</v>
      </c>
      <c r="F1115">
        <v>281.77999999999997</v>
      </c>
      <c r="G1115">
        <v>2271.5499999999997</v>
      </c>
      <c r="H1115">
        <v>1494.56</v>
      </c>
      <c r="I1115">
        <v>0</v>
      </c>
      <c r="Q1115">
        <v>201.82999999999998</v>
      </c>
      <c r="R1115">
        <v>281.77999999999997</v>
      </c>
      <c r="S1115">
        <v>2271.5500000000002</v>
      </c>
      <c r="T1115">
        <v>1494.56</v>
      </c>
      <c r="U1115">
        <v>1101.3399999999999</v>
      </c>
      <c r="AB1115" s="164">
        <v>40817</v>
      </c>
      <c r="AC1115" s="164">
        <v>42052</v>
      </c>
      <c r="AD1115" s="164">
        <v>42141</v>
      </c>
      <c r="AE1115" s="34">
        <f>SUMPRODUCT(DB_STProjectsSOF[[#This Row],[Plan01]:[Plan12]],$D$4:$O$4)/valUnits2</f>
        <v>4.2497199999999991</v>
      </c>
      <c r="AF1115" s="34">
        <f>SUMPRODUCT(DB_STProjectsSOF[[#This Row],[Act01]:[Act12]],$P$4:$AA$4)/valUnits2</f>
        <v>5.3510600000000004</v>
      </c>
      <c r="AG1115" s="34">
        <f>DB_STProjectsSOF[[#This Row],[Actual]]-DB_STProjectsSOF[[#This Row],[Plan]]</f>
        <v>1.1013400000000013</v>
      </c>
      <c r="AH1115" s="34">
        <f>IF(DB_STProjectsSOF[[#This Row],[Plan]]&lt;&gt;0,DB_STProjectsSOF[[#This Row],[Actual]]/DB_STProjectsSOF[[#This Row],[Plan]],1.000011000011)</f>
        <v>1.2591558973297068</v>
      </c>
      <c r="AI1115" s="34">
        <f>SUM(DB_STProjectsSOF[[#This Row],[Plan01]:[Plan12]])/valUnits2</f>
        <v>4.2497199999999991</v>
      </c>
      <c r="AJ1115" s="34">
        <f>SUMPRODUCT(DB_STProjectsSOF[[#This Row],[Act01]:[Act12]],$P$3:$AA$3)/valUnits2</f>
        <v>5.3510600000000004</v>
      </c>
      <c r="AK1115" s="34">
        <f>IF(DB_STProjectsSOF[[#This Row],[FY Plan]]&lt;&gt;0,DB_STProjectsSOF[[#This Row],[FY Actuals]]/DB_STProjectsSOF[[#This Row],[FY Plan]],1.000011000011)</f>
        <v>1.2591558973297068</v>
      </c>
    </row>
    <row r="1116" spans="1:37" hidden="1" x14ac:dyDescent="0.2">
      <c r="A1116">
        <f>SUBTOTAL(3,$B$6:B1116)</f>
        <v>0</v>
      </c>
      <c r="B1116" t="s">
        <v>502</v>
      </c>
      <c r="C1116" t="s">
        <v>359</v>
      </c>
      <c r="G1116">
        <v>0</v>
      </c>
      <c r="H1116">
        <v>0</v>
      </c>
      <c r="I1116">
        <v>83.958999999999989</v>
      </c>
      <c r="S1116">
        <v>0</v>
      </c>
      <c r="T1116">
        <v>0</v>
      </c>
      <c r="U1116">
        <v>0</v>
      </c>
      <c r="AB1116" s="164">
        <v>41275</v>
      </c>
      <c r="AC1116" s="164">
        <v>41455</v>
      </c>
      <c r="AD1116" s="164">
        <v>41547</v>
      </c>
      <c r="AE1116" s="34">
        <f>SUMPRODUCT(DB_STProjectsSOF[[#This Row],[Plan01]:[Plan12]],$D$4:$O$4)/valUnits2</f>
        <v>8.3958999999999992E-2</v>
      </c>
      <c r="AF1116" s="34">
        <f>SUMPRODUCT(DB_STProjectsSOF[[#This Row],[Act01]:[Act12]],$P$4:$AA$4)/valUnits2</f>
        <v>0</v>
      </c>
      <c r="AG1116" s="34">
        <f>DB_STProjectsSOF[[#This Row],[Actual]]-DB_STProjectsSOF[[#This Row],[Plan]]</f>
        <v>-8.3958999999999992E-2</v>
      </c>
      <c r="AH1116" s="34">
        <f>IF(DB_STProjectsSOF[[#This Row],[Plan]]&lt;&gt;0,DB_STProjectsSOF[[#This Row],[Actual]]/DB_STProjectsSOF[[#This Row],[Plan]],1.000011000011)</f>
        <v>0</v>
      </c>
      <c r="AI1116" s="34">
        <f>SUM(DB_STProjectsSOF[[#This Row],[Plan01]:[Plan12]])/valUnits2</f>
        <v>8.3958999999999992E-2</v>
      </c>
      <c r="AJ1116" s="34">
        <f>SUMPRODUCT(DB_STProjectsSOF[[#This Row],[Act01]:[Act12]],$P$3:$AA$3)/valUnits2</f>
        <v>0</v>
      </c>
      <c r="AK1116" s="34">
        <f>IF(DB_STProjectsSOF[[#This Row],[FY Plan]]&lt;&gt;0,DB_STProjectsSOF[[#This Row],[FY Actuals]]/DB_STProjectsSOF[[#This Row],[FY Plan]],1.000011000011)</f>
        <v>0</v>
      </c>
    </row>
    <row r="1117" spans="1:37" hidden="1" x14ac:dyDescent="0.2">
      <c r="A1117">
        <f>SUBTOTAL(3,$B$6:B1117)</f>
        <v>0</v>
      </c>
      <c r="B1117" t="s">
        <v>502</v>
      </c>
      <c r="C1117" t="s">
        <v>360</v>
      </c>
      <c r="G1117">
        <v>0</v>
      </c>
      <c r="H1117">
        <v>0</v>
      </c>
      <c r="I1117">
        <v>294.93599999999998</v>
      </c>
      <c r="S1117">
        <v>0</v>
      </c>
      <c r="T1117">
        <v>0</v>
      </c>
      <c r="U1117">
        <v>0</v>
      </c>
      <c r="AB1117" s="164">
        <v>41091</v>
      </c>
      <c r="AC1117" s="164">
        <v>41455</v>
      </c>
      <c r="AD1117" s="164">
        <v>41547</v>
      </c>
      <c r="AE1117" s="34">
        <f>SUMPRODUCT(DB_STProjectsSOF[[#This Row],[Plan01]:[Plan12]],$D$4:$O$4)/valUnits2</f>
        <v>0.29493599999999998</v>
      </c>
      <c r="AF1117" s="34">
        <f>SUMPRODUCT(DB_STProjectsSOF[[#This Row],[Act01]:[Act12]],$P$4:$AA$4)/valUnits2</f>
        <v>0</v>
      </c>
      <c r="AG1117" s="34">
        <f>DB_STProjectsSOF[[#This Row],[Actual]]-DB_STProjectsSOF[[#This Row],[Plan]]</f>
        <v>-0.29493599999999998</v>
      </c>
      <c r="AH1117" s="34">
        <f>IF(DB_STProjectsSOF[[#This Row],[Plan]]&lt;&gt;0,DB_STProjectsSOF[[#This Row],[Actual]]/DB_STProjectsSOF[[#This Row],[Plan]],1.000011000011)</f>
        <v>0</v>
      </c>
      <c r="AI1117" s="34">
        <f>SUM(DB_STProjectsSOF[[#This Row],[Plan01]:[Plan12]])/valUnits2</f>
        <v>0.29493599999999998</v>
      </c>
      <c r="AJ1117" s="34">
        <f>SUMPRODUCT(DB_STProjectsSOF[[#This Row],[Act01]:[Act12]],$P$3:$AA$3)/valUnits2</f>
        <v>0</v>
      </c>
      <c r="AK1117" s="34">
        <f>IF(DB_STProjectsSOF[[#This Row],[FY Plan]]&lt;&gt;0,DB_STProjectsSOF[[#This Row],[FY Actuals]]/DB_STProjectsSOF[[#This Row],[FY Plan]],1.000011000011)</f>
        <v>0</v>
      </c>
    </row>
    <row r="1118" spans="1:37" hidden="1" x14ac:dyDescent="0.2">
      <c r="A1118">
        <f>SUBTOTAL(3,$B$6:B1118)</f>
        <v>0</v>
      </c>
      <c r="B1118" t="s">
        <v>502</v>
      </c>
      <c r="C1118" t="s">
        <v>930</v>
      </c>
      <c r="D1118">
        <v>6.83</v>
      </c>
      <c r="P1118">
        <v>6.83</v>
      </c>
      <c r="AB1118" s="164">
        <v>40848</v>
      </c>
      <c r="AC1118" s="164">
        <v>41729</v>
      </c>
      <c r="AD1118" s="164">
        <v>41654</v>
      </c>
      <c r="AE1118" s="34">
        <f>SUMPRODUCT(DB_STProjectsSOF[[#This Row],[Plan01]:[Plan12]],$D$4:$O$4)/valUnits2</f>
        <v>6.8300000000000001E-3</v>
      </c>
      <c r="AF1118" s="34">
        <f>SUMPRODUCT(DB_STProjectsSOF[[#This Row],[Act01]:[Act12]],$P$4:$AA$4)/valUnits2</f>
        <v>6.8300000000000001E-3</v>
      </c>
      <c r="AG1118" s="34">
        <f>DB_STProjectsSOF[[#This Row],[Actual]]-DB_STProjectsSOF[[#This Row],[Plan]]</f>
        <v>0</v>
      </c>
      <c r="AH1118" s="34">
        <f>IF(DB_STProjectsSOF[[#This Row],[Plan]]&lt;&gt;0,DB_STProjectsSOF[[#This Row],[Actual]]/DB_STProjectsSOF[[#This Row],[Plan]],1.000011000011)</f>
        <v>1</v>
      </c>
      <c r="AI1118" s="34">
        <f>SUM(DB_STProjectsSOF[[#This Row],[Plan01]:[Plan12]])/valUnits2</f>
        <v>6.8300000000000001E-3</v>
      </c>
      <c r="AJ1118" s="34">
        <f>SUMPRODUCT(DB_STProjectsSOF[[#This Row],[Act01]:[Act12]],$P$3:$AA$3)/valUnits2</f>
        <v>6.8300000000000001E-3</v>
      </c>
      <c r="AK1118" s="34">
        <f>IF(DB_STProjectsSOF[[#This Row],[FY Plan]]&lt;&gt;0,DB_STProjectsSOF[[#This Row],[FY Actuals]]/DB_STProjectsSOF[[#This Row],[FY Plan]],1.000011000011)</f>
        <v>1</v>
      </c>
    </row>
    <row r="1119" spans="1:37" hidden="1" x14ac:dyDescent="0.2">
      <c r="A1119">
        <f>SUBTOTAL(3,$B$6:B1119)</f>
        <v>0</v>
      </c>
      <c r="B1119" t="s">
        <v>502</v>
      </c>
      <c r="C1119" t="s">
        <v>932</v>
      </c>
      <c r="G1119">
        <v>178.14999999999998</v>
      </c>
      <c r="H1119">
        <v>178.14999999999998</v>
      </c>
      <c r="I1119">
        <v>178.14999999999998</v>
      </c>
      <c r="J1119">
        <v>178.14999999999998</v>
      </c>
      <c r="K1119">
        <v>178.14999999999998</v>
      </c>
      <c r="L1119">
        <v>178.14999999999998</v>
      </c>
      <c r="M1119">
        <v>178.14999999999998</v>
      </c>
      <c r="N1119">
        <v>178.14999999999998</v>
      </c>
      <c r="O1119">
        <v>178.14999999999998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 s="164">
        <v>40909</v>
      </c>
      <c r="AC1119" s="164">
        <v>41274</v>
      </c>
      <c r="AD1119" s="164">
        <v>41305</v>
      </c>
      <c r="AE1119" s="34">
        <f>SUMPRODUCT(DB_STProjectsSOF[[#This Row],[Plan01]:[Plan12]],$D$4:$O$4)/valUnits2</f>
        <v>0.53444999999999998</v>
      </c>
      <c r="AF1119" s="34">
        <f>SUMPRODUCT(DB_STProjectsSOF[[#This Row],[Act01]:[Act12]],$P$4:$AA$4)/valUnits2</f>
        <v>0</v>
      </c>
      <c r="AG1119" s="34">
        <f>DB_STProjectsSOF[[#This Row],[Actual]]-DB_STProjectsSOF[[#This Row],[Plan]]</f>
        <v>-0.53444999999999998</v>
      </c>
      <c r="AH1119" s="34">
        <f>IF(DB_STProjectsSOF[[#This Row],[Plan]]&lt;&gt;0,DB_STProjectsSOF[[#This Row],[Actual]]/DB_STProjectsSOF[[#This Row],[Plan]],1.000011000011)</f>
        <v>0</v>
      </c>
      <c r="AI1119" s="34">
        <f>SUM(DB_STProjectsSOF[[#This Row],[Plan01]:[Plan12]])/valUnits2</f>
        <v>1.6033499999999998</v>
      </c>
      <c r="AJ1119" s="34">
        <f>SUMPRODUCT(DB_STProjectsSOF[[#This Row],[Act01]:[Act12]],$P$3:$AA$3)/valUnits2</f>
        <v>0</v>
      </c>
      <c r="AK1119" s="34">
        <f>IF(DB_STProjectsSOF[[#This Row],[FY Plan]]&lt;&gt;0,DB_STProjectsSOF[[#This Row],[FY Actuals]]/DB_STProjectsSOF[[#This Row],[FY Plan]],1.000011000011)</f>
        <v>0</v>
      </c>
    </row>
    <row r="1120" spans="1:37" hidden="1" x14ac:dyDescent="0.2">
      <c r="A1120">
        <f>SUBTOTAL(3,$B$6:B1120)</f>
        <v>0</v>
      </c>
      <c r="B1120" t="s">
        <v>502</v>
      </c>
      <c r="C1120" t="s">
        <v>933</v>
      </c>
      <c r="F1120">
        <v>0</v>
      </c>
      <c r="G1120">
        <v>0</v>
      </c>
      <c r="H1120">
        <v>0</v>
      </c>
      <c r="R1120">
        <v>0</v>
      </c>
      <c r="S1120">
        <v>0</v>
      </c>
      <c r="T1120">
        <v>0</v>
      </c>
      <c r="AB1120" s="164">
        <v>40817</v>
      </c>
      <c r="AC1120" s="164">
        <v>42155</v>
      </c>
      <c r="AD1120" s="164">
        <v>42217</v>
      </c>
      <c r="AE1120" s="34">
        <f>SUMPRODUCT(DB_STProjectsSOF[[#This Row],[Plan01]:[Plan12]],$D$4:$O$4)/valUnits2</f>
        <v>0</v>
      </c>
      <c r="AF1120" s="34">
        <f>SUMPRODUCT(DB_STProjectsSOF[[#This Row],[Act01]:[Act12]],$P$4:$AA$4)/valUnits2</f>
        <v>0</v>
      </c>
      <c r="AG1120" s="34">
        <f>DB_STProjectsSOF[[#This Row],[Actual]]-DB_STProjectsSOF[[#This Row],[Plan]]</f>
        <v>0</v>
      </c>
      <c r="AH1120" s="34">
        <f>IF(DB_STProjectsSOF[[#This Row],[Plan]]&lt;&gt;0,DB_STProjectsSOF[[#This Row],[Actual]]/DB_STProjectsSOF[[#This Row],[Plan]],1.000011000011)</f>
        <v>1.0000110000110001</v>
      </c>
      <c r="AI1120" s="34">
        <f>SUM(DB_STProjectsSOF[[#This Row],[Plan01]:[Plan12]])/valUnits2</f>
        <v>0</v>
      </c>
      <c r="AJ1120" s="34">
        <f>SUMPRODUCT(DB_STProjectsSOF[[#This Row],[Act01]:[Act12]],$P$3:$AA$3)/valUnits2</f>
        <v>0</v>
      </c>
      <c r="AK1120" s="34">
        <f>IF(DB_STProjectsSOF[[#This Row],[FY Plan]]&lt;&gt;0,DB_STProjectsSOF[[#This Row],[FY Actuals]]/DB_STProjectsSOF[[#This Row],[FY Plan]],1.000011000011)</f>
        <v>1.0000110000110001</v>
      </c>
    </row>
    <row r="1121" spans="1:37" hidden="1" x14ac:dyDescent="0.2">
      <c r="A1121">
        <f>SUBTOTAL(3,$B$6:B1121)</f>
        <v>0</v>
      </c>
      <c r="B1121" t="s">
        <v>502</v>
      </c>
      <c r="C1121" t="s">
        <v>935</v>
      </c>
      <c r="D1121">
        <v>0</v>
      </c>
      <c r="G1121">
        <v>229.142</v>
      </c>
      <c r="H1121">
        <v>107.93300000000001</v>
      </c>
      <c r="I1121">
        <v>119.40299999999999</v>
      </c>
      <c r="J1121">
        <v>119.40299999999999</v>
      </c>
      <c r="K1121">
        <v>119.40299999999999</v>
      </c>
      <c r="L1121">
        <v>119.40299999999999</v>
      </c>
      <c r="M1121">
        <v>119.40299999999999</v>
      </c>
      <c r="N1121">
        <v>119.40299999999999</v>
      </c>
      <c r="O1121">
        <v>119.40299999999999</v>
      </c>
      <c r="P1121">
        <v>0</v>
      </c>
      <c r="S1121">
        <v>224.44000000000003</v>
      </c>
      <c r="T1121">
        <v>107.72</v>
      </c>
      <c r="U1121">
        <v>116.02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 s="164">
        <v>41000</v>
      </c>
      <c r="AC1121" s="164">
        <v>42094</v>
      </c>
      <c r="AD1121" s="164">
        <v>42124</v>
      </c>
      <c r="AE1121" s="34">
        <f>SUMPRODUCT(DB_STProjectsSOF[[#This Row],[Plan01]:[Plan12]],$D$4:$O$4)/valUnits2</f>
        <v>0.45647799999999994</v>
      </c>
      <c r="AF1121" s="34">
        <f>SUMPRODUCT(DB_STProjectsSOF[[#This Row],[Act01]:[Act12]],$P$4:$AA$4)/valUnits2</f>
        <v>0.44818000000000002</v>
      </c>
      <c r="AG1121" s="34">
        <f>DB_STProjectsSOF[[#This Row],[Actual]]-DB_STProjectsSOF[[#This Row],[Plan]]</f>
        <v>-8.2979999999999166E-3</v>
      </c>
      <c r="AH1121" s="34">
        <f>IF(DB_STProjectsSOF[[#This Row],[Plan]]&lt;&gt;0,DB_STProjectsSOF[[#This Row],[Actual]]/DB_STProjectsSOF[[#This Row],[Plan]],1.000011000011)</f>
        <v>0.98182168691590854</v>
      </c>
      <c r="AI1121" s="34">
        <f>SUM(DB_STProjectsSOF[[#This Row],[Plan01]:[Plan12]])/valUnits2</f>
        <v>1.1728959999999999</v>
      </c>
      <c r="AJ1121" s="34">
        <f>SUMPRODUCT(DB_STProjectsSOF[[#This Row],[Act01]:[Act12]],$P$3:$AA$3)/valUnits2</f>
        <v>0.44818000000000002</v>
      </c>
      <c r="AK1121" s="34">
        <f>IF(DB_STProjectsSOF[[#This Row],[FY Plan]]&lt;&gt;0,DB_STProjectsSOF[[#This Row],[FY Actuals]]/DB_STProjectsSOF[[#This Row],[FY Plan]],1.000011000011)</f>
        <v>0.38211401522385618</v>
      </c>
    </row>
    <row r="1122" spans="1:37" hidden="1" x14ac:dyDescent="0.2">
      <c r="A1122">
        <f>SUBTOTAL(3,$B$6:B1122)</f>
        <v>0</v>
      </c>
      <c r="B1122" t="s">
        <v>503</v>
      </c>
      <c r="C1122" t="s">
        <v>846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36.899000000000001</v>
      </c>
      <c r="J1122">
        <v>36.899000000000001</v>
      </c>
      <c r="K1122">
        <v>36.899000000000001</v>
      </c>
      <c r="L1122">
        <v>36.899000000000001</v>
      </c>
      <c r="M1122">
        <v>36.899000000000001</v>
      </c>
      <c r="N1122">
        <v>36.899000000000001</v>
      </c>
      <c r="O1122">
        <v>36.899000000000001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 s="164">
        <v>40817</v>
      </c>
      <c r="AC1122" s="164">
        <v>41599</v>
      </c>
      <c r="AD1122" s="164">
        <v>41305</v>
      </c>
      <c r="AE1122" s="34">
        <f>SUMPRODUCT(DB_STProjectsSOF[[#This Row],[Plan01]:[Plan12]],$D$4:$O$4)/valUnits2</f>
        <v>3.6899000000000001E-2</v>
      </c>
      <c r="AF1122" s="34">
        <f>SUMPRODUCT(DB_STProjectsSOF[[#This Row],[Act01]:[Act12]],$P$4:$AA$4)/valUnits2</f>
        <v>0</v>
      </c>
      <c r="AG1122" s="34">
        <f>DB_STProjectsSOF[[#This Row],[Actual]]-DB_STProjectsSOF[[#This Row],[Plan]]</f>
        <v>-3.6899000000000001E-2</v>
      </c>
      <c r="AH1122" s="34">
        <f>IF(DB_STProjectsSOF[[#This Row],[Plan]]&lt;&gt;0,DB_STProjectsSOF[[#This Row],[Actual]]/DB_STProjectsSOF[[#This Row],[Plan]],1.000011000011)</f>
        <v>0</v>
      </c>
      <c r="AI1122" s="34">
        <f>SUM(DB_STProjectsSOF[[#This Row],[Plan01]:[Plan12]])/valUnits2</f>
        <v>0.25829299999999999</v>
      </c>
      <c r="AJ1122" s="34">
        <f>SUMPRODUCT(DB_STProjectsSOF[[#This Row],[Act01]:[Act12]],$P$3:$AA$3)/valUnits2</f>
        <v>0</v>
      </c>
      <c r="AK1122" s="34">
        <f>IF(DB_STProjectsSOF[[#This Row],[FY Plan]]&lt;&gt;0,DB_STProjectsSOF[[#This Row],[FY Actuals]]/DB_STProjectsSOF[[#This Row],[FY Plan]],1.000011000011)</f>
        <v>0</v>
      </c>
    </row>
    <row r="1123" spans="1:37" hidden="1" x14ac:dyDescent="0.2">
      <c r="A1123">
        <f>SUBTOTAL(3,$B$6:B1123)</f>
        <v>0</v>
      </c>
      <c r="B1123" t="s">
        <v>503</v>
      </c>
      <c r="C1123" t="s">
        <v>856</v>
      </c>
      <c r="D1123">
        <v>881.45699999999999</v>
      </c>
      <c r="E1123">
        <v>1491.98</v>
      </c>
      <c r="F1123">
        <v>1697.9850000000001</v>
      </c>
      <c r="G1123">
        <v>2321.4</v>
      </c>
      <c r="H1123">
        <v>1477.375</v>
      </c>
      <c r="I1123">
        <v>881.45699999999999</v>
      </c>
      <c r="J1123">
        <v>881.45699999999999</v>
      </c>
      <c r="K1123">
        <v>881.45699999999999</v>
      </c>
      <c r="L1123">
        <v>881.45699999999999</v>
      </c>
      <c r="M1123">
        <v>881.45699999999999</v>
      </c>
      <c r="N1123">
        <v>881.45699999999999</v>
      </c>
      <c r="O1123">
        <v>881.45699999999999</v>
      </c>
      <c r="P1123">
        <v>0</v>
      </c>
      <c r="Q1123">
        <v>585.68000000000006</v>
      </c>
      <c r="R1123">
        <v>784.7</v>
      </c>
      <c r="S1123">
        <v>1381.49</v>
      </c>
      <c r="T1123">
        <v>580.16</v>
      </c>
      <c r="U1123">
        <v>695.2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 s="164">
        <v>40817</v>
      </c>
      <c r="AC1123" s="164">
        <v>42338</v>
      </c>
      <c r="AD1123" s="164">
        <v>42490</v>
      </c>
      <c r="AE1123" s="34">
        <f>SUMPRODUCT(DB_STProjectsSOF[[#This Row],[Plan01]:[Plan12]],$D$4:$O$4)/valUnits2</f>
        <v>8.7516540000000003</v>
      </c>
      <c r="AF1123" s="34">
        <f>SUMPRODUCT(DB_STProjectsSOF[[#This Row],[Act01]:[Act12]],$P$4:$AA$4)/valUnits2</f>
        <v>4.0272299999999994</v>
      </c>
      <c r="AG1123" s="34">
        <f>DB_STProjectsSOF[[#This Row],[Actual]]-DB_STProjectsSOF[[#This Row],[Plan]]</f>
        <v>-4.7244240000000008</v>
      </c>
      <c r="AH1123" s="34">
        <f>IF(DB_STProjectsSOF[[#This Row],[Plan]]&lt;&gt;0,DB_STProjectsSOF[[#This Row],[Actual]]/DB_STProjectsSOF[[#This Row],[Plan]],1.000011000011)</f>
        <v>0.46016787226734507</v>
      </c>
      <c r="AI1123" s="34">
        <f>SUM(DB_STProjectsSOF[[#This Row],[Plan01]:[Plan12]])/valUnits2</f>
        <v>14.040396000000003</v>
      </c>
      <c r="AJ1123" s="34">
        <f>SUMPRODUCT(DB_STProjectsSOF[[#This Row],[Act01]:[Act12]],$P$3:$AA$3)/valUnits2</f>
        <v>4.0272299999999994</v>
      </c>
      <c r="AK1123" s="34">
        <f>IF(DB_STProjectsSOF[[#This Row],[FY Plan]]&lt;&gt;0,DB_STProjectsSOF[[#This Row],[FY Actuals]]/DB_STProjectsSOF[[#This Row],[FY Plan]],1.000011000011)</f>
        <v>0.28683165346618417</v>
      </c>
    </row>
    <row r="1124" spans="1:37" hidden="1" x14ac:dyDescent="0.2">
      <c r="A1124">
        <f>SUBTOTAL(3,$B$6:B1124)</f>
        <v>0</v>
      </c>
      <c r="B1124" t="s">
        <v>503</v>
      </c>
      <c r="C1124" t="s">
        <v>857</v>
      </c>
      <c r="D1124">
        <v>-1996.32</v>
      </c>
      <c r="P1124">
        <v>-1996.32</v>
      </c>
      <c r="AB1124" s="164">
        <v>40909</v>
      </c>
      <c r="AC1124" s="164">
        <v>41274</v>
      </c>
      <c r="AD1124" s="164">
        <v>41364</v>
      </c>
      <c r="AE1124" s="34">
        <f>SUMPRODUCT(DB_STProjectsSOF[[#This Row],[Plan01]:[Plan12]],$D$4:$O$4)/valUnits2</f>
        <v>-1.9963199999999999</v>
      </c>
      <c r="AF1124" s="34">
        <f>SUMPRODUCT(DB_STProjectsSOF[[#This Row],[Act01]:[Act12]],$P$4:$AA$4)/valUnits2</f>
        <v>-1.9963199999999999</v>
      </c>
      <c r="AG1124" s="34">
        <f>DB_STProjectsSOF[[#This Row],[Actual]]-DB_STProjectsSOF[[#This Row],[Plan]]</f>
        <v>0</v>
      </c>
      <c r="AH1124" s="34">
        <f>IF(DB_STProjectsSOF[[#This Row],[Plan]]&lt;&gt;0,DB_STProjectsSOF[[#This Row],[Actual]]/DB_STProjectsSOF[[#This Row],[Plan]],1.000011000011)</f>
        <v>1</v>
      </c>
      <c r="AI1124" s="34">
        <f>SUM(DB_STProjectsSOF[[#This Row],[Plan01]:[Plan12]])/valUnits2</f>
        <v>-1.9963199999999999</v>
      </c>
      <c r="AJ1124" s="34">
        <f>SUMPRODUCT(DB_STProjectsSOF[[#This Row],[Act01]:[Act12]],$P$3:$AA$3)/valUnits2</f>
        <v>-1.9963199999999999</v>
      </c>
      <c r="AK1124" s="34">
        <f>IF(DB_STProjectsSOF[[#This Row],[FY Plan]]&lt;&gt;0,DB_STProjectsSOF[[#This Row],[FY Actuals]]/DB_STProjectsSOF[[#This Row],[FY Plan]],1.000011000011)</f>
        <v>1</v>
      </c>
    </row>
    <row r="1125" spans="1:37" hidden="1" x14ac:dyDescent="0.2">
      <c r="A1125">
        <f>SUBTOTAL(3,$B$6:B1125)</f>
        <v>0</v>
      </c>
      <c r="B1125" t="s">
        <v>503</v>
      </c>
      <c r="C1125" t="s">
        <v>860</v>
      </c>
      <c r="I1125">
        <v>0</v>
      </c>
      <c r="U1125">
        <v>9.99</v>
      </c>
      <c r="AB1125" s="164">
        <v>40969</v>
      </c>
      <c r="AC1125" s="164">
        <v>42643</v>
      </c>
      <c r="AD1125" s="164">
        <v>42704</v>
      </c>
      <c r="AE1125" s="34">
        <f>SUMPRODUCT(DB_STProjectsSOF[[#This Row],[Plan01]:[Plan12]],$D$4:$O$4)/valUnits2</f>
        <v>0</v>
      </c>
      <c r="AF1125" s="34">
        <f>SUMPRODUCT(DB_STProjectsSOF[[#This Row],[Act01]:[Act12]],$P$4:$AA$4)/valUnits2</f>
        <v>9.9900000000000006E-3</v>
      </c>
      <c r="AG1125" s="34">
        <f>DB_STProjectsSOF[[#This Row],[Actual]]-DB_STProjectsSOF[[#This Row],[Plan]]</f>
        <v>9.9900000000000006E-3</v>
      </c>
      <c r="AH1125" s="34">
        <f>IF(DB_STProjectsSOF[[#This Row],[Plan]]&lt;&gt;0,DB_STProjectsSOF[[#This Row],[Actual]]/DB_STProjectsSOF[[#This Row],[Plan]],1.000011000011)</f>
        <v>1.0000110000110001</v>
      </c>
      <c r="AI1125" s="34">
        <f>SUM(DB_STProjectsSOF[[#This Row],[Plan01]:[Plan12]])/valUnits2</f>
        <v>0</v>
      </c>
      <c r="AJ1125" s="34">
        <f>SUMPRODUCT(DB_STProjectsSOF[[#This Row],[Act01]:[Act12]],$P$3:$AA$3)/valUnits2</f>
        <v>9.9900000000000006E-3</v>
      </c>
      <c r="AK1125" s="34">
        <f>IF(DB_STProjectsSOF[[#This Row],[FY Plan]]&lt;&gt;0,DB_STProjectsSOF[[#This Row],[FY Actuals]]/DB_STProjectsSOF[[#This Row],[FY Plan]],1.000011000011)</f>
        <v>1.0000110000110001</v>
      </c>
    </row>
    <row r="1126" spans="1:37" hidden="1" x14ac:dyDescent="0.2">
      <c r="A1126">
        <f>SUBTOTAL(3,$B$6:B1126)</f>
        <v>0</v>
      </c>
      <c r="B1126" t="s">
        <v>503</v>
      </c>
      <c r="C1126" t="s">
        <v>866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1276.4449999999999</v>
      </c>
      <c r="J1126">
        <v>1276.4449999999999</v>
      </c>
      <c r="K1126">
        <v>1276.4449999999999</v>
      </c>
      <c r="L1126">
        <v>1276.4449999999999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AB1126" s="164">
        <v>41275</v>
      </c>
      <c r="AC1126" s="164">
        <v>41639</v>
      </c>
      <c r="AD1126" s="164">
        <v>41760</v>
      </c>
      <c r="AE1126" s="34">
        <f>SUMPRODUCT(DB_STProjectsSOF[[#This Row],[Plan01]:[Plan12]],$D$4:$O$4)/valUnits2</f>
        <v>1.2764449999999998</v>
      </c>
      <c r="AF1126" s="34">
        <f>SUMPRODUCT(DB_STProjectsSOF[[#This Row],[Act01]:[Act12]],$P$4:$AA$4)/valUnits2</f>
        <v>0</v>
      </c>
      <c r="AG1126" s="34">
        <f>DB_STProjectsSOF[[#This Row],[Actual]]-DB_STProjectsSOF[[#This Row],[Plan]]</f>
        <v>-1.2764449999999998</v>
      </c>
      <c r="AH1126" s="34">
        <f>IF(DB_STProjectsSOF[[#This Row],[Plan]]&lt;&gt;0,DB_STProjectsSOF[[#This Row],[Actual]]/DB_STProjectsSOF[[#This Row],[Plan]],1.000011000011)</f>
        <v>0</v>
      </c>
      <c r="AI1126" s="34">
        <f>SUM(DB_STProjectsSOF[[#This Row],[Plan01]:[Plan12]])/valUnits2</f>
        <v>5.1057799999999993</v>
      </c>
      <c r="AJ1126" s="34">
        <f>SUMPRODUCT(DB_STProjectsSOF[[#This Row],[Act01]:[Act12]],$P$3:$AA$3)/valUnits2</f>
        <v>0</v>
      </c>
      <c r="AK1126" s="34">
        <f>IF(DB_STProjectsSOF[[#This Row],[FY Plan]]&lt;&gt;0,DB_STProjectsSOF[[#This Row],[FY Actuals]]/DB_STProjectsSOF[[#This Row],[FY Plan]],1.000011000011)</f>
        <v>0</v>
      </c>
    </row>
    <row r="1127" spans="1:37" hidden="1" x14ac:dyDescent="0.2">
      <c r="A1127">
        <f>SUBTOTAL(3,$B$6:B1127)</f>
        <v>0</v>
      </c>
      <c r="B1127" t="s">
        <v>503</v>
      </c>
      <c r="C1127" t="s">
        <v>869</v>
      </c>
      <c r="D1127">
        <v>10.28</v>
      </c>
      <c r="E1127">
        <v>897.68</v>
      </c>
      <c r="F1127">
        <v>1239.48</v>
      </c>
      <c r="G1127">
        <v>1271.74</v>
      </c>
      <c r="H1127">
        <v>514.79999999999995</v>
      </c>
      <c r="I1127">
        <v>487</v>
      </c>
      <c r="J1127">
        <v>487</v>
      </c>
      <c r="K1127">
        <v>487</v>
      </c>
      <c r="L1127">
        <v>487</v>
      </c>
      <c r="M1127">
        <v>487</v>
      </c>
      <c r="N1127">
        <v>487</v>
      </c>
      <c r="O1127">
        <v>487</v>
      </c>
      <c r="P1127">
        <v>10.28</v>
      </c>
      <c r="Q1127">
        <v>897.68000000000006</v>
      </c>
      <c r="R1127">
        <v>1239.48</v>
      </c>
      <c r="S1127">
        <v>1271.74</v>
      </c>
      <c r="T1127">
        <v>514.79999999999995</v>
      </c>
      <c r="U1127">
        <v>587.98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 s="164">
        <v>40817</v>
      </c>
      <c r="AC1127" s="164">
        <v>42155</v>
      </c>
      <c r="AD1127" s="164">
        <v>42217</v>
      </c>
      <c r="AE1127" s="34">
        <f>SUMPRODUCT(DB_STProjectsSOF[[#This Row],[Plan01]:[Plan12]],$D$4:$O$4)/valUnits2</f>
        <v>4.4209800000000001</v>
      </c>
      <c r="AF1127" s="34">
        <f>SUMPRODUCT(DB_STProjectsSOF[[#This Row],[Act01]:[Act12]],$P$4:$AA$4)/valUnits2</f>
        <v>4.5219600000000009</v>
      </c>
      <c r="AG1127" s="34">
        <f>DB_STProjectsSOF[[#This Row],[Actual]]-DB_STProjectsSOF[[#This Row],[Plan]]</f>
        <v>0.10098000000000074</v>
      </c>
      <c r="AH1127" s="34">
        <f>IF(DB_STProjectsSOF[[#This Row],[Plan]]&lt;&gt;0,DB_STProjectsSOF[[#This Row],[Actual]]/DB_STProjectsSOF[[#This Row],[Plan]],1.000011000011)</f>
        <v>1.0228410895321853</v>
      </c>
      <c r="AI1127" s="34">
        <f>SUM(DB_STProjectsSOF[[#This Row],[Plan01]:[Plan12]])/valUnits2</f>
        <v>7.3429800000000007</v>
      </c>
      <c r="AJ1127" s="34">
        <f>SUMPRODUCT(DB_STProjectsSOF[[#This Row],[Act01]:[Act12]],$P$3:$AA$3)/valUnits2</f>
        <v>4.5219600000000009</v>
      </c>
      <c r="AK1127" s="34">
        <f>IF(DB_STProjectsSOF[[#This Row],[FY Plan]]&lt;&gt;0,DB_STProjectsSOF[[#This Row],[FY Actuals]]/DB_STProjectsSOF[[#This Row],[FY Plan]],1.000011000011)</f>
        <v>0.61582082478775657</v>
      </c>
    </row>
    <row r="1128" spans="1:37" hidden="1" x14ac:dyDescent="0.2">
      <c r="A1128">
        <f>SUBTOTAL(3,$B$6:B1128)</f>
        <v>0</v>
      </c>
      <c r="B1128" t="s">
        <v>503</v>
      </c>
      <c r="C1128" t="s">
        <v>883</v>
      </c>
      <c r="D1128">
        <v>0</v>
      </c>
      <c r="E1128">
        <v>555.24599999999998</v>
      </c>
      <c r="G1128">
        <v>1388.0320000000002</v>
      </c>
      <c r="H1128">
        <v>567.66999999999996</v>
      </c>
      <c r="I1128">
        <v>0</v>
      </c>
      <c r="P1128">
        <v>0</v>
      </c>
      <c r="Q1128">
        <v>567.6099999999999</v>
      </c>
      <c r="S1128">
        <v>1385.7900000000002</v>
      </c>
      <c r="T1128">
        <v>566.54999999999995</v>
      </c>
      <c r="U1128">
        <v>647.07000000000005</v>
      </c>
      <c r="AB1128" s="164">
        <v>40940</v>
      </c>
      <c r="AC1128" s="164">
        <v>41639</v>
      </c>
      <c r="AD1128" s="164">
        <v>41698</v>
      </c>
      <c r="AE1128" s="34">
        <f>SUMPRODUCT(DB_STProjectsSOF[[#This Row],[Plan01]:[Plan12]],$D$4:$O$4)/valUnits2</f>
        <v>2.5109480000000004</v>
      </c>
      <c r="AF1128" s="34">
        <f>SUMPRODUCT(DB_STProjectsSOF[[#This Row],[Act01]:[Act12]],$P$4:$AA$4)/valUnits2</f>
        <v>3.1670199999999999</v>
      </c>
      <c r="AG1128" s="34">
        <f>DB_STProjectsSOF[[#This Row],[Actual]]-DB_STProjectsSOF[[#This Row],[Plan]]</f>
        <v>0.65607199999999954</v>
      </c>
      <c r="AH1128" s="34">
        <f>IF(DB_STProjectsSOF[[#This Row],[Plan]]&lt;&gt;0,DB_STProjectsSOF[[#This Row],[Actual]]/DB_STProjectsSOF[[#This Row],[Plan]],1.000011000011)</f>
        <v>1.2612845825560703</v>
      </c>
      <c r="AI1128" s="34">
        <f>SUM(DB_STProjectsSOF[[#This Row],[Plan01]:[Plan12]])/valUnits2</f>
        <v>2.5109480000000004</v>
      </c>
      <c r="AJ1128" s="34">
        <f>SUMPRODUCT(DB_STProjectsSOF[[#This Row],[Act01]:[Act12]],$P$3:$AA$3)/valUnits2</f>
        <v>3.1670199999999999</v>
      </c>
      <c r="AK1128" s="34">
        <f>IF(DB_STProjectsSOF[[#This Row],[FY Plan]]&lt;&gt;0,DB_STProjectsSOF[[#This Row],[FY Actuals]]/DB_STProjectsSOF[[#This Row],[FY Plan]],1.000011000011)</f>
        <v>1.2612845825560703</v>
      </c>
    </row>
    <row r="1129" spans="1:37" hidden="1" x14ac:dyDescent="0.2">
      <c r="A1129">
        <f>SUBTOTAL(3,$B$6:B1129)</f>
        <v>0</v>
      </c>
      <c r="B1129" t="s">
        <v>503</v>
      </c>
      <c r="C1129" t="s">
        <v>891</v>
      </c>
      <c r="G1129">
        <v>0</v>
      </c>
      <c r="H1129">
        <v>0</v>
      </c>
      <c r="I1129">
        <v>118.761</v>
      </c>
      <c r="J1129">
        <v>118.761</v>
      </c>
      <c r="K1129">
        <v>118.761</v>
      </c>
      <c r="L1129">
        <v>118.761</v>
      </c>
      <c r="M1129">
        <v>118.761</v>
      </c>
      <c r="N1129">
        <v>118.761</v>
      </c>
      <c r="O1129">
        <v>118.761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 s="164">
        <v>41214</v>
      </c>
      <c r="AC1129" s="164">
        <v>42308</v>
      </c>
      <c r="AD1129" s="164">
        <v>42389</v>
      </c>
      <c r="AE1129" s="34">
        <f>SUMPRODUCT(DB_STProjectsSOF[[#This Row],[Plan01]:[Plan12]],$D$4:$O$4)/valUnits2</f>
        <v>0.11876099999999999</v>
      </c>
      <c r="AF1129" s="34">
        <f>SUMPRODUCT(DB_STProjectsSOF[[#This Row],[Act01]:[Act12]],$P$4:$AA$4)/valUnits2</f>
        <v>0</v>
      </c>
      <c r="AG1129" s="34">
        <f>DB_STProjectsSOF[[#This Row],[Actual]]-DB_STProjectsSOF[[#This Row],[Plan]]</f>
        <v>-0.11876099999999999</v>
      </c>
      <c r="AH1129" s="34">
        <f>IF(DB_STProjectsSOF[[#This Row],[Plan]]&lt;&gt;0,DB_STProjectsSOF[[#This Row],[Actual]]/DB_STProjectsSOF[[#This Row],[Plan]],1.000011000011)</f>
        <v>0</v>
      </c>
      <c r="AI1129" s="34">
        <f>SUM(DB_STProjectsSOF[[#This Row],[Plan01]:[Plan12]])/valUnits2</f>
        <v>0.83132699999999993</v>
      </c>
      <c r="AJ1129" s="34">
        <f>SUMPRODUCT(DB_STProjectsSOF[[#This Row],[Act01]:[Act12]],$P$3:$AA$3)/valUnits2</f>
        <v>0</v>
      </c>
      <c r="AK1129" s="34">
        <f>IF(DB_STProjectsSOF[[#This Row],[FY Plan]]&lt;&gt;0,DB_STProjectsSOF[[#This Row],[FY Actuals]]/DB_STProjectsSOF[[#This Row],[FY Plan]],1.000011000011)</f>
        <v>0</v>
      </c>
    </row>
    <row r="1130" spans="1:37" hidden="1" x14ac:dyDescent="0.2">
      <c r="A1130">
        <f>SUBTOTAL(3,$B$6:B1130)</f>
        <v>0</v>
      </c>
      <c r="B1130" t="s">
        <v>503</v>
      </c>
      <c r="C1130" t="s">
        <v>368</v>
      </c>
      <c r="D1130">
        <v>0</v>
      </c>
      <c r="E1130">
        <v>0</v>
      </c>
      <c r="H1130">
        <v>1523.5619999999999</v>
      </c>
      <c r="I1130">
        <v>1523.5619999999999</v>
      </c>
      <c r="J1130">
        <v>1523.5619999999999</v>
      </c>
      <c r="K1130">
        <v>1523.5619999999999</v>
      </c>
      <c r="L1130">
        <v>1523.5619999999999</v>
      </c>
      <c r="M1130">
        <v>1523.5619999999999</v>
      </c>
      <c r="N1130">
        <v>1523.5619999999999</v>
      </c>
      <c r="P1130">
        <v>0</v>
      </c>
      <c r="Q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B1130" s="164">
        <v>41000</v>
      </c>
      <c r="AC1130" s="164">
        <v>41820</v>
      </c>
      <c r="AD1130" s="164">
        <v>41517</v>
      </c>
      <c r="AE1130" s="34">
        <f>SUMPRODUCT(DB_STProjectsSOF[[#This Row],[Plan01]:[Plan12]],$D$4:$O$4)/valUnits2</f>
        <v>3.0471239999999997</v>
      </c>
      <c r="AF1130" s="34">
        <f>SUMPRODUCT(DB_STProjectsSOF[[#This Row],[Act01]:[Act12]],$P$4:$AA$4)/valUnits2</f>
        <v>0</v>
      </c>
      <c r="AG1130" s="34">
        <f>DB_STProjectsSOF[[#This Row],[Actual]]-DB_STProjectsSOF[[#This Row],[Plan]]</f>
        <v>-3.0471239999999997</v>
      </c>
      <c r="AH1130" s="34">
        <f>IF(DB_STProjectsSOF[[#This Row],[Plan]]&lt;&gt;0,DB_STProjectsSOF[[#This Row],[Actual]]/DB_STProjectsSOF[[#This Row],[Plan]],1.000011000011)</f>
        <v>0</v>
      </c>
      <c r="AI1130" s="34">
        <f>SUM(DB_STProjectsSOF[[#This Row],[Plan01]:[Plan12]])/valUnits2</f>
        <v>10.664933999999999</v>
      </c>
      <c r="AJ1130" s="34">
        <f>SUMPRODUCT(DB_STProjectsSOF[[#This Row],[Act01]:[Act12]],$P$3:$AA$3)/valUnits2</f>
        <v>0</v>
      </c>
      <c r="AK1130" s="34">
        <f>IF(DB_STProjectsSOF[[#This Row],[FY Plan]]&lt;&gt;0,DB_STProjectsSOF[[#This Row],[FY Actuals]]/DB_STProjectsSOF[[#This Row],[FY Plan]],1.000011000011)</f>
        <v>0</v>
      </c>
    </row>
    <row r="1131" spans="1:37" hidden="1" x14ac:dyDescent="0.2">
      <c r="A1131">
        <f>SUBTOTAL(3,$B$6:B1131)</f>
        <v>0</v>
      </c>
      <c r="B1131" t="s">
        <v>503</v>
      </c>
      <c r="C1131" t="s">
        <v>896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 s="164">
        <v>40817</v>
      </c>
      <c r="AC1131" s="164">
        <v>41639</v>
      </c>
      <c r="AD1131" s="164">
        <v>41820</v>
      </c>
      <c r="AE1131" s="34">
        <f>SUMPRODUCT(DB_STProjectsSOF[[#This Row],[Plan01]:[Plan12]],$D$4:$O$4)/valUnits2</f>
        <v>0</v>
      </c>
      <c r="AF1131" s="34">
        <f>SUMPRODUCT(DB_STProjectsSOF[[#This Row],[Act01]:[Act12]],$P$4:$AA$4)/valUnits2</f>
        <v>0</v>
      </c>
      <c r="AG1131" s="34">
        <f>DB_STProjectsSOF[[#This Row],[Actual]]-DB_STProjectsSOF[[#This Row],[Plan]]</f>
        <v>0</v>
      </c>
      <c r="AH1131" s="34">
        <f>IF(DB_STProjectsSOF[[#This Row],[Plan]]&lt;&gt;0,DB_STProjectsSOF[[#This Row],[Actual]]/DB_STProjectsSOF[[#This Row],[Plan]],1.000011000011)</f>
        <v>1.0000110000110001</v>
      </c>
      <c r="AI1131" s="34">
        <f>SUM(DB_STProjectsSOF[[#This Row],[Plan01]:[Plan12]])/valUnits2</f>
        <v>0</v>
      </c>
      <c r="AJ1131" s="34">
        <f>SUMPRODUCT(DB_STProjectsSOF[[#This Row],[Act01]:[Act12]],$P$3:$AA$3)/valUnits2</f>
        <v>0</v>
      </c>
      <c r="AK1131" s="34">
        <f>IF(DB_STProjectsSOF[[#This Row],[FY Plan]]&lt;&gt;0,DB_STProjectsSOF[[#This Row],[FY Actuals]]/DB_STProjectsSOF[[#This Row],[FY Plan]],1.000011000011)</f>
        <v>1.0000110000110001</v>
      </c>
    </row>
    <row r="1132" spans="1:37" hidden="1" x14ac:dyDescent="0.2">
      <c r="A1132">
        <f>SUBTOTAL(3,$B$6:B1132)</f>
        <v>0</v>
      </c>
      <c r="B1132" t="s">
        <v>503</v>
      </c>
      <c r="C1132" t="s">
        <v>904</v>
      </c>
      <c r="I1132">
        <v>0</v>
      </c>
      <c r="U1132">
        <v>21.23</v>
      </c>
      <c r="AB1132" s="164">
        <v>40817</v>
      </c>
      <c r="AC1132" s="164">
        <v>41639</v>
      </c>
      <c r="AD1132" s="164">
        <v>41698</v>
      </c>
      <c r="AE1132" s="34">
        <f>SUMPRODUCT(DB_STProjectsSOF[[#This Row],[Plan01]:[Plan12]],$D$4:$O$4)/valUnits2</f>
        <v>0</v>
      </c>
      <c r="AF1132" s="34">
        <f>SUMPRODUCT(DB_STProjectsSOF[[#This Row],[Act01]:[Act12]],$P$4:$AA$4)/valUnits2</f>
        <v>2.1229999999999999E-2</v>
      </c>
      <c r="AG1132" s="34">
        <f>DB_STProjectsSOF[[#This Row],[Actual]]-DB_STProjectsSOF[[#This Row],[Plan]]</f>
        <v>2.1229999999999999E-2</v>
      </c>
      <c r="AH1132" s="34">
        <f>IF(DB_STProjectsSOF[[#This Row],[Plan]]&lt;&gt;0,DB_STProjectsSOF[[#This Row],[Actual]]/DB_STProjectsSOF[[#This Row],[Plan]],1.000011000011)</f>
        <v>1.0000110000110001</v>
      </c>
      <c r="AI1132" s="34">
        <f>SUM(DB_STProjectsSOF[[#This Row],[Plan01]:[Plan12]])/valUnits2</f>
        <v>0</v>
      </c>
      <c r="AJ1132" s="34">
        <f>SUMPRODUCT(DB_STProjectsSOF[[#This Row],[Act01]:[Act12]],$P$3:$AA$3)/valUnits2</f>
        <v>2.1229999999999999E-2</v>
      </c>
      <c r="AK1132" s="34">
        <f>IF(DB_STProjectsSOF[[#This Row],[FY Plan]]&lt;&gt;0,DB_STProjectsSOF[[#This Row],[FY Actuals]]/DB_STProjectsSOF[[#This Row],[FY Plan]],1.000011000011)</f>
        <v>1.0000110000110001</v>
      </c>
    </row>
    <row r="1133" spans="1:37" hidden="1" x14ac:dyDescent="0.2">
      <c r="A1133">
        <f>SUBTOTAL(3,$B$6:B1133)</f>
        <v>0</v>
      </c>
      <c r="B1133" t="s">
        <v>503</v>
      </c>
      <c r="C1133" t="s">
        <v>909</v>
      </c>
      <c r="D1133">
        <v>0</v>
      </c>
      <c r="E1133">
        <v>975.28</v>
      </c>
      <c r="F1133">
        <v>1294.67</v>
      </c>
      <c r="G1133">
        <v>2429.4199999999996</v>
      </c>
      <c r="H1133">
        <v>977.91</v>
      </c>
      <c r="I1133">
        <v>1461</v>
      </c>
      <c r="J1133">
        <v>1461</v>
      </c>
      <c r="K1133">
        <v>1461</v>
      </c>
      <c r="L1133">
        <v>1461</v>
      </c>
      <c r="M1133">
        <v>1461</v>
      </c>
      <c r="N1133">
        <v>1461</v>
      </c>
      <c r="O1133">
        <v>1461</v>
      </c>
      <c r="P1133">
        <v>0</v>
      </c>
      <c r="Q1133">
        <v>975.28</v>
      </c>
      <c r="R1133">
        <v>1294.6699999999998</v>
      </c>
      <c r="S1133">
        <v>2429.42</v>
      </c>
      <c r="T1133">
        <v>977.91</v>
      </c>
      <c r="U1133">
        <v>823.77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 s="164">
        <v>40817</v>
      </c>
      <c r="AC1133" s="164">
        <v>42155</v>
      </c>
      <c r="AD1133" s="164">
        <v>42217</v>
      </c>
      <c r="AE1133" s="34">
        <f>SUMPRODUCT(DB_STProjectsSOF[[#This Row],[Plan01]:[Plan12]],$D$4:$O$4)/valUnits2</f>
        <v>7.1382799999999991</v>
      </c>
      <c r="AF1133" s="34">
        <f>SUMPRODUCT(DB_STProjectsSOF[[#This Row],[Act01]:[Act12]],$P$4:$AA$4)/valUnits2</f>
        <v>6.5010499999999993</v>
      </c>
      <c r="AG1133" s="34">
        <f>DB_STProjectsSOF[[#This Row],[Actual]]-DB_STProjectsSOF[[#This Row],[Plan]]</f>
        <v>-0.63722999999999974</v>
      </c>
      <c r="AH1133" s="34">
        <f>IF(DB_STProjectsSOF[[#This Row],[Plan]]&lt;&gt;0,DB_STProjectsSOF[[#This Row],[Actual]]/DB_STProjectsSOF[[#This Row],[Plan]],1.000011000011)</f>
        <v>0.91073059616602325</v>
      </c>
      <c r="AI1133" s="34">
        <f>SUM(DB_STProjectsSOF[[#This Row],[Plan01]:[Plan12]])/valUnits2</f>
        <v>15.904279999999998</v>
      </c>
      <c r="AJ1133" s="34">
        <f>SUMPRODUCT(DB_STProjectsSOF[[#This Row],[Act01]:[Act12]],$P$3:$AA$3)/valUnits2</f>
        <v>6.5010499999999993</v>
      </c>
      <c r="AK1133" s="34">
        <f>IF(DB_STProjectsSOF[[#This Row],[FY Plan]]&lt;&gt;0,DB_STProjectsSOF[[#This Row],[FY Actuals]]/DB_STProjectsSOF[[#This Row],[FY Plan]],1.000011000011)</f>
        <v>0.40876103790929236</v>
      </c>
    </row>
    <row r="1134" spans="1:37" hidden="1" x14ac:dyDescent="0.2">
      <c r="A1134">
        <f>SUBTOTAL(3,$B$6:B1134)</f>
        <v>0</v>
      </c>
      <c r="B1134" t="s">
        <v>503</v>
      </c>
      <c r="C1134" t="s">
        <v>911</v>
      </c>
      <c r="D1134">
        <v>284.161</v>
      </c>
      <c r="E1134">
        <v>529.91399999999999</v>
      </c>
      <c r="F1134">
        <v>826.88599999999997</v>
      </c>
      <c r="G1134">
        <v>909.90599999999995</v>
      </c>
      <c r="H1134">
        <v>785.30600000000004</v>
      </c>
      <c r="I1134">
        <v>681.82600000000002</v>
      </c>
      <c r="J1134">
        <v>681.82600000000002</v>
      </c>
      <c r="K1134">
        <v>681.82600000000002</v>
      </c>
      <c r="L1134">
        <v>681.82600000000002</v>
      </c>
      <c r="M1134">
        <v>681.82600000000002</v>
      </c>
      <c r="P1134">
        <v>0</v>
      </c>
      <c r="Q1134">
        <v>106.64</v>
      </c>
      <c r="R1134">
        <v>145.06</v>
      </c>
      <c r="S1134">
        <v>228.08</v>
      </c>
      <c r="T1134">
        <v>103.47999999999999</v>
      </c>
      <c r="U1134">
        <v>118.2</v>
      </c>
      <c r="V1134">
        <v>0</v>
      </c>
      <c r="W1134">
        <v>0</v>
      </c>
      <c r="X1134">
        <v>0</v>
      </c>
      <c r="Y1134">
        <v>0</v>
      </c>
      <c r="AB1134" s="164">
        <v>40817</v>
      </c>
      <c r="AC1134" s="164">
        <v>41578</v>
      </c>
      <c r="AD1134" s="164">
        <v>41639</v>
      </c>
      <c r="AE1134" s="34">
        <f>SUMPRODUCT(DB_STProjectsSOF[[#This Row],[Plan01]:[Plan12]],$D$4:$O$4)/valUnits2</f>
        <v>4.0179990000000005</v>
      </c>
      <c r="AF1134" s="34">
        <f>SUMPRODUCT(DB_STProjectsSOF[[#This Row],[Act01]:[Act12]],$P$4:$AA$4)/valUnits2</f>
        <v>0.70146000000000008</v>
      </c>
      <c r="AG1134" s="34">
        <f>DB_STProjectsSOF[[#This Row],[Actual]]-DB_STProjectsSOF[[#This Row],[Plan]]</f>
        <v>-3.3165390000000006</v>
      </c>
      <c r="AH1134" s="34">
        <f>IF(DB_STProjectsSOF[[#This Row],[Plan]]&lt;&gt;0,DB_STProjectsSOF[[#This Row],[Actual]]/DB_STProjectsSOF[[#This Row],[Plan]],1.000011000011)</f>
        <v>0.17457943618203986</v>
      </c>
      <c r="AI1134" s="34">
        <f>SUM(DB_STProjectsSOF[[#This Row],[Plan01]:[Plan12]])/valUnits2</f>
        <v>6.7453030000000007</v>
      </c>
      <c r="AJ1134" s="34">
        <f>SUMPRODUCT(DB_STProjectsSOF[[#This Row],[Act01]:[Act12]],$P$3:$AA$3)/valUnits2</f>
        <v>0.70146000000000008</v>
      </c>
      <c r="AK1134" s="34">
        <f>IF(DB_STProjectsSOF[[#This Row],[FY Plan]]&lt;&gt;0,DB_STProjectsSOF[[#This Row],[FY Actuals]]/DB_STProjectsSOF[[#This Row],[FY Plan]],1.000011000011)</f>
        <v>0.10399236327856584</v>
      </c>
    </row>
    <row r="1135" spans="1:37" hidden="1" x14ac:dyDescent="0.2">
      <c r="A1135">
        <f>SUBTOTAL(3,$B$6:B1135)</f>
        <v>0</v>
      </c>
      <c r="B1135" t="s">
        <v>503</v>
      </c>
      <c r="C1135" t="s">
        <v>356</v>
      </c>
      <c r="G1135">
        <v>290.64300000000003</v>
      </c>
      <c r="I1135">
        <v>0</v>
      </c>
      <c r="S1135">
        <v>292.33999999999997</v>
      </c>
      <c r="U1135">
        <v>54.19</v>
      </c>
      <c r="AB1135" s="164">
        <v>41091</v>
      </c>
      <c r="AC1135" s="164">
        <v>41455</v>
      </c>
      <c r="AD1135" s="164">
        <v>41547</v>
      </c>
      <c r="AE1135" s="34">
        <f>SUMPRODUCT(DB_STProjectsSOF[[#This Row],[Plan01]:[Plan12]],$D$4:$O$4)/valUnits2</f>
        <v>0.29064300000000004</v>
      </c>
      <c r="AF1135" s="34">
        <f>SUMPRODUCT(DB_STProjectsSOF[[#This Row],[Act01]:[Act12]],$P$4:$AA$4)/valUnits2</f>
        <v>0.34652999999999995</v>
      </c>
      <c r="AG1135" s="34">
        <f>DB_STProjectsSOF[[#This Row],[Actual]]-DB_STProjectsSOF[[#This Row],[Plan]]</f>
        <v>5.5886999999999909E-2</v>
      </c>
      <c r="AH1135" s="34">
        <f>IF(DB_STProjectsSOF[[#This Row],[Plan]]&lt;&gt;0,DB_STProjectsSOF[[#This Row],[Actual]]/DB_STProjectsSOF[[#This Row],[Plan]],1.000011000011)</f>
        <v>1.1922874454227348</v>
      </c>
      <c r="AI1135" s="34">
        <f>SUM(DB_STProjectsSOF[[#This Row],[Plan01]:[Plan12]])/valUnits2</f>
        <v>0.29064300000000004</v>
      </c>
      <c r="AJ1135" s="34">
        <f>SUMPRODUCT(DB_STProjectsSOF[[#This Row],[Act01]:[Act12]],$P$3:$AA$3)/valUnits2</f>
        <v>0.34652999999999995</v>
      </c>
      <c r="AK1135" s="34">
        <f>IF(DB_STProjectsSOF[[#This Row],[FY Plan]]&lt;&gt;0,DB_STProjectsSOF[[#This Row],[FY Actuals]]/DB_STProjectsSOF[[#This Row],[FY Plan]],1.000011000011)</f>
        <v>1.1922874454227348</v>
      </c>
    </row>
    <row r="1136" spans="1:37" hidden="1" x14ac:dyDescent="0.2">
      <c r="A1136">
        <f>SUBTOTAL(3,$B$6:B1136)</f>
        <v>0</v>
      </c>
      <c r="B1136" t="s">
        <v>503</v>
      </c>
      <c r="C1136" t="s">
        <v>919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 s="164">
        <v>40878</v>
      </c>
      <c r="AC1136" s="164">
        <v>42794</v>
      </c>
      <c r="AD1136" s="164">
        <v>42978</v>
      </c>
      <c r="AE1136" s="34">
        <f>SUMPRODUCT(DB_STProjectsSOF[[#This Row],[Plan01]:[Plan12]],$D$4:$O$4)/valUnits2</f>
        <v>0</v>
      </c>
      <c r="AF1136" s="34">
        <f>SUMPRODUCT(DB_STProjectsSOF[[#This Row],[Act01]:[Act12]],$P$4:$AA$4)/valUnits2</f>
        <v>0</v>
      </c>
      <c r="AG1136" s="34">
        <f>DB_STProjectsSOF[[#This Row],[Actual]]-DB_STProjectsSOF[[#This Row],[Plan]]</f>
        <v>0</v>
      </c>
      <c r="AH1136" s="34">
        <f>IF(DB_STProjectsSOF[[#This Row],[Plan]]&lt;&gt;0,DB_STProjectsSOF[[#This Row],[Actual]]/DB_STProjectsSOF[[#This Row],[Plan]],1.000011000011)</f>
        <v>1.0000110000110001</v>
      </c>
      <c r="AI1136" s="34">
        <f>SUM(DB_STProjectsSOF[[#This Row],[Plan01]:[Plan12]])/valUnits2</f>
        <v>0</v>
      </c>
      <c r="AJ1136" s="34">
        <f>SUMPRODUCT(DB_STProjectsSOF[[#This Row],[Act01]:[Act12]],$P$3:$AA$3)/valUnits2</f>
        <v>0</v>
      </c>
      <c r="AK1136" s="34">
        <f>IF(DB_STProjectsSOF[[#This Row],[FY Plan]]&lt;&gt;0,DB_STProjectsSOF[[#This Row],[FY Actuals]]/DB_STProjectsSOF[[#This Row],[FY Plan]],1.000011000011)</f>
        <v>1.0000110000110001</v>
      </c>
    </row>
    <row r="1137" spans="1:37" hidden="1" x14ac:dyDescent="0.2">
      <c r="A1137">
        <f>SUBTOTAL(3,$B$6:B1137)</f>
        <v>0</v>
      </c>
      <c r="B1137" t="s">
        <v>503</v>
      </c>
      <c r="C1137" t="s">
        <v>930</v>
      </c>
      <c r="D1137">
        <v>0</v>
      </c>
      <c r="E1137">
        <v>274.81</v>
      </c>
      <c r="F1137">
        <v>339.16999999999996</v>
      </c>
      <c r="G1137">
        <v>232.39000000000001</v>
      </c>
      <c r="H1137">
        <v>89.9</v>
      </c>
      <c r="I1137">
        <v>117.77500000000001</v>
      </c>
      <c r="J1137">
        <v>117.77500000000001</v>
      </c>
      <c r="K1137">
        <v>117.77500000000001</v>
      </c>
      <c r="L1137">
        <v>117.77500000000001</v>
      </c>
      <c r="M1137">
        <v>117.77500000000001</v>
      </c>
      <c r="N1137">
        <v>117.77500000000001</v>
      </c>
      <c r="O1137">
        <v>117.77500000000001</v>
      </c>
      <c r="P1137">
        <v>0</v>
      </c>
      <c r="Q1137">
        <v>274.81</v>
      </c>
      <c r="R1137">
        <v>339.16999999999996</v>
      </c>
      <c r="S1137">
        <v>232.39000000000001</v>
      </c>
      <c r="T1137">
        <v>89.9</v>
      </c>
      <c r="U1137">
        <v>161.38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 s="164">
        <v>40848</v>
      </c>
      <c r="AC1137" s="164">
        <v>41729</v>
      </c>
      <c r="AD1137" s="164">
        <v>41654</v>
      </c>
      <c r="AE1137" s="34">
        <f>SUMPRODUCT(DB_STProjectsSOF[[#This Row],[Plan01]:[Plan12]],$D$4:$O$4)/valUnits2</f>
        <v>1.0540450000000001</v>
      </c>
      <c r="AF1137" s="34">
        <f>SUMPRODUCT(DB_STProjectsSOF[[#This Row],[Act01]:[Act12]],$P$4:$AA$4)/valUnits2</f>
        <v>1.09765</v>
      </c>
      <c r="AG1137" s="34">
        <f>DB_STProjectsSOF[[#This Row],[Actual]]-DB_STProjectsSOF[[#This Row],[Plan]]</f>
        <v>4.3604999999999894E-2</v>
      </c>
      <c r="AH1137" s="34">
        <f>IF(DB_STProjectsSOF[[#This Row],[Plan]]&lt;&gt;0,DB_STProjectsSOF[[#This Row],[Actual]]/DB_STProjectsSOF[[#This Row],[Plan]],1.000011000011)</f>
        <v>1.0413692015046794</v>
      </c>
      <c r="AI1137" s="34">
        <f>SUM(DB_STProjectsSOF[[#This Row],[Plan01]:[Plan12]])/valUnits2</f>
        <v>1.7606950000000006</v>
      </c>
      <c r="AJ1137" s="34">
        <f>SUMPRODUCT(DB_STProjectsSOF[[#This Row],[Act01]:[Act12]],$P$3:$AA$3)/valUnits2</f>
        <v>1.09765</v>
      </c>
      <c r="AK1137" s="34">
        <f>IF(DB_STProjectsSOF[[#This Row],[FY Plan]]&lt;&gt;0,DB_STProjectsSOF[[#This Row],[FY Actuals]]/DB_STProjectsSOF[[#This Row],[FY Plan]],1.000011000011)</f>
        <v>0.62341859322597026</v>
      </c>
    </row>
    <row r="1138" spans="1:37" hidden="1" x14ac:dyDescent="0.2">
      <c r="A1138">
        <f>SUBTOTAL(3,$B$6:B1138)</f>
        <v>0</v>
      </c>
      <c r="B1138" t="s">
        <v>503</v>
      </c>
      <c r="C1138" t="s">
        <v>933</v>
      </c>
      <c r="F1138">
        <v>0</v>
      </c>
      <c r="G1138">
        <v>0</v>
      </c>
      <c r="H1138">
        <v>0</v>
      </c>
      <c r="R1138">
        <v>0</v>
      </c>
      <c r="S1138">
        <v>0</v>
      </c>
      <c r="T1138">
        <v>0</v>
      </c>
      <c r="AB1138" s="164">
        <v>40817</v>
      </c>
      <c r="AC1138" s="164">
        <v>42155</v>
      </c>
      <c r="AD1138" s="164">
        <v>42217</v>
      </c>
      <c r="AE1138" s="34">
        <f>SUMPRODUCT(DB_STProjectsSOF[[#This Row],[Plan01]:[Plan12]],$D$4:$O$4)/valUnits2</f>
        <v>0</v>
      </c>
      <c r="AF1138" s="34">
        <f>SUMPRODUCT(DB_STProjectsSOF[[#This Row],[Act01]:[Act12]],$P$4:$AA$4)/valUnits2</f>
        <v>0</v>
      </c>
      <c r="AG1138" s="34">
        <f>DB_STProjectsSOF[[#This Row],[Actual]]-DB_STProjectsSOF[[#This Row],[Plan]]</f>
        <v>0</v>
      </c>
      <c r="AH1138" s="34">
        <f>IF(DB_STProjectsSOF[[#This Row],[Plan]]&lt;&gt;0,DB_STProjectsSOF[[#This Row],[Actual]]/DB_STProjectsSOF[[#This Row],[Plan]],1.000011000011)</f>
        <v>1.0000110000110001</v>
      </c>
      <c r="AI1138" s="34">
        <f>SUM(DB_STProjectsSOF[[#This Row],[Plan01]:[Plan12]])/valUnits2</f>
        <v>0</v>
      </c>
      <c r="AJ1138" s="34">
        <f>SUMPRODUCT(DB_STProjectsSOF[[#This Row],[Act01]:[Act12]],$P$3:$AA$3)/valUnits2</f>
        <v>0</v>
      </c>
      <c r="AK1138" s="34">
        <f>IF(DB_STProjectsSOF[[#This Row],[FY Plan]]&lt;&gt;0,DB_STProjectsSOF[[#This Row],[FY Actuals]]/DB_STProjectsSOF[[#This Row],[FY Plan]],1.000011000011)</f>
        <v>1.0000110000110001</v>
      </c>
    </row>
    <row r="1139" spans="1:37" hidden="1" x14ac:dyDescent="0.2">
      <c r="A1139">
        <f>SUBTOTAL(3,$B$6:B1139)</f>
        <v>0</v>
      </c>
      <c r="B1139" t="s">
        <v>504</v>
      </c>
      <c r="C1139" t="s">
        <v>842</v>
      </c>
      <c r="I1139">
        <v>0</v>
      </c>
      <c r="U1139">
        <v>265.95999999999998</v>
      </c>
      <c r="AB1139" s="164">
        <v>41214</v>
      </c>
      <c r="AC1139" s="164">
        <v>42308</v>
      </c>
      <c r="AD1139" s="164">
        <v>42389</v>
      </c>
      <c r="AE1139" s="34">
        <f>SUMPRODUCT(DB_STProjectsSOF[[#This Row],[Plan01]:[Plan12]],$D$4:$O$4)/valUnits2</f>
        <v>0</v>
      </c>
      <c r="AF1139" s="34">
        <f>SUMPRODUCT(DB_STProjectsSOF[[#This Row],[Act01]:[Act12]],$P$4:$AA$4)/valUnits2</f>
        <v>0.26595999999999997</v>
      </c>
      <c r="AG1139" s="34">
        <f>DB_STProjectsSOF[[#This Row],[Actual]]-DB_STProjectsSOF[[#This Row],[Plan]]</f>
        <v>0.26595999999999997</v>
      </c>
      <c r="AH1139" s="34">
        <f>IF(DB_STProjectsSOF[[#This Row],[Plan]]&lt;&gt;0,DB_STProjectsSOF[[#This Row],[Actual]]/DB_STProjectsSOF[[#This Row],[Plan]],1.000011000011)</f>
        <v>1.0000110000110001</v>
      </c>
      <c r="AI1139" s="34">
        <f>SUM(DB_STProjectsSOF[[#This Row],[Plan01]:[Plan12]])/valUnits2</f>
        <v>0</v>
      </c>
      <c r="AJ1139" s="34">
        <f>SUMPRODUCT(DB_STProjectsSOF[[#This Row],[Act01]:[Act12]],$P$3:$AA$3)/valUnits2</f>
        <v>0.26595999999999997</v>
      </c>
      <c r="AK1139" s="34">
        <f>IF(DB_STProjectsSOF[[#This Row],[FY Plan]]&lt;&gt;0,DB_STProjectsSOF[[#This Row],[FY Actuals]]/DB_STProjectsSOF[[#This Row],[FY Plan]],1.000011000011)</f>
        <v>1.0000110000110001</v>
      </c>
    </row>
    <row r="1140" spans="1:37" hidden="1" x14ac:dyDescent="0.2">
      <c r="A1140">
        <f>SUBTOTAL(3,$B$6:B1140)</f>
        <v>0</v>
      </c>
      <c r="B1140" t="s">
        <v>504</v>
      </c>
      <c r="C1140" t="s">
        <v>843</v>
      </c>
      <c r="H1140">
        <v>584.17899999999997</v>
      </c>
      <c r="I1140">
        <v>0</v>
      </c>
      <c r="T1140">
        <v>577.24</v>
      </c>
      <c r="U1140">
        <v>447.12</v>
      </c>
      <c r="AB1140" s="164">
        <v>41275</v>
      </c>
      <c r="AC1140" s="164">
        <v>42369</v>
      </c>
      <c r="AD1140" s="164">
        <v>42492</v>
      </c>
      <c r="AE1140" s="34">
        <f>SUMPRODUCT(DB_STProjectsSOF[[#This Row],[Plan01]:[Plan12]],$D$4:$O$4)/valUnits2</f>
        <v>0.584179</v>
      </c>
      <c r="AF1140" s="34">
        <f>SUMPRODUCT(DB_STProjectsSOF[[#This Row],[Act01]:[Act12]],$P$4:$AA$4)/valUnits2</f>
        <v>1.0243600000000002</v>
      </c>
      <c r="AG1140" s="34">
        <f>DB_STProjectsSOF[[#This Row],[Actual]]-DB_STProjectsSOF[[#This Row],[Plan]]</f>
        <v>0.44018100000000016</v>
      </c>
      <c r="AH1140" s="34">
        <f>IF(DB_STProjectsSOF[[#This Row],[Plan]]&lt;&gt;0,DB_STProjectsSOF[[#This Row],[Actual]]/DB_STProjectsSOF[[#This Row],[Plan]],1.000011000011)</f>
        <v>1.7535036350159801</v>
      </c>
      <c r="AI1140" s="34">
        <f>SUM(DB_STProjectsSOF[[#This Row],[Plan01]:[Plan12]])/valUnits2</f>
        <v>0.584179</v>
      </c>
      <c r="AJ1140" s="34">
        <f>SUMPRODUCT(DB_STProjectsSOF[[#This Row],[Act01]:[Act12]],$P$3:$AA$3)/valUnits2</f>
        <v>1.0243600000000002</v>
      </c>
      <c r="AK1140" s="34">
        <f>IF(DB_STProjectsSOF[[#This Row],[FY Plan]]&lt;&gt;0,DB_STProjectsSOF[[#This Row],[FY Actuals]]/DB_STProjectsSOF[[#This Row],[FY Plan]],1.000011000011)</f>
        <v>1.7535036350159801</v>
      </c>
    </row>
    <row r="1141" spans="1:37" hidden="1" x14ac:dyDescent="0.2">
      <c r="A1141">
        <f>SUBTOTAL(3,$B$6:B1141)</f>
        <v>0</v>
      </c>
      <c r="B1141" t="s">
        <v>504</v>
      </c>
      <c r="C1141" t="s">
        <v>853</v>
      </c>
      <c r="I1141">
        <v>0</v>
      </c>
      <c r="U1141">
        <v>9.48</v>
      </c>
      <c r="AB1141" s="164">
        <v>41275</v>
      </c>
      <c r="AC1141" s="164">
        <v>41639</v>
      </c>
      <c r="AD1141" s="164">
        <v>41669</v>
      </c>
      <c r="AE1141" s="34">
        <f>SUMPRODUCT(DB_STProjectsSOF[[#This Row],[Plan01]:[Plan12]],$D$4:$O$4)/valUnits2</f>
        <v>0</v>
      </c>
      <c r="AF1141" s="34">
        <f>SUMPRODUCT(DB_STProjectsSOF[[#This Row],[Act01]:[Act12]],$P$4:$AA$4)/valUnits2</f>
        <v>9.4800000000000006E-3</v>
      </c>
      <c r="AG1141" s="34">
        <f>DB_STProjectsSOF[[#This Row],[Actual]]-DB_STProjectsSOF[[#This Row],[Plan]]</f>
        <v>9.4800000000000006E-3</v>
      </c>
      <c r="AH1141" s="34">
        <f>IF(DB_STProjectsSOF[[#This Row],[Plan]]&lt;&gt;0,DB_STProjectsSOF[[#This Row],[Actual]]/DB_STProjectsSOF[[#This Row],[Plan]],1.000011000011)</f>
        <v>1.0000110000110001</v>
      </c>
      <c r="AI1141" s="34">
        <f>SUM(DB_STProjectsSOF[[#This Row],[Plan01]:[Plan12]])/valUnits2</f>
        <v>0</v>
      </c>
      <c r="AJ1141" s="34">
        <f>SUMPRODUCT(DB_STProjectsSOF[[#This Row],[Act01]:[Act12]],$P$3:$AA$3)/valUnits2</f>
        <v>9.4800000000000006E-3</v>
      </c>
      <c r="AK1141" s="34">
        <f>IF(DB_STProjectsSOF[[#This Row],[FY Plan]]&lt;&gt;0,DB_STProjectsSOF[[#This Row],[FY Actuals]]/DB_STProjectsSOF[[#This Row],[FY Plan]],1.000011000011)</f>
        <v>1.0000110000110001</v>
      </c>
    </row>
    <row r="1142" spans="1:37" hidden="1" x14ac:dyDescent="0.2">
      <c r="A1142">
        <f>SUBTOTAL(3,$B$6:B1142)</f>
        <v>0</v>
      </c>
      <c r="B1142" t="s">
        <v>504</v>
      </c>
      <c r="C1142" t="s">
        <v>856</v>
      </c>
      <c r="D1142">
        <v>1660.424</v>
      </c>
      <c r="E1142">
        <v>2011.325</v>
      </c>
      <c r="F1142">
        <v>1859.02</v>
      </c>
      <c r="G1142">
        <v>33.859000000000002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1569.91</v>
      </c>
      <c r="Q1142">
        <v>1929.5</v>
      </c>
      <c r="R1142">
        <v>1786.56</v>
      </c>
      <c r="S1142">
        <v>32.479999999999997</v>
      </c>
      <c r="T1142">
        <v>0</v>
      </c>
      <c r="U1142">
        <v>985.2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 s="164">
        <v>40817</v>
      </c>
      <c r="AC1142" s="164">
        <v>42338</v>
      </c>
      <c r="AD1142" s="164">
        <v>42490</v>
      </c>
      <c r="AE1142" s="34">
        <f>SUMPRODUCT(DB_STProjectsSOF[[#This Row],[Plan01]:[Plan12]],$D$4:$O$4)/valUnits2</f>
        <v>5.5646280000000008</v>
      </c>
      <c r="AF1142" s="34">
        <f>SUMPRODUCT(DB_STProjectsSOF[[#This Row],[Act01]:[Act12]],$P$4:$AA$4)/valUnits2</f>
        <v>6.3036499999999984</v>
      </c>
      <c r="AG1142" s="34">
        <f>DB_STProjectsSOF[[#This Row],[Actual]]-DB_STProjectsSOF[[#This Row],[Plan]]</f>
        <v>0.73902199999999763</v>
      </c>
      <c r="AH1142" s="34">
        <f>IF(DB_STProjectsSOF[[#This Row],[Plan]]&lt;&gt;0,DB_STProjectsSOF[[#This Row],[Actual]]/DB_STProjectsSOF[[#This Row],[Plan]],1.000011000011)</f>
        <v>1.1328070807248927</v>
      </c>
      <c r="AI1142" s="34">
        <f>SUM(DB_STProjectsSOF[[#This Row],[Plan01]:[Plan12]])/valUnits2</f>
        <v>5.5646280000000008</v>
      </c>
      <c r="AJ1142" s="34">
        <f>SUMPRODUCT(DB_STProjectsSOF[[#This Row],[Act01]:[Act12]],$P$3:$AA$3)/valUnits2</f>
        <v>6.3036499999999984</v>
      </c>
      <c r="AK1142" s="34">
        <f>IF(DB_STProjectsSOF[[#This Row],[FY Plan]]&lt;&gt;0,DB_STProjectsSOF[[#This Row],[FY Actuals]]/DB_STProjectsSOF[[#This Row],[FY Plan]],1.000011000011)</f>
        <v>1.1328070807248927</v>
      </c>
    </row>
    <row r="1143" spans="1:37" hidden="1" x14ac:dyDescent="0.2">
      <c r="A1143">
        <f>SUBTOTAL(3,$B$6:B1143)</f>
        <v>0</v>
      </c>
      <c r="B1143" t="s">
        <v>504</v>
      </c>
      <c r="C1143" t="s">
        <v>857</v>
      </c>
      <c r="E1143">
        <v>2609.21</v>
      </c>
      <c r="H1143">
        <v>-2609.21</v>
      </c>
      <c r="Q1143">
        <v>2609.21</v>
      </c>
      <c r="T1143">
        <v>-2609.21</v>
      </c>
      <c r="AB1143" s="164">
        <v>40909</v>
      </c>
      <c r="AC1143" s="164">
        <v>41274</v>
      </c>
      <c r="AD1143" s="164">
        <v>41364</v>
      </c>
      <c r="AE1143" s="34">
        <f>SUMPRODUCT(DB_STProjectsSOF[[#This Row],[Plan01]:[Plan12]],$D$4:$O$4)/valUnits2</f>
        <v>0</v>
      </c>
      <c r="AF1143" s="34">
        <f>SUMPRODUCT(DB_STProjectsSOF[[#This Row],[Act01]:[Act12]],$P$4:$AA$4)/valUnits2</f>
        <v>0</v>
      </c>
      <c r="AG1143" s="34">
        <f>DB_STProjectsSOF[[#This Row],[Actual]]-DB_STProjectsSOF[[#This Row],[Plan]]</f>
        <v>0</v>
      </c>
      <c r="AH1143" s="34">
        <f>IF(DB_STProjectsSOF[[#This Row],[Plan]]&lt;&gt;0,DB_STProjectsSOF[[#This Row],[Actual]]/DB_STProjectsSOF[[#This Row],[Plan]],1.000011000011)</f>
        <v>1.0000110000110001</v>
      </c>
      <c r="AI1143" s="34">
        <f>SUM(DB_STProjectsSOF[[#This Row],[Plan01]:[Plan12]])/valUnits2</f>
        <v>0</v>
      </c>
      <c r="AJ1143" s="34">
        <f>SUMPRODUCT(DB_STProjectsSOF[[#This Row],[Act01]:[Act12]],$P$3:$AA$3)/valUnits2</f>
        <v>0</v>
      </c>
      <c r="AK1143" s="34">
        <f>IF(DB_STProjectsSOF[[#This Row],[FY Plan]]&lt;&gt;0,DB_STProjectsSOF[[#This Row],[FY Actuals]]/DB_STProjectsSOF[[#This Row],[FY Plan]],1.000011000011)</f>
        <v>1.0000110000110001</v>
      </c>
    </row>
    <row r="1144" spans="1:37" hidden="1" x14ac:dyDescent="0.2">
      <c r="A1144">
        <f>SUBTOTAL(3,$B$6:B1144)</f>
        <v>0</v>
      </c>
      <c r="B1144" t="s">
        <v>504</v>
      </c>
      <c r="C1144" t="s">
        <v>858</v>
      </c>
      <c r="G1144">
        <v>567.02</v>
      </c>
      <c r="H1144">
        <v>1684.6999999999998</v>
      </c>
      <c r="I1144">
        <v>0</v>
      </c>
      <c r="S1144">
        <v>567.02</v>
      </c>
      <c r="T1144">
        <v>1684.6999999999998</v>
      </c>
      <c r="U1144">
        <v>783.98</v>
      </c>
      <c r="AB1144" s="164">
        <v>41275</v>
      </c>
      <c r="AC1144" s="164">
        <v>41639</v>
      </c>
      <c r="AD1144" s="164">
        <v>41784</v>
      </c>
      <c r="AE1144" s="34">
        <f>SUMPRODUCT(DB_STProjectsSOF[[#This Row],[Plan01]:[Plan12]],$D$4:$O$4)/valUnits2</f>
        <v>2.2517199999999997</v>
      </c>
      <c r="AF1144" s="34">
        <f>SUMPRODUCT(DB_STProjectsSOF[[#This Row],[Act01]:[Act12]],$P$4:$AA$4)/valUnits2</f>
        <v>3.0356999999999998</v>
      </c>
      <c r="AG1144" s="34">
        <f>DB_STProjectsSOF[[#This Row],[Actual]]-DB_STProjectsSOF[[#This Row],[Plan]]</f>
        <v>0.78398000000000012</v>
      </c>
      <c r="AH1144" s="34">
        <f>IF(DB_STProjectsSOF[[#This Row],[Plan]]&lt;&gt;0,DB_STProjectsSOF[[#This Row],[Actual]]/DB_STProjectsSOF[[#This Row],[Plan]],1.000011000011)</f>
        <v>1.3481693993924646</v>
      </c>
      <c r="AI1144" s="34">
        <f>SUM(DB_STProjectsSOF[[#This Row],[Plan01]:[Plan12]])/valUnits2</f>
        <v>2.2517199999999997</v>
      </c>
      <c r="AJ1144" s="34">
        <f>SUMPRODUCT(DB_STProjectsSOF[[#This Row],[Act01]:[Act12]],$P$3:$AA$3)/valUnits2</f>
        <v>3.0356999999999998</v>
      </c>
      <c r="AK1144" s="34">
        <f>IF(DB_STProjectsSOF[[#This Row],[FY Plan]]&lt;&gt;0,DB_STProjectsSOF[[#This Row],[FY Actuals]]/DB_STProjectsSOF[[#This Row],[FY Plan]],1.000011000011)</f>
        <v>1.3481693993924646</v>
      </c>
    </row>
    <row r="1145" spans="1:37" hidden="1" x14ac:dyDescent="0.2">
      <c r="A1145">
        <f>SUBTOTAL(3,$B$6:B1145)</f>
        <v>0</v>
      </c>
      <c r="B1145" t="s">
        <v>504</v>
      </c>
      <c r="C1145" t="s">
        <v>860</v>
      </c>
      <c r="D1145">
        <v>1009.3</v>
      </c>
      <c r="E1145">
        <v>52.94</v>
      </c>
      <c r="F1145">
        <v>58.21</v>
      </c>
      <c r="G1145">
        <v>6.15</v>
      </c>
      <c r="H1145">
        <v>396.67999999999995</v>
      </c>
      <c r="I1145">
        <v>0</v>
      </c>
      <c r="P1145">
        <v>1009.3</v>
      </c>
      <c r="Q1145">
        <v>52.940000000000005</v>
      </c>
      <c r="R1145">
        <v>58.209999999999994</v>
      </c>
      <c r="S1145">
        <v>6.15</v>
      </c>
      <c r="T1145">
        <v>396.68</v>
      </c>
      <c r="U1145">
        <v>115.39000000000001</v>
      </c>
      <c r="AB1145" s="164">
        <v>40969</v>
      </c>
      <c r="AC1145" s="164">
        <v>42643</v>
      </c>
      <c r="AD1145" s="164">
        <v>42704</v>
      </c>
      <c r="AE1145" s="34">
        <f>SUMPRODUCT(DB_STProjectsSOF[[#This Row],[Plan01]:[Plan12]],$D$4:$O$4)/valUnits2</f>
        <v>1.5232800000000002</v>
      </c>
      <c r="AF1145" s="34">
        <f>SUMPRODUCT(DB_STProjectsSOF[[#This Row],[Act01]:[Act12]],$P$4:$AA$4)/valUnits2</f>
        <v>1.6386700000000003</v>
      </c>
      <c r="AG1145" s="34">
        <f>DB_STProjectsSOF[[#This Row],[Actual]]-DB_STProjectsSOF[[#This Row],[Plan]]</f>
        <v>0.1153900000000001</v>
      </c>
      <c r="AH1145" s="34">
        <f>IF(DB_STProjectsSOF[[#This Row],[Plan]]&lt;&gt;0,DB_STProjectsSOF[[#This Row],[Actual]]/DB_STProjectsSOF[[#This Row],[Plan]],1.000011000011)</f>
        <v>1.0757510109763144</v>
      </c>
      <c r="AI1145" s="34">
        <f>SUM(DB_STProjectsSOF[[#This Row],[Plan01]:[Plan12]])/valUnits2</f>
        <v>1.5232800000000002</v>
      </c>
      <c r="AJ1145" s="34">
        <f>SUMPRODUCT(DB_STProjectsSOF[[#This Row],[Act01]:[Act12]],$P$3:$AA$3)/valUnits2</f>
        <v>1.6386700000000003</v>
      </c>
      <c r="AK1145" s="34">
        <f>IF(DB_STProjectsSOF[[#This Row],[FY Plan]]&lt;&gt;0,DB_STProjectsSOF[[#This Row],[FY Actuals]]/DB_STProjectsSOF[[#This Row],[FY Plan]],1.000011000011)</f>
        <v>1.0757510109763144</v>
      </c>
    </row>
    <row r="1146" spans="1:37" hidden="1" x14ac:dyDescent="0.2">
      <c r="A1146">
        <f>SUBTOTAL(3,$B$6:B1146)</f>
        <v>0</v>
      </c>
      <c r="B1146" t="s">
        <v>504</v>
      </c>
      <c r="C1146" t="s">
        <v>866</v>
      </c>
      <c r="D1146">
        <v>2358.27</v>
      </c>
      <c r="E1146">
        <v>808.99</v>
      </c>
      <c r="F1146">
        <v>0</v>
      </c>
      <c r="G1146">
        <v>-2916.6400000000003</v>
      </c>
      <c r="H1146">
        <v>180.11</v>
      </c>
      <c r="I1146">
        <v>2552.7780000000002</v>
      </c>
      <c r="J1146">
        <v>2552.7780000000002</v>
      </c>
      <c r="K1146">
        <v>2552.7780000000002</v>
      </c>
      <c r="L1146">
        <v>2552.7780000000002</v>
      </c>
      <c r="P1146">
        <v>2358.27</v>
      </c>
      <c r="Q1146">
        <v>808.99</v>
      </c>
      <c r="R1146">
        <v>0</v>
      </c>
      <c r="S1146">
        <v>-2916.64</v>
      </c>
      <c r="T1146">
        <v>180.11</v>
      </c>
      <c r="U1146">
        <v>0</v>
      </c>
      <c r="V1146">
        <v>0</v>
      </c>
      <c r="W1146">
        <v>0</v>
      </c>
      <c r="X1146">
        <v>0</v>
      </c>
      <c r="AB1146" s="164">
        <v>41275</v>
      </c>
      <c r="AC1146" s="164">
        <v>41639</v>
      </c>
      <c r="AD1146" s="164">
        <v>41760</v>
      </c>
      <c r="AE1146" s="34">
        <f>SUMPRODUCT(DB_STProjectsSOF[[#This Row],[Plan01]:[Plan12]],$D$4:$O$4)/valUnits2</f>
        <v>2.983508</v>
      </c>
      <c r="AF1146" s="34">
        <f>SUMPRODUCT(DB_STProjectsSOF[[#This Row],[Act01]:[Act12]],$P$4:$AA$4)/valUnits2</f>
        <v>0.43073000000000033</v>
      </c>
      <c r="AG1146" s="34">
        <f>DB_STProjectsSOF[[#This Row],[Actual]]-DB_STProjectsSOF[[#This Row],[Plan]]</f>
        <v>-2.5527779999999995</v>
      </c>
      <c r="AH1146" s="34">
        <f>IF(DB_STProjectsSOF[[#This Row],[Plan]]&lt;&gt;0,DB_STProjectsSOF[[#This Row],[Actual]]/DB_STProjectsSOF[[#This Row],[Plan]],1.000011000011)</f>
        <v>0.14437031843051881</v>
      </c>
      <c r="AI1146" s="34">
        <f>SUM(DB_STProjectsSOF[[#This Row],[Plan01]:[Plan12]])/valUnits2</f>
        <v>10.641842</v>
      </c>
      <c r="AJ1146" s="34">
        <f>SUMPRODUCT(DB_STProjectsSOF[[#This Row],[Act01]:[Act12]],$P$3:$AA$3)/valUnits2</f>
        <v>0.43073000000000033</v>
      </c>
      <c r="AK1146" s="34">
        <f>IF(DB_STProjectsSOF[[#This Row],[FY Plan]]&lt;&gt;0,DB_STProjectsSOF[[#This Row],[FY Actuals]]/DB_STProjectsSOF[[#This Row],[FY Plan]],1.000011000011)</f>
        <v>4.047513578946204E-2</v>
      </c>
    </row>
    <row r="1147" spans="1:37" hidden="1" x14ac:dyDescent="0.2">
      <c r="A1147">
        <f>SUBTOTAL(3,$B$6:B1147)</f>
        <v>0</v>
      </c>
      <c r="B1147" t="s">
        <v>504</v>
      </c>
      <c r="C1147" t="s">
        <v>869</v>
      </c>
      <c r="E1147">
        <v>3265.8300000000004</v>
      </c>
      <c r="F1147">
        <v>1639.18</v>
      </c>
      <c r="I1147">
        <v>0</v>
      </c>
      <c r="Q1147">
        <v>3265.8300000000004</v>
      </c>
      <c r="R1147">
        <v>1639.18</v>
      </c>
      <c r="U1147">
        <v>-1637.1200000000001</v>
      </c>
      <c r="AB1147" s="164">
        <v>40817</v>
      </c>
      <c r="AC1147" s="164">
        <v>42155</v>
      </c>
      <c r="AD1147" s="164">
        <v>42217</v>
      </c>
      <c r="AE1147" s="34">
        <f>SUMPRODUCT(DB_STProjectsSOF[[#This Row],[Plan01]:[Plan12]],$D$4:$O$4)/valUnits2</f>
        <v>4.9050099999999999</v>
      </c>
      <c r="AF1147" s="34">
        <f>SUMPRODUCT(DB_STProjectsSOF[[#This Row],[Act01]:[Act12]],$P$4:$AA$4)/valUnits2</f>
        <v>3.2678900000000004</v>
      </c>
      <c r="AG1147" s="34">
        <f>DB_STProjectsSOF[[#This Row],[Actual]]-DB_STProjectsSOF[[#This Row],[Plan]]</f>
        <v>-1.6371199999999995</v>
      </c>
      <c r="AH1147" s="34">
        <f>IF(DB_STProjectsSOF[[#This Row],[Plan]]&lt;&gt;0,DB_STProjectsSOF[[#This Row],[Actual]]/DB_STProjectsSOF[[#This Row],[Plan]],1.000011000011)</f>
        <v>0.66623513509656462</v>
      </c>
      <c r="AI1147" s="34">
        <f>SUM(DB_STProjectsSOF[[#This Row],[Plan01]:[Plan12]])/valUnits2</f>
        <v>4.9050099999999999</v>
      </c>
      <c r="AJ1147" s="34">
        <f>SUMPRODUCT(DB_STProjectsSOF[[#This Row],[Act01]:[Act12]],$P$3:$AA$3)/valUnits2</f>
        <v>3.2678900000000004</v>
      </c>
      <c r="AK1147" s="34">
        <f>IF(DB_STProjectsSOF[[#This Row],[FY Plan]]&lt;&gt;0,DB_STProjectsSOF[[#This Row],[FY Actuals]]/DB_STProjectsSOF[[#This Row],[FY Plan]],1.000011000011)</f>
        <v>0.66623513509656462</v>
      </c>
    </row>
    <row r="1148" spans="1:37" hidden="1" x14ac:dyDescent="0.2">
      <c r="A1148">
        <f>SUBTOTAL(3,$B$6:B1148)</f>
        <v>0</v>
      </c>
      <c r="B1148" t="s">
        <v>504</v>
      </c>
      <c r="C1148" t="s">
        <v>875</v>
      </c>
      <c r="G1148">
        <v>390.03899999999999</v>
      </c>
      <c r="H1148">
        <v>1122.614</v>
      </c>
      <c r="I1148">
        <v>0</v>
      </c>
      <c r="S1148">
        <v>384.29999999999995</v>
      </c>
      <c r="T1148">
        <v>1155.69</v>
      </c>
      <c r="U1148">
        <v>414.47</v>
      </c>
      <c r="AB1148" s="164">
        <v>41275</v>
      </c>
      <c r="AC1148" s="164">
        <v>41639</v>
      </c>
      <c r="AD1148" s="164">
        <v>41649</v>
      </c>
      <c r="AE1148" s="34">
        <f>SUMPRODUCT(DB_STProjectsSOF[[#This Row],[Plan01]:[Plan12]],$D$4:$O$4)/valUnits2</f>
        <v>1.512653</v>
      </c>
      <c r="AF1148" s="34">
        <f>SUMPRODUCT(DB_STProjectsSOF[[#This Row],[Act01]:[Act12]],$P$4:$AA$4)/valUnits2</f>
        <v>1.9544600000000001</v>
      </c>
      <c r="AG1148" s="34">
        <f>DB_STProjectsSOF[[#This Row],[Actual]]-DB_STProjectsSOF[[#This Row],[Plan]]</f>
        <v>0.44180700000000006</v>
      </c>
      <c r="AH1148" s="34">
        <f>IF(DB_STProjectsSOF[[#This Row],[Plan]]&lt;&gt;0,DB_STProjectsSOF[[#This Row],[Actual]]/DB_STProjectsSOF[[#This Row],[Plan]],1.000011000011)</f>
        <v>1.2920742562901075</v>
      </c>
      <c r="AI1148" s="34">
        <f>SUM(DB_STProjectsSOF[[#This Row],[Plan01]:[Plan12]])/valUnits2</f>
        <v>1.512653</v>
      </c>
      <c r="AJ1148" s="34">
        <f>SUMPRODUCT(DB_STProjectsSOF[[#This Row],[Act01]:[Act12]],$P$3:$AA$3)/valUnits2</f>
        <v>1.9544600000000001</v>
      </c>
      <c r="AK1148" s="34">
        <f>IF(DB_STProjectsSOF[[#This Row],[FY Plan]]&lt;&gt;0,DB_STProjectsSOF[[#This Row],[FY Actuals]]/DB_STProjectsSOF[[#This Row],[FY Plan]],1.000011000011)</f>
        <v>1.2920742562901075</v>
      </c>
    </row>
    <row r="1149" spans="1:37" hidden="1" x14ac:dyDescent="0.2">
      <c r="A1149">
        <f>SUBTOTAL(3,$B$6:B1149)</f>
        <v>0</v>
      </c>
      <c r="B1149" t="s">
        <v>504</v>
      </c>
      <c r="C1149" t="s">
        <v>876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AB1149" s="164">
        <v>40817</v>
      </c>
      <c r="AC1149" s="164">
        <v>41820</v>
      </c>
      <c r="AD1149" s="164">
        <v>41835</v>
      </c>
      <c r="AE1149" s="34">
        <f>SUMPRODUCT(DB_STProjectsSOF[[#This Row],[Plan01]:[Plan12]],$D$4:$O$4)/valUnits2</f>
        <v>0</v>
      </c>
      <c r="AF1149" s="34">
        <f>SUMPRODUCT(DB_STProjectsSOF[[#This Row],[Act01]:[Act12]],$P$4:$AA$4)/valUnits2</f>
        <v>0</v>
      </c>
      <c r="AG1149" s="34">
        <f>DB_STProjectsSOF[[#This Row],[Actual]]-DB_STProjectsSOF[[#This Row],[Plan]]</f>
        <v>0</v>
      </c>
      <c r="AH1149" s="34">
        <f>IF(DB_STProjectsSOF[[#This Row],[Plan]]&lt;&gt;0,DB_STProjectsSOF[[#This Row],[Actual]]/DB_STProjectsSOF[[#This Row],[Plan]],1.000011000011)</f>
        <v>1.0000110000110001</v>
      </c>
      <c r="AI1149" s="34">
        <f>SUM(DB_STProjectsSOF[[#This Row],[Plan01]:[Plan12]])/valUnits2</f>
        <v>0</v>
      </c>
      <c r="AJ1149" s="34">
        <f>SUMPRODUCT(DB_STProjectsSOF[[#This Row],[Act01]:[Act12]],$P$3:$AA$3)/valUnits2</f>
        <v>0</v>
      </c>
      <c r="AK1149" s="34">
        <f>IF(DB_STProjectsSOF[[#This Row],[FY Plan]]&lt;&gt;0,DB_STProjectsSOF[[#This Row],[FY Actuals]]/DB_STProjectsSOF[[#This Row],[FY Plan]],1.000011000011)</f>
        <v>1.0000110000110001</v>
      </c>
    </row>
    <row r="1150" spans="1:37" hidden="1" x14ac:dyDescent="0.2">
      <c r="A1150">
        <f>SUBTOTAL(3,$B$6:B1150)</f>
        <v>0</v>
      </c>
      <c r="B1150" t="s">
        <v>504</v>
      </c>
      <c r="C1150" t="s">
        <v>881</v>
      </c>
      <c r="G1150">
        <v>32.479999999999997</v>
      </c>
      <c r="H1150">
        <v>0</v>
      </c>
      <c r="I1150">
        <v>172.69300000000001</v>
      </c>
      <c r="J1150">
        <v>345.38700000000006</v>
      </c>
      <c r="K1150">
        <v>172.69300000000001</v>
      </c>
      <c r="L1150">
        <v>172.69300000000001</v>
      </c>
      <c r="M1150">
        <v>172.69300000000001</v>
      </c>
      <c r="N1150">
        <v>172.69300000000001</v>
      </c>
      <c r="O1150">
        <v>345.38700000000006</v>
      </c>
      <c r="S1150">
        <v>32.479999999999997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 s="164">
        <v>41275</v>
      </c>
      <c r="AC1150" s="164">
        <v>41639</v>
      </c>
      <c r="AD1150" s="164">
        <v>41685</v>
      </c>
      <c r="AE1150" s="34">
        <f>SUMPRODUCT(DB_STProjectsSOF[[#This Row],[Plan01]:[Plan12]],$D$4:$O$4)/valUnits2</f>
        <v>0.20517299999999999</v>
      </c>
      <c r="AF1150" s="34">
        <f>SUMPRODUCT(DB_STProjectsSOF[[#This Row],[Act01]:[Act12]],$P$4:$AA$4)/valUnits2</f>
        <v>3.2479999999999995E-2</v>
      </c>
      <c r="AG1150" s="34">
        <f>DB_STProjectsSOF[[#This Row],[Actual]]-DB_STProjectsSOF[[#This Row],[Plan]]</f>
        <v>-0.17269299999999999</v>
      </c>
      <c r="AH1150" s="34">
        <f>IF(DB_STProjectsSOF[[#This Row],[Plan]]&lt;&gt;0,DB_STProjectsSOF[[#This Row],[Actual]]/DB_STProjectsSOF[[#This Row],[Plan]],1.000011000011)</f>
        <v>0.15830543005171244</v>
      </c>
      <c r="AI1150" s="34">
        <f>SUM(DB_STProjectsSOF[[#This Row],[Plan01]:[Plan12]])/valUnits2</f>
        <v>1.586719</v>
      </c>
      <c r="AJ1150" s="34">
        <f>SUMPRODUCT(DB_STProjectsSOF[[#This Row],[Act01]:[Act12]],$P$3:$AA$3)/valUnits2</f>
        <v>3.2479999999999995E-2</v>
      </c>
      <c r="AK1150" s="34">
        <f>IF(DB_STProjectsSOF[[#This Row],[FY Plan]]&lt;&gt;0,DB_STProjectsSOF[[#This Row],[FY Actuals]]/DB_STProjectsSOF[[#This Row],[FY Plan]],1.000011000011)</f>
        <v>2.0469913072194885E-2</v>
      </c>
    </row>
    <row r="1151" spans="1:37" hidden="1" x14ac:dyDescent="0.2">
      <c r="A1151">
        <f>SUBTOTAL(3,$B$6:B1151)</f>
        <v>0</v>
      </c>
      <c r="B1151" t="s">
        <v>504</v>
      </c>
      <c r="C1151" t="s">
        <v>882</v>
      </c>
      <c r="E1151">
        <v>342.39100000000002</v>
      </c>
      <c r="F1151">
        <v>414.51599999999996</v>
      </c>
      <c r="G1151">
        <v>211.78100000000001</v>
      </c>
      <c r="H1151">
        <v>312.31299999999999</v>
      </c>
      <c r="Q1151">
        <v>349.57000000000005</v>
      </c>
      <c r="R1151">
        <v>418.27</v>
      </c>
      <c r="S1151">
        <v>209.13</v>
      </c>
      <c r="T1151">
        <v>319.01</v>
      </c>
      <c r="AB1151" s="164">
        <v>40817</v>
      </c>
      <c r="AC1151" s="164">
        <v>41913</v>
      </c>
      <c r="AD1151" s="164">
        <v>42005</v>
      </c>
      <c r="AE1151" s="34">
        <f>SUMPRODUCT(DB_STProjectsSOF[[#This Row],[Plan01]:[Plan12]],$D$4:$O$4)/valUnits2</f>
        <v>1.2810009999999998</v>
      </c>
      <c r="AF1151" s="34">
        <f>SUMPRODUCT(DB_STProjectsSOF[[#This Row],[Act01]:[Act12]],$P$4:$AA$4)/valUnits2</f>
        <v>1.2959799999999999</v>
      </c>
      <c r="AG1151" s="34">
        <f>DB_STProjectsSOF[[#This Row],[Actual]]-DB_STProjectsSOF[[#This Row],[Plan]]</f>
        <v>1.4979000000000076E-2</v>
      </c>
      <c r="AH1151" s="34">
        <f>IF(DB_STProjectsSOF[[#This Row],[Plan]]&lt;&gt;0,DB_STProjectsSOF[[#This Row],[Actual]]/DB_STProjectsSOF[[#This Row],[Plan]],1.000011000011)</f>
        <v>1.0116931993027329</v>
      </c>
      <c r="AI1151" s="34">
        <f>SUM(DB_STProjectsSOF[[#This Row],[Plan01]:[Plan12]])/valUnits2</f>
        <v>1.2810009999999998</v>
      </c>
      <c r="AJ1151" s="34">
        <f>SUMPRODUCT(DB_STProjectsSOF[[#This Row],[Act01]:[Act12]],$P$3:$AA$3)/valUnits2</f>
        <v>1.2959799999999999</v>
      </c>
      <c r="AK1151" s="34">
        <f>IF(DB_STProjectsSOF[[#This Row],[FY Plan]]&lt;&gt;0,DB_STProjectsSOF[[#This Row],[FY Actuals]]/DB_STProjectsSOF[[#This Row],[FY Plan]],1.000011000011)</f>
        <v>1.0116931993027329</v>
      </c>
    </row>
    <row r="1152" spans="1:37" hidden="1" x14ac:dyDescent="0.2">
      <c r="A1152">
        <f>SUBTOTAL(3,$B$6:B1152)</f>
        <v>0</v>
      </c>
      <c r="B1152" t="s">
        <v>504</v>
      </c>
      <c r="C1152" t="s">
        <v>883</v>
      </c>
      <c r="E1152">
        <v>341.95600000000002</v>
      </c>
      <c r="G1152">
        <v>214.506</v>
      </c>
      <c r="H1152">
        <v>306.57100000000003</v>
      </c>
      <c r="Q1152">
        <v>349.57000000000005</v>
      </c>
      <c r="S1152">
        <v>209.13</v>
      </c>
      <c r="T1152">
        <v>319.01</v>
      </c>
      <c r="AB1152" s="164">
        <v>40940</v>
      </c>
      <c r="AC1152" s="164">
        <v>41639</v>
      </c>
      <c r="AD1152" s="164">
        <v>41698</v>
      </c>
      <c r="AE1152" s="34">
        <f>SUMPRODUCT(DB_STProjectsSOF[[#This Row],[Plan01]:[Plan12]],$D$4:$O$4)/valUnits2</f>
        <v>0.86303300000000005</v>
      </c>
      <c r="AF1152" s="34">
        <f>SUMPRODUCT(DB_STProjectsSOF[[#This Row],[Act01]:[Act12]],$P$4:$AA$4)/valUnits2</f>
        <v>0.87770999999999999</v>
      </c>
      <c r="AG1152" s="34">
        <f>DB_STProjectsSOF[[#This Row],[Actual]]-DB_STProjectsSOF[[#This Row],[Plan]]</f>
        <v>1.467699999999994E-2</v>
      </c>
      <c r="AH1152" s="34">
        <f>IF(DB_STProjectsSOF[[#This Row],[Plan]]&lt;&gt;0,DB_STProjectsSOF[[#This Row],[Actual]]/DB_STProjectsSOF[[#This Row],[Plan]],1.000011000011)</f>
        <v>1.0170063021923843</v>
      </c>
      <c r="AI1152" s="34">
        <f>SUM(DB_STProjectsSOF[[#This Row],[Plan01]:[Plan12]])/valUnits2</f>
        <v>0.86303300000000005</v>
      </c>
      <c r="AJ1152" s="34">
        <f>SUMPRODUCT(DB_STProjectsSOF[[#This Row],[Act01]:[Act12]],$P$3:$AA$3)/valUnits2</f>
        <v>0.87770999999999999</v>
      </c>
      <c r="AK1152" s="34">
        <f>IF(DB_STProjectsSOF[[#This Row],[FY Plan]]&lt;&gt;0,DB_STProjectsSOF[[#This Row],[FY Actuals]]/DB_STProjectsSOF[[#This Row],[FY Plan]],1.000011000011)</f>
        <v>1.0170063021923843</v>
      </c>
    </row>
    <row r="1153" spans="1:37" hidden="1" x14ac:dyDescent="0.2">
      <c r="A1153">
        <f>SUBTOTAL(3,$B$6:B1153)</f>
        <v>0</v>
      </c>
      <c r="B1153" t="s">
        <v>504</v>
      </c>
      <c r="C1153" t="s">
        <v>358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AB1153" s="164">
        <v>41091</v>
      </c>
      <c r="AC1153" s="164">
        <v>41455</v>
      </c>
      <c r="AD1153" s="164">
        <v>41517</v>
      </c>
      <c r="AE1153" s="34">
        <f>SUMPRODUCT(DB_STProjectsSOF[[#This Row],[Plan01]:[Plan12]],$D$4:$O$4)/valUnits2</f>
        <v>0</v>
      </c>
      <c r="AF1153" s="34">
        <f>SUMPRODUCT(DB_STProjectsSOF[[#This Row],[Act01]:[Act12]],$P$4:$AA$4)/valUnits2</f>
        <v>0</v>
      </c>
      <c r="AG1153" s="34">
        <f>DB_STProjectsSOF[[#This Row],[Actual]]-DB_STProjectsSOF[[#This Row],[Plan]]</f>
        <v>0</v>
      </c>
      <c r="AH1153" s="34">
        <f>IF(DB_STProjectsSOF[[#This Row],[Plan]]&lt;&gt;0,DB_STProjectsSOF[[#This Row],[Actual]]/DB_STProjectsSOF[[#This Row],[Plan]],1.000011000011)</f>
        <v>1.0000110000110001</v>
      </c>
      <c r="AI1153" s="34">
        <f>SUM(DB_STProjectsSOF[[#This Row],[Plan01]:[Plan12]])/valUnits2</f>
        <v>0</v>
      </c>
      <c r="AJ1153" s="34">
        <f>SUMPRODUCT(DB_STProjectsSOF[[#This Row],[Act01]:[Act12]],$P$3:$AA$3)/valUnits2</f>
        <v>0</v>
      </c>
      <c r="AK1153" s="34">
        <f>IF(DB_STProjectsSOF[[#This Row],[FY Plan]]&lt;&gt;0,DB_STProjectsSOF[[#This Row],[FY Actuals]]/DB_STProjectsSOF[[#This Row],[FY Plan]],1.000011000011)</f>
        <v>1.0000110000110001</v>
      </c>
    </row>
    <row r="1154" spans="1:37" hidden="1" x14ac:dyDescent="0.2">
      <c r="A1154">
        <f>SUBTOTAL(3,$B$6:B1154)</f>
        <v>0</v>
      </c>
      <c r="B1154" t="s">
        <v>504</v>
      </c>
      <c r="C1154" t="s">
        <v>890</v>
      </c>
      <c r="G1154">
        <v>371.01400000000001</v>
      </c>
      <c r="H1154">
        <v>756.38699999999994</v>
      </c>
      <c r="I1154">
        <v>0</v>
      </c>
      <c r="S1154">
        <v>365.46999999999997</v>
      </c>
      <c r="T1154">
        <v>761.28</v>
      </c>
      <c r="U1154">
        <v>418.65</v>
      </c>
      <c r="AB1154" s="164">
        <v>40817</v>
      </c>
      <c r="AC1154" s="164">
        <v>41639</v>
      </c>
      <c r="AD1154" s="164">
        <v>41639</v>
      </c>
      <c r="AE1154" s="34">
        <f>SUMPRODUCT(DB_STProjectsSOF[[#This Row],[Plan01]:[Plan12]],$D$4:$O$4)/valUnits2</f>
        <v>1.1274009999999999</v>
      </c>
      <c r="AF1154" s="34">
        <f>SUMPRODUCT(DB_STProjectsSOF[[#This Row],[Act01]:[Act12]],$P$4:$AA$4)/valUnits2</f>
        <v>1.5454000000000001</v>
      </c>
      <c r="AG1154" s="34">
        <f>DB_STProjectsSOF[[#This Row],[Actual]]-DB_STProjectsSOF[[#This Row],[Plan]]</f>
        <v>0.41799900000000023</v>
      </c>
      <c r="AH1154" s="34">
        <f>IF(DB_STProjectsSOF[[#This Row],[Plan]]&lt;&gt;0,DB_STProjectsSOF[[#This Row],[Actual]]/DB_STProjectsSOF[[#This Row],[Plan]],1.000011000011)</f>
        <v>1.3707633752320605</v>
      </c>
      <c r="AI1154" s="34">
        <f>SUM(DB_STProjectsSOF[[#This Row],[Plan01]:[Plan12]])/valUnits2</f>
        <v>1.1274009999999999</v>
      </c>
      <c r="AJ1154" s="34">
        <f>SUMPRODUCT(DB_STProjectsSOF[[#This Row],[Act01]:[Act12]],$P$3:$AA$3)/valUnits2</f>
        <v>1.5454000000000001</v>
      </c>
      <c r="AK1154" s="34">
        <f>IF(DB_STProjectsSOF[[#This Row],[FY Plan]]&lt;&gt;0,DB_STProjectsSOF[[#This Row],[FY Actuals]]/DB_STProjectsSOF[[#This Row],[FY Plan]],1.000011000011)</f>
        <v>1.3707633752320605</v>
      </c>
    </row>
    <row r="1155" spans="1:37" hidden="1" x14ac:dyDescent="0.2">
      <c r="A1155">
        <f>SUBTOTAL(3,$B$6:B1155)</f>
        <v>0</v>
      </c>
      <c r="B1155" t="s">
        <v>504</v>
      </c>
      <c r="C1155" t="s">
        <v>891</v>
      </c>
      <c r="E1155">
        <v>11.282</v>
      </c>
      <c r="G1155">
        <v>5782.4629999999997</v>
      </c>
      <c r="H1155">
        <v>7304.4070000000002</v>
      </c>
      <c r="I1155">
        <v>0</v>
      </c>
      <c r="Q1155">
        <v>11.27</v>
      </c>
      <c r="S1155">
        <v>5780.6100000000006</v>
      </c>
      <c r="T1155">
        <v>7346.72</v>
      </c>
      <c r="U1155">
        <v>3240.7799999999997</v>
      </c>
      <c r="AB1155" s="164">
        <v>41214</v>
      </c>
      <c r="AC1155" s="164">
        <v>42308</v>
      </c>
      <c r="AD1155" s="164">
        <v>42389</v>
      </c>
      <c r="AE1155" s="34">
        <f>SUMPRODUCT(DB_STProjectsSOF[[#This Row],[Plan01]:[Plan12]],$D$4:$O$4)/valUnits2</f>
        <v>13.098152000000001</v>
      </c>
      <c r="AF1155" s="34">
        <f>SUMPRODUCT(DB_STProjectsSOF[[#This Row],[Act01]:[Act12]],$P$4:$AA$4)/valUnits2</f>
        <v>16.379380000000001</v>
      </c>
      <c r="AG1155" s="34">
        <f>DB_STProjectsSOF[[#This Row],[Actual]]-DB_STProjectsSOF[[#This Row],[Plan]]</f>
        <v>3.2812280000000005</v>
      </c>
      <c r="AH1155" s="34">
        <f>IF(DB_STProjectsSOF[[#This Row],[Plan]]&lt;&gt;0,DB_STProjectsSOF[[#This Row],[Actual]]/DB_STProjectsSOF[[#This Row],[Plan]],1.000011000011)</f>
        <v>1.2505107590750206</v>
      </c>
      <c r="AI1155" s="34">
        <f>SUM(DB_STProjectsSOF[[#This Row],[Plan01]:[Plan12]])/valUnits2</f>
        <v>13.098152000000001</v>
      </c>
      <c r="AJ1155" s="34">
        <f>SUMPRODUCT(DB_STProjectsSOF[[#This Row],[Act01]:[Act12]],$P$3:$AA$3)/valUnits2</f>
        <v>16.379380000000001</v>
      </c>
      <c r="AK1155" s="34">
        <f>IF(DB_STProjectsSOF[[#This Row],[FY Plan]]&lt;&gt;0,DB_STProjectsSOF[[#This Row],[FY Actuals]]/DB_STProjectsSOF[[#This Row],[FY Plan]],1.000011000011)</f>
        <v>1.2505107590750206</v>
      </c>
    </row>
    <row r="1156" spans="1:37" hidden="1" x14ac:dyDescent="0.2">
      <c r="A1156">
        <f>SUBTOTAL(3,$B$6:B1156)</f>
        <v>0</v>
      </c>
      <c r="B1156" t="s">
        <v>504</v>
      </c>
      <c r="C1156" t="s">
        <v>368</v>
      </c>
      <c r="G1156">
        <v>456.84</v>
      </c>
      <c r="H1156">
        <v>1932.67</v>
      </c>
      <c r="I1156">
        <v>0</v>
      </c>
      <c r="S1156">
        <v>456.84000000000003</v>
      </c>
      <c r="T1156">
        <v>1932.67</v>
      </c>
      <c r="U1156">
        <v>1635.5500000000002</v>
      </c>
      <c r="AB1156" s="164">
        <v>41000</v>
      </c>
      <c r="AC1156" s="164">
        <v>41820</v>
      </c>
      <c r="AD1156" s="164">
        <v>41517</v>
      </c>
      <c r="AE1156" s="34">
        <f>SUMPRODUCT(DB_STProjectsSOF[[#This Row],[Plan01]:[Plan12]],$D$4:$O$4)/valUnits2</f>
        <v>2.38951</v>
      </c>
      <c r="AF1156" s="34">
        <f>SUMPRODUCT(DB_STProjectsSOF[[#This Row],[Act01]:[Act12]],$P$4:$AA$4)/valUnits2</f>
        <v>4.0250600000000007</v>
      </c>
      <c r="AG1156" s="34">
        <f>DB_STProjectsSOF[[#This Row],[Actual]]-DB_STProjectsSOF[[#This Row],[Plan]]</f>
        <v>1.6355500000000007</v>
      </c>
      <c r="AH1156" s="34">
        <f>IF(DB_STProjectsSOF[[#This Row],[Plan]]&lt;&gt;0,DB_STProjectsSOF[[#This Row],[Actual]]/DB_STProjectsSOF[[#This Row],[Plan]],1.000011000011)</f>
        <v>1.6844708747818593</v>
      </c>
      <c r="AI1156" s="34">
        <f>SUM(DB_STProjectsSOF[[#This Row],[Plan01]:[Plan12]])/valUnits2</f>
        <v>2.38951</v>
      </c>
      <c r="AJ1156" s="34">
        <f>SUMPRODUCT(DB_STProjectsSOF[[#This Row],[Act01]:[Act12]],$P$3:$AA$3)/valUnits2</f>
        <v>4.0250600000000007</v>
      </c>
      <c r="AK1156" s="34">
        <f>IF(DB_STProjectsSOF[[#This Row],[FY Plan]]&lt;&gt;0,DB_STProjectsSOF[[#This Row],[FY Actuals]]/DB_STProjectsSOF[[#This Row],[FY Plan]],1.000011000011)</f>
        <v>1.6844708747818593</v>
      </c>
    </row>
    <row r="1157" spans="1:37" hidden="1" x14ac:dyDescent="0.2">
      <c r="A1157">
        <f>SUBTOTAL(3,$B$6:B1157)</f>
        <v>0</v>
      </c>
      <c r="B1157" t="s">
        <v>504</v>
      </c>
      <c r="C1157" t="s">
        <v>904</v>
      </c>
      <c r="D1157">
        <v>98.721999999999994</v>
      </c>
      <c r="E1157">
        <v>38.131</v>
      </c>
      <c r="F1157">
        <v>11.154</v>
      </c>
      <c r="G1157">
        <v>10.746</v>
      </c>
      <c r="H1157">
        <v>79.777000000000001</v>
      </c>
      <c r="I1157">
        <v>0</v>
      </c>
      <c r="P1157">
        <v>98.73</v>
      </c>
      <c r="Q1157">
        <v>38.130000000000003</v>
      </c>
      <c r="R1157">
        <v>11.06</v>
      </c>
      <c r="S1157">
        <v>10.77</v>
      </c>
      <c r="T1157">
        <v>80.13</v>
      </c>
      <c r="U1157">
        <v>46.52</v>
      </c>
      <c r="AB1157" s="164">
        <v>40817</v>
      </c>
      <c r="AC1157" s="164">
        <v>41639</v>
      </c>
      <c r="AD1157" s="164">
        <v>41698</v>
      </c>
      <c r="AE1157" s="34">
        <f>SUMPRODUCT(DB_STProjectsSOF[[#This Row],[Plan01]:[Plan12]],$D$4:$O$4)/valUnits2</f>
        <v>0.23853000000000002</v>
      </c>
      <c r="AF1157" s="34">
        <f>SUMPRODUCT(DB_STProjectsSOF[[#This Row],[Act01]:[Act12]],$P$4:$AA$4)/valUnits2</f>
        <v>0.28534000000000004</v>
      </c>
      <c r="AG1157" s="34">
        <f>DB_STProjectsSOF[[#This Row],[Actual]]-DB_STProjectsSOF[[#This Row],[Plan]]</f>
        <v>4.6810000000000018E-2</v>
      </c>
      <c r="AH1157" s="34">
        <f>IF(DB_STProjectsSOF[[#This Row],[Plan]]&lt;&gt;0,DB_STProjectsSOF[[#This Row],[Actual]]/DB_STProjectsSOF[[#This Row],[Plan]],1.000011000011)</f>
        <v>1.1962436590785226</v>
      </c>
      <c r="AI1157" s="34">
        <f>SUM(DB_STProjectsSOF[[#This Row],[Plan01]:[Plan12]])/valUnits2</f>
        <v>0.23853000000000002</v>
      </c>
      <c r="AJ1157" s="34">
        <f>SUMPRODUCT(DB_STProjectsSOF[[#This Row],[Act01]:[Act12]],$P$3:$AA$3)/valUnits2</f>
        <v>0.28534000000000004</v>
      </c>
      <c r="AK1157" s="34">
        <f>IF(DB_STProjectsSOF[[#This Row],[FY Plan]]&lt;&gt;0,DB_STProjectsSOF[[#This Row],[FY Actuals]]/DB_STProjectsSOF[[#This Row],[FY Plan]],1.000011000011)</f>
        <v>1.1962436590785226</v>
      </c>
    </row>
    <row r="1158" spans="1:37" hidden="1" x14ac:dyDescent="0.2">
      <c r="A1158">
        <f>SUBTOTAL(3,$B$6:B1158)</f>
        <v>0</v>
      </c>
      <c r="B1158" t="s">
        <v>504</v>
      </c>
      <c r="C1158" t="s">
        <v>909</v>
      </c>
      <c r="D1158">
        <v>174.51000000000013</v>
      </c>
      <c r="E1158">
        <v>3570.7099999999996</v>
      </c>
      <c r="F1158">
        <v>4186.82</v>
      </c>
      <c r="G1158">
        <v>4557.8999999999987</v>
      </c>
      <c r="H1158">
        <v>2155.42</v>
      </c>
      <c r="I1158">
        <v>0</v>
      </c>
      <c r="P1158">
        <v>174.51000000000002</v>
      </c>
      <c r="Q1158">
        <v>3570.71</v>
      </c>
      <c r="R1158">
        <v>4186.82</v>
      </c>
      <c r="S1158">
        <v>4557.9000000000005</v>
      </c>
      <c r="T1158">
        <v>2155.42</v>
      </c>
      <c r="U1158">
        <v>4834.4099999999989</v>
      </c>
      <c r="AB1158" s="164">
        <v>40817</v>
      </c>
      <c r="AC1158" s="164">
        <v>42155</v>
      </c>
      <c r="AD1158" s="164">
        <v>42217</v>
      </c>
      <c r="AE1158" s="34">
        <f>SUMPRODUCT(DB_STProjectsSOF[[#This Row],[Plan01]:[Plan12]],$D$4:$O$4)/valUnits2</f>
        <v>14.645359999999998</v>
      </c>
      <c r="AF1158" s="34">
        <f>SUMPRODUCT(DB_STProjectsSOF[[#This Row],[Act01]:[Act12]],$P$4:$AA$4)/valUnits2</f>
        <v>19.479770000000002</v>
      </c>
      <c r="AG1158" s="34">
        <f>DB_STProjectsSOF[[#This Row],[Actual]]-DB_STProjectsSOF[[#This Row],[Plan]]</f>
        <v>4.8344100000000036</v>
      </c>
      <c r="AH1158" s="34">
        <f>IF(DB_STProjectsSOF[[#This Row],[Plan]]&lt;&gt;0,DB_STProjectsSOF[[#This Row],[Actual]]/DB_STProjectsSOF[[#This Row],[Plan]],1.000011000011)</f>
        <v>1.3300984065943073</v>
      </c>
      <c r="AI1158" s="34">
        <f>SUM(DB_STProjectsSOF[[#This Row],[Plan01]:[Plan12]])/valUnits2</f>
        <v>14.645359999999998</v>
      </c>
      <c r="AJ1158" s="34">
        <f>SUMPRODUCT(DB_STProjectsSOF[[#This Row],[Act01]:[Act12]],$P$3:$AA$3)/valUnits2</f>
        <v>19.479770000000002</v>
      </c>
      <c r="AK1158" s="34">
        <f>IF(DB_STProjectsSOF[[#This Row],[FY Plan]]&lt;&gt;0,DB_STProjectsSOF[[#This Row],[FY Actuals]]/DB_STProjectsSOF[[#This Row],[FY Plan]],1.000011000011)</f>
        <v>1.3300984065943073</v>
      </c>
    </row>
    <row r="1159" spans="1:37" hidden="1" x14ac:dyDescent="0.2">
      <c r="A1159">
        <f>SUBTOTAL(3,$B$6:B1159)</f>
        <v>0</v>
      </c>
      <c r="B1159" t="s">
        <v>504</v>
      </c>
      <c r="C1159" t="s">
        <v>354</v>
      </c>
      <c r="G1159">
        <v>92.724000000000004</v>
      </c>
      <c r="H1159">
        <v>185.34200000000001</v>
      </c>
      <c r="I1159">
        <v>0</v>
      </c>
      <c r="S1159">
        <v>91.36</v>
      </c>
      <c r="T1159">
        <v>190.33</v>
      </c>
      <c r="U1159">
        <v>104.67</v>
      </c>
      <c r="AB1159" s="164">
        <v>41091</v>
      </c>
      <c r="AC1159" s="164">
        <v>41455</v>
      </c>
      <c r="AD1159" s="164">
        <v>41517</v>
      </c>
      <c r="AE1159" s="34">
        <f>SUMPRODUCT(DB_STProjectsSOF[[#This Row],[Plan01]:[Plan12]],$D$4:$O$4)/valUnits2</f>
        <v>0.27806600000000004</v>
      </c>
      <c r="AF1159" s="34">
        <f>SUMPRODUCT(DB_STProjectsSOF[[#This Row],[Act01]:[Act12]],$P$4:$AA$4)/valUnits2</f>
        <v>0.38636000000000004</v>
      </c>
      <c r="AG1159" s="34">
        <f>DB_STProjectsSOF[[#This Row],[Actual]]-DB_STProjectsSOF[[#This Row],[Plan]]</f>
        <v>0.108294</v>
      </c>
      <c r="AH1159" s="34">
        <f>IF(DB_STProjectsSOF[[#This Row],[Plan]]&lt;&gt;0,DB_STProjectsSOF[[#This Row],[Actual]]/DB_STProjectsSOF[[#This Row],[Plan]],1.000011000011)</f>
        <v>1.3894543022160206</v>
      </c>
      <c r="AI1159" s="34">
        <f>SUM(DB_STProjectsSOF[[#This Row],[Plan01]:[Plan12]])/valUnits2</f>
        <v>0.27806600000000004</v>
      </c>
      <c r="AJ1159" s="34">
        <f>SUMPRODUCT(DB_STProjectsSOF[[#This Row],[Act01]:[Act12]],$P$3:$AA$3)/valUnits2</f>
        <v>0.38636000000000004</v>
      </c>
      <c r="AK1159" s="34">
        <f>IF(DB_STProjectsSOF[[#This Row],[FY Plan]]&lt;&gt;0,DB_STProjectsSOF[[#This Row],[FY Actuals]]/DB_STProjectsSOF[[#This Row],[FY Plan]],1.000011000011)</f>
        <v>1.3894543022160206</v>
      </c>
    </row>
    <row r="1160" spans="1:37" hidden="1" x14ac:dyDescent="0.2">
      <c r="A1160">
        <f>SUBTOTAL(3,$B$6:B1160)</f>
        <v>0</v>
      </c>
      <c r="B1160" t="s">
        <v>504</v>
      </c>
      <c r="C1160" t="s">
        <v>911</v>
      </c>
      <c r="E1160">
        <v>139.44</v>
      </c>
      <c r="G1160">
        <v>21.65</v>
      </c>
      <c r="H1160">
        <v>206.03</v>
      </c>
      <c r="I1160">
        <v>0</v>
      </c>
      <c r="Q1160">
        <v>139.44</v>
      </c>
      <c r="S1160">
        <v>21.65</v>
      </c>
      <c r="T1160">
        <v>206.03</v>
      </c>
      <c r="U1160">
        <v>315.49</v>
      </c>
      <c r="AB1160" s="164">
        <v>40817</v>
      </c>
      <c r="AC1160" s="164">
        <v>41578</v>
      </c>
      <c r="AD1160" s="164">
        <v>41639</v>
      </c>
      <c r="AE1160" s="34">
        <f>SUMPRODUCT(DB_STProjectsSOF[[#This Row],[Plan01]:[Plan12]],$D$4:$O$4)/valUnits2</f>
        <v>0.36712</v>
      </c>
      <c r="AF1160" s="34">
        <f>SUMPRODUCT(DB_STProjectsSOF[[#This Row],[Act01]:[Act12]],$P$4:$AA$4)/valUnits2</f>
        <v>0.68261000000000005</v>
      </c>
      <c r="AG1160" s="34">
        <f>DB_STProjectsSOF[[#This Row],[Actual]]-DB_STProjectsSOF[[#This Row],[Plan]]</f>
        <v>0.31549000000000005</v>
      </c>
      <c r="AH1160" s="34">
        <f>IF(DB_STProjectsSOF[[#This Row],[Plan]]&lt;&gt;0,DB_STProjectsSOF[[#This Row],[Actual]]/DB_STProjectsSOF[[#This Row],[Plan]],1.000011000011)</f>
        <v>1.8593647853562869</v>
      </c>
      <c r="AI1160" s="34">
        <f>SUM(DB_STProjectsSOF[[#This Row],[Plan01]:[Plan12]])/valUnits2</f>
        <v>0.36712</v>
      </c>
      <c r="AJ1160" s="34">
        <f>SUMPRODUCT(DB_STProjectsSOF[[#This Row],[Act01]:[Act12]],$P$3:$AA$3)/valUnits2</f>
        <v>0.68261000000000005</v>
      </c>
      <c r="AK1160" s="34">
        <f>IF(DB_STProjectsSOF[[#This Row],[FY Plan]]&lt;&gt;0,DB_STProjectsSOF[[#This Row],[FY Actuals]]/DB_STProjectsSOF[[#This Row],[FY Plan]],1.000011000011)</f>
        <v>1.8593647853562869</v>
      </c>
    </row>
    <row r="1161" spans="1:37" hidden="1" x14ac:dyDescent="0.2">
      <c r="A1161">
        <f>SUBTOTAL(3,$B$6:B1161)</f>
        <v>0</v>
      </c>
      <c r="B1161" t="s">
        <v>504</v>
      </c>
      <c r="C1161" t="s">
        <v>917</v>
      </c>
      <c r="D1161">
        <v>818.38400000000001</v>
      </c>
      <c r="E1161">
        <v>-108.315</v>
      </c>
      <c r="I1161">
        <v>0</v>
      </c>
      <c r="P1161">
        <v>818.4</v>
      </c>
      <c r="Q1161">
        <v>-108.29</v>
      </c>
      <c r="U1161">
        <v>2410.48</v>
      </c>
      <c r="AB1161" s="164">
        <v>40817</v>
      </c>
      <c r="AC1161" s="164">
        <v>42155</v>
      </c>
      <c r="AD1161" s="164">
        <v>42246</v>
      </c>
      <c r="AE1161" s="34">
        <f>SUMPRODUCT(DB_STProjectsSOF[[#This Row],[Plan01]:[Plan12]],$D$4:$O$4)/valUnits2</f>
        <v>0.71006899999999995</v>
      </c>
      <c r="AF1161" s="34">
        <f>SUMPRODUCT(DB_STProjectsSOF[[#This Row],[Act01]:[Act12]],$P$4:$AA$4)/valUnits2</f>
        <v>3.12059</v>
      </c>
      <c r="AG1161" s="34">
        <f>DB_STProjectsSOF[[#This Row],[Actual]]-DB_STProjectsSOF[[#This Row],[Plan]]</f>
        <v>2.4105210000000001</v>
      </c>
      <c r="AH1161" s="34">
        <f>IF(DB_STProjectsSOF[[#This Row],[Plan]]&lt;&gt;0,DB_STProjectsSOF[[#This Row],[Actual]]/DB_STProjectsSOF[[#This Row],[Plan]],1.000011000011)</f>
        <v>4.3947700857240637</v>
      </c>
      <c r="AI1161" s="34">
        <f>SUM(DB_STProjectsSOF[[#This Row],[Plan01]:[Plan12]])/valUnits2</f>
        <v>0.71006899999999995</v>
      </c>
      <c r="AJ1161" s="34">
        <f>SUMPRODUCT(DB_STProjectsSOF[[#This Row],[Act01]:[Act12]],$P$3:$AA$3)/valUnits2</f>
        <v>3.12059</v>
      </c>
      <c r="AK1161" s="34">
        <f>IF(DB_STProjectsSOF[[#This Row],[FY Plan]]&lt;&gt;0,DB_STProjectsSOF[[#This Row],[FY Actuals]]/DB_STProjectsSOF[[#This Row],[FY Plan]],1.000011000011)</f>
        <v>4.3947700857240637</v>
      </c>
    </row>
    <row r="1162" spans="1:37" hidden="1" x14ac:dyDescent="0.2">
      <c r="A1162">
        <f>SUBTOTAL(3,$B$6:B1162)</f>
        <v>0</v>
      </c>
      <c r="B1162" t="s">
        <v>504</v>
      </c>
      <c r="C1162" t="s">
        <v>356</v>
      </c>
      <c r="G1162">
        <v>92.197000000000003</v>
      </c>
      <c r="H1162">
        <v>183.02600000000001</v>
      </c>
      <c r="I1162">
        <v>0</v>
      </c>
      <c r="S1162">
        <v>91.36</v>
      </c>
      <c r="T1162">
        <v>190.33</v>
      </c>
      <c r="U1162">
        <v>104.66</v>
      </c>
      <c r="AB1162" s="164">
        <v>41091</v>
      </c>
      <c r="AC1162" s="164">
        <v>41455</v>
      </c>
      <c r="AD1162" s="164">
        <v>41547</v>
      </c>
      <c r="AE1162" s="34">
        <f>SUMPRODUCT(DB_STProjectsSOF[[#This Row],[Plan01]:[Plan12]],$D$4:$O$4)/valUnits2</f>
        <v>0.275223</v>
      </c>
      <c r="AF1162" s="34">
        <f>SUMPRODUCT(DB_STProjectsSOF[[#This Row],[Act01]:[Act12]],$P$4:$AA$4)/valUnits2</f>
        <v>0.38635000000000003</v>
      </c>
      <c r="AG1162" s="34">
        <f>DB_STProjectsSOF[[#This Row],[Actual]]-DB_STProjectsSOF[[#This Row],[Plan]]</f>
        <v>0.11112700000000003</v>
      </c>
      <c r="AH1162" s="34">
        <f>IF(DB_STProjectsSOF[[#This Row],[Plan]]&lt;&gt;0,DB_STProjectsSOF[[#This Row],[Actual]]/DB_STProjectsSOF[[#This Row],[Plan]],1.000011000011)</f>
        <v>1.4037707604378995</v>
      </c>
      <c r="AI1162" s="34">
        <f>SUM(DB_STProjectsSOF[[#This Row],[Plan01]:[Plan12]])/valUnits2</f>
        <v>0.275223</v>
      </c>
      <c r="AJ1162" s="34">
        <f>SUMPRODUCT(DB_STProjectsSOF[[#This Row],[Act01]:[Act12]],$P$3:$AA$3)/valUnits2</f>
        <v>0.38635000000000003</v>
      </c>
      <c r="AK1162" s="34">
        <f>IF(DB_STProjectsSOF[[#This Row],[FY Plan]]&lt;&gt;0,DB_STProjectsSOF[[#This Row],[FY Actuals]]/DB_STProjectsSOF[[#This Row],[FY Plan]],1.000011000011)</f>
        <v>1.4037707604378995</v>
      </c>
    </row>
    <row r="1163" spans="1:37" hidden="1" x14ac:dyDescent="0.2">
      <c r="A1163">
        <f>SUBTOTAL(3,$B$6:B1163)</f>
        <v>0</v>
      </c>
      <c r="B1163" t="s">
        <v>504</v>
      </c>
      <c r="C1163" t="s">
        <v>919</v>
      </c>
      <c r="D1163">
        <v>0</v>
      </c>
      <c r="E1163">
        <v>461.53199999999998</v>
      </c>
      <c r="F1163">
        <v>0</v>
      </c>
      <c r="G1163">
        <v>255.68600000000001</v>
      </c>
      <c r="H1163">
        <v>0</v>
      </c>
      <c r="I1163">
        <v>1231.71</v>
      </c>
      <c r="J1163">
        <v>1231.71</v>
      </c>
      <c r="K1163">
        <v>1231.71</v>
      </c>
      <c r="L1163">
        <v>1231.71</v>
      </c>
      <c r="M1163">
        <v>1231.71</v>
      </c>
      <c r="N1163">
        <v>1231.71</v>
      </c>
      <c r="O1163">
        <v>1231.71</v>
      </c>
      <c r="P1163">
        <v>0</v>
      </c>
      <c r="Q1163">
        <v>471.21000000000004</v>
      </c>
      <c r="R1163">
        <v>0</v>
      </c>
      <c r="S1163">
        <v>256.94000000000005</v>
      </c>
      <c r="T1163">
        <v>0</v>
      </c>
      <c r="U1163">
        <v>366.71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 s="164">
        <v>40878</v>
      </c>
      <c r="AC1163" s="164">
        <v>42794</v>
      </c>
      <c r="AD1163" s="164">
        <v>42978</v>
      </c>
      <c r="AE1163" s="34">
        <f>SUMPRODUCT(DB_STProjectsSOF[[#This Row],[Plan01]:[Plan12]],$D$4:$O$4)/valUnits2</f>
        <v>1.948928</v>
      </c>
      <c r="AF1163" s="34">
        <f>SUMPRODUCT(DB_STProjectsSOF[[#This Row],[Act01]:[Act12]],$P$4:$AA$4)/valUnits2</f>
        <v>1.0948600000000002</v>
      </c>
      <c r="AG1163" s="34">
        <f>DB_STProjectsSOF[[#This Row],[Actual]]-DB_STProjectsSOF[[#This Row],[Plan]]</f>
        <v>-0.85406799999999983</v>
      </c>
      <c r="AH1163" s="34">
        <f>IF(DB_STProjectsSOF[[#This Row],[Plan]]&lt;&gt;0,DB_STProjectsSOF[[#This Row],[Actual]]/DB_STProjectsSOF[[#This Row],[Plan]],1.000011000011)</f>
        <v>0.5617754991461974</v>
      </c>
      <c r="AI1163" s="34">
        <f>SUM(DB_STProjectsSOF[[#This Row],[Plan01]:[Plan12]])/valUnits2</f>
        <v>9.339188</v>
      </c>
      <c r="AJ1163" s="34">
        <f>SUMPRODUCT(DB_STProjectsSOF[[#This Row],[Act01]:[Act12]],$P$3:$AA$3)/valUnits2</f>
        <v>1.0948600000000002</v>
      </c>
      <c r="AK1163" s="34">
        <f>IF(DB_STProjectsSOF[[#This Row],[FY Plan]]&lt;&gt;0,DB_STProjectsSOF[[#This Row],[FY Actuals]]/DB_STProjectsSOF[[#This Row],[FY Plan]],1.000011000011)</f>
        <v>0.11723289005425312</v>
      </c>
    </row>
    <row r="1164" spans="1:37" hidden="1" x14ac:dyDescent="0.2">
      <c r="A1164">
        <f>SUBTOTAL(3,$B$6:B1164)</f>
        <v>0</v>
      </c>
      <c r="B1164" t="s">
        <v>504</v>
      </c>
      <c r="C1164" t="s">
        <v>921</v>
      </c>
      <c r="D1164">
        <v>55.013000000000005</v>
      </c>
      <c r="E1164">
        <v>17.863</v>
      </c>
      <c r="F1164">
        <v>13.076000000000001</v>
      </c>
      <c r="P1164">
        <v>55.009999999999991</v>
      </c>
      <c r="Q1164">
        <v>17.71</v>
      </c>
      <c r="R1164">
        <v>12.98</v>
      </c>
      <c r="AB1164" s="164">
        <v>40909</v>
      </c>
      <c r="AC1164" s="164">
        <v>41363</v>
      </c>
      <c r="AD1164" s="164">
        <v>41389</v>
      </c>
      <c r="AE1164" s="34">
        <f>SUMPRODUCT(DB_STProjectsSOF[[#This Row],[Plan01]:[Plan12]],$D$4:$O$4)/valUnits2</f>
        <v>8.5952000000000001E-2</v>
      </c>
      <c r="AF1164" s="34">
        <f>SUMPRODUCT(DB_STProjectsSOF[[#This Row],[Act01]:[Act12]],$P$4:$AA$4)/valUnits2</f>
        <v>8.5699999999999998E-2</v>
      </c>
      <c r="AG1164" s="34">
        <f>DB_STProjectsSOF[[#This Row],[Actual]]-DB_STProjectsSOF[[#This Row],[Plan]]</f>
        <v>-2.5200000000000222E-4</v>
      </c>
      <c r="AH1164" s="34">
        <f>IF(DB_STProjectsSOF[[#This Row],[Plan]]&lt;&gt;0,DB_STProjectsSOF[[#This Row],[Actual]]/DB_STProjectsSOF[[#This Row],[Plan]],1.000011000011)</f>
        <v>0.99706813104988823</v>
      </c>
      <c r="AI1164" s="34">
        <f>SUM(DB_STProjectsSOF[[#This Row],[Plan01]:[Plan12]])/valUnits2</f>
        <v>8.5952000000000001E-2</v>
      </c>
      <c r="AJ1164" s="34">
        <f>SUMPRODUCT(DB_STProjectsSOF[[#This Row],[Act01]:[Act12]],$P$3:$AA$3)/valUnits2</f>
        <v>8.5699999999999998E-2</v>
      </c>
      <c r="AK1164" s="34">
        <f>IF(DB_STProjectsSOF[[#This Row],[FY Plan]]&lt;&gt;0,DB_STProjectsSOF[[#This Row],[FY Actuals]]/DB_STProjectsSOF[[#This Row],[FY Plan]],1.000011000011)</f>
        <v>0.99706813104988823</v>
      </c>
    </row>
    <row r="1165" spans="1:37" hidden="1" x14ac:dyDescent="0.2">
      <c r="A1165">
        <f>SUBTOTAL(3,$B$6:B1165)</f>
        <v>0</v>
      </c>
      <c r="B1165" t="s">
        <v>504</v>
      </c>
      <c r="C1165" t="s">
        <v>922</v>
      </c>
      <c r="D1165">
        <v>95.248000000000005</v>
      </c>
      <c r="E1165">
        <v>16.974</v>
      </c>
      <c r="H1165">
        <v>23.42</v>
      </c>
      <c r="I1165">
        <v>0</v>
      </c>
      <c r="P1165">
        <v>93.84</v>
      </c>
      <c r="Q1165">
        <v>17.329999999999998</v>
      </c>
      <c r="T1165">
        <v>23.48</v>
      </c>
      <c r="U1165">
        <v>21.14</v>
      </c>
      <c r="AB1165" s="164">
        <v>41000</v>
      </c>
      <c r="AC1165" s="164">
        <v>41989</v>
      </c>
      <c r="AD1165" s="164">
        <v>42078</v>
      </c>
      <c r="AE1165" s="34">
        <f>SUMPRODUCT(DB_STProjectsSOF[[#This Row],[Plan01]:[Plan12]],$D$4:$O$4)/valUnits2</f>
        <v>0.13564199999999998</v>
      </c>
      <c r="AF1165" s="34">
        <f>SUMPRODUCT(DB_STProjectsSOF[[#This Row],[Act01]:[Act12]],$P$4:$AA$4)/valUnits2</f>
        <v>0.15579000000000001</v>
      </c>
      <c r="AG1165" s="34">
        <f>DB_STProjectsSOF[[#This Row],[Actual]]-DB_STProjectsSOF[[#This Row],[Plan]]</f>
        <v>2.0148000000000027E-2</v>
      </c>
      <c r="AH1165" s="34">
        <f>IF(DB_STProjectsSOF[[#This Row],[Plan]]&lt;&gt;0,DB_STProjectsSOF[[#This Row],[Actual]]/DB_STProjectsSOF[[#This Row],[Plan]],1.000011000011)</f>
        <v>1.1485380634316806</v>
      </c>
      <c r="AI1165" s="34">
        <f>SUM(DB_STProjectsSOF[[#This Row],[Plan01]:[Plan12]])/valUnits2</f>
        <v>0.13564199999999998</v>
      </c>
      <c r="AJ1165" s="34">
        <f>SUMPRODUCT(DB_STProjectsSOF[[#This Row],[Act01]:[Act12]],$P$3:$AA$3)/valUnits2</f>
        <v>0.15579000000000001</v>
      </c>
      <c r="AK1165" s="34">
        <f>IF(DB_STProjectsSOF[[#This Row],[FY Plan]]&lt;&gt;0,DB_STProjectsSOF[[#This Row],[FY Actuals]]/DB_STProjectsSOF[[#This Row],[FY Plan]],1.000011000011)</f>
        <v>1.1485380634316806</v>
      </c>
    </row>
    <row r="1166" spans="1:37" hidden="1" x14ac:dyDescent="0.2">
      <c r="A1166">
        <f>SUBTOTAL(3,$B$6:B1166)</f>
        <v>0</v>
      </c>
      <c r="B1166" t="s">
        <v>504</v>
      </c>
      <c r="C1166" t="s">
        <v>927</v>
      </c>
      <c r="E1166">
        <v>183.44</v>
      </c>
      <c r="G1166">
        <v>446.91999999999996</v>
      </c>
      <c r="H1166">
        <v>1152.27</v>
      </c>
      <c r="I1166">
        <v>0</v>
      </c>
      <c r="Q1166">
        <v>183.44</v>
      </c>
      <c r="S1166">
        <v>446.92</v>
      </c>
      <c r="T1166">
        <v>1152.27</v>
      </c>
      <c r="U1166">
        <v>467.87</v>
      </c>
      <c r="AB1166" s="164">
        <v>40817</v>
      </c>
      <c r="AC1166" s="164">
        <v>42052</v>
      </c>
      <c r="AD1166" s="164">
        <v>42141</v>
      </c>
      <c r="AE1166" s="34">
        <f>SUMPRODUCT(DB_STProjectsSOF[[#This Row],[Plan01]:[Plan12]],$D$4:$O$4)/valUnits2</f>
        <v>1.7826299999999999</v>
      </c>
      <c r="AF1166" s="34">
        <f>SUMPRODUCT(DB_STProjectsSOF[[#This Row],[Act01]:[Act12]],$P$4:$AA$4)/valUnits2</f>
        <v>2.2505000000000002</v>
      </c>
      <c r="AG1166" s="34">
        <f>DB_STProjectsSOF[[#This Row],[Actual]]-DB_STProjectsSOF[[#This Row],[Plan]]</f>
        <v>0.46787000000000023</v>
      </c>
      <c r="AH1166" s="34">
        <f>IF(DB_STProjectsSOF[[#This Row],[Plan]]&lt;&gt;0,DB_STProjectsSOF[[#This Row],[Actual]]/DB_STProjectsSOF[[#This Row],[Plan]],1.000011000011)</f>
        <v>1.2624605218132761</v>
      </c>
      <c r="AI1166" s="34">
        <f>SUM(DB_STProjectsSOF[[#This Row],[Plan01]:[Plan12]])/valUnits2</f>
        <v>1.7826299999999999</v>
      </c>
      <c r="AJ1166" s="34">
        <f>SUMPRODUCT(DB_STProjectsSOF[[#This Row],[Act01]:[Act12]],$P$3:$AA$3)/valUnits2</f>
        <v>2.2505000000000002</v>
      </c>
      <c r="AK1166" s="34">
        <f>IF(DB_STProjectsSOF[[#This Row],[FY Plan]]&lt;&gt;0,DB_STProjectsSOF[[#This Row],[FY Actuals]]/DB_STProjectsSOF[[#This Row],[FY Plan]],1.000011000011)</f>
        <v>1.2624605218132761</v>
      </c>
    </row>
    <row r="1167" spans="1:37" hidden="1" x14ac:dyDescent="0.2">
      <c r="A1167">
        <f>SUBTOTAL(3,$B$6:B1167)</f>
        <v>0</v>
      </c>
      <c r="B1167" t="s">
        <v>504</v>
      </c>
      <c r="C1167" t="s">
        <v>930</v>
      </c>
      <c r="D1167">
        <v>641.72</v>
      </c>
      <c r="E1167">
        <v>34.659999999999997</v>
      </c>
      <c r="F1167">
        <v>63.94</v>
      </c>
      <c r="H1167">
        <v>266.37</v>
      </c>
      <c r="I1167">
        <v>0</v>
      </c>
      <c r="P1167">
        <v>641.72</v>
      </c>
      <c r="Q1167">
        <v>34.659999999999997</v>
      </c>
      <c r="R1167">
        <v>63.94</v>
      </c>
      <c r="T1167">
        <v>266.37</v>
      </c>
      <c r="U1167">
        <v>42.28</v>
      </c>
      <c r="AB1167" s="164">
        <v>40848</v>
      </c>
      <c r="AC1167" s="164">
        <v>41729</v>
      </c>
      <c r="AD1167" s="164">
        <v>41654</v>
      </c>
      <c r="AE1167" s="34">
        <f>SUMPRODUCT(DB_STProjectsSOF[[#This Row],[Plan01]:[Plan12]],$D$4:$O$4)/valUnits2</f>
        <v>1.0066899999999999</v>
      </c>
      <c r="AF1167" s="34">
        <f>SUMPRODUCT(DB_STProjectsSOF[[#This Row],[Act01]:[Act12]],$P$4:$AA$4)/valUnits2</f>
        <v>1.04897</v>
      </c>
      <c r="AG1167" s="34">
        <f>DB_STProjectsSOF[[#This Row],[Actual]]-DB_STProjectsSOF[[#This Row],[Plan]]</f>
        <v>4.2280000000000095E-2</v>
      </c>
      <c r="AH1167" s="34">
        <f>IF(DB_STProjectsSOF[[#This Row],[Plan]]&lt;&gt;0,DB_STProjectsSOF[[#This Row],[Actual]]/DB_STProjectsSOF[[#This Row],[Plan]],1.000011000011)</f>
        <v>1.0419990265126307</v>
      </c>
      <c r="AI1167" s="34">
        <f>SUM(DB_STProjectsSOF[[#This Row],[Plan01]:[Plan12]])/valUnits2</f>
        <v>1.0066899999999999</v>
      </c>
      <c r="AJ1167" s="34">
        <f>SUMPRODUCT(DB_STProjectsSOF[[#This Row],[Act01]:[Act12]],$P$3:$AA$3)/valUnits2</f>
        <v>1.04897</v>
      </c>
      <c r="AK1167" s="34">
        <f>IF(DB_STProjectsSOF[[#This Row],[FY Plan]]&lt;&gt;0,DB_STProjectsSOF[[#This Row],[FY Actuals]]/DB_STProjectsSOF[[#This Row],[FY Plan]],1.000011000011)</f>
        <v>1.0419990265126307</v>
      </c>
    </row>
    <row r="1168" spans="1:37" hidden="1" x14ac:dyDescent="0.2">
      <c r="A1168">
        <f>SUBTOTAL(3,$B$6:B1168)</f>
        <v>0</v>
      </c>
      <c r="B1168" t="s">
        <v>504</v>
      </c>
      <c r="C1168" t="s">
        <v>933</v>
      </c>
      <c r="D1168">
        <v>12.09</v>
      </c>
      <c r="E1168">
        <v>20.03</v>
      </c>
      <c r="F1168">
        <v>46.89</v>
      </c>
      <c r="G1168">
        <v>9.9700000000000006</v>
      </c>
      <c r="H1168">
        <v>7.55</v>
      </c>
      <c r="I1168">
        <v>0</v>
      </c>
      <c r="P1168">
        <v>12.09</v>
      </c>
      <c r="Q1168">
        <v>20.03</v>
      </c>
      <c r="R1168">
        <v>144.79</v>
      </c>
      <c r="S1168">
        <v>9.9700000000000006</v>
      </c>
      <c r="T1168">
        <v>7.5500000000000007</v>
      </c>
      <c r="U1168">
        <v>34.07</v>
      </c>
      <c r="AB1168" s="164">
        <v>40817</v>
      </c>
      <c r="AC1168" s="164">
        <v>42155</v>
      </c>
      <c r="AD1168" s="164">
        <v>42217</v>
      </c>
      <c r="AE1168" s="34">
        <f>SUMPRODUCT(DB_STProjectsSOF[[#This Row],[Plan01]:[Plan12]],$D$4:$O$4)/valUnits2</f>
        <v>9.6530000000000005E-2</v>
      </c>
      <c r="AF1168" s="34">
        <f>SUMPRODUCT(DB_STProjectsSOF[[#This Row],[Act01]:[Act12]],$P$4:$AA$4)/valUnits2</f>
        <v>0.22850000000000001</v>
      </c>
      <c r="AG1168" s="34">
        <f>DB_STProjectsSOF[[#This Row],[Actual]]-DB_STProjectsSOF[[#This Row],[Plan]]</f>
        <v>0.13197</v>
      </c>
      <c r="AH1168" s="34">
        <f>IF(DB_STProjectsSOF[[#This Row],[Plan]]&lt;&gt;0,DB_STProjectsSOF[[#This Row],[Actual]]/DB_STProjectsSOF[[#This Row],[Plan]],1.000011000011)</f>
        <v>2.3671397493007356</v>
      </c>
      <c r="AI1168" s="34">
        <f>SUM(DB_STProjectsSOF[[#This Row],[Plan01]:[Plan12]])/valUnits2</f>
        <v>9.6530000000000005E-2</v>
      </c>
      <c r="AJ1168" s="34">
        <f>SUMPRODUCT(DB_STProjectsSOF[[#This Row],[Act01]:[Act12]],$P$3:$AA$3)/valUnits2</f>
        <v>0.22850000000000001</v>
      </c>
      <c r="AK1168" s="34">
        <f>IF(DB_STProjectsSOF[[#This Row],[FY Plan]]&lt;&gt;0,DB_STProjectsSOF[[#This Row],[FY Actuals]]/DB_STProjectsSOF[[#This Row],[FY Plan]],1.000011000011)</f>
        <v>2.3671397493007356</v>
      </c>
    </row>
    <row r="1169" spans="1:37" hidden="1" x14ac:dyDescent="0.2">
      <c r="A1169">
        <f>SUBTOTAL(3,$B$6:B1169)</f>
        <v>0</v>
      </c>
      <c r="B1169" t="s">
        <v>504</v>
      </c>
      <c r="C1169" t="s">
        <v>935</v>
      </c>
      <c r="G1169">
        <v>771.74</v>
      </c>
      <c r="H1169">
        <v>101.119</v>
      </c>
      <c r="I1169">
        <v>126.646</v>
      </c>
      <c r="J1169">
        <v>126.646</v>
      </c>
      <c r="K1169">
        <v>126.646</v>
      </c>
      <c r="L1169">
        <v>126.646</v>
      </c>
      <c r="M1169">
        <v>126.646</v>
      </c>
      <c r="N1169">
        <v>126.646</v>
      </c>
      <c r="O1169">
        <v>126.646</v>
      </c>
      <c r="S1169">
        <v>760.21</v>
      </c>
      <c r="T1169">
        <v>100.92</v>
      </c>
      <c r="U1169">
        <v>103.41000000000001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 s="164">
        <v>41000</v>
      </c>
      <c r="AC1169" s="164">
        <v>42094</v>
      </c>
      <c r="AD1169" s="164">
        <v>42124</v>
      </c>
      <c r="AE1169" s="34">
        <f>SUMPRODUCT(DB_STProjectsSOF[[#This Row],[Plan01]:[Plan12]],$D$4:$O$4)/valUnits2</f>
        <v>0.99950499999999998</v>
      </c>
      <c r="AF1169" s="34">
        <f>SUMPRODUCT(DB_STProjectsSOF[[#This Row],[Act01]:[Act12]],$P$4:$AA$4)/valUnits2</f>
        <v>0.96453999999999995</v>
      </c>
      <c r="AG1169" s="34">
        <f>DB_STProjectsSOF[[#This Row],[Actual]]-DB_STProjectsSOF[[#This Row],[Plan]]</f>
        <v>-3.4965000000000024E-2</v>
      </c>
      <c r="AH1169" s="34">
        <f>IF(DB_STProjectsSOF[[#This Row],[Plan]]&lt;&gt;0,DB_STProjectsSOF[[#This Row],[Actual]]/DB_STProjectsSOF[[#This Row],[Plan]],1.000011000011)</f>
        <v>0.96501768375345798</v>
      </c>
      <c r="AI1169" s="34">
        <f>SUM(DB_STProjectsSOF[[#This Row],[Plan01]:[Plan12]])/valUnits2</f>
        <v>1.7593809999999999</v>
      </c>
      <c r="AJ1169" s="34">
        <f>SUMPRODUCT(DB_STProjectsSOF[[#This Row],[Act01]:[Act12]],$P$3:$AA$3)/valUnits2</f>
        <v>0.96453999999999995</v>
      </c>
      <c r="AK1169" s="34">
        <f>IF(DB_STProjectsSOF[[#This Row],[FY Plan]]&lt;&gt;0,DB_STProjectsSOF[[#This Row],[FY Actuals]]/DB_STProjectsSOF[[#This Row],[FY Plan]],1.000011000011)</f>
        <v>0.54822690480345082</v>
      </c>
    </row>
    <row r="1170" spans="1:37" hidden="1" x14ac:dyDescent="0.2">
      <c r="A1170">
        <f>SUBTOTAL(3,$B$6:B1170)</f>
        <v>0</v>
      </c>
      <c r="B1170" t="s">
        <v>505</v>
      </c>
      <c r="C1170" t="s">
        <v>866</v>
      </c>
      <c r="I1170">
        <v>0</v>
      </c>
      <c r="U1170">
        <v>588.1</v>
      </c>
      <c r="AB1170" s="164">
        <v>41275</v>
      </c>
      <c r="AC1170" s="164">
        <v>41639</v>
      </c>
      <c r="AD1170" s="164">
        <v>41760</v>
      </c>
      <c r="AE1170" s="34">
        <f>SUMPRODUCT(DB_STProjectsSOF[[#This Row],[Plan01]:[Plan12]],$D$4:$O$4)/valUnits2</f>
        <v>0</v>
      </c>
      <c r="AF1170" s="34">
        <f>SUMPRODUCT(DB_STProjectsSOF[[#This Row],[Act01]:[Act12]],$P$4:$AA$4)/valUnits2</f>
        <v>0.58810000000000007</v>
      </c>
      <c r="AG1170" s="34">
        <f>DB_STProjectsSOF[[#This Row],[Actual]]-DB_STProjectsSOF[[#This Row],[Plan]]</f>
        <v>0.58810000000000007</v>
      </c>
      <c r="AH1170" s="34">
        <f>IF(DB_STProjectsSOF[[#This Row],[Plan]]&lt;&gt;0,DB_STProjectsSOF[[#This Row],[Actual]]/DB_STProjectsSOF[[#This Row],[Plan]],1.000011000011)</f>
        <v>1.0000110000110001</v>
      </c>
      <c r="AI1170" s="34">
        <f>SUM(DB_STProjectsSOF[[#This Row],[Plan01]:[Plan12]])/valUnits2</f>
        <v>0</v>
      </c>
      <c r="AJ1170" s="34">
        <f>SUMPRODUCT(DB_STProjectsSOF[[#This Row],[Act01]:[Act12]],$P$3:$AA$3)/valUnits2</f>
        <v>0.58810000000000007</v>
      </c>
      <c r="AK1170" s="34">
        <f>IF(DB_STProjectsSOF[[#This Row],[FY Plan]]&lt;&gt;0,DB_STProjectsSOF[[#This Row],[FY Actuals]]/DB_STProjectsSOF[[#This Row],[FY Plan]],1.000011000011)</f>
        <v>1.0000110000110001</v>
      </c>
    </row>
    <row r="1171" spans="1:37" hidden="1" x14ac:dyDescent="0.2">
      <c r="A1171">
        <f>SUBTOTAL(3,$B$6:B1171)</f>
        <v>0</v>
      </c>
      <c r="B1171" t="s">
        <v>505</v>
      </c>
      <c r="C1171" t="s">
        <v>890</v>
      </c>
      <c r="I1171">
        <v>0</v>
      </c>
      <c r="U1171">
        <v>0.1</v>
      </c>
      <c r="AB1171" s="164">
        <v>40817</v>
      </c>
      <c r="AC1171" s="164">
        <v>41639</v>
      </c>
      <c r="AD1171" s="164">
        <v>41639</v>
      </c>
      <c r="AE1171" s="34">
        <f>SUMPRODUCT(DB_STProjectsSOF[[#This Row],[Plan01]:[Plan12]],$D$4:$O$4)/valUnits2</f>
        <v>0</v>
      </c>
      <c r="AF1171" s="34">
        <f>SUMPRODUCT(DB_STProjectsSOF[[#This Row],[Act01]:[Act12]],$P$4:$AA$4)/valUnits2</f>
        <v>1E-4</v>
      </c>
      <c r="AG1171" s="34">
        <f>DB_STProjectsSOF[[#This Row],[Actual]]-DB_STProjectsSOF[[#This Row],[Plan]]</f>
        <v>1E-4</v>
      </c>
      <c r="AH1171" s="34">
        <f>IF(DB_STProjectsSOF[[#This Row],[Plan]]&lt;&gt;0,DB_STProjectsSOF[[#This Row],[Actual]]/DB_STProjectsSOF[[#This Row],[Plan]],1.000011000011)</f>
        <v>1.0000110000110001</v>
      </c>
      <c r="AI1171" s="34">
        <f>SUM(DB_STProjectsSOF[[#This Row],[Plan01]:[Plan12]])/valUnits2</f>
        <v>0</v>
      </c>
      <c r="AJ1171" s="34">
        <f>SUMPRODUCT(DB_STProjectsSOF[[#This Row],[Act01]:[Act12]],$P$3:$AA$3)/valUnits2</f>
        <v>1E-4</v>
      </c>
      <c r="AK1171" s="34">
        <f>IF(DB_STProjectsSOF[[#This Row],[FY Plan]]&lt;&gt;0,DB_STProjectsSOF[[#This Row],[FY Actuals]]/DB_STProjectsSOF[[#This Row],[FY Plan]],1.000011000011)</f>
        <v>1.0000110000110001</v>
      </c>
    </row>
    <row r="1172" spans="1:37" hidden="1" x14ac:dyDescent="0.2">
      <c r="A1172">
        <f>SUBTOTAL(3,$B$6:B1172)</f>
        <v>0</v>
      </c>
      <c r="B1172" t="s">
        <v>505</v>
      </c>
      <c r="C1172" t="s">
        <v>368</v>
      </c>
      <c r="D1172">
        <v>26.3</v>
      </c>
      <c r="P1172">
        <v>26.3</v>
      </c>
      <c r="AB1172" s="164">
        <v>41000</v>
      </c>
      <c r="AC1172" s="164">
        <v>41820</v>
      </c>
      <c r="AD1172" s="164">
        <v>41517</v>
      </c>
      <c r="AE1172" s="34">
        <f>SUMPRODUCT(DB_STProjectsSOF[[#This Row],[Plan01]:[Plan12]],$D$4:$O$4)/valUnits2</f>
        <v>2.63E-2</v>
      </c>
      <c r="AF1172" s="34">
        <f>SUMPRODUCT(DB_STProjectsSOF[[#This Row],[Act01]:[Act12]],$P$4:$AA$4)/valUnits2</f>
        <v>2.63E-2</v>
      </c>
      <c r="AG1172" s="34">
        <f>DB_STProjectsSOF[[#This Row],[Actual]]-DB_STProjectsSOF[[#This Row],[Plan]]</f>
        <v>0</v>
      </c>
      <c r="AH1172" s="34">
        <f>IF(DB_STProjectsSOF[[#This Row],[Plan]]&lt;&gt;0,DB_STProjectsSOF[[#This Row],[Actual]]/DB_STProjectsSOF[[#This Row],[Plan]],1.000011000011)</f>
        <v>1</v>
      </c>
      <c r="AI1172" s="34">
        <f>SUM(DB_STProjectsSOF[[#This Row],[Plan01]:[Plan12]])/valUnits2</f>
        <v>2.63E-2</v>
      </c>
      <c r="AJ1172" s="34">
        <f>SUMPRODUCT(DB_STProjectsSOF[[#This Row],[Act01]:[Act12]],$P$3:$AA$3)/valUnits2</f>
        <v>2.63E-2</v>
      </c>
      <c r="AK1172" s="34">
        <f>IF(DB_STProjectsSOF[[#This Row],[FY Plan]]&lt;&gt;0,DB_STProjectsSOF[[#This Row],[FY Actuals]]/DB_STProjectsSOF[[#This Row],[FY Plan]],1.000011000011)</f>
        <v>1</v>
      </c>
    </row>
    <row r="1173" spans="1:37" hidden="1" x14ac:dyDescent="0.2">
      <c r="A1173">
        <f>SUBTOTAL(3,$B$6:B1173)</f>
        <v>0</v>
      </c>
      <c r="B1173" t="s">
        <v>505</v>
      </c>
      <c r="C1173" t="s">
        <v>913</v>
      </c>
      <c r="G1173">
        <v>1305.654</v>
      </c>
      <c r="H1173">
        <v>5367.0060000000003</v>
      </c>
      <c r="I1173">
        <v>0</v>
      </c>
      <c r="S1173">
        <v>1298.21</v>
      </c>
      <c r="T1173">
        <v>5395.34</v>
      </c>
      <c r="U1173">
        <v>1436.29</v>
      </c>
      <c r="AB1173" s="164">
        <v>40817</v>
      </c>
      <c r="AC1173" s="164">
        <v>41639</v>
      </c>
      <c r="AD1173" s="164">
        <v>41685</v>
      </c>
      <c r="AE1173" s="34">
        <f>SUMPRODUCT(DB_STProjectsSOF[[#This Row],[Plan01]:[Plan12]],$D$4:$O$4)/valUnits2</f>
        <v>6.6726599999999996</v>
      </c>
      <c r="AF1173" s="34">
        <f>SUMPRODUCT(DB_STProjectsSOF[[#This Row],[Act01]:[Act12]],$P$4:$AA$4)/valUnits2</f>
        <v>8.1298399999999997</v>
      </c>
      <c r="AG1173" s="34">
        <f>DB_STProjectsSOF[[#This Row],[Actual]]-DB_STProjectsSOF[[#This Row],[Plan]]</f>
        <v>1.4571800000000001</v>
      </c>
      <c r="AH1173" s="34">
        <f>IF(DB_STProjectsSOF[[#This Row],[Plan]]&lt;&gt;0,DB_STProjectsSOF[[#This Row],[Actual]]/DB_STProjectsSOF[[#This Row],[Plan]],1.000011000011)</f>
        <v>1.2183806757724807</v>
      </c>
      <c r="AI1173" s="34">
        <f>SUM(DB_STProjectsSOF[[#This Row],[Plan01]:[Plan12]])/valUnits2</f>
        <v>6.6726599999999996</v>
      </c>
      <c r="AJ1173" s="34">
        <f>SUMPRODUCT(DB_STProjectsSOF[[#This Row],[Act01]:[Act12]],$P$3:$AA$3)/valUnits2</f>
        <v>8.1298399999999997</v>
      </c>
      <c r="AK1173" s="34">
        <f>IF(DB_STProjectsSOF[[#This Row],[FY Plan]]&lt;&gt;0,DB_STProjectsSOF[[#This Row],[FY Actuals]]/DB_STProjectsSOF[[#This Row],[FY Plan]],1.000011000011)</f>
        <v>1.2183806757724807</v>
      </c>
    </row>
    <row r="1174" spans="1:37" hidden="1" x14ac:dyDescent="0.2">
      <c r="A1174">
        <f>SUBTOTAL(3,$B$6:B1174)</f>
        <v>0</v>
      </c>
      <c r="B1174" t="s">
        <v>506</v>
      </c>
      <c r="C1174" t="s">
        <v>858</v>
      </c>
      <c r="H1174">
        <v>73.17</v>
      </c>
      <c r="T1174">
        <v>73.17</v>
      </c>
      <c r="AB1174" s="164">
        <v>41275</v>
      </c>
      <c r="AC1174" s="164">
        <v>41639</v>
      </c>
      <c r="AD1174" s="164">
        <v>41784</v>
      </c>
      <c r="AE1174" s="34">
        <f>SUMPRODUCT(DB_STProjectsSOF[[#This Row],[Plan01]:[Plan12]],$D$4:$O$4)/valUnits2</f>
        <v>7.3169999999999999E-2</v>
      </c>
      <c r="AF1174" s="34">
        <f>SUMPRODUCT(DB_STProjectsSOF[[#This Row],[Act01]:[Act12]],$P$4:$AA$4)/valUnits2</f>
        <v>7.3169999999999999E-2</v>
      </c>
      <c r="AG1174" s="34">
        <f>DB_STProjectsSOF[[#This Row],[Actual]]-DB_STProjectsSOF[[#This Row],[Plan]]</f>
        <v>0</v>
      </c>
      <c r="AH1174" s="34">
        <f>IF(DB_STProjectsSOF[[#This Row],[Plan]]&lt;&gt;0,DB_STProjectsSOF[[#This Row],[Actual]]/DB_STProjectsSOF[[#This Row],[Plan]],1.000011000011)</f>
        <v>1</v>
      </c>
      <c r="AI1174" s="34">
        <f>SUM(DB_STProjectsSOF[[#This Row],[Plan01]:[Plan12]])/valUnits2</f>
        <v>7.3169999999999999E-2</v>
      </c>
      <c r="AJ1174" s="34">
        <f>SUMPRODUCT(DB_STProjectsSOF[[#This Row],[Act01]:[Act12]],$P$3:$AA$3)/valUnits2</f>
        <v>7.3169999999999999E-2</v>
      </c>
      <c r="AK1174" s="34">
        <f>IF(DB_STProjectsSOF[[#This Row],[FY Plan]]&lt;&gt;0,DB_STProjectsSOF[[#This Row],[FY Actuals]]/DB_STProjectsSOF[[#This Row],[FY Plan]],1.000011000011)</f>
        <v>1</v>
      </c>
    </row>
    <row r="1175" spans="1:37" hidden="1" x14ac:dyDescent="0.2">
      <c r="A1175">
        <f>SUBTOTAL(3,$B$6:B1175)</f>
        <v>0</v>
      </c>
      <c r="B1175" t="s">
        <v>506</v>
      </c>
      <c r="C1175" t="s">
        <v>874</v>
      </c>
      <c r="F1175">
        <v>14.179</v>
      </c>
      <c r="G1175">
        <v>6.15</v>
      </c>
      <c r="H1175">
        <v>20.295999999999999</v>
      </c>
      <c r="R1175">
        <v>14.23</v>
      </c>
      <c r="S1175">
        <v>6.03</v>
      </c>
      <c r="T1175">
        <v>20.13</v>
      </c>
      <c r="AB1175" s="164">
        <v>40879</v>
      </c>
      <c r="AC1175" s="164">
        <v>43071</v>
      </c>
      <c r="AD1175" s="164">
        <v>43161</v>
      </c>
      <c r="AE1175" s="34">
        <f>SUMPRODUCT(DB_STProjectsSOF[[#This Row],[Plan01]:[Plan12]],$D$4:$O$4)/valUnits2</f>
        <v>4.0625000000000001E-2</v>
      </c>
      <c r="AF1175" s="34">
        <f>SUMPRODUCT(DB_STProjectsSOF[[#This Row],[Act01]:[Act12]],$P$4:$AA$4)/valUnits2</f>
        <v>4.0390000000000002E-2</v>
      </c>
      <c r="AG1175" s="34">
        <f>DB_STProjectsSOF[[#This Row],[Actual]]-DB_STProjectsSOF[[#This Row],[Plan]]</f>
        <v>-2.349999999999991E-4</v>
      </c>
      <c r="AH1175" s="34">
        <f>IF(DB_STProjectsSOF[[#This Row],[Plan]]&lt;&gt;0,DB_STProjectsSOF[[#This Row],[Actual]]/DB_STProjectsSOF[[#This Row],[Plan]],1.000011000011)</f>
        <v>0.99421538461538461</v>
      </c>
      <c r="AI1175" s="34">
        <f>SUM(DB_STProjectsSOF[[#This Row],[Plan01]:[Plan12]])/valUnits2</f>
        <v>4.0625000000000001E-2</v>
      </c>
      <c r="AJ1175" s="34">
        <f>SUMPRODUCT(DB_STProjectsSOF[[#This Row],[Act01]:[Act12]],$P$3:$AA$3)/valUnits2</f>
        <v>4.0390000000000002E-2</v>
      </c>
      <c r="AK1175" s="34">
        <f>IF(DB_STProjectsSOF[[#This Row],[FY Plan]]&lt;&gt;0,DB_STProjectsSOF[[#This Row],[FY Actuals]]/DB_STProjectsSOF[[#This Row],[FY Plan]],1.000011000011)</f>
        <v>0.99421538461538461</v>
      </c>
    </row>
    <row r="1176" spans="1:37" hidden="1" x14ac:dyDescent="0.2">
      <c r="A1176">
        <f>SUBTOTAL(3,$B$6:B1176)</f>
        <v>0</v>
      </c>
      <c r="B1176" t="s">
        <v>506</v>
      </c>
      <c r="C1176" t="s">
        <v>881</v>
      </c>
      <c r="H1176">
        <v>65.989999999999995</v>
      </c>
      <c r="T1176">
        <v>65.990000000000009</v>
      </c>
      <c r="AB1176" s="164">
        <v>41275</v>
      </c>
      <c r="AC1176" s="164">
        <v>41639</v>
      </c>
      <c r="AD1176" s="164">
        <v>41685</v>
      </c>
      <c r="AE1176" s="34">
        <f>SUMPRODUCT(DB_STProjectsSOF[[#This Row],[Plan01]:[Plan12]],$D$4:$O$4)/valUnits2</f>
        <v>6.5989999999999993E-2</v>
      </c>
      <c r="AF1176" s="34">
        <f>SUMPRODUCT(DB_STProjectsSOF[[#This Row],[Act01]:[Act12]],$P$4:$AA$4)/valUnits2</f>
        <v>6.5990000000000007E-2</v>
      </c>
      <c r="AG1176" s="34">
        <f>DB_STProjectsSOF[[#This Row],[Actual]]-DB_STProjectsSOF[[#This Row],[Plan]]</f>
        <v>0</v>
      </c>
      <c r="AH1176" s="34">
        <f>IF(DB_STProjectsSOF[[#This Row],[Plan]]&lt;&gt;0,DB_STProjectsSOF[[#This Row],[Actual]]/DB_STProjectsSOF[[#This Row],[Plan]],1.000011000011)</f>
        <v>1.0000000000000002</v>
      </c>
      <c r="AI1176" s="34">
        <f>SUM(DB_STProjectsSOF[[#This Row],[Plan01]:[Plan12]])/valUnits2</f>
        <v>6.5989999999999993E-2</v>
      </c>
      <c r="AJ1176" s="34">
        <f>SUMPRODUCT(DB_STProjectsSOF[[#This Row],[Act01]:[Act12]],$P$3:$AA$3)/valUnits2</f>
        <v>6.5990000000000007E-2</v>
      </c>
      <c r="AK1176" s="34">
        <f>IF(DB_STProjectsSOF[[#This Row],[FY Plan]]&lt;&gt;0,DB_STProjectsSOF[[#This Row],[FY Actuals]]/DB_STProjectsSOF[[#This Row],[FY Plan]],1.000011000011)</f>
        <v>1.0000000000000002</v>
      </c>
    </row>
    <row r="1177" spans="1:37" hidden="1" x14ac:dyDescent="0.2">
      <c r="A1177">
        <f>SUBTOTAL(3,$B$6:B1177)</f>
        <v>0</v>
      </c>
      <c r="B1177" t="s">
        <v>506</v>
      </c>
      <c r="C1177" t="s">
        <v>884</v>
      </c>
      <c r="D1177">
        <v>4166.6670000000004</v>
      </c>
      <c r="E1177">
        <v>4166.6670000000004</v>
      </c>
      <c r="F1177">
        <v>4166.6670000000004</v>
      </c>
      <c r="G1177">
        <v>4166.6670000000004</v>
      </c>
      <c r="H1177">
        <v>4166.6670000000004</v>
      </c>
      <c r="I1177">
        <v>4166.6670000000004</v>
      </c>
      <c r="J1177">
        <v>4166.6670000000004</v>
      </c>
      <c r="K1177">
        <v>4166.6670000000004</v>
      </c>
      <c r="L1177">
        <v>4166.6670000000004</v>
      </c>
      <c r="M1177">
        <v>4166.6670000000004</v>
      </c>
      <c r="N1177">
        <v>4166.6670000000004</v>
      </c>
      <c r="O1177">
        <v>4166.6670000000004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 s="164">
        <v>40909</v>
      </c>
      <c r="AC1177" s="164">
        <v>41274</v>
      </c>
      <c r="AD1177" s="164">
        <v>41364</v>
      </c>
      <c r="AE1177" s="34">
        <f>SUMPRODUCT(DB_STProjectsSOF[[#This Row],[Plan01]:[Plan12]],$D$4:$O$4)/valUnits2</f>
        <v>25.000002000000006</v>
      </c>
      <c r="AF1177" s="34">
        <f>SUMPRODUCT(DB_STProjectsSOF[[#This Row],[Act01]:[Act12]],$P$4:$AA$4)/valUnits2</f>
        <v>0</v>
      </c>
      <c r="AG1177" s="34">
        <f>DB_STProjectsSOF[[#This Row],[Actual]]-DB_STProjectsSOF[[#This Row],[Plan]]</f>
        <v>-25.000002000000006</v>
      </c>
      <c r="AH1177" s="34">
        <f>IF(DB_STProjectsSOF[[#This Row],[Plan]]&lt;&gt;0,DB_STProjectsSOF[[#This Row],[Actual]]/DB_STProjectsSOF[[#This Row],[Plan]],1.000011000011)</f>
        <v>0</v>
      </c>
      <c r="AI1177" s="34">
        <f>SUM(DB_STProjectsSOF[[#This Row],[Plan01]:[Plan12]])/valUnits2</f>
        <v>50.000004000000011</v>
      </c>
      <c r="AJ1177" s="34">
        <f>SUMPRODUCT(DB_STProjectsSOF[[#This Row],[Act01]:[Act12]],$P$3:$AA$3)/valUnits2</f>
        <v>0</v>
      </c>
      <c r="AK1177" s="34">
        <f>IF(DB_STProjectsSOF[[#This Row],[FY Plan]]&lt;&gt;0,DB_STProjectsSOF[[#This Row],[FY Actuals]]/DB_STProjectsSOF[[#This Row],[FY Plan]],1.000011000011)</f>
        <v>0</v>
      </c>
    </row>
    <row r="1178" spans="1:37" hidden="1" x14ac:dyDescent="0.2">
      <c r="A1178">
        <f>SUBTOTAL(3,$B$6:B1178)</f>
        <v>0</v>
      </c>
      <c r="B1178" t="s">
        <v>506</v>
      </c>
      <c r="C1178" t="s">
        <v>896</v>
      </c>
      <c r="E1178">
        <v>25.175000000000001</v>
      </c>
      <c r="F1178">
        <v>16.41</v>
      </c>
      <c r="Q1178">
        <v>25.17</v>
      </c>
      <c r="R1178">
        <v>16.29</v>
      </c>
      <c r="AB1178" s="164">
        <v>40817</v>
      </c>
      <c r="AC1178" s="164">
        <v>41639</v>
      </c>
      <c r="AD1178" s="164">
        <v>41820</v>
      </c>
      <c r="AE1178" s="34">
        <f>SUMPRODUCT(DB_STProjectsSOF[[#This Row],[Plan01]:[Plan12]],$D$4:$O$4)/valUnits2</f>
        <v>4.1585000000000004E-2</v>
      </c>
      <c r="AF1178" s="34">
        <f>SUMPRODUCT(DB_STProjectsSOF[[#This Row],[Act01]:[Act12]],$P$4:$AA$4)/valUnits2</f>
        <v>4.1460000000000004E-2</v>
      </c>
      <c r="AG1178" s="34">
        <f>DB_STProjectsSOF[[#This Row],[Actual]]-DB_STProjectsSOF[[#This Row],[Plan]]</f>
        <v>-1.2500000000000011E-4</v>
      </c>
      <c r="AH1178" s="34">
        <f>IF(DB_STProjectsSOF[[#This Row],[Plan]]&lt;&gt;0,DB_STProjectsSOF[[#This Row],[Actual]]/DB_STProjectsSOF[[#This Row],[Plan]],1.000011000011)</f>
        <v>0.99699410845256697</v>
      </c>
      <c r="AI1178" s="34">
        <f>SUM(DB_STProjectsSOF[[#This Row],[Plan01]:[Plan12]])/valUnits2</f>
        <v>4.1585000000000004E-2</v>
      </c>
      <c r="AJ1178" s="34">
        <f>SUMPRODUCT(DB_STProjectsSOF[[#This Row],[Act01]:[Act12]],$P$3:$AA$3)/valUnits2</f>
        <v>4.1460000000000004E-2</v>
      </c>
      <c r="AK1178" s="34">
        <f>IF(DB_STProjectsSOF[[#This Row],[FY Plan]]&lt;&gt;0,DB_STProjectsSOF[[#This Row],[FY Actuals]]/DB_STProjectsSOF[[#This Row],[FY Plan]],1.000011000011)</f>
        <v>0.99699410845256697</v>
      </c>
    </row>
    <row r="1179" spans="1:37" hidden="1" x14ac:dyDescent="0.2">
      <c r="A1179">
        <f>SUBTOTAL(3,$B$6:B1179)</f>
        <v>0</v>
      </c>
      <c r="B1179" t="s">
        <v>506</v>
      </c>
      <c r="C1179" t="s">
        <v>909</v>
      </c>
      <c r="D1179">
        <v>50.44</v>
      </c>
      <c r="E1179">
        <v>7.6</v>
      </c>
      <c r="P1179">
        <v>50.44</v>
      </c>
      <c r="Q1179">
        <v>7.6</v>
      </c>
      <c r="AB1179" s="164">
        <v>40817</v>
      </c>
      <c r="AC1179" s="164">
        <v>42155</v>
      </c>
      <c r="AD1179" s="164">
        <v>42217</v>
      </c>
      <c r="AE1179" s="34">
        <f>SUMPRODUCT(DB_STProjectsSOF[[#This Row],[Plan01]:[Plan12]],$D$4:$O$4)/valUnits2</f>
        <v>5.8040000000000001E-2</v>
      </c>
      <c r="AF1179" s="34">
        <f>SUMPRODUCT(DB_STProjectsSOF[[#This Row],[Act01]:[Act12]],$P$4:$AA$4)/valUnits2</f>
        <v>5.8040000000000001E-2</v>
      </c>
      <c r="AG1179" s="34">
        <f>DB_STProjectsSOF[[#This Row],[Actual]]-DB_STProjectsSOF[[#This Row],[Plan]]</f>
        <v>0</v>
      </c>
      <c r="AH1179" s="34">
        <f>IF(DB_STProjectsSOF[[#This Row],[Plan]]&lt;&gt;0,DB_STProjectsSOF[[#This Row],[Actual]]/DB_STProjectsSOF[[#This Row],[Plan]],1.000011000011)</f>
        <v>1</v>
      </c>
      <c r="AI1179" s="34">
        <f>SUM(DB_STProjectsSOF[[#This Row],[Plan01]:[Plan12]])/valUnits2</f>
        <v>5.8040000000000001E-2</v>
      </c>
      <c r="AJ1179" s="34">
        <f>SUMPRODUCT(DB_STProjectsSOF[[#This Row],[Act01]:[Act12]],$P$3:$AA$3)/valUnits2</f>
        <v>5.8040000000000001E-2</v>
      </c>
      <c r="AK1179" s="34">
        <f>IF(DB_STProjectsSOF[[#This Row],[FY Plan]]&lt;&gt;0,DB_STProjectsSOF[[#This Row],[FY Actuals]]/DB_STProjectsSOF[[#This Row],[FY Plan]],1.000011000011)</f>
        <v>1</v>
      </c>
    </row>
    <row r="1180" spans="1:37" hidden="1" x14ac:dyDescent="0.2">
      <c r="A1180">
        <f>SUBTOTAL(3,$B$6:B1180)</f>
        <v>0</v>
      </c>
      <c r="B1180" t="s">
        <v>506</v>
      </c>
      <c r="C1180" t="s">
        <v>913</v>
      </c>
      <c r="F1180">
        <v>11.228999999999999</v>
      </c>
      <c r="R1180">
        <v>11.45</v>
      </c>
      <c r="AB1180" s="164">
        <v>40817</v>
      </c>
      <c r="AC1180" s="164">
        <v>41639</v>
      </c>
      <c r="AD1180" s="164">
        <v>41685</v>
      </c>
      <c r="AE1180" s="34">
        <f>SUMPRODUCT(DB_STProjectsSOF[[#This Row],[Plan01]:[Plan12]],$D$4:$O$4)/valUnits2</f>
        <v>1.1228999999999999E-2</v>
      </c>
      <c r="AF1180" s="34">
        <f>SUMPRODUCT(DB_STProjectsSOF[[#This Row],[Act01]:[Act12]],$P$4:$AA$4)/valUnits2</f>
        <v>1.145E-2</v>
      </c>
      <c r="AG1180" s="34">
        <f>DB_STProjectsSOF[[#This Row],[Actual]]-DB_STProjectsSOF[[#This Row],[Plan]]</f>
        <v>2.2100000000000071E-4</v>
      </c>
      <c r="AH1180" s="34">
        <f>IF(DB_STProjectsSOF[[#This Row],[Plan]]&lt;&gt;0,DB_STProjectsSOF[[#This Row],[Actual]]/DB_STProjectsSOF[[#This Row],[Plan]],1.000011000011)</f>
        <v>1.0196811826520618</v>
      </c>
      <c r="AI1180" s="34">
        <f>SUM(DB_STProjectsSOF[[#This Row],[Plan01]:[Plan12]])/valUnits2</f>
        <v>1.1228999999999999E-2</v>
      </c>
      <c r="AJ1180" s="34">
        <f>SUMPRODUCT(DB_STProjectsSOF[[#This Row],[Act01]:[Act12]],$P$3:$AA$3)/valUnits2</f>
        <v>1.145E-2</v>
      </c>
      <c r="AK1180" s="34">
        <f>IF(DB_STProjectsSOF[[#This Row],[FY Plan]]&lt;&gt;0,DB_STProjectsSOF[[#This Row],[FY Actuals]]/DB_STProjectsSOF[[#This Row],[FY Plan]],1.000011000011)</f>
        <v>1.0196811826520618</v>
      </c>
    </row>
    <row r="1181" spans="1:37" hidden="1" x14ac:dyDescent="0.2">
      <c r="A1181">
        <f>SUBTOTAL(3,$B$6:B1181)</f>
        <v>0</v>
      </c>
      <c r="B1181" t="s">
        <v>506</v>
      </c>
      <c r="C1181" t="s">
        <v>919</v>
      </c>
      <c r="G1181">
        <v>202.42</v>
      </c>
      <c r="H1181">
        <v>133.62100000000001</v>
      </c>
      <c r="S1181">
        <v>198.5</v>
      </c>
      <c r="T1181">
        <v>132</v>
      </c>
      <c r="AB1181" s="164">
        <v>40878</v>
      </c>
      <c r="AC1181" s="164">
        <v>42794</v>
      </c>
      <c r="AD1181" s="164">
        <v>42978</v>
      </c>
      <c r="AE1181" s="34">
        <f>SUMPRODUCT(DB_STProjectsSOF[[#This Row],[Plan01]:[Plan12]],$D$4:$O$4)/valUnits2</f>
        <v>0.33604099999999998</v>
      </c>
      <c r="AF1181" s="34">
        <f>SUMPRODUCT(DB_STProjectsSOF[[#This Row],[Act01]:[Act12]],$P$4:$AA$4)/valUnits2</f>
        <v>0.33050000000000002</v>
      </c>
      <c r="AG1181" s="34">
        <f>DB_STProjectsSOF[[#This Row],[Actual]]-DB_STProjectsSOF[[#This Row],[Plan]]</f>
        <v>-5.5409999999999626E-3</v>
      </c>
      <c r="AH1181" s="34">
        <f>IF(DB_STProjectsSOF[[#This Row],[Plan]]&lt;&gt;0,DB_STProjectsSOF[[#This Row],[Actual]]/DB_STProjectsSOF[[#This Row],[Plan]],1.000011000011)</f>
        <v>0.98351094062926858</v>
      </c>
      <c r="AI1181" s="34">
        <f>SUM(DB_STProjectsSOF[[#This Row],[Plan01]:[Plan12]])/valUnits2</f>
        <v>0.33604099999999998</v>
      </c>
      <c r="AJ1181" s="34">
        <f>SUMPRODUCT(DB_STProjectsSOF[[#This Row],[Act01]:[Act12]],$P$3:$AA$3)/valUnits2</f>
        <v>0.33050000000000002</v>
      </c>
      <c r="AK1181" s="34">
        <f>IF(DB_STProjectsSOF[[#This Row],[FY Plan]]&lt;&gt;0,DB_STProjectsSOF[[#This Row],[FY Actuals]]/DB_STProjectsSOF[[#This Row],[FY Plan]],1.000011000011)</f>
        <v>0.98351094062926858</v>
      </c>
    </row>
    <row r="1182" spans="1:37" hidden="1" x14ac:dyDescent="0.2">
      <c r="A1182">
        <f>SUBTOTAL(3,$B$6:B1182)</f>
        <v>0</v>
      </c>
      <c r="B1182" t="s">
        <v>506</v>
      </c>
      <c r="C1182" t="s">
        <v>927</v>
      </c>
      <c r="H1182">
        <v>66.010000000000005</v>
      </c>
      <c r="T1182">
        <v>66.010000000000005</v>
      </c>
      <c r="AB1182" s="164">
        <v>40817</v>
      </c>
      <c r="AC1182" s="164">
        <v>42052</v>
      </c>
      <c r="AD1182" s="164">
        <v>42141</v>
      </c>
      <c r="AE1182" s="34">
        <f>SUMPRODUCT(DB_STProjectsSOF[[#This Row],[Plan01]:[Plan12]],$D$4:$O$4)/valUnits2</f>
        <v>6.6009999999999999E-2</v>
      </c>
      <c r="AF1182" s="34">
        <f>SUMPRODUCT(DB_STProjectsSOF[[#This Row],[Act01]:[Act12]],$P$4:$AA$4)/valUnits2</f>
        <v>6.6009999999999999E-2</v>
      </c>
      <c r="AG1182" s="34">
        <f>DB_STProjectsSOF[[#This Row],[Actual]]-DB_STProjectsSOF[[#This Row],[Plan]]</f>
        <v>0</v>
      </c>
      <c r="AH1182" s="34">
        <f>IF(DB_STProjectsSOF[[#This Row],[Plan]]&lt;&gt;0,DB_STProjectsSOF[[#This Row],[Actual]]/DB_STProjectsSOF[[#This Row],[Plan]],1.000011000011)</f>
        <v>1</v>
      </c>
      <c r="AI1182" s="34">
        <f>SUM(DB_STProjectsSOF[[#This Row],[Plan01]:[Plan12]])/valUnits2</f>
        <v>6.6009999999999999E-2</v>
      </c>
      <c r="AJ1182" s="34">
        <f>SUMPRODUCT(DB_STProjectsSOF[[#This Row],[Act01]:[Act12]],$P$3:$AA$3)/valUnits2</f>
        <v>6.6009999999999999E-2</v>
      </c>
      <c r="AK1182" s="34">
        <f>IF(DB_STProjectsSOF[[#This Row],[FY Plan]]&lt;&gt;0,DB_STProjectsSOF[[#This Row],[FY Actuals]]/DB_STProjectsSOF[[#This Row],[FY Plan]],1.000011000011)</f>
        <v>1</v>
      </c>
    </row>
    <row r="1183" spans="1:37" hidden="1" x14ac:dyDescent="0.2">
      <c r="A1183">
        <f>SUBTOTAL(3,$B$6:B1183)</f>
        <v>0</v>
      </c>
      <c r="B1183" t="s">
        <v>507</v>
      </c>
      <c r="C1183" t="s">
        <v>873</v>
      </c>
      <c r="F1183">
        <v>-34974.351000000002</v>
      </c>
      <c r="R1183">
        <v>-34749.879999999997</v>
      </c>
      <c r="AB1183" s="164"/>
      <c r="AC1183" s="164"/>
      <c r="AD1183" s="164"/>
      <c r="AE1183" s="34">
        <f>SUMPRODUCT(DB_STProjectsSOF[[#This Row],[Plan01]:[Plan12]],$D$4:$O$4)/valUnits2</f>
        <v>-34.974351000000006</v>
      </c>
      <c r="AF1183" s="34">
        <f>SUMPRODUCT(DB_STProjectsSOF[[#This Row],[Act01]:[Act12]],$P$4:$AA$4)/valUnits2</f>
        <v>-34.749879999999997</v>
      </c>
      <c r="AG1183" s="34">
        <f>DB_STProjectsSOF[[#This Row],[Actual]]-DB_STProjectsSOF[[#This Row],[Plan]]</f>
        <v>0.2244710000000083</v>
      </c>
      <c r="AH1183" s="34">
        <f>IF(DB_STProjectsSOF[[#This Row],[Plan]]&lt;&gt;0,DB_STProjectsSOF[[#This Row],[Actual]]/DB_STProjectsSOF[[#This Row],[Plan]],1.000011000011)</f>
        <v>0.99358183944571243</v>
      </c>
      <c r="AI1183" s="34">
        <f>SUM(DB_STProjectsSOF[[#This Row],[Plan01]:[Plan12]])/valUnits2</f>
        <v>-34.974351000000006</v>
      </c>
      <c r="AJ1183" s="34">
        <f>SUMPRODUCT(DB_STProjectsSOF[[#This Row],[Act01]:[Act12]],$P$3:$AA$3)/valUnits2</f>
        <v>-34.749879999999997</v>
      </c>
      <c r="AK1183" s="34">
        <f>IF(DB_STProjectsSOF[[#This Row],[FY Plan]]&lt;&gt;0,DB_STProjectsSOF[[#This Row],[FY Actuals]]/DB_STProjectsSOF[[#This Row],[FY Plan]],1.000011000011)</f>
        <v>0.99358183944571243</v>
      </c>
    </row>
    <row r="1184" spans="1:37" hidden="1" x14ac:dyDescent="0.2">
      <c r="A1184">
        <f>SUBTOTAL(3,$B$6:B1184)</f>
        <v>0</v>
      </c>
      <c r="B1184" t="s">
        <v>508</v>
      </c>
      <c r="C1184" t="s">
        <v>357</v>
      </c>
      <c r="D1184">
        <v>866.66</v>
      </c>
      <c r="E1184">
        <v>949.6799999999995</v>
      </c>
      <c r="F1184">
        <v>39692.370000000003</v>
      </c>
      <c r="G1184">
        <v>925.32</v>
      </c>
      <c r="H1184">
        <v>5159.9799999999996</v>
      </c>
      <c r="I1184">
        <v>5297.402</v>
      </c>
      <c r="J1184">
        <v>0</v>
      </c>
      <c r="P1184">
        <v>866.66</v>
      </c>
      <c r="Q1184">
        <v>949.67999999999938</v>
      </c>
      <c r="R1184">
        <v>39692.370000000003</v>
      </c>
      <c r="S1184">
        <v>925.32</v>
      </c>
      <c r="T1184">
        <v>5159.9799999999996</v>
      </c>
      <c r="U1184">
        <v>63372.459999999992</v>
      </c>
      <c r="V1184">
        <v>-3.19</v>
      </c>
      <c r="AB1184" s="164">
        <v>40817</v>
      </c>
      <c r="AC1184" s="164">
        <v>41455</v>
      </c>
      <c r="AD1184" s="164">
        <v>41517</v>
      </c>
      <c r="AE1184" s="34">
        <f>SUMPRODUCT(DB_STProjectsSOF[[#This Row],[Plan01]:[Plan12]],$D$4:$O$4)/valUnits2</f>
        <v>52.891411999999995</v>
      </c>
      <c r="AF1184" s="34">
        <f>SUMPRODUCT(DB_STProjectsSOF[[#This Row],[Act01]:[Act12]],$P$4:$AA$4)/valUnits2</f>
        <v>110.96646999999999</v>
      </c>
      <c r="AG1184" s="34">
        <f>DB_STProjectsSOF[[#This Row],[Actual]]-DB_STProjectsSOF[[#This Row],[Plan]]</f>
        <v>58.075057999999991</v>
      </c>
      <c r="AH1184" s="34">
        <f>IF(DB_STProjectsSOF[[#This Row],[Plan]]&lt;&gt;0,DB_STProjectsSOF[[#This Row],[Actual]]/DB_STProjectsSOF[[#This Row],[Plan]],1.000011000011)</f>
        <v>2.0980054380094826</v>
      </c>
      <c r="AI1184" s="34">
        <f>SUM(DB_STProjectsSOF[[#This Row],[Plan01]:[Plan12]])/valUnits2</f>
        <v>52.891411999999995</v>
      </c>
      <c r="AJ1184" s="34">
        <f>SUMPRODUCT(DB_STProjectsSOF[[#This Row],[Act01]:[Act12]],$P$3:$AA$3)/valUnits2</f>
        <v>110.96646999999999</v>
      </c>
      <c r="AK1184" s="34">
        <f>IF(DB_STProjectsSOF[[#This Row],[FY Plan]]&lt;&gt;0,DB_STProjectsSOF[[#This Row],[FY Actuals]]/DB_STProjectsSOF[[#This Row],[FY Plan]],1.000011000011)</f>
        <v>2.0980054380094826</v>
      </c>
    </row>
    <row r="1185" spans="1:37" hidden="1" x14ac:dyDescent="0.2">
      <c r="A1185">
        <f>SUBTOTAL(3,$B$6:B1185)</f>
        <v>0</v>
      </c>
      <c r="B1185" t="s">
        <v>508</v>
      </c>
      <c r="C1185" t="s">
        <v>846</v>
      </c>
      <c r="D1185">
        <v>10113.969999999999</v>
      </c>
      <c r="E1185">
        <v>86.5</v>
      </c>
      <c r="F1185">
        <v>79.169999999999945</v>
      </c>
      <c r="G1185">
        <v>2765.04</v>
      </c>
      <c r="H1185">
        <v>2810.61</v>
      </c>
      <c r="I1185">
        <v>4089.3270000000002</v>
      </c>
      <c r="J1185">
        <v>4089.3270000000002</v>
      </c>
      <c r="K1185">
        <v>4089.3270000000002</v>
      </c>
      <c r="L1185">
        <v>4089.3270000000002</v>
      </c>
      <c r="M1185">
        <v>4089.3270000000002</v>
      </c>
      <c r="N1185">
        <v>4089.3270000000002</v>
      </c>
      <c r="O1185">
        <v>4089.3270000000002</v>
      </c>
      <c r="P1185">
        <v>10113.969999999999</v>
      </c>
      <c r="Q1185">
        <v>86.5</v>
      </c>
      <c r="R1185">
        <v>79.169999999999931</v>
      </c>
      <c r="S1185">
        <v>2765.0400000000004</v>
      </c>
      <c r="T1185">
        <v>2810.61</v>
      </c>
      <c r="U1185">
        <v>2630.05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 s="164">
        <v>40817</v>
      </c>
      <c r="AC1185" s="164">
        <v>41599</v>
      </c>
      <c r="AD1185" s="164">
        <v>41305</v>
      </c>
      <c r="AE1185" s="34">
        <f>SUMPRODUCT(DB_STProjectsSOF[[#This Row],[Plan01]:[Plan12]],$D$4:$O$4)/valUnits2</f>
        <v>19.944617000000001</v>
      </c>
      <c r="AF1185" s="34">
        <f>SUMPRODUCT(DB_STProjectsSOF[[#This Row],[Act01]:[Act12]],$P$4:$AA$4)/valUnits2</f>
        <v>18.485340000000001</v>
      </c>
      <c r="AG1185" s="34">
        <f>DB_STProjectsSOF[[#This Row],[Actual]]-DB_STProjectsSOF[[#This Row],[Plan]]</f>
        <v>-1.4592770000000002</v>
      </c>
      <c r="AH1185" s="34">
        <f>IF(DB_STProjectsSOF[[#This Row],[Plan]]&lt;&gt;0,DB_STProjectsSOF[[#This Row],[Actual]]/DB_STProjectsSOF[[#This Row],[Plan]],1.000011000011)</f>
        <v>0.926833541100338</v>
      </c>
      <c r="AI1185" s="34">
        <f>SUM(DB_STProjectsSOF[[#This Row],[Plan01]:[Plan12]])/valUnits2</f>
        <v>44.480578999999999</v>
      </c>
      <c r="AJ1185" s="34">
        <f>SUMPRODUCT(DB_STProjectsSOF[[#This Row],[Act01]:[Act12]],$P$3:$AA$3)/valUnits2</f>
        <v>18.485340000000001</v>
      </c>
      <c r="AK1185" s="34">
        <f>IF(DB_STProjectsSOF[[#This Row],[FY Plan]]&lt;&gt;0,DB_STProjectsSOF[[#This Row],[FY Actuals]]/DB_STProjectsSOF[[#This Row],[FY Plan]],1.000011000011)</f>
        <v>0.4155822701858265</v>
      </c>
    </row>
    <row r="1186" spans="1:37" hidden="1" x14ac:dyDescent="0.2">
      <c r="A1186">
        <f>SUBTOTAL(3,$B$6:B1186)</f>
        <v>0</v>
      </c>
      <c r="B1186" t="s">
        <v>508</v>
      </c>
      <c r="C1186" t="s">
        <v>366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1356.4160000000002</v>
      </c>
      <c r="J1186">
        <v>678.20900000000006</v>
      </c>
      <c r="K1186">
        <v>1356.4160000000002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23634.82</v>
      </c>
      <c r="V1186">
        <v>0</v>
      </c>
      <c r="W1186">
        <v>0</v>
      </c>
      <c r="AB1186" s="164">
        <v>41153</v>
      </c>
      <c r="AC1186" s="164">
        <v>41517</v>
      </c>
      <c r="AD1186" s="164">
        <v>41567</v>
      </c>
      <c r="AE1186" s="34">
        <f>SUMPRODUCT(DB_STProjectsSOF[[#This Row],[Plan01]:[Plan12]],$D$4:$O$4)/valUnits2</f>
        <v>1.3564160000000001</v>
      </c>
      <c r="AF1186" s="34">
        <f>SUMPRODUCT(DB_STProjectsSOF[[#This Row],[Act01]:[Act12]],$P$4:$AA$4)/valUnits2</f>
        <v>23.634820000000001</v>
      </c>
      <c r="AG1186" s="34">
        <f>DB_STProjectsSOF[[#This Row],[Actual]]-DB_STProjectsSOF[[#This Row],[Plan]]</f>
        <v>22.278404000000002</v>
      </c>
      <c r="AH1186" s="34">
        <f>IF(DB_STProjectsSOF[[#This Row],[Plan]]&lt;&gt;0,DB_STProjectsSOF[[#This Row],[Actual]]/DB_STProjectsSOF[[#This Row],[Plan]],1.000011000011)</f>
        <v>17.42446270170803</v>
      </c>
      <c r="AI1186" s="34">
        <f>SUM(DB_STProjectsSOF[[#This Row],[Plan01]:[Plan12]])/valUnits2</f>
        <v>3.391041</v>
      </c>
      <c r="AJ1186" s="34">
        <f>SUMPRODUCT(DB_STProjectsSOF[[#This Row],[Act01]:[Act12]],$P$3:$AA$3)/valUnits2</f>
        <v>23.634820000000001</v>
      </c>
      <c r="AK1186" s="34">
        <f>IF(DB_STProjectsSOF[[#This Row],[FY Plan]]&lt;&gt;0,DB_STProjectsSOF[[#This Row],[FY Actuals]]/DB_STProjectsSOF[[#This Row],[FY Plan]],1.000011000011)</f>
        <v>6.9697830253305701</v>
      </c>
    </row>
    <row r="1187" spans="1:37" hidden="1" x14ac:dyDescent="0.2">
      <c r="A1187">
        <f>SUBTOTAL(3,$B$6:B1187)</f>
        <v>0</v>
      </c>
      <c r="B1187" t="s">
        <v>508</v>
      </c>
      <c r="C1187" t="s">
        <v>863</v>
      </c>
      <c r="D1187">
        <v>-2877.63</v>
      </c>
      <c r="E1187">
        <v>168.67</v>
      </c>
      <c r="F1187">
        <v>1033.82</v>
      </c>
      <c r="G1187">
        <v>6467.68</v>
      </c>
      <c r="H1187">
        <v>703.97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-2877.6300000000019</v>
      </c>
      <c r="Q1187">
        <v>168.67</v>
      </c>
      <c r="R1187">
        <v>1033.82</v>
      </c>
      <c r="S1187">
        <v>6467.68</v>
      </c>
      <c r="T1187">
        <v>703.97</v>
      </c>
      <c r="U1187">
        <v>271.08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 s="164">
        <v>40817</v>
      </c>
      <c r="AC1187" s="164">
        <v>41365</v>
      </c>
      <c r="AD1187" s="164">
        <v>41730</v>
      </c>
      <c r="AE1187" s="34">
        <f>SUMPRODUCT(DB_STProjectsSOF[[#This Row],[Plan01]:[Plan12]],$D$4:$O$4)/valUnits2</f>
        <v>5.4965099999999998</v>
      </c>
      <c r="AF1187" s="34">
        <f>SUMPRODUCT(DB_STProjectsSOF[[#This Row],[Act01]:[Act12]],$P$4:$AA$4)/valUnits2</f>
        <v>5.7675899999999984</v>
      </c>
      <c r="AG1187" s="34">
        <f>DB_STProjectsSOF[[#This Row],[Actual]]-DB_STProjectsSOF[[#This Row],[Plan]]</f>
        <v>0.27107999999999866</v>
      </c>
      <c r="AH1187" s="34">
        <f>IF(DB_STProjectsSOF[[#This Row],[Plan]]&lt;&gt;0,DB_STProjectsSOF[[#This Row],[Actual]]/DB_STProjectsSOF[[#This Row],[Plan]],1.000011000011)</f>
        <v>1.049318567600168</v>
      </c>
      <c r="AI1187" s="34">
        <f>SUM(DB_STProjectsSOF[[#This Row],[Plan01]:[Plan12]])/valUnits2</f>
        <v>5.4965099999999998</v>
      </c>
      <c r="AJ1187" s="34">
        <f>SUMPRODUCT(DB_STProjectsSOF[[#This Row],[Act01]:[Act12]],$P$3:$AA$3)/valUnits2</f>
        <v>5.7675899999999984</v>
      </c>
      <c r="AK1187" s="34">
        <f>IF(DB_STProjectsSOF[[#This Row],[FY Plan]]&lt;&gt;0,DB_STProjectsSOF[[#This Row],[FY Actuals]]/DB_STProjectsSOF[[#This Row],[FY Plan]],1.000011000011)</f>
        <v>1.049318567600168</v>
      </c>
    </row>
    <row r="1188" spans="1:37" hidden="1" x14ac:dyDescent="0.2">
      <c r="A1188">
        <f>SUBTOTAL(3,$B$6:B1188)</f>
        <v>0</v>
      </c>
      <c r="B1188" t="s">
        <v>508</v>
      </c>
      <c r="C1188" t="s">
        <v>868</v>
      </c>
      <c r="F1188">
        <v>0</v>
      </c>
      <c r="I1188">
        <v>0</v>
      </c>
      <c r="R1188">
        <v>0</v>
      </c>
      <c r="U1188">
        <v>10715.31</v>
      </c>
      <c r="AB1188" s="164">
        <v>40817</v>
      </c>
      <c r="AC1188" s="164">
        <v>41455</v>
      </c>
      <c r="AD1188" s="164">
        <v>41639</v>
      </c>
      <c r="AE1188" s="34">
        <f>SUMPRODUCT(DB_STProjectsSOF[[#This Row],[Plan01]:[Plan12]],$D$4:$O$4)/valUnits2</f>
        <v>0</v>
      </c>
      <c r="AF1188" s="34">
        <f>SUMPRODUCT(DB_STProjectsSOF[[#This Row],[Act01]:[Act12]],$P$4:$AA$4)/valUnits2</f>
        <v>10.715309999999999</v>
      </c>
      <c r="AG1188" s="34">
        <f>DB_STProjectsSOF[[#This Row],[Actual]]-DB_STProjectsSOF[[#This Row],[Plan]]</f>
        <v>10.715309999999999</v>
      </c>
      <c r="AH1188" s="34">
        <f>IF(DB_STProjectsSOF[[#This Row],[Plan]]&lt;&gt;0,DB_STProjectsSOF[[#This Row],[Actual]]/DB_STProjectsSOF[[#This Row],[Plan]],1.000011000011)</f>
        <v>1.0000110000110001</v>
      </c>
      <c r="AI1188" s="34">
        <f>SUM(DB_STProjectsSOF[[#This Row],[Plan01]:[Plan12]])/valUnits2</f>
        <v>0</v>
      </c>
      <c r="AJ1188" s="34">
        <f>SUMPRODUCT(DB_STProjectsSOF[[#This Row],[Act01]:[Act12]],$P$3:$AA$3)/valUnits2</f>
        <v>10.715309999999999</v>
      </c>
      <c r="AK1188" s="34">
        <f>IF(DB_STProjectsSOF[[#This Row],[FY Plan]]&lt;&gt;0,DB_STProjectsSOF[[#This Row],[FY Actuals]]/DB_STProjectsSOF[[#This Row],[FY Plan]],1.000011000011)</f>
        <v>1.0000110000110001</v>
      </c>
    </row>
    <row r="1189" spans="1:37" hidden="1" x14ac:dyDescent="0.2">
      <c r="A1189">
        <f>SUBTOTAL(3,$B$6:B1189)</f>
        <v>0</v>
      </c>
      <c r="B1189" t="s">
        <v>508</v>
      </c>
      <c r="C1189" t="s">
        <v>871</v>
      </c>
      <c r="D1189">
        <v>308.12</v>
      </c>
      <c r="P1189">
        <v>308.12</v>
      </c>
      <c r="AB1189" s="164">
        <v>40817</v>
      </c>
      <c r="AC1189" s="164">
        <v>41274</v>
      </c>
      <c r="AD1189" s="164">
        <v>41305</v>
      </c>
      <c r="AE1189" s="34">
        <f>SUMPRODUCT(DB_STProjectsSOF[[#This Row],[Plan01]:[Plan12]],$D$4:$O$4)/valUnits2</f>
        <v>0.30812</v>
      </c>
      <c r="AF1189" s="34">
        <f>SUMPRODUCT(DB_STProjectsSOF[[#This Row],[Act01]:[Act12]],$P$4:$AA$4)/valUnits2</f>
        <v>0.30812</v>
      </c>
      <c r="AG1189" s="34">
        <f>DB_STProjectsSOF[[#This Row],[Actual]]-DB_STProjectsSOF[[#This Row],[Plan]]</f>
        <v>0</v>
      </c>
      <c r="AH1189" s="34">
        <f>IF(DB_STProjectsSOF[[#This Row],[Plan]]&lt;&gt;0,DB_STProjectsSOF[[#This Row],[Actual]]/DB_STProjectsSOF[[#This Row],[Plan]],1.000011000011)</f>
        <v>1</v>
      </c>
      <c r="AI1189" s="34">
        <f>SUM(DB_STProjectsSOF[[#This Row],[Plan01]:[Plan12]])/valUnits2</f>
        <v>0.30812</v>
      </c>
      <c r="AJ1189" s="34">
        <f>SUMPRODUCT(DB_STProjectsSOF[[#This Row],[Act01]:[Act12]],$P$3:$AA$3)/valUnits2</f>
        <v>0.30812</v>
      </c>
      <c r="AK1189" s="34">
        <f>IF(DB_STProjectsSOF[[#This Row],[FY Plan]]&lt;&gt;0,DB_STProjectsSOF[[#This Row],[FY Actuals]]/DB_STProjectsSOF[[#This Row],[FY Plan]],1.000011000011)</f>
        <v>1</v>
      </c>
    </row>
    <row r="1190" spans="1:37" hidden="1" x14ac:dyDescent="0.2">
      <c r="A1190">
        <f>SUBTOTAL(3,$B$6:B1190)</f>
        <v>0</v>
      </c>
      <c r="B1190" t="s">
        <v>508</v>
      </c>
      <c r="C1190" t="s">
        <v>883</v>
      </c>
      <c r="D1190">
        <v>3945.6210000000001</v>
      </c>
      <c r="E1190">
        <v>3139.0209999999997</v>
      </c>
      <c r="F1190">
        <v>31243.805</v>
      </c>
      <c r="G1190">
        <v>3524.4970000000003</v>
      </c>
      <c r="H1190">
        <v>4479.3769999999995</v>
      </c>
      <c r="I1190">
        <v>160033.67899999997</v>
      </c>
      <c r="J1190">
        <v>20603.374</v>
      </c>
      <c r="K1190">
        <v>155463.17599999995</v>
      </c>
      <c r="L1190">
        <v>21731.73</v>
      </c>
      <c r="M1190">
        <v>158944.774</v>
      </c>
      <c r="N1190">
        <v>23220.115000000002</v>
      </c>
      <c r="O1190">
        <v>148760.23300000001</v>
      </c>
      <c r="P1190">
        <v>3976.6700000000005</v>
      </c>
      <c r="Q1190">
        <v>3221.4100000000003</v>
      </c>
      <c r="R1190">
        <v>31074.829999999998</v>
      </c>
      <c r="S1190">
        <v>3492.9200000000005</v>
      </c>
      <c r="T1190">
        <v>4464.7400000000007</v>
      </c>
      <c r="U1190">
        <v>1745.9799999999998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 s="164">
        <v>40940</v>
      </c>
      <c r="AC1190" s="164">
        <v>41639</v>
      </c>
      <c r="AD1190" s="164">
        <v>41698</v>
      </c>
      <c r="AE1190" s="34">
        <f>SUMPRODUCT(DB_STProjectsSOF[[#This Row],[Plan01]:[Plan12]],$D$4:$O$4)/valUnits2</f>
        <v>206.36599999999996</v>
      </c>
      <c r="AF1190" s="34">
        <f>SUMPRODUCT(DB_STProjectsSOF[[#This Row],[Act01]:[Act12]],$P$4:$AA$4)/valUnits2</f>
        <v>47.976549999999996</v>
      </c>
      <c r="AG1190" s="34">
        <f>DB_STProjectsSOF[[#This Row],[Actual]]-DB_STProjectsSOF[[#This Row],[Plan]]</f>
        <v>-158.38944999999995</v>
      </c>
      <c r="AH1190" s="34">
        <f>IF(DB_STProjectsSOF[[#This Row],[Plan]]&lt;&gt;0,DB_STProjectsSOF[[#This Row],[Actual]]/DB_STProjectsSOF[[#This Row],[Plan]],1.000011000011)</f>
        <v>0.23248282178265803</v>
      </c>
      <c r="AI1190" s="34">
        <f>SUM(DB_STProjectsSOF[[#This Row],[Plan01]:[Plan12]])/valUnits2</f>
        <v>735.08940199999984</v>
      </c>
      <c r="AJ1190" s="34">
        <f>SUMPRODUCT(DB_STProjectsSOF[[#This Row],[Act01]:[Act12]],$P$3:$AA$3)/valUnits2</f>
        <v>47.976549999999996</v>
      </c>
      <c r="AK1190" s="34">
        <f>IF(DB_STProjectsSOF[[#This Row],[FY Plan]]&lt;&gt;0,DB_STProjectsSOF[[#This Row],[FY Actuals]]/DB_STProjectsSOF[[#This Row],[FY Plan]],1.000011000011)</f>
        <v>6.5266278998809463E-2</v>
      </c>
    </row>
    <row r="1191" spans="1:37" hidden="1" x14ac:dyDescent="0.2">
      <c r="A1191">
        <f>SUBTOTAL(3,$B$6:B1191)</f>
        <v>0</v>
      </c>
      <c r="B1191" t="s">
        <v>508</v>
      </c>
      <c r="C1191" t="s">
        <v>884</v>
      </c>
      <c r="D1191">
        <v>4750</v>
      </c>
      <c r="E1191">
        <v>4750</v>
      </c>
      <c r="F1191">
        <v>4750</v>
      </c>
      <c r="G1191">
        <v>4750</v>
      </c>
      <c r="H1191">
        <v>4750</v>
      </c>
      <c r="I1191">
        <v>4750</v>
      </c>
      <c r="J1191">
        <v>4750</v>
      </c>
      <c r="K1191">
        <v>4750</v>
      </c>
      <c r="L1191">
        <v>4750</v>
      </c>
      <c r="M1191">
        <v>4750</v>
      </c>
      <c r="N1191">
        <v>4750</v>
      </c>
      <c r="O1191">
        <v>4750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 s="164">
        <v>40909</v>
      </c>
      <c r="AC1191" s="164">
        <v>41274</v>
      </c>
      <c r="AD1191" s="164">
        <v>41364</v>
      </c>
      <c r="AE1191" s="34">
        <f>SUMPRODUCT(DB_STProjectsSOF[[#This Row],[Plan01]:[Plan12]],$D$4:$O$4)/valUnits2</f>
        <v>28.5</v>
      </c>
      <c r="AF1191" s="34">
        <f>SUMPRODUCT(DB_STProjectsSOF[[#This Row],[Act01]:[Act12]],$P$4:$AA$4)/valUnits2</f>
        <v>0</v>
      </c>
      <c r="AG1191" s="34">
        <f>DB_STProjectsSOF[[#This Row],[Actual]]-DB_STProjectsSOF[[#This Row],[Plan]]</f>
        <v>-28.5</v>
      </c>
      <c r="AH1191" s="34">
        <f>IF(DB_STProjectsSOF[[#This Row],[Plan]]&lt;&gt;0,DB_STProjectsSOF[[#This Row],[Actual]]/DB_STProjectsSOF[[#This Row],[Plan]],1.000011000011)</f>
        <v>0</v>
      </c>
      <c r="AI1191" s="34">
        <f>SUM(DB_STProjectsSOF[[#This Row],[Plan01]:[Plan12]])/valUnits2</f>
        <v>57</v>
      </c>
      <c r="AJ1191" s="34">
        <f>SUMPRODUCT(DB_STProjectsSOF[[#This Row],[Act01]:[Act12]],$P$3:$AA$3)/valUnits2</f>
        <v>0</v>
      </c>
      <c r="AK1191" s="34">
        <f>IF(DB_STProjectsSOF[[#This Row],[FY Plan]]&lt;&gt;0,DB_STProjectsSOF[[#This Row],[FY Actuals]]/DB_STProjectsSOF[[#This Row],[FY Plan]],1.000011000011)</f>
        <v>0</v>
      </c>
    </row>
    <row r="1192" spans="1:37" hidden="1" x14ac:dyDescent="0.2">
      <c r="A1192">
        <f>SUBTOTAL(3,$B$6:B1192)</f>
        <v>0</v>
      </c>
      <c r="B1192" t="s">
        <v>508</v>
      </c>
      <c r="C1192" t="s">
        <v>888</v>
      </c>
      <c r="D1192">
        <v>7181.5839999999998</v>
      </c>
      <c r="E1192">
        <v>-7864.9250000000002</v>
      </c>
      <c r="F1192">
        <v>750.12400000000002</v>
      </c>
      <c r="P1192">
        <v>7176.88</v>
      </c>
      <c r="Q1192">
        <v>-7955.51</v>
      </c>
      <c r="R1192">
        <v>782.23</v>
      </c>
      <c r="AB1192" s="164">
        <v>40940</v>
      </c>
      <c r="AC1192" s="164">
        <v>41274</v>
      </c>
      <c r="AD1192" s="164">
        <v>41288</v>
      </c>
      <c r="AE1192" s="34">
        <f>SUMPRODUCT(DB_STProjectsSOF[[#This Row],[Plan01]:[Plan12]],$D$4:$O$4)/valUnits2</f>
        <v>6.6782999999999676E-2</v>
      </c>
      <c r="AF1192" s="34">
        <f>SUMPRODUCT(DB_STProjectsSOF[[#This Row],[Act01]:[Act12]],$P$4:$AA$4)/valUnits2</f>
        <v>3.5999999999999093E-3</v>
      </c>
      <c r="AG1192" s="34">
        <f>DB_STProjectsSOF[[#This Row],[Actual]]-DB_STProjectsSOF[[#This Row],[Plan]]</f>
        <v>-6.3182999999999767E-2</v>
      </c>
      <c r="AH1192" s="34">
        <f>IF(DB_STProjectsSOF[[#This Row],[Plan]]&lt;&gt;0,DB_STProjectsSOF[[#This Row],[Actual]]/DB_STProjectsSOF[[#This Row],[Plan]],1.000011000011)</f>
        <v>5.3905934144916019E-2</v>
      </c>
      <c r="AI1192" s="34">
        <f>SUM(DB_STProjectsSOF[[#This Row],[Plan01]:[Plan12]])/valUnits2</f>
        <v>6.6782999999999676E-2</v>
      </c>
      <c r="AJ1192" s="34">
        <f>SUMPRODUCT(DB_STProjectsSOF[[#This Row],[Act01]:[Act12]],$P$3:$AA$3)/valUnits2</f>
        <v>3.5999999999999093E-3</v>
      </c>
      <c r="AK1192" s="34">
        <f>IF(DB_STProjectsSOF[[#This Row],[FY Plan]]&lt;&gt;0,DB_STProjectsSOF[[#This Row],[FY Actuals]]/DB_STProjectsSOF[[#This Row],[FY Plan]],1.000011000011)</f>
        <v>5.3905934144916019E-2</v>
      </c>
    </row>
    <row r="1193" spans="1:37" hidden="1" x14ac:dyDescent="0.2">
      <c r="A1193">
        <f>SUBTOTAL(3,$B$6:B1193)</f>
        <v>0</v>
      </c>
      <c r="B1193" t="s">
        <v>508</v>
      </c>
      <c r="C1193" t="s">
        <v>368</v>
      </c>
      <c r="D1193">
        <v>76955.98</v>
      </c>
      <c r="E1193">
        <v>9915.739999999998</v>
      </c>
      <c r="F1193">
        <v>56368.61</v>
      </c>
      <c r="G1193">
        <v>112902.03</v>
      </c>
      <c r="H1193">
        <v>462306.44799999992</v>
      </c>
      <c r="I1193">
        <v>435920.88799999998</v>
      </c>
      <c r="J1193">
        <v>437188.88799999992</v>
      </c>
      <c r="K1193">
        <v>438220.88799999992</v>
      </c>
      <c r="L1193">
        <v>438220.88799999998</v>
      </c>
      <c r="M1193">
        <v>328078.06699999998</v>
      </c>
      <c r="N1193">
        <v>384687.88799999992</v>
      </c>
      <c r="P1193">
        <v>76955.98000000001</v>
      </c>
      <c r="Q1193">
        <v>9915.739999999998</v>
      </c>
      <c r="R1193">
        <v>56368.609999999979</v>
      </c>
      <c r="S1193">
        <v>112902.03</v>
      </c>
      <c r="T1193">
        <v>25385.560000000005</v>
      </c>
      <c r="U1193">
        <v>57654.14</v>
      </c>
      <c r="V1193">
        <v>1993.2</v>
      </c>
      <c r="W1193">
        <v>0</v>
      </c>
      <c r="X1193">
        <v>0</v>
      </c>
      <c r="Y1193">
        <v>0</v>
      </c>
      <c r="Z1193">
        <v>0</v>
      </c>
      <c r="AB1193" s="164">
        <v>41000</v>
      </c>
      <c r="AC1193" s="164">
        <v>41820</v>
      </c>
      <c r="AD1193" s="164">
        <v>41517</v>
      </c>
      <c r="AE1193" s="34">
        <f>SUMPRODUCT(DB_STProjectsSOF[[#This Row],[Plan01]:[Plan12]],$D$4:$O$4)/valUnits2</f>
        <v>1154.369696</v>
      </c>
      <c r="AF1193" s="34">
        <f>SUMPRODUCT(DB_STProjectsSOF[[#This Row],[Act01]:[Act12]],$P$4:$AA$4)/valUnits2</f>
        <v>339.18205999999998</v>
      </c>
      <c r="AG1193" s="34">
        <f>DB_STProjectsSOF[[#This Row],[Actual]]-DB_STProjectsSOF[[#This Row],[Plan]]</f>
        <v>-815.187636</v>
      </c>
      <c r="AH1193" s="34">
        <f>IF(DB_STProjectsSOF[[#This Row],[Plan]]&lt;&gt;0,DB_STProjectsSOF[[#This Row],[Actual]]/DB_STProjectsSOF[[#This Row],[Plan]],1.000011000011)</f>
        <v>0.293824466438523</v>
      </c>
      <c r="AI1193" s="34">
        <f>SUM(DB_STProjectsSOF[[#This Row],[Plan01]:[Plan12]])/valUnits2</f>
        <v>3180.7663149999989</v>
      </c>
      <c r="AJ1193" s="34">
        <f>SUMPRODUCT(DB_STProjectsSOF[[#This Row],[Act01]:[Act12]],$P$3:$AA$3)/valUnits2</f>
        <v>339.18205999999998</v>
      </c>
      <c r="AK1193" s="34">
        <f>IF(DB_STProjectsSOF[[#This Row],[FY Plan]]&lt;&gt;0,DB_STProjectsSOF[[#This Row],[FY Actuals]]/DB_STProjectsSOF[[#This Row],[FY Plan]],1.000011000011)</f>
        <v>0.10663532822278397</v>
      </c>
    </row>
    <row r="1194" spans="1:37" hidden="1" x14ac:dyDescent="0.2">
      <c r="A1194">
        <f>SUBTOTAL(3,$B$6:B1194)</f>
        <v>0</v>
      </c>
      <c r="B1194" t="s">
        <v>508</v>
      </c>
      <c r="C1194" t="s">
        <v>911</v>
      </c>
      <c r="D1194">
        <v>109309.92000000003</v>
      </c>
      <c r="E1194">
        <v>392794.84900000005</v>
      </c>
      <c r="F1194">
        <v>367754.52800000005</v>
      </c>
      <c r="G1194">
        <v>449800.17300000013</v>
      </c>
      <c r="H1194">
        <v>398372.7730000001</v>
      </c>
      <c r="I1194">
        <v>288365.37300000002</v>
      </c>
      <c r="J1194">
        <v>261773.02299999999</v>
      </c>
      <c r="K1194">
        <v>276729.12300000002</v>
      </c>
      <c r="L1194">
        <v>265285.82299999997</v>
      </c>
      <c r="M1194">
        <v>268199.87300000002</v>
      </c>
      <c r="P1194">
        <v>14203.989999999998</v>
      </c>
      <c r="Q1194">
        <v>220825.26</v>
      </c>
      <c r="R1194">
        <v>185700.18999999997</v>
      </c>
      <c r="S1194">
        <v>161434.79999999996</v>
      </c>
      <c r="T1194">
        <v>136827.52000000002</v>
      </c>
      <c r="U1194">
        <v>78427.420000000013</v>
      </c>
      <c r="V1194">
        <v>11046.51</v>
      </c>
      <c r="W1194">
        <v>0</v>
      </c>
      <c r="X1194">
        <v>0</v>
      </c>
      <c r="Y1194">
        <v>0</v>
      </c>
      <c r="AB1194" s="164">
        <v>40817</v>
      </c>
      <c r="AC1194" s="164">
        <v>41578</v>
      </c>
      <c r="AD1194" s="164">
        <v>41639</v>
      </c>
      <c r="AE1194" s="34">
        <f>SUMPRODUCT(DB_STProjectsSOF[[#This Row],[Plan01]:[Plan12]],$D$4:$O$4)/valUnits2</f>
        <v>2006.3976160000004</v>
      </c>
      <c r="AF1194" s="34">
        <f>SUMPRODUCT(DB_STProjectsSOF[[#This Row],[Act01]:[Act12]],$P$4:$AA$4)/valUnits2</f>
        <v>797.41917999999998</v>
      </c>
      <c r="AG1194" s="34">
        <f>DB_STProjectsSOF[[#This Row],[Actual]]-DB_STProjectsSOF[[#This Row],[Plan]]</f>
        <v>-1208.9784360000003</v>
      </c>
      <c r="AH1194" s="34">
        <f>IF(DB_STProjectsSOF[[#This Row],[Plan]]&lt;&gt;0,DB_STProjectsSOF[[#This Row],[Actual]]/DB_STProjectsSOF[[#This Row],[Plan]],1.000011000011)</f>
        <v>0.3974382613102147</v>
      </c>
      <c r="AI1194" s="34">
        <f>SUM(DB_STProjectsSOF[[#This Row],[Plan01]:[Plan12]])/valUnits2</f>
        <v>3078.3854580000007</v>
      </c>
      <c r="AJ1194" s="34">
        <f>SUMPRODUCT(DB_STProjectsSOF[[#This Row],[Act01]:[Act12]],$P$3:$AA$3)/valUnits2</f>
        <v>797.41917999999998</v>
      </c>
      <c r="AK1194" s="34">
        <f>IF(DB_STProjectsSOF[[#This Row],[FY Plan]]&lt;&gt;0,DB_STProjectsSOF[[#This Row],[FY Actuals]]/DB_STProjectsSOF[[#This Row],[FY Plan]],1.000011000011)</f>
        <v>0.25903811945566946</v>
      </c>
    </row>
    <row r="1195" spans="1:37" hidden="1" x14ac:dyDescent="0.2">
      <c r="A1195">
        <f>SUBTOTAL(3,$B$6:B1195)</f>
        <v>0</v>
      </c>
      <c r="B1195" t="s">
        <v>508</v>
      </c>
      <c r="C1195" t="s">
        <v>931</v>
      </c>
      <c r="D1195">
        <v>14371.314</v>
      </c>
      <c r="E1195">
        <v>-13696.876</v>
      </c>
      <c r="F1195">
        <v>-750.12400000000002</v>
      </c>
      <c r="P1195">
        <v>14358.650000000001</v>
      </c>
      <c r="Q1195">
        <v>-13854.63</v>
      </c>
      <c r="R1195">
        <v>-782.23</v>
      </c>
      <c r="AB1195" s="164">
        <v>40940</v>
      </c>
      <c r="AC1195" s="164">
        <v>41274</v>
      </c>
      <c r="AD1195" s="164">
        <v>41288</v>
      </c>
      <c r="AE1195" s="34">
        <f>SUMPRODUCT(DB_STProjectsSOF[[#This Row],[Plan01]:[Plan12]],$D$4:$O$4)/valUnits2</f>
        <v>-7.568599999999992E-2</v>
      </c>
      <c r="AF1195" s="34">
        <f>SUMPRODUCT(DB_STProjectsSOF[[#This Row],[Act01]:[Act12]],$P$4:$AA$4)/valUnits2</f>
        <v>-0.27820999999999774</v>
      </c>
      <c r="AG1195" s="34">
        <f>DB_STProjectsSOF[[#This Row],[Actual]]-DB_STProjectsSOF[[#This Row],[Plan]]</f>
        <v>-0.20252399999999782</v>
      </c>
      <c r="AH1195" s="34">
        <f>IF(DB_STProjectsSOF[[#This Row],[Plan]]&lt;&gt;0,DB_STProjectsSOF[[#This Row],[Actual]]/DB_STProjectsSOF[[#This Row],[Plan]],1.000011000011)</f>
        <v>3.6758449382976774</v>
      </c>
      <c r="AI1195" s="34">
        <f>SUM(DB_STProjectsSOF[[#This Row],[Plan01]:[Plan12]])/valUnits2</f>
        <v>-7.568599999999992E-2</v>
      </c>
      <c r="AJ1195" s="34">
        <f>SUMPRODUCT(DB_STProjectsSOF[[#This Row],[Act01]:[Act12]],$P$3:$AA$3)/valUnits2</f>
        <v>-0.27820999999999774</v>
      </c>
      <c r="AK1195" s="34">
        <f>IF(DB_STProjectsSOF[[#This Row],[FY Plan]]&lt;&gt;0,DB_STProjectsSOF[[#This Row],[FY Actuals]]/DB_STProjectsSOF[[#This Row],[FY Plan]],1.000011000011)</f>
        <v>3.6758449382976774</v>
      </c>
    </row>
    <row r="1196" spans="1:37" hidden="1" x14ac:dyDescent="0.2">
      <c r="A1196">
        <f>SUBTOTAL(3,$B$6:B1196)</f>
        <v>0</v>
      </c>
      <c r="B1196" t="s">
        <v>508</v>
      </c>
      <c r="C1196" t="s">
        <v>937</v>
      </c>
      <c r="G1196">
        <v>39632.149999999994</v>
      </c>
      <c r="H1196">
        <v>8378.82</v>
      </c>
      <c r="I1196">
        <v>36789.993999999999</v>
      </c>
      <c r="S1196">
        <v>39632.150000000009</v>
      </c>
      <c r="T1196">
        <v>8378.8200000000015</v>
      </c>
      <c r="U1196">
        <v>9232.15</v>
      </c>
      <c r="AB1196" s="164">
        <v>41275</v>
      </c>
      <c r="AC1196" s="164">
        <v>43100</v>
      </c>
      <c r="AD1196" s="164">
        <v>43159</v>
      </c>
      <c r="AE1196" s="34">
        <f>SUMPRODUCT(DB_STProjectsSOF[[#This Row],[Plan01]:[Plan12]],$D$4:$O$4)/valUnits2</f>
        <v>84.800963999999993</v>
      </c>
      <c r="AF1196" s="34">
        <f>SUMPRODUCT(DB_STProjectsSOF[[#This Row],[Act01]:[Act12]],$P$4:$AA$4)/valUnits2</f>
        <v>57.243120000000012</v>
      </c>
      <c r="AG1196" s="34">
        <f>DB_STProjectsSOF[[#This Row],[Actual]]-DB_STProjectsSOF[[#This Row],[Plan]]</f>
        <v>-27.557843999999982</v>
      </c>
      <c r="AH1196" s="34">
        <f>IF(DB_STProjectsSOF[[#This Row],[Plan]]&lt;&gt;0,DB_STProjectsSOF[[#This Row],[Actual]]/DB_STProjectsSOF[[#This Row],[Plan]],1.000011000011)</f>
        <v>0.67502911877275373</v>
      </c>
      <c r="AI1196" s="34">
        <f>SUM(DB_STProjectsSOF[[#This Row],[Plan01]:[Plan12]])/valUnits2</f>
        <v>84.800963999999993</v>
      </c>
      <c r="AJ1196" s="34">
        <f>SUMPRODUCT(DB_STProjectsSOF[[#This Row],[Act01]:[Act12]],$P$3:$AA$3)/valUnits2</f>
        <v>57.243120000000012</v>
      </c>
      <c r="AK1196" s="34">
        <f>IF(DB_STProjectsSOF[[#This Row],[FY Plan]]&lt;&gt;0,DB_STProjectsSOF[[#This Row],[FY Actuals]]/DB_STProjectsSOF[[#This Row],[FY Plan]],1.000011000011)</f>
        <v>0.67502911877275373</v>
      </c>
    </row>
    <row r="1197" spans="1:37" hidden="1" x14ac:dyDescent="0.2">
      <c r="A1197">
        <f>SUBTOTAL(3,$B$6:B1197)</f>
        <v>0</v>
      </c>
      <c r="B1197" t="s">
        <v>509</v>
      </c>
      <c r="C1197" t="s">
        <v>858</v>
      </c>
      <c r="D1197">
        <v>7855.1799999999994</v>
      </c>
      <c r="E1197">
        <v>11163.539999999999</v>
      </c>
      <c r="F1197">
        <v>18728.959999999995</v>
      </c>
      <c r="G1197">
        <v>16707.73</v>
      </c>
      <c r="H1197">
        <v>13666.1</v>
      </c>
      <c r="I1197">
        <v>34528.481</v>
      </c>
      <c r="J1197">
        <v>51195.146999999997</v>
      </c>
      <c r="K1197">
        <v>38476.390000000007</v>
      </c>
      <c r="L1197">
        <v>36528.481</v>
      </c>
      <c r="M1197">
        <v>73933.938999999998</v>
      </c>
      <c r="N1197">
        <v>34528.481</v>
      </c>
      <c r="O1197">
        <v>67861.811000000002</v>
      </c>
      <c r="P1197">
        <v>7855.1799999999994</v>
      </c>
      <c r="Q1197">
        <v>11229.45</v>
      </c>
      <c r="R1197">
        <v>18728.959999999995</v>
      </c>
      <c r="S1197">
        <v>16761.439999999999</v>
      </c>
      <c r="T1197">
        <v>13726.420000000002</v>
      </c>
      <c r="U1197">
        <v>64857.44000000001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 s="164">
        <v>41275</v>
      </c>
      <c r="AC1197" s="164">
        <v>41639</v>
      </c>
      <c r="AD1197" s="164">
        <v>41784</v>
      </c>
      <c r="AE1197" s="34">
        <f>SUMPRODUCT(DB_STProjectsSOF[[#This Row],[Plan01]:[Plan12]],$D$4:$O$4)/valUnits2</f>
        <v>102.649991</v>
      </c>
      <c r="AF1197" s="34">
        <f>SUMPRODUCT(DB_STProjectsSOF[[#This Row],[Act01]:[Act12]],$P$4:$AA$4)/valUnits2</f>
        <v>133.15889000000001</v>
      </c>
      <c r="AG1197" s="34">
        <f>DB_STProjectsSOF[[#This Row],[Actual]]-DB_STProjectsSOF[[#This Row],[Plan]]</f>
        <v>30.508899000000014</v>
      </c>
      <c r="AH1197" s="34">
        <f>IF(DB_STProjectsSOF[[#This Row],[Plan]]&lt;&gt;0,DB_STProjectsSOF[[#This Row],[Actual]]/DB_STProjectsSOF[[#This Row],[Plan]],1.000011000011)</f>
        <v>1.2972128755471592</v>
      </c>
      <c r="AI1197" s="34">
        <f>SUM(DB_STProjectsSOF[[#This Row],[Plan01]:[Plan12]])/valUnits2</f>
        <v>405.17424</v>
      </c>
      <c r="AJ1197" s="34">
        <f>SUMPRODUCT(DB_STProjectsSOF[[#This Row],[Act01]:[Act12]],$P$3:$AA$3)/valUnits2</f>
        <v>133.15889000000001</v>
      </c>
      <c r="AK1197" s="34">
        <f>IF(DB_STProjectsSOF[[#This Row],[FY Plan]]&lt;&gt;0,DB_STProjectsSOF[[#This Row],[FY Actuals]]/DB_STProjectsSOF[[#This Row],[FY Plan]],1.000011000011)</f>
        <v>0.32864599190708671</v>
      </c>
    </row>
    <row r="1198" spans="1:37" hidden="1" x14ac:dyDescent="0.2">
      <c r="A1198">
        <f>SUBTOTAL(3,$B$6:B1198)</f>
        <v>0</v>
      </c>
      <c r="B1198" t="s">
        <v>509</v>
      </c>
      <c r="C1198" t="s">
        <v>905</v>
      </c>
      <c r="D1198">
        <v>182.39</v>
      </c>
      <c r="E1198">
        <v>428.47999999999996</v>
      </c>
      <c r="F1198">
        <v>664.37</v>
      </c>
      <c r="G1198">
        <v>371.24</v>
      </c>
      <c r="H1198">
        <v>-1110.8599999999999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182.39</v>
      </c>
      <c r="Q1198">
        <v>428.47999999999996</v>
      </c>
      <c r="R1198">
        <v>664.37</v>
      </c>
      <c r="S1198">
        <v>371.24</v>
      </c>
      <c r="T1198">
        <v>-1110.8599999999999</v>
      </c>
      <c r="U1198">
        <v>-19.079999999999998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 s="164">
        <v>40909</v>
      </c>
      <c r="AC1198" s="164">
        <v>41274</v>
      </c>
      <c r="AD1198" s="164">
        <v>41364</v>
      </c>
      <c r="AE1198" s="34">
        <f>SUMPRODUCT(DB_STProjectsSOF[[#This Row],[Plan01]:[Plan12]],$D$4:$O$4)/valUnits2</f>
        <v>0.53561999999999987</v>
      </c>
      <c r="AF1198" s="34">
        <f>SUMPRODUCT(DB_STProjectsSOF[[#This Row],[Act01]:[Act12]],$P$4:$AA$4)/valUnits2</f>
        <v>0.51653999999999989</v>
      </c>
      <c r="AG1198" s="34">
        <f>DB_STProjectsSOF[[#This Row],[Actual]]-DB_STProjectsSOF[[#This Row],[Plan]]</f>
        <v>-1.9079999999999986E-2</v>
      </c>
      <c r="AH1198" s="34">
        <f>IF(DB_STProjectsSOF[[#This Row],[Plan]]&lt;&gt;0,DB_STProjectsSOF[[#This Row],[Actual]]/DB_STProjectsSOF[[#This Row],[Plan]],1.000011000011)</f>
        <v>0.96437773048056463</v>
      </c>
      <c r="AI1198" s="34">
        <f>SUM(DB_STProjectsSOF[[#This Row],[Plan01]:[Plan12]])/valUnits2</f>
        <v>0.53561999999999987</v>
      </c>
      <c r="AJ1198" s="34">
        <f>SUMPRODUCT(DB_STProjectsSOF[[#This Row],[Act01]:[Act12]],$P$3:$AA$3)/valUnits2</f>
        <v>0.51653999999999989</v>
      </c>
      <c r="AK1198" s="34">
        <f>IF(DB_STProjectsSOF[[#This Row],[FY Plan]]&lt;&gt;0,DB_STProjectsSOF[[#This Row],[FY Actuals]]/DB_STProjectsSOF[[#This Row],[FY Plan]],1.000011000011)</f>
        <v>0.96437773048056463</v>
      </c>
    </row>
    <row r="1199" spans="1:37" hidden="1" x14ac:dyDescent="0.2">
      <c r="A1199">
        <f>SUBTOTAL(3,$B$6:B1199)</f>
        <v>0</v>
      </c>
      <c r="B1199" t="s">
        <v>509</v>
      </c>
      <c r="C1199" t="s">
        <v>930</v>
      </c>
      <c r="D1199">
        <v>20829.650000000005</v>
      </c>
      <c r="E1199">
        <v>23579.48</v>
      </c>
      <c r="F1199">
        <v>35265.119999999995</v>
      </c>
      <c r="G1199">
        <v>24690.97</v>
      </c>
      <c r="H1199">
        <v>23585.780000000002</v>
      </c>
      <c r="I1199">
        <v>62731.120999999999</v>
      </c>
      <c r="J1199">
        <v>69731.120999999999</v>
      </c>
      <c r="K1199">
        <v>39731.120999999999</v>
      </c>
      <c r="L1199">
        <v>38851.120999999999</v>
      </c>
      <c r="M1199">
        <v>32231.120999999999</v>
      </c>
      <c r="N1199">
        <v>32231.120999999999</v>
      </c>
      <c r="O1199">
        <v>25013.355</v>
      </c>
      <c r="P1199">
        <v>20829.649999999998</v>
      </c>
      <c r="Q1199">
        <v>23579.480000000003</v>
      </c>
      <c r="R1199">
        <v>35265.120000000003</v>
      </c>
      <c r="S1199">
        <v>24690.97</v>
      </c>
      <c r="T1199">
        <v>23585.78</v>
      </c>
      <c r="U1199">
        <v>41456.529999999992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 s="164">
        <v>40848</v>
      </c>
      <c r="AC1199" s="164">
        <v>41729</v>
      </c>
      <c r="AD1199" s="164">
        <v>41654</v>
      </c>
      <c r="AE1199" s="34">
        <f>SUMPRODUCT(DB_STProjectsSOF[[#This Row],[Plan01]:[Plan12]],$D$4:$O$4)/valUnits2</f>
        <v>190.682121</v>
      </c>
      <c r="AF1199" s="34">
        <f>SUMPRODUCT(DB_STProjectsSOF[[#This Row],[Act01]:[Act12]],$P$4:$AA$4)/valUnits2</f>
        <v>169.40753000000001</v>
      </c>
      <c r="AG1199" s="34">
        <f>DB_STProjectsSOF[[#This Row],[Actual]]-DB_STProjectsSOF[[#This Row],[Plan]]</f>
        <v>-21.274590999999987</v>
      </c>
      <c r="AH1199" s="34">
        <f>IF(DB_STProjectsSOF[[#This Row],[Plan]]&lt;&gt;0,DB_STProjectsSOF[[#This Row],[Actual]]/DB_STProjectsSOF[[#This Row],[Plan]],1.000011000011)</f>
        <v>0.88842902056874018</v>
      </c>
      <c r="AI1199" s="34">
        <f>SUM(DB_STProjectsSOF[[#This Row],[Plan01]:[Plan12]])/valUnits2</f>
        <v>428.47108099999991</v>
      </c>
      <c r="AJ1199" s="34">
        <f>SUMPRODUCT(DB_STProjectsSOF[[#This Row],[Act01]:[Act12]],$P$3:$AA$3)/valUnits2</f>
        <v>169.40753000000001</v>
      </c>
      <c r="AK1199" s="34">
        <f>IF(DB_STProjectsSOF[[#This Row],[FY Plan]]&lt;&gt;0,DB_STProjectsSOF[[#This Row],[FY Actuals]]/DB_STProjectsSOF[[#This Row],[FY Plan]],1.000011000011)</f>
        <v>0.39537681190670609</v>
      </c>
    </row>
    <row r="1200" spans="1:37" hidden="1" x14ac:dyDescent="0.2">
      <c r="A1200">
        <f>SUBTOTAL(3,$B$6:B1200)</f>
        <v>0</v>
      </c>
      <c r="B1200" t="s">
        <v>510</v>
      </c>
      <c r="C1200" t="s">
        <v>869</v>
      </c>
      <c r="D1200">
        <v>111634.08999999998</v>
      </c>
      <c r="E1200">
        <v>7996.0800000000036</v>
      </c>
      <c r="F1200">
        <v>19427.309999999998</v>
      </c>
      <c r="G1200">
        <v>132146.93</v>
      </c>
      <c r="H1200">
        <v>30170.62</v>
      </c>
      <c r="I1200">
        <v>10295</v>
      </c>
      <c r="J1200">
        <v>10295</v>
      </c>
      <c r="K1200">
        <v>10295</v>
      </c>
      <c r="L1200">
        <v>10295</v>
      </c>
      <c r="M1200">
        <v>10295</v>
      </c>
      <c r="N1200">
        <v>10295</v>
      </c>
      <c r="O1200">
        <v>10295</v>
      </c>
      <c r="P1200">
        <v>111634.09</v>
      </c>
      <c r="Q1200">
        <v>7996.0800000000017</v>
      </c>
      <c r="R1200">
        <v>19427.310000000001</v>
      </c>
      <c r="S1200">
        <v>132146.93</v>
      </c>
      <c r="T1200">
        <v>30170.62000000001</v>
      </c>
      <c r="U1200">
        <v>9375.6800000000021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 s="164">
        <v>40817</v>
      </c>
      <c r="AC1200" s="164">
        <v>42155</v>
      </c>
      <c r="AD1200" s="164">
        <v>42217</v>
      </c>
      <c r="AE1200" s="34">
        <f>SUMPRODUCT(DB_STProjectsSOF[[#This Row],[Plan01]:[Plan12]],$D$4:$O$4)/valUnits2</f>
        <v>311.67003</v>
      </c>
      <c r="AF1200" s="34">
        <f>SUMPRODUCT(DB_STProjectsSOF[[#This Row],[Act01]:[Act12]],$P$4:$AA$4)/valUnits2</f>
        <v>310.75071000000003</v>
      </c>
      <c r="AG1200" s="34">
        <f>DB_STProjectsSOF[[#This Row],[Actual]]-DB_STProjectsSOF[[#This Row],[Plan]]</f>
        <v>-0.91931999999997061</v>
      </c>
      <c r="AH1200" s="34">
        <f>IF(DB_STProjectsSOF[[#This Row],[Plan]]&lt;&gt;0,DB_STProjectsSOF[[#This Row],[Actual]]/DB_STProjectsSOF[[#This Row],[Plan]],1.000011000011)</f>
        <v>0.99705034199149667</v>
      </c>
      <c r="AI1200" s="34">
        <f>SUM(DB_STProjectsSOF[[#This Row],[Plan01]:[Plan12]])/valUnits2</f>
        <v>373.44002999999998</v>
      </c>
      <c r="AJ1200" s="34">
        <f>SUMPRODUCT(DB_STProjectsSOF[[#This Row],[Act01]:[Act12]],$P$3:$AA$3)/valUnits2</f>
        <v>310.75071000000003</v>
      </c>
      <c r="AK1200" s="34">
        <f>IF(DB_STProjectsSOF[[#This Row],[FY Plan]]&lt;&gt;0,DB_STProjectsSOF[[#This Row],[FY Actuals]]/DB_STProjectsSOF[[#This Row],[FY Plan]],1.000011000011)</f>
        <v>0.83213015487386299</v>
      </c>
    </row>
    <row r="1201" spans="1:37" hidden="1" x14ac:dyDescent="0.2">
      <c r="A1201">
        <f>SUBTOTAL(3,$B$6:B1201)</f>
        <v>0</v>
      </c>
      <c r="B1201" t="s">
        <v>510</v>
      </c>
      <c r="C1201" t="s">
        <v>875</v>
      </c>
      <c r="D1201">
        <v>1044.6479999999999</v>
      </c>
      <c r="E1201">
        <v>692.01299999999992</v>
      </c>
      <c r="F1201">
        <v>2483.8330000000001</v>
      </c>
      <c r="G1201">
        <v>3811.8990000000003</v>
      </c>
      <c r="H1201">
        <v>41019.810999999987</v>
      </c>
      <c r="I1201">
        <v>8468.5399999999991</v>
      </c>
      <c r="J1201">
        <v>8468.5399999999991</v>
      </c>
      <c r="K1201">
        <v>8468.5399999999991</v>
      </c>
      <c r="L1201">
        <v>8468.5399999999991</v>
      </c>
      <c r="M1201">
        <v>8468.5400000000009</v>
      </c>
      <c r="N1201">
        <v>8468.5400000000009</v>
      </c>
      <c r="O1201">
        <v>8468.5399999999991</v>
      </c>
      <c r="P1201">
        <v>1065.98</v>
      </c>
      <c r="Q1201">
        <v>690.57</v>
      </c>
      <c r="R1201">
        <v>2541.88</v>
      </c>
      <c r="S1201">
        <v>3746.29</v>
      </c>
      <c r="T1201">
        <v>42246.05999999999</v>
      </c>
      <c r="U1201">
        <v>3853.0200000000004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 s="164">
        <v>41275</v>
      </c>
      <c r="AC1201" s="164">
        <v>41639</v>
      </c>
      <c r="AD1201" s="164">
        <v>41649</v>
      </c>
      <c r="AE1201" s="34">
        <f>SUMPRODUCT(DB_STProjectsSOF[[#This Row],[Plan01]:[Plan12]],$D$4:$O$4)/valUnits2</f>
        <v>57.520743999999986</v>
      </c>
      <c r="AF1201" s="34">
        <f>SUMPRODUCT(DB_STProjectsSOF[[#This Row],[Act01]:[Act12]],$P$4:$AA$4)/valUnits2</f>
        <v>54.143799999999992</v>
      </c>
      <c r="AG1201" s="34">
        <f>DB_STProjectsSOF[[#This Row],[Actual]]-DB_STProjectsSOF[[#This Row],[Plan]]</f>
        <v>-3.3769439999999946</v>
      </c>
      <c r="AH1201" s="34">
        <f>IF(DB_STProjectsSOF[[#This Row],[Plan]]&lt;&gt;0,DB_STProjectsSOF[[#This Row],[Actual]]/DB_STProjectsSOF[[#This Row],[Plan]],1.000011000011)</f>
        <v>0.94129171903617948</v>
      </c>
      <c r="AI1201" s="34">
        <f>SUM(DB_STProjectsSOF[[#This Row],[Plan01]:[Plan12]])/valUnits2</f>
        <v>108.33198399999998</v>
      </c>
      <c r="AJ1201" s="34">
        <f>SUMPRODUCT(DB_STProjectsSOF[[#This Row],[Act01]:[Act12]],$P$3:$AA$3)/valUnits2</f>
        <v>54.143799999999992</v>
      </c>
      <c r="AK1201" s="34">
        <f>IF(DB_STProjectsSOF[[#This Row],[FY Plan]]&lt;&gt;0,DB_STProjectsSOF[[#This Row],[FY Actuals]]/DB_STProjectsSOF[[#This Row],[FY Plan]],1.000011000011)</f>
        <v>0.49979514821772308</v>
      </c>
    </row>
    <row r="1202" spans="1:37" hidden="1" x14ac:dyDescent="0.2">
      <c r="A1202">
        <f>SUBTOTAL(3,$B$6:B1202)</f>
        <v>0</v>
      </c>
      <c r="B1202" t="s">
        <v>510</v>
      </c>
      <c r="C1202" t="s">
        <v>876</v>
      </c>
      <c r="D1202">
        <v>5338.03</v>
      </c>
      <c r="E1202">
        <v>76531.8</v>
      </c>
      <c r="F1202">
        <v>55713.140000000007</v>
      </c>
      <c r="G1202">
        <v>-6317.05</v>
      </c>
      <c r="H1202">
        <v>30890.21</v>
      </c>
      <c r="I1202">
        <v>52960.398000000001</v>
      </c>
      <c r="J1202">
        <v>14677.691999999999</v>
      </c>
      <c r="K1202">
        <v>14677.691999999999</v>
      </c>
      <c r="L1202">
        <v>14677.691999999999</v>
      </c>
      <c r="P1202">
        <v>5338.0299999999816</v>
      </c>
      <c r="Q1202">
        <v>76555.14999999998</v>
      </c>
      <c r="R1202">
        <v>55713.14</v>
      </c>
      <c r="S1202">
        <v>-6317.0499999999975</v>
      </c>
      <c r="T1202">
        <v>30890.21</v>
      </c>
      <c r="U1202">
        <v>46429.409999999996</v>
      </c>
      <c r="V1202">
        <v>449.41</v>
      </c>
      <c r="W1202">
        <v>0</v>
      </c>
      <c r="X1202">
        <v>0</v>
      </c>
      <c r="AB1202" s="164">
        <v>40817</v>
      </c>
      <c r="AC1202" s="164">
        <v>41820</v>
      </c>
      <c r="AD1202" s="164">
        <v>41835</v>
      </c>
      <c r="AE1202" s="34">
        <f>SUMPRODUCT(DB_STProjectsSOF[[#This Row],[Plan01]:[Plan12]],$D$4:$O$4)/valUnits2</f>
        <v>215.11652799999999</v>
      </c>
      <c r="AF1202" s="34">
        <f>SUMPRODUCT(DB_STProjectsSOF[[#This Row],[Act01]:[Act12]],$P$4:$AA$4)/valUnits2</f>
        <v>208.60888999999995</v>
      </c>
      <c r="AG1202" s="34">
        <f>DB_STProjectsSOF[[#This Row],[Actual]]-DB_STProjectsSOF[[#This Row],[Plan]]</f>
        <v>-6.5076380000000427</v>
      </c>
      <c r="AH1202" s="34">
        <f>IF(DB_STProjectsSOF[[#This Row],[Plan]]&lt;&gt;0,DB_STProjectsSOF[[#This Row],[Actual]]/DB_STProjectsSOF[[#This Row],[Plan]],1.000011000011)</f>
        <v>0.96974831241233106</v>
      </c>
      <c r="AI1202" s="34">
        <f>SUM(DB_STProjectsSOF[[#This Row],[Plan01]:[Plan12]])/valUnits2</f>
        <v>259.14960400000001</v>
      </c>
      <c r="AJ1202" s="34">
        <f>SUMPRODUCT(DB_STProjectsSOF[[#This Row],[Act01]:[Act12]],$P$3:$AA$3)/valUnits2</f>
        <v>208.60888999999995</v>
      </c>
      <c r="AK1202" s="34">
        <f>IF(DB_STProjectsSOF[[#This Row],[FY Plan]]&lt;&gt;0,DB_STProjectsSOF[[#This Row],[FY Actuals]]/DB_STProjectsSOF[[#This Row],[FY Plan]],1.000011000011)</f>
        <v>0.80497475890412684</v>
      </c>
    </row>
    <row r="1203" spans="1:37" hidden="1" x14ac:dyDescent="0.2">
      <c r="A1203">
        <f>SUBTOTAL(3,$B$6:B1203)</f>
        <v>0</v>
      </c>
      <c r="B1203" t="s">
        <v>510</v>
      </c>
      <c r="C1203" t="s">
        <v>879</v>
      </c>
      <c r="E1203">
        <v>1347.7660000000001</v>
      </c>
      <c r="F1203">
        <v>26199.86</v>
      </c>
      <c r="G1203">
        <v>0</v>
      </c>
      <c r="H1203">
        <v>58059.58</v>
      </c>
      <c r="I1203">
        <v>10048.280000000001</v>
      </c>
      <c r="J1203">
        <v>10083.751</v>
      </c>
      <c r="K1203">
        <v>10048.279999999999</v>
      </c>
      <c r="L1203">
        <v>10048.281000000001</v>
      </c>
      <c r="M1203">
        <v>10048.280999999999</v>
      </c>
      <c r="N1203">
        <v>10048.280999999999</v>
      </c>
      <c r="O1203">
        <v>10048.280999999999</v>
      </c>
      <c r="Q1203">
        <v>1346.3</v>
      </c>
      <c r="R1203">
        <v>26928.3</v>
      </c>
      <c r="S1203">
        <v>0</v>
      </c>
      <c r="T1203">
        <v>59748.399999999994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 s="164">
        <v>41275</v>
      </c>
      <c r="AC1203" s="164">
        <v>41639</v>
      </c>
      <c r="AD1203" s="164">
        <v>41649</v>
      </c>
      <c r="AE1203" s="34">
        <f>SUMPRODUCT(DB_STProjectsSOF[[#This Row],[Plan01]:[Plan12]],$D$4:$O$4)/valUnits2</f>
        <v>95.65548600000001</v>
      </c>
      <c r="AF1203" s="34">
        <f>SUMPRODUCT(DB_STProjectsSOF[[#This Row],[Act01]:[Act12]],$P$4:$AA$4)/valUnits2</f>
        <v>88.022999999999996</v>
      </c>
      <c r="AG1203" s="34">
        <f>DB_STProjectsSOF[[#This Row],[Actual]]-DB_STProjectsSOF[[#This Row],[Plan]]</f>
        <v>-7.6324860000000143</v>
      </c>
      <c r="AH1203" s="34">
        <f>IF(DB_STProjectsSOF[[#This Row],[Plan]]&lt;&gt;0,DB_STProjectsSOF[[#This Row],[Actual]]/DB_STProjectsSOF[[#This Row],[Plan]],1.000011000011)</f>
        <v>0.92020859106815878</v>
      </c>
      <c r="AI1203" s="34">
        <f>SUM(DB_STProjectsSOF[[#This Row],[Plan01]:[Plan12]])/valUnits2</f>
        <v>155.98064099999996</v>
      </c>
      <c r="AJ1203" s="34">
        <f>SUMPRODUCT(DB_STProjectsSOF[[#This Row],[Act01]:[Act12]],$P$3:$AA$3)/valUnits2</f>
        <v>88.022999999999996</v>
      </c>
      <c r="AK1203" s="34">
        <f>IF(DB_STProjectsSOF[[#This Row],[FY Plan]]&lt;&gt;0,DB_STProjectsSOF[[#This Row],[FY Actuals]]/DB_STProjectsSOF[[#This Row],[FY Plan]],1.000011000011)</f>
        <v>0.56432002994525465</v>
      </c>
    </row>
    <row r="1204" spans="1:37" hidden="1" x14ac:dyDescent="0.2">
      <c r="A1204">
        <f>SUBTOTAL(3,$B$6:B1204)</f>
        <v>0</v>
      </c>
      <c r="B1204" t="s">
        <v>510</v>
      </c>
      <c r="C1204" t="s">
        <v>891</v>
      </c>
      <c r="D1204">
        <v>1201.345</v>
      </c>
      <c r="E1204">
        <v>3866.3090000000002</v>
      </c>
      <c r="F1204">
        <v>4404.1810000000005</v>
      </c>
      <c r="G1204">
        <v>5184.1419999999998</v>
      </c>
      <c r="H1204">
        <v>5679.05</v>
      </c>
      <c r="I1204">
        <v>17559.864000000001</v>
      </c>
      <c r="J1204">
        <v>16096.863999999998</v>
      </c>
      <c r="K1204">
        <v>12925.016000000001</v>
      </c>
      <c r="L1204">
        <v>13383.478999999999</v>
      </c>
      <c r="M1204">
        <v>12726.108999999999</v>
      </c>
      <c r="N1204">
        <v>13769.553</v>
      </c>
      <c r="O1204">
        <v>14030.413999999999</v>
      </c>
      <c r="P1204">
        <v>1182.8899999999999</v>
      </c>
      <c r="Q1204">
        <v>3950.35</v>
      </c>
      <c r="R1204">
        <v>4457.7599999999993</v>
      </c>
      <c r="S1204">
        <v>5149.5800000000008</v>
      </c>
      <c r="T1204">
        <v>5678.5700000000006</v>
      </c>
      <c r="U1204">
        <v>7472.9000000000033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 s="164">
        <v>41214</v>
      </c>
      <c r="AC1204" s="164">
        <v>42308</v>
      </c>
      <c r="AD1204" s="164">
        <v>42389</v>
      </c>
      <c r="AE1204" s="34">
        <f>SUMPRODUCT(DB_STProjectsSOF[[#This Row],[Plan01]:[Plan12]],$D$4:$O$4)/valUnits2</f>
        <v>37.894891000000001</v>
      </c>
      <c r="AF1204" s="34">
        <f>SUMPRODUCT(DB_STProjectsSOF[[#This Row],[Act01]:[Act12]],$P$4:$AA$4)/valUnits2</f>
        <v>27.892050000000005</v>
      </c>
      <c r="AG1204" s="34">
        <f>DB_STProjectsSOF[[#This Row],[Actual]]-DB_STProjectsSOF[[#This Row],[Plan]]</f>
        <v>-10.002840999999997</v>
      </c>
      <c r="AH1204" s="34">
        <f>IF(DB_STProjectsSOF[[#This Row],[Plan]]&lt;&gt;0,DB_STProjectsSOF[[#This Row],[Actual]]/DB_STProjectsSOF[[#This Row],[Plan]],1.000011000011)</f>
        <v>0.73603721409305556</v>
      </c>
      <c r="AI1204" s="34">
        <f>SUM(DB_STProjectsSOF[[#This Row],[Plan01]:[Plan12]])/valUnits2</f>
        <v>120.82632599999999</v>
      </c>
      <c r="AJ1204" s="34">
        <f>SUMPRODUCT(DB_STProjectsSOF[[#This Row],[Act01]:[Act12]],$P$3:$AA$3)/valUnits2</f>
        <v>27.892050000000005</v>
      </c>
      <c r="AK1204" s="34">
        <f>IF(DB_STProjectsSOF[[#This Row],[FY Plan]]&lt;&gt;0,DB_STProjectsSOF[[#This Row],[FY Actuals]]/DB_STProjectsSOF[[#This Row],[FY Plan]],1.000011000011)</f>
        <v>0.2308441456707043</v>
      </c>
    </row>
    <row r="1205" spans="1:37" hidden="1" x14ac:dyDescent="0.2">
      <c r="A1205">
        <f>SUBTOTAL(3,$B$6:B1205)</f>
        <v>0</v>
      </c>
      <c r="B1205" t="s">
        <v>510</v>
      </c>
      <c r="C1205" t="s">
        <v>365</v>
      </c>
      <c r="D1205">
        <v>9656.07</v>
      </c>
      <c r="E1205">
        <v>48.295999999999999</v>
      </c>
      <c r="F1205">
        <v>26.175999999999998</v>
      </c>
      <c r="G1205">
        <v>0</v>
      </c>
      <c r="H1205">
        <v>16580.026999999998</v>
      </c>
      <c r="I1205">
        <v>7952.771999999999</v>
      </c>
      <c r="J1205">
        <v>10185.606</v>
      </c>
      <c r="K1205">
        <v>10185.606</v>
      </c>
      <c r="P1205">
        <v>9651.16</v>
      </c>
      <c r="Q1205">
        <v>47.96</v>
      </c>
      <c r="R1205">
        <v>26.34</v>
      </c>
      <c r="S1205">
        <v>0</v>
      </c>
      <c r="T1205">
        <v>17039.41</v>
      </c>
      <c r="U1205">
        <v>83.83</v>
      </c>
      <c r="V1205">
        <v>0</v>
      </c>
      <c r="W1205">
        <v>0</v>
      </c>
      <c r="AB1205" s="164">
        <v>40878</v>
      </c>
      <c r="AC1205" s="164">
        <v>41517</v>
      </c>
      <c r="AD1205" s="164">
        <v>41547</v>
      </c>
      <c r="AE1205" s="34">
        <f>SUMPRODUCT(DB_STProjectsSOF[[#This Row],[Plan01]:[Plan12]],$D$4:$O$4)/valUnits2</f>
        <v>34.26334099999999</v>
      </c>
      <c r="AF1205" s="34">
        <f>SUMPRODUCT(DB_STProjectsSOF[[#This Row],[Act01]:[Act12]],$P$4:$AA$4)/valUnits2</f>
        <v>26.848700000000001</v>
      </c>
      <c r="AG1205" s="34">
        <f>DB_STProjectsSOF[[#This Row],[Actual]]-DB_STProjectsSOF[[#This Row],[Plan]]</f>
        <v>-7.4146409999999889</v>
      </c>
      <c r="AH1205" s="34">
        <f>IF(DB_STProjectsSOF[[#This Row],[Plan]]&lt;&gt;0,DB_STProjectsSOF[[#This Row],[Actual]]/DB_STProjectsSOF[[#This Row],[Plan]],1.000011000011)</f>
        <v>0.78359842374974487</v>
      </c>
      <c r="AI1205" s="34">
        <f>SUM(DB_STProjectsSOF[[#This Row],[Plan01]:[Plan12]])/valUnits2</f>
        <v>54.63455299999999</v>
      </c>
      <c r="AJ1205" s="34">
        <f>SUMPRODUCT(DB_STProjectsSOF[[#This Row],[Act01]:[Act12]],$P$3:$AA$3)/valUnits2</f>
        <v>26.848700000000001</v>
      </c>
      <c r="AK1205" s="34">
        <f>IF(DB_STProjectsSOF[[#This Row],[FY Plan]]&lt;&gt;0,DB_STProjectsSOF[[#This Row],[FY Actuals]]/DB_STProjectsSOF[[#This Row],[FY Plan]],1.000011000011)</f>
        <v>0.49142344040043678</v>
      </c>
    </row>
    <row r="1206" spans="1:37" hidden="1" x14ac:dyDescent="0.2">
      <c r="A1206">
        <f>SUBTOTAL(3,$B$6:B1206)</f>
        <v>0</v>
      </c>
      <c r="B1206" t="s">
        <v>510</v>
      </c>
      <c r="C1206" t="s">
        <v>906</v>
      </c>
      <c r="D1206">
        <v>149.51</v>
      </c>
      <c r="E1206">
        <v>-1449.3440000000001</v>
      </c>
      <c r="P1206">
        <v>112.57000000000016</v>
      </c>
      <c r="Q1206">
        <v>-1545.67</v>
      </c>
      <c r="AB1206" s="164">
        <v>40909</v>
      </c>
      <c r="AC1206" s="164">
        <v>41274</v>
      </c>
      <c r="AD1206" s="164">
        <v>41305</v>
      </c>
      <c r="AE1206" s="34">
        <f>SUMPRODUCT(DB_STProjectsSOF[[#This Row],[Plan01]:[Plan12]],$D$4:$O$4)/valUnits2</f>
        <v>-1.2998340000000002</v>
      </c>
      <c r="AF1206" s="34">
        <f>SUMPRODUCT(DB_STProjectsSOF[[#This Row],[Act01]:[Act12]],$P$4:$AA$4)/valUnits2</f>
        <v>-1.4330999999999998</v>
      </c>
      <c r="AG1206" s="34">
        <f>DB_STProjectsSOF[[#This Row],[Actual]]-DB_STProjectsSOF[[#This Row],[Plan]]</f>
        <v>-0.13326599999999966</v>
      </c>
      <c r="AH1206" s="34">
        <f>IF(DB_STProjectsSOF[[#This Row],[Plan]]&lt;&gt;0,DB_STProjectsSOF[[#This Row],[Actual]]/DB_STProjectsSOF[[#This Row],[Plan]],1.000011000011)</f>
        <v>1.1025253993971535</v>
      </c>
      <c r="AI1206" s="34">
        <f>SUM(DB_STProjectsSOF[[#This Row],[Plan01]:[Plan12]])/valUnits2</f>
        <v>-1.2998340000000002</v>
      </c>
      <c r="AJ1206" s="34">
        <f>SUMPRODUCT(DB_STProjectsSOF[[#This Row],[Act01]:[Act12]],$P$3:$AA$3)/valUnits2</f>
        <v>-1.4330999999999998</v>
      </c>
      <c r="AK1206" s="34">
        <f>IF(DB_STProjectsSOF[[#This Row],[FY Plan]]&lt;&gt;0,DB_STProjectsSOF[[#This Row],[FY Actuals]]/DB_STProjectsSOF[[#This Row],[FY Plan]],1.000011000011)</f>
        <v>1.1025253993971535</v>
      </c>
    </row>
    <row r="1207" spans="1:37" hidden="1" x14ac:dyDescent="0.2">
      <c r="A1207">
        <f>SUBTOTAL(3,$B$6:B1207)</f>
        <v>0</v>
      </c>
      <c r="B1207" t="s">
        <v>510</v>
      </c>
      <c r="C1207" t="s">
        <v>909</v>
      </c>
      <c r="D1207">
        <v>103097.75</v>
      </c>
      <c r="E1207">
        <v>10615.769999999979</v>
      </c>
      <c r="F1207">
        <v>14804.089999999993</v>
      </c>
      <c r="G1207">
        <v>135064.90999999995</v>
      </c>
      <c r="H1207">
        <v>187311.38999999993</v>
      </c>
      <c r="I1207">
        <v>109053.83000000002</v>
      </c>
      <c r="J1207">
        <v>109053.83</v>
      </c>
      <c r="K1207">
        <v>109053.83</v>
      </c>
      <c r="L1207">
        <v>158311.82999999999</v>
      </c>
      <c r="M1207">
        <v>159053.82999999999</v>
      </c>
      <c r="N1207">
        <v>176788.83</v>
      </c>
      <c r="O1207">
        <v>109053.83</v>
      </c>
      <c r="P1207">
        <v>103097.74999999999</v>
      </c>
      <c r="Q1207">
        <v>10615.770000000022</v>
      </c>
      <c r="R1207">
        <v>14804.090000000013</v>
      </c>
      <c r="S1207">
        <v>135064.91000000006</v>
      </c>
      <c r="T1207">
        <v>187311.38999999993</v>
      </c>
      <c r="U1207">
        <v>8666.8599999999587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 s="164">
        <v>40817</v>
      </c>
      <c r="AC1207" s="164">
        <v>42155</v>
      </c>
      <c r="AD1207" s="164">
        <v>42217</v>
      </c>
      <c r="AE1207" s="34">
        <f>SUMPRODUCT(DB_STProjectsSOF[[#This Row],[Plan01]:[Plan12]],$D$4:$O$4)/valUnits2</f>
        <v>559.94773999999973</v>
      </c>
      <c r="AF1207" s="34">
        <f>SUMPRODUCT(DB_STProjectsSOF[[#This Row],[Act01]:[Act12]],$P$4:$AA$4)/valUnits2</f>
        <v>459.56076999999999</v>
      </c>
      <c r="AG1207" s="34">
        <f>DB_STProjectsSOF[[#This Row],[Actual]]-DB_STProjectsSOF[[#This Row],[Plan]]</f>
        <v>-100.38696999999974</v>
      </c>
      <c r="AH1207" s="34">
        <f>IF(DB_STProjectsSOF[[#This Row],[Plan]]&lt;&gt;0,DB_STProjectsSOF[[#This Row],[Actual]]/DB_STProjectsSOF[[#This Row],[Plan]],1.000011000011)</f>
        <v>0.82072082298251658</v>
      </c>
      <c r="AI1207" s="34">
        <f>SUM(DB_STProjectsSOF[[#This Row],[Plan01]:[Plan12]])/valUnits2</f>
        <v>1381.2637199999997</v>
      </c>
      <c r="AJ1207" s="34">
        <f>SUMPRODUCT(DB_STProjectsSOF[[#This Row],[Act01]:[Act12]],$P$3:$AA$3)/valUnits2</f>
        <v>459.56076999999999</v>
      </c>
      <c r="AK1207" s="34">
        <f>IF(DB_STProjectsSOF[[#This Row],[FY Plan]]&lt;&gt;0,DB_STProjectsSOF[[#This Row],[FY Actuals]]/DB_STProjectsSOF[[#This Row],[FY Plan]],1.000011000011)</f>
        <v>0.33271037481531773</v>
      </c>
    </row>
    <row r="1208" spans="1:37" hidden="1" x14ac:dyDescent="0.2">
      <c r="A1208">
        <f>SUBTOTAL(3,$B$6:B1208)</f>
        <v>0</v>
      </c>
      <c r="B1208" t="s">
        <v>510</v>
      </c>
      <c r="C1208" t="s">
        <v>917</v>
      </c>
      <c r="D1208">
        <v>10948.574000000001</v>
      </c>
      <c r="E1208">
        <v>4768.2910000000002</v>
      </c>
      <c r="F1208">
        <v>0</v>
      </c>
      <c r="G1208">
        <v>1073.396</v>
      </c>
      <c r="H1208">
        <v>1077.5340000000001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10943.62</v>
      </c>
      <c r="Q1208">
        <v>4753.18</v>
      </c>
      <c r="R1208">
        <v>0</v>
      </c>
      <c r="S1208">
        <v>1079.42</v>
      </c>
      <c r="T1208">
        <v>1082.6299999999999</v>
      </c>
      <c r="U1208">
        <v>2036.4499999999998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 s="164">
        <v>40817</v>
      </c>
      <c r="AC1208" s="164">
        <v>42155</v>
      </c>
      <c r="AD1208" s="164">
        <v>42246</v>
      </c>
      <c r="AE1208" s="34">
        <f>SUMPRODUCT(DB_STProjectsSOF[[#This Row],[Plan01]:[Plan12]],$D$4:$O$4)/valUnits2</f>
        <v>17.867795000000001</v>
      </c>
      <c r="AF1208" s="34">
        <f>SUMPRODUCT(DB_STProjectsSOF[[#This Row],[Act01]:[Act12]],$P$4:$AA$4)/valUnits2</f>
        <v>19.895300000000002</v>
      </c>
      <c r="AG1208" s="34">
        <f>DB_STProjectsSOF[[#This Row],[Actual]]-DB_STProjectsSOF[[#This Row],[Plan]]</f>
        <v>2.0275050000000014</v>
      </c>
      <c r="AH1208" s="34">
        <f>IF(DB_STProjectsSOF[[#This Row],[Plan]]&lt;&gt;0,DB_STProjectsSOF[[#This Row],[Actual]]/DB_STProjectsSOF[[#This Row],[Plan]],1.000011000011)</f>
        <v>1.11347259132982</v>
      </c>
      <c r="AI1208" s="34">
        <f>SUM(DB_STProjectsSOF[[#This Row],[Plan01]:[Plan12]])/valUnits2</f>
        <v>17.867795000000001</v>
      </c>
      <c r="AJ1208" s="34">
        <f>SUMPRODUCT(DB_STProjectsSOF[[#This Row],[Act01]:[Act12]],$P$3:$AA$3)/valUnits2</f>
        <v>19.895300000000002</v>
      </c>
      <c r="AK1208" s="34">
        <f>IF(DB_STProjectsSOF[[#This Row],[FY Plan]]&lt;&gt;0,DB_STProjectsSOF[[#This Row],[FY Actuals]]/DB_STProjectsSOF[[#This Row],[FY Plan]],1.000011000011)</f>
        <v>1.11347259132982</v>
      </c>
    </row>
    <row r="1209" spans="1:37" hidden="1" x14ac:dyDescent="0.2">
      <c r="A1209">
        <f>SUBTOTAL(3,$B$6:B1209)</f>
        <v>0</v>
      </c>
      <c r="B1209" t="s">
        <v>510</v>
      </c>
      <c r="C1209" t="s">
        <v>922</v>
      </c>
      <c r="D1209">
        <v>4938.1909999999998</v>
      </c>
      <c r="E1209">
        <v>8108.5539999999983</v>
      </c>
      <c r="F1209">
        <v>12100.385999999999</v>
      </c>
      <c r="G1209">
        <v>6925.5629999999992</v>
      </c>
      <c r="H1209">
        <v>8256.0329999999994</v>
      </c>
      <c r="I1209">
        <v>8802.25</v>
      </c>
      <c r="J1209">
        <v>8802.25</v>
      </c>
      <c r="K1209">
        <v>8802.25</v>
      </c>
      <c r="L1209">
        <v>8802.25</v>
      </c>
      <c r="M1209">
        <v>8802.25</v>
      </c>
      <c r="N1209">
        <v>8802.25</v>
      </c>
      <c r="O1209">
        <v>8802.25</v>
      </c>
      <c r="P1209">
        <v>4850.2699999999995</v>
      </c>
      <c r="Q1209">
        <v>8309.869999999999</v>
      </c>
      <c r="R1209">
        <v>12241.169999999998</v>
      </c>
      <c r="S1209">
        <v>6880.14</v>
      </c>
      <c r="T1209">
        <v>8210.0499999999993</v>
      </c>
      <c r="U1209">
        <v>13599.84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 s="164">
        <v>41000</v>
      </c>
      <c r="AC1209" s="164">
        <v>41989</v>
      </c>
      <c r="AD1209" s="164">
        <v>42078</v>
      </c>
      <c r="AE1209" s="34">
        <f>SUMPRODUCT(DB_STProjectsSOF[[#This Row],[Plan01]:[Plan12]],$D$4:$O$4)/valUnits2</f>
        <v>49.130977000000001</v>
      </c>
      <c r="AF1209" s="34">
        <f>SUMPRODUCT(DB_STProjectsSOF[[#This Row],[Act01]:[Act12]],$P$4:$AA$4)/valUnits2</f>
        <v>54.091339999999995</v>
      </c>
      <c r="AG1209" s="34">
        <f>DB_STProjectsSOF[[#This Row],[Actual]]-DB_STProjectsSOF[[#This Row],[Plan]]</f>
        <v>4.9603629999999939</v>
      </c>
      <c r="AH1209" s="34">
        <f>IF(DB_STProjectsSOF[[#This Row],[Plan]]&lt;&gt;0,DB_STProjectsSOF[[#This Row],[Actual]]/DB_STProjectsSOF[[#This Row],[Plan]],1.000011000011)</f>
        <v>1.1009620264624493</v>
      </c>
      <c r="AI1209" s="34">
        <f>SUM(DB_STProjectsSOF[[#This Row],[Plan01]:[Plan12]])/valUnits2</f>
        <v>101.94447699999999</v>
      </c>
      <c r="AJ1209" s="34">
        <f>SUMPRODUCT(DB_STProjectsSOF[[#This Row],[Act01]:[Act12]],$P$3:$AA$3)/valUnits2</f>
        <v>54.091339999999995</v>
      </c>
      <c r="AK1209" s="34">
        <f>IF(DB_STProjectsSOF[[#This Row],[FY Plan]]&lt;&gt;0,DB_STProjectsSOF[[#This Row],[FY Actuals]]/DB_STProjectsSOF[[#This Row],[FY Plan]],1.000011000011)</f>
        <v>0.53059608123743673</v>
      </c>
    </row>
    <row r="1210" spans="1:37" hidden="1" x14ac:dyDescent="0.2">
      <c r="A1210">
        <f>SUBTOTAL(3,$B$6:B1210)</f>
        <v>0</v>
      </c>
      <c r="B1210" t="s">
        <v>510</v>
      </c>
      <c r="C1210" t="s">
        <v>933</v>
      </c>
      <c r="D1210">
        <v>54161.510000000009</v>
      </c>
      <c r="E1210">
        <v>14573.820000000002</v>
      </c>
      <c r="F1210">
        <v>71841.47</v>
      </c>
      <c r="G1210">
        <v>86226.55</v>
      </c>
      <c r="H1210">
        <v>59762.140000000007</v>
      </c>
      <c r="I1210">
        <v>89542.5</v>
      </c>
      <c r="J1210">
        <v>54115.5</v>
      </c>
      <c r="K1210">
        <v>54114</v>
      </c>
      <c r="L1210">
        <v>54114</v>
      </c>
      <c r="M1210">
        <v>54114</v>
      </c>
      <c r="N1210">
        <v>54114</v>
      </c>
      <c r="O1210">
        <v>54114</v>
      </c>
      <c r="P1210">
        <v>54161.51</v>
      </c>
      <c r="Q1210">
        <v>14573.820000000005</v>
      </c>
      <c r="R1210">
        <v>71841.470000000016</v>
      </c>
      <c r="S1210">
        <v>86249.000000000029</v>
      </c>
      <c r="T1210">
        <v>59762.14</v>
      </c>
      <c r="U1210">
        <v>74012.029999999984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 s="164">
        <v>40817</v>
      </c>
      <c r="AC1210" s="164">
        <v>42155</v>
      </c>
      <c r="AD1210" s="164">
        <v>42217</v>
      </c>
      <c r="AE1210" s="34">
        <f>SUMPRODUCT(DB_STProjectsSOF[[#This Row],[Plan01]:[Plan12]],$D$4:$O$4)/valUnits2</f>
        <v>376.10799000000003</v>
      </c>
      <c r="AF1210" s="34">
        <f>SUMPRODUCT(DB_STProjectsSOF[[#This Row],[Act01]:[Act12]],$P$4:$AA$4)/valUnits2</f>
        <v>360.59997000000004</v>
      </c>
      <c r="AG1210" s="34">
        <f>DB_STProjectsSOF[[#This Row],[Actual]]-DB_STProjectsSOF[[#This Row],[Plan]]</f>
        <v>-15.508019999999988</v>
      </c>
      <c r="AH1210" s="34">
        <f>IF(DB_STProjectsSOF[[#This Row],[Plan]]&lt;&gt;0,DB_STProjectsSOF[[#This Row],[Actual]]/DB_STProjectsSOF[[#This Row],[Plan]],1.000011000011)</f>
        <v>0.95876710835098189</v>
      </c>
      <c r="AI1210" s="34">
        <f>SUM(DB_STProjectsSOF[[#This Row],[Plan01]:[Plan12]])/valUnits2</f>
        <v>700.79349000000002</v>
      </c>
      <c r="AJ1210" s="34">
        <f>SUMPRODUCT(DB_STProjectsSOF[[#This Row],[Act01]:[Act12]],$P$3:$AA$3)/valUnits2</f>
        <v>360.59997000000004</v>
      </c>
      <c r="AK1210" s="34">
        <f>IF(DB_STProjectsSOF[[#This Row],[FY Plan]]&lt;&gt;0,DB_STProjectsSOF[[#This Row],[FY Actuals]]/DB_STProjectsSOF[[#This Row],[FY Plan]],1.000011000011)</f>
        <v>0.51455953165318369</v>
      </c>
    </row>
    <row r="1211" spans="1:37" hidden="1" x14ac:dyDescent="0.2">
      <c r="A1211">
        <f>SUBTOTAL(3,$B$6:B1211)</f>
        <v>0</v>
      </c>
      <c r="B1211" t="s">
        <v>510</v>
      </c>
      <c r="C1211" t="s">
        <v>934</v>
      </c>
      <c r="D1211">
        <v>0</v>
      </c>
      <c r="E1211">
        <v>0</v>
      </c>
      <c r="F1211">
        <v>0</v>
      </c>
      <c r="G1211">
        <v>1605695.61</v>
      </c>
      <c r="H1211">
        <v>0</v>
      </c>
      <c r="I1211">
        <v>1491983.7069999999</v>
      </c>
      <c r="J1211">
        <v>0</v>
      </c>
      <c r="K1211">
        <v>0</v>
      </c>
      <c r="L1211">
        <v>1491983.7069999999</v>
      </c>
      <c r="M1211">
        <v>0</v>
      </c>
      <c r="N1211">
        <v>0</v>
      </c>
      <c r="O1211">
        <v>1478955.7069999999</v>
      </c>
      <c r="P1211">
        <v>0</v>
      </c>
      <c r="Q1211">
        <v>0</v>
      </c>
      <c r="R1211">
        <v>0</v>
      </c>
      <c r="S1211">
        <v>1605695.61</v>
      </c>
      <c r="T1211">
        <v>0</v>
      </c>
      <c r="U1211">
        <v>572741.81999999995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 s="164">
        <v>40817</v>
      </c>
      <c r="AC1211" s="164">
        <v>42155</v>
      </c>
      <c r="AD1211" s="164">
        <v>42247</v>
      </c>
      <c r="AE1211" s="34">
        <f>SUMPRODUCT(DB_STProjectsSOF[[#This Row],[Plan01]:[Plan12]],$D$4:$O$4)/valUnits2</f>
        <v>3097.6793169999996</v>
      </c>
      <c r="AF1211" s="34">
        <f>SUMPRODUCT(DB_STProjectsSOF[[#This Row],[Act01]:[Act12]],$P$4:$AA$4)/valUnits2</f>
        <v>2178.4374299999999</v>
      </c>
      <c r="AG1211" s="34">
        <f>DB_STProjectsSOF[[#This Row],[Actual]]-DB_STProjectsSOF[[#This Row],[Plan]]</f>
        <v>-919.24188699999968</v>
      </c>
      <c r="AH1211" s="34">
        <f>IF(DB_STProjectsSOF[[#This Row],[Plan]]&lt;&gt;0,DB_STProjectsSOF[[#This Row],[Actual]]/DB_STProjectsSOF[[#This Row],[Plan]],1.000011000011)</f>
        <v>0.70324820843938907</v>
      </c>
      <c r="AI1211" s="34">
        <f>SUM(DB_STProjectsSOF[[#This Row],[Plan01]:[Plan12]])/valUnits2</f>
        <v>6068.6187310000005</v>
      </c>
      <c r="AJ1211" s="34">
        <f>SUMPRODUCT(DB_STProjectsSOF[[#This Row],[Act01]:[Act12]],$P$3:$AA$3)/valUnits2</f>
        <v>2178.4374299999999</v>
      </c>
      <c r="AK1211" s="34">
        <f>IF(DB_STProjectsSOF[[#This Row],[FY Plan]]&lt;&gt;0,DB_STProjectsSOF[[#This Row],[FY Actuals]]/DB_STProjectsSOF[[#This Row],[FY Plan]],1.000011000011)</f>
        <v>0.35896758827045838</v>
      </c>
    </row>
    <row r="1212" spans="1:37" hidden="1" x14ac:dyDescent="0.2">
      <c r="A1212">
        <f>SUBTOTAL(3,$B$6:B1212)</f>
        <v>0</v>
      </c>
      <c r="B1212" t="s">
        <v>511</v>
      </c>
      <c r="C1212" t="s">
        <v>860</v>
      </c>
      <c r="D1212">
        <v>10791.550000000001</v>
      </c>
      <c r="E1212">
        <v>17596.89</v>
      </c>
      <c r="F1212">
        <v>429401.63000000006</v>
      </c>
      <c r="G1212">
        <v>277109.99</v>
      </c>
      <c r="H1212">
        <v>53182.21</v>
      </c>
      <c r="I1212">
        <v>156185.81100000002</v>
      </c>
      <c r="J1212">
        <v>156185.81100000002</v>
      </c>
      <c r="K1212">
        <v>156185.81100000002</v>
      </c>
      <c r="L1212">
        <v>156289.81100000002</v>
      </c>
      <c r="M1212">
        <v>0</v>
      </c>
      <c r="N1212">
        <v>0</v>
      </c>
      <c r="O1212">
        <v>0</v>
      </c>
      <c r="P1212">
        <v>10791.55</v>
      </c>
      <c r="Q1212">
        <v>17618.440000000002</v>
      </c>
      <c r="R1212">
        <v>429401.63000000018</v>
      </c>
      <c r="S1212">
        <v>277109.99</v>
      </c>
      <c r="T1212">
        <v>53182.21</v>
      </c>
      <c r="U1212">
        <v>44963.250000000029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 s="164">
        <v>40969</v>
      </c>
      <c r="AC1212" s="164">
        <v>42643</v>
      </c>
      <c r="AD1212" s="164">
        <v>42704</v>
      </c>
      <c r="AE1212" s="34">
        <f>SUMPRODUCT(DB_STProjectsSOF[[#This Row],[Plan01]:[Plan12]],$D$4:$O$4)/valUnits2</f>
        <v>944.26808100000005</v>
      </c>
      <c r="AF1212" s="34">
        <f>SUMPRODUCT(DB_STProjectsSOF[[#This Row],[Act01]:[Act12]],$P$4:$AA$4)/valUnits2</f>
        <v>833.06707000000006</v>
      </c>
      <c r="AG1212" s="34">
        <f>DB_STProjectsSOF[[#This Row],[Actual]]-DB_STProjectsSOF[[#This Row],[Plan]]</f>
        <v>-111.20101099999999</v>
      </c>
      <c r="AH1212" s="34">
        <f>IF(DB_STProjectsSOF[[#This Row],[Plan]]&lt;&gt;0,DB_STProjectsSOF[[#This Row],[Actual]]/DB_STProjectsSOF[[#This Row],[Plan]],1.000011000011)</f>
        <v>0.88223576202826237</v>
      </c>
      <c r="AI1212" s="34">
        <f>SUM(DB_STProjectsSOF[[#This Row],[Plan01]:[Plan12]])/valUnits2</f>
        <v>1412.9295139999999</v>
      </c>
      <c r="AJ1212" s="34">
        <f>SUMPRODUCT(DB_STProjectsSOF[[#This Row],[Act01]:[Act12]],$P$3:$AA$3)/valUnits2</f>
        <v>833.06707000000006</v>
      </c>
      <c r="AK1212" s="34">
        <f>IF(DB_STProjectsSOF[[#This Row],[FY Plan]]&lt;&gt;0,DB_STProjectsSOF[[#This Row],[FY Actuals]]/DB_STProjectsSOF[[#This Row],[FY Plan]],1.000011000011)</f>
        <v>0.58960270965080863</v>
      </c>
    </row>
    <row r="1213" spans="1:37" hidden="1" x14ac:dyDescent="0.2">
      <c r="A1213">
        <f>SUBTOTAL(3,$B$6:B1213)</f>
        <v>0</v>
      </c>
      <c r="B1213" t="s">
        <v>512</v>
      </c>
      <c r="C1213" t="s">
        <v>843</v>
      </c>
      <c r="G1213">
        <v>71414.804999999993</v>
      </c>
      <c r="H1213">
        <v>44609.921999999999</v>
      </c>
      <c r="I1213">
        <v>44265.897000000004</v>
      </c>
      <c r="J1213">
        <v>44265.897000000004</v>
      </c>
      <c r="K1213">
        <v>44265.897000000004</v>
      </c>
      <c r="L1213">
        <v>44265.896999999997</v>
      </c>
      <c r="M1213">
        <v>44265.896999999997</v>
      </c>
      <c r="N1213">
        <v>44265.896999999997</v>
      </c>
      <c r="O1213">
        <v>44265.897000000004</v>
      </c>
      <c r="S1213">
        <v>72844.440000000017</v>
      </c>
      <c r="T1213">
        <v>44488.500000000029</v>
      </c>
      <c r="U1213">
        <v>7139.550000000002</v>
      </c>
      <c r="V1213">
        <v>681</v>
      </c>
      <c r="W1213">
        <v>0</v>
      </c>
      <c r="X1213">
        <v>0</v>
      </c>
      <c r="Y1213">
        <v>0</v>
      </c>
      <c r="Z1213">
        <v>0</v>
      </c>
      <c r="AA1213">
        <v>0</v>
      </c>
      <c r="AB1213" s="164">
        <v>41275</v>
      </c>
      <c r="AC1213" s="164">
        <v>42369</v>
      </c>
      <c r="AD1213" s="164">
        <v>42492</v>
      </c>
      <c r="AE1213" s="34">
        <f>SUMPRODUCT(DB_STProjectsSOF[[#This Row],[Plan01]:[Plan12]],$D$4:$O$4)/valUnits2</f>
        <v>160.29062399999998</v>
      </c>
      <c r="AF1213" s="34">
        <f>SUMPRODUCT(DB_STProjectsSOF[[#This Row],[Act01]:[Act12]],$P$4:$AA$4)/valUnits2</f>
        <v>124.47249000000005</v>
      </c>
      <c r="AG1213" s="34">
        <f>DB_STProjectsSOF[[#This Row],[Actual]]-DB_STProjectsSOF[[#This Row],[Plan]]</f>
        <v>-35.81813399999993</v>
      </c>
      <c r="AH1213" s="34">
        <f>IF(DB_STProjectsSOF[[#This Row],[Plan]]&lt;&gt;0,DB_STProjectsSOF[[#This Row],[Actual]]/DB_STProjectsSOF[[#This Row],[Plan]],1.000011000011)</f>
        <v>0.77654255061107047</v>
      </c>
      <c r="AI1213" s="34">
        <f>SUM(DB_STProjectsSOF[[#This Row],[Plan01]:[Plan12]])/valUnits2</f>
        <v>425.88600599999995</v>
      </c>
      <c r="AJ1213" s="34">
        <f>SUMPRODUCT(DB_STProjectsSOF[[#This Row],[Act01]:[Act12]],$P$3:$AA$3)/valUnits2</f>
        <v>124.47249000000005</v>
      </c>
      <c r="AK1213" s="34">
        <f>IF(DB_STProjectsSOF[[#This Row],[FY Plan]]&lt;&gt;0,DB_STProjectsSOF[[#This Row],[FY Actuals]]/DB_STProjectsSOF[[#This Row],[FY Plan]],1.000011000011)</f>
        <v>0.29226715188195235</v>
      </c>
    </row>
    <row r="1214" spans="1:37" hidden="1" x14ac:dyDescent="0.2">
      <c r="A1214">
        <f>SUBTOTAL(3,$B$6:B1214)</f>
        <v>0</v>
      </c>
      <c r="B1214" t="s">
        <v>512</v>
      </c>
      <c r="C1214" t="s">
        <v>850</v>
      </c>
      <c r="D1214">
        <v>6209.75</v>
      </c>
      <c r="E1214">
        <v>3670.5280000000012</v>
      </c>
      <c r="F1214">
        <v>6615.0839999999998</v>
      </c>
      <c r="G1214">
        <v>44641.317000000003</v>
      </c>
      <c r="H1214">
        <v>20136.372000000007</v>
      </c>
      <c r="I1214">
        <v>18407.532999999999</v>
      </c>
      <c r="J1214">
        <v>18407.532999999999</v>
      </c>
      <c r="K1214">
        <v>18407.532999999999</v>
      </c>
      <c r="L1214">
        <v>18407.532999999999</v>
      </c>
      <c r="M1214">
        <v>18407.532999999999</v>
      </c>
      <c r="N1214">
        <v>18407.532999999999</v>
      </c>
      <c r="O1214">
        <v>18407.532999999999</v>
      </c>
      <c r="P1214">
        <v>6209.75</v>
      </c>
      <c r="Q1214">
        <v>3738.900000000001</v>
      </c>
      <c r="R1214">
        <v>6613.7699999999995</v>
      </c>
      <c r="S1214">
        <v>44863.480000000018</v>
      </c>
      <c r="T1214">
        <v>20162.610000000004</v>
      </c>
      <c r="U1214">
        <v>8727.6</v>
      </c>
      <c r="V1214">
        <v>1324</v>
      </c>
      <c r="W1214">
        <v>0</v>
      </c>
      <c r="X1214">
        <v>0</v>
      </c>
      <c r="Y1214">
        <v>0</v>
      </c>
      <c r="Z1214">
        <v>0</v>
      </c>
      <c r="AA1214">
        <v>0</v>
      </c>
      <c r="AB1214" s="164">
        <v>40817</v>
      </c>
      <c r="AC1214" s="164">
        <v>41639</v>
      </c>
      <c r="AD1214" s="164">
        <v>41820</v>
      </c>
      <c r="AE1214" s="34">
        <f>SUMPRODUCT(DB_STProjectsSOF[[#This Row],[Plan01]:[Plan12]],$D$4:$O$4)/valUnits2</f>
        <v>99.680583999999996</v>
      </c>
      <c r="AF1214" s="34">
        <f>SUMPRODUCT(DB_STProjectsSOF[[#This Row],[Act01]:[Act12]],$P$4:$AA$4)/valUnits2</f>
        <v>90.316110000000023</v>
      </c>
      <c r="AG1214" s="34">
        <f>DB_STProjectsSOF[[#This Row],[Actual]]-DB_STProjectsSOF[[#This Row],[Plan]]</f>
        <v>-9.3644739999999729</v>
      </c>
      <c r="AH1214" s="34">
        <f>IF(DB_STProjectsSOF[[#This Row],[Plan]]&lt;&gt;0,DB_STProjectsSOF[[#This Row],[Actual]]/DB_STProjectsSOF[[#This Row],[Plan]],1.000011000011)</f>
        <v>0.90605518523045603</v>
      </c>
      <c r="AI1214" s="34">
        <f>SUM(DB_STProjectsSOF[[#This Row],[Plan01]:[Plan12]])/valUnits2</f>
        <v>210.12578199999999</v>
      </c>
      <c r="AJ1214" s="34">
        <f>SUMPRODUCT(DB_STProjectsSOF[[#This Row],[Act01]:[Act12]],$P$3:$AA$3)/valUnits2</f>
        <v>90.316110000000023</v>
      </c>
      <c r="AK1214" s="34">
        <f>IF(DB_STProjectsSOF[[#This Row],[FY Plan]]&lt;&gt;0,DB_STProjectsSOF[[#This Row],[FY Actuals]]/DB_STProjectsSOF[[#This Row],[FY Plan]],1.000011000011)</f>
        <v>0.42981926891770011</v>
      </c>
    </row>
    <row r="1215" spans="1:37" hidden="1" x14ac:dyDescent="0.2">
      <c r="A1215">
        <f>SUBTOTAL(3,$B$6:B1215)</f>
        <v>0</v>
      </c>
      <c r="B1215" t="s">
        <v>512</v>
      </c>
      <c r="C1215" t="s">
        <v>851</v>
      </c>
      <c r="F1215">
        <v>0</v>
      </c>
      <c r="G1215">
        <v>403.30500000000001</v>
      </c>
      <c r="H1215">
        <v>6206.9159999999993</v>
      </c>
      <c r="I1215">
        <v>4750.6330000000007</v>
      </c>
      <c r="J1215">
        <v>4750.6330000000007</v>
      </c>
      <c r="K1215">
        <v>4750.6330000000007</v>
      </c>
      <c r="L1215">
        <v>4750.6330000000007</v>
      </c>
      <c r="M1215">
        <v>4750.6330000000007</v>
      </c>
      <c r="N1215">
        <v>4750.6330000000007</v>
      </c>
      <c r="O1215">
        <v>4750.6330000000007</v>
      </c>
      <c r="R1215">
        <v>0</v>
      </c>
      <c r="S1215">
        <v>400.34999999999997</v>
      </c>
      <c r="T1215">
        <v>6247.6799999999994</v>
      </c>
      <c r="U1215">
        <v>13505.09</v>
      </c>
      <c r="V1215">
        <v>453</v>
      </c>
      <c r="W1215">
        <v>0</v>
      </c>
      <c r="X1215">
        <v>0</v>
      </c>
      <c r="Y1215">
        <v>0</v>
      </c>
      <c r="Z1215">
        <v>0</v>
      </c>
      <c r="AA1215">
        <v>0</v>
      </c>
      <c r="AB1215" s="164">
        <v>41275</v>
      </c>
      <c r="AC1215" s="164">
        <v>41639</v>
      </c>
      <c r="AD1215" s="164">
        <v>41685</v>
      </c>
      <c r="AE1215" s="34">
        <f>SUMPRODUCT(DB_STProjectsSOF[[#This Row],[Plan01]:[Plan12]],$D$4:$O$4)/valUnits2</f>
        <v>11.360854</v>
      </c>
      <c r="AF1215" s="34">
        <f>SUMPRODUCT(DB_STProjectsSOF[[#This Row],[Act01]:[Act12]],$P$4:$AA$4)/valUnits2</f>
        <v>20.153119999999998</v>
      </c>
      <c r="AG1215" s="34">
        <f>DB_STProjectsSOF[[#This Row],[Actual]]-DB_STProjectsSOF[[#This Row],[Plan]]</f>
        <v>8.7922659999999979</v>
      </c>
      <c r="AH1215" s="34">
        <f>IF(DB_STProjectsSOF[[#This Row],[Plan]]&lt;&gt;0,DB_STProjectsSOF[[#This Row],[Actual]]/DB_STProjectsSOF[[#This Row],[Plan]],1.000011000011)</f>
        <v>1.7739088980458686</v>
      </c>
      <c r="AI1215" s="34">
        <f>SUM(DB_STProjectsSOF[[#This Row],[Plan01]:[Plan12]])/valUnits2</f>
        <v>39.864652000000007</v>
      </c>
      <c r="AJ1215" s="34">
        <f>SUMPRODUCT(DB_STProjectsSOF[[#This Row],[Act01]:[Act12]],$P$3:$AA$3)/valUnits2</f>
        <v>20.153119999999998</v>
      </c>
      <c r="AK1215" s="34">
        <f>IF(DB_STProjectsSOF[[#This Row],[FY Plan]]&lt;&gt;0,DB_STProjectsSOF[[#This Row],[FY Actuals]]/DB_STProjectsSOF[[#This Row],[FY Plan]],1.000011000011)</f>
        <v>0.50553859093013009</v>
      </c>
    </row>
    <row r="1216" spans="1:37" hidden="1" x14ac:dyDescent="0.2">
      <c r="A1216">
        <f>SUBTOTAL(3,$B$6:B1216)</f>
        <v>0</v>
      </c>
      <c r="B1216" t="s">
        <v>512</v>
      </c>
      <c r="C1216" t="s">
        <v>895</v>
      </c>
      <c r="D1216">
        <v>57408.741000000016</v>
      </c>
      <c r="E1216">
        <v>407.61400000000361</v>
      </c>
      <c r="F1216">
        <v>70415.627999999997</v>
      </c>
      <c r="G1216">
        <v>1744.254000000009</v>
      </c>
      <c r="H1216">
        <v>47011.360999999997</v>
      </c>
      <c r="I1216">
        <v>37403.968000000001</v>
      </c>
      <c r="J1216">
        <v>24360.919000000009</v>
      </c>
      <c r="K1216">
        <v>27023.005000000008</v>
      </c>
      <c r="L1216">
        <v>24360.919000000005</v>
      </c>
      <c r="M1216">
        <v>24360.919000000005</v>
      </c>
      <c r="N1216">
        <v>29152.935000000012</v>
      </c>
      <c r="O1216">
        <v>24360.919000000005</v>
      </c>
      <c r="P1216">
        <v>56568.000000000007</v>
      </c>
      <c r="Q1216">
        <v>416.46999999999849</v>
      </c>
      <c r="R1216">
        <v>71053.039999999979</v>
      </c>
      <c r="S1216">
        <v>1734.9799999999896</v>
      </c>
      <c r="T1216">
        <v>47117.709999999992</v>
      </c>
      <c r="U1216">
        <v>44895.400000000016</v>
      </c>
      <c r="V1216">
        <v>57</v>
      </c>
      <c r="W1216">
        <v>0</v>
      </c>
      <c r="X1216">
        <v>0</v>
      </c>
      <c r="Y1216">
        <v>0</v>
      </c>
      <c r="Z1216">
        <v>0</v>
      </c>
      <c r="AA1216">
        <v>0</v>
      </c>
      <c r="AB1216" s="164">
        <v>40553</v>
      </c>
      <c r="AC1216" s="164">
        <v>41897</v>
      </c>
      <c r="AD1216" s="164">
        <v>41988</v>
      </c>
      <c r="AE1216" s="34">
        <f>SUMPRODUCT(DB_STProjectsSOF[[#This Row],[Plan01]:[Plan12]],$D$4:$O$4)/valUnits2</f>
        <v>214.39156600000001</v>
      </c>
      <c r="AF1216" s="34">
        <f>SUMPRODUCT(DB_STProjectsSOF[[#This Row],[Act01]:[Act12]],$P$4:$AA$4)/valUnits2</f>
        <v>221.78559999999999</v>
      </c>
      <c r="AG1216" s="34">
        <f>DB_STProjectsSOF[[#This Row],[Actual]]-DB_STProjectsSOF[[#This Row],[Plan]]</f>
        <v>7.3940339999999765</v>
      </c>
      <c r="AH1216" s="34">
        <f>IF(DB_STProjectsSOF[[#This Row],[Plan]]&lt;&gt;0,DB_STProjectsSOF[[#This Row],[Actual]]/DB_STProjectsSOF[[#This Row],[Plan]],1.000011000011)</f>
        <v>1.0344884555766525</v>
      </c>
      <c r="AI1216" s="34">
        <f>SUM(DB_STProjectsSOF[[#This Row],[Plan01]:[Plan12]])/valUnits2</f>
        <v>368.01118200000002</v>
      </c>
      <c r="AJ1216" s="34">
        <f>SUMPRODUCT(DB_STProjectsSOF[[#This Row],[Act01]:[Act12]],$P$3:$AA$3)/valUnits2</f>
        <v>221.78559999999999</v>
      </c>
      <c r="AK1216" s="34">
        <f>IF(DB_STProjectsSOF[[#This Row],[FY Plan]]&lt;&gt;0,DB_STProjectsSOF[[#This Row],[FY Actuals]]/DB_STProjectsSOF[[#This Row],[FY Plan]],1.000011000011)</f>
        <v>0.60265994852297711</v>
      </c>
    </row>
    <row r="1217" spans="1:37" hidden="1" x14ac:dyDescent="0.2">
      <c r="A1217">
        <f>SUBTOTAL(3,$B$6:B1217)</f>
        <v>0</v>
      </c>
      <c r="B1217" t="s">
        <v>512</v>
      </c>
      <c r="C1217" t="s">
        <v>907</v>
      </c>
      <c r="D1217">
        <v>2101.1689999999999</v>
      </c>
      <c r="E1217">
        <v>1132.0940000000001</v>
      </c>
      <c r="F1217">
        <v>0</v>
      </c>
      <c r="G1217">
        <v>-97.852000000000004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2072.52</v>
      </c>
      <c r="Q1217">
        <v>1098.7100000000007</v>
      </c>
      <c r="R1217">
        <v>0</v>
      </c>
      <c r="S1217">
        <v>-100.25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 s="164">
        <v>40909</v>
      </c>
      <c r="AC1217" s="164">
        <v>41274</v>
      </c>
      <c r="AD1217" s="164">
        <v>41320</v>
      </c>
      <c r="AE1217" s="34">
        <f>SUMPRODUCT(DB_STProjectsSOF[[#This Row],[Plan01]:[Plan12]],$D$4:$O$4)/valUnits2</f>
        <v>3.1354109999999999</v>
      </c>
      <c r="AF1217" s="34">
        <f>SUMPRODUCT(DB_STProjectsSOF[[#This Row],[Act01]:[Act12]],$P$4:$AA$4)/valUnits2</f>
        <v>3.0709800000000005</v>
      </c>
      <c r="AG1217" s="34">
        <f>DB_STProjectsSOF[[#This Row],[Actual]]-DB_STProjectsSOF[[#This Row],[Plan]]</f>
        <v>-6.4430999999999461E-2</v>
      </c>
      <c r="AH1217" s="34">
        <f>IF(DB_STProjectsSOF[[#This Row],[Plan]]&lt;&gt;0,DB_STProjectsSOF[[#This Row],[Actual]]/DB_STProjectsSOF[[#This Row],[Plan]],1.000011000011)</f>
        <v>0.97945054093386819</v>
      </c>
      <c r="AI1217" s="34">
        <f>SUM(DB_STProjectsSOF[[#This Row],[Plan01]:[Plan12]])/valUnits2</f>
        <v>3.1354109999999999</v>
      </c>
      <c r="AJ1217" s="34">
        <f>SUMPRODUCT(DB_STProjectsSOF[[#This Row],[Act01]:[Act12]],$P$3:$AA$3)/valUnits2</f>
        <v>3.0709800000000005</v>
      </c>
      <c r="AK1217" s="34">
        <f>IF(DB_STProjectsSOF[[#This Row],[FY Plan]]&lt;&gt;0,DB_STProjectsSOF[[#This Row],[FY Actuals]]/DB_STProjectsSOF[[#This Row],[FY Plan]],1.000011000011)</f>
        <v>0.97945054093386819</v>
      </c>
    </row>
    <row r="1218" spans="1:37" hidden="1" x14ac:dyDescent="0.2">
      <c r="A1218">
        <f>SUBTOTAL(3,$B$6:B1218)</f>
        <v>0</v>
      </c>
      <c r="B1218" t="s">
        <v>513</v>
      </c>
      <c r="C1218" t="s">
        <v>848</v>
      </c>
      <c r="D1218">
        <v>83.542000000000002</v>
      </c>
      <c r="E1218">
        <v>84.763000000000005</v>
      </c>
      <c r="F1218">
        <v>544.44199999999989</v>
      </c>
      <c r="G1218">
        <v>7541.7799999999988</v>
      </c>
      <c r="H1218">
        <v>1660.3120000000001</v>
      </c>
      <c r="P1218">
        <v>0</v>
      </c>
      <c r="Q1218">
        <v>0</v>
      </c>
      <c r="R1218">
        <v>459.67999999999995</v>
      </c>
      <c r="S1218">
        <v>3876.5600000000004</v>
      </c>
      <c r="T1218">
        <v>1642.52</v>
      </c>
      <c r="AB1218" s="164">
        <v>40817</v>
      </c>
      <c r="AC1218" s="164">
        <v>41090</v>
      </c>
      <c r="AD1218" s="164">
        <v>41090</v>
      </c>
      <c r="AE1218" s="34">
        <f>SUMPRODUCT(DB_STProjectsSOF[[#This Row],[Plan01]:[Plan12]],$D$4:$O$4)/valUnits2</f>
        <v>9.9148389999999988</v>
      </c>
      <c r="AF1218" s="34">
        <f>SUMPRODUCT(DB_STProjectsSOF[[#This Row],[Act01]:[Act12]],$P$4:$AA$4)/valUnits2</f>
        <v>5.9787600000000003</v>
      </c>
      <c r="AG1218" s="34">
        <f>DB_STProjectsSOF[[#This Row],[Actual]]-DB_STProjectsSOF[[#This Row],[Plan]]</f>
        <v>-3.9360789999999986</v>
      </c>
      <c r="AH1218" s="34">
        <f>IF(DB_STProjectsSOF[[#This Row],[Plan]]&lt;&gt;0,DB_STProjectsSOF[[#This Row],[Actual]]/DB_STProjectsSOF[[#This Row],[Plan]],1.000011000011)</f>
        <v>0.60301130457085594</v>
      </c>
      <c r="AI1218" s="34">
        <f>SUM(DB_STProjectsSOF[[#This Row],[Plan01]:[Plan12]])/valUnits2</f>
        <v>9.9148389999999988</v>
      </c>
      <c r="AJ1218" s="34">
        <f>SUMPRODUCT(DB_STProjectsSOF[[#This Row],[Act01]:[Act12]],$P$3:$AA$3)/valUnits2</f>
        <v>5.9787600000000003</v>
      </c>
      <c r="AK1218" s="34">
        <f>IF(DB_STProjectsSOF[[#This Row],[FY Plan]]&lt;&gt;0,DB_STProjectsSOF[[#This Row],[FY Actuals]]/DB_STProjectsSOF[[#This Row],[FY Plan]],1.000011000011)</f>
        <v>0.60301130457085594</v>
      </c>
    </row>
    <row r="1219" spans="1:37" hidden="1" x14ac:dyDescent="0.2">
      <c r="A1219">
        <f>SUBTOTAL(3,$B$6:B1219)</f>
        <v>0</v>
      </c>
      <c r="B1219" t="s">
        <v>513</v>
      </c>
      <c r="C1219" t="s">
        <v>887</v>
      </c>
      <c r="D1219">
        <v>383.459</v>
      </c>
      <c r="E1219">
        <v>1555.423</v>
      </c>
      <c r="F1219">
        <v>4858.4859999999999</v>
      </c>
      <c r="G1219">
        <v>6355.0380000000005</v>
      </c>
      <c r="H1219">
        <v>-972.90999999999985</v>
      </c>
      <c r="P1219">
        <v>383.46</v>
      </c>
      <c r="Q1219">
        <v>1555.41</v>
      </c>
      <c r="R1219">
        <v>4838.74</v>
      </c>
      <c r="S1219">
        <v>6298.74</v>
      </c>
      <c r="T1219">
        <v>-961.03999999999974</v>
      </c>
      <c r="AB1219" s="164">
        <v>40817</v>
      </c>
      <c r="AC1219" s="164">
        <v>41364</v>
      </c>
      <c r="AD1219" s="164">
        <v>41389</v>
      </c>
      <c r="AE1219" s="34">
        <f>SUMPRODUCT(DB_STProjectsSOF[[#This Row],[Plan01]:[Plan12]],$D$4:$O$4)/valUnits2</f>
        <v>12.179496</v>
      </c>
      <c r="AF1219" s="34">
        <f>SUMPRODUCT(DB_STProjectsSOF[[#This Row],[Act01]:[Act12]],$P$4:$AA$4)/valUnits2</f>
        <v>12.115309999999999</v>
      </c>
      <c r="AG1219" s="34">
        <f>DB_STProjectsSOF[[#This Row],[Actual]]-DB_STProjectsSOF[[#This Row],[Plan]]</f>
        <v>-6.4186000000001187E-2</v>
      </c>
      <c r="AH1219" s="34">
        <f>IF(DB_STProjectsSOF[[#This Row],[Plan]]&lt;&gt;0,DB_STProjectsSOF[[#This Row],[Actual]]/DB_STProjectsSOF[[#This Row],[Plan]],1.000011000011)</f>
        <v>0.99472999539554008</v>
      </c>
      <c r="AI1219" s="34">
        <f>SUM(DB_STProjectsSOF[[#This Row],[Plan01]:[Plan12]])/valUnits2</f>
        <v>12.179496</v>
      </c>
      <c r="AJ1219" s="34">
        <f>SUMPRODUCT(DB_STProjectsSOF[[#This Row],[Act01]:[Act12]],$P$3:$AA$3)/valUnits2</f>
        <v>12.115309999999999</v>
      </c>
      <c r="AK1219" s="34">
        <f>IF(DB_STProjectsSOF[[#This Row],[FY Plan]]&lt;&gt;0,DB_STProjectsSOF[[#This Row],[FY Actuals]]/DB_STProjectsSOF[[#This Row],[FY Plan]],1.000011000011)</f>
        <v>0.99472999539554008</v>
      </c>
    </row>
    <row r="1220" spans="1:37" hidden="1" x14ac:dyDescent="0.2">
      <c r="A1220">
        <f>SUBTOTAL(3,$B$6:B1220)</f>
        <v>0</v>
      </c>
      <c r="B1220" t="s">
        <v>513</v>
      </c>
      <c r="C1220" t="s">
        <v>932</v>
      </c>
      <c r="G1220">
        <v>3367.5149999999999</v>
      </c>
      <c r="H1220">
        <v>1721.943</v>
      </c>
      <c r="S1220">
        <v>3336.95</v>
      </c>
      <c r="T1220">
        <v>1855.28</v>
      </c>
      <c r="AB1220" s="164">
        <v>40909</v>
      </c>
      <c r="AC1220" s="164">
        <v>41274</v>
      </c>
      <c r="AD1220" s="164">
        <v>41305</v>
      </c>
      <c r="AE1220" s="34">
        <f>SUMPRODUCT(DB_STProjectsSOF[[#This Row],[Plan01]:[Plan12]],$D$4:$O$4)/valUnits2</f>
        <v>5.0894579999999996</v>
      </c>
      <c r="AF1220" s="34">
        <f>SUMPRODUCT(DB_STProjectsSOF[[#This Row],[Act01]:[Act12]],$P$4:$AA$4)/valUnits2</f>
        <v>5.1922299999999995</v>
      </c>
      <c r="AG1220" s="34">
        <f>DB_STProjectsSOF[[#This Row],[Actual]]-DB_STProjectsSOF[[#This Row],[Plan]]</f>
        <v>0.10277199999999986</v>
      </c>
      <c r="AH1220" s="34">
        <f>IF(DB_STProjectsSOF[[#This Row],[Plan]]&lt;&gt;0,DB_STProjectsSOF[[#This Row],[Actual]]/DB_STProjectsSOF[[#This Row],[Plan]],1.000011000011)</f>
        <v>1.0201931129012165</v>
      </c>
      <c r="AI1220" s="34">
        <f>SUM(DB_STProjectsSOF[[#This Row],[Plan01]:[Plan12]])/valUnits2</f>
        <v>5.0894579999999996</v>
      </c>
      <c r="AJ1220" s="34">
        <f>SUMPRODUCT(DB_STProjectsSOF[[#This Row],[Act01]:[Act12]],$P$3:$AA$3)/valUnits2</f>
        <v>5.1922299999999995</v>
      </c>
      <c r="AK1220" s="34">
        <f>IF(DB_STProjectsSOF[[#This Row],[FY Plan]]&lt;&gt;0,DB_STProjectsSOF[[#This Row],[FY Actuals]]/DB_STProjectsSOF[[#This Row],[FY Plan]],1.000011000011)</f>
        <v>1.0201931129012165</v>
      </c>
    </row>
    <row r="1221" spans="1:37" hidden="1" x14ac:dyDescent="0.2">
      <c r="A1221">
        <f>SUBTOTAL(3,$B$6:B1221)</f>
        <v>0</v>
      </c>
      <c r="B1221" t="s">
        <v>514</v>
      </c>
      <c r="C1221" t="s">
        <v>887</v>
      </c>
      <c r="F1221">
        <v>942.30700000000002</v>
      </c>
      <c r="R1221">
        <v>936.19</v>
      </c>
      <c r="AB1221" s="164">
        <v>40817</v>
      </c>
      <c r="AC1221" s="164">
        <v>41364</v>
      </c>
      <c r="AD1221" s="164">
        <v>41389</v>
      </c>
      <c r="AE1221" s="34">
        <f>SUMPRODUCT(DB_STProjectsSOF[[#This Row],[Plan01]:[Plan12]],$D$4:$O$4)/valUnits2</f>
        <v>0.94230700000000001</v>
      </c>
      <c r="AF1221" s="34">
        <f>SUMPRODUCT(DB_STProjectsSOF[[#This Row],[Act01]:[Act12]],$P$4:$AA$4)/valUnits2</f>
        <v>0.93619000000000008</v>
      </c>
      <c r="AG1221" s="34">
        <f>DB_STProjectsSOF[[#This Row],[Actual]]-DB_STProjectsSOF[[#This Row],[Plan]]</f>
        <v>-6.1169999999999281E-3</v>
      </c>
      <c r="AH1221" s="34">
        <f>IF(DB_STProjectsSOF[[#This Row],[Plan]]&lt;&gt;0,DB_STProjectsSOF[[#This Row],[Actual]]/DB_STProjectsSOF[[#This Row],[Plan]],1.000011000011)</f>
        <v>0.99350848502664213</v>
      </c>
      <c r="AI1221" s="34">
        <f>SUM(DB_STProjectsSOF[[#This Row],[Plan01]:[Plan12]])/valUnits2</f>
        <v>0.94230700000000001</v>
      </c>
      <c r="AJ1221" s="34">
        <f>SUMPRODUCT(DB_STProjectsSOF[[#This Row],[Act01]:[Act12]],$P$3:$AA$3)/valUnits2</f>
        <v>0.93619000000000008</v>
      </c>
      <c r="AK1221" s="34">
        <f>IF(DB_STProjectsSOF[[#This Row],[FY Plan]]&lt;&gt;0,DB_STProjectsSOF[[#This Row],[FY Actuals]]/DB_STProjectsSOF[[#This Row],[FY Plan]],1.000011000011)</f>
        <v>0.99350848502664213</v>
      </c>
    </row>
    <row r="1222" spans="1:37" hidden="1" x14ac:dyDescent="0.2">
      <c r="A1222">
        <f>SUBTOTAL(3,$B$6:B1222)</f>
        <v>0</v>
      </c>
      <c r="B1222" t="s">
        <v>514</v>
      </c>
      <c r="C1222" t="s">
        <v>932</v>
      </c>
      <c r="G1222">
        <v>11574.745000000001</v>
      </c>
      <c r="S1222">
        <v>11651.449999999999</v>
      </c>
      <c r="AB1222" s="164">
        <v>40909</v>
      </c>
      <c r="AC1222" s="164">
        <v>41274</v>
      </c>
      <c r="AD1222" s="164">
        <v>41305</v>
      </c>
      <c r="AE1222" s="34">
        <f>SUMPRODUCT(DB_STProjectsSOF[[#This Row],[Plan01]:[Plan12]],$D$4:$O$4)/valUnits2</f>
        <v>11.574745</v>
      </c>
      <c r="AF1222" s="34">
        <f>SUMPRODUCT(DB_STProjectsSOF[[#This Row],[Act01]:[Act12]],$P$4:$AA$4)/valUnits2</f>
        <v>11.651449999999999</v>
      </c>
      <c r="AG1222" s="34">
        <f>DB_STProjectsSOF[[#This Row],[Actual]]-DB_STProjectsSOF[[#This Row],[Plan]]</f>
        <v>7.6704999999998691E-2</v>
      </c>
      <c r="AH1222" s="34">
        <f>IF(DB_STProjectsSOF[[#This Row],[Plan]]&lt;&gt;0,DB_STProjectsSOF[[#This Row],[Actual]]/DB_STProjectsSOF[[#This Row],[Plan]],1.000011000011)</f>
        <v>1.0066269278502462</v>
      </c>
      <c r="AI1222" s="34">
        <f>SUM(DB_STProjectsSOF[[#This Row],[Plan01]:[Plan12]])/valUnits2</f>
        <v>11.574745</v>
      </c>
      <c r="AJ1222" s="34">
        <f>SUMPRODUCT(DB_STProjectsSOF[[#This Row],[Act01]:[Act12]],$P$3:$AA$3)/valUnits2</f>
        <v>11.651449999999999</v>
      </c>
      <c r="AK1222" s="34">
        <f>IF(DB_STProjectsSOF[[#This Row],[FY Plan]]&lt;&gt;0,DB_STProjectsSOF[[#This Row],[FY Actuals]]/DB_STProjectsSOF[[#This Row],[FY Plan]],1.000011000011)</f>
        <v>1.0066269278502462</v>
      </c>
    </row>
    <row r="1223" spans="1:37" hidden="1" x14ac:dyDescent="0.2">
      <c r="A1223">
        <f>SUBTOTAL(3,$B$6:B1223)</f>
        <v>0</v>
      </c>
      <c r="B1223" t="s">
        <v>515</v>
      </c>
      <c r="C1223" t="s">
        <v>362</v>
      </c>
      <c r="D1223">
        <v>0</v>
      </c>
      <c r="G1223">
        <v>773.56600000000003</v>
      </c>
      <c r="H1223">
        <v>11320.175999999998</v>
      </c>
      <c r="I1223">
        <v>9854.0659999999971</v>
      </c>
      <c r="P1223">
        <v>0</v>
      </c>
      <c r="S1223">
        <v>762.01</v>
      </c>
      <c r="T1223">
        <v>11343.030000000002</v>
      </c>
      <c r="U1223">
        <v>62096.54</v>
      </c>
      <c r="AB1223" s="164">
        <v>40909</v>
      </c>
      <c r="AC1223" s="164">
        <v>41486</v>
      </c>
      <c r="AD1223" s="164">
        <v>41670</v>
      </c>
      <c r="AE1223" s="34">
        <f>SUMPRODUCT(DB_STProjectsSOF[[#This Row],[Plan01]:[Plan12]],$D$4:$O$4)/valUnits2</f>
        <v>21.947807999999998</v>
      </c>
      <c r="AF1223" s="34">
        <f>SUMPRODUCT(DB_STProjectsSOF[[#This Row],[Act01]:[Act12]],$P$4:$AA$4)/valUnits2</f>
        <v>74.201580000000007</v>
      </c>
      <c r="AG1223" s="34">
        <f>DB_STProjectsSOF[[#This Row],[Actual]]-DB_STProjectsSOF[[#This Row],[Plan]]</f>
        <v>52.253772000000012</v>
      </c>
      <c r="AH1223" s="34">
        <f>IF(DB_STProjectsSOF[[#This Row],[Plan]]&lt;&gt;0,DB_STProjectsSOF[[#This Row],[Actual]]/DB_STProjectsSOF[[#This Row],[Plan]],1.000011000011)</f>
        <v>3.3808196244472346</v>
      </c>
      <c r="AI1223" s="34">
        <f>SUM(DB_STProjectsSOF[[#This Row],[Plan01]:[Plan12]])/valUnits2</f>
        <v>21.947807999999998</v>
      </c>
      <c r="AJ1223" s="34">
        <f>SUMPRODUCT(DB_STProjectsSOF[[#This Row],[Act01]:[Act12]],$P$3:$AA$3)/valUnits2</f>
        <v>74.201580000000007</v>
      </c>
      <c r="AK1223" s="34">
        <f>IF(DB_STProjectsSOF[[#This Row],[FY Plan]]&lt;&gt;0,DB_STProjectsSOF[[#This Row],[FY Actuals]]/DB_STProjectsSOF[[#This Row],[FY Plan]],1.000011000011)</f>
        <v>3.3808196244472346</v>
      </c>
    </row>
    <row r="1224" spans="1:37" hidden="1" x14ac:dyDescent="0.2">
      <c r="A1224">
        <f>SUBTOTAL(3,$B$6:B1224)</f>
        <v>0</v>
      </c>
      <c r="B1224" t="s">
        <v>515</v>
      </c>
      <c r="C1224" t="s">
        <v>358</v>
      </c>
      <c r="D1224">
        <v>1612.9280000000001</v>
      </c>
      <c r="E1224">
        <v>2464.7570000000001</v>
      </c>
      <c r="F1224">
        <v>2427.3879999999995</v>
      </c>
      <c r="G1224">
        <v>37145.897999999994</v>
      </c>
      <c r="H1224">
        <v>7729.2829999999976</v>
      </c>
      <c r="I1224">
        <v>28963.570000000003</v>
      </c>
      <c r="J1224">
        <v>31603.296999999999</v>
      </c>
      <c r="K1224">
        <v>33861.678</v>
      </c>
      <c r="L1224">
        <v>37505.089000000007</v>
      </c>
      <c r="M1224">
        <v>37362.669000000009</v>
      </c>
      <c r="N1224">
        <v>37564.241999999998</v>
      </c>
      <c r="P1224">
        <v>1645.5099999999998</v>
      </c>
      <c r="Q1224">
        <v>2491.69</v>
      </c>
      <c r="R1224">
        <v>2454.5100000000002</v>
      </c>
      <c r="S1224">
        <v>36971.219999999994</v>
      </c>
      <c r="T1224">
        <v>7857.800000000002</v>
      </c>
      <c r="U1224">
        <v>78227.63</v>
      </c>
      <c r="V1224">
        <v>0</v>
      </c>
      <c r="W1224">
        <v>0</v>
      </c>
      <c r="X1224">
        <v>0</v>
      </c>
      <c r="Y1224">
        <v>0</v>
      </c>
      <c r="Z1224">
        <v>0</v>
      </c>
      <c r="AB1224" s="164">
        <v>41091</v>
      </c>
      <c r="AC1224" s="164">
        <v>41455</v>
      </c>
      <c r="AD1224" s="164">
        <v>41517</v>
      </c>
      <c r="AE1224" s="34">
        <f>SUMPRODUCT(DB_STProjectsSOF[[#This Row],[Plan01]:[Plan12]],$D$4:$O$4)/valUnits2</f>
        <v>80.343823999999998</v>
      </c>
      <c r="AF1224" s="34">
        <f>SUMPRODUCT(DB_STProjectsSOF[[#This Row],[Act01]:[Act12]],$P$4:$AA$4)/valUnits2</f>
        <v>129.64836</v>
      </c>
      <c r="AG1224" s="34">
        <f>DB_STProjectsSOF[[#This Row],[Actual]]-DB_STProjectsSOF[[#This Row],[Plan]]</f>
        <v>49.304535999999999</v>
      </c>
      <c r="AH1224" s="34">
        <f>IF(DB_STProjectsSOF[[#This Row],[Plan]]&lt;&gt;0,DB_STProjectsSOF[[#This Row],[Actual]]/DB_STProjectsSOF[[#This Row],[Plan]],1.000011000011)</f>
        <v>1.6136692722019306</v>
      </c>
      <c r="AI1224" s="34">
        <f>SUM(DB_STProjectsSOF[[#This Row],[Plan01]:[Plan12]])/valUnits2</f>
        <v>258.24079900000004</v>
      </c>
      <c r="AJ1224" s="34">
        <f>SUMPRODUCT(DB_STProjectsSOF[[#This Row],[Act01]:[Act12]],$P$3:$AA$3)/valUnits2</f>
        <v>129.64836</v>
      </c>
      <c r="AK1224" s="34">
        <f>IF(DB_STProjectsSOF[[#This Row],[FY Plan]]&lt;&gt;0,DB_STProjectsSOF[[#This Row],[FY Actuals]]/DB_STProjectsSOF[[#This Row],[FY Plan]],1.000011000011)</f>
        <v>0.50204445038136669</v>
      </c>
    </row>
    <row r="1225" spans="1:37" hidden="1" x14ac:dyDescent="0.2">
      <c r="A1225">
        <f>SUBTOTAL(3,$B$6:B1225)</f>
        <v>0</v>
      </c>
      <c r="B1225" t="s">
        <v>515</v>
      </c>
      <c r="C1225" t="s">
        <v>928</v>
      </c>
      <c r="D1225">
        <v>13773.96800000001</v>
      </c>
      <c r="E1225">
        <v>4404.3419999999996</v>
      </c>
      <c r="F1225">
        <v>3943.9870000000001</v>
      </c>
      <c r="G1225">
        <v>23190.711000000003</v>
      </c>
      <c r="H1225">
        <v>386.22800000000001</v>
      </c>
      <c r="I1225">
        <v>0</v>
      </c>
      <c r="P1225">
        <v>13426.629999999997</v>
      </c>
      <c r="Q1225">
        <v>4502.01</v>
      </c>
      <c r="R1225">
        <v>3992.2799999999997</v>
      </c>
      <c r="S1225">
        <v>22991.829999999998</v>
      </c>
      <c r="T1225">
        <v>385.57000000000005</v>
      </c>
      <c r="U1225">
        <v>-22224.769999999997</v>
      </c>
      <c r="AB1225" s="164">
        <v>40817</v>
      </c>
      <c r="AC1225" s="164">
        <v>41305</v>
      </c>
      <c r="AD1225" s="164">
        <v>41394</v>
      </c>
      <c r="AE1225" s="34">
        <f>SUMPRODUCT(DB_STProjectsSOF[[#This Row],[Plan01]:[Plan12]],$D$4:$O$4)/valUnits2</f>
        <v>45.69923600000002</v>
      </c>
      <c r="AF1225" s="34">
        <f>SUMPRODUCT(DB_STProjectsSOF[[#This Row],[Act01]:[Act12]],$P$4:$AA$4)/valUnits2</f>
        <v>23.073550000000004</v>
      </c>
      <c r="AG1225" s="34">
        <f>DB_STProjectsSOF[[#This Row],[Actual]]-DB_STProjectsSOF[[#This Row],[Plan]]</f>
        <v>-22.625686000000016</v>
      </c>
      <c r="AH1225" s="34">
        <f>IF(DB_STProjectsSOF[[#This Row],[Plan]]&lt;&gt;0,DB_STProjectsSOF[[#This Row],[Actual]]/DB_STProjectsSOF[[#This Row],[Plan]],1.000011000011)</f>
        <v>0.50490012568262621</v>
      </c>
      <c r="AI1225" s="34">
        <f>SUM(DB_STProjectsSOF[[#This Row],[Plan01]:[Plan12]])/valUnits2</f>
        <v>45.69923600000002</v>
      </c>
      <c r="AJ1225" s="34">
        <f>SUMPRODUCT(DB_STProjectsSOF[[#This Row],[Act01]:[Act12]],$P$3:$AA$3)/valUnits2</f>
        <v>23.073550000000004</v>
      </c>
      <c r="AK1225" s="34">
        <f>IF(DB_STProjectsSOF[[#This Row],[FY Plan]]&lt;&gt;0,DB_STProjectsSOF[[#This Row],[FY Actuals]]/DB_STProjectsSOF[[#This Row],[FY Plan]],1.000011000011)</f>
        <v>0.50490012568262621</v>
      </c>
    </row>
    <row r="1226" spans="1:37" hidden="1" x14ac:dyDescent="0.2">
      <c r="A1226">
        <f>SUBTOTAL(3,$B$6:B1226)</f>
        <v>0</v>
      </c>
      <c r="B1226" t="s">
        <v>516</v>
      </c>
      <c r="C1226" t="s">
        <v>361</v>
      </c>
      <c r="D1226">
        <v>29175.425000000003</v>
      </c>
      <c r="E1226">
        <v>5391.5889999999999</v>
      </c>
      <c r="F1226">
        <v>3659.3919999999998</v>
      </c>
      <c r="G1226">
        <v>15298.187999999998</v>
      </c>
      <c r="H1226">
        <v>5988.0910000000003</v>
      </c>
      <c r="I1226">
        <v>14621.733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29736.309999999998</v>
      </c>
      <c r="Q1226">
        <v>5419.8799999999983</v>
      </c>
      <c r="R1226">
        <v>3689.6899999999996</v>
      </c>
      <c r="S1226">
        <v>14909.330000000002</v>
      </c>
      <c r="T1226">
        <v>6076.8099999999995</v>
      </c>
      <c r="U1226">
        <v>19202.490000000002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 s="164">
        <v>41091</v>
      </c>
      <c r="AC1226" s="164">
        <v>41455</v>
      </c>
      <c r="AD1226" s="164">
        <v>41486</v>
      </c>
      <c r="AE1226" s="34">
        <f>SUMPRODUCT(DB_STProjectsSOF[[#This Row],[Plan01]:[Plan12]],$D$4:$O$4)/valUnits2</f>
        <v>74.134418000000011</v>
      </c>
      <c r="AF1226" s="34">
        <f>SUMPRODUCT(DB_STProjectsSOF[[#This Row],[Act01]:[Act12]],$P$4:$AA$4)/valUnits2</f>
        <v>79.034509999999997</v>
      </c>
      <c r="AG1226" s="34">
        <f>DB_STProjectsSOF[[#This Row],[Actual]]-DB_STProjectsSOF[[#This Row],[Plan]]</f>
        <v>4.9000919999999866</v>
      </c>
      <c r="AH1226" s="34">
        <f>IF(DB_STProjectsSOF[[#This Row],[Plan]]&lt;&gt;0,DB_STProjectsSOF[[#This Row],[Actual]]/DB_STProjectsSOF[[#This Row],[Plan]],1.000011000011)</f>
        <v>1.0660973962188518</v>
      </c>
      <c r="AI1226" s="34">
        <f>SUM(DB_STProjectsSOF[[#This Row],[Plan01]:[Plan12]])/valUnits2</f>
        <v>74.134418000000011</v>
      </c>
      <c r="AJ1226" s="34">
        <f>SUMPRODUCT(DB_STProjectsSOF[[#This Row],[Act01]:[Act12]],$P$3:$AA$3)/valUnits2</f>
        <v>79.034509999999997</v>
      </c>
      <c r="AK1226" s="34">
        <f>IF(DB_STProjectsSOF[[#This Row],[FY Plan]]&lt;&gt;0,DB_STProjectsSOF[[#This Row],[FY Actuals]]/DB_STProjectsSOF[[#This Row],[FY Plan]],1.000011000011)</f>
        <v>1.0660973962188518</v>
      </c>
    </row>
    <row r="1227" spans="1:37" hidden="1" x14ac:dyDescent="0.2">
      <c r="A1227">
        <f>SUBTOTAL(3,$B$6:B1227)</f>
        <v>0</v>
      </c>
      <c r="B1227" t="s">
        <v>516</v>
      </c>
      <c r="C1227" t="s">
        <v>900</v>
      </c>
      <c r="F1227">
        <v>-9.4999999996446149E-2</v>
      </c>
      <c r="R1227">
        <v>-8.9999999999577085E-2</v>
      </c>
      <c r="AB1227" s="164">
        <v>40817</v>
      </c>
      <c r="AC1227" s="164">
        <v>41090</v>
      </c>
      <c r="AD1227" s="164">
        <v>41109</v>
      </c>
      <c r="AE1227" s="34">
        <f>SUMPRODUCT(DB_STProjectsSOF[[#This Row],[Plan01]:[Plan12]],$D$4:$O$4)/valUnits2</f>
        <v>-9.4999999996446153E-5</v>
      </c>
      <c r="AF1227" s="34">
        <f>SUMPRODUCT(DB_STProjectsSOF[[#This Row],[Act01]:[Act12]],$P$4:$AA$4)/valUnits2</f>
        <v>-8.9999999999577086E-5</v>
      </c>
      <c r="AG1227" s="34">
        <f>DB_STProjectsSOF[[#This Row],[Actual]]-DB_STProjectsSOF[[#This Row],[Plan]]</f>
        <v>4.9999999968690676E-6</v>
      </c>
      <c r="AH1227" s="34">
        <f>IF(DB_STProjectsSOF[[#This Row],[Plan]]&lt;&gt;0,DB_STProjectsSOF[[#This Row],[Actual]]/DB_STProjectsSOF[[#This Row],[Plan]],1.000011000011)</f>
        <v>0.94736842108361985</v>
      </c>
      <c r="AI1227" s="34">
        <f>SUM(DB_STProjectsSOF[[#This Row],[Plan01]:[Plan12]])/valUnits2</f>
        <v>-9.4999999996446153E-5</v>
      </c>
      <c r="AJ1227" s="34">
        <f>SUMPRODUCT(DB_STProjectsSOF[[#This Row],[Act01]:[Act12]],$P$3:$AA$3)/valUnits2</f>
        <v>-8.9999999999577086E-5</v>
      </c>
      <c r="AK1227" s="34">
        <f>IF(DB_STProjectsSOF[[#This Row],[FY Plan]]&lt;&gt;0,DB_STProjectsSOF[[#This Row],[FY Actuals]]/DB_STProjectsSOF[[#This Row],[FY Plan]],1.000011000011)</f>
        <v>0.94736842108361985</v>
      </c>
    </row>
    <row r="1228" spans="1:37" hidden="1" x14ac:dyDescent="0.2">
      <c r="A1228">
        <f>SUBTOTAL(3,$B$6:B1228)</f>
        <v>0</v>
      </c>
      <c r="B1228" t="s">
        <v>516</v>
      </c>
      <c r="C1228" t="s">
        <v>359</v>
      </c>
      <c r="D1228">
        <v>0</v>
      </c>
      <c r="E1228">
        <v>0</v>
      </c>
      <c r="F1228">
        <v>2453.7269999999999</v>
      </c>
      <c r="G1228">
        <v>4211.6930000000002</v>
      </c>
      <c r="H1228">
        <v>348.37899999999991</v>
      </c>
      <c r="I1228">
        <v>4348.768</v>
      </c>
      <c r="J1228">
        <v>0</v>
      </c>
      <c r="P1228">
        <v>0</v>
      </c>
      <c r="Q1228">
        <v>0</v>
      </c>
      <c r="R1228">
        <v>2425.6799999999998</v>
      </c>
      <c r="S1228">
        <v>4242.33</v>
      </c>
      <c r="T1228">
        <v>353.37000000000012</v>
      </c>
      <c r="U1228">
        <v>534.29999999999939</v>
      </c>
      <c r="V1228">
        <v>238.23</v>
      </c>
      <c r="AB1228" s="164">
        <v>41275</v>
      </c>
      <c r="AC1228" s="164">
        <v>41455</v>
      </c>
      <c r="AD1228" s="164">
        <v>41547</v>
      </c>
      <c r="AE1228" s="34">
        <f>SUMPRODUCT(DB_STProjectsSOF[[#This Row],[Plan01]:[Plan12]],$D$4:$O$4)/valUnits2</f>
        <v>11.362566999999999</v>
      </c>
      <c r="AF1228" s="34">
        <f>SUMPRODUCT(DB_STProjectsSOF[[#This Row],[Act01]:[Act12]],$P$4:$AA$4)/valUnits2</f>
        <v>7.5556799999999997</v>
      </c>
      <c r="AG1228" s="34">
        <f>DB_STProjectsSOF[[#This Row],[Actual]]-DB_STProjectsSOF[[#This Row],[Plan]]</f>
        <v>-3.8068869999999988</v>
      </c>
      <c r="AH1228" s="34">
        <f>IF(DB_STProjectsSOF[[#This Row],[Plan]]&lt;&gt;0,DB_STProjectsSOF[[#This Row],[Actual]]/DB_STProjectsSOF[[#This Row],[Plan]],1.000011000011)</f>
        <v>0.66496241562315983</v>
      </c>
      <c r="AI1228" s="34">
        <f>SUM(DB_STProjectsSOF[[#This Row],[Plan01]:[Plan12]])/valUnits2</f>
        <v>11.362566999999999</v>
      </c>
      <c r="AJ1228" s="34">
        <f>SUMPRODUCT(DB_STProjectsSOF[[#This Row],[Act01]:[Act12]],$P$3:$AA$3)/valUnits2</f>
        <v>7.5556799999999997</v>
      </c>
      <c r="AK1228" s="34">
        <f>IF(DB_STProjectsSOF[[#This Row],[FY Plan]]&lt;&gt;0,DB_STProjectsSOF[[#This Row],[FY Actuals]]/DB_STProjectsSOF[[#This Row],[FY Plan]],1.000011000011)</f>
        <v>0.66496241562315983</v>
      </c>
    </row>
    <row r="1229" spans="1:37" hidden="1" x14ac:dyDescent="0.2">
      <c r="A1229">
        <f>SUBTOTAL(3,$B$6:B1229)</f>
        <v>0</v>
      </c>
      <c r="B1229" t="s">
        <v>516</v>
      </c>
      <c r="C1229" t="s">
        <v>360</v>
      </c>
      <c r="D1229">
        <v>1081.4570000000001</v>
      </c>
      <c r="E1229">
        <v>3682.498</v>
      </c>
      <c r="F1229">
        <v>13794.330000000002</v>
      </c>
      <c r="G1229">
        <v>19136.292999999998</v>
      </c>
      <c r="H1229">
        <v>2495.6530000000002</v>
      </c>
      <c r="I1229">
        <v>15802.603999999998</v>
      </c>
      <c r="J1229">
        <v>0</v>
      </c>
      <c r="P1229">
        <v>1091.95</v>
      </c>
      <c r="Q1229">
        <v>3753.04</v>
      </c>
      <c r="R1229">
        <v>13656.68</v>
      </c>
      <c r="S1229">
        <v>19282</v>
      </c>
      <c r="T1229">
        <v>2549.41</v>
      </c>
      <c r="U1229">
        <v>2753.2699999999982</v>
      </c>
      <c r="V1229">
        <v>1085.23</v>
      </c>
      <c r="AB1229" s="164">
        <v>41091</v>
      </c>
      <c r="AC1229" s="164">
        <v>41455</v>
      </c>
      <c r="AD1229" s="164">
        <v>41547</v>
      </c>
      <c r="AE1229" s="34">
        <f>SUMPRODUCT(DB_STProjectsSOF[[#This Row],[Plan01]:[Plan12]],$D$4:$O$4)/valUnits2</f>
        <v>55.992834999999999</v>
      </c>
      <c r="AF1229" s="34">
        <f>SUMPRODUCT(DB_STProjectsSOF[[#This Row],[Act01]:[Act12]],$P$4:$AA$4)/valUnits2</f>
        <v>43.086349999999996</v>
      </c>
      <c r="AG1229" s="34">
        <f>DB_STProjectsSOF[[#This Row],[Actual]]-DB_STProjectsSOF[[#This Row],[Plan]]</f>
        <v>-12.906485000000004</v>
      </c>
      <c r="AH1229" s="34">
        <f>IF(DB_STProjectsSOF[[#This Row],[Plan]]&lt;&gt;0,DB_STProjectsSOF[[#This Row],[Actual]]/DB_STProjectsSOF[[#This Row],[Plan]],1.000011000011)</f>
        <v>0.76949756160765925</v>
      </c>
      <c r="AI1229" s="34">
        <f>SUM(DB_STProjectsSOF[[#This Row],[Plan01]:[Plan12]])/valUnits2</f>
        <v>55.992834999999999</v>
      </c>
      <c r="AJ1229" s="34">
        <f>SUMPRODUCT(DB_STProjectsSOF[[#This Row],[Act01]:[Act12]],$P$3:$AA$3)/valUnits2</f>
        <v>43.086349999999996</v>
      </c>
      <c r="AK1229" s="34">
        <f>IF(DB_STProjectsSOF[[#This Row],[FY Plan]]&lt;&gt;0,DB_STProjectsSOF[[#This Row],[FY Actuals]]/DB_STProjectsSOF[[#This Row],[FY Plan]],1.000011000011)</f>
        <v>0.76949756160765925</v>
      </c>
    </row>
    <row r="1230" spans="1:37" hidden="1" x14ac:dyDescent="0.2">
      <c r="A1230">
        <f>SUBTOTAL(3,$B$6:B1230)</f>
        <v>0</v>
      </c>
      <c r="B1230" t="s">
        <v>517</v>
      </c>
      <c r="C1230" t="s">
        <v>928</v>
      </c>
      <c r="D1230">
        <v>4215.1239999999998</v>
      </c>
      <c r="E1230">
        <v>4144.5030000000006</v>
      </c>
      <c r="F1230">
        <v>3940.9319999999998</v>
      </c>
      <c r="G1230">
        <v>4317.5479999999998</v>
      </c>
      <c r="I1230">
        <v>0</v>
      </c>
      <c r="P1230">
        <v>4152.7900000000009</v>
      </c>
      <c r="Q1230">
        <v>4231.41</v>
      </c>
      <c r="R1230">
        <v>3977.13</v>
      </c>
      <c r="S1230">
        <v>4292.93</v>
      </c>
      <c r="U1230">
        <v>-12501.470000000001</v>
      </c>
      <c r="AB1230" s="164">
        <v>40817</v>
      </c>
      <c r="AC1230" s="164">
        <v>41305</v>
      </c>
      <c r="AD1230" s="164">
        <v>41394</v>
      </c>
      <c r="AE1230" s="34">
        <f>SUMPRODUCT(DB_STProjectsSOF[[#This Row],[Plan01]:[Plan12]],$D$4:$O$4)/valUnits2</f>
        <v>16.618106999999998</v>
      </c>
      <c r="AF1230" s="34">
        <f>SUMPRODUCT(DB_STProjectsSOF[[#This Row],[Act01]:[Act12]],$P$4:$AA$4)/valUnits2</f>
        <v>4.1527900000000013</v>
      </c>
      <c r="AG1230" s="34">
        <f>DB_STProjectsSOF[[#This Row],[Actual]]-DB_STProjectsSOF[[#This Row],[Plan]]</f>
        <v>-12.465316999999997</v>
      </c>
      <c r="AH1230" s="34">
        <f>IF(DB_STProjectsSOF[[#This Row],[Plan]]&lt;&gt;0,DB_STProjectsSOF[[#This Row],[Actual]]/DB_STProjectsSOF[[#This Row],[Plan]],1.000011000011)</f>
        <v>0.24989549050322046</v>
      </c>
      <c r="AI1230" s="34">
        <f>SUM(DB_STProjectsSOF[[#This Row],[Plan01]:[Plan12]])/valUnits2</f>
        <v>16.618106999999998</v>
      </c>
      <c r="AJ1230" s="34">
        <f>SUMPRODUCT(DB_STProjectsSOF[[#This Row],[Act01]:[Act12]],$P$3:$AA$3)/valUnits2</f>
        <v>4.1527900000000013</v>
      </c>
      <c r="AK1230" s="34">
        <f>IF(DB_STProjectsSOF[[#This Row],[FY Plan]]&lt;&gt;0,DB_STProjectsSOF[[#This Row],[FY Actuals]]/DB_STProjectsSOF[[#This Row],[FY Plan]],1.000011000011)</f>
        <v>0.24989549050322046</v>
      </c>
    </row>
    <row r="1231" spans="1:37" hidden="1" x14ac:dyDescent="0.2">
      <c r="A1231">
        <f>SUBTOTAL(3,$B$6:B1231)</f>
        <v>0</v>
      </c>
      <c r="B1231" t="s">
        <v>518</v>
      </c>
      <c r="C1231" t="s">
        <v>853</v>
      </c>
      <c r="F1231">
        <v>336.26799999999997</v>
      </c>
      <c r="G1231">
        <v>320.65600000000001</v>
      </c>
      <c r="H1231">
        <v>175.089</v>
      </c>
      <c r="I1231">
        <v>554.19899999999996</v>
      </c>
      <c r="J1231">
        <v>1924.893</v>
      </c>
      <c r="K1231">
        <v>1924.893</v>
      </c>
      <c r="L1231">
        <v>554.19900000000007</v>
      </c>
      <c r="M1231">
        <v>1924.893</v>
      </c>
      <c r="N1231">
        <v>1924.893</v>
      </c>
      <c r="O1231">
        <v>554.19900000000007</v>
      </c>
      <c r="R1231">
        <v>335.14</v>
      </c>
      <c r="S1231">
        <v>314.67000000000007</v>
      </c>
      <c r="T1231">
        <v>175.92000000000002</v>
      </c>
      <c r="U1231">
        <v>597.64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 s="164">
        <v>41275</v>
      </c>
      <c r="AC1231" s="164">
        <v>41639</v>
      </c>
      <c r="AD1231" s="164">
        <v>41669</v>
      </c>
      <c r="AE1231" s="34">
        <f>SUMPRODUCT(DB_STProjectsSOF[[#This Row],[Plan01]:[Plan12]],$D$4:$O$4)/valUnits2</f>
        <v>1.386212</v>
      </c>
      <c r="AF1231" s="34">
        <f>SUMPRODUCT(DB_STProjectsSOF[[#This Row],[Act01]:[Act12]],$P$4:$AA$4)/valUnits2</f>
        <v>1.4233699999999998</v>
      </c>
      <c r="AG1231" s="34">
        <f>DB_STProjectsSOF[[#This Row],[Actual]]-DB_STProjectsSOF[[#This Row],[Plan]]</f>
        <v>3.7157999999999802E-2</v>
      </c>
      <c r="AH1231" s="34">
        <f>IF(DB_STProjectsSOF[[#This Row],[Plan]]&lt;&gt;0,DB_STProjectsSOF[[#This Row],[Actual]]/DB_STProjectsSOF[[#This Row],[Plan]],1.000011000011)</f>
        <v>1.026805423701425</v>
      </c>
      <c r="AI1231" s="34">
        <f>SUM(DB_STProjectsSOF[[#This Row],[Plan01]:[Plan12]])/valUnits2</f>
        <v>10.194182000000001</v>
      </c>
      <c r="AJ1231" s="34">
        <f>SUMPRODUCT(DB_STProjectsSOF[[#This Row],[Act01]:[Act12]],$P$3:$AA$3)/valUnits2</f>
        <v>1.4233699999999998</v>
      </c>
      <c r="AK1231" s="34">
        <f>IF(DB_STProjectsSOF[[#This Row],[FY Plan]]&lt;&gt;0,DB_STProjectsSOF[[#This Row],[FY Actuals]]/DB_STProjectsSOF[[#This Row],[FY Plan]],1.000011000011)</f>
        <v>0.13962571984686947</v>
      </c>
    </row>
    <row r="1232" spans="1:37" hidden="1" x14ac:dyDescent="0.2">
      <c r="A1232">
        <f>SUBTOTAL(3,$B$6:B1232)</f>
        <v>0</v>
      </c>
      <c r="B1232" t="s">
        <v>518</v>
      </c>
      <c r="C1232" t="s">
        <v>858</v>
      </c>
      <c r="D1232">
        <v>1531.98</v>
      </c>
      <c r="E1232">
        <v>2067.5500000000002</v>
      </c>
      <c r="F1232">
        <v>2275.65</v>
      </c>
      <c r="G1232">
        <v>2495.92</v>
      </c>
      <c r="H1232">
        <v>6837.23</v>
      </c>
      <c r="I1232">
        <v>6140.0830000000005</v>
      </c>
      <c r="J1232">
        <v>6140.0830000000005</v>
      </c>
      <c r="K1232">
        <v>7015.0830000000005</v>
      </c>
      <c r="L1232">
        <v>6140.0830000000005</v>
      </c>
      <c r="M1232">
        <v>6140.0830000000005</v>
      </c>
      <c r="N1232">
        <v>6140.0830000000005</v>
      </c>
      <c r="O1232">
        <v>6140.0829999999996</v>
      </c>
      <c r="P1232">
        <v>1531.98</v>
      </c>
      <c r="Q1232">
        <v>2067.5500000000002</v>
      </c>
      <c r="R1232">
        <v>2275.65</v>
      </c>
      <c r="S1232">
        <v>2495.92</v>
      </c>
      <c r="T1232">
        <v>6837.23</v>
      </c>
      <c r="U1232">
        <v>4994.3999999999996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 s="164">
        <v>41275</v>
      </c>
      <c r="AC1232" s="164">
        <v>41639</v>
      </c>
      <c r="AD1232" s="164">
        <v>41784</v>
      </c>
      <c r="AE1232" s="34">
        <f>SUMPRODUCT(DB_STProjectsSOF[[#This Row],[Plan01]:[Plan12]],$D$4:$O$4)/valUnits2</f>
        <v>21.348413000000001</v>
      </c>
      <c r="AF1232" s="34">
        <f>SUMPRODUCT(DB_STProjectsSOF[[#This Row],[Act01]:[Act12]],$P$4:$AA$4)/valUnits2</f>
        <v>20.202729999999999</v>
      </c>
      <c r="AG1232" s="34">
        <f>DB_STProjectsSOF[[#This Row],[Actual]]-DB_STProjectsSOF[[#This Row],[Plan]]</f>
        <v>-1.1456830000000018</v>
      </c>
      <c r="AH1232" s="34">
        <f>IF(DB_STProjectsSOF[[#This Row],[Plan]]&lt;&gt;0,DB_STProjectsSOF[[#This Row],[Actual]]/DB_STProjectsSOF[[#This Row],[Plan]],1.000011000011)</f>
        <v>0.94633404365935769</v>
      </c>
      <c r="AI1232" s="34">
        <f>SUM(DB_STProjectsSOF[[#This Row],[Plan01]:[Plan12]])/valUnits2</f>
        <v>59.06391099999999</v>
      </c>
      <c r="AJ1232" s="34">
        <f>SUMPRODUCT(DB_STProjectsSOF[[#This Row],[Act01]:[Act12]],$P$3:$AA$3)/valUnits2</f>
        <v>20.202729999999999</v>
      </c>
      <c r="AK1232" s="34">
        <f>IF(DB_STProjectsSOF[[#This Row],[FY Plan]]&lt;&gt;0,DB_STProjectsSOF[[#This Row],[FY Actuals]]/DB_STProjectsSOF[[#This Row],[FY Plan]],1.000011000011)</f>
        <v>0.34204863270906666</v>
      </c>
    </row>
    <row r="1233" spans="1:37" hidden="1" x14ac:dyDescent="0.2">
      <c r="A1233">
        <f>SUBTOTAL(3,$B$6:B1233)</f>
        <v>0</v>
      </c>
      <c r="B1233" t="s">
        <v>518</v>
      </c>
      <c r="C1233" t="s">
        <v>859</v>
      </c>
      <c r="D1233">
        <v>-3797.5699999999956</v>
      </c>
      <c r="E1233">
        <v>26265.154999999995</v>
      </c>
      <c r="F1233">
        <v>1074.7699999999945</v>
      </c>
      <c r="G1233">
        <v>129110.208</v>
      </c>
      <c r="H1233">
        <v>5634.0660000000053</v>
      </c>
      <c r="I1233">
        <v>90752.037000000011</v>
      </c>
      <c r="J1233">
        <v>45084.934000000008</v>
      </c>
      <c r="K1233">
        <v>45318.159000000021</v>
      </c>
      <c r="L1233">
        <v>42878.477000000014</v>
      </c>
      <c r="M1233">
        <v>41226.447000000007</v>
      </c>
      <c r="N1233">
        <v>63712.292000000016</v>
      </c>
      <c r="O1233">
        <v>52670.436000000023</v>
      </c>
      <c r="P1233">
        <v>-3699.7099999999909</v>
      </c>
      <c r="Q1233">
        <v>27140.720000000001</v>
      </c>
      <c r="R1233">
        <v>1085.9100000000003</v>
      </c>
      <c r="S1233">
        <v>127526.94</v>
      </c>
      <c r="T1233">
        <v>5640.9299999999894</v>
      </c>
      <c r="U1233">
        <v>7776.0099999999838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 s="164">
        <v>40909</v>
      </c>
      <c r="AC1233" s="164">
        <v>42004</v>
      </c>
      <c r="AD1233" s="164">
        <v>42094</v>
      </c>
      <c r="AE1233" s="34">
        <f>SUMPRODUCT(DB_STProjectsSOF[[#This Row],[Plan01]:[Plan12]],$D$4:$O$4)/valUnits2</f>
        <v>249.03866600000001</v>
      </c>
      <c r="AF1233" s="34">
        <f>SUMPRODUCT(DB_STProjectsSOF[[#This Row],[Act01]:[Act12]],$P$4:$AA$4)/valUnits2</f>
        <v>165.4708</v>
      </c>
      <c r="AG1233" s="34">
        <f>DB_STProjectsSOF[[#This Row],[Actual]]-DB_STProjectsSOF[[#This Row],[Plan]]</f>
        <v>-83.567866000000009</v>
      </c>
      <c r="AH1233" s="34">
        <f>IF(DB_STProjectsSOF[[#This Row],[Plan]]&lt;&gt;0,DB_STProjectsSOF[[#This Row],[Actual]]/DB_STProjectsSOF[[#This Row],[Plan]],1.000011000011)</f>
        <v>0.66443818808441579</v>
      </c>
      <c r="AI1233" s="34">
        <f>SUM(DB_STProjectsSOF[[#This Row],[Plan01]:[Plan12]])/valUnits2</f>
        <v>539.92941100000007</v>
      </c>
      <c r="AJ1233" s="34">
        <f>SUMPRODUCT(DB_STProjectsSOF[[#This Row],[Act01]:[Act12]],$P$3:$AA$3)/valUnits2</f>
        <v>165.4708</v>
      </c>
      <c r="AK1233" s="34">
        <f>IF(DB_STProjectsSOF[[#This Row],[FY Plan]]&lt;&gt;0,DB_STProjectsSOF[[#This Row],[FY Actuals]]/DB_STProjectsSOF[[#This Row],[FY Plan]],1.000011000011)</f>
        <v>0.30646746894845478</v>
      </c>
    </row>
    <row r="1234" spans="1:37" hidden="1" x14ac:dyDescent="0.2">
      <c r="A1234">
        <f>SUBTOTAL(3,$B$6:B1234)</f>
        <v>0</v>
      </c>
      <c r="B1234" t="s">
        <v>518</v>
      </c>
      <c r="C1234" t="s">
        <v>862</v>
      </c>
      <c r="F1234">
        <v>99.876999999999995</v>
      </c>
      <c r="G1234">
        <v>6930.0259999999998</v>
      </c>
      <c r="H1234">
        <v>80476.503000000012</v>
      </c>
      <c r="I1234">
        <v>31600.264999999996</v>
      </c>
      <c r="J1234">
        <v>31600.264999999996</v>
      </c>
      <c r="K1234">
        <v>31600.264999999999</v>
      </c>
      <c r="L1234">
        <v>31600.264999999999</v>
      </c>
      <c r="M1234">
        <v>31600.264999999999</v>
      </c>
      <c r="N1234">
        <v>31600.264999999999</v>
      </c>
      <c r="O1234">
        <v>31600.264999999999</v>
      </c>
      <c r="R1234">
        <v>101.13</v>
      </c>
      <c r="S1234">
        <v>6973.49</v>
      </c>
      <c r="T1234">
        <v>79531.429999999978</v>
      </c>
      <c r="U1234">
        <v>13190.53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 s="164">
        <v>41275</v>
      </c>
      <c r="AC1234" s="164">
        <v>41639</v>
      </c>
      <c r="AD1234" s="164">
        <v>3</v>
      </c>
      <c r="AE1234" s="34">
        <f>SUMPRODUCT(DB_STProjectsSOF[[#This Row],[Plan01]:[Plan12]],$D$4:$O$4)/valUnits2</f>
        <v>119.10667100000002</v>
      </c>
      <c r="AF1234" s="34">
        <f>SUMPRODUCT(DB_STProjectsSOF[[#This Row],[Act01]:[Act12]],$P$4:$AA$4)/valUnits2</f>
        <v>99.796579999999977</v>
      </c>
      <c r="AG1234" s="34">
        <f>DB_STProjectsSOF[[#This Row],[Actual]]-DB_STProjectsSOF[[#This Row],[Plan]]</f>
        <v>-19.310091000000043</v>
      </c>
      <c r="AH1234" s="34">
        <f>IF(DB_STProjectsSOF[[#This Row],[Plan]]&lt;&gt;0,DB_STProjectsSOF[[#This Row],[Actual]]/DB_STProjectsSOF[[#This Row],[Plan]],1.000011000011)</f>
        <v>0.83787565517635831</v>
      </c>
      <c r="AI1234" s="34">
        <f>SUM(DB_STProjectsSOF[[#This Row],[Plan01]:[Plan12]])/valUnits2</f>
        <v>308.70826100000005</v>
      </c>
      <c r="AJ1234" s="34">
        <f>SUMPRODUCT(DB_STProjectsSOF[[#This Row],[Act01]:[Act12]],$P$3:$AA$3)/valUnits2</f>
        <v>99.796579999999977</v>
      </c>
      <c r="AK1234" s="34">
        <f>IF(DB_STProjectsSOF[[#This Row],[FY Plan]]&lt;&gt;0,DB_STProjectsSOF[[#This Row],[FY Actuals]]/DB_STProjectsSOF[[#This Row],[FY Plan]],1.000011000011)</f>
        <v>0.32327149159121454</v>
      </c>
    </row>
    <row r="1235" spans="1:37" hidden="1" x14ac:dyDescent="0.2">
      <c r="A1235">
        <f>SUBTOTAL(3,$B$6:B1235)</f>
        <v>0</v>
      </c>
      <c r="B1235" t="s">
        <v>518</v>
      </c>
      <c r="C1235" t="s">
        <v>865</v>
      </c>
      <c r="D1235">
        <v>865.33799999999997</v>
      </c>
      <c r="E1235">
        <v>-877.99099999999999</v>
      </c>
      <c r="F1235">
        <v>0</v>
      </c>
      <c r="G1235">
        <v>0</v>
      </c>
      <c r="H1235">
        <v>11295.225999999999</v>
      </c>
      <c r="I1235">
        <v>2932.069</v>
      </c>
      <c r="J1235">
        <v>2932.069</v>
      </c>
      <c r="K1235">
        <v>2932.069</v>
      </c>
      <c r="L1235">
        <v>2932.069</v>
      </c>
      <c r="M1235">
        <v>2932.069</v>
      </c>
      <c r="N1235">
        <v>2932.069</v>
      </c>
      <c r="O1235">
        <v>2932.069</v>
      </c>
      <c r="P1235">
        <v>865.34</v>
      </c>
      <c r="Q1235">
        <v>-864.9</v>
      </c>
      <c r="R1235">
        <v>0</v>
      </c>
      <c r="S1235">
        <v>0</v>
      </c>
      <c r="T1235">
        <v>11310.3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 s="164">
        <v>40817</v>
      </c>
      <c r="AC1235" s="164">
        <v>41639</v>
      </c>
      <c r="AD1235" s="164">
        <v>41820</v>
      </c>
      <c r="AE1235" s="34">
        <f>SUMPRODUCT(DB_STProjectsSOF[[#This Row],[Plan01]:[Plan12]],$D$4:$O$4)/valUnits2</f>
        <v>14.214641999999998</v>
      </c>
      <c r="AF1235" s="34">
        <f>SUMPRODUCT(DB_STProjectsSOF[[#This Row],[Act01]:[Act12]],$P$4:$AA$4)/valUnits2</f>
        <v>11.310739999999999</v>
      </c>
      <c r="AG1235" s="34">
        <f>DB_STProjectsSOF[[#This Row],[Actual]]-DB_STProjectsSOF[[#This Row],[Plan]]</f>
        <v>-2.9039019999999987</v>
      </c>
      <c r="AH1235" s="34">
        <f>IF(DB_STProjectsSOF[[#This Row],[Plan]]&lt;&gt;0,DB_STProjectsSOF[[#This Row],[Actual]]/DB_STProjectsSOF[[#This Row],[Plan]],1.000011000011)</f>
        <v>0.79571050751753025</v>
      </c>
      <c r="AI1235" s="34">
        <f>SUM(DB_STProjectsSOF[[#This Row],[Plan01]:[Plan12]])/valUnits2</f>
        <v>31.807055999999996</v>
      </c>
      <c r="AJ1235" s="34">
        <f>SUMPRODUCT(DB_STProjectsSOF[[#This Row],[Act01]:[Act12]],$P$3:$AA$3)/valUnits2</f>
        <v>11.310739999999999</v>
      </c>
      <c r="AK1235" s="34">
        <f>IF(DB_STProjectsSOF[[#This Row],[FY Plan]]&lt;&gt;0,DB_STProjectsSOF[[#This Row],[FY Actuals]]/DB_STProjectsSOF[[#This Row],[FY Plan]],1.000011000011)</f>
        <v>0.35560474380275875</v>
      </c>
    </row>
    <row r="1236" spans="1:37" hidden="1" x14ac:dyDescent="0.2">
      <c r="A1236">
        <f>SUBTOTAL(3,$B$6:B1236)</f>
        <v>0</v>
      </c>
      <c r="B1236" t="s">
        <v>518</v>
      </c>
      <c r="C1236" t="s">
        <v>885</v>
      </c>
      <c r="D1236">
        <v>25890.054000000004</v>
      </c>
      <c r="E1236">
        <v>-15561.596000000001</v>
      </c>
      <c r="F1236">
        <v>2978.6980000000003</v>
      </c>
      <c r="G1236">
        <v>93326.723999999973</v>
      </c>
      <c r="H1236">
        <v>73304.005999999979</v>
      </c>
      <c r="I1236">
        <v>40621.507000000005</v>
      </c>
      <c r="J1236">
        <v>40621.507000000005</v>
      </c>
      <c r="K1236">
        <v>40621.507000000005</v>
      </c>
      <c r="L1236">
        <v>40621.507000000005</v>
      </c>
      <c r="M1236">
        <v>40621.507000000005</v>
      </c>
      <c r="N1236">
        <v>40621.507000000005</v>
      </c>
      <c r="O1236">
        <v>40621.507000000005</v>
      </c>
      <c r="P1236">
        <v>25890.05</v>
      </c>
      <c r="Q1236">
        <v>-15235.919999999998</v>
      </c>
      <c r="R1236">
        <v>2978.86</v>
      </c>
      <c r="S1236">
        <v>93688.950000000026</v>
      </c>
      <c r="T1236">
        <v>73630.3</v>
      </c>
      <c r="U1236">
        <v>7543.1099999999924</v>
      </c>
      <c r="V1236">
        <v>11032.87</v>
      </c>
      <c r="W1236">
        <v>0</v>
      </c>
      <c r="X1236">
        <v>0</v>
      </c>
      <c r="Y1236">
        <v>0</v>
      </c>
      <c r="Z1236">
        <v>0</v>
      </c>
      <c r="AA1236">
        <v>0</v>
      </c>
      <c r="AB1236" s="164">
        <v>40817</v>
      </c>
      <c r="AC1236" s="164">
        <v>41639</v>
      </c>
      <c r="AD1236" s="164">
        <v>41820</v>
      </c>
      <c r="AE1236" s="34">
        <f>SUMPRODUCT(DB_STProjectsSOF[[#This Row],[Plan01]:[Plan12]],$D$4:$O$4)/valUnits2</f>
        <v>220.55939299999994</v>
      </c>
      <c r="AF1236" s="34">
        <f>SUMPRODUCT(DB_STProjectsSOF[[#This Row],[Act01]:[Act12]],$P$4:$AA$4)/valUnits2</f>
        <v>188.49535000000003</v>
      </c>
      <c r="AG1236" s="34">
        <f>DB_STProjectsSOF[[#This Row],[Actual]]-DB_STProjectsSOF[[#This Row],[Plan]]</f>
        <v>-32.064042999999913</v>
      </c>
      <c r="AH1236" s="34">
        <f>IF(DB_STProjectsSOF[[#This Row],[Plan]]&lt;&gt;0,DB_STProjectsSOF[[#This Row],[Actual]]/DB_STProjectsSOF[[#This Row],[Plan]],1.000011000011)</f>
        <v>0.85462399690227697</v>
      </c>
      <c r="AI1236" s="34">
        <f>SUM(DB_STProjectsSOF[[#This Row],[Plan01]:[Plan12]])/valUnits2</f>
        <v>464.28843499999988</v>
      </c>
      <c r="AJ1236" s="34">
        <f>SUMPRODUCT(DB_STProjectsSOF[[#This Row],[Act01]:[Act12]],$P$3:$AA$3)/valUnits2</f>
        <v>188.49535000000003</v>
      </c>
      <c r="AK1236" s="34">
        <f>IF(DB_STProjectsSOF[[#This Row],[FY Plan]]&lt;&gt;0,DB_STProjectsSOF[[#This Row],[FY Actuals]]/DB_STProjectsSOF[[#This Row],[FY Plan]],1.000011000011)</f>
        <v>0.40598760552801638</v>
      </c>
    </row>
    <row r="1237" spans="1:37" hidden="1" x14ac:dyDescent="0.2">
      <c r="A1237">
        <f>SUBTOTAL(3,$B$6:B1237)</f>
        <v>0</v>
      </c>
      <c r="B1237" t="s">
        <v>518</v>
      </c>
      <c r="C1237" t="s">
        <v>894</v>
      </c>
      <c r="D1237">
        <v>4243.8900000000003</v>
      </c>
      <c r="E1237">
        <v>-4204.5349999999999</v>
      </c>
      <c r="F1237">
        <v>-242.30099999999999</v>
      </c>
      <c r="G1237">
        <v>9433.9760000000006</v>
      </c>
      <c r="H1237">
        <v>9589.4180000000015</v>
      </c>
      <c r="I1237">
        <v>4154.3329999999996</v>
      </c>
      <c r="J1237">
        <v>4154.3329999999996</v>
      </c>
      <c r="K1237">
        <v>4154.3329999999996</v>
      </c>
      <c r="L1237">
        <v>4154.3329999999996</v>
      </c>
      <c r="M1237">
        <v>4154.3329999999996</v>
      </c>
      <c r="N1237">
        <v>4154.3329999999996</v>
      </c>
      <c r="O1237">
        <v>4154.3329999999996</v>
      </c>
      <c r="P1237">
        <v>4256.37</v>
      </c>
      <c r="Q1237">
        <v>-4117</v>
      </c>
      <c r="R1237">
        <v>-246.06000000000023</v>
      </c>
      <c r="S1237">
        <v>9444.2000000000007</v>
      </c>
      <c r="T1237">
        <v>9987.7999999999993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 s="164">
        <v>40817</v>
      </c>
      <c r="AC1237" s="164">
        <v>41639</v>
      </c>
      <c r="AD1237" s="164">
        <v>41820</v>
      </c>
      <c r="AE1237" s="34">
        <f>SUMPRODUCT(DB_STProjectsSOF[[#This Row],[Plan01]:[Plan12]],$D$4:$O$4)/valUnits2</f>
        <v>22.974781000000004</v>
      </c>
      <c r="AF1237" s="34">
        <f>SUMPRODUCT(DB_STProjectsSOF[[#This Row],[Act01]:[Act12]],$P$4:$AA$4)/valUnits2</f>
        <v>19.325309999999998</v>
      </c>
      <c r="AG1237" s="34">
        <f>DB_STProjectsSOF[[#This Row],[Actual]]-DB_STProjectsSOF[[#This Row],[Plan]]</f>
        <v>-3.6494710000000055</v>
      </c>
      <c r="AH1237" s="34">
        <f>IF(DB_STProjectsSOF[[#This Row],[Plan]]&lt;&gt;0,DB_STProjectsSOF[[#This Row],[Actual]]/DB_STProjectsSOF[[#This Row],[Plan]],1.000011000011)</f>
        <v>0.84115317573647364</v>
      </c>
      <c r="AI1237" s="34">
        <f>SUM(DB_STProjectsSOF[[#This Row],[Plan01]:[Plan12]])/valUnits2</f>
        <v>47.900778999999993</v>
      </c>
      <c r="AJ1237" s="34">
        <f>SUMPRODUCT(DB_STProjectsSOF[[#This Row],[Act01]:[Act12]],$P$3:$AA$3)/valUnits2</f>
        <v>19.325309999999998</v>
      </c>
      <c r="AK1237" s="34">
        <f>IF(DB_STProjectsSOF[[#This Row],[FY Plan]]&lt;&gt;0,DB_STProjectsSOF[[#This Row],[FY Actuals]]/DB_STProjectsSOF[[#This Row],[FY Plan]],1.000011000011)</f>
        <v>0.40344458698677949</v>
      </c>
    </row>
    <row r="1238" spans="1:37" hidden="1" x14ac:dyDescent="0.2">
      <c r="A1238">
        <f>SUBTOTAL(3,$B$6:B1238)</f>
        <v>0</v>
      </c>
      <c r="B1238" t="s">
        <v>518</v>
      </c>
      <c r="C1238" t="s">
        <v>905</v>
      </c>
      <c r="D1238">
        <v>-2459.02</v>
      </c>
      <c r="E1238">
        <v>615.39</v>
      </c>
      <c r="F1238">
        <v>0</v>
      </c>
      <c r="G1238">
        <v>0</v>
      </c>
      <c r="H1238">
        <v>1917.8700000000003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-2459.02</v>
      </c>
      <c r="Q1238">
        <v>615.39</v>
      </c>
      <c r="R1238">
        <v>0</v>
      </c>
      <c r="S1238">
        <v>0</v>
      </c>
      <c r="T1238">
        <v>1917.8700000000003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 s="164">
        <v>40909</v>
      </c>
      <c r="AC1238" s="164">
        <v>41274</v>
      </c>
      <c r="AD1238" s="164">
        <v>41364</v>
      </c>
      <c r="AE1238" s="34">
        <f>SUMPRODUCT(DB_STProjectsSOF[[#This Row],[Plan01]:[Plan12]],$D$4:$O$4)/valUnits2</f>
        <v>7.4240000000000236E-2</v>
      </c>
      <c r="AF1238" s="34">
        <f>SUMPRODUCT(DB_STProjectsSOF[[#This Row],[Act01]:[Act12]],$P$4:$AA$4)/valUnits2</f>
        <v>7.4240000000000236E-2</v>
      </c>
      <c r="AG1238" s="34">
        <f>DB_STProjectsSOF[[#This Row],[Actual]]-DB_STProjectsSOF[[#This Row],[Plan]]</f>
        <v>0</v>
      </c>
      <c r="AH1238" s="34">
        <f>IF(DB_STProjectsSOF[[#This Row],[Plan]]&lt;&gt;0,DB_STProjectsSOF[[#This Row],[Actual]]/DB_STProjectsSOF[[#This Row],[Plan]],1.000011000011)</f>
        <v>1</v>
      </c>
      <c r="AI1238" s="34">
        <f>SUM(DB_STProjectsSOF[[#This Row],[Plan01]:[Plan12]])/valUnits2</f>
        <v>7.4240000000000236E-2</v>
      </c>
      <c r="AJ1238" s="34">
        <f>SUMPRODUCT(DB_STProjectsSOF[[#This Row],[Act01]:[Act12]],$P$3:$AA$3)/valUnits2</f>
        <v>7.4240000000000236E-2</v>
      </c>
      <c r="AK1238" s="34">
        <f>IF(DB_STProjectsSOF[[#This Row],[FY Plan]]&lt;&gt;0,DB_STProjectsSOF[[#This Row],[FY Actuals]]/DB_STProjectsSOF[[#This Row],[FY Plan]],1.000011000011)</f>
        <v>1</v>
      </c>
    </row>
    <row r="1239" spans="1:37" hidden="1" x14ac:dyDescent="0.2">
      <c r="A1239">
        <f>SUBTOTAL(3,$B$6:B1239)</f>
        <v>0</v>
      </c>
      <c r="B1239" t="s">
        <v>518</v>
      </c>
      <c r="C1239" t="s">
        <v>354</v>
      </c>
      <c r="D1239">
        <v>1996.9120000000007</v>
      </c>
      <c r="E1239">
        <v>3437.3149999999991</v>
      </c>
      <c r="F1239">
        <v>5048.5190000000011</v>
      </c>
      <c r="G1239">
        <v>3517.1330000000007</v>
      </c>
      <c r="H1239">
        <v>15796.521000000001</v>
      </c>
      <c r="I1239">
        <v>12748.554</v>
      </c>
      <c r="P1239">
        <v>2037.2299999999996</v>
      </c>
      <c r="Q1239">
        <v>3454.9300000000007</v>
      </c>
      <c r="R1239">
        <v>5130.9600000000009</v>
      </c>
      <c r="S1239">
        <v>3462.8300000000004</v>
      </c>
      <c r="T1239">
        <v>16039.03</v>
      </c>
      <c r="U1239">
        <v>7768.5099999999993</v>
      </c>
      <c r="AB1239" s="164">
        <v>41091</v>
      </c>
      <c r="AC1239" s="164">
        <v>41455</v>
      </c>
      <c r="AD1239" s="164">
        <v>41517</v>
      </c>
      <c r="AE1239" s="34">
        <f>SUMPRODUCT(DB_STProjectsSOF[[#This Row],[Plan01]:[Plan12]],$D$4:$O$4)/valUnits2</f>
        <v>42.544953999999997</v>
      </c>
      <c r="AF1239" s="34">
        <f>SUMPRODUCT(DB_STProjectsSOF[[#This Row],[Act01]:[Act12]],$P$4:$AA$4)/valUnits2</f>
        <v>37.893490000000007</v>
      </c>
      <c r="AG1239" s="34">
        <f>DB_STProjectsSOF[[#This Row],[Actual]]-DB_STProjectsSOF[[#This Row],[Plan]]</f>
        <v>-4.6514639999999901</v>
      </c>
      <c r="AH1239" s="34">
        <f>IF(DB_STProjectsSOF[[#This Row],[Plan]]&lt;&gt;0,DB_STProjectsSOF[[#This Row],[Actual]]/DB_STProjectsSOF[[#This Row],[Plan]],1.000011000011)</f>
        <v>0.89066943167925416</v>
      </c>
      <c r="AI1239" s="34">
        <f>SUM(DB_STProjectsSOF[[#This Row],[Plan01]:[Plan12]])/valUnits2</f>
        <v>42.544953999999997</v>
      </c>
      <c r="AJ1239" s="34">
        <f>SUMPRODUCT(DB_STProjectsSOF[[#This Row],[Act01]:[Act12]],$P$3:$AA$3)/valUnits2</f>
        <v>37.893490000000007</v>
      </c>
      <c r="AK1239" s="34">
        <f>IF(DB_STProjectsSOF[[#This Row],[FY Plan]]&lt;&gt;0,DB_STProjectsSOF[[#This Row],[FY Actuals]]/DB_STProjectsSOF[[#This Row],[FY Plan]],1.000011000011)</f>
        <v>0.89066943167925416</v>
      </c>
    </row>
    <row r="1240" spans="1:37" hidden="1" x14ac:dyDescent="0.2">
      <c r="A1240">
        <f>SUBTOTAL(3,$B$6:B1240)</f>
        <v>0</v>
      </c>
      <c r="B1240" t="s">
        <v>518</v>
      </c>
      <c r="C1240" t="s">
        <v>918</v>
      </c>
      <c r="D1240">
        <v>70933.030999999988</v>
      </c>
      <c r="E1240">
        <v>21.822999999996682</v>
      </c>
      <c r="F1240">
        <v>41.058000000001755</v>
      </c>
      <c r="G1240">
        <v>14378.821999999998</v>
      </c>
      <c r="H1240">
        <v>1913.9569999999967</v>
      </c>
      <c r="I1240">
        <v>17263.381999999994</v>
      </c>
      <c r="J1240">
        <v>18152.125</v>
      </c>
      <c r="K1240">
        <v>16340.862000000005</v>
      </c>
      <c r="L1240">
        <v>15073.969000000005</v>
      </c>
      <c r="M1240">
        <v>20780.716000000004</v>
      </c>
      <c r="N1240">
        <v>14654.361000000001</v>
      </c>
      <c r="O1240">
        <v>13990.391999999998</v>
      </c>
      <c r="P1240">
        <v>68741.8</v>
      </c>
      <c r="Q1240">
        <v>22.559999999994716</v>
      </c>
      <c r="R1240">
        <v>41.740000000001601</v>
      </c>
      <c r="S1240">
        <v>14296.000000000002</v>
      </c>
      <c r="T1240">
        <v>1899.6300000000072</v>
      </c>
      <c r="U1240">
        <v>16703.549999999996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 s="164">
        <v>41091</v>
      </c>
      <c r="AC1240" s="164">
        <v>42185</v>
      </c>
      <c r="AD1240" s="164">
        <v>42247</v>
      </c>
      <c r="AE1240" s="34">
        <f>SUMPRODUCT(DB_STProjectsSOF[[#This Row],[Plan01]:[Plan12]],$D$4:$O$4)/valUnits2</f>
        <v>104.55207299999999</v>
      </c>
      <c r="AF1240" s="34">
        <f>SUMPRODUCT(DB_STProjectsSOF[[#This Row],[Act01]:[Act12]],$P$4:$AA$4)/valUnits2</f>
        <v>101.70528</v>
      </c>
      <c r="AG1240" s="34">
        <f>DB_STProjectsSOF[[#This Row],[Actual]]-DB_STProjectsSOF[[#This Row],[Plan]]</f>
        <v>-2.846792999999991</v>
      </c>
      <c r="AH1240" s="34">
        <f>IF(DB_STProjectsSOF[[#This Row],[Plan]]&lt;&gt;0,DB_STProjectsSOF[[#This Row],[Actual]]/DB_STProjectsSOF[[#This Row],[Plan]],1.000011000011)</f>
        <v>0.97277152983853332</v>
      </c>
      <c r="AI1240" s="34">
        <f>SUM(DB_STProjectsSOF[[#This Row],[Plan01]:[Plan12]])/valUnits2</f>
        <v>203.54449800000003</v>
      </c>
      <c r="AJ1240" s="34">
        <f>SUMPRODUCT(DB_STProjectsSOF[[#This Row],[Act01]:[Act12]],$P$3:$AA$3)/valUnits2</f>
        <v>101.70528</v>
      </c>
      <c r="AK1240" s="34">
        <f>IF(DB_STProjectsSOF[[#This Row],[FY Plan]]&lt;&gt;0,DB_STProjectsSOF[[#This Row],[FY Actuals]]/DB_STProjectsSOF[[#This Row],[FY Plan]],1.000011000011)</f>
        <v>0.49967098594824205</v>
      </c>
    </row>
    <row r="1241" spans="1:37" hidden="1" x14ac:dyDescent="0.2">
      <c r="A1241">
        <f>SUBTOTAL(3,$B$6:B1241)</f>
        <v>0</v>
      </c>
      <c r="B1241" t="s">
        <v>518</v>
      </c>
      <c r="C1241" t="s">
        <v>923</v>
      </c>
      <c r="G1241">
        <v>0</v>
      </c>
      <c r="H1241">
        <v>0</v>
      </c>
      <c r="I1241">
        <v>5075.4619999999995</v>
      </c>
      <c r="J1241">
        <v>5075.4619999999995</v>
      </c>
      <c r="K1241">
        <v>5075.4619999999995</v>
      </c>
      <c r="L1241">
        <v>5075.4619999999995</v>
      </c>
      <c r="M1241">
        <v>5075.4619999999995</v>
      </c>
      <c r="N1241">
        <v>5075.4619999999995</v>
      </c>
      <c r="O1241">
        <v>5075.4619999999995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 s="164">
        <v>41275</v>
      </c>
      <c r="AC1241" s="164">
        <v>41639</v>
      </c>
      <c r="AD1241" s="164">
        <v>41685</v>
      </c>
      <c r="AE1241" s="34">
        <f>SUMPRODUCT(DB_STProjectsSOF[[#This Row],[Plan01]:[Plan12]],$D$4:$O$4)/valUnits2</f>
        <v>5.0754619999999999</v>
      </c>
      <c r="AF1241" s="34">
        <f>SUMPRODUCT(DB_STProjectsSOF[[#This Row],[Act01]:[Act12]],$P$4:$AA$4)/valUnits2</f>
        <v>0</v>
      </c>
      <c r="AG1241" s="34">
        <f>DB_STProjectsSOF[[#This Row],[Actual]]-DB_STProjectsSOF[[#This Row],[Plan]]</f>
        <v>-5.0754619999999999</v>
      </c>
      <c r="AH1241" s="34">
        <f>IF(DB_STProjectsSOF[[#This Row],[Plan]]&lt;&gt;0,DB_STProjectsSOF[[#This Row],[Actual]]/DB_STProjectsSOF[[#This Row],[Plan]],1.000011000011)</f>
        <v>0</v>
      </c>
      <c r="AI1241" s="34">
        <f>SUM(DB_STProjectsSOF[[#This Row],[Plan01]:[Plan12]])/valUnits2</f>
        <v>35.528233999999998</v>
      </c>
      <c r="AJ1241" s="34">
        <f>SUMPRODUCT(DB_STProjectsSOF[[#This Row],[Act01]:[Act12]],$P$3:$AA$3)/valUnits2</f>
        <v>0</v>
      </c>
      <c r="AK1241" s="34">
        <f>IF(DB_STProjectsSOF[[#This Row],[FY Plan]]&lt;&gt;0,DB_STProjectsSOF[[#This Row],[FY Actuals]]/DB_STProjectsSOF[[#This Row],[FY Plan]],1.000011000011)</f>
        <v>0</v>
      </c>
    </row>
    <row r="1242" spans="1:37" hidden="1" x14ac:dyDescent="0.2">
      <c r="A1242">
        <f>SUBTOTAL(3,$B$6:B1242)</f>
        <v>0</v>
      </c>
      <c r="B1242" t="s">
        <v>518</v>
      </c>
      <c r="C1242" t="s">
        <v>925</v>
      </c>
      <c r="D1242">
        <v>6819.9470000000001</v>
      </c>
      <c r="E1242">
        <v>-3413.87</v>
      </c>
      <c r="F1242">
        <v>0</v>
      </c>
      <c r="G1242">
        <v>-3348.2700000000004</v>
      </c>
      <c r="H1242">
        <v>580.32799999999997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6736.45</v>
      </c>
      <c r="Q1242">
        <v>-3322.34</v>
      </c>
      <c r="R1242">
        <v>0</v>
      </c>
      <c r="S1242">
        <v>-3411.53</v>
      </c>
      <c r="T1242">
        <v>583.55000000000007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 s="164">
        <v>40909</v>
      </c>
      <c r="AC1242" s="164">
        <v>41639</v>
      </c>
      <c r="AD1242" s="164">
        <v>41713</v>
      </c>
      <c r="AE1242" s="34">
        <f>SUMPRODUCT(DB_STProjectsSOF[[#This Row],[Plan01]:[Plan12]],$D$4:$O$4)/valUnits2</f>
        <v>0.63813499999999979</v>
      </c>
      <c r="AF1242" s="34">
        <f>SUMPRODUCT(DB_STProjectsSOF[[#This Row],[Act01]:[Act12]],$P$4:$AA$4)/valUnits2</f>
        <v>0.5861299999999996</v>
      </c>
      <c r="AG1242" s="34">
        <f>DB_STProjectsSOF[[#This Row],[Actual]]-DB_STProjectsSOF[[#This Row],[Plan]]</f>
        <v>-5.200500000000019E-2</v>
      </c>
      <c r="AH1242" s="34">
        <f>IF(DB_STProjectsSOF[[#This Row],[Plan]]&lt;&gt;0,DB_STProjectsSOF[[#This Row],[Actual]]/DB_STProjectsSOF[[#This Row],[Plan]],1.000011000011)</f>
        <v>0.91850470511725546</v>
      </c>
      <c r="AI1242" s="34">
        <f>SUM(DB_STProjectsSOF[[#This Row],[Plan01]:[Plan12]])/valUnits2</f>
        <v>0.63813499999999979</v>
      </c>
      <c r="AJ1242" s="34">
        <f>SUMPRODUCT(DB_STProjectsSOF[[#This Row],[Act01]:[Act12]],$P$3:$AA$3)/valUnits2</f>
        <v>0.5861299999999996</v>
      </c>
      <c r="AK1242" s="34">
        <f>IF(DB_STProjectsSOF[[#This Row],[FY Plan]]&lt;&gt;0,DB_STProjectsSOF[[#This Row],[FY Actuals]]/DB_STProjectsSOF[[#This Row],[FY Plan]],1.000011000011)</f>
        <v>0.91850470511725546</v>
      </c>
    </row>
    <row r="1243" spans="1:37" hidden="1" x14ac:dyDescent="0.2">
      <c r="A1243">
        <f>SUBTOTAL(3,$B$6:B1243)</f>
        <v>0</v>
      </c>
      <c r="B1243" t="s">
        <v>519</v>
      </c>
      <c r="C1243" t="s">
        <v>856</v>
      </c>
      <c r="D1243">
        <v>187926.91800000003</v>
      </c>
      <c r="E1243">
        <v>140291.32299999995</v>
      </c>
      <c r="F1243">
        <v>236742.48300000001</v>
      </c>
      <c r="G1243">
        <v>1757676.892</v>
      </c>
      <c r="H1243">
        <v>275168.23100000003</v>
      </c>
      <c r="I1243">
        <v>108211.07</v>
      </c>
      <c r="J1243">
        <v>1479389.5919999999</v>
      </c>
      <c r="K1243">
        <v>136094.484</v>
      </c>
      <c r="L1243">
        <v>136094.484</v>
      </c>
      <c r="M1243">
        <v>1373902.7700000003</v>
      </c>
      <c r="N1243">
        <v>136094.484</v>
      </c>
      <c r="O1243">
        <v>1489602.3219999999</v>
      </c>
      <c r="P1243">
        <v>103319.02</v>
      </c>
      <c r="Q1243">
        <v>57106.299999999996</v>
      </c>
      <c r="R1243">
        <v>151338.06</v>
      </c>
      <c r="S1243">
        <v>94896.87999999999</v>
      </c>
      <c r="T1243">
        <v>162444.40000000002</v>
      </c>
      <c r="U1243">
        <v>2397676.6800000006</v>
      </c>
      <c r="V1243">
        <v>5924.21</v>
      </c>
      <c r="W1243">
        <v>0</v>
      </c>
      <c r="X1243">
        <v>0</v>
      </c>
      <c r="Y1243">
        <v>0</v>
      </c>
      <c r="Z1243">
        <v>0</v>
      </c>
      <c r="AA1243">
        <v>0</v>
      </c>
      <c r="AB1243" s="164">
        <v>40817</v>
      </c>
      <c r="AC1243" s="164">
        <v>42338</v>
      </c>
      <c r="AD1243" s="164">
        <v>42490</v>
      </c>
      <c r="AE1243" s="34">
        <f>SUMPRODUCT(DB_STProjectsSOF[[#This Row],[Plan01]:[Plan12]],$D$4:$O$4)/valUnits2</f>
        <v>2706.0169169999999</v>
      </c>
      <c r="AF1243" s="34">
        <f>SUMPRODUCT(DB_STProjectsSOF[[#This Row],[Act01]:[Act12]],$P$4:$AA$4)/valUnits2</f>
        <v>2966.7813400000009</v>
      </c>
      <c r="AG1243" s="34">
        <f>DB_STProjectsSOF[[#This Row],[Actual]]-DB_STProjectsSOF[[#This Row],[Plan]]</f>
        <v>260.76442300000099</v>
      </c>
      <c r="AH1243" s="34">
        <f>IF(DB_STProjectsSOF[[#This Row],[Plan]]&lt;&gt;0,DB_STProjectsSOF[[#This Row],[Actual]]/DB_STProjectsSOF[[#This Row],[Plan]],1.000011000011)</f>
        <v>1.0963646684400978</v>
      </c>
      <c r="AI1243" s="34">
        <f>SUM(DB_STProjectsSOF[[#This Row],[Plan01]:[Plan12]])/valUnits2</f>
        <v>7457.1950530000004</v>
      </c>
      <c r="AJ1243" s="34">
        <f>SUMPRODUCT(DB_STProjectsSOF[[#This Row],[Act01]:[Act12]],$P$3:$AA$3)/valUnits2</f>
        <v>2966.7813400000009</v>
      </c>
      <c r="AK1243" s="34">
        <f>IF(DB_STProjectsSOF[[#This Row],[FY Plan]]&lt;&gt;0,DB_STProjectsSOF[[#This Row],[FY Actuals]]/DB_STProjectsSOF[[#This Row],[FY Plan]],1.000011000011)</f>
        <v>0.39784145632699741</v>
      </c>
    </row>
    <row r="1244" spans="1:37" hidden="1" x14ac:dyDescent="0.2">
      <c r="A1244">
        <f>SUBTOTAL(3,$B$6:B1244)</f>
        <v>0</v>
      </c>
      <c r="B1244" t="s">
        <v>519</v>
      </c>
      <c r="C1244" t="s">
        <v>902</v>
      </c>
      <c r="E1244">
        <v>1657.84</v>
      </c>
      <c r="G1244">
        <v>0</v>
      </c>
      <c r="I1244">
        <v>409.24</v>
      </c>
      <c r="L1244">
        <v>409.24</v>
      </c>
      <c r="O1244">
        <v>409.24</v>
      </c>
      <c r="Q1244">
        <v>1657.84</v>
      </c>
      <c r="S1244">
        <v>0</v>
      </c>
      <c r="U1244">
        <v>0</v>
      </c>
      <c r="X1244">
        <v>0</v>
      </c>
      <c r="AA1244">
        <v>0</v>
      </c>
      <c r="AB1244" s="164">
        <v>40817</v>
      </c>
      <c r="AC1244" s="164">
        <v>42277</v>
      </c>
      <c r="AD1244" s="164">
        <v>42308</v>
      </c>
      <c r="AE1244" s="34">
        <f>SUMPRODUCT(DB_STProjectsSOF[[#This Row],[Plan01]:[Plan12]],$D$4:$O$4)/valUnits2</f>
        <v>2.0670799999999998</v>
      </c>
      <c r="AF1244" s="34">
        <f>SUMPRODUCT(DB_STProjectsSOF[[#This Row],[Act01]:[Act12]],$P$4:$AA$4)/valUnits2</f>
        <v>1.65784</v>
      </c>
      <c r="AG1244" s="34">
        <f>DB_STProjectsSOF[[#This Row],[Actual]]-DB_STProjectsSOF[[#This Row],[Plan]]</f>
        <v>-0.40923999999999983</v>
      </c>
      <c r="AH1244" s="34">
        <f>IF(DB_STProjectsSOF[[#This Row],[Plan]]&lt;&gt;0,DB_STProjectsSOF[[#This Row],[Actual]]/DB_STProjectsSOF[[#This Row],[Plan]],1.000011000011)</f>
        <v>0.8020202411130678</v>
      </c>
      <c r="AI1244" s="34">
        <f>SUM(DB_STProjectsSOF[[#This Row],[Plan01]:[Plan12]])/valUnits2</f>
        <v>2.8855599999999995</v>
      </c>
      <c r="AJ1244" s="34">
        <f>SUMPRODUCT(DB_STProjectsSOF[[#This Row],[Act01]:[Act12]],$P$3:$AA$3)/valUnits2</f>
        <v>1.65784</v>
      </c>
      <c r="AK1244" s="34">
        <f>IF(DB_STProjectsSOF[[#This Row],[FY Plan]]&lt;&gt;0,DB_STProjectsSOF[[#This Row],[FY Actuals]]/DB_STProjectsSOF[[#This Row],[FY Plan]],1.000011000011)</f>
        <v>0.57452972733195651</v>
      </c>
    </row>
    <row r="1245" spans="1:37" hidden="1" x14ac:dyDescent="0.2">
      <c r="A1245">
        <f>SUBTOTAL(3,$B$6:B1245)</f>
        <v>0</v>
      </c>
      <c r="B1245" t="s">
        <v>520</v>
      </c>
      <c r="C1245" t="s">
        <v>856</v>
      </c>
      <c r="D1245">
        <v>-405.262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-387.54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 s="164">
        <v>40817</v>
      </c>
      <c r="AC1245" s="164">
        <v>42338</v>
      </c>
      <c r="AD1245" s="164">
        <v>42490</v>
      </c>
      <c r="AE1245" s="34">
        <f>SUMPRODUCT(DB_STProjectsSOF[[#This Row],[Plan01]:[Plan12]],$D$4:$O$4)/valUnits2</f>
        <v>-0.40526200000000001</v>
      </c>
      <c r="AF1245" s="34">
        <f>SUMPRODUCT(DB_STProjectsSOF[[#This Row],[Act01]:[Act12]],$P$4:$AA$4)/valUnits2</f>
        <v>-0.38754</v>
      </c>
      <c r="AG1245" s="34">
        <f>DB_STProjectsSOF[[#This Row],[Actual]]-DB_STProjectsSOF[[#This Row],[Plan]]</f>
        <v>1.7722000000000016E-2</v>
      </c>
      <c r="AH1245" s="34">
        <f>IF(DB_STProjectsSOF[[#This Row],[Plan]]&lt;&gt;0,DB_STProjectsSOF[[#This Row],[Actual]]/DB_STProjectsSOF[[#This Row],[Plan]],1.000011000011)</f>
        <v>0.95627026466828857</v>
      </c>
      <c r="AI1245" s="34">
        <f>SUM(DB_STProjectsSOF[[#This Row],[Plan01]:[Plan12]])/valUnits2</f>
        <v>-0.40526200000000001</v>
      </c>
      <c r="AJ1245" s="34">
        <f>SUMPRODUCT(DB_STProjectsSOF[[#This Row],[Act01]:[Act12]],$P$3:$AA$3)/valUnits2</f>
        <v>-0.38754</v>
      </c>
      <c r="AK1245" s="34">
        <f>IF(DB_STProjectsSOF[[#This Row],[FY Plan]]&lt;&gt;0,DB_STProjectsSOF[[#This Row],[FY Actuals]]/DB_STProjectsSOF[[#This Row],[FY Plan]],1.000011000011)</f>
        <v>0.95627026466828857</v>
      </c>
    </row>
    <row r="1246" spans="1:37" hidden="1" x14ac:dyDescent="0.2">
      <c r="A1246">
        <f>SUBTOTAL(3,$B$6:B1246)</f>
        <v>0</v>
      </c>
      <c r="B1246" t="s">
        <v>521</v>
      </c>
      <c r="C1246" t="s">
        <v>856</v>
      </c>
      <c r="G1246">
        <v>62592.341999999997</v>
      </c>
      <c r="I1246">
        <v>0</v>
      </c>
      <c r="J1246">
        <v>50087.85</v>
      </c>
      <c r="S1246">
        <v>0</v>
      </c>
      <c r="U1246">
        <v>91478.83</v>
      </c>
      <c r="V1246">
        <v>0</v>
      </c>
      <c r="AB1246" s="164">
        <v>40817</v>
      </c>
      <c r="AC1246" s="164">
        <v>42338</v>
      </c>
      <c r="AD1246" s="164">
        <v>42490</v>
      </c>
      <c r="AE1246" s="34">
        <f>SUMPRODUCT(DB_STProjectsSOF[[#This Row],[Plan01]:[Plan12]],$D$4:$O$4)/valUnits2</f>
        <v>62.592341999999995</v>
      </c>
      <c r="AF1246" s="34">
        <f>SUMPRODUCT(DB_STProjectsSOF[[#This Row],[Act01]:[Act12]],$P$4:$AA$4)/valUnits2</f>
        <v>91.478830000000002</v>
      </c>
      <c r="AG1246" s="34">
        <f>DB_STProjectsSOF[[#This Row],[Actual]]-DB_STProjectsSOF[[#This Row],[Plan]]</f>
        <v>28.886488000000007</v>
      </c>
      <c r="AH1246" s="34">
        <f>IF(DB_STProjectsSOF[[#This Row],[Plan]]&lt;&gt;0,DB_STProjectsSOF[[#This Row],[Actual]]/DB_STProjectsSOF[[#This Row],[Plan]],1.000011000011)</f>
        <v>1.4615019517882877</v>
      </c>
      <c r="AI1246" s="34">
        <f>SUM(DB_STProjectsSOF[[#This Row],[Plan01]:[Plan12]])/valUnits2</f>
        <v>112.68019199999999</v>
      </c>
      <c r="AJ1246" s="34">
        <f>SUMPRODUCT(DB_STProjectsSOF[[#This Row],[Act01]:[Act12]],$P$3:$AA$3)/valUnits2</f>
        <v>91.478830000000002</v>
      </c>
      <c r="AK1246" s="34">
        <f>IF(DB_STProjectsSOF[[#This Row],[FY Plan]]&lt;&gt;0,DB_STProjectsSOF[[#This Row],[FY Actuals]]/DB_STProjectsSOF[[#This Row],[FY Plan]],1.000011000011)</f>
        <v>0.81184481829778932</v>
      </c>
    </row>
    <row r="1247" spans="1:37" hidden="1" x14ac:dyDescent="0.2">
      <c r="A1247">
        <f>SUBTOTAL(3,$B$6:B1247)</f>
        <v>0</v>
      </c>
      <c r="B1247" t="s">
        <v>522</v>
      </c>
      <c r="C1247" t="s">
        <v>842</v>
      </c>
      <c r="D1247">
        <v>0</v>
      </c>
      <c r="E1247">
        <v>0</v>
      </c>
      <c r="F1247">
        <v>205.351</v>
      </c>
      <c r="G1247">
        <v>16.495000000000001</v>
      </c>
      <c r="H1247">
        <v>41168.82699999999</v>
      </c>
      <c r="I1247">
        <v>13974.606</v>
      </c>
      <c r="J1247">
        <v>35153.910000000003</v>
      </c>
      <c r="K1247">
        <v>13974.605999999998</v>
      </c>
      <c r="L1247">
        <v>13974.606</v>
      </c>
      <c r="M1247">
        <v>13974.606</v>
      </c>
      <c r="N1247">
        <v>13974.606</v>
      </c>
      <c r="O1247">
        <v>39656.370000000003</v>
      </c>
      <c r="P1247">
        <v>0</v>
      </c>
      <c r="Q1247">
        <v>0</v>
      </c>
      <c r="R1247">
        <v>207.21</v>
      </c>
      <c r="S1247">
        <v>16.47</v>
      </c>
      <c r="T1247">
        <v>41060.94000000001</v>
      </c>
      <c r="U1247">
        <v>11836.960000000003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 s="164">
        <v>41214</v>
      </c>
      <c r="AC1247" s="164">
        <v>42308</v>
      </c>
      <c r="AD1247" s="164">
        <v>42389</v>
      </c>
      <c r="AE1247" s="34">
        <f>SUMPRODUCT(DB_STProjectsSOF[[#This Row],[Plan01]:[Plan12]],$D$4:$O$4)/valUnits2</f>
        <v>55.365278999999987</v>
      </c>
      <c r="AF1247" s="34">
        <f>SUMPRODUCT(DB_STProjectsSOF[[#This Row],[Act01]:[Act12]],$P$4:$AA$4)/valUnits2</f>
        <v>53.121580000000016</v>
      </c>
      <c r="AG1247" s="34">
        <f>DB_STProjectsSOF[[#This Row],[Actual]]-DB_STProjectsSOF[[#This Row],[Plan]]</f>
        <v>-2.243698999999971</v>
      </c>
      <c r="AH1247" s="34">
        <f>IF(DB_STProjectsSOF[[#This Row],[Plan]]&lt;&gt;0,DB_STProjectsSOF[[#This Row],[Actual]]/DB_STProjectsSOF[[#This Row],[Plan]],1.000011000011)</f>
        <v>0.95947461946322044</v>
      </c>
      <c r="AI1247" s="34">
        <f>SUM(DB_STProjectsSOF[[#This Row],[Plan01]:[Plan12]])/valUnits2</f>
        <v>186.07398299999997</v>
      </c>
      <c r="AJ1247" s="34">
        <f>SUMPRODUCT(DB_STProjectsSOF[[#This Row],[Act01]:[Act12]],$P$3:$AA$3)/valUnits2</f>
        <v>53.121580000000016</v>
      </c>
      <c r="AK1247" s="34">
        <f>IF(DB_STProjectsSOF[[#This Row],[FY Plan]]&lt;&gt;0,DB_STProjectsSOF[[#This Row],[FY Actuals]]/DB_STProjectsSOF[[#This Row],[FY Plan]],1.000011000011)</f>
        <v>0.28548633797987771</v>
      </c>
    </row>
    <row r="1248" spans="1:37" hidden="1" x14ac:dyDescent="0.2">
      <c r="A1248">
        <f>SUBTOTAL(3,$B$6:B1248)</f>
        <v>0</v>
      </c>
      <c r="B1248" t="s">
        <v>522</v>
      </c>
      <c r="C1248" t="s">
        <v>845</v>
      </c>
      <c r="H1248">
        <v>4802.6399999999994</v>
      </c>
      <c r="T1248">
        <v>4802.6400000000003</v>
      </c>
      <c r="AB1248" s="164">
        <v>41275</v>
      </c>
      <c r="AC1248" s="164">
        <v>41639</v>
      </c>
      <c r="AD1248" s="164">
        <v>41729</v>
      </c>
      <c r="AE1248" s="34">
        <f>SUMPRODUCT(DB_STProjectsSOF[[#This Row],[Plan01]:[Plan12]],$D$4:$O$4)/valUnits2</f>
        <v>4.8026399999999994</v>
      </c>
      <c r="AF1248" s="34">
        <f>SUMPRODUCT(DB_STProjectsSOF[[#This Row],[Act01]:[Act12]],$P$4:$AA$4)/valUnits2</f>
        <v>4.8026400000000002</v>
      </c>
      <c r="AG1248" s="34">
        <f>DB_STProjectsSOF[[#This Row],[Actual]]-DB_STProjectsSOF[[#This Row],[Plan]]</f>
        <v>0</v>
      </c>
      <c r="AH1248" s="34">
        <f>IF(DB_STProjectsSOF[[#This Row],[Plan]]&lt;&gt;0,DB_STProjectsSOF[[#This Row],[Actual]]/DB_STProjectsSOF[[#This Row],[Plan]],1.000011000011)</f>
        <v>1.0000000000000002</v>
      </c>
      <c r="AI1248" s="34">
        <f>SUM(DB_STProjectsSOF[[#This Row],[Plan01]:[Plan12]])/valUnits2</f>
        <v>4.8026399999999994</v>
      </c>
      <c r="AJ1248" s="34">
        <f>SUMPRODUCT(DB_STProjectsSOF[[#This Row],[Act01]:[Act12]],$P$3:$AA$3)/valUnits2</f>
        <v>4.8026400000000002</v>
      </c>
      <c r="AK1248" s="34">
        <f>IF(DB_STProjectsSOF[[#This Row],[FY Plan]]&lt;&gt;0,DB_STProjectsSOF[[#This Row],[FY Actuals]]/DB_STProjectsSOF[[#This Row],[FY Plan]],1.000011000011)</f>
        <v>1.0000000000000002</v>
      </c>
    </row>
    <row r="1249" spans="1:37" hidden="1" x14ac:dyDescent="0.2">
      <c r="A1249">
        <f>SUBTOTAL(3,$B$6:B1249)</f>
        <v>0</v>
      </c>
      <c r="B1249" t="s">
        <v>522</v>
      </c>
      <c r="C1249" t="s">
        <v>869</v>
      </c>
      <c r="D1249">
        <v>6657.1100000000079</v>
      </c>
      <c r="E1249">
        <v>136997.63</v>
      </c>
      <c r="F1249">
        <v>87911.99</v>
      </c>
      <c r="G1249">
        <v>5121.0699999999924</v>
      </c>
      <c r="H1249">
        <v>156116.83999999997</v>
      </c>
      <c r="I1249">
        <v>5042.5</v>
      </c>
      <c r="J1249">
        <v>5042.5</v>
      </c>
      <c r="K1249">
        <v>5042.5</v>
      </c>
      <c r="L1249">
        <v>5042.5</v>
      </c>
      <c r="M1249">
        <v>5042.5</v>
      </c>
      <c r="N1249">
        <v>5042.5</v>
      </c>
      <c r="O1249">
        <v>5042.5</v>
      </c>
      <c r="P1249">
        <v>6657.1100000000097</v>
      </c>
      <c r="Q1249">
        <v>136997.63</v>
      </c>
      <c r="R1249">
        <v>87911.990000000034</v>
      </c>
      <c r="S1249">
        <v>5121.069999999997</v>
      </c>
      <c r="T1249">
        <v>156116.84000000003</v>
      </c>
      <c r="U1249">
        <v>9420.4299999999985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 s="164">
        <v>40817</v>
      </c>
      <c r="AC1249" s="164">
        <v>42155</v>
      </c>
      <c r="AD1249" s="164">
        <v>42217</v>
      </c>
      <c r="AE1249" s="34">
        <f>SUMPRODUCT(DB_STProjectsSOF[[#This Row],[Plan01]:[Plan12]],$D$4:$O$4)/valUnits2</f>
        <v>397.84714000000002</v>
      </c>
      <c r="AF1249" s="34">
        <f>SUMPRODUCT(DB_STProjectsSOF[[#This Row],[Act01]:[Act12]],$P$4:$AA$4)/valUnits2</f>
        <v>402.22507000000007</v>
      </c>
      <c r="AG1249" s="34">
        <f>DB_STProjectsSOF[[#This Row],[Actual]]-DB_STProjectsSOF[[#This Row],[Plan]]</f>
        <v>4.3779300000000489</v>
      </c>
      <c r="AH1249" s="34">
        <f>IF(DB_STProjectsSOF[[#This Row],[Plan]]&lt;&gt;0,DB_STProjectsSOF[[#This Row],[Actual]]/DB_STProjectsSOF[[#This Row],[Plan]],1.000011000011)</f>
        <v>1.0110040504501303</v>
      </c>
      <c r="AI1249" s="34">
        <f>SUM(DB_STProjectsSOF[[#This Row],[Plan01]:[Plan12]])/valUnits2</f>
        <v>428.10214000000002</v>
      </c>
      <c r="AJ1249" s="34">
        <f>SUMPRODUCT(DB_STProjectsSOF[[#This Row],[Act01]:[Act12]],$P$3:$AA$3)/valUnits2</f>
        <v>402.22507000000007</v>
      </c>
      <c r="AK1249" s="34">
        <f>IF(DB_STProjectsSOF[[#This Row],[FY Plan]]&lt;&gt;0,DB_STProjectsSOF[[#This Row],[FY Actuals]]/DB_STProjectsSOF[[#This Row],[FY Plan]],1.000011000011)</f>
        <v>0.93955398120644773</v>
      </c>
    </row>
    <row r="1250" spans="1:37" hidden="1" x14ac:dyDescent="0.2">
      <c r="A1250">
        <f>SUBTOTAL(3,$B$6:B1250)</f>
        <v>0</v>
      </c>
      <c r="B1250" t="s">
        <v>522</v>
      </c>
      <c r="C1250" t="s">
        <v>884</v>
      </c>
      <c r="D1250">
        <v>16331.869999999999</v>
      </c>
      <c r="E1250">
        <v>16937.14</v>
      </c>
      <c r="F1250">
        <v>15001.25</v>
      </c>
      <c r="G1250">
        <v>15001.25</v>
      </c>
      <c r="H1250">
        <v>11734.74</v>
      </c>
      <c r="I1250">
        <v>15001.25</v>
      </c>
      <c r="J1250">
        <v>8506.25</v>
      </c>
      <c r="K1250">
        <v>8506.25</v>
      </c>
      <c r="L1250">
        <v>8506.25</v>
      </c>
      <c r="M1250">
        <v>8506.25</v>
      </c>
      <c r="N1250">
        <v>8506.25</v>
      </c>
      <c r="O1250">
        <v>8506.25</v>
      </c>
      <c r="P1250">
        <v>1330.62</v>
      </c>
      <c r="Q1250">
        <v>1935.8899999999999</v>
      </c>
      <c r="R1250">
        <v>0</v>
      </c>
      <c r="S1250">
        <v>0</v>
      </c>
      <c r="T1250">
        <v>-3266.51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 s="164">
        <v>40909</v>
      </c>
      <c r="AC1250" s="164">
        <v>41274</v>
      </c>
      <c r="AD1250" s="164">
        <v>41364</v>
      </c>
      <c r="AE1250" s="34">
        <f>SUMPRODUCT(DB_STProjectsSOF[[#This Row],[Plan01]:[Plan12]],$D$4:$O$4)/valUnits2</f>
        <v>90.007499999999993</v>
      </c>
      <c r="AF1250" s="34">
        <f>SUMPRODUCT(DB_STProjectsSOF[[#This Row],[Act01]:[Act12]],$P$4:$AA$4)/valUnits2</f>
        <v>-4.5474735088646413E-16</v>
      </c>
      <c r="AG1250" s="34">
        <f>DB_STProjectsSOF[[#This Row],[Actual]]-DB_STProjectsSOF[[#This Row],[Plan]]</f>
        <v>-90.007499999999993</v>
      </c>
      <c r="AH1250" s="34">
        <f>IF(DB_STProjectsSOF[[#This Row],[Plan]]&lt;&gt;0,DB_STProjectsSOF[[#This Row],[Actual]]/DB_STProjectsSOF[[#This Row],[Plan]],1.000011000011)</f>
        <v>-5.0523273159066099E-18</v>
      </c>
      <c r="AI1250" s="34">
        <f>SUM(DB_STProjectsSOF[[#This Row],[Plan01]:[Plan12]])/valUnits2</f>
        <v>141.04499999999999</v>
      </c>
      <c r="AJ1250" s="34">
        <f>SUMPRODUCT(DB_STProjectsSOF[[#This Row],[Act01]:[Act12]],$P$3:$AA$3)/valUnits2</f>
        <v>-4.5474735088646413E-16</v>
      </c>
      <c r="AK1250" s="34">
        <f>IF(DB_STProjectsSOF[[#This Row],[FY Plan]]&lt;&gt;0,DB_STProjectsSOF[[#This Row],[FY Actuals]]/DB_STProjectsSOF[[#This Row],[FY Plan]],1.000011000011)</f>
        <v>-3.2241295394126994E-18</v>
      </c>
    </row>
    <row r="1251" spans="1:37" hidden="1" x14ac:dyDescent="0.2">
      <c r="A1251">
        <f>SUBTOTAL(3,$B$6:B1251)</f>
        <v>0</v>
      </c>
      <c r="B1251" t="s">
        <v>522</v>
      </c>
      <c r="C1251" t="s">
        <v>908</v>
      </c>
      <c r="D1251">
        <v>23436.929</v>
      </c>
      <c r="E1251">
        <v>165.84600000000404</v>
      </c>
      <c r="F1251">
        <v>507.72199999999998</v>
      </c>
      <c r="G1251">
        <v>5520.0909999999994</v>
      </c>
      <c r="H1251">
        <v>8047.431999999998</v>
      </c>
      <c r="I1251">
        <v>27771.098000000002</v>
      </c>
      <c r="J1251">
        <v>32519.343999999997</v>
      </c>
      <c r="K1251">
        <v>10722.265000000003</v>
      </c>
      <c r="L1251">
        <v>10813.645000000002</v>
      </c>
      <c r="M1251">
        <v>10722.264999999999</v>
      </c>
      <c r="N1251">
        <v>10722.264999999999</v>
      </c>
      <c r="O1251">
        <v>68897.528999999995</v>
      </c>
      <c r="P1251">
        <v>23911.99</v>
      </c>
      <c r="Q1251">
        <v>171.5400000000007</v>
      </c>
      <c r="R1251">
        <v>501.67000000000007</v>
      </c>
      <c r="S1251">
        <v>5446.8499999999985</v>
      </c>
      <c r="T1251">
        <v>8159.2400000000016</v>
      </c>
      <c r="U1251">
        <v>38301.560000000005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 s="164">
        <v>40909</v>
      </c>
      <c r="AC1251" s="164">
        <v>42003</v>
      </c>
      <c r="AD1251" s="164">
        <v>42063</v>
      </c>
      <c r="AE1251" s="34">
        <f>SUMPRODUCT(DB_STProjectsSOF[[#This Row],[Plan01]:[Plan12]],$D$4:$O$4)/valUnits2</f>
        <v>65.449117999999999</v>
      </c>
      <c r="AF1251" s="34">
        <f>SUMPRODUCT(DB_STProjectsSOF[[#This Row],[Act01]:[Act12]],$P$4:$AA$4)/valUnits2</f>
        <v>76.492850000000004</v>
      </c>
      <c r="AG1251" s="34">
        <f>DB_STProjectsSOF[[#This Row],[Actual]]-DB_STProjectsSOF[[#This Row],[Plan]]</f>
        <v>11.043732000000006</v>
      </c>
      <c r="AH1251" s="34">
        <f>IF(DB_STProjectsSOF[[#This Row],[Plan]]&lt;&gt;0,DB_STProjectsSOF[[#This Row],[Actual]]/DB_STProjectsSOF[[#This Row],[Plan]],1.000011000011)</f>
        <v>1.1687376749675986</v>
      </c>
      <c r="AI1251" s="34">
        <f>SUM(DB_STProjectsSOF[[#This Row],[Plan01]:[Plan12]])/valUnits2</f>
        <v>209.846431</v>
      </c>
      <c r="AJ1251" s="34">
        <f>SUMPRODUCT(DB_STProjectsSOF[[#This Row],[Act01]:[Act12]],$P$3:$AA$3)/valUnits2</f>
        <v>76.492850000000004</v>
      </c>
      <c r="AK1251" s="34">
        <f>IF(DB_STProjectsSOF[[#This Row],[FY Plan]]&lt;&gt;0,DB_STProjectsSOF[[#This Row],[FY Actuals]]/DB_STProjectsSOF[[#This Row],[FY Plan]],1.000011000011)</f>
        <v>0.36451823190645549</v>
      </c>
    </row>
    <row r="1252" spans="1:37" hidden="1" x14ac:dyDescent="0.2">
      <c r="A1252">
        <f>SUBTOTAL(3,$B$6:B1252)</f>
        <v>0</v>
      </c>
      <c r="B1252" t="s">
        <v>522</v>
      </c>
      <c r="C1252" t="s">
        <v>909</v>
      </c>
      <c r="D1252">
        <v>7561.5900000000111</v>
      </c>
      <c r="E1252">
        <v>-12364.12000000001</v>
      </c>
      <c r="F1252">
        <v>196305.82</v>
      </c>
      <c r="G1252">
        <v>60318.259999999995</v>
      </c>
      <c r="H1252">
        <v>10084.099999999995</v>
      </c>
      <c r="I1252">
        <v>80681</v>
      </c>
      <c r="J1252">
        <v>80681</v>
      </c>
      <c r="K1252">
        <v>80681</v>
      </c>
      <c r="L1252">
        <v>80681.000000000015</v>
      </c>
      <c r="M1252">
        <v>80681</v>
      </c>
      <c r="N1252">
        <v>80681</v>
      </c>
      <c r="O1252">
        <v>80681</v>
      </c>
      <c r="P1252">
        <v>7561.5900000000065</v>
      </c>
      <c r="Q1252">
        <v>-12364.120000000019</v>
      </c>
      <c r="R1252">
        <v>196305.81999999998</v>
      </c>
      <c r="S1252">
        <v>60318.259999999995</v>
      </c>
      <c r="T1252">
        <v>10084.099999999997</v>
      </c>
      <c r="U1252">
        <v>81911.77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 s="164">
        <v>40817</v>
      </c>
      <c r="AC1252" s="164">
        <v>42155</v>
      </c>
      <c r="AD1252" s="164">
        <v>42217</v>
      </c>
      <c r="AE1252" s="34">
        <f>SUMPRODUCT(DB_STProjectsSOF[[#This Row],[Plan01]:[Plan12]],$D$4:$O$4)/valUnits2</f>
        <v>342.58665000000002</v>
      </c>
      <c r="AF1252" s="34">
        <f>SUMPRODUCT(DB_STProjectsSOF[[#This Row],[Act01]:[Act12]],$P$4:$AA$4)/valUnits2</f>
        <v>343.81741999999997</v>
      </c>
      <c r="AG1252" s="34">
        <f>DB_STProjectsSOF[[#This Row],[Actual]]-DB_STProjectsSOF[[#This Row],[Plan]]</f>
        <v>1.23076999999995</v>
      </c>
      <c r="AH1252" s="34">
        <f>IF(DB_STProjectsSOF[[#This Row],[Plan]]&lt;&gt;0,DB_STProjectsSOF[[#This Row],[Actual]]/DB_STProjectsSOF[[#This Row],[Plan]],1.000011000011)</f>
        <v>1.0035925801545389</v>
      </c>
      <c r="AI1252" s="34">
        <f>SUM(DB_STProjectsSOF[[#This Row],[Plan01]:[Plan12]])/valUnits2</f>
        <v>826.67264999999998</v>
      </c>
      <c r="AJ1252" s="34">
        <f>SUMPRODUCT(DB_STProjectsSOF[[#This Row],[Act01]:[Act12]],$P$3:$AA$3)/valUnits2</f>
        <v>343.81741999999997</v>
      </c>
      <c r="AK1252" s="34">
        <f>IF(DB_STProjectsSOF[[#This Row],[FY Plan]]&lt;&gt;0,DB_STProjectsSOF[[#This Row],[FY Actuals]]/DB_STProjectsSOF[[#This Row],[FY Plan]],1.000011000011)</f>
        <v>0.41590515907354619</v>
      </c>
    </row>
    <row r="1253" spans="1:37" hidden="1" x14ac:dyDescent="0.2">
      <c r="A1253">
        <f>SUBTOTAL(3,$B$6:B1253)</f>
        <v>0</v>
      </c>
      <c r="B1253" t="s">
        <v>522</v>
      </c>
      <c r="C1253" t="s">
        <v>914</v>
      </c>
      <c r="F1253">
        <v>559.72</v>
      </c>
      <c r="R1253">
        <v>559.72</v>
      </c>
      <c r="AB1253" s="164"/>
      <c r="AC1253" s="164"/>
      <c r="AD1253" s="164"/>
      <c r="AE1253" s="34">
        <f>SUMPRODUCT(DB_STProjectsSOF[[#This Row],[Plan01]:[Plan12]],$D$4:$O$4)/valUnits2</f>
        <v>0.55972</v>
      </c>
      <c r="AF1253" s="34">
        <f>SUMPRODUCT(DB_STProjectsSOF[[#This Row],[Act01]:[Act12]],$P$4:$AA$4)/valUnits2</f>
        <v>0.55972</v>
      </c>
      <c r="AG1253" s="34">
        <f>DB_STProjectsSOF[[#This Row],[Actual]]-DB_STProjectsSOF[[#This Row],[Plan]]</f>
        <v>0</v>
      </c>
      <c r="AH1253" s="34">
        <f>IF(DB_STProjectsSOF[[#This Row],[Plan]]&lt;&gt;0,DB_STProjectsSOF[[#This Row],[Actual]]/DB_STProjectsSOF[[#This Row],[Plan]],1.000011000011)</f>
        <v>1</v>
      </c>
      <c r="AI1253" s="34">
        <f>SUM(DB_STProjectsSOF[[#This Row],[Plan01]:[Plan12]])/valUnits2</f>
        <v>0.55972</v>
      </c>
      <c r="AJ1253" s="34">
        <f>SUMPRODUCT(DB_STProjectsSOF[[#This Row],[Act01]:[Act12]],$P$3:$AA$3)/valUnits2</f>
        <v>0.55972</v>
      </c>
      <c r="AK1253" s="34">
        <f>IF(DB_STProjectsSOF[[#This Row],[FY Plan]]&lt;&gt;0,DB_STProjectsSOF[[#This Row],[FY Actuals]]/DB_STProjectsSOF[[#This Row],[FY Plan]],1.000011000011)</f>
        <v>1</v>
      </c>
    </row>
    <row r="1254" spans="1:37" hidden="1" x14ac:dyDescent="0.2">
      <c r="A1254">
        <f>SUBTOTAL(3,$B$6:B1254)</f>
        <v>0</v>
      </c>
      <c r="B1254" t="s">
        <v>522</v>
      </c>
      <c r="C1254" t="s">
        <v>917</v>
      </c>
      <c r="D1254">
        <v>12.03</v>
      </c>
      <c r="E1254">
        <v>35635.362999999998</v>
      </c>
      <c r="F1254">
        <v>1484.577</v>
      </c>
      <c r="G1254">
        <v>562.78399999999999</v>
      </c>
      <c r="H1254">
        <v>435.65499999999997</v>
      </c>
      <c r="I1254">
        <v>10713.348</v>
      </c>
      <c r="J1254">
        <v>4214.2909999999993</v>
      </c>
      <c r="K1254">
        <v>4214.2909999999993</v>
      </c>
      <c r="L1254">
        <v>4214.2909999999993</v>
      </c>
      <c r="M1254">
        <v>4214.2909999999993</v>
      </c>
      <c r="N1254">
        <v>4214.2909999999993</v>
      </c>
      <c r="O1254">
        <v>4214.2909999999993</v>
      </c>
      <c r="P1254">
        <v>12.02</v>
      </c>
      <c r="Q1254">
        <v>34787.82</v>
      </c>
      <c r="R1254">
        <v>1474.94</v>
      </c>
      <c r="S1254">
        <v>565.65</v>
      </c>
      <c r="T1254">
        <v>437.77</v>
      </c>
      <c r="U1254">
        <v>17375.8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 s="164">
        <v>40817</v>
      </c>
      <c r="AC1254" s="164">
        <v>42155</v>
      </c>
      <c r="AD1254" s="164">
        <v>42246</v>
      </c>
      <c r="AE1254" s="34">
        <f>SUMPRODUCT(DB_STProjectsSOF[[#This Row],[Plan01]:[Plan12]],$D$4:$O$4)/valUnits2</f>
        <v>48.843756999999989</v>
      </c>
      <c r="AF1254" s="34">
        <f>SUMPRODUCT(DB_STProjectsSOF[[#This Row],[Act01]:[Act12]],$P$4:$AA$4)/valUnits2</f>
        <v>54.654000000000003</v>
      </c>
      <c r="AG1254" s="34">
        <f>DB_STProjectsSOF[[#This Row],[Actual]]-DB_STProjectsSOF[[#This Row],[Plan]]</f>
        <v>5.810243000000014</v>
      </c>
      <c r="AH1254" s="34">
        <f>IF(DB_STProjectsSOF[[#This Row],[Plan]]&lt;&gt;0,DB_STProjectsSOF[[#This Row],[Actual]]/DB_STProjectsSOF[[#This Row],[Plan]],1.000011000011)</f>
        <v>1.1189556937645073</v>
      </c>
      <c r="AI1254" s="34">
        <f>SUM(DB_STProjectsSOF[[#This Row],[Plan01]:[Plan12]])/valUnits2</f>
        <v>74.129502999999985</v>
      </c>
      <c r="AJ1254" s="34">
        <f>SUMPRODUCT(DB_STProjectsSOF[[#This Row],[Act01]:[Act12]],$P$3:$AA$3)/valUnits2</f>
        <v>54.654000000000003</v>
      </c>
      <c r="AK1254" s="34">
        <f>IF(DB_STProjectsSOF[[#This Row],[FY Plan]]&lt;&gt;0,DB_STProjectsSOF[[#This Row],[FY Actuals]]/DB_STProjectsSOF[[#This Row],[FY Plan]],1.000011000011)</f>
        <v>0.73727730239874956</v>
      </c>
    </row>
    <row r="1255" spans="1:37" hidden="1" x14ac:dyDescent="0.2">
      <c r="A1255">
        <f>SUBTOTAL(3,$B$6:B1255)</f>
        <v>0</v>
      </c>
      <c r="B1255" t="s">
        <v>522</v>
      </c>
      <c r="C1255" t="s">
        <v>920</v>
      </c>
      <c r="H1255">
        <v>774.19</v>
      </c>
      <c r="T1255">
        <v>774.19</v>
      </c>
      <c r="AB1255" s="164">
        <v>40817</v>
      </c>
      <c r="AC1255" s="164">
        <v>41409</v>
      </c>
      <c r="AD1255" s="164">
        <v>41426</v>
      </c>
      <c r="AE1255" s="34">
        <f>SUMPRODUCT(DB_STProjectsSOF[[#This Row],[Plan01]:[Plan12]],$D$4:$O$4)/valUnits2</f>
        <v>0.77419000000000004</v>
      </c>
      <c r="AF1255" s="34">
        <f>SUMPRODUCT(DB_STProjectsSOF[[#This Row],[Act01]:[Act12]],$P$4:$AA$4)/valUnits2</f>
        <v>0.77419000000000004</v>
      </c>
      <c r="AG1255" s="34">
        <f>DB_STProjectsSOF[[#This Row],[Actual]]-DB_STProjectsSOF[[#This Row],[Plan]]</f>
        <v>0</v>
      </c>
      <c r="AH1255" s="34">
        <f>IF(DB_STProjectsSOF[[#This Row],[Plan]]&lt;&gt;0,DB_STProjectsSOF[[#This Row],[Actual]]/DB_STProjectsSOF[[#This Row],[Plan]],1.000011000011)</f>
        <v>1</v>
      </c>
      <c r="AI1255" s="34">
        <f>SUM(DB_STProjectsSOF[[#This Row],[Plan01]:[Plan12]])/valUnits2</f>
        <v>0.77419000000000004</v>
      </c>
      <c r="AJ1255" s="34">
        <f>SUMPRODUCT(DB_STProjectsSOF[[#This Row],[Act01]:[Act12]],$P$3:$AA$3)/valUnits2</f>
        <v>0.77419000000000004</v>
      </c>
      <c r="AK1255" s="34">
        <f>IF(DB_STProjectsSOF[[#This Row],[FY Plan]]&lt;&gt;0,DB_STProjectsSOF[[#This Row],[FY Actuals]]/DB_STProjectsSOF[[#This Row],[FY Plan]],1.000011000011)</f>
        <v>1</v>
      </c>
    </row>
    <row r="1256" spans="1:37" hidden="1" x14ac:dyDescent="0.2">
      <c r="A1256">
        <f>SUBTOTAL(3,$B$6:B1256)</f>
        <v>0</v>
      </c>
      <c r="B1256" t="s">
        <v>522</v>
      </c>
      <c r="C1256" t="s">
        <v>921</v>
      </c>
      <c r="D1256">
        <v>3501.5159999999996</v>
      </c>
      <c r="E1256">
        <v>4336.1219999999994</v>
      </c>
      <c r="F1256">
        <v>3894.6919999999996</v>
      </c>
      <c r="G1256">
        <v>10573.311999999998</v>
      </c>
      <c r="H1256">
        <v>4979.51</v>
      </c>
      <c r="P1256">
        <v>3501.2799999999997</v>
      </c>
      <c r="Q1256">
        <v>4329.8400000000011</v>
      </c>
      <c r="R1256">
        <v>3869.04</v>
      </c>
      <c r="S1256">
        <v>10434.459999999999</v>
      </c>
      <c r="T1256">
        <v>4997.68</v>
      </c>
      <c r="AB1256" s="164">
        <v>40909</v>
      </c>
      <c r="AC1256" s="164">
        <v>41363</v>
      </c>
      <c r="AD1256" s="164">
        <v>41389</v>
      </c>
      <c r="AE1256" s="34">
        <f>SUMPRODUCT(DB_STProjectsSOF[[#This Row],[Plan01]:[Plan12]],$D$4:$O$4)/valUnits2</f>
        <v>27.285151999999993</v>
      </c>
      <c r="AF1256" s="34">
        <f>SUMPRODUCT(DB_STProjectsSOF[[#This Row],[Act01]:[Act12]],$P$4:$AA$4)/valUnits2</f>
        <v>27.132300000000001</v>
      </c>
      <c r="AG1256" s="34">
        <f>DB_STProjectsSOF[[#This Row],[Actual]]-DB_STProjectsSOF[[#This Row],[Plan]]</f>
        <v>-0.15285199999999222</v>
      </c>
      <c r="AH1256" s="34">
        <f>IF(DB_STProjectsSOF[[#This Row],[Plan]]&lt;&gt;0,DB_STProjectsSOF[[#This Row],[Actual]]/DB_STProjectsSOF[[#This Row],[Plan]],1.000011000011)</f>
        <v>0.99439797879813929</v>
      </c>
      <c r="AI1256" s="34">
        <f>SUM(DB_STProjectsSOF[[#This Row],[Plan01]:[Plan12]])/valUnits2</f>
        <v>27.285151999999993</v>
      </c>
      <c r="AJ1256" s="34">
        <f>SUMPRODUCT(DB_STProjectsSOF[[#This Row],[Act01]:[Act12]],$P$3:$AA$3)/valUnits2</f>
        <v>27.132300000000001</v>
      </c>
      <c r="AK1256" s="34">
        <f>IF(DB_STProjectsSOF[[#This Row],[FY Plan]]&lt;&gt;0,DB_STProjectsSOF[[#This Row],[FY Actuals]]/DB_STProjectsSOF[[#This Row],[FY Plan]],1.000011000011)</f>
        <v>0.99439797879813929</v>
      </c>
    </row>
    <row r="1257" spans="1:37" hidden="1" x14ac:dyDescent="0.2">
      <c r="A1257">
        <f>SUBTOTAL(3,$B$6:B1257)</f>
        <v>0</v>
      </c>
      <c r="B1257" t="s">
        <v>522</v>
      </c>
      <c r="C1257" t="s">
        <v>924</v>
      </c>
      <c r="D1257">
        <v>1237.7170000000001</v>
      </c>
      <c r="E1257">
        <v>35113.851999999999</v>
      </c>
      <c r="F1257">
        <v>1396.4089999999997</v>
      </c>
      <c r="G1257">
        <v>39902.920999999995</v>
      </c>
      <c r="H1257">
        <v>1930.5280000000007</v>
      </c>
      <c r="I1257">
        <v>18191.548000000003</v>
      </c>
      <c r="J1257">
        <v>15011.754000000001</v>
      </c>
      <c r="K1257">
        <v>12982.258</v>
      </c>
      <c r="L1257">
        <v>15554.333000000001</v>
      </c>
      <c r="M1257">
        <v>11717.338</v>
      </c>
      <c r="N1257">
        <v>14066.043</v>
      </c>
      <c r="O1257">
        <v>11475.656000000001</v>
      </c>
      <c r="P1257">
        <v>1218.6500000000001</v>
      </c>
      <c r="Q1257">
        <v>36087.75</v>
      </c>
      <c r="R1257">
        <v>1409.0500000000006</v>
      </c>
      <c r="S1257">
        <v>39763.079999999994</v>
      </c>
      <c r="T1257">
        <v>1917.3400000000011</v>
      </c>
      <c r="U1257">
        <v>1392.9900000000007</v>
      </c>
      <c r="V1257">
        <v>37226.519999999997</v>
      </c>
      <c r="W1257">
        <v>0</v>
      </c>
      <c r="X1257">
        <v>0</v>
      </c>
      <c r="Y1257">
        <v>0</v>
      </c>
      <c r="Z1257">
        <v>0</v>
      </c>
      <c r="AA1257">
        <v>0</v>
      </c>
      <c r="AB1257" s="164">
        <v>40817</v>
      </c>
      <c r="AC1257" s="164">
        <v>41639</v>
      </c>
      <c r="AD1257" s="164">
        <v>41685</v>
      </c>
      <c r="AE1257" s="34">
        <f>SUMPRODUCT(DB_STProjectsSOF[[#This Row],[Plan01]:[Plan12]],$D$4:$O$4)/valUnits2</f>
        <v>97.772975000000002</v>
      </c>
      <c r="AF1257" s="34">
        <f>SUMPRODUCT(DB_STProjectsSOF[[#This Row],[Act01]:[Act12]],$P$4:$AA$4)/valUnits2</f>
        <v>81.78886</v>
      </c>
      <c r="AG1257" s="34">
        <f>DB_STProjectsSOF[[#This Row],[Actual]]-DB_STProjectsSOF[[#This Row],[Plan]]</f>
        <v>-15.984115000000003</v>
      </c>
      <c r="AH1257" s="34">
        <f>IF(DB_STProjectsSOF[[#This Row],[Plan]]&lt;&gt;0,DB_STProjectsSOF[[#This Row],[Actual]]/DB_STProjectsSOF[[#This Row],[Plan]],1.000011000011)</f>
        <v>0.83651806646979898</v>
      </c>
      <c r="AI1257" s="34">
        <f>SUM(DB_STProjectsSOF[[#This Row],[Plan01]:[Plan12]])/valUnits2</f>
        <v>178.58035699999999</v>
      </c>
      <c r="AJ1257" s="34">
        <f>SUMPRODUCT(DB_STProjectsSOF[[#This Row],[Act01]:[Act12]],$P$3:$AA$3)/valUnits2</f>
        <v>81.78886</v>
      </c>
      <c r="AK1257" s="34">
        <f>IF(DB_STProjectsSOF[[#This Row],[FY Plan]]&lt;&gt;0,DB_STProjectsSOF[[#This Row],[FY Actuals]]/DB_STProjectsSOF[[#This Row],[FY Plan]],1.000011000011)</f>
        <v>0.45799471663056424</v>
      </c>
    </row>
    <row r="1258" spans="1:37" hidden="1" x14ac:dyDescent="0.2">
      <c r="A1258">
        <f>SUBTOTAL(3,$B$6:B1258)</f>
        <v>0</v>
      </c>
      <c r="B1258" t="s">
        <v>522</v>
      </c>
      <c r="C1258" t="s">
        <v>933</v>
      </c>
      <c r="D1258">
        <v>0</v>
      </c>
      <c r="E1258">
        <v>11.280000000000001</v>
      </c>
      <c r="F1258">
        <v>0</v>
      </c>
      <c r="G1258">
        <v>1087.1799999999998</v>
      </c>
      <c r="H1258">
        <v>1039.8500000000001</v>
      </c>
      <c r="I1258">
        <v>15428.250999999998</v>
      </c>
      <c r="J1258">
        <v>15428.251</v>
      </c>
      <c r="K1258">
        <v>15428.250999999998</v>
      </c>
      <c r="L1258">
        <v>15428.251</v>
      </c>
      <c r="M1258">
        <v>15428.251</v>
      </c>
      <c r="N1258">
        <v>15428.251</v>
      </c>
      <c r="O1258">
        <v>15428.250999999998</v>
      </c>
      <c r="P1258">
        <v>0</v>
      </c>
      <c r="Q1258">
        <v>11.280000000000001</v>
      </c>
      <c r="R1258">
        <v>0</v>
      </c>
      <c r="S1258">
        <v>1087.18</v>
      </c>
      <c r="T1258">
        <v>1039.8500000000001</v>
      </c>
      <c r="U1258">
        <v>1159.47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 s="164">
        <v>40817</v>
      </c>
      <c r="AC1258" s="164">
        <v>42155</v>
      </c>
      <c r="AD1258" s="164">
        <v>42217</v>
      </c>
      <c r="AE1258" s="34">
        <f>SUMPRODUCT(DB_STProjectsSOF[[#This Row],[Plan01]:[Plan12]],$D$4:$O$4)/valUnits2</f>
        <v>17.566560999999997</v>
      </c>
      <c r="AF1258" s="34">
        <f>SUMPRODUCT(DB_STProjectsSOF[[#This Row],[Act01]:[Act12]],$P$4:$AA$4)/valUnits2</f>
        <v>3.2977800000000008</v>
      </c>
      <c r="AG1258" s="34">
        <f>DB_STProjectsSOF[[#This Row],[Actual]]-DB_STProjectsSOF[[#This Row],[Plan]]</f>
        <v>-14.268780999999995</v>
      </c>
      <c r="AH1258" s="34">
        <f>IF(DB_STProjectsSOF[[#This Row],[Plan]]&lt;&gt;0,DB_STProjectsSOF[[#This Row],[Actual]]/DB_STProjectsSOF[[#This Row],[Plan]],1.000011000011)</f>
        <v>0.18773054099775144</v>
      </c>
      <c r="AI1258" s="34">
        <f>SUM(DB_STProjectsSOF[[#This Row],[Plan01]:[Plan12]])/valUnits2</f>
        <v>110.13606700000001</v>
      </c>
      <c r="AJ1258" s="34">
        <f>SUMPRODUCT(DB_STProjectsSOF[[#This Row],[Act01]:[Act12]],$P$3:$AA$3)/valUnits2</f>
        <v>3.2977800000000008</v>
      </c>
      <c r="AK1258" s="34">
        <f>IF(DB_STProjectsSOF[[#This Row],[FY Plan]]&lt;&gt;0,DB_STProjectsSOF[[#This Row],[FY Actuals]]/DB_STProjectsSOF[[#This Row],[FY Plan]],1.000011000011)</f>
        <v>2.9942779779851776E-2</v>
      </c>
    </row>
    <row r="1259" spans="1:37" hidden="1" x14ac:dyDescent="0.2">
      <c r="A1259">
        <f>SUBTOTAL(3,$B$6:B1259)</f>
        <v>0</v>
      </c>
      <c r="B1259" t="s">
        <v>522</v>
      </c>
      <c r="C1259" t="s">
        <v>935</v>
      </c>
      <c r="D1259">
        <v>206122.92199999999</v>
      </c>
      <c r="E1259">
        <v>466811.75699999993</v>
      </c>
      <c r="F1259">
        <v>258729.29500000004</v>
      </c>
      <c r="G1259">
        <v>379156.32900000003</v>
      </c>
      <c r="H1259">
        <v>204923.70899999994</v>
      </c>
      <c r="I1259">
        <v>268840.46800000011</v>
      </c>
      <c r="J1259">
        <v>268840.46800000011</v>
      </c>
      <c r="K1259">
        <v>215962.99899999998</v>
      </c>
      <c r="L1259">
        <v>215962.99899999998</v>
      </c>
      <c r="M1259">
        <v>215962.99899999998</v>
      </c>
      <c r="N1259">
        <v>215962.99899999992</v>
      </c>
      <c r="O1259">
        <v>228875.01799999995</v>
      </c>
      <c r="P1259">
        <v>209143.62000000005</v>
      </c>
      <c r="Q1259">
        <v>483719.52999999991</v>
      </c>
      <c r="R1259">
        <v>258212.73999999982</v>
      </c>
      <c r="S1259">
        <v>374190.04000000004</v>
      </c>
      <c r="T1259">
        <v>204641.57000000015</v>
      </c>
      <c r="U1259">
        <v>411393.25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 s="164">
        <v>41000</v>
      </c>
      <c r="AC1259" s="164">
        <v>42094</v>
      </c>
      <c r="AD1259" s="164">
        <v>42124</v>
      </c>
      <c r="AE1259" s="34">
        <f>SUMPRODUCT(DB_STProjectsSOF[[#This Row],[Plan01]:[Plan12]],$D$4:$O$4)/valUnits2</f>
        <v>1784.58448</v>
      </c>
      <c r="AF1259" s="34">
        <f>SUMPRODUCT(DB_STProjectsSOF[[#This Row],[Act01]:[Act12]],$P$4:$AA$4)/valUnits2</f>
        <v>1941.3007499999999</v>
      </c>
      <c r="AG1259" s="34">
        <f>DB_STProjectsSOF[[#This Row],[Actual]]-DB_STProjectsSOF[[#This Row],[Plan]]</f>
        <v>156.71626999999989</v>
      </c>
      <c r="AH1259" s="34">
        <f>IF(DB_STProjectsSOF[[#This Row],[Plan]]&lt;&gt;0,DB_STProjectsSOF[[#This Row],[Actual]]/DB_STProjectsSOF[[#This Row],[Plan]],1.000011000011)</f>
        <v>1.0878166720356102</v>
      </c>
      <c r="AI1259" s="34">
        <f>SUM(DB_STProjectsSOF[[#This Row],[Plan01]:[Plan12]])/valUnits2</f>
        <v>3146.1519619999999</v>
      </c>
      <c r="AJ1259" s="34">
        <f>SUMPRODUCT(DB_STProjectsSOF[[#This Row],[Act01]:[Act12]],$P$3:$AA$3)/valUnits2</f>
        <v>1941.3007499999999</v>
      </c>
      <c r="AK1259" s="34">
        <f>IF(DB_STProjectsSOF[[#This Row],[FY Plan]]&lt;&gt;0,DB_STProjectsSOF[[#This Row],[FY Actuals]]/DB_STProjectsSOF[[#This Row],[FY Plan]],1.000011000011)</f>
        <v>0.61703972772056459</v>
      </c>
    </row>
    <row r="1260" spans="1:37" hidden="1" x14ac:dyDescent="0.2">
      <c r="A1260">
        <f>SUBTOTAL(3,$B$6:B1260)</f>
        <v>0</v>
      </c>
      <c r="B1260" t="s">
        <v>523</v>
      </c>
      <c r="C1260" t="s">
        <v>845</v>
      </c>
      <c r="I1260">
        <v>0</v>
      </c>
      <c r="U1260">
        <v>7889.6</v>
      </c>
      <c r="AB1260" s="164">
        <v>41275</v>
      </c>
      <c r="AC1260" s="164">
        <v>41639</v>
      </c>
      <c r="AD1260" s="164">
        <v>41729</v>
      </c>
      <c r="AE1260" s="34">
        <f>SUMPRODUCT(DB_STProjectsSOF[[#This Row],[Plan01]:[Plan12]],$D$4:$O$4)/valUnits2</f>
        <v>0</v>
      </c>
      <c r="AF1260" s="34">
        <f>SUMPRODUCT(DB_STProjectsSOF[[#This Row],[Act01]:[Act12]],$P$4:$AA$4)/valUnits2</f>
        <v>7.8896000000000006</v>
      </c>
      <c r="AG1260" s="34">
        <f>DB_STProjectsSOF[[#This Row],[Actual]]-DB_STProjectsSOF[[#This Row],[Plan]]</f>
        <v>7.8896000000000006</v>
      </c>
      <c r="AH1260" s="34">
        <f>IF(DB_STProjectsSOF[[#This Row],[Plan]]&lt;&gt;0,DB_STProjectsSOF[[#This Row],[Actual]]/DB_STProjectsSOF[[#This Row],[Plan]],1.000011000011)</f>
        <v>1.0000110000110001</v>
      </c>
      <c r="AI1260" s="34">
        <f>SUM(DB_STProjectsSOF[[#This Row],[Plan01]:[Plan12]])/valUnits2</f>
        <v>0</v>
      </c>
      <c r="AJ1260" s="34">
        <f>SUMPRODUCT(DB_STProjectsSOF[[#This Row],[Act01]:[Act12]],$P$3:$AA$3)/valUnits2</f>
        <v>7.8896000000000006</v>
      </c>
      <c r="AK1260" s="34">
        <f>IF(DB_STProjectsSOF[[#This Row],[FY Plan]]&lt;&gt;0,DB_STProjectsSOF[[#This Row],[FY Actuals]]/DB_STProjectsSOF[[#This Row],[FY Plan]],1.000011000011)</f>
        <v>1.0000110000110001</v>
      </c>
    </row>
    <row r="1261" spans="1:37" hidden="1" x14ac:dyDescent="0.2">
      <c r="A1261">
        <f>SUBTOTAL(3,$B$6:B1261)</f>
        <v>0</v>
      </c>
      <c r="B1261" t="s">
        <v>523</v>
      </c>
      <c r="C1261" t="s">
        <v>858</v>
      </c>
      <c r="D1261">
        <v>0</v>
      </c>
      <c r="E1261">
        <v>0</v>
      </c>
      <c r="F1261">
        <v>0</v>
      </c>
      <c r="G1261">
        <v>255.96</v>
      </c>
      <c r="H1261">
        <v>630.76</v>
      </c>
      <c r="I1261">
        <v>1416.6660000000002</v>
      </c>
      <c r="J1261">
        <v>1416.6660000000002</v>
      </c>
      <c r="K1261">
        <v>1499.999</v>
      </c>
      <c r="L1261">
        <v>1416.6660000000002</v>
      </c>
      <c r="M1261">
        <v>1416.6660000000002</v>
      </c>
      <c r="N1261">
        <v>1416.6660000000002</v>
      </c>
      <c r="O1261">
        <v>1416.6660000000002</v>
      </c>
      <c r="P1261">
        <v>0</v>
      </c>
      <c r="Q1261">
        <v>0</v>
      </c>
      <c r="R1261">
        <v>0</v>
      </c>
      <c r="S1261">
        <v>255.96</v>
      </c>
      <c r="T1261">
        <v>630.76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 s="164">
        <v>41275</v>
      </c>
      <c r="AC1261" s="164">
        <v>41639</v>
      </c>
      <c r="AD1261" s="164">
        <v>41784</v>
      </c>
      <c r="AE1261" s="34">
        <f>SUMPRODUCT(DB_STProjectsSOF[[#This Row],[Plan01]:[Plan12]],$D$4:$O$4)/valUnits2</f>
        <v>2.3033860000000006</v>
      </c>
      <c r="AF1261" s="34">
        <f>SUMPRODUCT(DB_STProjectsSOF[[#This Row],[Act01]:[Act12]],$P$4:$AA$4)/valUnits2</f>
        <v>0.88672000000000006</v>
      </c>
      <c r="AG1261" s="34">
        <f>DB_STProjectsSOF[[#This Row],[Actual]]-DB_STProjectsSOF[[#This Row],[Plan]]</f>
        <v>-1.4166660000000006</v>
      </c>
      <c r="AH1261" s="34">
        <f>IF(DB_STProjectsSOF[[#This Row],[Plan]]&lt;&gt;0,DB_STProjectsSOF[[#This Row],[Actual]]/DB_STProjectsSOF[[#This Row],[Plan]],1.000011000011)</f>
        <v>0.38496370126413887</v>
      </c>
      <c r="AI1261" s="34">
        <f>SUM(DB_STProjectsSOF[[#This Row],[Plan01]:[Plan12]])/valUnits2</f>
        <v>10.886715000000001</v>
      </c>
      <c r="AJ1261" s="34">
        <f>SUMPRODUCT(DB_STProjectsSOF[[#This Row],[Act01]:[Act12]],$P$3:$AA$3)/valUnits2</f>
        <v>0.88672000000000006</v>
      </c>
      <c r="AK1261" s="34">
        <f>IF(DB_STProjectsSOF[[#This Row],[FY Plan]]&lt;&gt;0,DB_STProjectsSOF[[#This Row],[FY Actuals]]/DB_STProjectsSOF[[#This Row],[FY Plan]],1.000011000011)</f>
        <v>8.144973024461466E-2</v>
      </c>
    </row>
    <row r="1262" spans="1:37" hidden="1" x14ac:dyDescent="0.2">
      <c r="A1262">
        <f>SUBTOTAL(3,$B$6:B1262)</f>
        <v>0</v>
      </c>
      <c r="B1262" t="s">
        <v>523</v>
      </c>
      <c r="C1262" t="s">
        <v>870</v>
      </c>
      <c r="D1262">
        <v>0</v>
      </c>
      <c r="G1262">
        <v>0</v>
      </c>
      <c r="J1262">
        <v>0</v>
      </c>
      <c r="M1262">
        <v>0</v>
      </c>
      <c r="P1262">
        <v>0</v>
      </c>
      <c r="S1262">
        <v>0</v>
      </c>
      <c r="V1262">
        <v>0</v>
      </c>
      <c r="Y1262">
        <v>0</v>
      </c>
      <c r="AB1262" s="164">
        <v>40909</v>
      </c>
      <c r="AC1262" s="164">
        <v>41274</v>
      </c>
      <c r="AD1262" s="164">
        <v>41305</v>
      </c>
      <c r="AE1262" s="34">
        <f>SUMPRODUCT(DB_STProjectsSOF[[#This Row],[Plan01]:[Plan12]],$D$4:$O$4)/valUnits2</f>
        <v>0</v>
      </c>
      <c r="AF1262" s="34">
        <f>SUMPRODUCT(DB_STProjectsSOF[[#This Row],[Act01]:[Act12]],$P$4:$AA$4)/valUnits2</f>
        <v>0</v>
      </c>
      <c r="AG1262" s="34">
        <f>DB_STProjectsSOF[[#This Row],[Actual]]-DB_STProjectsSOF[[#This Row],[Plan]]</f>
        <v>0</v>
      </c>
      <c r="AH1262" s="34">
        <f>IF(DB_STProjectsSOF[[#This Row],[Plan]]&lt;&gt;0,DB_STProjectsSOF[[#This Row],[Actual]]/DB_STProjectsSOF[[#This Row],[Plan]],1.000011000011)</f>
        <v>1.0000110000110001</v>
      </c>
      <c r="AI1262" s="34">
        <f>SUM(DB_STProjectsSOF[[#This Row],[Plan01]:[Plan12]])/valUnits2</f>
        <v>0</v>
      </c>
      <c r="AJ1262" s="34">
        <f>SUMPRODUCT(DB_STProjectsSOF[[#This Row],[Act01]:[Act12]],$P$3:$AA$3)/valUnits2</f>
        <v>0</v>
      </c>
      <c r="AK1262" s="34">
        <f>IF(DB_STProjectsSOF[[#This Row],[FY Plan]]&lt;&gt;0,DB_STProjectsSOF[[#This Row],[FY Actuals]]/DB_STProjectsSOF[[#This Row],[FY Plan]],1.000011000011)</f>
        <v>1.0000110000110001</v>
      </c>
    </row>
    <row r="1263" spans="1:37" hidden="1" x14ac:dyDescent="0.2">
      <c r="A1263">
        <f>SUBTOTAL(3,$B$6:B1263)</f>
        <v>0</v>
      </c>
      <c r="B1263" t="s">
        <v>523</v>
      </c>
      <c r="C1263" t="s">
        <v>872</v>
      </c>
      <c r="E1263">
        <v>509.88800000000003</v>
      </c>
      <c r="F1263">
        <v>22256.657999999999</v>
      </c>
      <c r="G1263">
        <v>10177.259000000002</v>
      </c>
      <c r="H1263">
        <v>-32305.672999999995</v>
      </c>
      <c r="I1263">
        <v>16657.033000000003</v>
      </c>
      <c r="J1263">
        <v>16657.032999999999</v>
      </c>
      <c r="K1263">
        <v>16657.032999999999</v>
      </c>
      <c r="L1263">
        <v>19804.550999999999</v>
      </c>
      <c r="M1263">
        <v>27419.517</v>
      </c>
      <c r="N1263">
        <v>19804.550999999999</v>
      </c>
      <c r="O1263">
        <v>16657.032999999999</v>
      </c>
      <c r="Q1263">
        <v>515.74</v>
      </c>
      <c r="R1263">
        <v>22178.149999999994</v>
      </c>
      <c r="S1263">
        <v>10021.84</v>
      </c>
      <c r="T1263">
        <v>-32182.619999999992</v>
      </c>
      <c r="U1263">
        <v>1446.1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 s="164">
        <v>41275</v>
      </c>
      <c r="AC1263" s="164">
        <v>41639</v>
      </c>
      <c r="AD1263" s="164">
        <v>41669</v>
      </c>
      <c r="AE1263" s="34">
        <f>SUMPRODUCT(DB_STProjectsSOF[[#This Row],[Plan01]:[Plan12]],$D$4:$O$4)/valUnits2</f>
        <v>17.295165000000008</v>
      </c>
      <c r="AF1263" s="34">
        <f>SUMPRODUCT(DB_STProjectsSOF[[#This Row],[Act01]:[Act12]],$P$4:$AA$4)/valUnits2</f>
        <v>1.9792100000000041</v>
      </c>
      <c r="AG1263" s="34">
        <f>DB_STProjectsSOF[[#This Row],[Actual]]-DB_STProjectsSOF[[#This Row],[Plan]]</f>
        <v>-15.315955000000004</v>
      </c>
      <c r="AH1263" s="34">
        <f>IF(DB_STProjectsSOF[[#This Row],[Plan]]&lt;&gt;0,DB_STProjectsSOF[[#This Row],[Actual]]/DB_STProjectsSOF[[#This Row],[Plan]],1.000011000011)</f>
        <v>0.11443718519019641</v>
      </c>
      <c r="AI1263" s="34">
        <f>SUM(DB_STProjectsSOF[[#This Row],[Plan01]:[Plan12]])/valUnits2</f>
        <v>134.294883</v>
      </c>
      <c r="AJ1263" s="34">
        <f>SUMPRODUCT(DB_STProjectsSOF[[#This Row],[Act01]:[Act12]],$P$3:$AA$3)/valUnits2</f>
        <v>1.9792100000000041</v>
      </c>
      <c r="AK1263" s="34">
        <f>IF(DB_STProjectsSOF[[#This Row],[FY Plan]]&lt;&gt;0,DB_STProjectsSOF[[#This Row],[FY Actuals]]/DB_STProjectsSOF[[#This Row],[FY Plan]],1.000011000011)</f>
        <v>1.4737791610422001E-2</v>
      </c>
    </row>
    <row r="1264" spans="1:37" hidden="1" x14ac:dyDescent="0.2">
      <c r="A1264">
        <f>SUBTOTAL(3,$B$6:B1264)</f>
        <v>0</v>
      </c>
      <c r="B1264" t="s">
        <v>523</v>
      </c>
      <c r="C1264" t="s">
        <v>884</v>
      </c>
      <c r="D1264">
        <v>5025.0829999999996</v>
      </c>
      <c r="E1264">
        <v>5025.0829999999996</v>
      </c>
      <c r="F1264">
        <v>5025.0829999999996</v>
      </c>
      <c r="G1264">
        <v>5025.0829999999996</v>
      </c>
      <c r="H1264">
        <v>5025.0829999999996</v>
      </c>
      <c r="I1264">
        <v>5025.0829999999996</v>
      </c>
      <c r="J1264">
        <v>5025.0829999999996</v>
      </c>
      <c r="K1264">
        <v>5025.0829999999996</v>
      </c>
      <c r="L1264">
        <v>5025.0829999999996</v>
      </c>
      <c r="M1264">
        <v>5025.0829999999996</v>
      </c>
      <c r="N1264">
        <v>5025.0829999999996</v>
      </c>
      <c r="O1264">
        <v>5025.0829999999996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 s="164">
        <v>40909</v>
      </c>
      <c r="AC1264" s="164">
        <v>41274</v>
      </c>
      <c r="AD1264" s="164">
        <v>41364</v>
      </c>
      <c r="AE1264" s="34">
        <f>SUMPRODUCT(DB_STProjectsSOF[[#This Row],[Plan01]:[Plan12]],$D$4:$O$4)/valUnits2</f>
        <v>30.150497999999995</v>
      </c>
      <c r="AF1264" s="34">
        <f>SUMPRODUCT(DB_STProjectsSOF[[#This Row],[Act01]:[Act12]],$P$4:$AA$4)/valUnits2</f>
        <v>0</v>
      </c>
      <c r="AG1264" s="34">
        <f>DB_STProjectsSOF[[#This Row],[Actual]]-DB_STProjectsSOF[[#This Row],[Plan]]</f>
        <v>-30.150497999999995</v>
      </c>
      <c r="AH1264" s="34">
        <f>IF(DB_STProjectsSOF[[#This Row],[Plan]]&lt;&gt;0,DB_STProjectsSOF[[#This Row],[Actual]]/DB_STProjectsSOF[[#This Row],[Plan]],1.000011000011)</f>
        <v>0</v>
      </c>
      <c r="AI1264" s="34">
        <f>SUM(DB_STProjectsSOF[[#This Row],[Plan01]:[Plan12]])/valUnits2</f>
        <v>60.300995999999991</v>
      </c>
      <c r="AJ1264" s="34">
        <f>SUMPRODUCT(DB_STProjectsSOF[[#This Row],[Act01]:[Act12]],$P$3:$AA$3)/valUnits2</f>
        <v>0</v>
      </c>
      <c r="AK1264" s="34">
        <f>IF(DB_STProjectsSOF[[#This Row],[FY Plan]]&lt;&gt;0,DB_STProjectsSOF[[#This Row],[FY Actuals]]/DB_STProjectsSOF[[#This Row],[FY Plan]],1.000011000011)</f>
        <v>0</v>
      </c>
    </row>
    <row r="1265" spans="1:37" hidden="1" x14ac:dyDescent="0.2">
      <c r="A1265">
        <f>SUBTOTAL(3,$B$6:B1265)</f>
        <v>0</v>
      </c>
      <c r="B1265" t="s">
        <v>523</v>
      </c>
      <c r="C1265" t="s">
        <v>904</v>
      </c>
      <c r="D1265">
        <v>3365.3399999999997</v>
      </c>
      <c r="E1265">
        <v>13206.280999999997</v>
      </c>
      <c r="F1265">
        <v>21975.558000000005</v>
      </c>
      <c r="G1265">
        <v>8719.4790000000012</v>
      </c>
      <c r="H1265">
        <v>17431.623</v>
      </c>
      <c r="I1265">
        <v>7114.1509999999998</v>
      </c>
      <c r="J1265">
        <v>5317.808</v>
      </c>
      <c r="K1265">
        <v>5317.808</v>
      </c>
      <c r="L1265">
        <v>5514.2969999999996</v>
      </c>
      <c r="M1265">
        <v>4806.4210000000003</v>
      </c>
      <c r="N1265">
        <v>3567.0270000000005</v>
      </c>
      <c r="O1265">
        <v>3370.5380000000005</v>
      </c>
      <c r="P1265">
        <v>3365.28</v>
      </c>
      <c r="Q1265">
        <v>13193.47</v>
      </c>
      <c r="R1265">
        <v>21827.27</v>
      </c>
      <c r="S1265">
        <v>8761.7100000000028</v>
      </c>
      <c r="T1265">
        <v>17471.510000000002</v>
      </c>
      <c r="U1265">
        <v>-3405.7600000000007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 s="164">
        <v>40817</v>
      </c>
      <c r="AC1265" s="164">
        <v>41639</v>
      </c>
      <c r="AD1265" s="164">
        <v>41698</v>
      </c>
      <c r="AE1265" s="34">
        <f>SUMPRODUCT(DB_STProjectsSOF[[#This Row],[Plan01]:[Plan12]],$D$4:$O$4)/valUnits2</f>
        <v>71.812432000000001</v>
      </c>
      <c r="AF1265" s="34">
        <f>SUMPRODUCT(DB_STProjectsSOF[[#This Row],[Act01]:[Act12]],$P$4:$AA$4)/valUnits2</f>
        <v>61.213480000000011</v>
      </c>
      <c r="AG1265" s="34">
        <f>DB_STProjectsSOF[[#This Row],[Actual]]-DB_STProjectsSOF[[#This Row],[Plan]]</f>
        <v>-10.59895199999999</v>
      </c>
      <c r="AH1265" s="34">
        <f>IF(DB_STProjectsSOF[[#This Row],[Plan]]&lt;&gt;0,DB_STProjectsSOF[[#This Row],[Actual]]/DB_STProjectsSOF[[#This Row],[Plan]],1.000011000011)</f>
        <v>0.85240783935572617</v>
      </c>
      <c r="AI1265" s="34">
        <f>SUM(DB_STProjectsSOF[[#This Row],[Plan01]:[Plan12]])/valUnits2</f>
        <v>99.70633100000002</v>
      </c>
      <c r="AJ1265" s="34">
        <f>SUMPRODUCT(DB_STProjectsSOF[[#This Row],[Act01]:[Act12]],$P$3:$AA$3)/valUnits2</f>
        <v>61.213480000000011</v>
      </c>
      <c r="AK1265" s="34">
        <f>IF(DB_STProjectsSOF[[#This Row],[FY Plan]]&lt;&gt;0,DB_STProjectsSOF[[#This Row],[FY Actuals]]/DB_STProjectsSOF[[#This Row],[FY Plan]],1.000011000011)</f>
        <v>0.61393774483588204</v>
      </c>
    </row>
    <row r="1266" spans="1:37" hidden="1" x14ac:dyDescent="0.2">
      <c r="A1266">
        <f>SUBTOTAL(3,$B$6:B1266)</f>
        <v>0</v>
      </c>
      <c r="B1266" t="s">
        <v>523</v>
      </c>
      <c r="C1266" t="s">
        <v>905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 s="164">
        <v>40909</v>
      </c>
      <c r="AC1266" s="164">
        <v>41274</v>
      </c>
      <c r="AD1266" s="164">
        <v>41364</v>
      </c>
      <c r="AE1266" s="34">
        <f>SUMPRODUCT(DB_STProjectsSOF[[#This Row],[Plan01]:[Plan12]],$D$4:$O$4)/valUnits2</f>
        <v>0</v>
      </c>
      <c r="AF1266" s="34">
        <f>SUMPRODUCT(DB_STProjectsSOF[[#This Row],[Act01]:[Act12]],$P$4:$AA$4)/valUnits2</f>
        <v>0</v>
      </c>
      <c r="AG1266" s="34">
        <f>DB_STProjectsSOF[[#This Row],[Actual]]-DB_STProjectsSOF[[#This Row],[Plan]]</f>
        <v>0</v>
      </c>
      <c r="AH1266" s="34">
        <f>IF(DB_STProjectsSOF[[#This Row],[Plan]]&lt;&gt;0,DB_STProjectsSOF[[#This Row],[Actual]]/DB_STProjectsSOF[[#This Row],[Plan]],1.000011000011)</f>
        <v>1.0000110000110001</v>
      </c>
      <c r="AI1266" s="34">
        <f>SUM(DB_STProjectsSOF[[#This Row],[Plan01]:[Plan12]])/valUnits2</f>
        <v>0</v>
      </c>
      <c r="AJ1266" s="34">
        <f>SUMPRODUCT(DB_STProjectsSOF[[#This Row],[Act01]:[Act12]],$P$3:$AA$3)/valUnits2</f>
        <v>0</v>
      </c>
      <c r="AK1266" s="34">
        <f>IF(DB_STProjectsSOF[[#This Row],[FY Plan]]&lt;&gt;0,DB_STProjectsSOF[[#This Row],[FY Actuals]]/DB_STProjectsSOF[[#This Row],[FY Plan]],1.000011000011)</f>
        <v>1.0000110000110001</v>
      </c>
    </row>
    <row r="1267" spans="1:37" hidden="1" x14ac:dyDescent="0.2">
      <c r="A1267">
        <f>SUBTOTAL(3,$B$6:B1267)</f>
        <v>0</v>
      </c>
      <c r="B1267" t="s">
        <v>523</v>
      </c>
      <c r="C1267" t="s">
        <v>352</v>
      </c>
      <c r="G1267">
        <v>0</v>
      </c>
      <c r="H1267">
        <v>0</v>
      </c>
      <c r="S1267">
        <v>0</v>
      </c>
      <c r="T1267">
        <v>0</v>
      </c>
      <c r="AB1267" s="164">
        <v>40817</v>
      </c>
      <c r="AC1267" s="164">
        <v>41424</v>
      </c>
      <c r="AD1267" s="164">
        <v>41487</v>
      </c>
      <c r="AE1267" s="34">
        <f>SUMPRODUCT(DB_STProjectsSOF[[#This Row],[Plan01]:[Plan12]],$D$4:$O$4)/valUnits2</f>
        <v>0</v>
      </c>
      <c r="AF1267" s="34">
        <f>SUMPRODUCT(DB_STProjectsSOF[[#This Row],[Act01]:[Act12]],$P$4:$AA$4)/valUnits2</f>
        <v>0</v>
      </c>
      <c r="AG1267" s="34">
        <f>DB_STProjectsSOF[[#This Row],[Actual]]-DB_STProjectsSOF[[#This Row],[Plan]]</f>
        <v>0</v>
      </c>
      <c r="AH1267" s="34">
        <f>IF(DB_STProjectsSOF[[#This Row],[Plan]]&lt;&gt;0,DB_STProjectsSOF[[#This Row],[Actual]]/DB_STProjectsSOF[[#This Row],[Plan]],1.000011000011)</f>
        <v>1.0000110000110001</v>
      </c>
      <c r="AI1267" s="34">
        <f>SUM(DB_STProjectsSOF[[#This Row],[Plan01]:[Plan12]])/valUnits2</f>
        <v>0</v>
      </c>
      <c r="AJ1267" s="34">
        <f>SUMPRODUCT(DB_STProjectsSOF[[#This Row],[Act01]:[Act12]],$P$3:$AA$3)/valUnits2</f>
        <v>0</v>
      </c>
      <c r="AK1267" s="34">
        <f>IF(DB_STProjectsSOF[[#This Row],[FY Plan]]&lt;&gt;0,DB_STProjectsSOF[[#This Row],[FY Actuals]]/DB_STProjectsSOF[[#This Row],[FY Plan]],1.000011000011)</f>
        <v>1.0000110000110001</v>
      </c>
    </row>
    <row r="1268" spans="1:37" hidden="1" x14ac:dyDescent="0.2">
      <c r="A1268">
        <f>SUBTOTAL(3,$B$6:B1268)</f>
        <v>0</v>
      </c>
      <c r="B1268" t="s">
        <v>524</v>
      </c>
      <c r="C1268" t="s">
        <v>843</v>
      </c>
      <c r="G1268">
        <v>460.18400000000003</v>
      </c>
      <c r="H1268">
        <v>418.95699999999999</v>
      </c>
      <c r="I1268">
        <v>24559.218000000001</v>
      </c>
      <c r="J1268">
        <v>24559.218000000001</v>
      </c>
      <c r="K1268">
        <v>24559.217999999997</v>
      </c>
      <c r="L1268">
        <v>24559.217999999997</v>
      </c>
      <c r="M1268">
        <v>24559.217999999997</v>
      </c>
      <c r="N1268">
        <v>24559.217999999997</v>
      </c>
      <c r="O1268">
        <v>24559.217999999997</v>
      </c>
      <c r="S1268">
        <v>445.75</v>
      </c>
      <c r="T1268">
        <v>413.97999999999996</v>
      </c>
      <c r="U1268">
        <v>88187.77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 s="164">
        <v>41275</v>
      </c>
      <c r="AC1268" s="164">
        <v>42369</v>
      </c>
      <c r="AD1268" s="164">
        <v>42492</v>
      </c>
      <c r="AE1268" s="34">
        <f>SUMPRODUCT(DB_STProjectsSOF[[#This Row],[Plan01]:[Plan12]],$D$4:$O$4)/valUnits2</f>
        <v>25.438359000000002</v>
      </c>
      <c r="AF1268" s="34">
        <f>SUMPRODUCT(DB_STProjectsSOF[[#This Row],[Act01]:[Act12]],$P$4:$AA$4)/valUnits2</f>
        <v>89.047499999999999</v>
      </c>
      <c r="AG1268" s="34">
        <f>DB_STProjectsSOF[[#This Row],[Actual]]-DB_STProjectsSOF[[#This Row],[Plan]]</f>
        <v>63.609140999999994</v>
      </c>
      <c r="AH1268" s="34">
        <f>IF(DB_STProjectsSOF[[#This Row],[Plan]]&lt;&gt;0,DB_STProjectsSOF[[#This Row],[Actual]]/DB_STProjectsSOF[[#This Row],[Plan]],1.000011000011)</f>
        <v>3.5005206114120804</v>
      </c>
      <c r="AI1268" s="34">
        <f>SUM(DB_STProjectsSOF[[#This Row],[Plan01]:[Plan12]])/valUnits2</f>
        <v>172.793667</v>
      </c>
      <c r="AJ1268" s="34">
        <f>SUMPRODUCT(DB_STProjectsSOF[[#This Row],[Act01]:[Act12]],$P$3:$AA$3)/valUnits2</f>
        <v>89.047499999999999</v>
      </c>
      <c r="AK1268" s="34">
        <f>IF(DB_STProjectsSOF[[#This Row],[FY Plan]]&lt;&gt;0,DB_STProjectsSOF[[#This Row],[FY Actuals]]/DB_STProjectsSOF[[#This Row],[FY Plan]],1.000011000011)</f>
        <v>0.51534006741115113</v>
      </c>
    </row>
    <row r="1269" spans="1:37" hidden="1" x14ac:dyDescent="0.2">
      <c r="A1269">
        <f>SUBTOTAL(3,$B$6:B1269)</f>
        <v>0</v>
      </c>
      <c r="B1269" t="s">
        <v>524</v>
      </c>
      <c r="C1269" t="s">
        <v>845</v>
      </c>
      <c r="H1269">
        <v>6959.3499999999995</v>
      </c>
      <c r="I1269">
        <v>0</v>
      </c>
      <c r="T1269">
        <v>6959.35</v>
      </c>
      <c r="U1269">
        <v>12265.57</v>
      </c>
      <c r="AB1269" s="164">
        <v>41275</v>
      </c>
      <c r="AC1269" s="164">
        <v>41639</v>
      </c>
      <c r="AD1269" s="164">
        <v>41729</v>
      </c>
      <c r="AE1269" s="34">
        <f>SUMPRODUCT(DB_STProjectsSOF[[#This Row],[Plan01]:[Plan12]],$D$4:$O$4)/valUnits2</f>
        <v>6.9593499999999997</v>
      </c>
      <c r="AF1269" s="34">
        <f>SUMPRODUCT(DB_STProjectsSOF[[#This Row],[Act01]:[Act12]],$P$4:$AA$4)/valUnits2</f>
        <v>19.224919999999997</v>
      </c>
      <c r="AG1269" s="34">
        <f>DB_STProjectsSOF[[#This Row],[Actual]]-DB_STProjectsSOF[[#This Row],[Plan]]</f>
        <v>12.265569999999997</v>
      </c>
      <c r="AH1269" s="34">
        <f>IF(DB_STProjectsSOF[[#This Row],[Plan]]&lt;&gt;0,DB_STProjectsSOF[[#This Row],[Actual]]/DB_STProjectsSOF[[#This Row],[Plan]],1.000011000011)</f>
        <v>2.7624591377068257</v>
      </c>
      <c r="AI1269" s="34">
        <f>SUM(DB_STProjectsSOF[[#This Row],[Plan01]:[Plan12]])/valUnits2</f>
        <v>6.9593499999999997</v>
      </c>
      <c r="AJ1269" s="34">
        <f>SUMPRODUCT(DB_STProjectsSOF[[#This Row],[Act01]:[Act12]],$P$3:$AA$3)/valUnits2</f>
        <v>19.224919999999997</v>
      </c>
      <c r="AK1269" s="34">
        <f>IF(DB_STProjectsSOF[[#This Row],[FY Plan]]&lt;&gt;0,DB_STProjectsSOF[[#This Row],[FY Actuals]]/DB_STProjectsSOF[[#This Row],[FY Plan]],1.000011000011)</f>
        <v>2.7624591377068257</v>
      </c>
    </row>
    <row r="1270" spans="1:37" hidden="1" x14ac:dyDescent="0.2">
      <c r="A1270">
        <f>SUBTOTAL(3,$B$6:B1270)</f>
        <v>0</v>
      </c>
      <c r="B1270" t="s">
        <v>524</v>
      </c>
      <c r="C1270" t="s">
        <v>854</v>
      </c>
      <c r="D1270">
        <v>10.851000000000001</v>
      </c>
      <c r="E1270">
        <v>387.96699999999998</v>
      </c>
      <c r="F1270">
        <v>140.29400000000001</v>
      </c>
      <c r="G1270">
        <v>9715.5190000000002</v>
      </c>
      <c r="H1270">
        <v>1785.4860000000001</v>
      </c>
      <c r="I1270">
        <v>1880.8790000000001</v>
      </c>
      <c r="J1270">
        <v>1880.8790000000001</v>
      </c>
      <c r="K1270">
        <v>1880.8790000000001</v>
      </c>
      <c r="L1270">
        <v>1880.8790000000001</v>
      </c>
      <c r="M1270">
        <v>1880.8790000000001</v>
      </c>
      <c r="N1270">
        <v>1880.8790000000001</v>
      </c>
      <c r="O1270">
        <v>1880.8790000000001</v>
      </c>
      <c r="P1270">
        <v>10.9</v>
      </c>
      <c r="Q1270">
        <v>395.52000000000004</v>
      </c>
      <c r="R1270">
        <v>139.77000000000001</v>
      </c>
      <c r="S1270">
        <v>9751.92</v>
      </c>
      <c r="T1270">
        <v>1809.73</v>
      </c>
      <c r="U1270">
        <v>-250.13000000000005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 s="164">
        <v>40923</v>
      </c>
      <c r="AC1270" s="164">
        <v>41698</v>
      </c>
      <c r="AD1270" s="164">
        <v>41759</v>
      </c>
      <c r="AE1270" s="34">
        <f>SUMPRODUCT(DB_STProjectsSOF[[#This Row],[Plan01]:[Plan12]],$D$4:$O$4)/valUnits2</f>
        <v>13.920996000000001</v>
      </c>
      <c r="AF1270" s="34">
        <f>SUMPRODUCT(DB_STProjectsSOF[[#This Row],[Act01]:[Act12]],$P$4:$AA$4)/valUnits2</f>
        <v>11.857710000000001</v>
      </c>
      <c r="AG1270" s="34">
        <f>DB_STProjectsSOF[[#This Row],[Actual]]-DB_STProjectsSOF[[#This Row],[Plan]]</f>
        <v>-2.0632859999999997</v>
      </c>
      <c r="AH1270" s="34">
        <f>IF(DB_STProjectsSOF[[#This Row],[Plan]]&lt;&gt;0,DB_STProjectsSOF[[#This Row],[Actual]]/DB_STProjectsSOF[[#This Row],[Plan]],1.000011000011)</f>
        <v>0.85178603599914837</v>
      </c>
      <c r="AI1270" s="34">
        <f>SUM(DB_STProjectsSOF[[#This Row],[Plan01]:[Plan12]])/valUnits2</f>
        <v>25.206270000000004</v>
      </c>
      <c r="AJ1270" s="34">
        <f>SUMPRODUCT(DB_STProjectsSOF[[#This Row],[Act01]:[Act12]],$P$3:$AA$3)/valUnits2</f>
        <v>11.857710000000001</v>
      </c>
      <c r="AK1270" s="34">
        <f>IF(DB_STProjectsSOF[[#This Row],[FY Plan]]&lt;&gt;0,DB_STProjectsSOF[[#This Row],[FY Actuals]]/DB_STProjectsSOF[[#This Row],[FY Plan]],1.000011000011)</f>
        <v>0.47042700090096629</v>
      </c>
    </row>
    <row r="1271" spans="1:37" hidden="1" x14ac:dyDescent="0.2">
      <c r="A1271">
        <f>SUBTOTAL(3,$B$6:B1271)</f>
        <v>0</v>
      </c>
      <c r="B1271" t="s">
        <v>524</v>
      </c>
      <c r="C1271" t="s">
        <v>364</v>
      </c>
      <c r="D1271">
        <v>61.420000000000009</v>
      </c>
      <c r="E1271">
        <v>9.1999999999999993</v>
      </c>
      <c r="F1271">
        <v>7.83</v>
      </c>
      <c r="G1271">
        <v>0</v>
      </c>
      <c r="H1271">
        <v>72.399999999999991</v>
      </c>
      <c r="I1271">
        <v>3505.6389999999997</v>
      </c>
      <c r="J1271">
        <v>3505.6389999999997</v>
      </c>
      <c r="K1271">
        <v>1749.9290000000001</v>
      </c>
      <c r="P1271">
        <v>61.42</v>
      </c>
      <c r="Q1271">
        <v>9.1999999999999993</v>
      </c>
      <c r="R1271">
        <v>7.83</v>
      </c>
      <c r="S1271">
        <v>0</v>
      </c>
      <c r="T1271">
        <v>72.399999999999991</v>
      </c>
      <c r="U1271">
        <v>0</v>
      </c>
      <c r="V1271">
        <v>0</v>
      </c>
      <c r="W1271">
        <v>0</v>
      </c>
      <c r="AB1271" s="164">
        <v>40817</v>
      </c>
      <c r="AC1271" s="164">
        <v>41500</v>
      </c>
      <c r="AD1271" s="164">
        <v>41547</v>
      </c>
      <c r="AE1271" s="34">
        <f>SUMPRODUCT(DB_STProjectsSOF[[#This Row],[Plan01]:[Plan12]],$D$4:$O$4)/valUnits2</f>
        <v>3.6564889999999997</v>
      </c>
      <c r="AF1271" s="34">
        <f>SUMPRODUCT(DB_STProjectsSOF[[#This Row],[Act01]:[Act12]],$P$4:$AA$4)/valUnits2</f>
        <v>0.15084999999999998</v>
      </c>
      <c r="AG1271" s="34">
        <f>DB_STProjectsSOF[[#This Row],[Actual]]-DB_STProjectsSOF[[#This Row],[Plan]]</f>
        <v>-3.5056389999999995</v>
      </c>
      <c r="AH1271" s="34">
        <f>IF(DB_STProjectsSOF[[#This Row],[Plan]]&lt;&gt;0,DB_STProjectsSOF[[#This Row],[Actual]]/DB_STProjectsSOF[[#This Row],[Plan]],1.000011000011)</f>
        <v>4.1255422893382146E-2</v>
      </c>
      <c r="AI1271" s="34">
        <f>SUM(DB_STProjectsSOF[[#This Row],[Plan01]:[Plan12]])/valUnits2</f>
        <v>8.912056999999999</v>
      </c>
      <c r="AJ1271" s="34">
        <f>SUMPRODUCT(DB_STProjectsSOF[[#This Row],[Act01]:[Act12]],$P$3:$AA$3)/valUnits2</f>
        <v>0.15084999999999998</v>
      </c>
      <c r="AK1271" s="34">
        <f>IF(DB_STProjectsSOF[[#This Row],[FY Plan]]&lt;&gt;0,DB_STProjectsSOF[[#This Row],[FY Actuals]]/DB_STProjectsSOF[[#This Row],[FY Plan]],1.000011000011)</f>
        <v>1.6926507539168568E-2</v>
      </c>
    </row>
    <row r="1272" spans="1:37" hidden="1" x14ac:dyDescent="0.2">
      <c r="A1272">
        <f>SUBTOTAL(3,$B$6:B1272)</f>
        <v>0</v>
      </c>
      <c r="B1272" t="s">
        <v>524</v>
      </c>
      <c r="C1272" t="s">
        <v>355</v>
      </c>
      <c r="D1272">
        <v>12091.820000000003</v>
      </c>
      <c r="E1272">
        <v>8769.2499999999982</v>
      </c>
      <c r="F1272">
        <v>349.80899999999963</v>
      </c>
      <c r="G1272">
        <v>1522.309</v>
      </c>
      <c r="H1272">
        <v>599.36399999999981</v>
      </c>
      <c r="I1272">
        <v>10359.532999999999</v>
      </c>
      <c r="P1272">
        <v>12206.12</v>
      </c>
      <c r="Q1272">
        <v>8939.9600000000009</v>
      </c>
      <c r="R1272">
        <v>345.80999999999949</v>
      </c>
      <c r="S1272">
        <v>1538.4500000000003</v>
      </c>
      <c r="T1272">
        <v>641.73</v>
      </c>
      <c r="U1272">
        <v>0</v>
      </c>
      <c r="AB1272" s="164">
        <v>41275</v>
      </c>
      <c r="AC1272" s="164">
        <v>41455</v>
      </c>
      <c r="AD1272" s="164">
        <v>41547</v>
      </c>
      <c r="AE1272" s="34">
        <f>SUMPRODUCT(DB_STProjectsSOF[[#This Row],[Plan01]:[Plan12]],$D$4:$O$4)/valUnits2</f>
        <v>33.692085000000006</v>
      </c>
      <c r="AF1272" s="34">
        <f>SUMPRODUCT(DB_STProjectsSOF[[#This Row],[Act01]:[Act12]],$P$4:$AA$4)/valUnits2</f>
        <v>23.672069999999998</v>
      </c>
      <c r="AG1272" s="34">
        <f>DB_STProjectsSOF[[#This Row],[Actual]]-DB_STProjectsSOF[[#This Row],[Plan]]</f>
        <v>-10.020015000000008</v>
      </c>
      <c r="AH1272" s="34">
        <f>IF(DB_STProjectsSOF[[#This Row],[Plan]]&lt;&gt;0,DB_STProjectsSOF[[#This Row],[Actual]]/DB_STProjectsSOF[[#This Row],[Plan]],1.000011000011)</f>
        <v>0.70260032883094037</v>
      </c>
      <c r="AI1272" s="34">
        <f>SUM(DB_STProjectsSOF[[#This Row],[Plan01]:[Plan12]])/valUnits2</f>
        <v>33.692085000000006</v>
      </c>
      <c r="AJ1272" s="34">
        <f>SUMPRODUCT(DB_STProjectsSOF[[#This Row],[Act01]:[Act12]],$P$3:$AA$3)/valUnits2</f>
        <v>23.672069999999998</v>
      </c>
      <c r="AK1272" s="34">
        <f>IF(DB_STProjectsSOF[[#This Row],[FY Plan]]&lt;&gt;0,DB_STProjectsSOF[[#This Row],[FY Actuals]]/DB_STProjectsSOF[[#This Row],[FY Plan]],1.000011000011)</f>
        <v>0.70260032883094037</v>
      </c>
    </row>
    <row r="1273" spans="1:37" hidden="1" x14ac:dyDescent="0.2">
      <c r="A1273">
        <f>SUBTOTAL(3,$B$6:B1273)</f>
        <v>0</v>
      </c>
      <c r="B1273" t="s">
        <v>524</v>
      </c>
      <c r="C1273" t="s">
        <v>866</v>
      </c>
      <c r="G1273">
        <v>65.539999999999992</v>
      </c>
      <c r="H1273">
        <v>2562.48</v>
      </c>
      <c r="I1273">
        <v>0</v>
      </c>
      <c r="S1273">
        <v>65.539999999999992</v>
      </c>
      <c r="T1273">
        <v>2562.48</v>
      </c>
      <c r="U1273">
        <v>-2398.81</v>
      </c>
      <c r="AB1273" s="164">
        <v>41275</v>
      </c>
      <c r="AC1273" s="164">
        <v>41639</v>
      </c>
      <c r="AD1273" s="164">
        <v>41760</v>
      </c>
      <c r="AE1273" s="34">
        <f>SUMPRODUCT(DB_STProjectsSOF[[#This Row],[Plan01]:[Plan12]],$D$4:$O$4)/valUnits2</f>
        <v>2.6280199999999998</v>
      </c>
      <c r="AF1273" s="34">
        <f>SUMPRODUCT(DB_STProjectsSOF[[#This Row],[Act01]:[Act12]],$P$4:$AA$4)/valUnits2</f>
        <v>0.22921000000000002</v>
      </c>
      <c r="AG1273" s="34">
        <f>DB_STProjectsSOF[[#This Row],[Actual]]-DB_STProjectsSOF[[#This Row],[Plan]]</f>
        <v>-2.3988099999999997</v>
      </c>
      <c r="AH1273" s="34">
        <f>IF(DB_STProjectsSOF[[#This Row],[Plan]]&lt;&gt;0,DB_STProjectsSOF[[#This Row],[Actual]]/DB_STProjectsSOF[[#This Row],[Plan]],1.000011000011)</f>
        <v>8.7217753289548797E-2</v>
      </c>
      <c r="AI1273" s="34">
        <f>SUM(DB_STProjectsSOF[[#This Row],[Plan01]:[Plan12]])/valUnits2</f>
        <v>2.6280199999999998</v>
      </c>
      <c r="AJ1273" s="34">
        <f>SUMPRODUCT(DB_STProjectsSOF[[#This Row],[Act01]:[Act12]],$P$3:$AA$3)/valUnits2</f>
        <v>0.22921000000000002</v>
      </c>
      <c r="AK1273" s="34">
        <f>IF(DB_STProjectsSOF[[#This Row],[FY Plan]]&lt;&gt;0,DB_STProjectsSOF[[#This Row],[FY Actuals]]/DB_STProjectsSOF[[#This Row],[FY Plan]],1.000011000011)</f>
        <v>8.7217753289548797E-2</v>
      </c>
    </row>
    <row r="1274" spans="1:37" hidden="1" x14ac:dyDescent="0.2">
      <c r="A1274">
        <f>SUBTOTAL(3,$B$6:B1274)</f>
        <v>0</v>
      </c>
      <c r="B1274" t="s">
        <v>524</v>
      </c>
      <c r="C1274" t="s">
        <v>869</v>
      </c>
      <c r="D1274">
        <v>5424.07</v>
      </c>
      <c r="E1274">
        <v>21944.58</v>
      </c>
      <c r="F1274">
        <v>19597.270000000004</v>
      </c>
      <c r="G1274">
        <v>6234.4700000000012</v>
      </c>
      <c r="H1274">
        <v>27362.36</v>
      </c>
      <c r="I1274">
        <v>3393.5</v>
      </c>
      <c r="J1274">
        <v>3394.5</v>
      </c>
      <c r="K1274">
        <v>3395.5</v>
      </c>
      <c r="L1274">
        <v>3396.5</v>
      </c>
      <c r="M1274">
        <v>18625.5</v>
      </c>
      <c r="N1274">
        <v>3398.5</v>
      </c>
      <c r="O1274">
        <v>3399.5</v>
      </c>
      <c r="P1274">
        <v>5424.07</v>
      </c>
      <c r="Q1274">
        <v>21944.58</v>
      </c>
      <c r="R1274">
        <v>19597.270000000004</v>
      </c>
      <c r="S1274">
        <v>6234.4699999999984</v>
      </c>
      <c r="T1274">
        <v>27362.36</v>
      </c>
      <c r="U1274">
        <v>6033.5099999999993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 s="164">
        <v>40817</v>
      </c>
      <c r="AC1274" s="164">
        <v>42155</v>
      </c>
      <c r="AD1274" s="164">
        <v>42217</v>
      </c>
      <c r="AE1274" s="34">
        <f>SUMPRODUCT(DB_STProjectsSOF[[#This Row],[Plan01]:[Plan12]],$D$4:$O$4)/valUnits2</f>
        <v>83.956249999999997</v>
      </c>
      <c r="AF1274" s="34">
        <f>SUMPRODUCT(DB_STProjectsSOF[[#This Row],[Act01]:[Act12]],$P$4:$AA$4)/valUnits2</f>
        <v>86.596260000000001</v>
      </c>
      <c r="AG1274" s="34">
        <f>DB_STProjectsSOF[[#This Row],[Actual]]-DB_STProjectsSOF[[#This Row],[Plan]]</f>
        <v>2.6400100000000037</v>
      </c>
      <c r="AH1274" s="34">
        <f>IF(DB_STProjectsSOF[[#This Row],[Plan]]&lt;&gt;0,DB_STProjectsSOF[[#This Row],[Actual]]/DB_STProjectsSOF[[#This Row],[Plan]],1.000011000011)</f>
        <v>1.0314450681158343</v>
      </c>
      <c r="AI1274" s="34">
        <f>SUM(DB_STProjectsSOF[[#This Row],[Plan01]:[Plan12]])/valUnits2</f>
        <v>119.56625</v>
      </c>
      <c r="AJ1274" s="34">
        <f>SUMPRODUCT(DB_STProjectsSOF[[#This Row],[Act01]:[Act12]],$P$3:$AA$3)/valUnits2</f>
        <v>86.596260000000001</v>
      </c>
      <c r="AK1274" s="34">
        <f>IF(DB_STProjectsSOF[[#This Row],[FY Plan]]&lt;&gt;0,DB_STProjectsSOF[[#This Row],[FY Actuals]]/DB_STProjectsSOF[[#This Row],[FY Plan]],1.000011000011)</f>
        <v>0.72425337417540492</v>
      </c>
    </row>
    <row r="1275" spans="1:37" hidden="1" x14ac:dyDescent="0.2">
      <c r="A1275">
        <f>SUBTOTAL(3,$B$6:B1275)</f>
        <v>0</v>
      </c>
      <c r="B1275" t="s">
        <v>524</v>
      </c>
      <c r="C1275" t="s">
        <v>884</v>
      </c>
      <c r="D1275">
        <v>3275.7400000000002</v>
      </c>
      <c r="E1275">
        <v>5080.12</v>
      </c>
      <c r="F1275">
        <v>3130.75</v>
      </c>
      <c r="G1275">
        <v>2347</v>
      </c>
      <c r="H1275">
        <v>-2098.6099999999997</v>
      </c>
      <c r="I1275">
        <v>2347</v>
      </c>
      <c r="J1275">
        <v>2347</v>
      </c>
      <c r="K1275">
        <v>2347</v>
      </c>
      <c r="L1275">
        <v>2347</v>
      </c>
      <c r="M1275">
        <v>2347</v>
      </c>
      <c r="N1275">
        <v>2347</v>
      </c>
      <c r="O1275">
        <v>2350</v>
      </c>
      <c r="P1275">
        <v>928.74</v>
      </c>
      <c r="Q1275">
        <v>2733.12</v>
      </c>
      <c r="R1275">
        <v>783.75</v>
      </c>
      <c r="S1275">
        <v>0</v>
      </c>
      <c r="T1275">
        <v>-4445.6100000000006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 s="164">
        <v>40909</v>
      </c>
      <c r="AC1275" s="164">
        <v>41274</v>
      </c>
      <c r="AD1275" s="164">
        <v>41364</v>
      </c>
      <c r="AE1275" s="34">
        <f>SUMPRODUCT(DB_STProjectsSOF[[#This Row],[Plan01]:[Plan12]],$D$4:$O$4)/valUnits2</f>
        <v>14.082000000000001</v>
      </c>
      <c r="AF1275" s="34">
        <f>SUMPRODUCT(DB_STProjectsSOF[[#This Row],[Act01]:[Act12]],$P$4:$AA$4)/valUnits2</f>
        <v>-9.0949470177292826E-16</v>
      </c>
      <c r="AG1275" s="34">
        <f>DB_STProjectsSOF[[#This Row],[Actual]]-DB_STProjectsSOF[[#This Row],[Plan]]</f>
        <v>-14.082000000000003</v>
      </c>
      <c r="AH1275" s="34">
        <f>IF(DB_STProjectsSOF[[#This Row],[Plan]]&lt;&gt;0,DB_STProjectsSOF[[#This Row],[Actual]]/DB_STProjectsSOF[[#This Row],[Plan]],1.000011000011)</f>
        <v>-6.458562006624969E-17</v>
      </c>
      <c r="AI1275" s="34">
        <f>SUM(DB_STProjectsSOF[[#This Row],[Plan01]:[Plan12]])/valUnits2</f>
        <v>28.167000000000002</v>
      </c>
      <c r="AJ1275" s="34">
        <f>SUMPRODUCT(DB_STProjectsSOF[[#This Row],[Act01]:[Act12]],$P$3:$AA$3)/valUnits2</f>
        <v>-9.0949470177292826E-16</v>
      </c>
      <c r="AK1275" s="34">
        <f>IF(DB_STProjectsSOF[[#This Row],[FY Plan]]&lt;&gt;0,DB_STProjectsSOF[[#This Row],[FY Actuals]]/DB_STProjectsSOF[[#This Row],[FY Plan]],1.000011000011)</f>
        <v>-3.2289370602937064E-17</v>
      </c>
    </row>
    <row r="1276" spans="1:37" hidden="1" x14ac:dyDescent="0.2">
      <c r="A1276">
        <f>SUBTOTAL(3,$B$6:B1276)</f>
        <v>0</v>
      </c>
      <c r="B1276" t="s">
        <v>524</v>
      </c>
      <c r="C1276" t="s">
        <v>901</v>
      </c>
      <c r="F1276">
        <v>-48.728999999999999</v>
      </c>
      <c r="R1276">
        <v>71.91</v>
      </c>
      <c r="AB1276" s="164"/>
      <c r="AC1276" s="164"/>
      <c r="AD1276" s="164"/>
      <c r="AE1276" s="34">
        <f>SUMPRODUCT(DB_STProjectsSOF[[#This Row],[Plan01]:[Plan12]],$D$4:$O$4)/valUnits2</f>
        <v>-4.8729000000000001E-2</v>
      </c>
      <c r="AF1276" s="34">
        <f>SUMPRODUCT(DB_STProjectsSOF[[#This Row],[Act01]:[Act12]],$P$4:$AA$4)/valUnits2</f>
        <v>7.1910000000000002E-2</v>
      </c>
      <c r="AG1276" s="34">
        <f>DB_STProjectsSOF[[#This Row],[Actual]]-DB_STProjectsSOF[[#This Row],[Plan]]</f>
        <v>0.120639</v>
      </c>
      <c r="AH1276" s="34">
        <f>IF(DB_STProjectsSOF[[#This Row],[Plan]]&lt;&gt;0,DB_STProjectsSOF[[#This Row],[Actual]]/DB_STProjectsSOF[[#This Row],[Plan]],1.000011000011)</f>
        <v>-1.4757126146647788</v>
      </c>
      <c r="AI1276" s="34">
        <f>SUM(DB_STProjectsSOF[[#This Row],[Plan01]:[Plan12]])/valUnits2</f>
        <v>-4.8729000000000001E-2</v>
      </c>
      <c r="AJ1276" s="34">
        <f>SUMPRODUCT(DB_STProjectsSOF[[#This Row],[Act01]:[Act12]],$P$3:$AA$3)/valUnits2</f>
        <v>7.1910000000000002E-2</v>
      </c>
      <c r="AK1276" s="34">
        <f>IF(DB_STProjectsSOF[[#This Row],[FY Plan]]&lt;&gt;0,DB_STProjectsSOF[[#This Row],[FY Actuals]]/DB_STProjectsSOF[[#This Row],[FY Plan]],1.000011000011)</f>
        <v>-1.4757126146647788</v>
      </c>
    </row>
    <row r="1277" spans="1:37" hidden="1" x14ac:dyDescent="0.2">
      <c r="A1277">
        <f>SUBTOTAL(3,$B$6:B1277)</f>
        <v>0</v>
      </c>
      <c r="B1277" t="s">
        <v>524</v>
      </c>
      <c r="C1277" t="s">
        <v>907</v>
      </c>
      <c r="D1277">
        <v>-188.38499999999999</v>
      </c>
      <c r="E1277">
        <v>135.77099999999999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-182.6</v>
      </c>
      <c r="Q1277">
        <v>216.58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 s="164">
        <v>40909</v>
      </c>
      <c r="AC1277" s="164">
        <v>41274</v>
      </c>
      <c r="AD1277" s="164">
        <v>41320</v>
      </c>
      <c r="AE1277" s="34">
        <f>SUMPRODUCT(DB_STProjectsSOF[[#This Row],[Plan01]:[Plan12]],$D$4:$O$4)/valUnits2</f>
        <v>-5.2614000000000001E-2</v>
      </c>
      <c r="AF1277" s="34">
        <f>SUMPRODUCT(DB_STProjectsSOF[[#This Row],[Act01]:[Act12]],$P$4:$AA$4)/valUnits2</f>
        <v>3.3980000000000017E-2</v>
      </c>
      <c r="AG1277" s="34">
        <f>DB_STProjectsSOF[[#This Row],[Actual]]-DB_STProjectsSOF[[#This Row],[Plan]]</f>
        <v>8.6594000000000018E-2</v>
      </c>
      <c r="AH1277" s="34">
        <f>IF(DB_STProjectsSOF[[#This Row],[Plan]]&lt;&gt;0,DB_STProjectsSOF[[#This Row],[Actual]]/DB_STProjectsSOF[[#This Row],[Plan]],1.000011000011)</f>
        <v>-0.64583570912684873</v>
      </c>
      <c r="AI1277" s="34">
        <f>SUM(DB_STProjectsSOF[[#This Row],[Plan01]:[Plan12]])/valUnits2</f>
        <v>-5.2614000000000001E-2</v>
      </c>
      <c r="AJ1277" s="34">
        <f>SUMPRODUCT(DB_STProjectsSOF[[#This Row],[Act01]:[Act12]],$P$3:$AA$3)/valUnits2</f>
        <v>3.3980000000000017E-2</v>
      </c>
      <c r="AK1277" s="34">
        <f>IF(DB_STProjectsSOF[[#This Row],[FY Plan]]&lt;&gt;0,DB_STProjectsSOF[[#This Row],[FY Actuals]]/DB_STProjectsSOF[[#This Row],[FY Plan]],1.000011000011)</f>
        <v>-0.64583570912684873</v>
      </c>
    </row>
    <row r="1278" spans="1:37" hidden="1" x14ac:dyDescent="0.2">
      <c r="A1278">
        <f>SUBTOTAL(3,$B$6:B1278)</f>
        <v>0</v>
      </c>
      <c r="B1278" t="s">
        <v>524</v>
      </c>
      <c r="C1278" t="s">
        <v>909</v>
      </c>
      <c r="D1278">
        <v>15917.769999999999</v>
      </c>
      <c r="E1278">
        <v>265642.05</v>
      </c>
      <c r="F1278">
        <v>18729.619999999981</v>
      </c>
      <c r="G1278">
        <v>246894.30999999997</v>
      </c>
      <c r="H1278">
        <v>145953.10999999999</v>
      </c>
      <c r="I1278">
        <v>62522.002</v>
      </c>
      <c r="J1278">
        <v>68147.002000000008</v>
      </c>
      <c r="K1278">
        <v>62522.002</v>
      </c>
      <c r="L1278">
        <v>62522.002</v>
      </c>
      <c r="M1278">
        <v>68147.002000000008</v>
      </c>
      <c r="N1278">
        <v>62522.002</v>
      </c>
      <c r="O1278">
        <v>62522.002</v>
      </c>
      <c r="P1278">
        <v>15917.770000000011</v>
      </c>
      <c r="Q1278">
        <v>265642.04999999993</v>
      </c>
      <c r="R1278">
        <v>18729.619999999977</v>
      </c>
      <c r="S1278">
        <v>246894.31</v>
      </c>
      <c r="T1278">
        <v>146005.82000000004</v>
      </c>
      <c r="U1278">
        <v>173156.93999999994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 s="164">
        <v>40817</v>
      </c>
      <c r="AC1278" s="164">
        <v>42155</v>
      </c>
      <c r="AD1278" s="164">
        <v>42217</v>
      </c>
      <c r="AE1278" s="34">
        <f>SUMPRODUCT(DB_STProjectsSOF[[#This Row],[Plan01]:[Plan12]],$D$4:$O$4)/valUnits2</f>
        <v>755.658862</v>
      </c>
      <c r="AF1278" s="34">
        <f>SUMPRODUCT(DB_STProjectsSOF[[#This Row],[Act01]:[Act12]],$P$4:$AA$4)/valUnits2</f>
        <v>866.34650999999997</v>
      </c>
      <c r="AG1278" s="34">
        <f>DB_STProjectsSOF[[#This Row],[Actual]]-DB_STProjectsSOF[[#This Row],[Plan]]</f>
        <v>110.68764799999997</v>
      </c>
      <c r="AH1278" s="34">
        <f>IF(DB_STProjectsSOF[[#This Row],[Plan]]&lt;&gt;0,DB_STProjectsSOF[[#This Row],[Actual]]/DB_STProjectsSOF[[#This Row],[Plan]],1.000011000011)</f>
        <v>1.1464783297942716</v>
      </c>
      <c r="AI1278" s="34">
        <f>SUM(DB_STProjectsSOF[[#This Row],[Plan01]:[Plan12]])/valUnits2</f>
        <v>1142.040874</v>
      </c>
      <c r="AJ1278" s="34">
        <f>SUMPRODUCT(DB_STProjectsSOF[[#This Row],[Act01]:[Act12]],$P$3:$AA$3)/valUnits2</f>
        <v>866.34650999999997</v>
      </c>
      <c r="AK1278" s="34">
        <f>IF(DB_STProjectsSOF[[#This Row],[FY Plan]]&lt;&gt;0,DB_STProjectsSOF[[#This Row],[FY Actuals]]/DB_STProjectsSOF[[#This Row],[FY Plan]],1.000011000011)</f>
        <v>0.75859501154772147</v>
      </c>
    </row>
    <row r="1279" spans="1:37" hidden="1" x14ac:dyDescent="0.2">
      <c r="A1279">
        <f>SUBTOTAL(3,$B$6:B1279)</f>
        <v>0</v>
      </c>
      <c r="B1279" t="s">
        <v>524</v>
      </c>
      <c r="C1279" t="s">
        <v>913</v>
      </c>
      <c r="D1279">
        <v>4672.3689999999997</v>
      </c>
      <c r="E1279">
        <v>-1181.952</v>
      </c>
      <c r="F1279">
        <v>19503.228000000003</v>
      </c>
      <c r="G1279">
        <v>1871.2380000000012</v>
      </c>
      <c r="H1279">
        <v>18889.757000000001</v>
      </c>
      <c r="I1279">
        <v>12202.069</v>
      </c>
      <c r="J1279">
        <v>5217.0230000000001</v>
      </c>
      <c r="K1279">
        <v>5354.4850000000006</v>
      </c>
      <c r="L1279">
        <v>7272.58</v>
      </c>
      <c r="M1279">
        <v>6224.0209999999997</v>
      </c>
      <c r="N1279">
        <v>5073.1639999999998</v>
      </c>
      <c r="O1279">
        <v>5073.1640000000007</v>
      </c>
      <c r="P1279">
        <v>4584.72</v>
      </c>
      <c r="Q1279">
        <v>-1181.2900000000002</v>
      </c>
      <c r="R1279">
        <v>19867.89</v>
      </c>
      <c r="S1279">
        <v>1845.9999999999991</v>
      </c>
      <c r="T1279">
        <v>18923.690000000002</v>
      </c>
      <c r="U1279">
        <v>1175.1700000000019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 s="164">
        <v>40817</v>
      </c>
      <c r="AC1279" s="164">
        <v>41639</v>
      </c>
      <c r="AD1279" s="164">
        <v>41685</v>
      </c>
      <c r="AE1279" s="34">
        <f>SUMPRODUCT(DB_STProjectsSOF[[#This Row],[Plan01]:[Plan12]],$D$4:$O$4)/valUnits2</f>
        <v>55.956709000000004</v>
      </c>
      <c r="AF1279" s="34">
        <f>SUMPRODUCT(DB_STProjectsSOF[[#This Row],[Act01]:[Act12]],$P$4:$AA$4)/valUnits2</f>
        <v>45.216180000000008</v>
      </c>
      <c r="AG1279" s="34">
        <f>DB_STProjectsSOF[[#This Row],[Actual]]-DB_STProjectsSOF[[#This Row],[Plan]]</f>
        <v>-10.740528999999995</v>
      </c>
      <c r="AH1279" s="34">
        <f>IF(DB_STProjectsSOF[[#This Row],[Plan]]&lt;&gt;0,DB_STProjectsSOF[[#This Row],[Actual]]/DB_STProjectsSOF[[#This Row],[Plan]],1.000011000011)</f>
        <v>0.80805645664401038</v>
      </c>
      <c r="AI1279" s="34">
        <f>SUM(DB_STProjectsSOF[[#This Row],[Plan01]:[Plan12]])/valUnits2</f>
        <v>90.171146000000007</v>
      </c>
      <c r="AJ1279" s="34">
        <f>SUMPRODUCT(DB_STProjectsSOF[[#This Row],[Act01]:[Act12]],$P$3:$AA$3)/valUnits2</f>
        <v>45.216180000000008</v>
      </c>
      <c r="AK1279" s="34">
        <f>IF(DB_STProjectsSOF[[#This Row],[FY Plan]]&lt;&gt;0,DB_STProjectsSOF[[#This Row],[FY Actuals]]/DB_STProjectsSOF[[#This Row],[FY Plan]],1.000011000011)</f>
        <v>0.50144843451363041</v>
      </c>
    </row>
    <row r="1280" spans="1:37" hidden="1" x14ac:dyDescent="0.2">
      <c r="A1280">
        <f>SUBTOTAL(3,$B$6:B1280)</f>
        <v>0</v>
      </c>
      <c r="B1280" t="s">
        <v>524</v>
      </c>
      <c r="C1280" t="s">
        <v>917</v>
      </c>
      <c r="D1280">
        <v>563.91</v>
      </c>
      <c r="E1280">
        <v>572.15499999999997</v>
      </c>
      <c r="F1280">
        <v>760.29500000000007</v>
      </c>
      <c r="G1280">
        <v>640.08000000000004</v>
      </c>
      <c r="H1280">
        <v>577.91100000000006</v>
      </c>
      <c r="I1280">
        <v>44093.161</v>
      </c>
      <c r="J1280">
        <v>31785.089</v>
      </c>
      <c r="K1280">
        <v>31785.089</v>
      </c>
      <c r="L1280">
        <v>31785.089</v>
      </c>
      <c r="M1280">
        <v>31785.089</v>
      </c>
      <c r="N1280">
        <v>31785.089</v>
      </c>
      <c r="O1280">
        <v>31785.089</v>
      </c>
      <c r="P1280">
        <v>563.91</v>
      </c>
      <c r="Q1280">
        <v>572.16</v>
      </c>
      <c r="R1280">
        <v>755.20999999999992</v>
      </c>
      <c r="S1280">
        <v>643.59999999999991</v>
      </c>
      <c r="T1280">
        <v>580.65000000000146</v>
      </c>
      <c r="U1280">
        <v>534812.28999999992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 s="164">
        <v>40817</v>
      </c>
      <c r="AC1280" s="164">
        <v>42155</v>
      </c>
      <c r="AD1280" s="164">
        <v>42246</v>
      </c>
      <c r="AE1280" s="34">
        <f>SUMPRODUCT(DB_STProjectsSOF[[#This Row],[Plan01]:[Plan12]],$D$4:$O$4)/valUnits2</f>
        <v>47.207512000000001</v>
      </c>
      <c r="AF1280" s="34">
        <f>SUMPRODUCT(DB_STProjectsSOF[[#This Row],[Act01]:[Act12]],$P$4:$AA$4)/valUnits2</f>
        <v>537.92782</v>
      </c>
      <c r="AG1280" s="34">
        <f>DB_STProjectsSOF[[#This Row],[Actual]]-DB_STProjectsSOF[[#This Row],[Plan]]</f>
        <v>490.72030799999999</v>
      </c>
      <c r="AH1280" s="34">
        <f>IF(DB_STProjectsSOF[[#This Row],[Plan]]&lt;&gt;0,DB_STProjectsSOF[[#This Row],[Actual]]/DB_STProjectsSOF[[#This Row],[Plan]],1.000011000011)</f>
        <v>11.394962310235709</v>
      </c>
      <c r="AI1280" s="34">
        <f>SUM(DB_STProjectsSOF[[#This Row],[Plan01]:[Plan12]])/valUnits2</f>
        <v>237.91804600000003</v>
      </c>
      <c r="AJ1280" s="34">
        <f>SUMPRODUCT(DB_STProjectsSOF[[#This Row],[Act01]:[Act12]],$P$3:$AA$3)/valUnits2</f>
        <v>537.92782</v>
      </c>
      <c r="AK1280" s="34">
        <f>IF(DB_STProjectsSOF[[#This Row],[FY Plan]]&lt;&gt;0,DB_STProjectsSOF[[#This Row],[FY Actuals]]/DB_STProjectsSOF[[#This Row],[FY Plan]],1.000011000011)</f>
        <v>2.2609794803039023</v>
      </c>
    </row>
    <row r="1281" spans="1:37" hidden="1" x14ac:dyDescent="0.2">
      <c r="A1281">
        <f>SUBTOTAL(3,$B$6:B1281)</f>
        <v>0</v>
      </c>
      <c r="B1281" t="s">
        <v>524</v>
      </c>
      <c r="C1281" t="s">
        <v>356</v>
      </c>
      <c r="D1281">
        <v>21143.755999999998</v>
      </c>
      <c r="E1281">
        <v>10724.468999999997</v>
      </c>
      <c r="F1281">
        <v>7770.45</v>
      </c>
      <c r="G1281">
        <v>18903.403999999999</v>
      </c>
      <c r="H1281">
        <v>7165.6389999999974</v>
      </c>
      <c r="I1281">
        <v>24140.097000000002</v>
      </c>
      <c r="P1281">
        <v>21345.439999999999</v>
      </c>
      <c r="Q1281">
        <v>10899.109999999999</v>
      </c>
      <c r="R1281">
        <v>7758.5899999999974</v>
      </c>
      <c r="S1281">
        <v>19018.170000000002</v>
      </c>
      <c r="T1281">
        <v>7388.97</v>
      </c>
      <c r="U1281">
        <v>15887.609999999999</v>
      </c>
      <c r="AB1281" s="164">
        <v>41091</v>
      </c>
      <c r="AC1281" s="164">
        <v>41455</v>
      </c>
      <c r="AD1281" s="164">
        <v>41547</v>
      </c>
      <c r="AE1281" s="34">
        <f>SUMPRODUCT(DB_STProjectsSOF[[#This Row],[Plan01]:[Plan12]],$D$4:$O$4)/valUnits2</f>
        <v>89.847814999999997</v>
      </c>
      <c r="AF1281" s="34">
        <f>SUMPRODUCT(DB_STProjectsSOF[[#This Row],[Act01]:[Act12]],$P$4:$AA$4)/valUnits2</f>
        <v>82.297889999999995</v>
      </c>
      <c r="AG1281" s="34">
        <f>DB_STProjectsSOF[[#This Row],[Actual]]-DB_STProjectsSOF[[#This Row],[Plan]]</f>
        <v>-7.5499250000000018</v>
      </c>
      <c r="AH1281" s="34">
        <f>IF(DB_STProjectsSOF[[#This Row],[Plan]]&lt;&gt;0,DB_STProjectsSOF[[#This Row],[Actual]]/DB_STProjectsSOF[[#This Row],[Plan]],1.000011000011)</f>
        <v>0.91596985413613008</v>
      </c>
      <c r="AI1281" s="34">
        <f>SUM(DB_STProjectsSOF[[#This Row],[Plan01]:[Plan12]])/valUnits2</f>
        <v>89.847814999999997</v>
      </c>
      <c r="AJ1281" s="34">
        <f>SUMPRODUCT(DB_STProjectsSOF[[#This Row],[Act01]:[Act12]],$P$3:$AA$3)/valUnits2</f>
        <v>82.297889999999995</v>
      </c>
      <c r="AK1281" s="34">
        <f>IF(DB_STProjectsSOF[[#This Row],[FY Plan]]&lt;&gt;0,DB_STProjectsSOF[[#This Row],[FY Actuals]]/DB_STProjectsSOF[[#This Row],[FY Plan]],1.000011000011)</f>
        <v>0.91596985413613008</v>
      </c>
    </row>
    <row r="1282" spans="1:37" hidden="1" x14ac:dyDescent="0.2">
      <c r="A1282">
        <f>SUBTOTAL(3,$B$6:B1282)</f>
        <v>0</v>
      </c>
      <c r="B1282" t="s">
        <v>524</v>
      </c>
      <c r="C1282" t="s">
        <v>933</v>
      </c>
      <c r="D1282">
        <v>5769.2499999999991</v>
      </c>
      <c r="E1282">
        <v>18081.420000000002</v>
      </c>
      <c r="F1282">
        <v>11407.939999999999</v>
      </c>
      <c r="G1282">
        <v>1311.41</v>
      </c>
      <c r="H1282">
        <v>21406.23</v>
      </c>
      <c r="I1282">
        <v>11339.250999999998</v>
      </c>
      <c r="J1282">
        <v>11339.250999999998</v>
      </c>
      <c r="K1282">
        <v>11339.250999999998</v>
      </c>
      <c r="L1282">
        <v>11339.250999999998</v>
      </c>
      <c r="M1282">
        <v>11339.250999999998</v>
      </c>
      <c r="N1282">
        <v>11339.250999999998</v>
      </c>
      <c r="O1282">
        <v>11339.250999999998</v>
      </c>
      <c r="P1282">
        <v>5769.25</v>
      </c>
      <c r="Q1282">
        <v>18081.419999999998</v>
      </c>
      <c r="R1282">
        <v>11407.939999999997</v>
      </c>
      <c r="S1282">
        <v>1311.41</v>
      </c>
      <c r="T1282">
        <v>21406.23</v>
      </c>
      <c r="U1282">
        <v>17613.559999999998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 s="164">
        <v>40817</v>
      </c>
      <c r="AC1282" s="164">
        <v>42155</v>
      </c>
      <c r="AD1282" s="164">
        <v>42217</v>
      </c>
      <c r="AE1282" s="34">
        <f>SUMPRODUCT(DB_STProjectsSOF[[#This Row],[Plan01]:[Plan12]],$D$4:$O$4)/valUnits2</f>
        <v>69.315500999999998</v>
      </c>
      <c r="AF1282" s="34">
        <f>SUMPRODUCT(DB_STProjectsSOF[[#This Row],[Act01]:[Act12]],$P$4:$AA$4)/valUnits2</f>
        <v>75.58981</v>
      </c>
      <c r="AG1282" s="34">
        <f>DB_STProjectsSOF[[#This Row],[Actual]]-DB_STProjectsSOF[[#This Row],[Plan]]</f>
        <v>6.2743090000000024</v>
      </c>
      <c r="AH1282" s="34">
        <f>IF(DB_STProjectsSOF[[#This Row],[Plan]]&lt;&gt;0,DB_STProjectsSOF[[#This Row],[Actual]]/DB_STProjectsSOF[[#This Row],[Plan]],1.000011000011)</f>
        <v>1.0905181223461113</v>
      </c>
      <c r="AI1282" s="34">
        <f>SUM(DB_STProjectsSOF[[#This Row],[Plan01]:[Plan12]])/valUnits2</f>
        <v>137.35100700000001</v>
      </c>
      <c r="AJ1282" s="34">
        <f>SUMPRODUCT(DB_STProjectsSOF[[#This Row],[Act01]:[Act12]],$P$3:$AA$3)/valUnits2</f>
        <v>75.58981</v>
      </c>
      <c r="AK1282" s="34">
        <f>IF(DB_STProjectsSOF[[#This Row],[FY Plan]]&lt;&gt;0,DB_STProjectsSOF[[#This Row],[FY Actuals]]/DB_STProjectsSOF[[#This Row],[FY Plan]],1.000011000011)</f>
        <v>0.55034041359449226</v>
      </c>
    </row>
    <row r="1283" spans="1:37" hidden="1" x14ac:dyDescent="0.2">
      <c r="A1283">
        <f>SUBTOTAL(3,$B$6:B1283)</f>
        <v>0</v>
      </c>
      <c r="B1283" t="s">
        <v>524</v>
      </c>
      <c r="C1283" t="s">
        <v>936</v>
      </c>
      <c r="F1283">
        <v>664</v>
      </c>
      <c r="R1283">
        <v>638.44000000000005</v>
      </c>
      <c r="AB1283" s="164">
        <v>40817</v>
      </c>
      <c r="AC1283" s="164">
        <v>41090</v>
      </c>
      <c r="AD1283" s="164">
        <v>41118</v>
      </c>
      <c r="AE1283" s="34">
        <f>SUMPRODUCT(DB_STProjectsSOF[[#This Row],[Plan01]:[Plan12]],$D$4:$O$4)/valUnits2</f>
        <v>0.66400000000000003</v>
      </c>
      <c r="AF1283" s="34">
        <f>SUMPRODUCT(DB_STProjectsSOF[[#This Row],[Act01]:[Act12]],$P$4:$AA$4)/valUnits2</f>
        <v>0.63844000000000001</v>
      </c>
      <c r="AG1283" s="34">
        <f>DB_STProjectsSOF[[#This Row],[Actual]]-DB_STProjectsSOF[[#This Row],[Plan]]</f>
        <v>-2.5560000000000027E-2</v>
      </c>
      <c r="AH1283" s="34">
        <f>IF(DB_STProjectsSOF[[#This Row],[Plan]]&lt;&gt;0,DB_STProjectsSOF[[#This Row],[Actual]]/DB_STProjectsSOF[[#This Row],[Plan]],1.000011000011)</f>
        <v>0.96150602409638553</v>
      </c>
      <c r="AI1283" s="34">
        <f>SUM(DB_STProjectsSOF[[#This Row],[Plan01]:[Plan12]])/valUnits2</f>
        <v>0.66400000000000003</v>
      </c>
      <c r="AJ1283" s="34">
        <f>SUMPRODUCT(DB_STProjectsSOF[[#This Row],[Act01]:[Act12]],$P$3:$AA$3)/valUnits2</f>
        <v>0.63844000000000001</v>
      </c>
      <c r="AK1283" s="34">
        <f>IF(DB_STProjectsSOF[[#This Row],[FY Plan]]&lt;&gt;0,DB_STProjectsSOF[[#This Row],[FY Actuals]]/DB_STProjectsSOF[[#This Row],[FY Plan]],1.000011000011)</f>
        <v>0.96150602409638553</v>
      </c>
    </row>
    <row r="1284" spans="1:37" hidden="1" x14ac:dyDescent="0.2">
      <c r="A1284">
        <f>SUBTOTAL(3,$B$6:B1284)</f>
        <v>0</v>
      </c>
      <c r="B1284" t="s">
        <v>525</v>
      </c>
      <c r="C1284" t="s">
        <v>844</v>
      </c>
      <c r="D1284">
        <v>0</v>
      </c>
      <c r="E1284">
        <v>0</v>
      </c>
      <c r="F1284">
        <v>47542.697999999997</v>
      </c>
      <c r="P1284">
        <v>0</v>
      </c>
      <c r="Q1284">
        <v>0</v>
      </c>
      <c r="R1284">
        <v>47549.440000000002</v>
      </c>
      <c r="AB1284" s="164">
        <v>41284</v>
      </c>
      <c r="AC1284" s="164">
        <v>41343</v>
      </c>
      <c r="AD1284" s="164">
        <v>41374</v>
      </c>
      <c r="AE1284" s="34">
        <f>SUMPRODUCT(DB_STProjectsSOF[[#This Row],[Plan01]:[Plan12]],$D$4:$O$4)/valUnits2</f>
        <v>47.542697999999994</v>
      </c>
      <c r="AF1284" s="34">
        <f>SUMPRODUCT(DB_STProjectsSOF[[#This Row],[Act01]:[Act12]],$P$4:$AA$4)/valUnits2</f>
        <v>47.549440000000004</v>
      </c>
      <c r="AG1284" s="34">
        <f>DB_STProjectsSOF[[#This Row],[Actual]]-DB_STProjectsSOF[[#This Row],[Plan]]</f>
        <v>6.7420000000097957E-3</v>
      </c>
      <c r="AH1284" s="34">
        <f>IF(DB_STProjectsSOF[[#This Row],[Plan]]&lt;&gt;0,DB_STProjectsSOF[[#This Row],[Actual]]/DB_STProjectsSOF[[#This Row],[Plan]],1.000011000011)</f>
        <v>1.0001418093689174</v>
      </c>
      <c r="AI1284" s="34">
        <f>SUM(DB_STProjectsSOF[[#This Row],[Plan01]:[Plan12]])/valUnits2</f>
        <v>47.542697999999994</v>
      </c>
      <c r="AJ1284" s="34">
        <f>SUMPRODUCT(DB_STProjectsSOF[[#This Row],[Act01]:[Act12]],$P$3:$AA$3)/valUnits2</f>
        <v>47.549440000000004</v>
      </c>
      <c r="AK1284" s="34">
        <f>IF(DB_STProjectsSOF[[#This Row],[FY Plan]]&lt;&gt;0,DB_STProjectsSOF[[#This Row],[FY Actuals]]/DB_STProjectsSOF[[#This Row],[FY Plan]],1.000011000011)</f>
        <v>1.0001418093689174</v>
      </c>
    </row>
    <row r="1285" spans="1:37" hidden="1" x14ac:dyDescent="0.2">
      <c r="A1285">
        <f>SUBTOTAL(3,$B$6:B1285)</f>
        <v>0</v>
      </c>
      <c r="B1285" t="s">
        <v>525</v>
      </c>
      <c r="C1285" t="s">
        <v>845</v>
      </c>
      <c r="I1285">
        <v>0</v>
      </c>
      <c r="U1285">
        <v>580.27</v>
      </c>
      <c r="AB1285" s="164">
        <v>41275</v>
      </c>
      <c r="AC1285" s="164">
        <v>41639</v>
      </c>
      <c r="AD1285" s="164">
        <v>41729</v>
      </c>
      <c r="AE1285" s="34">
        <f>SUMPRODUCT(DB_STProjectsSOF[[#This Row],[Plan01]:[Plan12]],$D$4:$O$4)/valUnits2</f>
        <v>0</v>
      </c>
      <c r="AF1285" s="34">
        <f>SUMPRODUCT(DB_STProjectsSOF[[#This Row],[Act01]:[Act12]],$P$4:$AA$4)/valUnits2</f>
        <v>0.58026999999999995</v>
      </c>
      <c r="AG1285" s="34">
        <f>DB_STProjectsSOF[[#This Row],[Actual]]-DB_STProjectsSOF[[#This Row],[Plan]]</f>
        <v>0.58026999999999995</v>
      </c>
      <c r="AH1285" s="34">
        <f>IF(DB_STProjectsSOF[[#This Row],[Plan]]&lt;&gt;0,DB_STProjectsSOF[[#This Row],[Actual]]/DB_STProjectsSOF[[#This Row],[Plan]],1.000011000011)</f>
        <v>1.0000110000110001</v>
      </c>
      <c r="AI1285" s="34">
        <f>SUM(DB_STProjectsSOF[[#This Row],[Plan01]:[Plan12]])/valUnits2</f>
        <v>0</v>
      </c>
      <c r="AJ1285" s="34">
        <f>SUMPRODUCT(DB_STProjectsSOF[[#This Row],[Act01]:[Act12]],$P$3:$AA$3)/valUnits2</f>
        <v>0.58026999999999995</v>
      </c>
      <c r="AK1285" s="34">
        <f>IF(DB_STProjectsSOF[[#This Row],[FY Plan]]&lt;&gt;0,DB_STProjectsSOF[[#This Row],[FY Actuals]]/DB_STProjectsSOF[[#This Row],[FY Plan]],1.000011000011)</f>
        <v>1.0000110000110001</v>
      </c>
    </row>
    <row r="1286" spans="1:37" hidden="1" x14ac:dyDescent="0.2">
      <c r="A1286">
        <f>SUBTOTAL(3,$B$6:B1286)</f>
        <v>0</v>
      </c>
      <c r="B1286" t="s">
        <v>525</v>
      </c>
      <c r="C1286" t="s">
        <v>353</v>
      </c>
      <c r="D1286">
        <v>65548.173999999999</v>
      </c>
      <c r="E1286">
        <v>1503.0729999999899</v>
      </c>
      <c r="F1286">
        <v>171218.26500000007</v>
      </c>
      <c r="G1286">
        <v>178249.3930000001</v>
      </c>
      <c r="H1286">
        <v>12185.548000000021</v>
      </c>
      <c r="I1286">
        <v>90653.27499999998</v>
      </c>
      <c r="P1286">
        <v>63977.509999999995</v>
      </c>
      <c r="Q1286">
        <v>1543.0999999999881</v>
      </c>
      <c r="R1286">
        <v>174578.84999999998</v>
      </c>
      <c r="S1286">
        <v>178260.62999999995</v>
      </c>
      <c r="T1286">
        <v>12215.61000000001</v>
      </c>
      <c r="U1286">
        <v>56348.229999999996</v>
      </c>
      <c r="AB1286" s="164">
        <v>41214</v>
      </c>
      <c r="AC1286" s="164">
        <v>41455</v>
      </c>
      <c r="AD1286" s="164">
        <v>41532</v>
      </c>
      <c r="AE1286" s="34">
        <f>SUMPRODUCT(DB_STProjectsSOF[[#This Row],[Plan01]:[Plan12]],$D$4:$O$4)/valUnits2</f>
        <v>519.35772800000007</v>
      </c>
      <c r="AF1286" s="34">
        <f>SUMPRODUCT(DB_STProjectsSOF[[#This Row],[Act01]:[Act12]],$P$4:$AA$4)/valUnits2</f>
        <v>486.92392999999987</v>
      </c>
      <c r="AG1286" s="34">
        <f>DB_STProjectsSOF[[#This Row],[Actual]]-DB_STProjectsSOF[[#This Row],[Plan]]</f>
        <v>-32.433798000000195</v>
      </c>
      <c r="AH1286" s="34">
        <f>IF(DB_STProjectsSOF[[#This Row],[Plan]]&lt;&gt;0,DB_STProjectsSOF[[#This Row],[Actual]]/DB_STProjectsSOF[[#This Row],[Plan]],1.000011000011)</f>
        <v>0.93755017736060298</v>
      </c>
      <c r="AI1286" s="34">
        <f>SUM(DB_STProjectsSOF[[#This Row],[Plan01]:[Plan12]])/valUnits2</f>
        <v>519.35772800000007</v>
      </c>
      <c r="AJ1286" s="34">
        <f>SUMPRODUCT(DB_STProjectsSOF[[#This Row],[Act01]:[Act12]],$P$3:$AA$3)/valUnits2</f>
        <v>486.92392999999987</v>
      </c>
      <c r="AK1286" s="34">
        <f>IF(DB_STProjectsSOF[[#This Row],[FY Plan]]&lt;&gt;0,DB_STProjectsSOF[[#This Row],[FY Actuals]]/DB_STProjectsSOF[[#This Row],[FY Plan]],1.000011000011)</f>
        <v>0.93755017736060298</v>
      </c>
    </row>
    <row r="1287" spans="1:37" hidden="1" x14ac:dyDescent="0.2">
      <c r="A1287">
        <f>SUBTOTAL(3,$B$6:B1287)</f>
        <v>0</v>
      </c>
      <c r="B1287" t="s">
        <v>525</v>
      </c>
      <c r="C1287" t="s">
        <v>864</v>
      </c>
      <c r="D1287">
        <v>0</v>
      </c>
      <c r="F1287">
        <v>22651.826999999997</v>
      </c>
      <c r="G1287">
        <v>-63.133000000000003</v>
      </c>
      <c r="P1287">
        <v>0</v>
      </c>
      <c r="R1287">
        <v>23984.86</v>
      </c>
      <c r="S1287">
        <v>-65.539999999999992</v>
      </c>
      <c r="AB1287" s="164">
        <v>41278</v>
      </c>
      <c r="AC1287" s="164">
        <v>41333</v>
      </c>
      <c r="AD1287" s="164">
        <v>41356</v>
      </c>
      <c r="AE1287" s="34">
        <f>SUMPRODUCT(DB_STProjectsSOF[[#This Row],[Plan01]:[Plan12]],$D$4:$O$4)/valUnits2</f>
        <v>22.588693999999997</v>
      </c>
      <c r="AF1287" s="34">
        <f>SUMPRODUCT(DB_STProjectsSOF[[#This Row],[Act01]:[Act12]],$P$4:$AA$4)/valUnits2</f>
        <v>23.919319999999999</v>
      </c>
      <c r="AG1287" s="34">
        <f>DB_STProjectsSOF[[#This Row],[Actual]]-DB_STProjectsSOF[[#This Row],[Plan]]</f>
        <v>1.3306260000000023</v>
      </c>
      <c r="AH1287" s="34">
        <f>IF(DB_STProjectsSOF[[#This Row],[Plan]]&lt;&gt;0,DB_STProjectsSOF[[#This Row],[Actual]]/DB_STProjectsSOF[[#This Row],[Plan]],1.000011000011)</f>
        <v>1.0589067256389415</v>
      </c>
      <c r="AI1287" s="34">
        <f>SUM(DB_STProjectsSOF[[#This Row],[Plan01]:[Plan12]])/valUnits2</f>
        <v>22.588693999999997</v>
      </c>
      <c r="AJ1287" s="34">
        <f>SUMPRODUCT(DB_STProjectsSOF[[#This Row],[Act01]:[Act12]],$P$3:$AA$3)/valUnits2</f>
        <v>23.919319999999999</v>
      </c>
      <c r="AK1287" s="34">
        <f>IF(DB_STProjectsSOF[[#This Row],[FY Plan]]&lt;&gt;0,DB_STProjectsSOF[[#This Row],[FY Actuals]]/DB_STProjectsSOF[[#This Row],[FY Plan]],1.000011000011)</f>
        <v>1.0589067256389415</v>
      </c>
    </row>
    <row r="1288" spans="1:37" hidden="1" x14ac:dyDescent="0.2">
      <c r="A1288">
        <f>SUBTOTAL(3,$B$6:B1288)</f>
        <v>0</v>
      </c>
      <c r="B1288" t="s">
        <v>525</v>
      </c>
      <c r="C1288" t="s">
        <v>867</v>
      </c>
      <c r="H1288">
        <v>103.25999999999999</v>
      </c>
      <c r="I1288">
        <v>0</v>
      </c>
      <c r="T1288">
        <v>103.26</v>
      </c>
      <c r="U1288">
        <v>43629.990000000005</v>
      </c>
      <c r="AB1288" s="164">
        <v>41365</v>
      </c>
      <c r="AC1288" s="164">
        <v>41639</v>
      </c>
      <c r="AD1288" s="164">
        <v>41670</v>
      </c>
      <c r="AE1288" s="34">
        <f>SUMPRODUCT(DB_STProjectsSOF[[#This Row],[Plan01]:[Plan12]],$D$4:$O$4)/valUnits2</f>
        <v>0.10325999999999999</v>
      </c>
      <c r="AF1288" s="34">
        <f>SUMPRODUCT(DB_STProjectsSOF[[#This Row],[Act01]:[Act12]],$P$4:$AA$4)/valUnits2</f>
        <v>43.733250000000005</v>
      </c>
      <c r="AG1288" s="34">
        <f>DB_STProjectsSOF[[#This Row],[Actual]]-DB_STProjectsSOF[[#This Row],[Plan]]</f>
        <v>43.629990000000006</v>
      </c>
      <c r="AH1288" s="34">
        <f>IF(DB_STProjectsSOF[[#This Row],[Plan]]&lt;&gt;0,DB_STProjectsSOF[[#This Row],[Actual]]/DB_STProjectsSOF[[#This Row],[Plan]],1.000011000011)</f>
        <v>423.52556653108667</v>
      </c>
      <c r="AI1288" s="34">
        <f>SUM(DB_STProjectsSOF[[#This Row],[Plan01]:[Plan12]])/valUnits2</f>
        <v>0.10325999999999999</v>
      </c>
      <c r="AJ1288" s="34">
        <f>SUMPRODUCT(DB_STProjectsSOF[[#This Row],[Act01]:[Act12]],$P$3:$AA$3)/valUnits2</f>
        <v>43.733250000000005</v>
      </c>
      <c r="AK1288" s="34">
        <f>IF(DB_STProjectsSOF[[#This Row],[FY Plan]]&lt;&gt;0,DB_STProjectsSOF[[#This Row],[FY Actuals]]/DB_STProjectsSOF[[#This Row],[FY Plan]],1.000011000011)</f>
        <v>423.52556653108667</v>
      </c>
    </row>
    <row r="1289" spans="1:37" hidden="1" x14ac:dyDescent="0.2">
      <c r="A1289">
        <f>SUBTOTAL(3,$B$6:B1289)</f>
        <v>0</v>
      </c>
      <c r="B1289" t="s">
        <v>525</v>
      </c>
      <c r="C1289" t="s">
        <v>893</v>
      </c>
      <c r="D1289">
        <v>437.839</v>
      </c>
      <c r="E1289">
        <v>0</v>
      </c>
      <c r="F1289">
        <v>1069.7939999999999</v>
      </c>
      <c r="P1289">
        <v>436.6</v>
      </c>
      <c r="Q1289">
        <v>0</v>
      </c>
      <c r="R1289">
        <v>1110.49</v>
      </c>
      <c r="AB1289" s="164">
        <v>41214</v>
      </c>
      <c r="AC1289" s="164">
        <v>41305</v>
      </c>
      <c r="AD1289" s="164">
        <v>41364</v>
      </c>
      <c r="AE1289" s="34">
        <f>SUMPRODUCT(DB_STProjectsSOF[[#This Row],[Plan01]:[Plan12]],$D$4:$O$4)/valUnits2</f>
        <v>1.5076329999999998</v>
      </c>
      <c r="AF1289" s="34">
        <f>SUMPRODUCT(DB_STProjectsSOF[[#This Row],[Act01]:[Act12]],$P$4:$AA$4)/valUnits2</f>
        <v>1.5470900000000001</v>
      </c>
      <c r="AG1289" s="34">
        <f>DB_STProjectsSOF[[#This Row],[Actual]]-DB_STProjectsSOF[[#This Row],[Plan]]</f>
        <v>3.9457000000000297E-2</v>
      </c>
      <c r="AH1289" s="34">
        <f>IF(DB_STProjectsSOF[[#This Row],[Plan]]&lt;&gt;0,DB_STProjectsSOF[[#This Row],[Actual]]/DB_STProjectsSOF[[#This Row],[Plan]],1.000011000011)</f>
        <v>1.0261714886845805</v>
      </c>
      <c r="AI1289" s="34">
        <f>SUM(DB_STProjectsSOF[[#This Row],[Plan01]:[Plan12]])/valUnits2</f>
        <v>1.5076329999999998</v>
      </c>
      <c r="AJ1289" s="34">
        <f>SUMPRODUCT(DB_STProjectsSOF[[#This Row],[Act01]:[Act12]],$P$3:$AA$3)/valUnits2</f>
        <v>1.5470900000000001</v>
      </c>
      <c r="AK1289" s="34">
        <f>IF(DB_STProjectsSOF[[#This Row],[FY Plan]]&lt;&gt;0,DB_STProjectsSOF[[#This Row],[FY Actuals]]/DB_STProjectsSOF[[#This Row],[FY Plan]],1.000011000011)</f>
        <v>1.0261714886845805</v>
      </c>
    </row>
    <row r="1290" spans="1:37" hidden="1" x14ac:dyDescent="0.2">
      <c r="A1290">
        <f>SUBTOTAL(3,$B$6:B1290)</f>
        <v>0</v>
      </c>
      <c r="B1290" t="s">
        <v>525</v>
      </c>
      <c r="C1290" t="s">
        <v>929</v>
      </c>
      <c r="D1290">
        <v>100429.58600000002</v>
      </c>
      <c r="E1290">
        <v>4660.8649999999861</v>
      </c>
      <c r="F1290">
        <v>4463.3589999999995</v>
      </c>
      <c r="G1290">
        <v>7926.9449999999997</v>
      </c>
      <c r="H1290">
        <v>29293.170999999998</v>
      </c>
      <c r="I1290">
        <v>0</v>
      </c>
      <c r="P1290">
        <v>97391.640000000014</v>
      </c>
      <c r="Q1290">
        <v>4769.9199999999973</v>
      </c>
      <c r="R1290">
        <v>4504.579999999999</v>
      </c>
      <c r="S1290">
        <v>7863.3499999999995</v>
      </c>
      <c r="T1290">
        <v>28966.14</v>
      </c>
      <c r="U1290">
        <v>5481.8099999999995</v>
      </c>
      <c r="AB1290" s="164">
        <v>41214</v>
      </c>
      <c r="AC1290" s="164">
        <v>41379</v>
      </c>
      <c r="AD1290" s="164">
        <v>41409</v>
      </c>
      <c r="AE1290" s="34">
        <f>SUMPRODUCT(DB_STProjectsSOF[[#This Row],[Plan01]:[Plan12]],$D$4:$O$4)/valUnits2</f>
        <v>146.77392600000002</v>
      </c>
      <c r="AF1290" s="34">
        <f>SUMPRODUCT(DB_STProjectsSOF[[#This Row],[Act01]:[Act12]],$P$4:$AA$4)/valUnits2</f>
        <v>148.97744</v>
      </c>
      <c r="AG1290" s="34">
        <f>DB_STProjectsSOF[[#This Row],[Actual]]-DB_STProjectsSOF[[#This Row],[Plan]]</f>
        <v>2.2035139999999842</v>
      </c>
      <c r="AH1290" s="34">
        <f>IF(DB_STProjectsSOF[[#This Row],[Plan]]&lt;&gt;0,DB_STProjectsSOF[[#This Row],[Actual]]/DB_STProjectsSOF[[#This Row],[Plan]],1.000011000011)</f>
        <v>1.01501297989399</v>
      </c>
      <c r="AI1290" s="34">
        <f>SUM(DB_STProjectsSOF[[#This Row],[Plan01]:[Plan12]])/valUnits2</f>
        <v>146.77392600000002</v>
      </c>
      <c r="AJ1290" s="34">
        <f>SUMPRODUCT(DB_STProjectsSOF[[#This Row],[Act01]:[Act12]],$P$3:$AA$3)/valUnits2</f>
        <v>148.97744</v>
      </c>
      <c r="AK1290" s="34">
        <f>IF(DB_STProjectsSOF[[#This Row],[FY Plan]]&lt;&gt;0,DB_STProjectsSOF[[#This Row],[FY Actuals]]/DB_STProjectsSOF[[#This Row],[FY Plan]],1.000011000011)</f>
        <v>1.01501297989399</v>
      </c>
    </row>
    <row r="1291" spans="1:37" hidden="1" x14ac:dyDescent="0.2">
      <c r="A1291">
        <f>SUBTOTAL(3,$B$6:B1291)</f>
        <v>0</v>
      </c>
      <c r="B1291" t="s">
        <v>526</v>
      </c>
      <c r="C1291" t="s">
        <v>842</v>
      </c>
      <c r="D1291">
        <v>0</v>
      </c>
      <c r="E1291">
        <v>0</v>
      </c>
      <c r="F1291">
        <v>0</v>
      </c>
      <c r="G1291">
        <v>903.11699999999996</v>
      </c>
      <c r="H1291">
        <v>747.60800000000006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896.43999999999994</v>
      </c>
      <c r="T1291">
        <v>738.78</v>
      </c>
      <c r="U1291">
        <v>1351.62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 s="164">
        <v>41214</v>
      </c>
      <c r="AC1291" s="164">
        <v>42308</v>
      </c>
      <c r="AD1291" s="164">
        <v>42389</v>
      </c>
      <c r="AE1291" s="34">
        <f>SUMPRODUCT(DB_STProjectsSOF[[#This Row],[Plan01]:[Plan12]],$D$4:$O$4)/valUnits2</f>
        <v>1.650725</v>
      </c>
      <c r="AF1291" s="34">
        <f>SUMPRODUCT(DB_STProjectsSOF[[#This Row],[Act01]:[Act12]],$P$4:$AA$4)/valUnits2</f>
        <v>2.9868399999999995</v>
      </c>
      <c r="AG1291" s="34">
        <f>DB_STProjectsSOF[[#This Row],[Actual]]-DB_STProjectsSOF[[#This Row],[Plan]]</f>
        <v>1.3361149999999995</v>
      </c>
      <c r="AH1291" s="34">
        <f>IF(DB_STProjectsSOF[[#This Row],[Plan]]&lt;&gt;0,DB_STProjectsSOF[[#This Row],[Actual]]/DB_STProjectsSOF[[#This Row],[Plan]],1.000011000011)</f>
        <v>1.809411016371594</v>
      </c>
      <c r="AI1291" s="34">
        <f>SUM(DB_STProjectsSOF[[#This Row],[Plan01]:[Plan12]])/valUnits2</f>
        <v>1.650725</v>
      </c>
      <c r="AJ1291" s="34">
        <f>SUMPRODUCT(DB_STProjectsSOF[[#This Row],[Act01]:[Act12]],$P$3:$AA$3)/valUnits2</f>
        <v>2.9868399999999995</v>
      </c>
      <c r="AK1291" s="34">
        <f>IF(DB_STProjectsSOF[[#This Row],[FY Plan]]&lt;&gt;0,DB_STProjectsSOF[[#This Row],[FY Actuals]]/DB_STProjectsSOF[[#This Row],[FY Plan]],1.000011000011)</f>
        <v>1.809411016371594</v>
      </c>
    </row>
    <row r="1292" spans="1:37" hidden="1" x14ac:dyDescent="0.2">
      <c r="A1292">
        <f>SUBTOTAL(3,$B$6:B1292)</f>
        <v>0</v>
      </c>
      <c r="B1292" t="s">
        <v>526</v>
      </c>
      <c r="C1292" t="s">
        <v>843</v>
      </c>
      <c r="E1292">
        <v>4458.7359999999999</v>
      </c>
      <c r="F1292">
        <v>2390.5330000000004</v>
      </c>
      <c r="G1292">
        <v>5272.5519999999997</v>
      </c>
      <c r="H1292">
        <v>506.59300000000002</v>
      </c>
      <c r="I1292">
        <v>1759.4940000000001</v>
      </c>
      <c r="J1292">
        <v>1759.4940000000001</v>
      </c>
      <c r="K1292">
        <v>1759.4940000000001</v>
      </c>
      <c r="L1292">
        <v>1759.4940000000001</v>
      </c>
      <c r="M1292">
        <v>1759.4940000000001</v>
      </c>
      <c r="N1292">
        <v>1759.4940000000001</v>
      </c>
      <c r="O1292">
        <v>1759.4940000000001</v>
      </c>
      <c r="Q1292">
        <v>4481.1400000000003</v>
      </c>
      <c r="R1292">
        <v>2420.54</v>
      </c>
      <c r="S1292">
        <v>5263.23</v>
      </c>
      <c r="T1292">
        <v>509.59</v>
      </c>
      <c r="U1292">
        <v>-12671.15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 s="164">
        <v>41275</v>
      </c>
      <c r="AC1292" s="164">
        <v>42369</v>
      </c>
      <c r="AD1292" s="164">
        <v>42492</v>
      </c>
      <c r="AE1292" s="34">
        <f>SUMPRODUCT(DB_STProjectsSOF[[#This Row],[Plan01]:[Plan12]],$D$4:$O$4)/valUnits2</f>
        <v>14.387908000000001</v>
      </c>
      <c r="AF1292" s="34">
        <f>SUMPRODUCT(DB_STProjectsSOF[[#This Row],[Act01]:[Act12]],$P$4:$AA$4)/valUnits2</f>
        <v>3.350000000000364E-3</v>
      </c>
      <c r="AG1292" s="34">
        <f>DB_STProjectsSOF[[#This Row],[Actual]]-DB_STProjectsSOF[[#This Row],[Plan]]</f>
        <v>-14.384558</v>
      </c>
      <c r="AH1292" s="34">
        <f>IF(DB_STProjectsSOF[[#This Row],[Plan]]&lt;&gt;0,DB_STProjectsSOF[[#This Row],[Actual]]/DB_STProjectsSOF[[#This Row],[Plan]],1.000011000011)</f>
        <v>2.3283440511298541E-4</v>
      </c>
      <c r="AI1292" s="34">
        <f>SUM(DB_STProjectsSOF[[#This Row],[Plan01]:[Plan12]])/valUnits2</f>
        <v>24.944871999999997</v>
      </c>
      <c r="AJ1292" s="34">
        <f>SUMPRODUCT(DB_STProjectsSOF[[#This Row],[Act01]:[Act12]],$P$3:$AA$3)/valUnits2</f>
        <v>3.350000000000364E-3</v>
      </c>
      <c r="AK1292" s="34">
        <f>IF(DB_STProjectsSOF[[#This Row],[FY Plan]]&lt;&gt;0,DB_STProjectsSOF[[#This Row],[FY Actuals]]/DB_STProjectsSOF[[#This Row],[FY Plan]],1.000011000011)</f>
        <v>1.3429613910227178E-4</v>
      </c>
    </row>
    <row r="1293" spans="1:37" hidden="1" x14ac:dyDescent="0.2">
      <c r="A1293">
        <f>SUBTOTAL(3,$B$6:B1293)</f>
        <v>0</v>
      </c>
      <c r="B1293" t="s">
        <v>526</v>
      </c>
      <c r="C1293" t="s">
        <v>353</v>
      </c>
      <c r="F1293">
        <v>0</v>
      </c>
      <c r="G1293">
        <v>0</v>
      </c>
      <c r="R1293">
        <v>0</v>
      </c>
      <c r="S1293">
        <v>0</v>
      </c>
      <c r="AB1293" s="164">
        <v>41214</v>
      </c>
      <c r="AC1293" s="164">
        <v>41455</v>
      </c>
      <c r="AD1293" s="164">
        <v>41532</v>
      </c>
      <c r="AE1293" s="34">
        <f>SUMPRODUCT(DB_STProjectsSOF[[#This Row],[Plan01]:[Plan12]],$D$4:$O$4)/valUnits2</f>
        <v>0</v>
      </c>
      <c r="AF1293" s="34">
        <f>SUMPRODUCT(DB_STProjectsSOF[[#This Row],[Act01]:[Act12]],$P$4:$AA$4)/valUnits2</f>
        <v>0</v>
      </c>
      <c r="AG1293" s="34">
        <f>DB_STProjectsSOF[[#This Row],[Actual]]-DB_STProjectsSOF[[#This Row],[Plan]]</f>
        <v>0</v>
      </c>
      <c r="AH1293" s="34">
        <f>IF(DB_STProjectsSOF[[#This Row],[Plan]]&lt;&gt;0,DB_STProjectsSOF[[#This Row],[Actual]]/DB_STProjectsSOF[[#This Row],[Plan]],1.000011000011)</f>
        <v>1.0000110000110001</v>
      </c>
      <c r="AI1293" s="34">
        <f>SUM(DB_STProjectsSOF[[#This Row],[Plan01]:[Plan12]])/valUnits2</f>
        <v>0</v>
      </c>
      <c r="AJ1293" s="34">
        <f>SUMPRODUCT(DB_STProjectsSOF[[#This Row],[Act01]:[Act12]],$P$3:$AA$3)/valUnits2</f>
        <v>0</v>
      </c>
      <c r="AK1293" s="34">
        <f>IF(DB_STProjectsSOF[[#This Row],[FY Plan]]&lt;&gt;0,DB_STProjectsSOF[[#This Row],[FY Actuals]]/DB_STProjectsSOF[[#This Row],[FY Plan]],1.000011000011)</f>
        <v>1.0000110000110001</v>
      </c>
    </row>
    <row r="1294" spans="1:37" hidden="1" x14ac:dyDescent="0.2">
      <c r="A1294">
        <f>SUBTOTAL(3,$B$6:B1294)</f>
        <v>0</v>
      </c>
      <c r="B1294" t="s">
        <v>526</v>
      </c>
      <c r="C1294" t="s">
        <v>852</v>
      </c>
      <c r="D1294">
        <v>-201.078</v>
      </c>
      <c r="E1294">
        <v>268.34199999999998</v>
      </c>
      <c r="P1294">
        <v>-202.13</v>
      </c>
      <c r="Q1294">
        <v>279.02</v>
      </c>
      <c r="AB1294" s="164">
        <v>40909</v>
      </c>
      <c r="AC1294" s="164">
        <v>41305</v>
      </c>
      <c r="AD1294" s="164">
        <v>41305</v>
      </c>
      <c r="AE1294" s="34">
        <f>SUMPRODUCT(DB_STProjectsSOF[[#This Row],[Plan01]:[Plan12]],$D$4:$O$4)/valUnits2</f>
        <v>6.7263999999999977E-2</v>
      </c>
      <c r="AF1294" s="34">
        <f>SUMPRODUCT(DB_STProjectsSOF[[#This Row],[Act01]:[Act12]],$P$4:$AA$4)/valUnits2</f>
        <v>7.6889999999999986E-2</v>
      </c>
      <c r="AG1294" s="34">
        <f>DB_STProjectsSOF[[#This Row],[Actual]]-DB_STProjectsSOF[[#This Row],[Plan]]</f>
        <v>9.6260000000000095E-3</v>
      </c>
      <c r="AH1294" s="34">
        <f>IF(DB_STProjectsSOF[[#This Row],[Plan]]&lt;&gt;0,DB_STProjectsSOF[[#This Row],[Actual]]/DB_STProjectsSOF[[#This Row],[Plan]],1.000011000011)</f>
        <v>1.1431077545195054</v>
      </c>
      <c r="AI1294" s="34">
        <f>SUM(DB_STProjectsSOF[[#This Row],[Plan01]:[Plan12]])/valUnits2</f>
        <v>6.7263999999999977E-2</v>
      </c>
      <c r="AJ1294" s="34">
        <f>SUMPRODUCT(DB_STProjectsSOF[[#This Row],[Act01]:[Act12]],$P$3:$AA$3)/valUnits2</f>
        <v>7.6889999999999986E-2</v>
      </c>
      <c r="AK1294" s="34">
        <f>IF(DB_STProjectsSOF[[#This Row],[FY Plan]]&lt;&gt;0,DB_STProjectsSOF[[#This Row],[FY Actuals]]/DB_STProjectsSOF[[#This Row],[FY Plan]],1.000011000011)</f>
        <v>1.1431077545195054</v>
      </c>
    </row>
    <row r="1295" spans="1:37" hidden="1" x14ac:dyDescent="0.2">
      <c r="A1295">
        <f>SUBTOTAL(3,$B$6:B1295)</f>
        <v>0</v>
      </c>
      <c r="B1295" t="s">
        <v>526</v>
      </c>
      <c r="C1295" t="s">
        <v>853</v>
      </c>
      <c r="G1295">
        <v>441.58699999999999</v>
      </c>
      <c r="H1295">
        <v>437.142</v>
      </c>
      <c r="I1295">
        <v>0</v>
      </c>
      <c r="S1295">
        <v>434.99</v>
      </c>
      <c r="T1295">
        <v>436.28000000000003</v>
      </c>
      <c r="U1295">
        <v>726.67</v>
      </c>
      <c r="AB1295" s="164">
        <v>41275</v>
      </c>
      <c r="AC1295" s="164">
        <v>41639</v>
      </c>
      <c r="AD1295" s="164">
        <v>41669</v>
      </c>
      <c r="AE1295" s="34">
        <f>SUMPRODUCT(DB_STProjectsSOF[[#This Row],[Plan01]:[Plan12]],$D$4:$O$4)/valUnits2</f>
        <v>0.87872900000000009</v>
      </c>
      <c r="AF1295" s="34">
        <f>SUMPRODUCT(DB_STProjectsSOF[[#This Row],[Act01]:[Act12]],$P$4:$AA$4)/valUnits2</f>
        <v>1.5979400000000001</v>
      </c>
      <c r="AG1295" s="34">
        <f>DB_STProjectsSOF[[#This Row],[Actual]]-DB_STProjectsSOF[[#This Row],[Plan]]</f>
        <v>0.71921100000000004</v>
      </c>
      <c r="AH1295" s="34">
        <f>IF(DB_STProjectsSOF[[#This Row],[Plan]]&lt;&gt;0,DB_STProjectsSOF[[#This Row],[Actual]]/DB_STProjectsSOF[[#This Row],[Plan]],1.000011000011)</f>
        <v>1.8184673545541343</v>
      </c>
      <c r="AI1295" s="34">
        <f>SUM(DB_STProjectsSOF[[#This Row],[Plan01]:[Plan12]])/valUnits2</f>
        <v>0.87872900000000009</v>
      </c>
      <c r="AJ1295" s="34">
        <f>SUMPRODUCT(DB_STProjectsSOF[[#This Row],[Act01]:[Act12]],$P$3:$AA$3)/valUnits2</f>
        <v>1.5979400000000001</v>
      </c>
      <c r="AK1295" s="34">
        <f>IF(DB_STProjectsSOF[[#This Row],[FY Plan]]&lt;&gt;0,DB_STProjectsSOF[[#This Row],[FY Actuals]]/DB_STProjectsSOF[[#This Row],[FY Plan]],1.000011000011)</f>
        <v>1.8184673545541343</v>
      </c>
    </row>
    <row r="1296" spans="1:37" hidden="1" x14ac:dyDescent="0.2">
      <c r="A1296">
        <f>SUBTOTAL(3,$B$6:B1296)</f>
        <v>0</v>
      </c>
      <c r="B1296" t="s">
        <v>526</v>
      </c>
      <c r="C1296" t="s">
        <v>855</v>
      </c>
      <c r="I1296">
        <v>0</v>
      </c>
      <c r="U1296">
        <v>2.8421709430404007E-14</v>
      </c>
      <c r="AB1296" s="164">
        <v>40817</v>
      </c>
      <c r="AC1296" s="164">
        <v>41759</v>
      </c>
      <c r="AD1296" s="164">
        <v>41820</v>
      </c>
      <c r="AE1296" s="34">
        <f>SUMPRODUCT(DB_STProjectsSOF[[#This Row],[Plan01]:[Plan12]],$D$4:$O$4)/valUnits2</f>
        <v>0</v>
      </c>
      <c r="AF1296" s="34">
        <f>SUMPRODUCT(DB_STProjectsSOF[[#This Row],[Act01]:[Act12]],$P$4:$AA$4)/valUnits2</f>
        <v>2.8421709430404008E-17</v>
      </c>
      <c r="AG1296" s="34">
        <f>DB_STProjectsSOF[[#This Row],[Actual]]-DB_STProjectsSOF[[#This Row],[Plan]]</f>
        <v>2.8421709430404008E-17</v>
      </c>
      <c r="AH1296" s="34">
        <f>IF(DB_STProjectsSOF[[#This Row],[Plan]]&lt;&gt;0,DB_STProjectsSOF[[#This Row],[Actual]]/DB_STProjectsSOF[[#This Row],[Plan]],1.000011000011)</f>
        <v>1.0000110000110001</v>
      </c>
      <c r="AI1296" s="34">
        <f>SUM(DB_STProjectsSOF[[#This Row],[Plan01]:[Plan12]])/valUnits2</f>
        <v>0</v>
      </c>
      <c r="AJ1296" s="34">
        <f>SUMPRODUCT(DB_STProjectsSOF[[#This Row],[Act01]:[Act12]],$P$3:$AA$3)/valUnits2</f>
        <v>2.8421709430404008E-17</v>
      </c>
      <c r="AK1296" s="34">
        <f>IF(DB_STProjectsSOF[[#This Row],[FY Plan]]&lt;&gt;0,DB_STProjectsSOF[[#This Row],[FY Actuals]]/DB_STProjectsSOF[[#This Row],[FY Plan]],1.000011000011)</f>
        <v>1.0000110000110001</v>
      </c>
    </row>
    <row r="1297" spans="1:37" hidden="1" x14ac:dyDescent="0.2">
      <c r="A1297">
        <f>SUBTOTAL(3,$B$6:B1297)</f>
        <v>0</v>
      </c>
      <c r="B1297" t="s">
        <v>526</v>
      </c>
      <c r="C1297" t="s">
        <v>367</v>
      </c>
      <c r="E1297">
        <v>1844.6279999999999</v>
      </c>
      <c r="F1297">
        <v>2216.7730000000001</v>
      </c>
      <c r="H1297">
        <v>152.49199999999999</v>
      </c>
      <c r="Q1297">
        <v>1883.31</v>
      </c>
      <c r="R1297">
        <v>2236.8399999999997</v>
      </c>
      <c r="T1297">
        <v>153.27000000000001</v>
      </c>
      <c r="AB1297" s="164">
        <v>40817</v>
      </c>
      <c r="AC1297" s="164">
        <v>41547</v>
      </c>
      <c r="AD1297" s="164">
        <v>41670</v>
      </c>
      <c r="AE1297" s="34">
        <f>SUMPRODUCT(DB_STProjectsSOF[[#This Row],[Plan01]:[Plan12]],$D$4:$O$4)/valUnits2</f>
        <v>4.2138929999999997</v>
      </c>
      <c r="AF1297" s="34">
        <f>SUMPRODUCT(DB_STProjectsSOF[[#This Row],[Act01]:[Act12]],$P$4:$AA$4)/valUnits2</f>
        <v>4.2734199999999998</v>
      </c>
      <c r="AG1297" s="34">
        <f>DB_STProjectsSOF[[#This Row],[Actual]]-DB_STProjectsSOF[[#This Row],[Plan]]</f>
        <v>5.9527000000000108E-2</v>
      </c>
      <c r="AH1297" s="34">
        <f>IF(DB_STProjectsSOF[[#This Row],[Plan]]&lt;&gt;0,DB_STProjectsSOF[[#This Row],[Actual]]/DB_STProjectsSOF[[#This Row],[Plan]],1.000011000011)</f>
        <v>1.0141263672333398</v>
      </c>
      <c r="AI1297" s="34">
        <f>SUM(DB_STProjectsSOF[[#This Row],[Plan01]:[Plan12]])/valUnits2</f>
        <v>4.2138929999999997</v>
      </c>
      <c r="AJ1297" s="34">
        <f>SUMPRODUCT(DB_STProjectsSOF[[#This Row],[Act01]:[Act12]],$P$3:$AA$3)/valUnits2</f>
        <v>4.2734199999999998</v>
      </c>
      <c r="AK1297" s="34">
        <f>IF(DB_STProjectsSOF[[#This Row],[FY Plan]]&lt;&gt;0,DB_STProjectsSOF[[#This Row],[FY Actuals]]/DB_STProjectsSOF[[#This Row],[FY Plan]],1.000011000011)</f>
        <v>1.0141263672333398</v>
      </c>
    </row>
    <row r="1298" spans="1:37" hidden="1" x14ac:dyDescent="0.2">
      <c r="A1298">
        <f>SUBTOTAL(3,$B$6:B1298)</f>
        <v>0</v>
      </c>
      <c r="B1298" t="s">
        <v>526</v>
      </c>
      <c r="C1298" t="s">
        <v>856</v>
      </c>
      <c r="D1298">
        <v>3311.8879999999995</v>
      </c>
      <c r="E1298">
        <v>3356.1280000000002</v>
      </c>
      <c r="F1298">
        <v>2629.1320000000005</v>
      </c>
      <c r="G1298">
        <v>11687.894000000002</v>
      </c>
      <c r="H1298">
        <v>1847.1709999999998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3131.25</v>
      </c>
      <c r="Q1298">
        <v>3245.46</v>
      </c>
      <c r="R1298">
        <v>2539.64</v>
      </c>
      <c r="S1298">
        <v>11344.93</v>
      </c>
      <c r="T1298">
        <v>1807.8700000000001</v>
      </c>
      <c r="U1298">
        <v>817.74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 s="164">
        <v>40817</v>
      </c>
      <c r="AC1298" s="164">
        <v>42338</v>
      </c>
      <c r="AD1298" s="164">
        <v>42490</v>
      </c>
      <c r="AE1298" s="34">
        <f>SUMPRODUCT(DB_STProjectsSOF[[#This Row],[Plan01]:[Plan12]],$D$4:$O$4)/valUnits2</f>
        <v>22.832212999999999</v>
      </c>
      <c r="AF1298" s="34">
        <f>SUMPRODUCT(DB_STProjectsSOF[[#This Row],[Act01]:[Act12]],$P$4:$AA$4)/valUnits2</f>
        <v>22.886890000000001</v>
      </c>
      <c r="AG1298" s="34">
        <f>DB_STProjectsSOF[[#This Row],[Actual]]-DB_STProjectsSOF[[#This Row],[Plan]]</f>
        <v>5.4677000000001641E-2</v>
      </c>
      <c r="AH1298" s="34">
        <f>IF(DB_STProjectsSOF[[#This Row],[Plan]]&lt;&gt;0,DB_STProjectsSOF[[#This Row],[Actual]]/DB_STProjectsSOF[[#This Row],[Plan]],1.000011000011)</f>
        <v>1.0023947306378056</v>
      </c>
      <c r="AI1298" s="34">
        <f>SUM(DB_STProjectsSOF[[#This Row],[Plan01]:[Plan12]])/valUnits2</f>
        <v>22.832212999999999</v>
      </c>
      <c r="AJ1298" s="34">
        <f>SUMPRODUCT(DB_STProjectsSOF[[#This Row],[Act01]:[Act12]],$P$3:$AA$3)/valUnits2</f>
        <v>22.886890000000001</v>
      </c>
      <c r="AK1298" s="34">
        <f>IF(DB_STProjectsSOF[[#This Row],[FY Plan]]&lt;&gt;0,DB_STProjectsSOF[[#This Row],[FY Actuals]]/DB_STProjectsSOF[[#This Row],[FY Plan]],1.000011000011)</f>
        <v>1.0023947306378056</v>
      </c>
    </row>
    <row r="1299" spans="1:37" hidden="1" x14ac:dyDescent="0.2">
      <c r="A1299">
        <f>SUBTOTAL(3,$B$6:B1299)</f>
        <v>0</v>
      </c>
      <c r="B1299" t="s">
        <v>526</v>
      </c>
      <c r="C1299" t="s">
        <v>857</v>
      </c>
      <c r="D1299">
        <v>0</v>
      </c>
      <c r="E1299">
        <v>5789.56</v>
      </c>
      <c r="F1299">
        <v>582</v>
      </c>
      <c r="H1299">
        <v>-6953.56</v>
      </c>
      <c r="P1299">
        <v>0</v>
      </c>
      <c r="Q1299">
        <v>5789.56</v>
      </c>
      <c r="R1299">
        <v>582</v>
      </c>
      <c r="T1299">
        <v>-6953.5599999999995</v>
      </c>
      <c r="AB1299" s="164">
        <v>40909</v>
      </c>
      <c r="AC1299" s="164">
        <v>41274</v>
      </c>
      <c r="AD1299" s="164">
        <v>41364</v>
      </c>
      <c r="AE1299" s="34">
        <f>SUMPRODUCT(DB_STProjectsSOF[[#This Row],[Plan01]:[Plan12]],$D$4:$O$4)/valUnits2</f>
        <v>-0.58199999999999996</v>
      </c>
      <c r="AF1299" s="34">
        <f>SUMPRODUCT(DB_STProjectsSOF[[#This Row],[Act01]:[Act12]],$P$4:$AA$4)/valUnits2</f>
        <v>-0.58199999999999907</v>
      </c>
      <c r="AG1299" s="34">
        <f>DB_STProjectsSOF[[#This Row],[Actual]]-DB_STProjectsSOF[[#This Row],[Plan]]</f>
        <v>8.8817841970012523E-16</v>
      </c>
      <c r="AH1299" s="34">
        <f>IF(DB_STProjectsSOF[[#This Row],[Plan]]&lt;&gt;0,DB_STProjectsSOF[[#This Row],[Actual]]/DB_STProjectsSOF[[#This Row],[Plan]],1.000011000011)</f>
        <v>0.99999999999999845</v>
      </c>
      <c r="AI1299" s="34">
        <f>SUM(DB_STProjectsSOF[[#This Row],[Plan01]:[Plan12]])/valUnits2</f>
        <v>-0.58199999999999996</v>
      </c>
      <c r="AJ1299" s="34">
        <f>SUMPRODUCT(DB_STProjectsSOF[[#This Row],[Act01]:[Act12]],$P$3:$AA$3)/valUnits2</f>
        <v>-0.58199999999999907</v>
      </c>
      <c r="AK1299" s="34">
        <f>IF(DB_STProjectsSOF[[#This Row],[FY Plan]]&lt;&gt;0,DB_STProjectsSOF[[#This Row],[FY Actuals]]/DB_STProjectsSOF[[#This Row],[FY Plan]],1.000011000011)</f>
        <v>0.99999999999999845</v>
      </c>
    </row>
    <row r="1300" spans="1:37" hidden="1" x14ac:dyDescent="0.2">
      <c r="A1300">
        <f>SUBTOTAL(3,$B$6:B1300)</f>
        <v>0</v>
      </c>
      <c r="B1300" t="s">
        <v>526</v>
      </c>
      <c r="C1300" t="s">
        <v>858</v>
      </c>
      <c r="E1300">
        <v>4251.2199999999993</v>
      </c>
      <c r="F1300">
        <v>2086.1999999999998</v>
      </c>
      <c r="G1300">
        <v>4197.08</v>
      </c>
      <c r="H1300">
        <v>2309.3800000000006</v>
      </c>
      <c r="I1300">
        <v>0</v>
      </c>
      <c r="Q1300">
        <v>4251.2199999999993</v>
      </c>
      <c r="R1300">
        <v>2086.1999999999998</v>
      </c>
      <c r="S1300">
        <v>4197.08</v>
      </c>
      <c r="T1300">
        <v>2309.38</v>
      </c>
      <c r="U1300">
        <v>4054.87</v>
      </c>
      <c r="AB1300" s="164">
        <v>41275</v>
      </c>
      <c r="AC1300" s="164">
        <v>41639</v>
      </c>
      <c r="AD1300" s="164">
        <v>41784</v>
      </c>
      <c r="AE1300" s="34">
        <f>SUMPRODUCT(DB_STProjectsSOF[[#This Row],[Plan01]:[Plan12]],$D$4:$O$4)/valUnits2</f>
        <v>12.84388</v>
      </c>
      <c r="AF1300" s="34">
        <f>SUMPRODUCT(DB_STProjectsSOF[[#This Row],[Act01]:[Act12]],$P$4:$AA$4)/valUnits2</f>
        <v>16.89875</v>
      </c>
      <c r="AG1300" s="34">
        <f>DB_STProjectsSOF[[#This Row],[Actual]]-DB_STProjectsSOF[[#This Row],[Plan]]</f>
        <v>4.0548699999999993</v>
      </c>
      <c r="AH1300" s="34">
        <f>IF(DB_STProjectsSOF[[#This Row],[Plan]]&lt;&gt;0,DB_STProjectsSOF[[#This Row],[Actual]]/DB_STProjectsSOF[[#This Row],[Plan]],1.000011000011)</f>
        <v>1.315704444451365</v>
      </c>
      <c r="AI1300" s="34">
        <f>SUM(DB_STProjectsSOF[[#This Row],[Plan01]:[Plan12]])/valUnits2</f>
        <v>12.84388</v>
      </c>
      <c r="AJ1300" s="34">
        <f>SUMPRODUCT(DB_STProjectsSOF[[#This Row],[Act01]:[Act12]],$P$3:$AA$3)/valUnits2</f>
        <v>16.89875</v>
      </c>
      <c r="AK1300" s="34">
        <f>IF(DB_STProjectsSOF[[#This Row],[FY Plan]]&lt;&gt;0,DB_STProjectsSOF[[#This Row],[FY Actuals]]/DB_STProjectsSOF[[#This Row],[FY Plan]],1.000011000011)</f>
        <v>1.315704444451365</v>
      </c>
    </row>
    <row r="1301" spans="1:37" hidden="1" x14ac:dyDescent="0.2">
      <c r="A1301">
        <f>SUBTOTAL(3,$B$6:B1301)</f>
        <v>0</v>
      </c>
      <c r="B1301" t="s">
        <v>526</v>
      </c>
      <c r="C1301" t="s">
        <v>860</v>
      </c>
      <c r="E1301">
        <v>34.010000000000005</v>
      </c>
      <c r="F1301">
        <v>1.7300000000000004</v>
      </c>
      <c r="H1301">
        <v>1.43</v>
      </c>
      <c r="I1301">
        <v>0</v>
      </c>
      <c r="Q1301">
        <v>34.010000000000005</v>
      </c>
      <c r="R1301">
        <v>1.7300000000000006</v>
      </c>
      <c r="T1301">
        <v>1.43</v>
      </c>
      <c r="U1301">
        <v>23.52</v>
      </c>
      <c r="AB1301" s="164">
        <v>40969</v>
      </c>
      <c r="AC1301" s="164">
        <v>42643</v>
      </c>
      <c r="AD1301" s="164">
        <v>42704</v>
      </c>
      <c r="AE1301" s="34">
        <f>SUMPRODUCT(DB_STProjectsSOF[[#This Row],[Plan01]:[Plan12]],$D$4:$O$4)/valUnits2</f>
        <v>3.7170000000000009E-2</v>
      </c>
      <c r="AF1301" s="34">
        <f>SUMPRODUCT(DB_STProjectsSOF[[#This Row],[Act01]:[Act12]],$P$4:$AA$4)/valUnits2</f>
        <v>6.0690000000000015E-2</v>
      </c>
      <c r="AG1301" s="34">
        <f>DB_STProjectsSOF[[#This Row],[Actual]]-DB_STProjectsSOF[[#This Row],[Plan]]</f>
        <v>2.3520000000000006E-2</v>
      </c>
      <c r="AH1301" s="34">
        <f>IF(DB_STProjectsSOF[[#This Row],[Plan]]&lt;&gt;0,DB_STProjectsSOF[[#This Row],[Actual]]/DB_STProjectsSOF[[#This Row],[Plan]],1.000011000011)</f>
        <v>1.6327683615819208</v>
      </c>
      <c r="AI1301" s="34">
        <f>SUM(DB_STProjectsSOF[[#This Row],[Plan01]:[Plan12]])/valUnits2</f>
        <v>3.7170000000000009E-2</v>
      </c>
      <c r="AJ1301" s="34">
        <f>SUMPRODUCT(DB_STProjectsSOF[[#This Row],[Act01]:[Act12]],$P$3:$AA$3)/valUnits2</f>
        <v>6.0690000000000015E-2</v>
      </c>
      <c r="AK1301" s="34">
        <f>IF(DB_STProjectsSOF[[#This Row],[FY Plan]]&lt;&gt;0,DB_STProjectsSOF[[#This Row],[FY Actuals]]/DB_STProjectsSOF[[#This Row],[FY Plan]],1.000011000011)</f>
        <v>1.6327683615819208</v>
      </c>
    </row>
    <row r="1302" spans="1:37" hidden="1" x14ac:dyDescent="0.2">
      <c r="A1302">
        <f>SUBTOTAL(3,$B$6:B1302)</f>
        <v>0</v>
      </c>
      <c r="B1302" t="s">
        <v>526</v>
      </c>
      <c r="C1302" t="s">
        <v>862</v>
      </c>
      <c r="E1302">
        <v>1317.3430000000001</v>
      </c>
      <c r="F1302">
        <v>656.83400000000006</v>
      </c>
      <c r="G1302">
        <v>1510.954</v>
      </c>
      <c r="H1302">
        <v>178.346</v>
      </c>
      <c r="I1302">
        <v>1025.2429999999999</v>
      </c>
      <c r="J1302">
        <v>1025.2429999999999</v>
      </c>
      <c r="K1302">
        <v>1025.2429999999999</v>
      </c>
      <c r="L1302">
        <v>1025.2429999999999</v>
      </c>
      <c r="M1302">
        <v>1025.2429999999999</v>
      </c>
      <c r="N1302">
        <v>1025.2429999999999</v>
      </c>
      <c r="O1302">
        <v>1025.2429999999999</v>
      </c>
      <c r="Q1302">
        <v>1322.56</v>
      </c>
      <c r="R1302">
        <v>665.1</v>
      </c>
      <c r="S1302">
        <v>1518.5700000000002</v>
      </c>
      <c r="T1302">
        <v>179.4</v>
      </c>
      <c r="U1302">
        <v>-3682.2799999999997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 s="164">
        <v>41275</v>
      </c>
      <c r="AC1302" s="164">
        <v>41639</v>
      </c>
      <c r="AD1302" s="164">
        <v>3</v>
      </c>
      <c r="AE1302" s="34">
        <f>SUMPRODUCT(DB_STProjectsSOF[[#This Row],[Plan01]:[Plan12]],$D$4:$O$4)/valUnits2</f>
        <v>4.68872</v>
      </c>
      <c r="AF1302" s="34">
        <f>SUMPRODUCT(DB_STProjectsSOF[[#This Row],[Act01]:[Act12]],$P$4:$AA$4)/valUnits2</f>
        <v>3.350000000000364E-3</v>
      </c>
      <c r="AG1302" s="34">
        <f>DB_STProjectsSOF[[#This Row],[Actual]]-DB_STProjectsSOF[[#This Row],[Plan]]</f>
        <v>-4.6853699999999998</v>
      </c>
      <c r="AH1302" s="34">
        <f>IF(DB_STProjectsSOF[[#This Row],[Plan]]&lt;&gt;0,DB_STProjectsSOF[[#This Row],[Actual]]/DB_STProjectsSOF[[#This Row],[Plan]],1.000011000011)</f>
        <v>7.1448071115365471E-4</v>
      </c>
      <c r="AI1302" s="34">
        <f>SUM(DB_STProjectsSOF[[#This Row],[Plan01]:[Plan12]])/valUnits2</f>
        <v>10.840178000000002</v>
      </c>
      <c r="AJ1302" s="34">
        <f>SUMPRODUCT(DB_STProjectsSOF[[#This Row],[Act01]:[Act12]],$P$3:$AA$3)/valUnits2</f>
        <v>3.350000000000364E-3</v>
      </c>
      <c r="AK1302" s="34">
        <f>IF(DB_STProjectsSOF[[#This Row],[FY Plan]]&lt;&gt;0,DB_STProjectsSOF[[#This Row],[FY Actuals]]/DB_STProjectsSOF[[#This Row],[FY Plan]],1.000011000011)</f>
        <v>3.090355158375041E-4</v>
      </c>
    </row>
    <row r="1303" spans="1:37" hidden="1" x14ac:dyDescent="0.2">
      <c r="A1303">
        <f>SUBTOTAL(3,$B$6:B1303)</f>
        <v>0</v>
      </c>
      <c r="B1303" t="s">
        <v>526</v>
      </c>
      <c r="C1303" t="s">
        <v>866</v>
      </c>
      <c r="D1303">
        <v>231.53</v>
      </c>
      <c r="E1303">
        <v>8854.83</v>
      </c>
      <c r="F1303">
        <v>5756.85</v>
      </c>
      <c r="G1303">
        <v>-3838.9599999999996</v>
      </c>
      <c r="H1303">
        <v>4016.15</v>
      </c>
      <c r="I1303">
        <v>5555.5560000000005</v>
      </c>
      <c r="J1303">
        <v>5555.5560000000005</v>
      </c>
      <c r="K1303">
        <v>5555.5560000000005</v>
      </c>
      <c r="L1303">
        <v>5555.5560000000005</v>
      </c>
      <c r="P1303">
        <v>231.53</v>
      </c>
      <c r="Q1303">
        <v>8854.83</v>
      </c>
      <c r="R1303">
        <v>5756.85</v>
      </c>
      <c r="S1303">
        <v>-3838.9600000000009</v>
      </c>
      <c r="T1303">
        <v>4016.1500000000005</v>
      </c>
      <c r="U1303">
        <v>6442.48</v>
      </c>
      <c r="V1303">
        <v>0</v>
      </c>
      <c r="W1303">
        <v>0</v>
      </c>
      <c r="X1303">
        <v>0</v>
      </c>
      <c r="AB1303" s="164">
        <v>41275</v>
      </c>
      <c r="AC1303" s="164">
        <v>41639</v>
      </c>
      <c r="AD1303" s="164">
        <v>41760</v>
      </c>
      <c r="AE1303" s="34">
        <f>SUMPRODUCT(DB_STProjectsSOF[[#This Row],[Plan01]:[Plan12]],$D$4:$O$4)/valUnits2</f>
        <v>20.575956000000001</v>
      </c>
      <c r="AF1303" s="34">
        <f>SUMPRODUCT(DB_STProjectsSOF[[#This Row],[Act01]:[Act12]],$P$4:$AA$4)/valUnits2</f>
        <v>21.462880000000002</v>
      </c>
      <c r="AG1303" s="34">
        <f>DB_STProjectsSOF[[#This Row],[Actual]]-DB_STProjectsSOF[[#This Row],[Plan]]</f>
        <v>0.88692400000000049</v>
      </c>
      <c r="AH1303" s="34">
        <f>IF(DB_STProjectsSOF[[#This Row],[Plan]]&lt;&gt;0,DB_STProjectsSOF[[#This Row],[Actual]]/DB_STProjectsSOF[[#This Row],[Plan]],1.000011000011)</f>
        <v>1.04310487444666</v>
      </c>
      <c r="AI1303" s="34">
        <f>SUM(DB_STProjectsSOF[[#This Row],[Plan01]:[Plan12]])/valUnits2</f>
        <v>37.242624000000006</v>
      </c>
      <c r="AJ1303" s="34">
        <f>SUMPRODUCT(DB_STProjectsSOF[[#This Row],[Act01]:[Act12]],$P$3:$AA$3)/valUnits2</f>
        <v>21.462880000000002</v>
      </c>
      <c r="AK1303" s="34">
        <f>IF(DB_STProjectsSOF[[#This Row],[FY Plan]]&lt;&gt;0,DB_STProjectsSOF[[#This Row],[FY Actuals]]/DB_STProjectsSOF[[#This Row],[FY Plan]],1.000011000011)</f>
        <v>0.57629881288708329</v>
      </c>
    </row>
    <row r="1304" spans="1:37" hidden="1" x14ac:dyDescent="0.2">
      <c r="A1304">
        <f>SUBTOTAL(3,$B$6:B1304)</f>
        <v>0</v>
      </c>
      <c r="B1304" t="s">
        <v>526</v>
      </c>
      <c r="C1304" t="s">
        <v>869</v>
      </c>
      <c r="D1304">
        <v>906.89</v>
      </c>
      <c r="E1304">
        <v>5202.9599999999991</v>
      </c>
      <c r="F1304">
        <v>5569.579999999999</v>
      </c>
      <c r="G1304">
        <v>4192.67</v>
      </c>
      <c r="H1304">
        <v>2468.5900000000006</v>
      </c>
      <c r="I1304">
        <v>0</v>
      </c>
      <c r="P1304">
        <v>906.89</v>
      </c>
      <c r="Q1304">
        <v>5202.9599999999991</v>
      </c>
      <c r="R1304">
        <v>5569.579999999999</v>
      </c>
      <c r="S1304">
        <v>4192.67</v>
      </c>
      <c r="T1304">
        <v>2468.59</v>
      </c>
      <c r="U1304">
        <v>4342.3100000000004</v>
      </c>
      <c r="AB1304" s="164">
        <v>40817</v>
      </c>
      <c r="AC1304" s="164">
        <v>42155</v>
      </c>
      <c r="AD1304" s="164">
        <v>42217</v>
      </c>
      <c r="AE1304" s="34">
        <f>SUMPRODUCT(DB_STProjectsSOF[[#This Row],[Plan01]:[Plan12]],$D$4:$O$4)/valUnits2</f>
        <v>18.340689999999999</v>
      </c>
      <c r="AF1304" s="34">
        <f>SUMPRODUCT(DB_STProjectsSOF[[#This Row],[Act01]:[Act12]],$P$4:$AA$4)/valUnits2</f>
        <v>22.683</v>
      </c>
      <c r="AG1304" s="34">
        <f>DB_STProjectsSOF[[#This Row],[Actual]]-DB_STProjectsSOF[[#This Row],[Plan]]</f>
        <v>4.3423100000000012</v>
      </c>
      <c r="AH1304" s="34">
        <f>IF(DB_STProjectsSOF[[#This Row],[Plan]]&lt;&gt;0,DB_STProjectsSOF[[#This Row],[Actual]]/DB_STProjectsSOF[[#This Row],[Plan]],1.000011000011)</f>
        <v>1.2367582680913314</v>
      </c>
      <c r="AI1304" s="34">
        <f>SUM(DB_STProjectsSOF[[#This Row],[Plan01]:[Plan12]])/valUnits2</f>
        <v>18.340689999999999</v>
      </c>
      <c r="AJ1304" s="34">
        <f>SUMPRODUCT(DB_STProjectsSOF[[#This Row],[Act01]:[Act12]],$P$3:$AA$3)/valUnits2</f>
        <v>22.683</v>
      </c>
      <c r="AK1304" s="34">
        <f>IF(DB_STProjectsSOF[[#This Row],[FY Plan]]&lt;&gt;0,DB_STProjectsSOF[[#This Row],[FY Actuals]]/DB_STProjectsSOF[[#This Row],[FY Plan]],1.000011000011)</f>
        <v>1.2367582680913314</v>
      </c>
    </row>
    <row r="1305" spans="1:37" hidden="1" x14ac:dyDescent="0.2">
      <c r="A1305">
        <f>SUBTOTAL(3,$B$6:B1305)</f>
        <v>0</v>
      </c>
      <c r="B1305" t="s">
        <v>526</v>
      </c>
      <c r="C1305" t="s">
        <v>872</v>
      </c>
      <c r="H1305">
        <v>88.274000000000001</v>
      </c>
      <c r="T1305">
        <v>88.1</v>
      </c>
      <c r="AB1305" s="164">
        <v>41275</v>
      </c>
      <c r="AC1305" s="164">
        <v>41639</v>
      </c>
      <c r="AD1305" s="164">
        <v>41669</v>
      </c>
      <c r="AE1305" s="34">
        <f>SUMPRODUCT(DB_STProjectsSOF[[#This Row],[Plan01]:[Plan12]],$D$4:$O$4)/valUnits2</f>
        <v>8.8274000000000005E-2</v>
      </c>
      <c r="AF1305" s="34">
        <f>SUMPRODUCT(DB_STProjectsSOF[[#This Row],[Act01]:[Act12]],$P$4:$AA$4)/valUnits2</f>
        <v>8.8099999999999998E-2</v>
      </c>
      <c r="AG1305" s="34">
        <f>DB_STProjectsSOF[[#This Row],[Actual]]-DB_STProjectsSOF[[#This Row],[Plan]]</f>
        <v>-1.7400000000000748E-4</v>
      </c>
      <c r="AH1305" s="34">
        <f>IF(DB_STProjectsSOF[[#This Row],[Plan]]&lt;&gt;0,DB_STProjectsSOF[[#This Row],[Actual]]/DB_STProjectsSOF[[#This Row],[Plan]],1.000011000011)</f>
        <v>0.99802886467136409</v>
      </c>
      <c r="AI1305" s="34">
        <f>SUM(DB_STProjectsSOF[[#This Row],[Plan01]:[Plan12]])/valUnits2</f>
        <v>8.8274000000000005E-2</v>
      </c>
      <c r="AJ1305" s="34">
        <f>SUMPRODUCT(DB_STProjectsSOF[[#This Row],[Act01]:[Act12]],$P$3:$AA$3)/valUnits2</f>
        <v>8.8099999999999998E-2</v>
      </c>
      <c r="AK1305" s="34">
        <f>IF(DB_STProjectsSOF[[#This Row],[FY Plan]]&lt;&gt;0,DB_STProjectsSOF[[#This Row],[FY Actuals]]/DB_STProjectsSOF[[#This Row],[FY Plan]],1.000011000011)</f>
        <v>0.99802886467136409</v>
      </c>
    </row>
    <row r="1306" spans="1:37" hidden="1" x14ac:dyDescent="0.2">
      <c r="A1306">
        <f>SUBTOTAL(3,$B$6:B1306)</f>
        <v>0</v>
      </c>
      <c r="B1306" t="s">
        <v>526</v>
      </c>
      <c r="C1306" t="s">
        <v>874</v>
      </c>
      <c r="D1306">
        <v>0</v>
      </c>
      <c r="E1306">
        <v>2045.9449999999999</v>
      </c>
      <c r="F1306">
        <v>1033.742</v>
      </c>
      <c r="G1306">
        <v>2123.2020000000002</v>
      </c>
      <c r="H1306">
        <v>1121.423</v>
      </c>
      <c r="I1306">
        <v>371.988</v>
      </c>
      <c r="J1306">
        <v>371.988</v>
      </c>
      <c r="K1306">
        <v>371.988</v>
      </c>
      <c r="L1306">
        <v>371.988</v>
      </c>
      <c r="M1306">
        <v>371.988</v>
      </c>
      <c r="N1306">
        <v>371.988</v>
      </c>
      <c r="O1306">
        <v>371.988</v>
      </c>
      <c r="P1306">
        <v>0</v>
      </c>
      <c r="Q1306">
        <v>2086.1999999999998</v>
      </c>
      <c r="R1306">
        <v>1043.0999999999999</v>
      </c>
      <c r="S1306">
        <v>2098.52</v>
      </c>
      <c r="T1306">
        <v>1108.18</v>
      </c>
      <c r="U1306">
        <v>2027.44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 s="164">
        <v>40879</v>
      </c>
      <c r="AC1306" s="164">
        <v>43071</v>
      </c>
      <c r="AD1306" s="164">
        <v>43161</v>
      </c>
      <c r="AE1306" s="34">
        <f>SUMPRODUCT(DB_STProjectsSOF[[#This Row],[Plan01]:[Plan12]],$D$4:$O$4)/valUnits2</f>
        <v>6.6962999999999999</v>
      </c>
      <c r="AF1306" s="34">
        <f>SUMPRODUCT(DB_STProjectsSOF[[#This Row],[Act01]:[Act12]],$P$4:$AA$4)/valUnits2</f>
        <v>8.3634400000000007</v>
      </c>
      <c r="AG1306" s="34">
        <f>DB_STProjectsSOF[[#This Row],[Actual]]-DB_STProjectsSOF[[#This Row],[Plan]]</f>
        <v>1.6671400000000007</v>
      </c>
      <c r="AH1306" s="34">
        <f>IF(DB_STProjectsSOF[[#This Row],[Plan]]&lt;&gt;0,DB_STProjectsSOF[[#This Row],[Actual]]/DB_STProjectsSOF[[#This Row],[Plan]],1.000011000011)</f>
        <v>1.2489643534489197</v>
      </c>
      <c r="AI1306" s="34">
        <f>SUM(DB_STProjectsSOF[[#This Row],[Plan01]:[Plan12]])/valUnits2</f>
        <v>8.9282280000000007</v>
      </c>
      <c r="AJ1306" s="34">
        <f>SUMPRODUCT(DB_STProjectsSOF[[#This Row],[Act01]:[Act12]],$P$3:$AA$3)/valUnits2</f>
        <v>8.3634400000000007</v>
      </c>
      <c r="AK1306" s="34">
        <f>IF(DB_STProjectsSOF[[#This Row],[FY Plan]]&lt;&gt;0,DB_STProjectsSOF[[#This Row],[FY Actuals]]/DB_STProjectsSOF[[#This Row],[FY Plan]],1.000011000011)</f>
        <v>0.93674131081777934</v>
      </c>
    </row>
    <row r="1307" spans="1:37" hidden="1" x14ac:dyDescent="0.2">
      <c r="A1307">
        <f>SUBTOTAL(3,$B$6:B1307)</f>
        <v>0</v>
      </c>
      <c r="B1307" t="s">
        <v>526</v>
      </c>
      <c r="C1307" t="s">
        <v>876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142.07999999999998</v>
      </c>
      <c r="J1307">
        <v>142.07999999999998</v>
      </c>
      <c r="K1307">
        <v>142.07999999999998</v>
      </c>
      <c r="L1307">
        <v>142.07999999999998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AB1307" s="164">
        <v>40817</v>
      </c>
      <c r="AC1307" s="164">
        <v>41820</v>
      </c>
      <c r="AD1307" s="164">
        <v>41835</v>
      </c>
      <c r="AE1307" s="34">
        <f>SUMPRODUCT(DB_STProjectsSOF[[#This Row],[Plan01]:[Plan12]],$D$4:$O$4)/valUnits2</f>
        <v>0.14207999999999998</v>
      </c>
      <c r="AF1307" s="34">
        <f>SUMPRODUCT(DB_STProjectsSOF[[#This Row],[Act01]:[Act12]],$P$4:$AA$4)/valUnits2</f>
        <v>0</v>
      </c>
      <c r="AG1307" s="34">
        <f>DB_STProjectsSOF[[#This Row],[Actual]]-DB_STProjectsSOF[[#This Row],[Plan]]</f>
        <v>-0.14207999999999998</v>
      </c>
      <c r="AH1307" s="34">
        <f>IF(DB_STProjectsSOF[[#This Row],[Plan]]&lt;&gt;0,DB_STProjectsSOF[[#This Row],[Actual]]/DB_STProjectsSOF[[#This Row],[Plan]],1.000011000011)</f>
        <v>0</v>
      </c>
      <c r="AI1307" s="34">
        <f>SUM(DB_STProjectsSOF[[#This Row],[Plan01]:[Plan12]])/valUnits2</f>
        <v>0.56831999999999994</v>
      </c>
      <c r="AJ1307" s="34">
        <f>SUMPRODUCT(DB_STProjectsSOF[[#This Row],[Act01]:[Act12]],$P$3:$AA$3)/valUnits2</f>
        <v>0</v>
      </c>
      <c r="AK1307" s="34">
        <f>IF(DB_STProjectsSOF[[#This Row],[FY Plan]]&lt;&gt;0,DB_STProjectsSOF[[#This Row],[FY Actuals]]/DB_STProjectsSOF[[#This Row],[FY Plan]],1.000011000011)</f>
        <v>0</v>
      </c>
    </row>
    <row r="1308" spans="1:37" hidden="1" x14ac:dyDescent="0.2">
      <c r="A1308">
        <f>SUBTOTAL(3,$B$6:B1308)</f>
        <v>0</v>
      </c>
      <c r="B1308" t="s">
        <v>526</v>
      </c>
      <c r="C1308" t="s">
        <v>877</v>
      </c>
      <c r="H1308">
        <v>294.43900000000002</v>
      </c>
      <c r="I1308">
        <v>0</v>
      </c>
      <c r="T1308">
        <v>290.87</v>
      </c>
      <c r="U1308">
        <v>290.68</v>
      </c>
      <c r="AB1308" s="164">
        <v>40817</v>
      </c>
      <c r="AC1308" s="164">
        <v>41639</v>
      </c>
      <c r="AD1308" s="164">
        <v>41729</v>
      </c>
      <c r="AE1308" s="34">
        <f>SUMPRODUCT(DB_STProjectsSOF[[#This Row],[Plan01]:[Plan12]],$D$4:$O$4)/valUnits2</f>
        <v>0.29443900000000001</v>
      </c>
      <c r="AF1308" s="34">
        <f>SUMPRODUCT(DB_STProjectsSOF[[#This Row],[Act01]:[Act12]],$P$4:$AA$4)/valUnits2</f>
        <v>0.5815499999999999</v>
      </c>
      <c r="AG1308" s="34">
        <f>DB_STProjectsSOF[[#This Row],[Actual]]-DB_STProjectsSOF[[#This Row],[Plan]]</f>
        <v>0.28711099999999989</v>
      </c>
      <c r="AH1308" s="34">
        <f>IF(DB_STProjectsSOF[[#This Row],[Plan]]&lt;&gt;0,DB_STProjectsSOF[[#This Row],[Actual]]/DB_STProjectsSOF[[#This Row],[Plan]],1.000011000011)</f>
        <v>1.9751119926368446</v>
      </c>
      <c r="AI1308" s="34">
        <f>SUM(DB_STProjectsSOF[[#This Row],[Plan01]:[Plan12]])/valUnits2</f>
        <v>0.29443900000000001</v>
      </c>
      <c r="AJ1308" s="34">
        <f>SUMPRODUCT(DB_STProjectsSOF[[#This Row],[Act01]:[Act12]],$P$3:$AA$3)/valUnits2</f>
        <v>0.5815499999999999</v>
      </c>
      <c r="AK1308" s="34">
        <f>IF(DB_STProjectsSOF[[#This Row],[FY Plan]]&lt;&gt;0,DB_STProjectsSOF[[#This Row],[FY Actuals]]/DB_STProjectsSOF[[#This Row],[FY Plan]],1.000011000011)</f>
        <v>1.9751119926368446</v>
      </c>
    </row>
    <row r="1309" spans="1:37" hidden="1" x14ac:dyDescent="0.2">
      <c r="A1309">
        <f>SUBTOTAL(3,$B$6:B1309)</f>
        <v>0</v>
      </c>
      <c r="B1309" t="s">
        <v>526</v>
      </c>
      <c r="C1309" t="s">
        <v>883</v>
      </c>
      <c r="D1309">
        <v>1227.6289999999999</v>
      </c>
      <c r="G1309">
        <v>3255.2069999999999</v>
      </c>
      <c r="P1309">
        <v>1252.51</v>
      </c>
      <c r="S1309">
        <v>3212.95</v>
      </c>
      <c r="AB1309" s="164">
        <v>40940</v>
      </c>
      <c r="AC1309" s="164">
        <v>41639</v>
      </c>
      <c r="AD1309" s="164">
        <v>41698</v>
      </c>
      <c r="AE1309" s="34">
        <f>SUMPRODUCT(DB_STProjectsSOF[[#This Row],[Plan01]:[Plan12]],$D$4:$O$4)/valUnits2</f>
        <v>4.4828359999999989</v>
      </c>
      <c r="AF1309" s="34">
        <f>SUMPRODUCT(DB_STProjectsSOF[[#This Row],[Act01]:[Act12]],$P$4:$AA$4)/valUnits2</f>
        <v>4.4654600000000002</v>
      </c>
      <c r="AG1309" s="34">
        <f>DB_STProjectsSOF[[#This Row],[Actual]]-DB_STProjectsSOF[[#This Row],[Plan]]</f>
        <v>-1.7375999999998726E-2</v>
      </c>
      <c r="AH1309" s="34">
        <f>IF(DB_STProjectsSOF[[#This Row],[Plan]]&lt;&gt;0,DB_STProjectsSOF[[#This Row],[Actual]]/DB_STProjectsSOF[[#This Row],[Plan]],1.000011000011)</f>
        <v>0.99612388229237059</v>
      </c>
      <c r="AI1309" s="34">
        <f>SUM(DB_STProjectsSOF[[#This Row],[Plan01]:[Plan12]])/valUnits2</f>
        <v>4.4828359999999989</v>
      </c>
      <c r="AJ1309" s="34">
        <f>SUMPRODUCT(DB_STProjectsSOF[[#This Row],[Act01]:[Act12]],$P$3:$AA$3)/valUnits2</f>
        <v>4.4654600000000002</v>
      </c>
      <c r="AK1309" s="34">
        <f>IF(DB_STProjectsSOF[[#This Row],[FY Plan]]&lt;&gt;0,DB_STProjectsSOF[[#This Row],[FY Actuals]]/DB_STProjectsSOF[[#This Row],[FY Plan]],1.000011000011)</f>
        <v>0.99612388229237059</v>
      </c>
    </row>
    <row r="1310" spans="1:37" hidden="1" x14ac:dyDescent="0.2">
      <c r="A1310">
        <f>SUBTOTAL(3,$B$6:B1310)</f>
        <v>0</v>
      </c>
      <c r="B1310" t="s">
        <v>526</v>
      </c>
      <c r="C1310" t="s">
        <v>884</v>
      </c>
      <c r="D1310">
        <v>1075</v>
      </c>
      <c r="E1310">
        <v>1075</v>
      </c>
      <c r="F1310">
        <v>1075</v>
      </c>
      <c r="G1310">
        <v>1075</v>
      </c>
      <c r="H1310">
        <v>1075</v>
      </c>
      <c r="I1310">
        <v>1075</v>
      </c>
      <c r="J1310">
        <v>1075</v>
      </c>
      <c r="K1310">
        <v>1075</v>
      </c>
      <c r="L1310">
        <v>1075</v>
      </c>
      <c r="M1310">
        <v>1075</v>
      </c>
      <c r="N1310">
        <v>1075</v>
      </c>
      <c r="O1310">
        <v>1075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 s="164">
        <v>40909</v>
      </c>
      <c r="AC1310" s="164">
        <v>41274</v>
      </c>
      <c r="AD1310" s="164">
        <v>41364</v>
      </c>
      <c r="AE1310" s="34">
        <f>SUMPRODUCT(DB_STProjectsSOF[[#This Row],[Plan01]:[Plan12]],$D$4:$O$4)/valUnits2</f>
        <v>6.45</v>
      </c>
      <c r="AF1310" s="34">
        <f>SUMPRODUCT(DB_STProjectsSOF[[#This Row],[Act01]:[Act12]],$P$4:$AA$4)/valUnits2</f>
        <v>0</v>
      </c>
      <c r="AG1310" s="34">
        <f>DB_STProjectsSOF[[#This Row],[Actual]]-DB_STProjectsSOF[[#This Row],[Plan]]</f>
        <v>-6.45</v>
      </c>
      <c r="AH1310" s="34">
        <f>IF(DB_STProjectsSOF[[#This Row],[Plan]]&lt;&gt;0,DB_STProjectsSOF[[#This Row],[Actual]]/DB_STProjectsSOF[[#This Row],[Plan]],1.000011000011)</f>
        <v>0</v>
      </c>
      <c r="AI1310" s="34">
        <f>SUM(DB_STProjectsSOF[[#This Row],[Plan01]:[Plan12]])/valUnits2</f>
        <v>12.9</v>
      </c>
      <c r="AJ1310" s="34">
        <f>SUMPRODUCT(DB_STProjectsSOF[[#This Row],[Act01]:[Act12]],$P$3:$AA$3)/valUnits2</f>
        <v>0</v>
      </c>
      <c r="AK1310" s="34">
        <f>IF(DB_STProjectsSOF[[#This Row],[FY Plan]]&lt;&gt;0,DB_STProjectsSOF[[#This Row],[FY Actuals]]/DB_STProjectsSOF[[#This Row],[FY Plan]],1.000011000011)</f>
        <v>0</v>
      </c>
    </row>
    <row r="1311" spans="1:37" hidden="1" x14ac:dyDescent="0.2">
      <c r="A1311">
        <f>SUBTOTAL(3,$B$6:B1311)</f>
        <v>0</v>
      </c>
      <c r="B1311" t="s">
        <v>526</v>
      </c>
      <c r="C1311" t="s">
        <v>885</v>
      </c>
      <c r="F1311">
        <v>531.928</v>
      </c>
      <c r="G1311">
        <v>1.2789999999999999</v>
      </c>
      <c r="R1311">
        <v>508.89</v>
      </c>
      <c r="S1311">
        <v>1.29</v>
      </c>
      <c r="AB1311" s="164">
        <v>40817</v>
      </c>
      <c r="AC1311" s="164">
        <v>41639</v>
      </c>
      <c r="AD1311" s="164">
        <v>41820</v>
      </c>
      <c r="AE1311" s="34">
        <f>SUMPRODUCT(DB_STProjectsSOF[[#This Row],[Plan01]:[Plan12]],$D$4:$O$4)/valUnits2</f>
        <v>0.53320699999999999</v>
      </c>
      <c r="AF1311" s="34">
        <f>SUMPRODUCT(DB_STProjectsSOF[[#This Row],[Act01]:[Act12]],$P$4:$AA$4)/valUnits2</f>
        <v>0.51017999999999997</v>
      </c>
      <c r="AG1311" s="34">
        <f>DB_STProjectsSOF[[#This Row],[Actual]]-DB_STProjectsSOF[[#This Row],[Plan]]</f>
        <v>-2.302700000000002E-2</v>
      </c>
      <c r="AH1311" s="34">
        <f>IF(DB_STProjectsSOF[[#This Row],[Plan]]&lt;&gt;0,DB_STProjectsSOF[[#This Row],[Actual]]/DB_STProjectsSOF[[#This Row],[Plan]],1.000011000011)</f>
        <v>0.95681414535067988</v>
      </c>
      <c r="AI1311" s="34">
        <f>SUM(DB_STProjectsSOF[[#This Row],[Plan01]:[Plan12]])/valUnits2</f>
        <v>0.53320699999999999</v>
      </c>
      <c r="AJ1311" s="34">
        <f>SUMPRODUCT(DB_STProjectsSOF[[#This Row],[Act01]:[Act12]],$P$3:$AA$3)/valUnits2</f>
        <v>0.51017999999999997</v>
      </c>
      <c r="AK1311" s="34">
        <f>IF(DB_STProjectsSOF[[#This Row],[FY Plan]]&lt;&gt;0,DB_STProjectsSOF[[#This Row],[FY Actuals]]/DB_STProjectsSOF[[#This Row],[FY Plan]],1.000011000011)</f>
        <v>0.95681414535067988</v>
      </c>
    </row>
    <row r="1312" spans="1:37" hidden="1" x14ac:dyDescent="0.2">
      <c r="A1312">
        <f>SUBTOTAL(3,$B$6:B1312)</f>
        <v>0</v>
      </c>
      <c r="B1312" t="s">
        <v>526</v>
      </c>
      <c r="C1312" t="s">
        <v>890</v>
      </c>
      <c r="E1312">
        <v>0</v>
      </c>
      <c r="F1312">
        <v>0</v>
      </c>
      <c r="G1312">
        <v>0</v>
      </c>
      <c r="H1312">
        <v>0</v>
      </c>
      <c r="I1312">
        <v>534.71100000000001</v>
      </c>
      <c r="J1312">
        <v>534.71100000000001</v>
      </c>
      <c r="K1312">
        <v>534.71100000000001</v>
      </c>
      <c r="L1312">
        <v>534.71100000000001</v>
      </c>
      <c r="M1312">
        <v>534.71100000000001</v>
      </c>
      <c r="N1312">
        <v>534.71100000000001</v>
      </c>
      <c r="O1312">
        <v>534.71100000000001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 s="164">
        <v>40817</v>
      </c>
      <c r="AC1312" s="164">
        <v>41639</v>
      </c>
      <c r="AD1312" s="164">
        <v>41639</v>
      </c>
      <c r="AE1312" s="34">
        <f>SUMPRODUCT(DB_STProjectsSOF[[#This Row],[Plan01]:[Plan12]],$D$4:$O$4)/valUnits2</f>
        <v>0.53471100000000005</v>
      </c>
      <c r="AF1312" s="34">
        <f>SUMPRODUCT(DB_STProjectsSOF[[#This Row],[Act01]:[Act12]],$P$4:$AA$4)/valUnits2</f>
        <v>0</v>
      </c>
      <c r="AG1312" s="34">
        <f>DB_STProjectsSOF[[#This Row],[Actual]]-DB_STProjectsSOF[[#This Row],[Plan]]</f>
        <v>-0.53471100000000005</v>
      </c>
      <c r="AH1312" s="34">
        <f>IF(DB_STProjectsSOF[[#This Row],[Plan]]&lt;&gt;0,DB_STProjectsSOF[[#This Row],[Actual]]/DB_STProjectsSOF[[#This Row],[Plan]],1.000011000011)</f>
        <v>0</v>
      </c>
      <c r="AI1312" s="34">
        <f>SUM(DB_STProjectsSOF[[#This Row],[Plan01]:[Plan12]])/valUnits2</f>
        <v>3.7429770000000007</v>
      </c>
      <c r="AJ1312" s="34">
        <f>SUMPRODUCT(DB_STProjectsSOF[[#This Row],[Act01]:[Act12]],$P$3:$AA$3)/valUnits2</f>
        <v>0</v>
      </c>
      <c r="AK1312" s="34">
        <f>IF(DB_STProjectsSOF[[#This Row],[FY Plan]]&lt;&gt;0,DB_STProjectsSOF[[#This Row],[FY Actuals]]/DB_STProjectsSOF[[#This Row],[FY Plan]],1.000011000011)</f>
        <v>0</v>
      </c>
    </row>
    <row r="1313" spans="1:37" hidden="1" x14ac:dyDescent="0.2">
      <c r="A1313">
        <f>SUBTOTAL(3,$B$6:B1313)</f>
        <v>0</v>
      </c>
      <c r="B1313" t="s">
        <v>526</v>
      </c>
      <c r="C1313" t="s">
        <v>891</v>
      </c>
      <c r="I1313">
        <v>0</v>
      </c>
      <c r="U1313">
        <v>238.58</v>
      </c>
      <c r="AB1313" s="164">
        <v>41214</v>
      </c>
      <c r="AC1313" s="164">
        <v>42308</v>
      </c>
      <c r="AD1313" s="164">
        <v>42389</v>
      </c>
      <c r="AE1313" s="34">
        <f>SUMPRODUCT(DB_STProjectsSOF[[#This Row],[Plan01]:[Plan12]],$D$4:$O$4)/valUnits2</f>
        <v>0</v>
      </c>
      <c r="AF1313" s="34">
        <f>SUMPRODUCT(DB_STProjectsSOF[[#This Row],[Act01]:[Act12]],$P$4:$AA$4)/valUnits2</f>
        <v>0.23858000000000001</v>
      </c>
      <c r="AG1313" s="34">
        <f>DB_STProjectsSOF[[#This Row],[Actual]]-DB_STProjectsSOF[[#This Row],[Plan]]</f>
        <v>0.23858000000000001</v>
      </c>
      <c r="AH1313" s="34">
        <f>IF(DB_STProjectsSOF[[#This Row],[Plan]]&lt;&gt;0,DB_STProjectsSOF[[#This Row],[Actual]]/DB_STProjectsSOF[[#This Row],[Plan]],1.000011000011)</f>
        <v>1.0000110000110001</v>
      </c>
      <c r="AI1313" s="34">
        <f>SUM(DB_STProjectsSOF[[#This Row],[Plan01]:[Plan12]])/valUnits2</f>
        <v>0</v>
      </c>
      <c r="AJ1313" s="34">
        <f>SUMPRODUCT(DB_STProjectsSOF[[#This Row],[Act01]:[Act12]],$P$3:$AA$3)/valUnits2</f>
        <v>0.23858000000000001</v>
      </c>
      <c r="AK1313" s="34">
        <f>IF(DB_STProjectsSOF[[#This Row],[FY Plan]]&lt;&gt;0,DB_STProjectsSOF[[#This Row],[FY Actuals]]/DB_STProjectsSOF[[#This Row],[FY Plan]],1.000011000011)</f>
        <v>1.0000110000110001</v>
      </c>
    </row>
    <row r="1314" spans="1:37" hidden="1" x14ac:dyDescent="0.2">
      <c r="A1314">
        <f>SUBTOTAL(3,$B$6:B1314)</f>
        <v>0</v>
      </c>
      <c r="B1314" t="s">
        <v>526</v>
      </c>
      <c r="C1314" t="s">
        <v>895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31.491</v>
      </c>
      <c r="J1314">
        <v>31.491</v>
      </c>
      <c r="K1314">
        <v>31.491</v>
      </c>
      <c r="L1314">
        <v>31.491</v>
      </c>
      <c r="M1314">
        <v>31.491</v>
      </c>
      <c r="N1314">
        <v>31.491</v>
      </c>
      <c r="O1314">
        <v>31.491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 s="164">
        <v>40553</v>
      </c>
      <c r="AC1314" s="164">
        <v>41897</v>
      </c>
      <c r="AD1314" s="164">
        <v>41988</v>
      </c>
      <c r="AE1314" s="34">
        <f>SUMPRODUCT(DB_STProjectsSOF[[#This Row],[Plan01]:[Plan12]],$D$4:$O$4)/valUnits2</f>
        <v>3.1490999999999998E-2</v>
      </c>
      <c r="AF1314" s="34">
        <f>SUMPRODUCT(DB_STProjectsSOF[[#This Row],[Act01]:[Act12]],$P$4:$AA$4)/valUnits2</f>
        <v>0</v>
      </c>
      <c r="AG1314" s="34">
        <f>DB_STProjectsSOF[[#This Row],[Actual]]-DB_STProjectsSOF[[#This Row],[Plan]]</f>
        <v>-3.1490999999999998E-2</v>
      </c>
      <c r="AH1314" s="34">
        <f>IF(DB_STProjectsSOF[[#This Row],[Plan]]&lt;&gt;0,DB_STProjectsSOF[[#This Row],[Actual]]/DB_STProjectsSOF[[#This Row],[Plan]],1.000011000011)</f>
        <v>0</v>
      </c>
      <c r="AI1314" s="34">
        <f>SUM(DB_STProjectsSOF[[#This Row],[Plan01]:[Plan12]])/valUnits2</f>
        <v>0.22043699999999997</v>
      </c>
      <c r="AJ1314" s="34">
        <f>SUMPRODUCT(DB_STProjectsSOF[[#This Row],[Act01]:[Act12]],$P$3:$AA$3)/valUnits2</f>
        <v>0</v>
      </c>
      <c r="AK1314" s="34">
        <f>IF(DB_STProjectsSOF[[#This Row],[FY Plan]]&lt;&gt;0,DB_STProjectsSOF[[#This Row],[FY Actuals]]/DB_STProjectsSOF[[#This Row],[FY Plan]],1.000011000011)</f>
        <v>0</v>
      </c>
    </row>
    <row r="1315" spans="1:37" hidden="1" x14ac:dyDescent="0.2">
      <c r="A1315">
        <f>SUBTOTAL(3,$B$6:B1315)</f>
        <v>0</v>
      </c>
      <c r="B1315" t="s">
        <v>526</v>
      </c>
      <c r="C1315" t="s">
        <v>896</v>
      </c>
      <c r="D1315">
        <v>0</v>
      </c>
      <c r="E1315">
        <v>11.265000000000001</v>
      </c>
      <c r="F1315">
        <v>0</v>
      </c>
      <c r="G1315">
        <v>0</v>
      </c>
      <c r="H1315">
        <v>0</v>
      </c>
      <c r="I1315">
        <v>1070.2049999999999</v>
      </c>
      <c r="J1315">
        <v>1070.2049999999999</v>
      </c>
      <c r="K1315">
        <v>1070.2049999999999</v>
      </c>
      <c r="L1315">
        <v>1070.2049999999999</v>
      </c>
      <c r="M1315">
        <v>1070.2049999999999</v>
      </c>
      <c r="N1315">
        <v>1070.2049999999999</v>
      </c>
      <c r="O1315">
        <v>1070.2049999999999</v>
      </c>
      <c r="P1315">
        <v>0</v>
      </c>
      <c r="Q1315">
        <v>11.27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 s="164">
        <v>40817</v>
      </c>
      <c r="AC1315" s="164">
        <v>41639</v>
      </c>
      <c r="AD1315" s="164">
        <v>41820</v>
      </c>
      <c r="AE1315" s="34">
        <f>SUMPRODUCT(DB_STProjectsSOF[[#This Row],[Plan01]:[Plan12]],$D$4:$O$4)/valUnits2</f>
        <v>1.0814699999999999</v>
      </c>
      <c r="AF1315" s="34">
        <f>SUMPRODUCT(DB_STProjectsSOF[[#This Row],[Act01]:[Act12]],$P$4:$AA$4)/valUnits2</f>
        <v>1.1269999999999999E-2</v>
      </c>
      <c r="AG1315" s="34">
        <f>DB_STProjectsSOF[[#This Row],[Actual]]-DB_STProjectsSOF[[#This Row],[Plan]]</f>
        <v>-1.0702</v>
      </c>
      <c r="AH1315" s="34">
        <f>IF(DB_STProjectsSOF[[#This Row],[Plan]]&lt;&gt;0,DB_STProjectsSOF[[#This Row],[Actual]]/DB_STProjectsSOF[[#This Row],[Plan]],1.000011000011)</f>
        <v>1.0421001044874105E-2</v>
      </c>
      <c r="AI1315" s="34">
        <f>SUM(DB_STProjectsSOF[[#This Row],[Plan01]:[Plan12]])/valUnits2</f>
        <v>7.5026999999999999</v>
      </c>
      <c r="AJ1315" s="34">
        <f>SUMPRODUCT(DB_STProjectsSOF[[#This Row],[Act01]:[Act12]],$P$3:$AA$3)/valUnits2</f>
        <v>1.1269999999999999E-2</v>
      </c>
      <c r="AK1315" s="34">
        <f>IF(DB_STProjectsSOF[[#This Row],[FY Plan]]&lt;&gt;0,DB_STProjectsSOF[[#This Row],[FY Actuals]]/DB_STProjectsSOF[[#This Row],[FY Plan]],1.000011000011)</f>
        <v>1.5021259013421834E-3</v>
      </c>
    </row>
    <row r="1316" spans="1:37" hidden="1" x14ac:dyDescent="0.2">
      <c r="A1316">
        <f>SUBTOTAL(3,$B$6:B1316)</f>
        <v>0</v>
      </c>
      <c r="B1316" t="s">
        <v>526</v>
      </c>
      <c r="C1316" t="s">
        <v>897</v>
      </c>
      <c r="I1316">
        <v>0</v>
      </c>
      <c r="U1316">
        <v>2165.89</v>
      </c>
      <c r="AB1316" s="164"/>
      <c r="AC1316" s="164"/>
      <c r="AD1316" s="164"/>
      <c r="AE1316" s="34">
        <f>SUMPRODUCT(DB_STProjectsSOF[[#This Row],[Plan01]:[Plan12]],$D$4:$O$4)/valUnits2</f>
        <v>0</v>
      </c>
      <c r="AF1316" s="34">
        <f>SUMPRODUCT(DB_STProjectsSOF[[#This Row],[Act01]:[Act12]],$P$4:$AA$4)/valUnits2</f>
        <v>2.1658900000000001</v>
      </c>
      <c r="AG1316" s="34">
        <f>DB_STProjectsSOF[[#This Row],[Actual]]-DB_STProjectsSOF[[#This Row],[Plan]]</f>
        <v>2.1658900000000001</v>
      </c>
      <c r="AH1316" s="34">
        <f>IF(DB_STProjectsSOF[[#This Row],[Plan]]&lt;&gt;0,DB_STProjectsSOF[[#This Row],[Actual]]/DB_STProjectsSOF[[#This Row],[Plan]],1.000011000011)</f>
        <v>1.0000110000110001</v>
      </c>
      <c r="AI1316" s="34">
        <f>SUM(DB_STProjectsSOF[[#This Row],[Plan01]:[Plan12]])/valUnits2</f>
        <v>0</v>
      </c>
      <c r="AJ1316" s="34">
        <f>SUMPRODUCT(DB_STProjectsSOF[[#This Row],[Act01]:[Act12]],$P$3:$AA$3)/valUnits2</f>
        <v>2.1658900000000001</v>
      </c>
      <c r="AK1316" s="34">
        <f>IF(DB_STProjectsSOF[[#This Row],[FY Plan]]&lt;&gt;0,DB_STProjectsSOF[[#This Row],[FY Actuals]]/DB_STProjectsSOF[[#This Row],[FY Plan]],1.000011000011)</f>
        <v>1.0000110000110001</v>
      </c>
    </row>
    <row r="1317" spans="1:37" hidden="1" x14ac:dyDescent="0.2">
      <c r="A1317">
        <f>SUBTOTAL(3,$B$6:B1317)</f>
        <v>0</v>
      </c>
      <c r="B1317" t="s">
        <v>526</v>
      </c>
      <c r="C1317" t="s">
        <v>365</v>
      </c>
      <c r="G1317">
        <v>0</v>
      </c>
      <c r="H1317">
        <v>0</v>
      </c>
      <c r="I1317">
        <v>104.051</v>
      </c>
      <c r="J1317">
        <v>104.051</v>
      </c>
      <c r="K1317">
        <v>104.051</v>
      </c>
      <c r="S1317">
        <v>0</v>
      </c>
      <c r="T1317">
        <v>0</v>
      </c>
      <c r="U1317">
        <v>0</v>
      </c>
      <c r="V1317">
        <v>0</v>
      </c>
      <c r="W1317">
        <v>0</v>
      </c>
      <c r="AB1317" s="164">
        <v>40878</v>
      </c>
      <c r="AC1317" s="164">
        <v>41517</v>
      </c>
      <c r="AD1317" s="164">
        <v>41547</v>
      </c>
      <c r="AE1317" s="34">
        <f>SUMPRODUCT(DB_STProjectsSOF[[#This Row],[Plan01]:[Plan12]],$D$4:$O$4)/valUnits2</f>
        <v>0.104051</v>
      </c>
      <c r="AF1317" s="34">
        <f>SUMPRODUCT(DB_STProjectsSOF[[#This Row],[Act01]:[Act12]],$P$4:$AA$4)/valUnits2</f>
        <v>0</v>
      </c>
      <c r="AG1317" s="34">
        <f>DB_STProjectsSOF[[#This Row],[Actual]]-DB_STProjectsSOF[[#This Row],[Plan]]</f>
        <v>-0.104051</v>
      </c>
      <c r="AH1317" s="34">
        <f>IF(DB_STProjectsSOF[[#This Row],[Plan]]&lt;&gt;0,DB_STProjectsSOF[[#This Row],[Actual]]/DB_STProjectsSOF[[#This Row],[Plan]],1.000011000011)</f>
        <v>0</v>
      </c>
      <c r="AI1317" s="34">
        <f>SUM(DB_STProjectsSOF[[#This Row],[Plan01]:[Plan12]])/valUnits2</f>
        <v>0.31215300000000001</v>
      </c>
      <c r="AJ1317" s="34">
        <f>SUMPRODUCT(DB_STProjectsSOF[[#This Row],[Act01]:[Act12]],$P$3:$AA$3)/valUnits2</f>
        <v>0</v>
      </c>
      <c r="AK1317" s="34">
        <f>IF(DB_STProjectsSOF[[#This Row],[FY Plan]]&lt;&gt;0,DB_STProjectsSOF[[#This Row],[FY Actuals]]/DB_STProjectsSOF[[#This Row],[FY Plan]],1.000011000011)</f>
        <v>0</v>
      </c>
    </row>
    <row r="1318" spans="1:37" hidden="1" x14ac:dyDescent="0.2">
      <c r="A1318">
        <f>SUBTOTAL(3,$B$6:B1318)</f>
        <v>0</v>
      </c>
      <c r="B1318" t="s">
        <v>526</v>
      </c>
      <c r="C1318" t="s">
        <v>904</v>
      </c>
      <c r="E1318">
        <v>5.5940000000000003</v>
      </c>
      <c r="F1318">
        <v>6.359</v>
      </c>
      <c r="H1318">
        <v>5.2140000000000004</v>
      </c>
      <c r="I1318">
        <v>0</v>
      </c>
      <c r="Q1318">
        <v>5.58</v>
      </c>
      <c r="R1318">
        <v>6.3100000000000005</v>
      </c>
      <c r="T1318">
        <v>5.24</v>
      </c>
      <c r="U1318">
        <v>21.380000000000003</v>
      </c>
      <c r="AB1318" s="164">
        <v>40817</v>
      </c>
      <c r="AC1318" s="164">
        <v>41639</v>
      </c>
      <c r="AD1318" s="164">
        <v>41698</v>
      </c>
      <c r="AE1318" s="34">
        <f>SUMPRODUCT(DB_STProjectsSOF[[#This Row],[Plan01]:[Plan12]],$D$4:$O$4)/valUnits2</f>
        <v>1.7167000000000002E-2</v>
      </c>
      <c r="AF1318" s="34">
        <f>SUMPRODUCT(DB_STProjectsSOF[[#This Row],[Act01]:[Act12]],$P$4:$AA$4)/valUnits2</f>
        <v>3.8510000000000003E-2</v>
      </c>
      <c r="AG1318" s="34">
        <f>DB_STProjectsSOF[[#This Row],[Actual]]-DB_STProjectsSOF[[#This Row],[Plan]]</f>
        <v>2.1343000000000001E-2</v>
      </c>
      <c r="AH1318" s="34">
        <f>IF(DB_STProjectsSOF[[#This Row],[Plan]]&lt;&gt;0,DB_STProjectsSOF[[#This Row],[Actual]]/DB_STProjectsSOF[[#This Row],[Plan]],1.000011000011)</f>
        <v>2.2432574124774276</v>
      </c>
      <c r="AI1318" s="34">
        <f>SUM(DB_STProjectsSOF[[#This Row],[Plan01]:[Plan12]])/valUnits2</f>
        <v>1.7167000000000002E-2</v>
      </c>
      <c r="AJ1318" s="34">
        <f>SUMPRODUCT(DB_STProjectsSOF[[#This Row],[Act01]:[Act12]],$P$3:$AA$3)/valUnits2</f>
        <v>3.8510000000000003E-2</v>
      </c>
      <c r="AK1318" s="34">
        <f>IF(DB_STProjectsSOF[[#This Row],[FY Plan]]&lt;&gt;0,DB_STProjectsSOF[[#This Row],[FY Actuals]]/DB_STProjectsSOF[[#This Row],[FY Plan]],1.000011000011)</f>
        <v>2.2432574124774276</v>
      </c>
    </row>
    <row r="1319" spans="1:37" hidden="1" x14ac:dyDescent="0.2">
      <c r="A1319">
        <f>SUBTOTAL(3,$B$6:B1319)</f>
        <v>0</v>
      </c>
      <c r="B1319" t="s">
        <v>526</v>
      </c>
      <c r="C1319" t="s">
        <v>909</v>
      </c>
      <c r="D1319">
        <v>906.88</v>
      </c>
      <c r="E1319">
        <v>1819.4399999999998</v>
      </c>
      <c r="F1319">
        <v>1482.35</v>
      </c>
      <c r="G1319">
        <v>166.64000000000001</v>
      </c>
      <c r="H1319">
        <v>125.44</v>
      </c>
      <c r="I1319">
        <v>250</v>
      </c>
      <c r="J1319">
        <v>250</v>
      </c>
      <c r="K1319">
        <v>250</v>
      </c>
      <c r="L1319">
        <v>250</v>
      </c>
      <c r="M1319">
        <v>250</v>
      </c>
      <c r="N1319">
        <v>250</v>
      </c>
      <c r="O1319">
        <v>250</v>
      </c>
      <c r="P1319">
        <v>906.88</v>
      </c>
      <c r="Q1319">
        <v>1819.4399999999998</v>
      </c>
      <c r="R1319">
        <v>1482.35</v>
      </c>
      <c r="S1319">
        <v>166.64000000000001</v>
      </c>
      <c r="T1319">
        <v>125.44</v>
      </c>
      <c r="U1319">
        <v>-321.82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 s="164">
        <v>40817</v>
      </c>
      <c r="AC1319" s="164">
        <v>42155</v>
      </c>
      <c r="AD1319" s="164">
        <v>42217</v>
      </c>
      <c r="AE1319" s="34">
        <f>SUMPRODUCT(DB_STProjectsSOF[[#This Row],[Plan01]:[Plan12]],$D$4:$O$4)/valUnits2</f>
        <v>4.75075</v>
      </c>
      <c r="AF1319" s="34">
        <f>SUMPRODUCT(DB_STProjectsSOF[[#This Row],[Act01]:[Act12]],$P$4:$AA$4)/valUnits2</f>
        <v>4.1789300000000003</v>
      </c>
      <c r="AG1319" s="34">
        <f>DB_STProjectsSOF[[#This Row],[Actual]]-DB_STProjectsSOF[[#This Row],[Plan]]</f>
        <v>-0.57181999999999977</v>
      </c>
      <c r="AH1319" s="34">
        <f>IF(DB_STProjectsSOF[[#This Row],[Plan]]&lt;&gt;0,DB_STProjectsSOF[[#This Row],[Actual]]/DB_STProjectsSOF[[#This Row],[Plan]],1.000011000011)</f>
        <v>0.87963584697153085</v>
      </c>
      <c r="AI1319" s="34">
        <f>SUM(DB_STProjectsSOF[[#This Row],[Plan01]:[Plan12]])/valUnits2</f>
        <v>6.25075</v>
      </c>
      <c r="AJ1319" s="34">
        <f>SUMPRODUCT(DB_STProjectsSOF[[#This Row],[Act01]:[Act12]],$P$3:$AA$3)/valUnits2</f>
        <v>4.1789300000000003</v>
      </c>
      <c r="AK1319" s="34">
        <f>IF(DB_STProjectsSOF[[#This Row],[FY Plan]]&lt;&gt;0,DB_STProjectsSOF[[#This Row],[FY Actuals]]/DB_STProjectsSOF[[#This Row],[FY Plan]],1.000011000011)</f>
        <v>0.66854857417109947</v>
      </c>
    </row>
    <row r="1320" spans="1:37" hidden="1" x14ac:dyDescent="0.2">
      <c r="A1320">
        <f>SUBTOTAL(3,$B$6:B1320)</f>
        <v>0</v>
      </c>
      <c r="B1320" t="s">
        <v>526</v>
      </c>
      <c r="C1320" t="s">
        <v>911</v>
      </c>
      <c r="D1320">
        <v>186.72399999999999</v>
      </c>
      <c r="E1320">
        <v>1891.0430000000001</v>
      </c>
      <c r="F1320">
        <v>2075.7509999999997</v>
      </c>
      <c r="G1320">
        <v>2139.8609999999999</v>
      </c>
      <c r="H1320">
        <v>2092.701</v>
      </c>
      <c r="I1320">
        <v>775.13099999999997</v>
      </c>
      <c r="J1320">
        <v>775.13099999999997</v>
      </c>
      <c r="K1320">
        <v>775.13099999999997</v>
      </c>
      <c r="L1320">
        <v>775.13099999999997</v>
      </c>
      <c r="M1320">
        <v>775.13099999999997</v>
      </c>
      <c r="P1320">
        <v>0</v>
      </c>
      <c r="Q1320">
        <v>1593.38</v>
      </c>
      <c r="R1320">
        <v>1300.6199999999999</v>
      </c>
      <c r="S1320">
        <v>1364.73</v>
      </c>
      <c r="T1320">
        <v>1317.57</v>
      </c>
      <c r="U1320">
        <v>1348.2</v>
      </c>
      <c r="V1320">
        <v>0</v>
      </c>
      <c r="W1320">
        <v>0</v>
      </c>
      <c r="X1320">
        <v>0</v>
      </c>
      <c r="Y1320">
        <v>0</v>
      </c>
      <c r="AB1320" s="164">
        <v>40817</v>
      </c>
      <c r="AC1320" s="164">
        <v>41578</v>
      </c>
      <c r="AD1320" s="164">
        <v>41639</v>
      </c>
      <c r="AE1320" s="34">
        <f>SUMPRODUCT(DB_STProjectsSOF[[#This Row],[Plan01]:[Plan12]],$D$4:$O$4)/valUnits2</f>
        <v>9.1612109999999998</v>
      </c>
      <c r="AF1320" s="34">
        <f>SUMPRODUCT(DB_STProjectsSOF[[#This Row],[Act01]:[Act12]],$P$4:$AA$4)/valUnits2</f>
        <v>6.9244999999999992</v>
      </c>
      <c r="AG1320" s="34">
        <f>DB_STProjectsSOF[[#This Row],[Actual]]-DB_STProjectsSOF[[#This Row],[Plan]]</f>
        <v>-2.2367110000000006</v>
      </c>
      <c r="AH1320" s="34">
        <f>IF(DB_STProjectsSOF[[#This Row],[Plan]]&lt;&gt;0,DB_STProjectsSOF[[#This Row],[Actual]]/DB_STProjectsSOF[[#This Row],[Plan]],1.000011000011)</f>
        <v>0.75584985434785856</v>
      </c>
      <c r="AI1320" s="34">
        <f>SUM(DB_STProjectsSOF[[#This Row],[Plan01]:[Plan12]])/valUnits2</f>
        <v>12.261734999999996</v>
      </c>
      <c r="AJ1320" s="34">
        <f>SUMPRODUCT(DB_STProjectsSOF[[#This Row],[Act01]:[Act12]],$P$3:$AA$3)/valUnits2</f>
        <v>6.9244999999999992</v>
      </c>
      <c r="AK1320" s="34">
        <f>IF(DB_STProjectsSOF[[#This Row],[FY Plan]]&lt;&gt;0,DB_STProjectsSOF[[#This Row],[FY Actuals]]/DB_STProjectsSOF[[#This Row],[FY Plan]],1.000011000011)</f>
        <v>0.56472432327072808</v>
      </c>
    </row>
    <row r="1321" spans="1:37" hidden="1" x14ac:dyDescent="0.2">
      <c r="A1321">
        <f>SUBTOTAL(3,$B$6:B1321)</f>
        <v>0</v>
      </c>
      <c r="B1321" t="s">
        <v>526</v>
      </c>
      <c r="C1321" t="s">
        <v>915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575.25400000000002</v>
      </c>
      <c r="J1321">
        <v>575.25400000000002</v>
      </c>
      <c r="K1321">
        <v>575.25400000000002</v>
      </c>
      <c r="L1321">
        <v>575.25400000000002</v>
      </c>
      <c r="M1321">
        <v>575.25400000000002</v>
      </c>
      <c r="N1321">
        <v>575.25400000000002</v>
      </c>
      <c r="O1321">
        <v>575.25400000000002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 s="164">
        <v>41061</v>
      </c>
      <c r="AC1321" s="164">
        <v>42155</v>
      </c>
      <c r="AD1321" s="164">
        <v>42185</v>
      </c>
      <c r="AE1321" s="34">
        <f>SUMPRODUCT(DB_STProjectsSOF[[#This Row],[Plan01]:[Plan12]],$D$4:$O$4)/valUnits2</f>
        <v>0.57525400000000004</v>
      </c>
      <c r="AF1321" s="34">
        <f>SUMPRODUCT(DB_STProjectsSOF[[#This Row],[Act01]:[Act12]],$P$4:$AA$4)/valUnits2</f>
        <v>0</v>
      </c>
      <c r="AG1321" s="34">
        <f>DB_STProjectsSOF[[#This Row],[Actual]]-DB_STProjectsSOF[[#This Row],[Plan]]</f>
        <v>-0.57525400000000004</v>
      </c>
      <c r="AH1321" s="34">
        <f>IF(DB_STProjectsSOF[[#This Row],[Plan]]&lt;&gt;0,DB_STProjectsSOF[[#This Row],[Actual]]/DB_STProjectsSOF[[#This Row],[Plan]],1.000011000011)</f>
        <v>0</v>
      </c>
      <c r="AI1321" s="34">
        <f>SUM(DB_STProjectsSOF[[#This Row],[Plan01]:[Plan12]])/valUnits2</f>
        <v>4.0267780000000002</v>
      </c>
      <c r="AJ1321" s="34">
        <f>SUMPRODUCT(DB_STProjectsSOF[[#This Row],[Act01]:[Act12]],$P$3:$AA$3)/valUnits2</f>
        <v>0</v>
      </c>
      <c r="AK1321" s="34">
        <f>IF(DB_STProjectsSOF[[#This Row],[FY Plan]]&lt;&gt;0,DB_STProjectsSOF[[#This Row],[FY Actuals]]/DB_STProjectsSOF[[#This Row],[FY Plan]],1.000011000011)</f>
        <v>0</v>
      </c>
    </row>
    <row r="1322" spans="1:37" hidden="1" x14ac:dyDescent="0.2">
      <c r="A1322">
        <f>SUBTOTAL(3,$B$6:B1322)</f>
        <v>0</v>
      </c>
      <c r="B1322" t="s">
        <v>526</v>
      </c>
      <c r="C1322" t="s">
        <v>917</v>
      </c>
      <c r="I1322">
        <v>0</v>
      </c>
      <c r="U1322">
        <v>462.84</v>
      </c>
      <c r="AB1322" s="164">
        <v>40817</v>
      </c>
      <c r="AC1322" s="164">
        <v>42155</v>
      </c>
      <c r="AD1322" s="164">
        <v>42246</v>
      </c>
      <c r="AE1322" s="34">
        <f>SUMPRODUCT(DB_STProjectsSOF[[#This Row],[Plan01]:[Plan12]],$D$4:$O$4)/valUnits2</f>
        <v>0</v>
      </c>
      <c r="AF1322" s="34">
        <f>SUMPRODUCT(DB_STProjectsSOF[[#This Row],[Act01]:[Act12]],$P$4:$AA$4)/valUnits2</f>
        <v>0.46283999999999997</v>
      </c>
      <c r="AG1322" s="34">
        <f>DB_STProjectsSOF[[#This Row],[Actual]]-DB_STProjectsSOF[[#This Row],[Plan]]</f>
        <v>0.46283999999999997</v>
      </c>
      <c r="AH1322" s="34">
        <f>IF(DB_STProjectsSOF[[#This Row],[Plan]]&lt;&gt;0,DB_STProjectsSOF[[#This Row],[Actual]]/DB_STProjectsSOF[[#This Row],[Plan]],1.000011000011)</f>
        <v>1.0000110000110001</v>
      </c>
      <c r="AI1322" s="34">
        <f>SUM(DB_STProjectsSOF[[#This Row],[Plan01]:[Plan12]])/valUnits2</f>
        <v>0</v>
      </c>
      <c r="AJ1322" s="34">
        <f>SUMPRODUCT(DB_STProjectsSOF[[#This Row],[Act01]:[Act12]],$P$3:$AA$3)/valUnits2</f>
        <v>0.46283999999999997</v>
      </c>
      <c r="AK1322" s="34">
        <f>IF(DB_STProjectsSOF[[#This Row],[FY Plan]]&lt;&gt;0,DB_STProjectsSOF[[#This Row],[FY Actuals]]/DB_STProjectsSOF[[#This Row],[FY Plan]],1.000011000011)</f>
        <v>1.0000110000110001</v>
      </c>
    </row>
    <row r="1323" spans="1:37" hidden="1" x14ac:dyDescent="0.2">
      <c r="A1323">
        <f>SUBTOTAL(3,$B$6:B1323)</f>
        <v>0</v>
      </c>
      <c r="B1323" t="s">
        <v>526</v>
      </c>
      <c r="C1323" t="s">
        <v>356</v>
      </c>
      <c r="E1323">
        <v>22.425999999999998</v>
      </c>
      <c r="Q1323">
        <v>22.52</v>
      </c>
      <c r="AB1323" s="164">
        <v>41091</v>
      </c>
      <c r="AC1323" s="164">
        <v>41455</v>
      </c>
      <c r="AD1323" s="164">
        <v>41547</v>
      </c>
      <c r="AE1323" s="34">
        <f>SUMPRODUCT(DB_STProjectsSOF[[#This Row],[Plan01]:[Plan12]],$D$4:$O$4)/valUnits2</f>
        <v>2.2425999999999998E-2</v>
      </c>
      <c r="AF1323" s="34">
        <f>SUMPRODUCT(DB_STProjectsSOF[[#This Row],[Act01]:[Act12]],$P$4:$AA$4)/valUnits2</f>
        <v>2.2519999999999998E-2</v>
      </c>
      <c r="AG1323" s="34">
        <f>DB_STProjectsSOF[[#This Row],[Actual]]-DB_STProjectsSOF[[#This Row],[Plan]]</f>
        <v>9.4000000000000333E-5</v>
      </c>
      <c r="AH1323" s="34">
        <f>IF(DB_STProjectsSOF[[#This Row],[Plan]]&lt;&gt;0,DB_STProjectsSOF[[#This Row],[Actual]]/DB_STProjectsSOF[[#This Row],[Plan]],1.000011000011)</f>
        <v>1.0041915633639527</v>
      </c>
      <c r="AI1323" s="34">
        <f>SUM(DB_STProjectsSOF[[#This Row],[Plan01]:[Plan12]])/valUnits2</f>
        <v>2.2425999999999998E-2</v>
      </c>
      <c r="AJ1323" s="34">
        <f>SUMPRODUCT(DB_STProjectsSOF[[#This Row],[Act01]:[Act12]],$P$3:$AA$3)/valUnits2</f>
        <v>2.2519999999999998E-2</v>
      </c>
      <c r="AK1323" s="34">
        <f>IF(DB_STProjectsSOF[[#This Row],[FY Plan]]&lt;&gt;0,DB_STProjectsSOF[[#This Row],[FY Actuals]]/DB_STProjectsSOF[[#This Row],[FY Plan]],1.000011000011)</f>
        <v>1.0041915633639527</v>
      </c>
    </row>
    <row r="1324" spans="1:37" hidden="1" x14ac:dyDescent="0.2">
      <c r="A1324">
        <f>SUBTOTAL(3,$B$6:B1324)</f>
        <v>0</v>
      </c>
      <c r="B1324" t="s">
        <v>526</v>
      </c>
      <c r="C1324" t="s">
        <v>919</v>
      </c>
      <c r="D1324">
        <v>0</v>
      </c>
      <c r="E1324">
        <v>807.78099999999995</v>
      </c>
      <c r="F1324">
        <v>1252.502</v>
      </c>
      <c r="G1324">
        <v>538.79200000000003</v>
      </c>
      <c r="H1324">
        <v>731.83799999999997</v>
      </c>
      <c r="I1324">
        <v>1917.348</v>
      </c>
      <c r="J1324">
        <v>1917.348</v>
      </c>
      <c r="K1324">
        <v>1917.348</v>
      </c>
      <c r="L1324">
        <v>1917.348</v>
      </c>
      <c r="M1324">
        <v>1917.348</v>
      </c>
      <c r="N1324">
        <v>1917.348</v>
      </c>
      <c r="O1324">
        <v>1917.348</v>
      </c>
      <c r="P1324">
        <v>0</v>
      </c>
      <c r="Q1324">
        <v>824.72</v>
      </c>
      <c r="R1324">
        <v>1263.8400000000001</v>
      </c>
      <c r="S1324">
        <v>535.72</v>
      </c>
      <c r="T1324">
        <v>729.76</v>
      </c>
      <c r="U1324">
        <v>613.68000000000006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 s="164">
        <v>40878</v>
      </c>
      <c r="AC1324" s="164">
        <v>42794</v>
      </c>
      <c r="AD1324" s="164">
        <v>42978</v>
      </c>
      <c r="AE1324" s="34">
        <f>SUMPRODUCT(DB_STProjectsSOF[[#This Row],[Plan01]:[Plan12]],$D$4:$O$4)/valUnits2</f>
        <v>5.2482609999999994</v>
      </c>
      <c r="AF1324" s="34">
        <f>SUMPRODUCT(DB_STProjectsSOF[[#This Row],[Act01]:[Act12]],$P$4:$AA$4)/valUnits2</f>
        <v>3.9677200000000012</v>
      </c>
      <c r="AG1324" s="34">
        <f>DB_STProjectsSOF[[#This Row],[Actual]]-DB_STProjectsSOF[[#This Row],[Plan]]</f>
        <v>-1.2805409999999982</v>
      </c>
      <c r="AH1324" s="34">
        <f>IF(DB_STProjectsSOF[[#This Row],[Plan]]&lt;&gt;0,DB_STProjectsSOF[[#This Row],[Actual]]/DB_STProjectsSOF[[#This Row],[Plan]],1.000011000011)</f>
        <v>0.7560066086652325</v>
      </c>
      <c r="AI1324" s="34">
        <f>SUM(DB_STProjectsSOF[[#This Row],[Plan01]:[Plan12]])/valUnits2</f>
        <v>16.752348999999999</v>
      </c>
      <c r="AJ1324" s="34">
        <f>SUMPRODUCT(DB_STProjectsSOF[[#This Row],[Act01]:[Act12]],$P$3:$AA$3)/valUnits2</f>
        <v>3.9677200000000012</v>
      </c>
      <c r="AK1324" s="34">
        <f>IF(DB_STProjectsSOF[[#This Row],[FY Plan]]&lt;&gt;0,DB_STProjectsSOF[[#This Row],[FY Actuals]]/DB_STProjectsSOF[[#This Row],[FY Plan]],1.000011000011)</f>
        <v>0.23684559102726438</v>
      </c>
    </row>
    <row r="1325" spans="1:37" hidden="1" x14ac:dyDescent="0.2">
      <c r="A1325">
        <f>SUBTOTAL(3,$B$6:B1325)</f>
        <v>0</v>
      </c>
      <c r="B1325" t="s">
        <v>526</v>
      </c>
      <c r="C1325" t="s">
        <v>921</v>
      </c>
      <c r="E1325">
        <v>1.0169999999999999</v>
      </c>
      <c r="F1325">
        <v>1.1539999999999999</v>
      </c>
      <c r="Q1325">
        <v>1.01</v>
      </c>
      <c r="R1325">
        <v>1.1499999999999999</v>
      </c>
      <c r="AB1325" s="164">
        <v>40909</v>
      </c>
      <c r="AC1325" s="164">
        <v>41363</v>
      </c>
      <c r="AD1325" s="164">
        <v>41389</v>
      </c>
      <c r="AE1325" s="34">
        <f>SUMPRODUCT(DB_STProjectsSOF[[#This Row],[Plan01]:[Plan12]],$D$4:$O$4)/valUnits2</f>
        <v>2.1709999999999998E-3</v>
      </c>
      <c r="AF1325" s="34">
        <f>SUMPRODUCT(DB_STProjectsSOF[[#This Row],[Act01]:[Act12]],$P$4:$AA$4)/valUnits2</f>
        <v>2.16E-3</v>
      </c>
      <c r="AG1325" s="34">
        <f>DB_STProjectsSOF[[#This Row],[Actual]]-DB_STProjectsSOF[[#This Row],[Plan]]</f>
        <v>-1.0999999999999725E-5</v>
      </c>
      <c r="AH1325" s="34">
        <f>IF(DB_STProjectsSOF[[#This Row],[Plan]]&lt;&gt;0,DB_STProjectsSOF[[#This Row],[Actual]]/DB_STProjectsSOF[[#This Row],[Plan]],1.000011000011)</f>
        <v>0.99493321050207295</v>
      </c>
      <c r="AI1325" s="34">
        <f>SUM(DB_STProjectsSOF[[#This Row],[Plan01]:[Plan12]])/valUnits2</f>
        <v>2.1709999999999998E-3</v>
      </c>
      <c r="AJ1325" s="34">
        <f>SUMPRODUCT(DB_STProjectsSOF[[#This Row],[Act01]:[Act12]],$P$3:$AA$3)/valUnits2</f>
        <v>2.16E-3</v>
      </c>
      <c r="AK1325" s="34">
        <f>IF(DB_STProjectsSOF[[#This Row],[FY Plan]]&lt;&gt;0,DB_STProjectsSOF[[#This Row],[FY Actuals]]/DB_STProjectsSOF[[#This Row],[FY Plan]],1.000011000011)</f>
        <v>0.99493321050207295</v>
      </c>
    </row>
    <row r="1326" spans="1:37" hidden="1" x14ac:dyDescent="0.2">
      <c r="A1326">
        <f>SUBTOTAL(3,$B$6:B1326)</f>
        <v>0</v>
      </c>
      <c r="B1326" t="s">
        <v>526</v>
      </c>
      <c r="C1326" t="s">
        <v>922</v>
      </c>
      <c r="E1326">
        <v>2.448</v>
      </c>
      <c r="F1326">
        <v>2.835</v>
      </c>
      <c r="H1326">
        <v>2.4</v>
      </c>
      <c r="I1326">
        <v>0</v>
      </c>
      <c r="Q1326">
        <v>2.5299999999999998</v>
      </c>
      <c r="R1326">
        <v>2.8600000000000003</v>
      </c>
      <c r="T1326">
        <v>2.38</v>
      </c>
      <c r="U1326">
        <v>8.56</v>
      </c>
      <c r="AB1326" s="164">
        <v>41000</v>
      </c>
      <c r="AC1326" s="164">
        <v>41989</v>
      </c>
      <c r="AD1326" s="164">
        <v>42078</v>
      </c>
      <c r="AE1326" s="34">
        <f>SUMPRODUCT(DB_STProjectsSOF[[#This Row],[Plan01]:[Plan12]],$D$4:$O$4)/valUnits2</f>
        <v>7.6829999999999997E-3</v>
      </c>
      <c r="AF1326" s="34">
        <f>SUMPRODUCT(DB_STProjectsSOF[[#This Row],[Act01]:[Act12]],$P$4:$AA$4)/valUnits2</f>
        <v>1.6330000000000001E-2</v>
      </c>
      <c r="AG1326" s="34">
        <f>DB_STProjectsSOF[[#This Row],[Actual]]-DB_STProjectsSOF[[#This Row],[Plan]]</f>
        <v>8.6470000000000019E-3</v>
      </c>
      <c r="AH1326" s="34">
        <f>IF(DB_STProjectsSOF[[#This Row],[Plan]]&lt;&gt;0,DB_STProjectsSOF[[#This Row],[Actual]]/DB_STProjectsSOF[[#This Row],[Plan]],1.000011000011)</f>
        <v>2.125471820903293</v>
      </c>
      <c r="AI1326" s="34">
        <f>SUM(DB_STProjectsSOF[[#This Row],[Plan01]:[Plan12]])/valUnits2</f>
        <v>7.6829999999999997E-3</v>
      </c>
      <c r="AJ1326" s="34">
        <f>SUMPRODUCT(DB_STProjectsSOF[[#This Row],[Act01]:[Act12]],$P$3:$AA$3)/valUnits2</f>
        <v>1.6330000000000001E-2</v>
      </c>
      <c r="AK1326" s="34">
        <f>IF(DB_STProjectsSOF[[#This Row],[FY Plan]]&lt;&gt;0,DB_STProjectsSOF[[#This Row],[FY Actuals]]/DB_STProjectsSOF[[#This Row],[FY Plan]],1.000011000011)</f>
        <v>2.125471820903293</v>
      </c>
    </row>
    <row r="1327" spans="1:37" hidden="1" x14ac:dyDescent="0.2">
      <c r="A1327">
        <f>SUBTOTAL(3,$B$6:B1327)</f>
        <v>0</v>
      </c>
      <c r="B1327" t="s">
        <v>526</v>
      </c>
      <c r="C1327" t="s">
        <v>927</v>
      </c>
      <c r="D1327">
        <v>0</v>
      </c>
      <c r="E1327">
        <v>2484.96</v>
      </c>
      <c r="F1327">
        <v>3791.55</v>
      </c>
      <c r="G1327">
        <v>2410.69</v>
      </c>
      <c r="H1327">
        <v>3283.81</v>
      </c>
      <c r="I1327">
        <v>3474</v>
      </c>
      <c r="J1327">
        <v>3474</v>
      </c>
      <c r="K1327">
        <v>3474</v>
      </c>
      <c r="L1327">
        <v>3474</v>
      </c>
      <c r="M1327">
        <v>3474</v>
      </c>
      <c r="N1327">
        <v>3474</v>
      </c>
      <c r="O1327">
        <v>3474</v>
      </c>
      <c r="P1327">
        <v>0</v>
      </c>
      <c r="Q1327">
        <v>2484.9600000000005</v>
      </c>
      <c r="R1327">
        <v>3816.0399999999995</v>
      </c>
      <c r="S1327">
        <v>2410.69</v>
      </c>
      <c r="T1327">
        <v>3283.81</v>
      </c>
      <c r="U1327">
        <v>2761.48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 s="164">
        <v>40817</v>
      </c>
      <c r="AC1327" s="164">
        <v>42052</v>
      </c>
      <c r="AD1327" s="164">
        <v>42141</v>
      </c>
      <c r="AE1327" s="34">
        <f>SUMPRODUCT(DB_STProjectsSOF[[#This Row],[Plan01]:[Plan12]],$D$4:$O$4)/valUnits2</f>
        <v>15.44501</v>
      </c>
      <c r="AF1327" s="34">
        <f>SUMPRODUCT(DB_STProjectsSOF[[#This Row],[Act01]:[Act12]],$P$4:$AA$4)/valUnits2</f>
        <v>14.75698</v>
      </c>
      <c r="AG1327" s="34">
        <f>DB_STProjectsSOF[[#This Row],[Actual]]-DB_STProjectsSOF[[#This Row],[Plan]]</f>
        <v>-0.68802999999999948</v>
      </c>
      <c r="AH1327" s="34">
        <f>IF(DB_STProjectsSOF[[#This Row],[Plan]]&lt;&gt;0,DB_STProjectsSOF[[#This Row],[Actual]]/DB_STProjectsSOF[[#This Row],[Plan]],1.000011000011)</f>
        <v>0.95545292622018374</v>
      </c>
      <c r="AI1327" s="34">
        <f>SUM(DB_STProjectsSOF[[#This Row],[Plan01]:[Plan12]])/valUnits2</f>
        <v>36.289010000000005</v>
      </c>
      <c r="AJ1327" s="34">
        <f>SUMPRODUCT(DB_STProjectsSOF[[#This Row],[Act01]:[Act12]],$P$3:$AA$3)/valUnits2</f>
        <v>14.75698</v>
      </c>
      <c r="AK1327" s="34">
        <f>IF(DB_STProjectsSOF[[#This Row],[FY Plan]]&lt;&gt;0,DB_STProjectsSOF[[#This Row],[FY Actuals]]/DB_STProjectsSOF[[#This Row],[FY Plan]],1.000011000011)</f>
        <v>0.40665149035479331</v>
      </c>
    </row>
    <row r="1328" spans="1:37" hidden="1" x14ac:dyDescent="0.2">
      <c r="A1328">
        <f>SUBTOTAL(3,$B$6:B1328)</f>
        <v>0</v>
      </c>
      <c r="B1328" t="s">
        <v>526</v>
      </c>
      <c r="C1328" t="s">
        <v>929</v>
      </c>
      <c r="E1328">
        <v>113.663</v>
      </c>
      <c r="F1328">
        <v>57.43</v>
      </c>
      <c r="G1328">
        <v>117.279</v>
      </c>
      <c r="H1328">
        <v>62.041000000000004</v>
      </c>
      <c r="I1328">
        <v>0</v>
      </c>
      <c r="Q1328">
        <v>115.9</v>
      </c>
      <c r="R1328">
        <v>57.95</v>
      </c>
      <c r="S1328">
        <v>116.07</v>
      </c>
      <c r="T1328">
        <v>61.309999999999995</v>
      </c>
      <c r="U1328">
        <v>41.99</v>
      </c>
      <c r="AB1328" s="164">
        <v>41214</v>
      </c>
      <c r="AC1328" s="164">
        <v>41379</v>
      </c>
      <c r="AD1328" s="164">
        <v>41409</v>
      </c>
      <c r="AE1328" s="34">
        <f>SUMPRODUCT(DB_STProjectsSOF[[#This Row],[Plan01]:[Plan12]],$D$4:$O$4)/valUnits2</f>
        <v>0.35041299999999997</v>
      </c>
      <c r="AF1328" s="34">
        <f>SUMPRODUCT(DB_STProjectsSOF[[#This Row],[Act01]:[Act12]],$P$4:$AA$4)/valUnits2</f>
        <v>0.39322000000000001</v>
      </c>
      <c r="AG1328" s="34">
        <f>DB_STProjectsSOF[[#This Row],[Actual]]-DB_STProjectsSOF[[#This Row],[Plan]]</f>
        <v>4.2807000000000039E-2</v>
      </c>
      <c r="AH1328" s="34">
        <f>IF(DB_STProjectsSOF[[#This Row],[Plan]]&lt;&gt;0,DB_STProjectsSOF[[#This Row],[Actual]]/DB_STProjectsSOF[[#This Row],[Plan]],1.000011000011)</f>
        <v>1.1221615636406186</v>
      </c>
      <c r="AI1328" s="34">
        <f>SUM(DB_STProjectsSOF[[#This Row],[Plan01]:[Plan12]])/valUnits2</f>
        <v>0.35041299999999997</v>
      </c>
      <c r="AJ1328" s="34">
        <f>SUMPRODUCT(DB_STProjectsSOF[[#This Row],[Act01]:[Act12]],$P$3:$AA$3)/valUnits2</f>
        <v>0.39322000000000001</v>
      </c>
      <c r="AK1328" s="34">
        <f>IF(DB_STProjectsSOF[[#This Row],[FY Plan]]&lt;&gt;0,DB_STProjectsSOF[[#This Row],[FY Actuals]]/DB_STProjectsSOF[[#This Row],[FY Plan]],1.000011000011)</f>
        <v>1.1221615636406186</v>
      </c>
    </row>
    <row r="1329" spans="1:37" hidden="1" x14ac:dyDescent="0.2">
      <c r="A1329">
        <f>SUBTOTAL(3,$B$6:B1329)</f>
        <v>0</v>
      </c>
      <c r="B1329" t="s">
        <v>526</v>
      </c>
      <c r="C1329" t="s">
        <v>930</v>
      </c>
      <c r="E1329">
        <v>371.23</v>
      </c>
      <c r="F1329">
        <v>509.96000000000004</v>
      </c>
      <c r="G1329">
        <v>267.85000000000002</v>
      </c>
      <c r="H1329">
        <v>369.64</v>
      </c>
      <c r="I1329">
        <v>0</v>
      </c>
      <c r="Q1329">
        <v>371.23</v>
      </c>
      <c r="R1329">
        <v>509.96000000000004</v>
      </c>
      <c r="S1329">
        <v>267.84999999999997</v>
      </c>
      <c r="T1329">
        <v>369.64000000000004</v>
      </c>
      <c r="U1329">
        <v>328.21000000000004</v>
      </c>
      <c r="AB1329" s="164">
        <v>40848</v>
      </c>
      <c r="AC1329" s="164">
        <v>41729</v>
      </c>
      <c r="AD1329" s="164">
        <v>41654</v>
      </c>
      <c r="AE1329" s="34">
        <f>SUMPRODUCT(DB_STProjectsSOF[[#This Row],[Plan01]:[Plan12]],$D$4:$O$4)/valUnits2</f>
        <v>1.5186799999999998</v>
      </c>
      <c r="AF1329" s="34">
        <f>SUMPRODUCT(DB_STProjectsSOF[[#This Row],[Act01]:[Act12]],$P$4:$AA$4)/valUnits2</f>
        <v>1.8468900000000001</v>
      </c>
      <c r="AG1329" s="34">
        <f>DB_STProjectsSOF[[#This Row],[Actual]]-DB_STProjectsSOF[[#This Row],[Plan]]</f>
        <v>0.32821000000000033</v>
      </c>
      <c r="AH1329" s="34">
        <f>IF(DB_STProjectsSOF[[#This Row],[Plan]]&lt;&gt;0,DB_STProjectsSOF[[#This Row],[Actual]]/DB_STProjectsSOF[[#This Row],[Plan]],1.000011000011)</f>
        <v>1.2161153106645246</v>
      </c>
      <c r="AI1329" s="34">
        <f>SUM(DB_STProjectsSOF[[#This Row],[Plan01]:[Plan12]])/valUnits2</f>
        <v>1.5186799999999998</v>
      </c>
      <c r="AJ1329" s="34">
        <f>SUMPRODUCT(DB_STProjectsSOF[[#This Row],[Act01]:[Act12]],$P$3:$AA$3)/valUnits2</f>
        <v>1.8468900000000001</v>
      </c>
      <c r="AK1329" s="34">
        <f>IF(DB_STProjectsSOF[[#This Row],[FY Plan]]&lt;&gt;0,DB_STProjectsSOF[[#This Row],[FY Actuals]]/DB_STProjectsSOF[[#This Row],[FY Plan]],1.000011000011)</f>
        <v>1.2161153106645246</v>
      </c>
    </row>
    <row r="1330" spans="1:37" hidden="1" x14ac:dyDescent="0.2">
      <c r="A1330">
        <f>SUBTOTAL(3,$B$6:B1330)</f>
        <v>0</v>
      </c>
      <c r="B1330" t="s">
        <v>526</v>
      </c>
      <c r="C1330" t="s">
        <v>933</v>
      </c>
      <c r="H1330">
        <v>706.89</v>
      </c>
      <c r="T1330">
        <v>706.89</v>
      </c>
      <c r="AB1330" s="164">
        <v>40817</v>
      </c>
      <c r="AC1330" s="164">
        <v>42155</v>
      </c>
      <c r="AD1330" s="164">
        <v>42217</v>
      </c>
      <c r="AE1330" s="34">
        <f>SUMPRODUCT(DB_STProjectsSOF[[#This Row],[Plan01]:[Plan12]],$D$4:$O$4)/valUnits2</f>
        <v>0.70689000000000002</v>
      </c>
      <c r="AF1330" s="34">
        <f>SUMPRODUCT(DB_STProjectsSOF[[#This Row],[Act01]:[Act12]],$P$4:$AA$4)/valUnits2</f>
        <v>0.70689000000000002</v>
      </c>
      <c r="AG1330" s="34">
        <f>DB_STProjectsSOF[[#This Row],[Actual]]-DB_STProjectsSOF[[#This Row],[Plan]]</f>
        <v>0</v>
      </c>
      <c r="AH1330" s="34">
        <f>IF(DB_STProjectsSOF[[#This Row],[Plan]]&lt;&gt;0,DB_STProjectsSOF[[#This Row],[Actual]]/DB_STProjectsSOF[[#This Row],[Plan]],1.000011000011)</f>
        <v>1</v>
      </c>
      <c r="AI1330" s="34">
        <f>SUM(DB_STProjectsSOF[[#This Row],[Plan01]:[Plan12]])/valUnits2</f>
        <v>0.70689000000000002</v>
      </c>
      <c r="AJ1330" s="34">
        <f>SUMPRODUCT(DB_STProjectsSOF[[#This Row],[Act01]:[Act12]],$P$3:$AA$3)/valUnits2</f>
        <v>0.70689000000000002</v>
      </c>
      <c r="AK1330" s="34">
        <f>IF(DB_STProjectsSOF[[#This Row],[FY Plan]]&lt;&gt;0,DB_STProjectsSOF[[#This Row],[FY Actuals]]/DB_STProjectsSOF[[#This Row],[FY Plan]],1.000011000011)</f>
        <v>1</v>
      </c>
    </row>
    <row r="1331" spans="1:37" hidden="1" x14ac:dyDescent="0.2">
      <c r="A1331">
        <f>SUBTOTAL(3,$B$6:B1331)</f>
        <v>0</v>
      </c>
      <c r="B1331" t="s">
        <v>526</v>
      </c>
      <c r="C1331" t="s">
        <v>935</v>
      </c>
      <c r="D1331">
        <v>0</v>
      </c>
      <c r="E1331">
        <v>397.07</v>
      </c>
      <c r="F1331">
        <v>183.23400000000001</v>
      </c>
      <c r="G1331">
        <v>372.88799999999998</v>
      </c>
      <c r="H1331">
        <v>193.87599999999998</v>
      </c>
      <c r="I1331">
        <v>316.44100000000003</v>
      </c>
      <c r="J1331">
        <v>316.44100000000003</v>
      </c>
      <c r="K1331">
        <v>316.44100000000003</v>
      </c>
      <c r="L1331">
        <v>316.44100000000003</v>
      </c>
      <c r="M1331">
        <v>316.44100000000003</v>
      </c>
      <c r="N1331">
        <v>316.44100000000003</v>
      </c>
      <c r="O1331">
        <v>316.44100000000003</v>
      </c>
      <c r="P1331">
        <v>0</v>
      </c>
      <c r="Q1331">
        <v>409.45000000000005</v>
      </c>
      <c r="R1331">
        <v>182.21</v>
      </c>
      <c r="S1331">
        <v>366.51</v>
      </c>
      <c r="T1331">
        <v>193.57</v>
      </c>
      <c r="U1331">
        <v>353.98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 s="164">
        <v>41000</v>
      </c>
      <c r="AC1331" s="164">
        <v>42094</v>
      </c>
      <c r="AD1331" s="164">
        <v>42124</v>
      </c>
      <c r="AE1331" s="34">
        <f>SUMPRODUCT(DB_STProjectsSOF[[#This Row],[Plan01]:[Plan12]],$D$4:$O$4)/valUnits2</f>
        <v>1.4635089999999999</v>
      </c>
      <c r="AF1331" s="34">
        <f>SUMPRODUCT(DB_STProjectsSOF[[#This Row],[Act01]:[Act12]],$P$4:$AA$4)/valUnits2</f>
        <v>1.5057199999999999</v>
      </c>
      <c r="AG1331" s="34">
        <f>DB_STProjectsSOF[[#This Row],[Actual]]-DB_STProjectsSOF[[#This Row],[Plan]]</f>
        <v>4.2210999999999999E-2</v>
      </c>
      <c r="AH1331" s="34">
        <f>IF(DB_STProjectsSOF[[#This Row],[Plan]]&lt;&gt;0,DB_STProjectsSOF[[#This Row],[Actual]]/DB_STProjectsSOF[[#This Row],[Plan]],1.000011000011)</f>
        <v>1.0288423234841739</v>
      </c>
      <c r="AI1331" s="34">
        <f>SUM(DB_STProjectsSOF[[#This Row],[Plan01]:[Plan12]])/valUnits2</f>
        <v>3.3621549999999996</v>
      </c>
      <c r="AJ1331" s="34">
        <f>SUMPRODUCT(DB_STProjectsSOF[[#This Row],[Act01]:[Act12]],$P$3:$AA$3)/valUnits2</f>
        <v>1.5057199999999999</v>
      </c>
      <c r="AK1331" s="34">
        <f>IF(DB_STProjectsSOF[[#This Row],[FY Plan]]&lt;&gt;0,DB_STProjectsSOF[[#This Row],[FY Actuals]]/DB_STProjectsSOF[[#This Row],[FY Plan]],1.000011000011)</f>
        <v>0.44784371928123484</v>
      </c>
    </row>
    <row r="1332" spans="1:37" hidden="1" x14ac:dyDescent="0.2">
      <c r="A1332">
        <f>SUBTOTAL(3,$B$6:B1332)</f>
        <v>0</v>
      </c>
      <c r="B1332" t="s">
        <v>527</v>
      </c>
      <c r="C1332" t="s">
        <v>842</v>
      </c>
      <c r="G1332">
        <v>0</v>
      </c>
      <c r="H1332">
        <v>0</v>
      </c>
      <c r="I1332">
        <v>5609.5990000000002</v>
      </c>
      <c r="J1332">
        <v>5609.5990000000002</v>
      </c>
      <c r="K1332">
        <v>5609.5990000000002</v>
      </c>
      <c r="L1332">
        <v>5609.5990000000002</v>
      </c>
      <c r="M1332">
        <v>5609.5990000000002</v>
      </c>
      <c r="N1332">
        <v>5609.5990000000002</v>
      </c>
      <c r="O1332">
        <v>5609.5989999999993</v>
      </c>
      <c r="S1332">
        <v>0</v>
      </c>
      <c r="T1332">
        <v>0</v>
      </c>
      <c r="U1332">
        <v>1.74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 s="164">
        <v>41214</v>
      </c>
      <c r="AC1332" s="164">
        <v>42308</v>
      </c>
      <c r="AD1332" s="164">
        <v>42389</v>
      </c>
      <c r="AE1332" s="34">
        <f>SUMPRODUCT(DB_STProjectsSOF[[#This Row],[Plan01]:[Plan12]],$D$4:$O$4)/valUnits2</f>
        <v>5.6095990000000002</v>
      </c>
      <c r="AF1332" s="34">
        <f>SUMPRODUCT(DB_STProjectsSOF[[#This Row],[Act01]:[Act12]],$P$4:$AA$4)/valUnits2</f>
        <v>1.74E-3</v>
      </c>
      <c r="AG1332" s="34">
        <f>DB_STProjectsSOF[[#This Row],[Actual]]-DB_STProjectsSOF[[#This Row],[Plan]]</f>
        <v>-5.6078590000000004</v>
      </c>
      <c r="AH1332" s="34">
        <f>IF(DB_STProjectsSOF[[#This Row],[Plan]]&lt;&gt;0,DB_STProjectsSOF[[#This Row],[Actual]]/DB_STProjectsSOF[[#This Row],[Plan]],1.000011000011)</f>
        <v>3.1018259950488437E-4</v>
      </c>
      <c r="AI1332" s="34">
        <f>SUM(DB_STProjectsSOF[[#This Row],[Plan01]:[Plan12]])/valUnits2</f>
        <v>39.267193000000006</v>
      </c>
      <c r="AJ1332" s="34">
        <f>SUMPRODUCT(DB_STProjectsSOF[[#This Row],[Act01]:[Act12]],$P$3:$AA$3)/valUnits2</f>
        <v>1.74E-3</v>
      </c>
      <c r="AK1332" s="34">
        <f>IF(DB_STProjectsSOF[[#This Row],[FY Plan]]&lt;&gt;0,DB_STProjectsSOF[[#This Row],[FY Actuals]]/DB_STProjectsSOF[[#This Row],[FY Plan]],1.000011000011)</f>
        <v>4.431179992926919E-5</v>
      </c>
    </row>
    <row r="1333" spans="1:37" hidden="1" x14ac:dyDescent="0.2">
      <c r="A1333">
        <f>SUBTOTAL(3,$B$6:B1333)</f>
        <v>0</v>
      </c>
      <c r="B1333" t="s">
        <v>527</v>
      </c>
      <c r="C1333" t="s">
        <v>843</v>
      </c>
      <c r="I1333">
        <v>0</v>
      </c>
      <c r="U1333">
        <v>1.92</v>
      </c>
      <c r="AB1333" s="164">
        <v>41275</v>
      </c>
      <c r="AC1333" s="164">
        <v>42369</v>
      </c>
      <c r="AD1333" s="164">
        <v>42492</v>
      </c>
      <c r="AE1333" s="34">
        <f>SUMPRODUCT(DB_STProjectsSOF[[#This Row],[Plan01]:[Plan12]],$D$4:$O$4)/valUnits2</f>
        <v>0</v>
      </c>
      <c r="AF1333" s="34">
        <f>SUMPRODUCT(DB_STProjectsSOF[[#This Row],[Act01]:[Act12]],$P$4:$AA$4)/valUnits2</f>
        <v>1.9199999999999998E-3</v>
      </c>
      <c r="AG1333" s="34">
        <f>DB_STProjectsSOF[[#This Row],[Actual]]-DB_STProjectsSOF[[#This Row],[Plan]]</f>
        <v>1.9199999999999998E-3</v>
      </c>
      <c r="AH1333" s="34">
        <f>IF(DB_STProjectsSOF[[#This Row],[Plan]]&lt;&gt;0,DB_STProjectsSOF[[#This Row],[Actual]]/DB_STProjectsSOF[[#This Row],[Plan]],1.000011000011)</f>
        <v>1.0000110000110001</v>
      </c>
      <c r="AI1333" s="34">
        <f>SUM(DB_STProjectsSOF[[#This Row],[Plan01]:[Plan12]])/valUnits2</f>
        <v>0</v>
      </c>
      <c r="AJ1333" s="34">
        <f>SUMPRODUCT(DB_STProjectsSOF[[#This Row],[Act01]:[Act12]],$P$3:$AA$3)/valUnits2</f>
        <v>1.9199999999999998E-3</v>
      </c>
      <c r="AK1333" s="34">
        <f>IF(DB_STProjectsSOF[[#This Row],[FY Plan]]&lt;&gt;0,DB_STProjectsSOF[[#This Row],[FY Actuals]]/DB_STProjectsSOF[[#This Row],[FY Plan]],1.000011000011)</f>
        <v>1.0000110000110001</v>
      </c>
    </row>
    <row r="1334" spans="1:37" hidden="1" x14ac:dyDescent="0.2">
      <c r="A1334">
        <f>SUBTOTAL(3,$B$6:B1334)</f>
        <v>0</v>
      </c>
      <c r="B1334" t="s">
        <v>527</v>
      </c>
      <c r="C1334" t="s">
        <v>845</v>
      </c>
      <c r="H1334">
        <v>222.23000000000002</v>
      </c>
      <c r="T1334">
        <v>222.23</v>
      </c>
      <c r="AB1334" s="164">
        <v>41275</v>
      </c>
      <c r="AC1334" s="164">
        <v>41639</v>
      </c>
      <c r="AD1334" s="164">
        <v>41729</v>
      </c>
      <c r="AE1334" s="34">
        <f>SUMPRODUCT(DB_STProjectsSOF[[#This Row],[Plan01]:[Plan12]],$D$4:$O$4)/valUnits2</f>
        <v>0.22223000000000001</v>
      </c>
      <c r="AF1334" s="34">
        <f>SUMPRODUCT(DB_STProjectsSOF[[#This Row],[Act01]:[Act12]],$P$4:$AA$4)/valUnits2</f>
        <v>0.22222999999999998</v>
      </c>
      <c r="AG1334" s="34">
        <f>DB_STProjectsSOF[[#This Row],[Actual]]-DB_STProjectsSOF[[#This Row],[Plan]]</f>
        <v>0</v>
      </c>
      <c r="AH1334" s="34">
        <f>IF(DB_STProjectsSOF[[#This Row],[Plan]]&lt;&gt;0,DB_STProjectsSOF[[#This Row],[Actual]]/DB_STProjectsSOF[[#This Row],[Plan]],1.000011000011)</f>
        <v>0.99999999999999989</v>
      </c>
      <c r="AI1334" s="34">
        <f>SUM(DB_STProjectsSOF[[#This Row],[Plan01]:[Plan12]])/valUnits2</f>
        <v>0.22223000000000001</v>
      </c>
      <c r="AJ1334" s="34">
        <f>SUMPRODUCT(DB_STProjectsSOF[[#This Row],[Act01]:[Act12]],$P$3:$AA$3)/valUnits2</f>
        <v>0.22222999999999998</v>
      </c>
      <c r="AK1334" s="34">
        <f>IF(DB_STProjectsSOF[[#This Row],[FY Plan]]&lt;&gt;0,DB_STProjectsSOF[[#This Row],[FY Actuals]]/DB_STProjectsSOF[[#This Row],[FY Plan]],1.000011000011)</f>
        <v>0.99999999999999989</v>
      </c>
    </row>
    <row r="1335" spans="1:37" hidden="1" x14ac:dyDescent="0.2">
      <c r="A1335">
        <f>SUBTOTAL(3,$B$6:B1335)</f>
        <v>0</v>
      </c>
      <c r="B1335" t="s">
        <v>527</v>
      </c>
      <c r="C1335" t="s">
        <v>357</v>
      </c>
      <c r="I1335">
        <v>0</v>
      </c>
      <c r="U1335">
        <v>0.21</v>
      </c>
      <c r="AB1335" s="164">
        <v>40817</v>
      </c>
      <c r="AC1335" s="164">
        <v>41455</v>
      </c>
      <c r="AD1335" s="164">
        <v>41517</v>
      </c>
      <c r="AE1335" s="34">
        <f>SUMPRODUCT(DB_STProjectsSOF[[#This Row],[Plan01]:[Plan12]],$D$4:$O$4)/valUnits2</f>
        <v>0</v>
      </c>
      <c r="AF1335" s="34">
        <f>SUMPRODUCT(DB_STProjectsSOF[[#This Row],[Act01]:[Act12]],$P$4:$AA$4)/valUnits2</f>
        <v>2.0999999999999998E-4</v>
      </c>
      <c r="AG1335" s="34">
        <f>DB_STProjectsSOF[[#This Row],[Actual]]-DB_STProjectsSOF[[#This Row],[Plan]]</f>
        <v>2.0999999999999998E-4</v>
      </c>
      <c r="AH1335" s="34">
        <f>IF(DB_STProjectsSOF[[#This Row],[Plan]]&lt;&gt;0,DB_STProjectsSOF[[#This Row],[Actual]]/DB_STProjectsSOF[[#This Row],[Plan]],1.000011000011)</f>
        <v>1.0000110000110001</v>
      </c>
      <c r="AI1335" s="34">
        <f>SUM(DB_STProjectsSOF[[#This Row],[Plan01]:[Plan12]])/valUnits2</f>
        <v>0</v>
      </c>
      <c r="AJ1335" s="34">
        <f>SUMPRODUCT(DB_STProjectsSOF[[#This Row],[Act01]:[Act12]],$P$3:$AA$3)/valUnits2</f>
        <v>2.0999999999999998E-4</v>
      </c>
      <c r="AK1335" s="34">
        <f>IF(DB_STProjectsSOF[[#This Row],[FY Plan]]&lt;&gt;0,DB_STProjectsSOF[[#This Row],[FY Actuals]]/DB_STProjectsSOF[[#This Row],[FY Plan]],1.000011000011)</f>
        <v>1.0000110000110001</v>
      </c>
    </row>
    <row r="1336" spans="1:37" hidden="1" x14ac:dyDescent="0.2">
      <c r="A1336">
        <f>SUBTOTAL(3,$B$6:B1336)</f>
        <v>0</v>
      </c>
      <c r="B1336" t="s">
        <v>527</v>
      </c>
      <c r="C1336" t="s">
        <v>846</v>
      </c>
      <c r="I1336">
        <v>0</v>
      </c>
      <c r="U1336">
        <v>0.15</v>
      </c>
      <c r="AB1336" s="164">
        <v>40817</v>
      </c>
      <c r="AC1336" s="164">
        <v>41599</v>
      </c>
      <c r="AD1336" s="164">
        <v>41305</v>
      </c>
      <c r="AE1336" s="34">
        <f>SUMPRODUCT(DB_STProjectsSOF[[#This Row],[Plan01]:[Plan12]],$D$4:$O$4)/valUnits2</f>
        <v>0</v>
      </c>
      <c r="AF1336" s="34">
        <f>SUMPRODUCT(DB_STProjectsSOF[[#This Row],[Act01]:[Act12]],$P$4:$AA$4)/valUnits2</f>
        <v>1.4999999999999999E-4</v>
      </c>
      <c r="AG1336" s="34">
        <f>DB_STProjectsSOF[[#This Row],[Actual]]-DB_STProjectsSOF[[#This Row],[Plan]]</f>
        <v>1.4999999999999999E-4</v>
      </c>
      <c r="AH1336" s="34">
        <f>IF(DB_STProjectsSOF[[#This Row],[Plan]]&lt;&gt;0,DB_STProjectsSOF[[#This Row],[Actual]]/DB_STProjectsSOF[[#This Row],[Plan]],1.000011000011)</f>
        <v>1.0000110000110001</v>
      </c>
      <c r="AI1336" s="34">
        <f>SUM(DB_STProjectsSOF[[#This Row],[Plan01]:[Plan12]])/valUnits2</f>
        <v>0</v>
      </c>
      <c r="AJ1336" s="34">
        <f>SUMPRODUCT(DB_STProjectsSOF[[#This Row],[Act01]:[Act12]],$P$3:$AA$3)/valUnits2</f>
        <v>1.4999999999999999E-4</v>
      </c>
      <c r="AK1336" s="34">
        <f>IF(DB_STProjectsSOF[[#This Row],[FY Plan]]&lt;&gt;0,DB_STProjectsSOF[[#This Row],[FY Actuals]]/DB_STProjectsSOF[[#This Row],[FY Plan]],1.000011000011)</f>
        <v>1.0000110000110001</v>
      </c>
    </row>
    <row r="1337" spans="1:37" hidden="1" x14ac:dyDescent="0.2">
      <c r="A1337">
        <f>SUBTOTAL(3,$B$6:B1337)</f>
        <v>0</v>
      </c>
      <c r="B1337" t="s">
        <v>527</v>
      </c>
      <c r="C1337" t="s">
        <v>847</v>
      </c>
      <c r="I1337">
        <v>0</v>
      </c>
      <c r="U1337">
        <v>0.6</v>
      </c>
      <c r="AB1337" s="164">
        <v>41334</v>
      </c>
      <c r="AC1337" s="164">
        <v>41698</v>
      </c>
      <c r="AD1337" s="164">
        <v>41759</v>
      </c>
      <c r="AE1337" s="34">
        <f>SUMPRODUCT(DB_STProjectsSOF[[#This Row],[Plan01]:[Plan12]],$D$4:$O$4)/valUnits2</f>
        <v>0</v>
      </c>
      <c r="AF1337" s="34">
        <f>SUMPRODUCT(DB_STProjectsSOF[[#This Row],[Act01]:[Act12]],$P$4:$AA$4)/valUnits2</f>
        <v>5.9999999999999995E-4</v>
      </c>
      <c r="AG1337" s="34">
        <f>DB_STProjectsSOF[[#This Row],[Actual]]-DB_STProjectsSOF[[#This Row],[Plan]]</f>
        <v>5.9999999999999995E-4</v>
      </c>
      <c r="AH1337" s="34">
        <f>IF(DB_STProjectsSOF[[#This Row],[Plan]]&lt;&gt;0,DB_STProjectsSOF[[#This Row],[Actual]]/DB_STProjectsSOF[[#This Row],[Plan]],1.000011000011)</f>
        <v>1.0000110000110001</v>
      </c>
      <c r="AI1337" s="34">
        <f>SUM(DB_STProjectsSOF[[#This Row],[Plan01]:[Plan12]])/valUnits2</f>
        <v>0</v>
      </c>
      <c r="AJ1337" s="34">
        <f>SUMPRODUCT(DB_STProjectsSOF[[#This Row],[Act01]:[Act12]],$P$3:$AA$3)/valUnits2</f>
        <v>5.9999999999999995E-4</v>
      </c>
      <c r="AK1337" s="34">
        <f>IF(DB_STProjectsSOF[[#This Row],[FY Plan]]&lt;&gt;0,DB_STProjectsSOF[[#This Row],[FY Actuals]]/DB_STProjectsSOF[[#This Row],[FY Plan]],1.000011000011)</f>
        <v>1.0000110000110001</v>
      </c>
    </row>
    <row r="1338" spans="1:37" hidden="1" x14ac:dyDescent="0.2">
      <c r="A1338">
        <f>SUBTOTAL(3,$B$6:B1338)</f>
        <v>0</v>
      </c>
      <c r="B1338" t="s">
        <v>527</v>
      </c>
      <c r="C1338" t="s">
        <v>848</v>
      </c>
      <c r="G1338">
        <v>93.325999999999993</v>
      </c>
      <c r="S1338">
        <v>92.75</v>
      </c>
      <c r="AB1338" s="164">
        <v>40817</v>
      </c>
      <c r="AC1338" s="164">
        <v>41090</v>
      </c>
      <c r="AD1338" s="164">
        <v>41090</v>
      </c>
      <c r="AE1338" s="34">
        <f>SUMPRODUCT(DB_STProjectsSOF[[#This Row],[Plan01]:[Plan12]],$D$4:$O$4)/valUnits2</f>
        <v>9.3325999999999992E-2</v>
      </c>
      <c r="AF1338" s="34">
        <f>SUMPRODUCT(DB_STProjectsSOF[[#This Row],[Act01]:[Act12]],$P$4:$AA$4)/valUnits2</f>
        <v>9.2749999999999999E-2</v>
      </c>
      <c r="AG1338" s="34">
        <f>DB_STProjectsSOF[[#This Row],[Actual]]-DB_STProjectsSOF[[#This Row],[Plan]]</f>
        <v>-5.7599999999999318E-4</v>
      </c>
      <c r="AH1338" s="34">
        <f>IF(DB_STProjectsSOF[[#This Row],[Plan]]&lt;&gt;0,DB_STProjectsSOF[[#This Row],[Actual]]/DB_STProjectsSOF[[#This Row],[Plan]],1.000011000011)</f>
        <v>0.9938280864925102</v>
      </c>
      <c r="AI1338" s="34">
        <f>SUM(DB_STProjectsSOF[[#This Row],[Plan01]:[Plan12]])/valUnits2</f>
        <v>9.3325999999999992E-2</v>
      </c>
      <c r="AJ1338" s="34">
        <f>SUMPRODUCT(DB_STProjectsSOF[[#This Row],[Act01]:[Act12]],$P$3:$AA$3)/valUnits2</f>
        <v>9.2749999999999999E-2</v>
      </c>
      <c r="AK1338" s="34">
        <f>IF(DB_STProjectsSOF[[#This Row],[FY Plan]]&lt;&gt;0,DB_STProjectsSOF[[#This Row],[FY Actuals]]/DB_STProjectsSOF[[#This Row],[FY Plan]],1.000011000011)</f>
        <v>0.9938280864925102</v>
      </c>
    </row>
    <row r="1339" spans="1:37" hidden="1" x14ac:dyDescent="0.2">
      <c r="A1339">
        <f>SUBTOTAL(3,$B$6:B1339)</f>
        <v>0</v>
      </c>
      <c r="B1339" t="s">
        <v>527</v>
      </c>
      <c r="C1339" t="s">
        <v>849</v>
      </c>
      <c r="I1339">
        <v>0</v>
      </c>
      <c r="U1339">
        <v>4.3600000000000003</v>
      </c>
      <c r="AB1339" s="164">
        <v>41153</v>
      </c>
      <c r="AC1339" s="164">
        <v>41364</v>
      </c>
      <c r="AD1339" s="164">
        <v>41424</v>
      </c>
      <c r="AE1339" s="34">
        <f>SUMPRODUCT(DB_STProjectsSOF[[#This Row],[Plan01]:[Plan12]],$D$4:$O$4)/valUnits2</f>
        <v>0</v>
      </c>
      <c r="AF1339" s="34">
        <f>SUMPRODUCT(DB_STProjectsSOF[[#This Row],[Act01]:[Act12]],$P$4:$AA$4)/valUnits2</f>
        <v>4.3600000000000002E-3</v>
      </c>
      <c r="AG1339" s="34">
        <f>DB_STProjectsSOF[[#This Row],[Actual]]-DB_STProjectsSOF[[#This Row],[Plan]]</f>
        <v>4.3600000000000002E-3</v>
      </c>
      <c r="AH1339" s="34">
        <f>IF(DB_STProjectsSOF[[#This Row],[Plan]]&lt;&gt;0,DB_STProjectsSOF[[#This Row],[Actual]]/DB_STProjectsSOF[[#This Row],[Plan]],1.000011000011)</f>
        <v>1.0000110000110001</v>
      </c>
      <c r="AI1339" s="34">
        <f>SUM(DB_STProjectsSOF[[#This Row],[Plan01]:[Plan12]])/valUnits2</f>
        <v>0</v>
      </c>
      <c r="AJ1339" s="34">
        <f>SUMPRODUCT(DB_STProjectsSOF[[#This Row],[Act01]:[Act12]],$P$3:$AA$3)/valUnits2</f>
        <v>4.3600000000000002E-3</v>
      </c>
      <c r="AK1339" s="34">
        <f>IF(DB_STProjectsSOF[[#This Row],[FY Plan]]&lt;&gt;0,DB_STProjectsSOF[[#This Row],[FY Actuals]]/DB_STProjectsSOF[[#This Row],[FY Plan]],1.000011000011)</f>
        <v>1.0000110000110001</v>
      </c>
    </row>
    <row r="1340" spans="1:37" hidden="1" x14ac:dyDescent="0.2">
      <c r="A1340">
        <f>SUBTOTAL(3,$B$6:B1340)</f>
        <v>0</v>
      </c>
      <c r="B1340" t="s">
        <v>527</v>
      </c>
      <c r="C1340" t="s">
        <v>366</v>
      </c>
      <c r="I1340">
        <v>0</v>
      </c>
      <c r="U1340">
        <v>0.36</v>
      </c>
      <c r="AB1340" s="164">
        <v>41153</v>
      </c>
      <c r="AC1340" s="164">
        <v>41517</v>
      </c>
      <c r="AD1340" s="164">
        <v>41567</v>
      </c>
      <c r="AE1340" s="34">
        <f>SUMPRODUCT(DB_STProjectsSOF[[#This Row],[Plan01]:[Plan12]],$D$4:$O$4)/valUnits2</f>
        <v>0</v>
      </c>
      <c r="AF1340" s="34">
        <f>SUMPRODUCT(DB_STProjectsSOF[[#This Row],[Act01]:[Act12]],$P$4:$AA$4)/valUnits2</f>
        <v>3.5999999999999997E-4</v>
      </c>
      <c r="AG1340" s="34">
        <f>DB_STProjectsSOF[[#This Row],[Actual]]-DB_STProjectsSOF[[#This Row],[Plan]]</f>
        <v>3.5999999999999997E-4</v>
      </c>
      <c r="AH1340" s="34">
        <f>IF(DB_STProjectsSOF[[#This Row],[Plan]]&lt;&gt;0,DB_STProjectsSOF[[#This Row],[Actual]]/DB_STProjectsSOF[[#This Row],[Plan]],1.000011000011)</f>
        <v>1.0000110000110001</v>
      </c>
      <c r="AI1340" s="34">
        <f>SUM(DB_STProjectsSOF[[#This Row],[Plan01]:[Plan12]])/valUnits2</f>
        <v>0</v>
      </c>
      <c r="AJ1340" s="34">
        <f>SUMPRODUCT(DB_STProjectsSOF[[#This Row],[Act01]:[Act12]],$P$3:$AA$3)/valUnits2</f>
        <v>3.5999999999999997E-4</v>
      </c>
      <c r="AK1340" s="34">
        <f>IF(DB_STProjectsSOF[[#This Row],[FY Plan]]&lt;&gt;0,DB_STProjectsSOF[[#This Row],[FY Actuals]]/DB_STProjectsSOF[[#This Row],[FY Plan]],1.000011000011)</f>
        <v>1.0000110000110001</v>
      </c>
    </row>
    <row r="1341" spans="1:37" hidden="1" x14ac:dyDescent="0.2">
      <c r="A1341">
        <f>SUBTOTAL(3,$B$6:B1341)</f>
        <v>0</v>
      </c>
      <c r="B1341" t="s">
        <v>527</v>
      </c>
      <c r="C1341" t="s">
        <v>353</v>
      </c>
      <c r="I1341">
        <v>0</v>
      </c>
      <c r="U1341">
        <v>1.23</v>
      </c>
      <c r="AB1341" s="164">
        <v>41214</v>
      </c>
      <c r="AC1341" s="164">
        <v>41455</v>
      </c>
      <c r="AD1341" s="164">
        <v>41532</v>
      </c>
      <c r="AE1341" s="34">
        <f>SUMPRODUCT(DB_STProjectsSOF[[#This Row],[Plan01]:[Plan12]],$D$4:$O$4)/valUnits2</f>
        <v>0</v>
      </c>
      <c r="AF1341" s="34">
        <f>SUMPRODUCT(DB_STProjectsSOF[[#This Row],[Act01]:[Act12]],$P$4:$AA$4)/valUnits2</f>
        <v>1.23E-3</v>
      </c>
      <c r="AG1341" s="34">
        <f>DB_STProjectsSOF[[#This Row],[Actual]]-DB_STProjectsSOF[[#This Row],[Plan]]</f>
        <v>1.23E-3</v>
      </c>
      <c r="AH1341" s="34">
        <f>IF(DB_STProjectsSOF[[#This Row],[Plan]]&lt;&gt;0,DB_STProjectsSOF[[#This Row],[Actual]]/DB_STProjectsSOF[[#This Row],[Plan]],1.000011000011)</f>
        <v>1.0000110000110001</v>
      </c>
      <c r="AI1341" s="34">
        <f>SUM(DB_STProjectsSOF[[#This Row],[Plan01]:[Plan12]])/valUnits2</f>
        <v>0</v>
      </c>
      <c r="AJ1341" s="34">
        <f>SUMPRODUCT(DB_STProjectsSOF[[#This Row],[Act01]:[Act12]],$P$3:$AA$3)/valUnits2</f>
        <v>1.23E-3</v>
      </c>
      <c r="AK1341" s="34">
        <f>IF(DB_STProjectsSOF[[#This Row],[FY Plan]]&lt;&gt;0,DB_STProjectsSOF[[#This Row],[FY Actuals]]/DB_STProjectsSOF[[#This Row],[FY Plan]],1.000011000011)</f>
        <v>1.0000110000110001</v>
      </c>
    </row>
    <row r="1342" spans="1:37" hidden="1" x14ac:dyDescent="0.2">
      <c r="A1342">
        <f>SUBTOTAL(3,$B$6:B1342)</f>
        <v>0</v>
      </c>
      <c r="B1342" t="s">
        <v>527</v>
      </c>
      <c r="C1342" t="s">
        <v>850</v>
      </c>
      <c r="I1342">
        <v>0</v>
      </c>
      <c r="U1342">
        <v>0.55000000000000004</v>
      </c>
      <c r="AB1342" s="164">
        <v>40817</v>
      </c>
      <c r="AC1342" s="164">
        <v>41639</v>
      </c>
      <c r="AD1342" s="164">
        <v>41820</v>
      </c>
      <c r="AE1342" s="34">
        <f>SUMPRODUCT(DB_STProjectsSOF[[#This Row],[Plan01]:[Plan12]],$D$4:$O$4)/valUnits2</f>
        <v>0</v>
      </c>
      <c r="AF1342" s="34">
        <f>SUMPRODUCT(DB_STProjectsSOF[[#This Row],[Act01]:[Act12]],$P$4:$AA$4)/valUnits2</f>
        <v>5.5000000000000003E-4</v>
      </c>
      <c r="AG1342" s="34">
        <f>DB_STProjectsSOF[[#This Row],[Actual]]-DB_STProjectsSOF[[#This Row],[Plan]]</f>
        <v>5.5000000000000003E-4</v>
      </c>
      <c r="AH1342" s="34">
        <f>IF(DB_STProjectsSOF[[#This Row],[Plan]]&lt;&gt;0,DB_STProjectsSOF[[#This Row],[Actual]]/DB_STProjectsSOF[[#This Row],[Plan]],1.000011000011)</f>
        <v>1.0000110000110001</v>
      </c>
      <c r="AI1342" s="34">
        <f>SUM(DB_STProjectsSOF[[#This Row],[Plan01]:[Plan12]])/valUnits2</f>
        <v>0</v>
      </c>
      <c r="AJ1342" s="34">
        <f>SUMPRODUCT(DB_STProjectsSOF[[#This Row],[Act01]:[Act12]],$P$3:$AA$3)/valUnits2</f>
        <v>5.5000000000000003E-4</v>
      </c>
      <c r="AK1342" s="34">
        <f>IF(DB_STProjectsSOF[[#This Row],[FY Plan]]&lt;&gt;0,DB_STProjectsSOF[[#This Row],[FY Actuals]]/DB_STProjectsSOF[[#This Row],[FY Plan]],1.000011000011)</f>
        <v>1.0000110000110001</v>
      </c>
    </row>
    <row r="1343" spans="1:37" hidden="1" x14ac:dyDescent="0.2">
      <c r="A1343">
        <f>SUBTOTAL(3,$B$6:B1343)</f>
        <v>0</v>
      </c>
      <c r="B1343" t="s">
        <v>527</v>
      </c>
      <c r="C1343" t="s">
        <v>853</v>
      </c>
      <c r="I1343">
        <v>0</v>
      </c>
      <c r="U1343">
        <v>0.02</v>
      </c>
      <c r="AB1343" s="164">
        <v>41275</v>
      </c>
      <c r="AC1343" s="164">
        <v>41639</v>
      </c>
      <c r="AD1343" s="164">
        <v>41669</v>
      </c>
      <c r="AE1343" s="34">
        <f>SUMPRODUCT(DB_STProjectsSOF[[#This Row],[Plan01]:[Plan12]],$D$4:$O$4)/valUnits2</f>
        <v>0</v>
      </c>
      <c r="AF1343" s="34">
        <f>SUMPRODUCT(DB_STProjectsSOF[[#This Row],[Act01]:[Act12]],$P$4:$AA$4)/valUnits2</f>
        <v>2.0000000000000002E-5</v>
      </c>
      <c r="AG1343" s="34">
        <f>DB_STProjectsSOF[[#This Row],[Actual]]-DB_STProjectsSOF[[#This Row],[Plan]]</f>
        <v>2.0000000000000002E-5</v>
      </c>
      <c r="AH1343" s="34">
        <f>IF(DB_STProjectsSOF[[#This Row],[Plan]]&lt;&gt;0,DB_STProjectsSOF[[#This Row],[Actual]]/DB_STProjectsSOF[[#This Row],[Plan]],1.000011000011)</f>
        <v>1.0000110000110001</v>
      </c>
      <c r="AI1343" s="34">
        <f>SUM(DB_STProjectsSOF[[#This Row],[Plan01]:[Plan12]])/valUnits2</f>
        <v>0</v>
      </c>
      <c r="AJ1343" s="34">
        <f>SUMPRODUCT(DB_STProjectsSOF[[#This Row],[Act01]:[Act12]],$P$3:$AA$3)/valUnits2</f>
        <v>2.0000000000000002E-5</v>
      </c>
      <c r="AK1343" s="34">
        <f>IF(DB_STProjectsSOF[[#This Row],[FY Plan]]&lt;&gt;0,DB_STProjectsSOF[[#This Row],[FY Actuals]]/DB_STProjectsSOF[[#This Row],[FY Plan]],1.000011000011)</f>
        <v>1.0000110000110001</v>
      </c>
    </row>
    <row r="1344" spans="1:37" hidden="1" x14ac:dyDescent="0.2">
      <c r="A1344">
        <f>SUBTOTAL(3,$B$6:B1344)</f>
        <v>0</v>
      </c>
      <c r="B1344" t="s">
        <v>527</v>
      </c>
      <c r="C1344" t="s">
        <v>854</v>
      </c>
      <c r="I1344">
        <v>0</v>
      </c>
      <c r="U1344">
        <v>0.56000000000000005</v>
      </c>
      <c r="AB1344" s="164">
        <v>40923</v>
      </c>
      <c r="AC1344" s="164">
        <v>41698</v>
      </c>
      <c r="AD1344" s="164">
        <v>41759</v>
      </c>
      <c r="AE1344" s="34">
        <f>SUMPRODUCT(DB_STProjectsSOF[[#This Row],[Plan01]:[Plan12]],$D$4:$O$4)/valUnits2</f>
        <v>0</v>
      </c>
      <c r="AF1344" s="34">
        <f>SUMPRODUCT(DB_STProjectsSOF[[#This Row],[Act01]:[Act12]],$P$4:$AA$4)/valUnits2</f>
        <v>5.6000000000000006E-4</v>
      </c>
      <c r="AG1344" s="34">
        <f>DB_STProjectsSOF[[#This Row],[Actual]]-DB_STProjectsSOF[[#This Row],[Plan]]</f>
        <v>5.6000000000000006E-4</v>
      </c>
      <c r="AH1344" s="34">
        <f>IF(DB_STProjectsSOF[[#This Row],[Plan]]&lt;&gt;0,DB_STProjectsSOF[[#This Row],[Actual]]/DB_STProjectsSOF[[#This Row],[Plan]],1.000011000011)</f>
        <v>1.0000110000110001</v>
      </c>
      <c r="AI1344" s="34">
        <f>SUM(DB_STProjectsSOF[[#This Row],[Plan01]:[Plan12]])/valUnits2</f>
        <v>0</v>
      </c>
      <c r="AJ1344" s="34">
        <f>SUMPRODUCT(DB_STProjectsSOF[[#This Row],[Act01]:[Act12]],$P$3:$AA$3)/valUnits2</f>
        <v>5.6000000000000006E-4</v>
      </c>
      <c r="AK1344" s="34">
        <f>IF(DB_STProjectsSOF[[#This Row],[FY Plan]]&lt;&gt;0,DB_STProjectsSOF[[#This Row],[FY Actuals]]/DB_STProjectsSOF[[#This Row],[FY Plan]],1.000011000011)</f>
        <v>1.0000110000110001</v>
      </c>
    </row>
    <row r="1345" spans="1:37" hidden="1" x14ac:dyDescent="0.2">
      <c r="A1345">
        <f>SUBTOTAL(3,$B$6:B1345)</f>
        <v>0</v>
      </c>
      <c r="B1345" t="s">
        <v>527</v>
      </c>
      <c r="C1345" t="s">
        <v>855</v>
      </c>
      <c r="I1345">
        <v>0</v>
      </c>
      <c r="U1345">
        <v>1.45</v>
      </c>
      <c r="AB1345" s="164">
        <v>40817</v>
      </c>
      <c r="AC1345" s="164">
        <v>41759</v>
      </c>
      <c r="AD1345" s="164">
        <v>41820</v>
      </c>
      <c r="AE1345" s="34">
        <f>SUMPRODUCT(DB_STProjectsSOF[[#This Row],[Plan01]:[Plan12]],$D$4:$O$4)/valUnits2</f>
        <v>0</v>
      </c>
      <c r="AF1345" s="34">
        <f>SUMPRODUCT(DB_STProjectsSOF[[#This Row],[Act01]:[Act12]],$P$4:$AA$4)/valUnits2</f>
        <v>1.4499999999999999E-3</v>
      </c>
      <c r="AG1345" s="34">
        <f>DB_STProjectsSOF[[#This Row],[Actual]]-DB_STProjectsSOF[[#This Row],[Plan]]</f>
        <v>1.4499999999999999E-3</v>
      </c>
      <c r="AH1345" s="34">
        <f>IF(DB_STProjectsSOF[[#This Row],[Plan]]&lt;&gt;0,DB_STProjectsSOF[[#This Row],[Actual]]/DB_STProjectsSOF[[#This Row],[Plan]],1.000011000011)</f>
        <v>1.0000110000110001</v>
      </c>
      <c r="AI1345" s="34">
        <f>SUM(DB_STProjectsSOF[[#This Row],[Plan01]:[Plan12]])/valUnits2</f>
        <v>0</v>
      </c>
      <c r="AJ1345" s="34">
        <f>SUMPRODUCT(DB_STProjectsSOF[[#This Row],[Act01]:[Act12]],$P$3:$AA$3)/valUnits2</f>
        <v>1.4499999999999999E-3</v>
      </c>
      <c r="AK1345" s="34">
        <f>IF(DB_STProjectsSOF[[#This Row],[FY Plan]]&lt;&gt;0,DB_STProjectsSOF[[#This Row],[FY Actuals]]/DB_STProjectsSOF[[#This Row],[FY Plan]],1.000011000011)</f>
        <v>1.0000110000110001</v>
      </c>
    </row>
    <row r="1346" spans="1:37" hidden="1" x14ac:dyDescent="0.2">
      <c r="A1346">
        <f>SUBTOTAL(3,$B$6:B1346)</f>
        <v>0</v>
      </c>
      <c r="B1346" t="s">
        <v>527</v>
      </c>
      <c r="C1346" t="s">
        <v>367</v>
      </c>
      <c r="I1346">
        <v>0</v>
      </c>
      <c r="U1346">
        <v>0.69</v>
      </c>
      <c r="AB1346" s="164">
        <v>40817</v>
      </c>
      <c r="AC1346" s="164">
        <v>41547</v>
      </c>
      <c r="AD1346" s="164">
        <v>41670</v>
      </c>
      <c r="AE1346" s="34">
        <f>SUMPRODUCT(DB_STProjectsSOF[[#This Row],[Plan01]:[Plan12]],$D$4:$O$4)/valUnits2</f>
        <v>0</v>
      </c>
      <c r="AF1346" s="34">
        <f>SUMPRODUCT(DB_STProjectsSOF[[#This Row],[Act01]:[Act12]],$P$4:$AA$4)/valUnits2</f>
        <v>6.8999999999999997E-4</v>
      </c>
      <c r="AG1346" s="34">
        <f>DB_STProjectsSOF[[#This Row],[Actual]]-DB_STProjectsSOF[[#This Row],[Plan]]</f>
        <v>6.8999999999999997E-4</v>
      </c>
      <c r="AH1346" s="34">
        <f>IF(DB_STProjectsSOF[[#This Row],[Plan]]&lt;&gt;0,DB_STProjectsSOF[[#This Row],[Actual]]/DB_STProjectsSOF[[#This Row],[Plan]],1.000011000011)</f>
        <v>1.0000110000110001</v>
      </c>
      <c r="AI1346" s="34">
        <f>SUM(DB_STProjectsSOF[[#This Row],[Plan01]:[Plan12]])/valUnits2</f>
        <v>0</v>
      </c>
      <c r="AJ1346" s="34">
        <f>SUMPRODUCT(DB_STProjectsSOF[[#This Row],[Act01]:[Act12]],$P$3:$AA$3)/valUnits2</f>
        <v>6.8999999999999997E-4</v>
      </c>
      <c r="AK1346" s="34">
        <f>IF(DB_STProjectsSOF[[#This Row],[FY Plan]]&lt;&gt;0,DB_STProjectsSOF[[#This Row],[FY Actuals]]/DB_STProjectsSOF[[#This Row],[FY Plan]],1.000011000011)</f>
        <v>1.0000110000110001</v>
      </c>
    </row>
    <row r="1347" spans="1:37" hidden="1" x14ac:dyDescent="0.2">
      <c r="A1347">
        <f>SUBTOTAL(3,$B$6:B1347)</f>
        <v>0</v>
      </c>
      <c r="B1347" t="s">
        <v>527</v>
      </c>
      <c r="C1347" t="s">
        <v>856</v>
      </c>
      <c r="G1347">
        <v>328.69400000000002</v>
      </c>
      <c r="H1347">
        <v>433.00200000000001</v>
      </c>
      <c r="I1347">
        <v>0</v>
      </c>
      <c r="S1347">
        <v>318.71999999999997</v>
      </c>
      <c r="T1347">
        <v>414.07</v>
      </c>
      <c r="U1347">
        <v>17.920000000000002</v>
      </c>
      <c r="AB1347" s="164">
        <v>40817</v>
      </c>
      <c r="AC1347" s="164">
        <v>42338</v>
      </c>
      <c r="AD1347" s="164">
        <v>42490</v>
      </c>
      <c r="AE1347" s="34">
        <f>SUMPRODUCT(DB_STProjectsSOF[[#This Row],[Plan01]:[Plan12]],$D$4:$O$4)/valUnits2</f>
        <v>0.76169600000000004</v>
      </c>
      <c r="AF1347" s="34">
        <f>SUMPRODUCT(DB_STProjectsSOF[[#This Row],[Act01]:[Act12]],$P$4:$AA$4)/valUnits2</f>
        <v>0.75070999999999988</v>
      </c>
      <c r="AG1347" s="34">
        <f>DB_STProjectsSOF[[#This Row],[Actual]]-DB_STProjectsSOF[[#This Row],[Plan]]</f>
        <v>-1.0986000000000162E-2</v>
      </c>
      <c r="AH1347" s="34">
        <f>IF(DB_STProjectsSOF[[#This Row],[Plan]]&lt;&gt;0,DB_STProjectsSOF[[#This Row],[Actual]]/DB_STProjectsSOF[[#This Row],[Plan]],1.000011000011)</f>
        <v>0.98557692307692291</v>
      </c>
      <c r="AI1347" s="34">
        <f>SUM(DB_STProjectsSOF[[#This Row],[Plan01]:[Plan12]])/valUnits2</f>
        <v>0.76169600000000004</v>
      </c>
      <c r="AJ1347" s="34">
        <f>SUMPRODUCT(DB_STProjectsSOF[[#This Row],[Act01]:[Act12]],$P$3:$AA$3)/valUnits2</f>
        <v>0.75070999999999988</v>
      </c>
      <c r="AK1347" s="34">
        <f>IF(DB_STProjectsSOF[[#This Row],[FY Plan]]&lt;&gt;0,DB_STProjectsSOF[[#This Row],[FY Actuals]]/DB_STProjectsSOF[[#This Row],[FY Plan]],1.000011000011)</f>
        <v>0.98557692307692291</v>
      </c>
    </row>
    <row r="1348" spans="1:37" hidden="1" x14ac:dyDescent="0.2">
      <c r="A1348">
        <f>SUBTOTAL(3,$B$6:B1348)</f>
        <v>0</v>
      </c>
      <c r="B1348" t="s">
        <v>527</v>
      </c>
      <c r="C1348" t="s">
        <v>858</v>
      </c>
      <c r="E1348">
        <v>483.41999999999996</v>
      </c>
      <c r="F1348">
        <v>427.71000000000004</v>
      </c>
      <c r="G1348">
        <v>91.459999999999809</v>
      </c>
      <c r="H1348">
        <v>975.94</v>
      </c>
      <c r="I1348">
        <v>0</v>
      </c>
      <c r="Q1348">
        <v>483.41999999999996</v>
      </c>
      <c r="R1348">
        <v>427.71000000000004</v>
      </c>
      <c r="S1348">
        <v>91.600000000000009</v>
      </c>
      <c r="T1348">
        <v>975.94</v>
      </c>
      <c r="U1348">
        <v>40.75</v>
      </c>
      <c r="AB1348" s="164">
        <v>41275</v>
      </c>
      <c r="AC1348" s="164">
        <v>41639</v>
      </c>
      <c r="AD1348" s="164">
        <v>41784</v>
      </c>
      <c r="AE1348" s="34">
        <f>SUMPRODUCT(DB_STProjectsSOF[[#This Row],[Plan01]:[Plan12]],$D$4:$O$4)/valUnits2</f>
        <v>1.9785299999999997</v>
      </c>
      <c r="AF1348" s="34">
        <f>SUMPRODUCT(DB_STProjectsSOF[[#This Row],[Act01]:[Act12]],$P$4:$AA$4)/valUnits2</f>
        <v>2.0194200000000002</v>
      </c>
      <c r="AG1348" s="34">
        <f>DB_STProjectsSOF[[#This Row],[Actual]]-DB_STProjectsSOF[[#This Row],[Plan]]</f>
        <v>4.0890000000000537E-2</v>
      </c>
      <c r="AH1348" s="34">
        <f>IF(DB_STProjectsSOF[[#This Row],[Plan]]&lt;&gt;0,DB_STProjectsSOF[[#This Row],[Actual]]/DB_STProjectsSOF[[#This Row],[Plan]],1.000011000011)</f>
        <v>1.0206668587284502</v>
      </c>
      <c r="AI1348" s="34">
        <f>SUM(DB_STProjectsSOF[[#This Row],[Plan01]:[Plan12]])/valUnits2</f>
        <v>1.9785299999999997</v>
      </c>
      <c r="AJ1348" s="34">
        <f>SUMPRODUCT(DB_STProjectsSOF[[#This Row],[Act01]:[Act12]],$P$3:$AA$3)/valUnits2</f>
        <v>2.0194200000000002</v>
      </c>
      <c r="AK1348" s="34">
        <f>IF(DB_STProjectsSOF[[#This Row],[FY Plan]]&lt;&gt;0,DB_STProjectsSOF[[#This Row],[FY Actuals]]/DB_STProjectsSOF[[#This Row],[FY Plan]],1.000011000011)</f>
        <v>1.0206668587284502</v>
      </c>
    </row>
    <row r="1349" spans="1:37" hidden="1" x14ac:dyDescent="0.2">
      <c r="A1349">
        <f>SUBTOTAL(3,$B$6:B1349)</f>
        <v>0</v>
      </c>
      <c r="B1349" t="s">
        <v>527</v>
      </c>
      <c r="C1349" t="s">
        <v>859</v>
      </c>
      <c r="I1349">
        <v>0</v>
      </c>
      <c r="U1349">
        <v>1.77</v>
      </c>
      <c r="AB1349" s="164">
        <v>40909</v>
      </c>
      <c r="AC1349" s="164">
        <v>42004</v>
      </c>
      <c r="AD1349" s="164">
        <v>42094</v>
      </c>
      <c r="AE1349" s="34">
        <f>SUMPRODUCT(DB_STProjectsSOF[[#This Row],[Plan01]:[Plan12]],$D$4:$O$4)/valUnits2</f>
        <v>0</v>
      </c>
      <c r="AF1349" s="34">
        <f>SUMPRODUCT(DB_STProjectsSOF[[#This Row],[Act01]:[Act12]],$P$4:$AA$4)/valUnits2</f>
        <v>1.7700000000000001E-3</v>
      </c>
      <c r="AG1349" s="34">
        <f>DB_STProjectsSOF[[#This Row],[Actual]]-DB_STProjectsSOF[[#This Row],[Plan]]</f>
        <v>1.7700000000000001E-3</v>
      </c>
      <c r="AH1349" s="34">
        <f>IF(DB_STProjectsSOF[[#This Row],[Plan]]&lt;&gt;0,DB_STProjectsSOF[[#This Row],[Actual]]/DB_STProjectsSOF[[#This Row],[Plan]],1.000011000011)</f>
        <v>1.0000110000110001</v>
      </c>
      <c r="AI1349" s="34">
        <f>SUM(DB_STProjectsSOF[[#This Row],[Plan01]:[Plan12]])/valUnits2</f>
        <v>0</v>
      </c>
      <c r="AJ1349" s="34">
        <f>SUMPRODUCT(DB_STProjectsSOF[[#This Row],[Act01]:[Act12]],$P$3:$AA$3)/valUnits2</f>
        <v>1.7700000000000001E-3</v>
      </c>
      <c r="AK1349" s="34">
        <f>IF(DB_STProjectsSOF[[#This Row],[FY Plan]]&lt;&gt;0,DB_STProjectsSOF[[#This Row],[FY Actuals]]/DB_STProjectsSOF[[#This Row],[FY Plan]],1.000011000011)</f>
        <v>1.0000110000110001</v>
      </c>
    </row>
    <row r="1350" spans="1:37" hidden="1" x14ac:dyDescent="0.2">
      <c r="A1350">
        <f>SUBTOTAL(3,$B$6:B1350)</f>
        <v>0</v>
      </c>
      <c r="B1350" t="s">
        <v>527</v>
      </c>
      <c r="C1350" t="s">
        <v>860</v>
      </c>
      <c r="F1350">
        <v>5.26</v>
      </c>
      <c r="H1350">
        <v>639.91999999999996</v>
      </c>
      <c r="I1350">
        <v>0</v>
      </c>
      <c r="R1350">
        <v>5.26</v>
      </c>
      <c r="T1350">
        <v>639.91999999999996</v>
      </c>
      <c r="U1350">
        <v>3.68</v>
      </c>
      <c r="AB1350" s="164">
        <v>40969</v>
      </c>
      <c r="AC1350" s="164">
        <v>42643</v>
      </c>
      <c r="AD1350" s="164">
        <v>42704</v>
      </c>
      <c r="AE1350" s="34">
        <f>SUMPRODUCT(DB_STProjectsSOF[[#This Row],[Plan01]:[Plan12]],$D$4:$O$4)/valUnits2</f>
        <v>0.64517999999999998</v>
      </c>
      <c r="AF1350" s="34">
        <f>SUMPRODUCT(DB_STProjectsSOF[[#This Row],[Act01]:[Act12]],$P$4:$AA$4)/valUnits2</f>
        <v>0.64885999999999988</v>
      </c>
      <c r="AG1350" s="34">
        <f>DB_STProjectsSOF[[#This Row],[Actual]]-DB_STProjectsSOF[[#This Row],[Plan]]</f>
        <v>3.6799999999999056E-3</v>
      </c>
      <c r="AH1350" s="34">
        <f>IF(DB_STProjectsSOF[[#This Row],[Plan]]&lt;&gt;0,DB_STProjectsSOF[[#This Row],[Actual]]/DB_STProjectsSOF[[#This Row],[Plan]],1.000011000011)</f>
        <v>1.0057038345887968</v>
      </c>
      <c r="AI1350" s="34">
        <f>SUM(DB_STProjectsSOF[[#This Row],[Plan01]:[Plan12]])/valUnits2</f>
        <v>0.64517999999999998</v>
      </c>
      <c r="AJ1350" s="34">
        <f>SUMPRODUCT(DB_STProjectsSOF[[#This Row],[Act01]:[Act12]],$P$3:$AA$3)/valUnits2</f>
        <v>0.64885999999999988</v>
      </c>
      <c r="AK1350" s="34">
        <f>IF(DB_STProjectsSOF[[#This Row],[FY Plan]]&lt;&gt;0,DB_STProjectsSOF[[#This Row],[FY Actuals]]/DB_STProjectsSOF[[#This Row],[FY Plan]],1.000011000011)</f>
        <v>1.0057038345887968</v>
      </c>
    </row>
    <row r="1351" spans="1:37" hidden="1" x14ac:dyDescent="0.2">
      <c r="A1351">
        <f>SUBTOTAL(3,$B$6:B1351)</f>
        <v>0</v>
      </c>
      <c r="B1351" t="s">
        <v>527</v>
      </c>
      <c r="C1351" t="s">
        <v>862</v>
      </c>
      <c r="I1351">
        <v>0</v>
      </c>
      <c r="U1351">
        <v>1.1000000000000001</v>
      </c>
      <c r="AB1351" s="164">
        <v>41275</v>
      </c>
      <c r="AC1351" s="164">
        <v>41639</v>
      </c>
      <c r="AD1351" s="164">
        <v>3</v>
      </c>
      <c r="AE1351" s="34">
        <f>SUMPRODUCT(DB_STProjectsSOF[[#This Row],[Plan01]:[Plan12]],$D$4:$O$4)/valUnits2</f>
        <v>0</v>
      </c>
      <c r="AF1351" s="34">
        <f>SUMPRODUCT(DB_STProjectsSOF[[#This Row],[Act01]:[Act12]],$P$4:$AA$4)/valUnits2</f>
        <v>1.1000000000000001E-3</v>
      </c>
      <c r="AG1351" s="34">
        <f>DB_STProjectsSOF[[#This Row],[Actual]]-DB_STProjectsSOF[[#This Row],[Plan]]</f>
        <v>1.1000000000000001E-3</v>
      </c>
      <c r="AH1351" s="34">
        <f>IF(DB_STProjectsSOF[[#This Row],[Plan]]&lt;&gt;0,DB_STProjectsSOF[[#This Row],[Actual]]/DB_STProjectsSOF[[#This Row],[Plan]],1.000011000011)</f>
        <v>1.0000110000110001</v>
      </c>
      <c r="AI1351" s="34">
        <f>SUM(DB_STProjectsSOF[[#This Row],[Plan01]:[Plan12]])/valUnits2</f>
        <v>0</v>
      </c>
      <c r="AJ1351" s="34">
        <f>SUMPRODUCT(DB_STProjectsSOF[[#This Row],[Act01]:[Act12]],$P$3:$AA$3)/valUnits2</f>
        <v>1.1000000000000001E-3</v>
      </c>
      <c r="AK1351" s="34">
        <f>IF(DB_STProjectsSOF[[#This Row],[FY Plan]]&lt;&gt;0,DB_STProjectsSOF[[#This Row],[FY Actuals]]/DB_STProjectsSOF[[#This Row],[FY Plan]],1.000011000011)</f>
        <v>1.0000110000110001</v>
      </c>
    </row>
    <row r="1352" spans="1:37" hidden="1" x14ac:dyDescent="0.2">
      <c r="A1352">
        <f>SUBTOTAL(3,$B$6:B1352)</f>
        <v>0</v>
      </c>
      <c r="B1352" t="s">
        <v>527</v>
      </c>
      <c r="C1352" t="s">
        <v>866</v>
      </c>
      <c r="E1352">
        <v>102565.81999999999</v>
      </c>
      <c r="F1352">
        <v>78583.39</v>
      </c>
      <c r="G1352">
        <v>-158244.9</v>
      </c>
      <c r="H1352">
        <v>7174.87</v>
      </c>
      <c r="I1352">
        <v>0</v>
      </c>
      <c r="Q1352">
        <v>102565.82</v>
      </c>
      <c r="R1352">
        <v>78827.949999999983</v>
      </c>
      <c r="S1352">
        <v>-158424.49000000002</v>
      </c>
      <c r="T1352">
        <v>7364.0999999999976</v>
      </c>
      <c r="U1352">
        <v>-1611.8500000000001</v>
      </c>
      <c r="AB1352" s="164">
        <v>41275</v>
      </c>
      <c r="AC1352" s="164">
        <v>41639</v>
      </c>
      <c r="AD1352" s="164">
        <v>41760</v>
      </c>
      <c r="AE1352" s="34">
        <f>SUMPRODUCT(DB_STProjectsSOF[[#This Row],[Plan01]:[Plan12]],$D$4:$O$4)/valUnits2</f>
        <v>30.079179999999997</v>
      </c>
      <c r="AF1352" s="34">
        <f>SUMPRODUCT(DB_STProjectsSOF[[#This Row],[Act01]:[Act12]],$P$4:$AA$4)/valUnits2</f>
        <v>28.721529999999969</v>
      </c>
      <c r="AG1352" s="34">
        <f>DB_STProjectsSOF[[#This Row],[Actual]]-DB_STProjectsSOF[[#This Row],[Plan]]</f>
        <v>-1.357650000000028</v>
      </c>
      <c r="AH1352" s="34">
        <f>IF(DB_STProjectsSOF[[#This Row],[Plan]]&lt;&gt;0,DB_STProjectsSOF[[#This Row],[Actual]]/DB_STProjectsSOF[[#This Row],[Plan]],1.000011000011)</f>
        <v>0.95486412860988801</v>
      </c>
      <c r="AI1352" s="34">
        <f>SUM(DB_STProjectsSOF[[#This Row],[Plan01]:[Plan12]])/valUnits2</f>
        <v>30.079179999999997</v>
      </c>
      <c r="AJ1352" s="34">
        <f>SUMPRODUCT(DB_STProjectsSOF[[#This Row],[Act01]:[Act12]],$P$3:$AA$3)/valUnits2</f>
        <v>28.721529999999969</v>
      </c>
      <c r="AK1352" s="34">
        <f>IF(DB_STProjectsSOF[[#This Row],[FY Plan]]&lt;&gt;0,DB_STProjectsSOF[[#This Row],[FY Actuals]]/DB_STProjectsSOF[[#This Row],[FY Plan]],1.000011000011)</f>
        <v>0.95486412860988801</v>
      </c>
    </row>
    <row r="1353" spans="1:37" hidden="1" x14ac:dyDescent="0.2">
      <c r="A1353">
        <f>SUBTOTAL(3,$B$6:B1353)</f>
        <v>0</v>
      </c>
      <c r="B1353" t="s">
        <v>527</v>
      </c>
      <c r="C1353" t="s">
        <v>868</v>
      </c>
      <c r="I1353">
        <v>0</v>
      </c>
      <c r="U1353">
        <v>0.14000000000000001</v>
      </c>
      <c r="AB1353" s="164">
        <v>40817</v>
      </c>
      <c r="AC1353" s="164">
        <v>41455</v>
      </c>
      <c r="AD1353" s="164">
        <v>41639</v>
      </c>
      <c r="AE1353" s="34">
        <f>SUMPRODUCT(DB_STProjectsSOF[[#This Row],[Plan01]:[Plan12]],$D$4:$O$4)/valUnits2</f>
        <v>0</v>
      </c>
      <c r="AF1353" s="34">
        <f>SUMPRODUCT(DB_STProjectsSOF[[#This Row],[Act01]:[Act12]],$P$4:$AA$4)/valUnits2</f>
        <v>1.4000000000000001E-4</v>
      </c>
      <c r="AG1353" s="34">
        <f>DB_STProjectsSOF[[#This Row],[Actual]]-DB_STProjectsSOF[[#This Row],[Plan]]</f>
        <v>1.4000000000000001E-4</v>
      </c>
      <c r="AH1353" s="34">
        <f>IF(DB_STProjectsSOF[[#This Row],[Plan]]&lt;&gt;0,DB_STProjectsSOF[[#This Row],[Actual]]/DB_STProjectsSOF[[#This Row],[Plan]],1.000011000011)</f>
        <v>1.0000110000110001</v>
      </c>
      <c r="AI1353" s="34">
        <f>SUM(DB_STProjectsSOF[[#This Row],[Plan01]:[Plan12]])/valUnits2</f>
        <v>0</v>
      </c>
      <c r="AJ1353" s="34">
        <f>SUMPRODUCT(DB_STProjectsSOF[[#This Row],[Act01]:[Act12]],$P$3:$AA$3)/valUnits2</f>
        <v>1.4000000000000001E-4</v>
      </c>
      <c r="AK1353" s="34">
        <f>IF(DB_STProjectsSOF[[#This Row],[FY Plan]]&lt;&gt;0,DB_STProjectsSOF[[#This Row],[FY Actuals]]/DB_STProjectsSOF[[#This Row],[FY Plan]],1.000011000011)</f>
        <v>1.0000110000110001</v>
      </c>
    </row>
    <row r="1354" spans="1:37" hidden="1" x14ac:dyDescent="0.2">
      <c r="A1354">
        <f>SUBTOTAL(3,$B$6:B1354)</f>
        <v>0</v>
      </c>
      <c r="B1354" t="s">
        <v>527</v>
      </c>
      <c r="C1354" t="s">
        <v>869</v>
      </c>
      <c r="D1354">
        <v>0</v>
      </c>
      <c r="E1354">
        <v>0</v>
      </c>
      <c r="F1354">
        <v>0</v>
      </c>
      <c r="G1354">
        <v>10.68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10.68</v>
      </c>
      <c r="T1354">
        <v>0</v>
      </c>
      <c r="U1354">
        <v>1.91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 s="164">
        <v>40817</v>
      </c>
      <c r="AC1354" s="164">
        <v>42155</v>
      </c>
      <c r="AD1354" s="164">
        <v>42217</v>
      </c>
      <c r="AE1354" s="34">
        <f>SUMPRODUCT(DB_STProjectsSOF[[#This Row],[Plan01]:[Plan12]],$D$4:$O$4)/valUnits2</f>
        <v>1.068E-2</v>
      </c>
      <c r="AF1354" s="34">
        <f>SUMPRODUCT(DB_STProjectsSOF[[#This Row],[Act01]:[Act12]],$P$4:$AA$4)/valUnits2</f>
        <v>1.259E-2</v>
      </c>
      <c r="AG1354" s="34">
        <f>DB_STProjectsSOF[[#This Row],[Actual]]-DB_STProjectsSOF[[#This Row],[Plan]]</f>
        <v>1.9100000000000002E-3</v>
      </c>
      <c r="AH1354" s="34">
        <f>IF(DB_STProjectsSOF[[#This Row],[Plan]]&lt;&gt;0,DB_STProjectsSOF[[#This Row],[Actual]]/DB_STProjectsSOF[[#This Row],[Plan]],1.000011000011)</f>
        <v>1.1788389513108615</v>
      </c>
      <c r="AI1354" s="34">
        <f>SUM(DB_STProjectsSOF[[#This Row],[Plan01]:[Plan12]])/valUnits2</f>
        <v>1.068E-2</v>
      </c>
      <c r="AJ1354" s="34">
        <f>SUMPRODUCT(DB_STProjectsSOF[[#This Row],[Act01]:[Act12]],$P$3:$AA$3)/valUnits2</f>
        <v>1.259E-2</v>
      </c>
      <c r="AK1354" s="34">
        <f>IF(DB_STProjectsSOF[[#This Row],[FY Plan]]&lt;&gt;0,DB_STProjectsSOF[[#This Row],[FY Actuals]]/DB_STProjectsSOF[[#This Row],[FY Plan]],1.000011000011)</f>
        <v>1.1788389513108615</v>
      </c>
    </row>
    <row r="1355" spans="1:37" hidden="1" x14ac:dyDescent="0.2">
      <c r="A1355">
        <f>SUBTOTAL(3,$B$6:B1355)</f>
        <v>0</v>
      </c>
      <c r="B1355" t="s">
        <v>527</v>
      </c>
      <c r="C1355" t="s">
        <v>872</v>
      </c>
      <c r="I1355">
        <v>0</v>
      </c>
      <c r="U1355">
        <v>0.77</v>
      </c>
      <c r="AB1355" s="164">
        <v>41275</v>
      </c>
      <c r="AC1355" s="164">
        <v>41639</v>
      </c>
      <c r="AD1355" s="164">
        <v>41669</v>
      </c>
      <c r="AE1355" s="34">
        <f>SUMPRODUCT(DB_STProjectsSOF[[#This Row],[Plan01]:[Plan12]],$D$4:$O$4)/valUnits2</f>
        <v>0</v>
      </c>
      <c r="AF1355" s="34">
        <f>SUMPRODUCT(DB_STProjectsSOF[[#This Row],[Act01]:[Act12]],$P$4:$AA$4)/valUnits2</f>
        <v>7.7000000000000007E-4</v>
      </c>
      <c r="AG1355" s="34">
        <f>DB_STProjectsSOF[[#This Row],[Actual]]-DB_STProjectsSOF[[#This Row],[Plan]]</f>
        <v>7.7000000000000007E-4</v>
      </c>
      <c r="AH1355" s="34">
        <f>IF(DB_STProjectsSOF[[#This Row],[Plan]]&lt;&gt;0,DB_STProjectsSOF[[#This Row],[Actual]]/DB_STProjectsSOF[[#This Row],[Plan]],1.000011000011)</f>
        <v>1.0000110000110001</v>
      </c>
      <c r="AI1355" s="34">
        <f>SUM(DB_STProjectsSOF[[#This Row],[Plan01]:[Plan12]])/valUnits2</f>
        <v>0</v>
      </c>
      <c r="AJ1355" s="34">
        <f>SUMPRODUCT(DB_STProjectsSOF[[#This Row],[Act01]:[Act12]],$P$3:$AA$3)/valUnits2</f>
        <v>7.7000000000000007E-4</v>
      </c>
      <c r="AK1355" s="34">
        <f>IF(DB_STProjectsSOF[[#This Row],[FY Plan]]&lt;&gt;0,DB_STProjectsSOF[[#This Row],[FY Actuals]]/DB_STProjectsSOF[[#This Row],[FY Plan]],1.000011000011)</f>
        <v>1.0000110000110001</v>
      </c>
    </row>
    <row r="1356" spans="1:37" hidden="1" x14ac:dyDescent="0.2">
      <c r="A1356">
        <f>SUBTOTAL(3,$B$6:B1356)</f>
        <v>0</v>
      </c>
      <c r="B1356" t="s">
        <v>527</v>
      </c>
      <c r="C1356" t="s">
        <v>874</v>
      </c>
      <c r="G1356">
        <v>5.4349999999999996</v>
      </c>
      <c r="I1356">
        <v>0</v>
      </c>
      <c r="S1356">
        <v>5.33</v>
      </c>
      <c r="U1356">
        <v>2.5499999999999998</v>
      </c>
      <c r="AB1356" s="164">
        <v>40879</v>
      </c>
      <c r="AC1356" s="164">
        <v>43071</v>
      </c>
      <c r="AD1356" s="164">
        <v>43161</v>
      </c>
      <c r="AE1356" s="34">
        <f>SUMPRODUCT(DB_STProjectsSOF[[#This Row],[Plan01]:[Plan12]],$D$4:$O$4)/valUnits2</f>
        <v>5.4349999999999997E-3</v>
      </c>
      <c r="AF1356" s="34">
        <f>SUMPRODUCT(DB_STProjectsSOF[[#This Row],[Act01]:[Act12]],$P$4:$AA$4)/valUnits2</f>
        <v>7.8799999999999999E-3</v>
      </c>
      <c r="AG1356" s="34">
        <f>DB_STProjectsSOF[[#This Row],[Actual]]-DB_STProjectsSOF[[#This Row],[Plan]]</f>
        <v>2.4450000000000001E-3</v>
      </c>
      <c r="AH1356" s="34">
        <f>IF(DB_STProjectsSOF[[#This Row],[Plan]]&lt;&gt;0,DB_STProjectsSOF[[#This Row],[Actual]]/DB_STProjectsSOF[[#This Row],[Plan]],1.000011000011)</f>
        <v>1.4498620055197793</v>
      </c>
      <c r="AI1356" s="34">
        <f>SUM(DB_STProjectsSOF[[#This Row],[Plan01]:[Plan12]])/valUnits2</f>
        <v>5.4349999999999997E-3</v>
      </c>
      <c r="AJ1356" s="34">
        <f>SUMPRODUCT(DB_STProjectsSOF[[#This Row],[Act01]:[Act12]],$P$3:$AA$3)/valUnits2</f>
        <v>7.8799999999999999E-3</v>
      </c>
      <c r="AK1356" s="34">
        <f>IF(DB_STProjectsSOF[[#This Row],[FY Plan]]&lt;&gt;0,DB_STProjectsSOF[[#This Row],[FY Actuals]]/DB_STProjectsSOF[[#This Row],[FY Plan]],1.000011000011)</f>
        <v>1.4498620055197793</v>
      </c>
    </row>
    <row r="1357" spans="1:37" hidden="1" x14ac:dyDescent="0.2">
      <c r="A1357">
        <f>SUBTOTAL(3,$B$6:B1357)</f>
        <v>0</v>
      </c>
      <c r="B1357" t="s">
        <v>527</v>
      </c>
      <c r="C1357" t="s">
        <v>875</v>
      </c>
      <c r="F1357">
        <v>10.256</v>
      </c>
      <c r="I1357">
        <v>0</v>
      </c>
      <c r="R1357">
        <v>10.32</v>
      </c>
      <c r="U1357">
        <v>0.85</v>
      </c>
      <c r="AB1357" s="164">
        <v>41275</v>
      </c>
      <c r="AC1357" s="164">
        <v>41639</v>
      </c>
      <c r="AD1357" s="164">
        <v>41649</v>
      </c>
      <c r="AE1357" s="34">
        <f>SUMPRODUCT(DB_STProjectsSOF[[#This Row],[Plan01]:[Plan12]],$D$4:$O$4)/valUnits2</f>
        <v>1.0255999999999999E-2</v>
      </c>
      <c r="AF1357" s="34">
        <f>SUMPRODUCT(DB_STProjectsSOF[[#This Row],[Act01]:[Act12]],$P$4:$AA$4)/valUnits2</f>
        <v>1.1169999999999999E-2</v>
      </c>
      <c r="AG1357" s="34">
        <f>DB_STProjectsSOF[[#This Row],[Actual]]-DB_STProjectsSOF[[#This Row],[Plan]]</f>
        <v>9.1399999999999988E-4</v>
      </c>
      <c r="AH1357" s="34">
        <f>IF(DB_STProjectsSOF[[#This Row],[Plan]]&lt;&gt;0,DB_STProjectsSOF[[#This Row],[Actual]]/DB_STProjectsSOF[[#This Row],[Plan]],1.000011000011)</f>
        <v>1.0891185647425896</v>
      </c>
      <c r="AI1357" s="34">
        <f>SUM(DB_STProjectsSOF[[#This Row],[Plan01]:[Plan12]])/valUnits2</f>
        <v>1.0255999999999999E-2</v>
      </c>
      <c r="AJ1357" s="34">
        <f>SUMPRODUCT(DB_STProjectsSOF[[#This Row],[Act01]:[Act12]],$P$3:$AA$3)/valUnits2</f>
        <v>1.1169999999999999E-2</v>
      </c>
      <c r="AK1357" s="34">
        <f>IF(DB_STProjectsSOF[[#This Row],[FY Plan]]&lt;&gt;0,DB_STProjectsSOF[[#This Row],[FY Actuals]]/DB_STProjectsSOF[[#This Row],[FY Plan]],1.000011000011)</f>
        <v>1.0891185647425896</v>
      </c>
    </row>
    <row r="1358" spans="1:37" hidden="1" x14ac:dyDescent="0.2">
      <c r="A1358">
        <f>SUBTOTAL(3,$B$6:B1358)</f>
        <v>0</v>
      </c>
      <c r="B1358" t="s">
        <v>527</v>
      </c>
      <c r="C1358" t="s">
        <v>876</v>
      </c>
      <c r="I1358">
        <v>0</v>
      </c>
      <c r="U1358">
        <v>0.91</v>
      </c>
      <c r="AB1358" s="164">
        <v>40817</v>
      </c>
      <c r="AC1358" s="164">
        <v>41820</v>
      </c>
      <c r="AD1358" s="164">
        <v>41835</v>
      </c>
      <c r="AE1358" s="34">
        <f>SUMPRODUCT(DB_STProjectsSOF[[#This Row],[Plan01]:[Plan12]],$D$4:$O$4)/valUnits2</f>
        <v>0</v>
      </c>
      <c r="AF1358" s="34">
        <f>SUMPRODUCT(DB_STProjectsSOF[[#This Row],[Act01]:[Act12]],$P$4:$AA$4)/valUnits2</f>
        <v>9.1E-4</v>
      </c>
      <c r="AG1358" s="34">
        <f>DB_STProjectsSOF[[#This Row],[Actual]]-DB_STProjectsSOF[[#This Row],[Plan]]</f>
        <v>9.1E-4</v>
      </c>
      <c r="AH1358" s="34">
        <f>IF(DB_STProjectsSOF[[#This Row],[Plan]]&lt;&gt;0,DB_STProjectsSOF[[#This Row],[Actual]]/DB_STProjectsSOF[[#This Row],[Plan]],1.000011000011)</f>
        <v>1.0000110000110001</v>
      </c>
      <c r="AI1358" s="34">
        <f>SUM(DB_STProjectsSOF[[#This Row],[Plan01]:[Plan12]])/valUnits2</f>
        <v>0</v>
      </c>
      <c r="AJ1358" s="34">
        <f>SUMPRODUCT(DB_STProjectsSOF[[#This Row],[Act01]:[Act12]],$P$3:$AA$3)/valUnits2</f>
        <v>9.1E-4</v>
      </c>
      <c r="AK1358" s="34">
        <f>IF(DB_STProjectsSOF[[#This Row],[FY Plan]]&lt;&gt;0,DB_STProjectsSOF[[#This Row],[FY Actuals]]/DB_STProjectsSOF[[#This Row],[FY Plan]],1.000011000011)</f>
        <v>1.0000110000110001</v>
      </c>
    </row>
    <row r="1359" spans="1:37" hidden="1" x14ac:dyDescent="0.2">
      <c r="A1359">
        <f>SUBTOTAL(3,$B$6:B1359)</f>
        <v>0</v>
      </c>
      <c r="B1359" t="s">
        <v>527</v>
      </c>
      <c r="C1359" t="s">
        <v>362</v>
      </c>
      <c r="I1359">
        <v>0</v>
      </c>
      <c r="U1359">
        <v>0.59</v>
      </c>
      <c r="AB1359" s="164">
        <v>40909</v>
      </c>
      <c r="AC1359" s="164">
        <v>41486</v>
      </c>
      <c r="AD1359" s="164">
        <v>41670</v>
      </c>
      <c r="AE1359" s="34">
        <f>SUMPRODUCT(DB_STProjectsSOF[[#This Row],[Plan01]:[Plan12]],$D$4:$O$4)/valUnits2</f>
        <v>0</v>
      </c>
      <c r="AF1359" s="34">
        <f>SUMPRODUCT(DB_STProjectsSOF[[#This Row],[Act01]:[Act12]],$P$4:$AA$4)/valUnits2</f>
        <v>5.8999999999999992E-4</v>
      </c>
      <c r="AG1359" s="34">
        <f>DB_STProjectsSOF[[#This Row],[Actual]]-DB_STProjectsSOF[[#This Row],[Plan]]</f>
        <v>5.8999999999999992E-4</v>
      </c>
      <c r="AH1359" s="34">
        <f>IF(DB_STProjectsSOF[[#This Row],[Plan]]&lt;&gt;0,DB_STProjectsSOF[[#This Row],[Actual]]/DB_STProjectsSOF[[#This Row],[Plan]],1.000011000011)</f>
        <v>1.0000110000110001</v>
      </c>
      <c r="AI1359" s="34">
        <f>SUM(DB_STProjectsSOF[[#This Row],[Plan01]:[Plan12]])/valUnits2</f>
        <v>0</v>
      </c>
      <c r="AJ1359" s="34">
        <f>SUMPRODUCT(DB_STProjectsSOF[[#This Row],[Act01]:[Act12]],$P$3:$AA$3)/valUnits2</f>
        <v>5.8999999999999992E-4</v>
      </c>
      <c r="AK1359" s="34">
        <f>IF(DB_STProjectsSOF[[#This Row],[FY Plan]]&lt;&gt;0,DB_STProjectsSOF[[#This Row],[FY Actuals]]/DB_STProjectsSOF[[#This Row],[FY Plan]],1.000011000011)</f>
        <v>1.0000110000110001</v>
      </c>
    </row>
    <row r="1360" spans="1:37" hidden="1" x14ac:dyDescent="0.2">
      <c r="A1360">
        <f>SUBTOTAL(3,$B$6:B1360)</f>
        <v>0</v>
      </c>
      <c r="B1360" t="s">
        <v>527</v>
      </c>
      <c r="C1360" t="s">
        <v>877</v>
      </c>
      <c r="I1360">
        <v>0</v>
      </c>
      <c r="U1360">
        <v>2.35</v>
      </c>
      <c r="AB1360" s="164">
        <v>40817</v>
      </c>
      <c r="AC1360" s="164">
        <v>41639</v>
      </c>
      <c r="AD1360" s="164">
        <v>41729</v>
      </c>
      <c r="AE1360" s="34">
        <f>SUMPRODUCT(DB_STProjectsSOF[[#This Row],[Plan01]:[Plan12]],$D$4:$O$4)/valUnits2</f>
        <v>0</v>
      </c>
      <c r="AF1360" s="34">
        <f>SUMPRODUCT(DB_STProjectsSOF[[#This Row],[Act01]:[Act12]],$P$4:$AA$4)/valUnits2</f>
        <v>2.3500000000000001E-3</v>
      </c>
      <c r="AG1360" s="34">
        <f>DB_STProjectsSOF[[#This Row],[Actual]]-DB_STProjectsSOF[[#This Row],[Plan]]</f>
        <v>2.3500000000000001E-3</v>
      </c>
      <c r="AH1360" s="34">
        <f>IF(DB_STProjectsSOF[[#This Row],[Plan]]&lt;&gt;0,DB_STProjectsSOF[[#This Row],[Actual]]/DB_STProjectsSOF[[#This Row],[Plan]],1.000011000011)</f>
        <v>1.0000110000110001</v>
      </c>
      <c r="AI1360" s="34">
        <f>SUM(DB_STProjectsSOF[[#This Row],[Plan01]:[Plan12]])/valUnits2</f>
        <v>0</v>
      </c>
      <c r="AJ1360" s="34">
        <f>SUMPRODUCT(DB_STProjectsSOF[[#This Row],[Act01]:[Act12]],$P$3:$AA$3)/valUnits2</f>
        <v>2.3500000000000001E-3</v>
      </c>
      <c r="AK1360" s="34">
        <f>IF(DB_STProjectsSOF[[#This Row],[FY Plan]]&lt;&gt;0,DB_STProjectsSOF[[#This Row],[FY Actuals]]/DB_STProjectsSOF[[#This Row],[FY Plan]],1.000011000011)</f>
        <v>1.0000110000110001</v>
      </c>
    </row>
    <row r="1361" spans="1:37" hidden="1" x14ac:dyDescent="0.2">
      <c r="A1361">
        <f>SUBTOTAL(3,$B$6:B1361)</f>
        <v>0</v>
      </c>
      <c r="B1361" t="s">
        <v>527</v>
      </c>
      <c r="C1361" t="s">
        <v>881</v>
      </c>
      <c r="I1361">
        <v>0</v>
      </c>
      <c r="U1361">
        <v>1.1599999999999999</v>
      </c>
      <c r="AB1361" s="164">
        <v>41275</v>
      </c>
      <c r="AC1361" s="164">
        <v>41639</v>
      </c>
      <c r="AD1361" s="164">
        <v>41685</v>
      </c>
      <c r="AE1361" s="34">
        <f>SUMPRODUCT(DB_STProjectsSOF[[#This Row],[Plan01]:[Plan12]],$D$4:$O$4)/valUnits2</f>
        <v>0</v>
      </c>
      <c r="AF1361" s="34">
        <f>SUMPRODUCT(DB_STProjectsSOF[[#This Row],[Act01]:[Act12]],$P$4:$AA$4)/valUnits2</f>
        <v>1.16E-3</v>
      </c>
      <c r="AG1361" s="34">
        <f>DB_STProjectsSOF[[#This Row],[Actual]]-DB_STProjectsSOF[[#This Row],[Plan]]</f>
        <v>1.16E-3</v>
      </c>
      <c r="AH1361" s="34">
        <f>IF(DB_STProjectsSOF[[#This Row],[Plan]]&lt;&gt;0,DB_STProjectsSOF[[#This Row],[Actual]]/DB_STProjectsSOF[[#This Row],[Plan]],1.000011000011)</f>
        <v>1.0000110000110001</v>
      </c>
      <c r="AI1361" s="34">
        <f>SUM(DB_STProjectsSOF[[#This Row],[Plan01]:[Plan12]])/valUnits2</f>
        <v>0</v>
      </c>
      <c r="AJ1361" s="34">
        <f>SUMPRODUCT(DB_STProjectsSOF[[#This Row],[Act01]:[Act12]],$P$3:$AA$3)/valUnits2</f>
        <v>1.16E-3</v>
      </c>
      <c r="AK1361" s="34">
        <f>IF(DB_STProjectsSOF[[#This Row],[FY Plan]]&lt;&gt;0,DB_STProjectsSOF[[#This Row],[FY Actuals]]/DB_STProjectsSOF[[#This Row],[FY Plan]],1.000011000011)</f>
        <v>1.0000110000110001</v>
      </c>
    </row>
    <row r="1362" spans="1:37" hidden="1" x14ac:dyDescent="0.2">
      <c r="A1362">
        <f>SUBTOTAL(3,$B$6:B1362)</f>
        <v>0</v>
      </c>
      <c r="B1362" t="s">
        <v>527</v>
      </c>
      <c r="C1362" t="s">
        <v>884</v>
      </c>
      <c r="D1362">
        <v>1194.347</v>
      </c>
      <c r="E1362">
        <v>1195.8869999999999</v>
      </c>
      <c r="F1362">
        <v>1249.077</v>
      </c>
      <c r="G1362">
        <v>1166.6669999999999</v>
      </c>
      <c r="H1362">
        <v>944.4369999999999</v>
      </c>
      <c r="I1362">
        <v>1166.6669999999999</v>
      </c>
      <c r="J1362">
        <v>1166.6669999999999</v>
      </c>
      <c r="K1362">
        <v>1166.6669999999999</v>
      </c>
      <c r="L1362">
        <v>1166.6669999999999</v>
      </c>
      <c r="M1362">
        <v>1166.6669999999999</v>
      </c>
      <c r="N1362">
        <v>1166.6669999999999</v>
      </c>
      <c r="O1362">
        <v>1166.6669999999999</v>
      </c>
      <c r="P1362">
        <v>27.68</v>
      </c>
      <c r="Q1362">
        <v>29.22</v>
      </c>
      <c r="R1362">
        <v>82.41</v>
      </c>
      <c r="S1362">
        <v>0</v>
      </c>
      <c r="T1362">
        <v>-222.23000000000002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 s="164">
        <v>40909</v>
      </c>
      <c r="AC1362" s="164">
        <v>41274</v>
      </c>
      <c r="AD1362" s="164">
        <v>41364</v>
      </c>
      <c r="AE1362" s="34">
        <f>SUMPRODUCT(DB_STProjectsSOF[[#This Row],[Plan01]:[Plan12]],$D$4:$O$4)/valUnits2</f>
        <v>6.9170819999999988</v>
      </c>
      <c r="AF1362" s="34">
        <f>SUMPRODUCT(DB_STProjectsSOF[[#This Row],[Act01]:[Act12]],$P$4:$AA$4)/valUnits2</f>
        <v>-8.2920000000000021E-2</v>
      </c>
      <c r="AG1362" s="34">
        <f>DB_STProjectsSOF[[#This Row],[Actual]]-DB_STProjectsSOF[[#This Row],[Plan]]</f>
        <v>-7.0000019999999985</v>
      </c>
      <c r="AH1362" s="34">
        <f>IF(DB_STProjectsSOF[[#This Row],[Plan]]&lt;&gt;0,DB_STProjectsSOF[[#This Row],[Actual]]/DB_STProjectsSOF[[#This Row],[Plan]],1.000011000011)</f>
        <v>-1.198771389438495E-2</v>
      </c>
      <c r="AI1362" s="34">
        <f>SUM(DB_STProjectsSOF[[#This Row],[Plan01]:[Plan12]])/valUnits2</f>
        <v>13.917083999999996</v>
      </c>
      <c r="AJ1362" s="34">
        <f>SUMPRODUCT(DB_STProjectsSOF[[#This Row],[Act01]:[Act12]],$P$3:$AA$3)/valUnits2</f>
        <v>-8.2920000000000021E-2</v>
      </c>
      <c r="AK1362" s="34">
        <f>IF(DB_STProjectsSOF[[#This Row],[FY Plan]]&lt;&gt;0,DB_STProjectsSOF[[#This Row],[FY Actuals]]/DB_STProjectsSOF[[#This Row],[FY Plan]],1.000011000011)</f>
        <v>-5.9581446803080333E-3</v>
      </c>
    </row>
    <row r="1363" spans="1:37" hidden="1" x14ac:dyDescent="0.2">
      <c r="A1363">
        <f>SUBTOTAL(3,$B$6:B1363)</f>
        <v>0</v>
      </c>
      <c r="B1363" t="s">
        <v>527</v>
      </c>
      <c r="C1363" t="s">
        <v>885</v>
      </c>
      <c r="I1363">
        <v>0</v>
      </c>
      <c r="U1363">
        <v>1.19</v>
      </c>
      <c r="AB1363" s="164">
        <v>40817</v>
      </c>
      <c r="AC1363" s="164">
        <v>41639</v>
      </c>
      <c r="AD1363" s="164">
        <v>41820</v>
      </c>
      <c r="AE1363" s="34">
        <f>SUMPRODUCT(DB_STProjectsSOF[[#This Row],[Plan01]:[Plan12]],$D$4:$O$4)/valUnits2</f>
        <v>0</v>
      </c>
      <c r="AF1363" s="34">
        <f>SUMPRODUCT(DB_STProjectsSOF[[#This Row],[Act01]:[Act12]],$P$4:$AA$4)/valUnits2</f>
        <v>1.1899999999999999E-3</v>
      </c>
      <c r="AG1363" s="34">
        <f>DB_STProjectsSOF[[#This Row],[Actual]]-DB_STProjectsSOF[[#This Row],[Plan]]</f>
        <v>1.1899999999999999E-3</v>
      </c>
      <c r="AH1363" s="34">
        <f>IF(DB_STProjectsSOF[[#This Row],[Plan]]&lt;&gt;0,DB_STProjectsSOF[[#This Row],[Actual]]/DB_STProjectsSOF[[#This Row],[Plan]],1.000011000011)</f>
        <v>1.0000110000110001</v>
      </c>
      <c r="AI1363" s="34">
        <f>SUM(DB_STProjectsSOF[[#This Row],[Plan01]:[Plan12]])/valUnits2</f>
        <v>0</v>
      </c>
      <c r="AJ1363" s="34">
        <f>SUMPRODUCT(DB_STProjectsSOF[[#This Row],[Act01]:[Act12]],$P$3:$AA$3)/valUnits2</f>
        <v>1.1899999999999999E-3</v>
      </c>
      <c r="AK1363" s="34">
        <f>IF(DB_STProjectsSOF[[#This Row],[FY Plan]]&lt;&gt;0,DB_STProjectsSOF[[#This Row],[FY Actuals]]/DB_STProjectsSOF[[#This Row],[FY Plan]],1.000011000011)</f>
        <v>1.0000110000110001</v>
      </c>
    </row>
    <row r="1364" spans="1:37" hidden="1" x14ac:dyDescent="0.2">
      <c r="A1364">
        <f>SUBTOTAL(3,$B$6:B1364)</f>
        <v>0</v>
      </c>
      <c r="B1364" t="s">
        <v>527</v>
      </c>
      <c r="C1364" t="s">
        <v>361</v>
      </c>
      <c r="I1364">
        <v>0</v>
      </c>
      <c r="U1364">
        <v>0.23</v>
      </c>
      <c r="AB1364" s="164">
        <v>41091</v>
      </c>
      <c r="AC1364" s="164">
        <v>41455</v>
      </c>
      <c r="AD1364" s="164">
        <v>41486</v>
      </c>
      <c r="AE1364" s="34">
        <f>SUMPRODUCT(DB_STProjectsSOF[[#This Row],[Plan01]:[Plan12]],$D$4:$O$4)/valUnits2</f>
        <v>0</v>
      </c>
      <c r="AF1364" s="34">
        <f>SUMPRODUCT(DB_STProjectsSOF[[#This Row],[Act01]:[Act12]],$P$4:$AA$4)/valUnits2</f>
        <v>2.3000000000000001E-4</v>
      </c>
      <c r="AG1364" s="34">
        <f>DB_STProjectsSOF[[#This Row],[Actual]]-DB_STProjectsSOF[[#This Row],[Plan]]</f>
        <v>2.3000000000000001E-4</v>
      </c>
      <c r="AH1364" s="34">
        <f>IF(DB_STProjectsSOF[[#This Row],[Plan]]&lt;&gt;0,DB_STProjectsSOF[[#This Row],[Actual]]/DB_STProjectsSOF[[#This Row],[Plan]],1.000011000011)</f>
        <v>1.0000110000110001</v>
      </c>
      <c r="AI1364" s="34">
        <f>SUM(DB_STProjectsSOF[[#This Row],[Plan01]:[Plan12]])/valUnits2</f>
        <v>0</v>
      </c>
      <c r="AJ1364" s="34">
        <f>SUMPRODUCT(DB_STProjectsSOF[[#This Row],[Act01]:[Act12]],$P$3:$AA$3)/valUnits2</f>
        <v>2.3000000000000001E-4</v>
      </c>
      <c r="AK1364" s="34">
        <f>IF(DB_STProjectsSOF[[#This Row],[FY Plan]]&lt;&gt;0,DB_STProjectsSOF[[#This Row],[FY Actuals]]/DB_STProjectsSOF[[#This Row],[FY Plan]],1.000011000011)</f>
        <v>1.0000110000110001</v>
      </c>
    </row>
    <row r="1365" spans="1:37" hidden="1" x14ac:dyDescent="0.2">
      <c r="A1365">
        <f>SUBTOTAL(3,$B$6:B1365)</f>
        <v>0</v>
      </c>
      <c r="B1365" t="s">
        <v>527</v>
      </c>
      <c r="C1365" t="s">
        <v>358</v>
      </c>
      <c r="I1365">
        <v>0</v>
      </c>
      <c r="U1365">
        <v>0.86</v>
      </c>
      <c r="AB1365" s="164">
        <v>41091</v>
      </c>
      <c r="AC1365" s="164">
        <v>41455</v>
      </c>
      <c r="AD1365" s="164">
        <v>41517</v>
      </c>
      <c r="AE1365" s="34">
        <f>SUMPRODUCT(DB_STProjectsSOF[[#This Row],[Plan01]:[Plan12]],$D$4:$O$4)/valUnits2</f>
        <v>0</v>
      </c>
      <c r="AF1365" s="34">
        <f>SUMPRODUCT(DB_STProjectsSOF[[#This Row],[Act01]:[Act12]],$P$4:$AA$4)/valUnits2</f>
        <v>8.5999999999999998E-4</v>
      </c>
      <c r="AG1365" s="34">
        <f>DB_STProjectsSOF[[#This Row],[Actual]]-DB_STProjectsSOF[[#This Row],[Plan]]</f>
        <v>8.5999999999999998E-4</v>
      </c>
      <c r="AH1365" s="34">
        <f>IF(DB_STProjectsSOF[[#This Row],[Plan]]&lt;&gt;0,DB_STProjectsSOF[[#This Row],[Actual]]/DB_STProjectsSOF[[#This Row],[Plan]],1.000011000011)</f>
        <v>1.0000110000110001</v>
      </c>
      <c r="AI1365" s="34">
        <f>SUM(DB_STProjectsSOF[[#This Row],[Plan01]:[Plan12]])/valUnits2</f>
        <v>0</v>
      </c>
      <c r="AJ1365" s="34">
        <f>SUMPRODUCT(DB_STProjectsSOF[[#This Row],[Act01]:[Act12]],$P$3:$AA$3)/valUnits2</f>
        <v>8.5999999999999998E-4</v>
      </c>
      <c r="AK1365" s="34">
        <f>IF(DB_STProjectsSOF[[#This Row],[FY Plan]]&lt;&gt;0,DB_STProjectsSOF[[#This Row],[FY Actuals]]/DB_STProjectsSOF[[#This Row],[FY Plan]],1.000011000011)</f>
        <v>1.0000110000110001</v>
      </c>
    </row>
    <row r="1366" spans="1:37" hidden="1" x14ac:dyDescent="0.2">
      <c r="A1366">
        <f>SUBTOTAL(3,$B$6:B1366)</f>
        <v>0</v>
      </c>
      <c r="B1366" t="s">
        <v>527</v>
      </c>
      <c r="C1366" t="s">
        <v>890</v>
      </c>
      <c r="I1366">
        <v>0</v>
      </c>
      <c r="U1366">
        <v>1.27</v>
      </c>
      <c r="AB1366" s="164">
        <v>40817</v>
      </c>
      <c r="AC1366" s="164">
        <v>41639</v>
      </c>
      <c r="AD1366" s="164">
        <v>41639</v>
      </c>
      <c r="AE1366" s="34">
        <f>SUMPRODUCT(DB_STProjectsSOF[[#This Row],[Plan01]:[Plan12]],$D$4:$O$4)/valUnits2</f>
        <v>0</v>
      </c>
      <c r="AF1366" s="34">
        <f>SUMPRODUCT(DB_STProjectsSOF[[#This Row],[Act01]:[Act12]],$P$4:$AA$4)/valUnits2</f>
        <v>1.2700000000000001E-3</v>
      </c>
      <c r="AG1366" s="34">
        <f>DB_STProjectsSOF[[#This Row],[Actual]]-DB_STProjectsSOF[[#This Row],[Plan]]</f>
        <v>1.2700000000000001E-3</v>
      </c>
      <c r="AH1366" s="34">
        <f>IF(DB_STProjectsSOF[[#This Row],[Plan]]&lt;&gt;0,DB_STProjectsSOF[[#This Row],[Actual]]/DB_STProjectsSOF[[#This Row],[Plan]],1.000011000011)</f>
        <v>1.0000110000110001</v>
      </c>
      <c r="AI1366" s="34">
        <f>SUM(DB_STProjectsSOF[[#This Row],[Plan01]:[Plan12]])/valUnits2</f>
        <v>0</v>
      </c>
      <c r="AJ1366" s="34">
        <f>SUMPRODUCT(DB_STProjectsSOF[[#This Row],[Act01]:[Act12]],$P$3:$AA$3)/valUnits2</f>
        <v>1.2700000000000001E-3</v>
      </c>
      <c r="AK1366" s="34">
        <f>IF(DB_STProjectsSOF[[#This Row],[FY Plan]]&lt;&gt;0,DB_STProjectsSOF[[#This Row],[FY Actuals]]/DB_STProjectsSOF[[#This Row],[FY Plan]],1.000011000011)</f>
        <v>1.0000110000110001</v>
      </c>
    </row>
    <row r="1367" spans="1:37" hidden="1" x14ac:dyDescent="0.2">
      <c r="A1367">
        <f>SUBTOTAL(3,$B$6:B1367)</f>
        <v>0</v>
      </c>
      <c r="B1367" t="s">
        <v>527</v>
      </c>
      <c r="C1367" t="s">
        <v>891</v>
      </c>
      <c r="I1367">
        <v>0</v>
      </c>
      <c r="U1367">
        <v>0.91</v>
      </c>
      <c r="AB1367" s="164">
        <v>41214</v>
      </c>
      <c r="AC1367" s="164">
        <v>42308</v>
      </c>
      <c r="AD1367" s="164">
        <v>42389</v>
      </c>
      <c r="AE1367" s="34">
        <f>SUMPRODUCT(DB_STProjectsSOF[[#This Row],[Plan01]:[Plan12]],$D$4:$O$4)/valUnits2</f>
        <v>0</v>
      </c>
      <c r="AF1367" s="34">
        <f>SUMPRODUCT(DB_STProjectsSOF[[#This Row],[Act01]:[Act12]],$P$4:$AA$4)/valUnits2</f>
        <v>9.1E-4</v>
      </c>
      <c r="AG1367" s="34">
        <f>DB_STProjectsSOF[[#This Row],[Actual]]-DB_STProjectsSOF[[#This Row],[Plan]]</f>
        <v>9.1E-4</v>
      </c>
      <c r="AH1367" s="34">
        <f>IF(DB_STProjectsSOF[[#This Row],[Plan]]&lt;&gt;0,DB_STProjectsSOF[[#This Row],[Actual]]/DB_STProjectsSOF[[#This Row],[Plan]],1.000011000011)</f>
        <v>1.0000110000110001</v>
      </c>
      <c r="AI1367" s="34">
        <f>SUM(DB_STProjectsSOF[[#This Row],[Plan01]:[Plan12]])/valUnits2</f>
        <v>0</v>
      </c>
      <c r="AJ1367" s="34">
        <f>SUMPRODUCT(DB_STProjectsSOF[[#This Row],[Act01]:[Act12]],$P$3:$AA$3)/valUnits2</f>
        <v>9.1E-4</v>
      </c>
      <c r="AK1367" s="34">
        <f>IF(DB_STProjectsSOF[[#This Row],[FY Plan]]&lt;&gt;0,DB_STProjectsSOF[[#This Row],[FY Actuals]]/DB_STProjectsSOF[[#This Row],[FY Plan]],1.000011000011)</f>
        <v>1.0000110000110001</v>
      </c>
    </row>
    <row r="1368" spans="1:37" hidden="1" x14ac:dyDescent="0.2">
      <c r="A1368">
        <f>SUBTOTAL(3,$B$6:B1368)</f>
        <v>0</v>
      </c>
      <c r="B1368" t="s">
        <v>527</v>
      </c>
      <c r="C1368" t="s">
        <v>368</v>
      </c>
      <c r="I1368">
        <v>0</v>
      </c>
      <c r="U1368">
        <v>10.37</v>
      </c>
      <c r="AB1368" s="164">
        <v>41000</v>
      </c>
      <c r="AC1368" s="164">
        <v>41820</v>
      </c>
      <c r="AD1368" s="164">
        <v>41517</v>
      </c>
      <c r="AE1368" s="34">
        <f>SUMPRODUCT(DB_STProjectsSOF[[#This Row],[Plan01]:[Plan12]],$D$4:$O$4)/valUnits2</f>
        <v>0</v>
      </c>
      <c r="AF1368" s="34">
        <f>SUMPRODUCT(DB_STProjectsSOF[[#This Row],[Act01]:[Act12]],$P$4:$AA$4)/valUnits2</f>
        <v>1.0369999999999999E-2</v>
      </c>
      <c r="AG1368" s="34">
        <f>DB_STProjectsSOF[[#This Row],[Actual]]-DB_STProjectsSOF[[#This Row],[Plan]]</f>
        <v>1.0369999999999999E-2</v>
      </c>
      <c r="AH1368" s="34">
        <f>IF(DB_STProjectsSOF[[#This Row],[Plan]]&lt;&gt;0,DB_STProjectsSOF[[#This Row],[Actual]]/DB_STProjectsSOF[[#This Row],[Plan]],1.000011000011)</f>
        <v>1.0000110000110001</v>
      </c>
      <c r="AI1368" s="34">
        <f>SUM(DB_STProjectsSOF[[#This Row],[Plan01]:[Plan12]])/valUnits2</f>
        <v>0</v>
      </c>
      <c r="AJ1368" s="34">
        <f>SUMPRODUCT(DB_STProjectsSOF[[#This Row],[Act01]:[Act12]],$P$3:$AA$3)/valUnits2</f>
        <v>1.0369999999999999E-2</v>
      </c>
      <c r="AK1368" s="34">
        <f>IF(DB_STProjectsSOF[[#This Row],[FY Plan]]&lt;&gt;0,DB_STProjectsSOF[[#This Row],[FY Actuals]]/DB_STProjectsSOF[[#This Row],[FY Plan]],1.000011000011)</f>
        <v>1.0000110000110001</v>
      </c>
    </row>
    <row r="1369" spans="1:37" hidden="1" x14ac:dyDescent="0.2">
      <c r="A1369">
        <f>SUBTOTAL(3,$B$6:B1369)</f>
        <v>0</v>
      </c>
      <c r="B1369" t="s">
        <v>527</v>
      </c>
      <c r="C1369" t="s">
        <v>892</v>
      </c>
      <c r="I1369">
        <v>0</v>
      </c>
      <c r="U1369">
        <v>0.31</v>
      </c>
      <c r="AB1369" s="164">
        <v>40817</v>
      </c>
      <c r="AC1369" s="164">
        <v>41639</v>
      </c>
      <c r="AD1369" s="164">
        <v>3</v>
      </c>
      <c r="AE1369" s="34">
        <f>SUMPRODUCT(DB_STProjectsSOF[[#This Row],[Plan01]:[Plan12]],$D$4:$O$4)/valUnits2</f>
        <v>0</v>
      </c>
      <c r="AF1369" s="34">
        <f>SUMPRODUCT(DB_STProjectsSOF[[#This Row],[Act01]:[Act12]],$P$4:$AA$4)/valUnits2</f>
        <v>3.1E-4</v>
      </c>
      <c r="AG1369" s="34">
        <f>DB_STProjectsSOF[[#This Row],[Actual]]-DB_STProjectsSOF[[#This Row],[Plan]]</f>
        <v>3.1E-4</v>
      </c>
      <c r="AH1369" s="34">
        <f>IF(DB_STProjectsSOF[[#This Row],[Plan]]&lt;&gt;0,DB_STProjectsSOF[[#This Row],[Actual]]/DB_STProjectsSOF[[#This Row],[Plan]],1.000011000011)</f>
        <v>1.0000110000110001</v>
      </c>
      <c r="AI1369" s="34">
        <f>SUM(DB_STProjectsSOF[[#This Row],[Plan01]:[Plan12]])/valUnits2</f>
        <v>0</v>
      </c>
      <c r="AJ1369" s="34">
        <f>SUMPRODUCT(DB_STProjectsSOF[[#This Row],[Act01]:[Act12]],$P$3:$AA$3)/valUnits2</f>
        <v>3.1E-4</v>
      </c>
      <c r="AK1369" s="34">
        <f>IF(DB_STProjectsSOF[[#This Row],[FY Plan]]&lt;&gt;0,DB_STProjectsSOF[[#This Row],[FY Actuals]]/DB_STProjectsSOF[[#This Row],[FY Plan]],1.000011000011)</f>
        <v>1.0000110000110001</v>
      </c>
    </row>
    <row r="1370" spans="1:37" hidden="1" x14ac:dyDescent="0.2">
      <c r="A1370">
        <f>SUBTOTAL(3,$B$6:B1370)</f>
        <v>0</v>
      </c>
      <c r="B1370" t="s">
        <v>527</v>
      </c>
      <c r="C1370" t="s">
        <v>895</v>
      </c>
      <c r="I1370">
        <v>0</v>
      </c>
      <c r="U1370">
        <v>1.05</v>
      </c>
      <c r="AB1370" s="164">
        <v>40553</v>
      </c>
      <c r="AC1370" s="164">
        <v>41897</v>
      </c>
      <c r="AD1370" s="164">
        <v>41988</v>
      </c>
      <c r="AE1370" s="34">
        <f>SUMPRODUCT(DB_STProjectsSOF[[#This Row],[Plan01]:[Plan12]],$D$4:$O$4)/valUnits2</f>
        <v>0</v>
      </c>
      <c r="AF1370" s="34">
        <f>SUMPRODUCT(DB_STProjectsSOF[[#This Row],[Act01]:[Act12]],$P$4:$AA$4)/valUnits2</f>
        <v>1.0500000000000002E-3</v>
      </c>
      <c r="AG1370" s="34">
        <f>DB_STProjectsSOF[[#This Row],[Actual]]-DB_STProjectsSOF[[#This Row],[Plan]]</f>
        <v>1.0500000000000002E-3</v>
      </c>
      <c r="AH1370" s="34">
        <f>IF(DB_STProjectsSOF[[#This Row],[Plan]]&lt;&gt;0,DB_STProjectsSOF[[#This Row],[Actual]]/DB_STProjectsSOF[[#This Row],[Plan]],1.000011000011)</f>
        <v>1.0000110000110001</v>
      </c>
      <c r="AI1370" s="34">
        <f>SUM(DB_STProjectsSOF[[#This Row],[Plan01]:[Plan12]])/valUnits2</f>
        <v>0</v>
      </c>
      <c r="AJ1370" s="34">
        <f>SUMPRODUCT(DB_STProjectsSOF[[#This Row],[Act01]:[Act12]],$P$3:$AA$3)/valUnits2</f>
        <v>1.0500000000000002E-3</v>
      </c>
      <c r="AK1370" s="34">
        <f>IF(DB_STProjectsSOF[[#This Row],[FY Plan]]&lt;&gt;0,DB_STProjectsSOF[[#This Row],[FY Actuals]]/DB_STProjectsSOF[[#This Row],[FY Plan]],1.000011000011)</f>
        <v>1.0000110000110001</v>
      </c>
    </row>
    <row r="1371" spans="1:37" hidden="1" x14ac:dyDescent="0.2">
      <c r="A1371">
        <f>SUBTOTAL(3,$B$6:B1371)</f>
        <v>0</v>
      </c>
      <c r="B1371" t="s">
        <v>527</v>
      </c>
      <c r="C1371" t="s">
        <v>896</v>
      </c>
      <c r="H1371">
        <v>177.86799999999999</v>
      </c>
      <c r="I1371">
        <v>0</v>
      </c>
      <c r="T1371">
        <v>178.73</v>
      </c>
      <c r="U1371">
        <v>37.35</v>
      </c>
      <c r="AB1371" s="164">
        <v>40817</v>
      </c>
      <c r="AC1371" s="164">
        <v>41639</v>
      </c>
      <c r="AD1371" s="164">
        <v>41820</v>
      </c>
      <c r="AE1371" s="34">
        <f>SUMPRODUCT(DB_STProjectsSOF[[#This Row],[Plan01]:[Plan12]],$D$4:$O$4)/valUnits2</f>
        <v>0.177868</v>
      </c>
      <c r="AF1371" s="34">
        <f>SUMPRODUCT(DB_STProjectsSOF[[#This Row],[Act01]:[Act12]],$P$4:$AA$4)/valUnits2</f>
        <v>0.21607999999999999</v>
      </c>
      <c r="AG1371" s="34">
        <f>DB_STProjectsSOF[[#This Row],[Actual]]-DB_STProjectsSOF[[#This Row],[Plan]]</f>
        <v>3.8211999999999996E-2</v>
      </c>
      <c r="AH1371" s="34">
        <f>IF(DB_STProjectsSOF[[#This Row],[Plan]]&lt;&gt;0,DB_STProjectsSOF[[#This Row],[Actual]]/DB_STProjectsSOF[[#This Row],[Plan]],1.000011000011)</f>
        <v>1.2148334720129534</v>
      </c>
      <c r="AI1371" s="34">
        <f>SUM(DB_STProjectsSOF[[#This Row],[Plan01]:[Plan12]])/valUnits2</f>
        <v>0.177868</v>
      </c>
      <c r="AJ1371" s="34">
        <f>SUMPRODUCT(DB_STProjectsSOF[[#This Row],[Act01]:[Act12]],$P$3:$AA$3)/valUnits2</f>
        <v>0.21607999999999999</v>
      </c>
      <c r="AK1371" s="34">
        <f>IF(DB_STProjectsSOF[[#This Row],[FY Plan]]&lt;&gt;0,DB_STProjectsSOF[[#This Row],[FY Actuals]]/DB_STProjectsSOF[[#This Row],[FY Plan]],1.000011000011)</f>
        <v>1.2148334720129534</v>
      </c>
    </row>
    <row r="1372" spans="1:37" hidden="1" x14ac:dyDescent="0.2">
      <c r="A1372">
        <f>SUBTOTAL(3,$B$6:B1372)</f>
        <v>0</v>
      </c>
      <c r="B1372" t="s">
        <v>527</v>
      </c>
      <c r="C1372" t="s">
        <v>903</v>
      </c>
      <c r="I1372">
        <v>0</v>
      </c>
      <c r="U1372">
        <v>0.17</v>
      </c>
      <c r="AB1372" s="164">
        <v>41275</v>
      </c>
      <c r="AC1372" s="164">
        <v>41639</v>
      </c>
      <c r="AD1372" s="164">
        <v>41670</v>
      </c>
      <c r="AE1372" s="34">
        <f>SUMPRODUCT(DB_STProjectsSOF[[#This Row],[Plan01]:[Plan12]],$D$4:$O$4)/valUnits2</f>
        <v>0</v>
      </c>
      <c r="AF1372" s="34">
        <f>SUMPRODUCT(DB_STProjectsSOF[[#This Row],[Act01]:[Act12]],$P$4:$AA$4)/valUnits2</f>
        <v>1.7000000000000001E-4</v>
      </c>
      <c r="AG1372" s="34">
        <f>DB_STProjectsSOF[[#This Row],[Actual]]-DB_STProjectsSOF[[#This Row],[Plan]]</f>
        <v>1.7000000000000001E-4</v>
      </c>
      <c r="AH1372" s="34">
        <f>IF(DB_STProjectsSOF[[#This Row],[Plan]]&lt;&gt;0,DB_STProjectsSOF[[#This Row],[Actual]]/DB_STProjectsSOF[[#This Row],[Plan]],1.000011000011)</f>
        <v>1.0000110000110001</v>
      </c>
      <c r="AI1372" s="34">
        <f>SUM(DB_STProjectsSOF[[#This Row],[Plan01]:[Plan12]])/valUnits2</f>
        <v>0</v>
      </c>
      <c r="AJ1372" s="34">
        <f>SUMPRODUCT(DB_STProjectsSOF[[#This Row],[Act01]:[Act12]],$P$3:$AA$3)/valUnits2</f>
        <v>1.7000000000000001E-4</v>
      </c>
      <c r="AK1372" s="34">
        <f>IF(DB_STProjectsSOF[[#This Row],[FY Plan]]&lt;&gt;0,DB_STProjectsSOF[[#This Row],[FY Actuals]]/DB_STProjectsSOF[[#This Row],[FY Plan]],1.000011000011)</f>
        <v>1.0000110000110001</v>
      </c>
    </row>
    <row r="1373" spans="1:37" hidden="1" x14ac:dyDescent="0.2">
      <c r="A1373">
        <f>SUBTOTAL(3,$B$6:B1373)</f>
        <v>0</v>
      </c>
      <c r="B1373" t="s">
        <v>527</v>
      </c>
      <c r="C1373" t="s">
        <v>365</v>
      </c>
      <c r="I1373">
        <v>0</v>
      </c>
      <c r="U1373">
        <v>0.13</v>
      </c>
      <c r="AB1373" s="164">
        <v>40878</v>
      </c>
      <c r="AC1373" s="164">
        <v>41517</v>
      </c>
      <c r="AD1373" s="164">
        <v>41547</v>
      </c>
      <c r="AE1373" s="34">
        <f>SUMPRODUCT(DB_STProjectsSOF[[#This Row],[Plan01]:[Plan12]],$D$4:$O$4)/valUnits2</f>
        <v>0</v>
      </c>
      <c r="AF1373" s="34">
        <f>SUMPRODUCT(DB_STProjectsSOF[[#This Row],[Act01]:[Act12]],$P$4:$AA$4)/valUnits2</f>
        <v>1.3000000000000002E-4</v>
      </c>
      <c r="AG1373" s="34">
        <f>DB_STProjectsSOF[[#This Row],[Actual]]-DB_STProjectsSOF[[#This Row],[Plan]]</f>
        <v>1.3000000000000002E-4</v>
      </c>
      <c r="AH1373" s="34">
        <f>IF(DB_STProjectsSOF[[#This Row],[Plan]]&lt;&gt;0,DB_STProjectsSOF[[#This Row],[Actual]]/DB_STProjectsSOF[[#This Row],[Plan]],1.000011000011)</f>
        <v>1.0000110000110001</v>
      </c>
      <c r="AI1373" s="34">
        <f>SUM(DB_STProjectsSOF[[#This Row],[Plan01]:[Plan12]])/valUnits2</f>
        <v>0</v>
      </c>
      <c r="AJ1373" s="34">
        <f>SUMPRODUCT(DB_STProjectsSOF[[#This Row],[Act01]:[Act12]],$P$3:$AA$3)/valUnits2</f>
        <v>1.3000000000000002E-4</v>
      </c>
      <c r="AK1373" s="34">
        <f>IF(DB_STProjectsSOF[[#This Row],[FY Plan]]&lt;&gt;0,DB_STProjectsSOF[[#This Row],[FY Actuals]]/DB_STProjectsSOF[[#This Row],[FY Plan]],1.000011000011)</f>
        <v>1.0000110000110001</v>
      </c>
    </row>
    <row r="1374" spans="1:37" hidden="1" x14ac:dyDescent="0.2">
      <c r="A1374">
        <f>SUBTOTAL(3,$B$6:B1374)</f>
        <v>0</v>
      </c>
      <c r="B1374" t="s">
        <v>527</v>
      </c>
      <c r="C1374" t="s">
        <v>904</v>
      </c>
      <c r="F1374">
        <v>2.3330000000000002</v>
      </c>
      <c r="H1374">
        <v>305.137</v>
      </c>
      <c r="I1374">
        <v>0</v>
      </c>
      <c r="R1374">
        <v>2.31</v>
      </c>
      <c r="T1374">
        <v>301.14</v>
      </c>
      <c r="U1374">
        <v>0.36</v>
      </c>
      <c r="AB1374" s="164">
        <v>40817</v>
      </c>
      <c r="AC1374" s="164">
        <v>41639</v>
      </c>
      <c r="AD1374" s="164">
        <v>41698</v>
      </c>
      <c r="AE1374" s="34">
        <f>SUMPRODUCT(DB_STProjectsSOF[[#This Row],[Plan01]:[Plan12]],$D$4:$O$4)/valUnits2</f>
        <v>0.30747000000000002</v>
      </c>
      <c r="AF1374" s="34">
        <f>SUMPRODUCT(DB_STProjectsSOF[[#This Row],[Act01]:[Act12]],$P$4:$AA$4)/valUnits2</f>
        <v>0.30381000000000002</v>
      </c>
      <c r="AG1374" s="34">
        <f>DB_STProjectsSOF[[#This Row],[Actual]]-DB_STProjectsSOF[[#This Row],[Plan]]</f>
        <v>-3.6599999999999966E-3</v>
      </c>
      <c r="AH1374" s="34">
        <f>IF(DB_STProjectsSOF[[#This Row],[Plan]]&lt;&gt;0,DB_STProjectsSOF[[#This Row],[Actual]]/DB_STProjectsSOF[[#This Row],[Plan]],1.000011000011)</f>
        <v>0.98809639964874618</v>
      </c>
      <c r="AI1374" s="34">
        <f>SUM(DB_STProjectsSOF[[#This Row],[Plan01]:[Plan12]])/valUnits2</f>
        <v>0.30747000000000002</v>
      </c>
      <c r="AJ1374" s="34">
        <f>SUMPRODUCT(DB_STProjectsSOF[[#This Row],[Act01]:[Act12]],$P$3:$AA$3)/valUnits2</f>
        <v>0.30381000000000002</v>
      </c>
      <c r="AK1374" s="34">
        <f>IF(DB_STProjectsSOF[[#This Row],[FY Plan]]&lt;&gt;0,DB_STProjectsSOF[[#This Row],[FY Actuals]]/DB_STProjectsSOF[[#This Row],[FY Plan]],1.000011000011)</f>
        <v>0.98809639964874618</v>
      </c>
    </row>
    <row r="1375" spans="1:37" hidden="1" x14ac:dyDescent="0.2">
      <c r="A1375">
        <f>SUBTOTAL(3,$B$6:B1375)</f>
        <v>0</v>
      </c>
      <c r="B1375" t="s">
        <v>527</v>
      </c>
      <c r="C1375" t="s">
        <v>908</v>
      </c>
      <c r="I1375">
        <v>0</v>
      </c>
      <c r="U1375">
        <v>0.57999999999999996</v>
      </c>
      <c r="AB1375" s="164">
        <v>40909</v>
      </c>
      <c r="AC1375" s="164">
        <v>42003</v>
      </c>
      <c r="AD1375" s="164">
        <v>42063</v>
      </c>
      <c r="AE1375" s="34">
        <f>SUMPRODUCT(DB_STProjectsSOF[[#This Row],[Plan01]:[Plan12]],$D$4:$O$4)/valUnits2</f>
        <v>0</v>
      </c>
      <c r="AF1375" s="34">
        <f>SUMPRODUCT(DB_STProjectsSOF[[#This Row],[Act01]:[Act12]],$P$4:$AA$4)/valUnits2</f>
        <v>5.8E-4</v>
      </c>
      <c r="AG1375" s="34">
        <f>DB_STProjectsSOF[[#This Row],[Actual]]-DB_STProjectsSOF[[#This Row],[Plan]]</f>
        <v>5.8E-4</v>
      </c>
      <c r="AH1375" s="34">
        <f>IF(DB_STProjectsSOF[[#This Row],[Plan]]&lt;&gt;0,DB_STProjectsSOF[[#This Row],[Actual]]/DB_STProjectsSOF[[#This Row],[Plan]],1.000011000011)</f>
        <v>1.0000110000110001</v>
      </c>
      <c r="AI1375" s="34">
        <f>SUM(DB_STProjectsSOF[[#This Row],[Plan01]:[Plan12]])/valUnits2</f>
        <v>0</v>
      </c>
      <c r="AJ1375" s="34">
        <f>SUMPRODUCT(DB_STProjectsSOF[[#This Row],[Act01]:[Act12]],$P$3:$AA$3)/valUnits2</f>
        <v>5.8E-4</v>
      </c>
      <c r="AK1375" s="34">
        <f>IF(DB_STProjectsSOF[[#This Row],[FY Plan]]&lt;&gt;0,DB_STProjectsSOF[[#This Row],[FY Actuals]]/DB_STProjectsSOF[[#This Row],[FY Plan]],1.000011000011)</f>
        <v>1.0000110000110001</v>
      </c>
    </row>
    <row r="1376" spans="1:37" hidden="1" x14ac:dyDescent="0.2">
      <c r="A1376">
        <f>SUBTOTAL(3,$B$6:B1376)</f>
        <v>0</v>
      </c>
      <c r="B1376" t="s">
        <v>527</v>
      </c>
      <c r="C1376" t="s">
        <v>909</v>
      </c>
      <c r="F1376">
        <v>19.89</v>
      </c>
      <c r="H1376">
        <v>1524.52</v>
      </c>
      <c r="I1376">
        <v>0</v>
      </c>
      <c r="R1376">
        <v>19.89</v>
      </c>
      <c r="T1376">
        <v>1524.52</v>
      </c>
      <c r="U1376">
        <v>9.99</v>
      </c>
      <c r="AB1376" s="164">
        <v>40817</v>
      </c>
      <c r="AC1376" s="164">
        <v>42155</v>
      </c>
      <c r="AD1376" s="164">
        <v>42217</v>
      </c>
      <c r="AE1376" s="34">
        <f>SUMPRODUCT(DB_STProjectsSOF[[#This Row],[Plan01]:[Plan12]],$D$4:$O$4)/valUnits2</f>
        <v>1.5444100000000001</v>
      </c>
      <c r="AF1376" s="34">
        <f>SUMPRODUCT(DB_STProjectsSOF[[#This Row],[Act01]:[Act12]],$P$4:$AA$4)/valUnits2</f>
        <v>1.5544</v>
      </c>
      <c r="AG1376" s="34">
        <f>DB_STProjectsSOF[[#This Row],[Actual]]-DB_STProjectsSOF[[#This Row],[Plan]]</f>
        <v>9.9899999999999434E-3</v>
      </c>
      <c r="AH1376" s="34">
        <f>IF(DB_STProjectsSOF[[#This Row],[Plan]]&lt;&gt;0,DB_STProjectsSOF[[#This Row],[Actual]]/DB_STProjectsSOF[[#This Row],[Plan]],1.000011000011)</f>
        <v>1.0064684895850196</v>
      </c>
      <c r="AI1376" s="34">
        <f>SUM(DB_STProjectsSOF[[#This Row],[Plan01]:[Plan12]])/valUnits2</f>
        <v>1.5444100000000001</v>
      </c>
      <c r="AJ1376" s="34">
        <f>SUMPRODUCT(DB_STProjectsSOF[[#This Row],[Act01]:[Act12]],$P$3:$AA$3)/valUnits2</f>
        <v>1.5544</v>
      </c>
      <c r="AK1376" s="34">
        <f>IF(DB_STProjectsSOF[[#This Row],[FY Plan]]&lt;&gt;0,DB_STProjectsSOF[[#This Row],[FY Actuals]]/DB_STProjectsSOF[[#This Row],[FY Plan]],1.000011000011)</f>
        <v>1.0064684895850196</v>
      </c>
    </row>
    <row r="1377" spans="1:37" hidden="1" x14ac:dyDescent="0.2">
      <c r="A1377">
        <f>SUBTOTAL(3,$B$6:B1377)</f>
        <v>0</v>
      </c>
      <c r="B1377" t="s">
        <v>527</v>
      </c>
      <c r="C1377" t="s">
        <v>354</v>
      </c>
      <c r="I1377">
        <v>0</v>
      </c>
      <c r="U1377">
        <v>0.17</v>
      </c>
      <c r="AB1377" s="164">
        <v>41091</v>
      </c>
      <c r="AC1377" s="164">
        <v>41455</v>
      </c>
      <c r="AD1377" s="164">
        <v>41517</v>
      </c>
      <c r="AE1377" s="34">
        <f>SUMPRODUCT(DB_STProjectsSOF[[#This Row],[Plan01]:[Plan12]],$D$4:$O$4)/valUnits2</f>
        <v>0</v>
      </c>
      <c r="AF1377" s="34">
        <f>SUMPRODUCT(DB_STProjectsSOF[[#This Row],[Act01]:[Act12]],$P$4:$AA$4)/valUnits2</f>
        <v>1.7000000000000001E-4</v>
      </c>
      <c r="AG1377" s="34">
        <f>DB_STProjectsSOF[[#This Row],[Actual]]-DB_STProjectsSOF[[#This Row],[Plan]]</f>
        <v>1.7000000000000001E-4</v>
      </c>
      <c r="AH1377" s="34">
        <f>IF(DB_STProjectsSOF[[#This Row],[Plan]]&lt;&gt;0,DB_STProjectsSOF[[#This Row],[Actual]]/DB_STProjectsSOF[[#This Row],[Plan]],1.000011000011)</f>
        <v>1.0000110000110001</v>
      </c>
      <c r="AI1377" s="34">
        <f>SUM(DB_STProjectsSOF[[#This Row],[Plan01]:[Plan12]])/valUnits2</f>
        <v>0</v>
      </c>
      <c r="AJ1377" s="34">
        <f>SUMPRODUCT(DB_STProjectsSOF[[#This Row],[Act01]:[Act12]],$P$3:$AA$3)/valUnits2</f>
        <v>1.7000000000000001E-4</v>
      </c>
      <c r="AK1377" s="34">
        <f>IF(DB_STProjectsSOF[[#This Row],[FY Plan]]&lt;&gt;0,DB_STProjectsSOF[[#This Row],[FY Actuals]]/DB_STProjectsSOF[[#This Row],[FY Plan]],1.000011000011)</f>
        <v>1.0000110000110001</v>
      </c>
    </row>
    <row r="1378" spans="1:37" hidden="1" x14ac:dyDescent="0.2">
      <c r="A1378">
        <f>SUBTOTAL(3,$B$6:B1378)</f>
        <v>0</v>
      </c>
      <c r="B1378" t="s">
        <v>527</v>
      </c>
      <c r="C1378" t="s">
        <v>911</v>
      </c>
      <c r="I1378">
        <v>0</v>
      </c>
      <c r="U1378">
        <v>6.2</v>
      </c>
      <c r="AB1378" s="164">
        <v>40817</v>
      </c>
      <c r="AC1378" s="164">
        <v>41578</v>
      </c>
      <c r="AD1378" s="164">
        <v>41639</v>
      </c>
      <c r="AE1378" s="34">
        <f>SUMPRODUCT(DB_STProjectsSOF[[#This Row],[Plan01]:[Plan12]],$D$4:$O$4)/valUnits2</f>
        <v>0</v>
      </c>
      <c r="AF1378" s="34">
        <f>SUMPRODUCT(DB_STProjectsSOF[[#This Row],[Act01]:[Act12]],$P$4:$AA$4)/valUnits2</f>
        <v>6.1999999999999998E-3</v>
      </c>
      <c r="AG1378" s="34">
        <f>DB_STProjectsSOF[[#This Row],[Actual]]-DB_STProjectsSOF[[#This Row],[Plan]]</f>
        <v>6.1999999999999998E-3</v>
      </c>
      <c r="AH1378" s="34">
        <f>IF(DB_STProjectsSOF[[#This Row],[Plan]]&lt;&gt;0,DB_STProjectsSOF[[#This Row],[Actual]]/DB_STProjectsSOF[[#This Row],[Plan]],1.000011000011)</f>
        <v>1.0000110000110001</v>
      </c>
      <c r="AI1378" s="34">
        <f>SUM(DB_STProjectsSOF[[#This Row],[Plan01]:[Plan12]])/valUnits2</f>
        <v>0</v>
      </c>
      <c r="AJ1378" s="34">
        <f>SUMPRODUCT(DB_STProjectsSOF[[#This Row],[Act01]:[Act12]],$P$3:$AA$3)/valUnits2</f>
        <v>6.1999999999999998E-3</v>
      </c>
      <c r="AK1378" s="34">
        <f>IF(DB_STProjectsSOF[[#This Row],[FY Plan]]&lt;&gt;0,DB_STProjectsSOF[[#This Row],[FY Actuals]]/DB_STProjectsSOF[[#This Row],[FY Plan]],1.000011000011)</f>
        <v>1.0000110000110001</v>
      </c>
    </row>
    <row r="1379" spans="1:37" hidden="1" x14ac:dyDescent="0.2">
      <c r="A1379">
        <f>SUBTOTAL(3,$B$6:B1379)</f>
        <v>0</v>
      </c>
      <c r="B1379" t="s">
        <v>527</v>
      </c>
      <c r="C1379" t="s">
        <v>915</v>
      </c>
      <c r="I1379">
        <v>0</v>
      </c>
      <c r="U1379">
        <v>0.28999999999999998</v>
      </c>
      <c r="AB1379" s="164">
        <v>41061</v>
      </c>
      <c r="AC1379" s="164">
        <v>42155</v>
      </c>
      <c r="AD1379" s="164">
        <v>42185</v>
      </c>
      <c r="AE1379" s="34">
        <f>SUMPRODUCT(DB_STProjectsSOF[[#This Row],[Plan01]:[Plan12]],$D$4:$O$4)/valUnits2</f>
        <v>0</v>
      </c>
      <c r="AF1379" s="34">
        <f>SUMPRODUCT(DB_STProjectsSOF[[#This Row],[Act01]:[Act12]],$P$4:$AA$4)/valUnits2</f>
        <v>2.9E-4</v>
      </c>
      <c r="AG1379" s="34">
        <f>DB_STProjectsSOF[[#This Row],[Actual]]-DB_STProjectsSOF[[#This Row],[Plan]]</f>
        <v>2.9E-4</v>
      </c>
      <c r="AH1379" s="34">
        <f>IF(DB_STProjectsSOF[[#This Row],[Plan]]&lt;&gt;0,DB_STProjectsSOF[[#This Row],[Actual]]/DB_STProjectsSOF[[#This Row],[Plan]],1.000011000011)</f>
        <v>1.0000110000110001</v>
      </c>
      <c r="AI1379" s="34">
        <f>SUM(DB_STProjectsSOF[[#This Row],[Plan01]:[Plan12]])/valUnits2</f>
        <v>0</v>
      </c>
      <c r="AJ1379" s="34">
        <f>SUMPRODUCT(DB_STProjectsSOF[[#This Row],[Act01]:[Act12]],$P$3:$AA$3)/valUnits2</f>
        <v>2.9E-4</v>
      </c>
      <c r="AK1379" s="34">
        <f>IF(DB_STProjectsSOF[[#This Row],[FY Plan]]&lt;&gt;0,DB_STProjectsSOF[[#This Row],[FY Actuals]]/DB_STProjectsSOF[[#This Row],[FY Plan]],1.000011000011)</f>
        <v>1.0000110000110001</v>
      </c>
    </row>
    <row r="1380" spans="1:37" hidden="1" x14ac:dyDescent="0.2">
      <c r="A1380">
        <f>SUBTOTAL(3,$B$6:B1380)</f>
        <v>0</v>
      </c>
      <c r="B1380" t="s">
        <v>527</v>
      </c>
      <c r="C1380" t="s">
        <v>917</v>
      </c>
      <c r="I1380">
        <v>0</v>
      </c>
      <c r="U1380">
        <v>1.23</v>
      </c>
      <c r="AB1380" s="164">
        <v>40817</v>
      </c>
      <c r="AC1380" s="164">
        <v>42155</v>
      </c>
      <c r="AD1380" s="164">
        <v>42246</v>
      </c>
      <c r="AE1380" s="34">
        <f>SUMPRODUCT(DB_STProjectsSOF[[#This Row],[Plan01]:[Plan12]],$D$4:$O$4)/valUnits2</f>
        <v>0</v>
      </c>
      <c r="AF1380" s="34">
        <f>SUMPRODUCT(DB_STProjectsSOF[[#This Row],[Act01]:[Act12]],$P$4:$AA$4)/valUnits2</f>
        <v>1.23E-3</v>
      </c>
      <c r="AG1380" s="34">
        <f>DB_STProjectsSOF[[#This Row],[Actual]]-DB_STProjectsSOF[[#This Row],[Plan]]</f>
        <v>1.23E-3</v>
      </c>
      <c r="AH1380" s="34">
        <f>IF(DB_STProjectsSOF[[#This Row],[Plan]]&lt;&gt;0,DB_STProjectsSOF[[#This Row],[Actual]]/DB_STProjectsSOF[[#This Row],[Plan]],1.000011000011)</f>
        <v>1.0000110000110001</v>
      </c>
      <c r="AI1380" s="34">
        <f>SUM(DB_STProjectsSOF[[#This Row],[Plan01]:[Plan12]])/valUnits2</f>
        <v>0</v>
      </c>
      <c r="AJ1380" s="34">
        <f>SUMPRODUCT(DB_STProjectsSOF[[#This Row],[Act01]:[Act12]],$P$3:$AA$3)/valUnits2</f>
        <v>1.23E-3</v>
      </c>
      <c r="AK1380" s="34">
        <f>IF(DB_STProjectsSOF[[#This Row],[FY Plan]]&lt;&gt;0,DB_STProjectsSOF[[#This Row],[FY Actuals]]/DB_STProjectsSOF[[#This Row],[FY Plan]],1.000011000011)</f>
        <v>1.0000110000110001</v>
      </c>
    </row>
    <row r="1381" spans="1:37" hidden="1" x14ac:dyDescent="0.2">
      <c r="A1381">
        <f>SUBTOTAL(3,$B$6:B1381)</f>
        <v>0</v>
      </c>
      <c r="B1381" t="s">
        <v>527</v>
      </c>
      <c r="C1381" t="s">
        <v>918</v>
      </c>
      <c r="I1381">
        <v>0</v>
      </c>
      <c r="U1381">
        <v>0.53</v>
      </c>
      <c r="AB1381" s="164">
        <v>41091</v>
      </c>
      <c r="AC1381" s="164">
        <v>42185</v>
      </c>
      <c r="AD1381" s="164">
        <v>42247</v>
      </c>
      <c r="AE1381" s="34">
        <f>SUMPRODUCT(DB_STProjectsSOF[[#This Row],[Plan01]:[Plan12]],$D$4:$O$4)/valUnits2</f>
        <v>0</v>
      </c>
      <c r="AF1381" s="34">
        <f>SUMPRODUCT(DB_STProjectsSOF[[#This Row],[Act01]:[Act12]],$P$4:$AA$4)/valUnits2</f>
        <v>5.2999999999999998E-4</v>
      </c>
      <c r="AG1381" s="34">
        <f>DB_STProjectsSOF[[#This Row],[Actual]]-DB_STProjectsSOF[[#This Row],[Plan]]</f>
        <v>5.2999999999999998E-4</v>
      </c>
      <c r="AH1381" s="34">
        <f>IF(DB_STProjectsSOF[[#This Row],[Plan]]&lt;&gt;0,DB_STProjectsSOF[[#This Row],[Actual]]/DB_STProjectsSOF[[#This Row],[Plan]],1.000011000011)</f>
        <v>1.0000110000110001</v>
      </c>
      <c r="AI1381" s="34">
        <f>SUM(DB_STProjectsSOF[[#This Row],[Plan01]:[Plan12]])/valUnits2</f>
        <v>0</v>
      </c>
      <c r="AJ1381" s="34">
        <f>SUMPRODUCT(DB_STProjectsSOF[[#This Row],[Act01]:[Act12]],$P$3:$AA$3)/valUnits2</f>
        <v>5.2999999999999998E-4</v>
      </c>
      <c r="AK1381" s="34">
        <f>IF(DB_STProjectsSOF[[#This Row],[FY Plan]]&lt;&gt;0,DB_STProjectsSOF[[#This Row],[FY Actuals]]/DB_STProjectsSOF[[#This Row],[FY Plan]],1.000011000011)</f>
        <v>1.0000110000110001</v>
      </c>
    </row>
    <row r="1382" spans="1:37" hidden="1" x14ac:dyDescent="0.2">
      <c r="A1382">
        <f>SUBTOTAL(3,$B$6:B1382)</f>
        <v>0</v>
      </c>
      <c r="B1382" t="s">
        <v>527</v>
      </c>
      <c r="C1382" t="s">
        <v>356</v>
      </c>
      <c r="I1382">
        <v>0</v>
      </c>
      <c r="U1382">
        <v>0.4</v>
      </c>
      <c r="AB1382" s="164">
        <v>41091</v>
      </c>
      <c r="AC1382" s="164">
        <v>41455</v>
      </c>
      <c r="AD1382" s="164">
        <v>41547</v>
      </c>
      <c r="AE1382" s="34">
        <f>SUMPRODUCT(DB_STProjectsSOF[[#This Row],[Plan01]:[Plan12]],$D$4:$O$4)/valUnits2</f>
        <v>0</v>
      </c>
      <c r="AF1382" s="34">
        <f>SUMPRODUCT(DB_STProjectsSOF[[#This Row],[Act01]:[Act12]],$P$4:$AA$4)/valUnits2</f>
        <v>4.0000000000000002E-4</v>
      </c>
      <c r="AG1382" s="34">
        <f>DB_STProjectsSOF[[#This Row],[Actual]]-DB_STProjectsSOF[[#This Row],[Plan]]</f>
        <v>4.0000000000000002E-4</v>
      </c>
      <c r="AH1382" s="34">
        <f>IF(DB_STProjectsSOF[[#This Row],[Plan]]&lt;&gt;0,DB_STProjectsSOF[[#This Row],[Actual]]/DB_STProjectsSOF[[#This Row],[Plan]],1.000011000011)</f>
        <v>1.0000110000110001</v>
      </c>
      <c r="AI1382" s="34">
        <f>SUM(DB_STProjectsSOF[[#This Row],[Plan01]:[Plan12]])/valUnits2</f>
        <v>0</v>
      </c>
      <c r="AJ1382" s="34">
        <f>SUMPRODUCT(DB_STProjectsSOF[[#This Row],[Act01]:[Act12]],$P$3:$AA$3)/valUnits2</f>
        <v>4.0000000000000002E-4</v>
      </c>
      <c r="AK1382" s="34">
        <f>IF(DB_STProjectsSOF[[#This Row],[FY Plan]]&lt;&gt;0,DB_STProjectsSOF[[#This Row],[FY Actuals]]/DB_STProjectsSOF[[#This Row],[FY Plan]],1.000011000011)</f>
        <v>1.0000110000110001</v>
      </c>
    </row>
    <row r="1383" spans="1:37" hidden="1" x14ac:dyDescent="0.2">
      <c r="A1383">
        <f>SUBTOTAL(3,$B$6:B1383)</f>
        <v>0</v>
      </c>
      <c r="B1383" t="s">
        <v>527</v>
      </c>
      <c r="C1383" t="s">
        <v>919</v>
      </c>
      <c r="I1383">
        <v>0</v>
      </c>
      <c r="U1383">
        <v>12.23</v>
      </c>
      <c r="AB1383" s="164">
        <v>40878</v>
      </c>
      <c r="AC1383" s="164">
        <v>42794</v>
      </c>
      <c r="AD1383" s="164">
        <v>42978</v>
      </c>
      <c r="AE1383" s="34">
        <f>SUMPRODUCT(DB_STProjectsSOF[[#This Row],[Plan01]:[Plan12]],$D$4:$O$4)/valUnits2</f>
        <v>0</v>
      </c>
      <c r="AF1383" s="34">
        <f>SUMPRODUCT(DB_STProjectsSOF[[#This Row],[Act01]:[Act12]],$P$4:$AA$4)/valUnits2</f>
        <v>1.2230000000000001E-2</v>
      </c>
      <c r="AG1383" s="34">
        <f>DB_STProjectsSOF[[#This Row],[Actual]]-DB_STProjectsSOF[[#This Row],[Plan]]</f>
        <v>1.2230000000000001E-2</v>
      </c>
      <c r="AH1383" s="34">
        <f>IF(DB_STProjectsSOF[[#This Row],[Plan]]&lt;&gt;0,DB_STProjectsSOF[[#This Row],[Actual]]/DB_STProjectsSOF[[#This Row],[Plan]],1.000011000011)</f>
        <v>1.0000110000110001</v>
      </c>
      <c r="AI1383" s="34">
        <f>SUM(DB_STProjectsSOF[[#This Row],[Plan01]:[Plan12]])/valUnits2</f>
        <v>0</v>
      </c>
      <c r="AJ1383" s="34">
        <f>SUMPRODUCT(DB_STProjectsSOF[[#This Row],[Act01]:[Act12]],$P$3:$AA$3)/valUnits2</f>
        <v>1.2230000000000001E-2</v>
      </c>
      <c r="AK1383" s="34">
        <f>IF(DB_STProjectsSOF[[#This Row],[FY Plan]]&lt;&gt;0,DB_STProjectsSOF[[#This Row],[FY Actuals]]/DB_STProjectsSOF[[#This Row],[FY Plan]],1.000011000011)</f>
        <v>1.0000110000110001</v>
      </c>
    </row>
    <row r="1384" spans="1:37" hidden="1" x14ac:dyDescent="0.2">
      <c r="A1384">
        <f>SUBTOTAL(3,$B$6:B1384)</f>
        <v>0</v>
      </c>
      <c r="B1384" t="s">
        <v>527</v>
      </c>
      <c r="C1384" t="s">
        <v>921</v>
      </c>
      <c r="F1384">
        <v>0.218</v>
      </c>
      <c r="H1384">
        <v>266.995</v>
      </c>
      <c r="R1384">
        <v>0.22</v>
      </c>
      <c r="T1384">
        <v>263.5</v>
      </c>
      <c r="AB1384" s="164">
        <v>40909</v>
      </c>
      <c r="AC1384" s="164">
        <v>41363</v>
      </c>
      <c r="AD1384" s="164">
        <v>41389</v>
      </c>
      <c r="AE1384" s="34">
        <f>SUMPRODUCT(DB_STProjectsSOF[[#This Row],[Plan01]:[Plan12]],$D$4:$O$4)/valUnits2</f>
        <v>0.26721300000000003</v>
      </c>
      <c r="AF1384" s="34">
        <f>SUMPRODUCT(DB_STProjectsSOF[[#This Row],[Act01]:[Act12]],$P$4:$AA$4)/valUnits2</f>
        <v>0.26372000000000001</v>
      </c>
      <c r="AG1384" s="34">
        <f>DB_STProjectsSOF[[#This Row],[Actual]]-DB_STProjectsSOF[[#This Row],[Plan]]</f>
        <v>-3.4930000000000239E-3</v>
      </c>
      <c r="AH1384" s="34">
        <f>IF(DB_STProjectsSOF[[#This Row],[Plan]]&lt;&gt;0,DB_STProjectsSOF[[#This Row],[Actual]]/DB_STProjectsSOF[[#This Row],[Plan]],1.000011000011)</f>
        <v>0.98692803119608696</v>
      </c>
      <c r="AI1384" s="34">
        <f>SUM(DB_STProjectsSOF[[#This Row],[Plan01]:[Plan12]])/valUnits2</f>
        <v>0.26721300000000003</v>
      </c>
      <c r="AJ1384" s="34">
        <f>SUMPRODUCT(DB_STProjectsSOF[[#This Row],[Act01]:[Act12]],$P$3:$AA$3)/valUnits2</f>
        <v>0.26372000000000001</v>
      </c>
      <c r="AK1384" s="34">
        <f>IF(DB_STProjectsSOF[[#This Row],[FY Plan]]&lt;&gt;0,DB_STProjectsSOF[[#This Row],[FY Actuals]]/DB_STProjectsSOF[[#This Row],[FY Plan]],1.000011000011)</f>
        <v>0.98692803119608696</v>
      </c>
    </row>
    <row r="1385" spans="1:37" hidden="1" x14ac:dyDescent="0.2">
      <c r="A1385">
        <f>SUBTOTAL(3,$B$6:B1385)</f>
        <v>0</v>
      </c>
      <c r="B1385" t="s">
        <v>527</v>
      </c>
      <c r="C1385" t="s">
        <v>922</v>
      </c>
      <c r="F1385">
        <v>0.50900000000000001</v>
      </c>
      <c r="I1385">
        <v>0</v>
      </c>
      <c r="R1385">
        <v>0.53</v>
      </c>
      <c r="U1385">
        <v>0.39</v>
      </c>
      <c r="AB1385" s="164">
        <v>41000</v>
      </c>
      <c r="AC1385" s="164">
        <v>41989</v>
      </c>
      <c r="AD1385" s="164">
        <v>42078</v>
      </c>
      <c r="AE1385" s="34">
        <f>SUMPRODUCT(DB_STProjectsSOF[[#This Row],[Plan01]:[Plan12]],$D$4:$O$4)/valUnits2</f>
        <v>5.0900000000000001E-4</v>
      </c>
      <c r="AF1385" s="34">
        <f>SUMPRODUCT(DB_STProjectsSOF[[#This Row],[Act01]:[Act12]],$P$4:$AA$4)/valUnits2</f>
        <v>9.2000000000000003E-4</v>
      </c>
      <c r="AG1385" s="34">
        <f>DB_STProjectsSOF[[#This Row],[Actual]]-DB_STProjectsSOF[[#This Row],[Plan]]</f>
        <v>4.1100000000000002E-4</v>
      </c>
      <c r="AH1385" s="34">
        <f>IF(DB_STProjectsSOF[[#This Row],[Plan]]&lt;&gt;0,DB_STProjectsSOF[[#This Row],[Actual]]/DB_STProjectsSOF[[#This Row],[Plan]],1.000011000011)</f>
        <v>1.8074656188605107</v>
      </c>
      <c r="AI1385" s="34">
        <f>SUM(DB_STProjectsSOF[[#This Row],[Plan01]:[Plan12]])/valUnits2</f>
        <v>5.0900000000000001E-4</v>
      </c>
      <c r="AJ1385" s="34">
        <f>SUMPRODUCT(DB_STProjectsSOF[[#This Row],[Act01]:[Act12]],$P$3:$AA$3)/valUnits2</f>
        <v>9.2000000000000003E-4</v>
      </c>
      <c r="AK1385" s="34">
        <f>IF(DB_STProjectsSOF[[#This Row],[FY Plan]]&lt;&gt;0,DB_STProjectsSOF[[#This Row],[FY Actuals]]/DB_STProjectsSOF[[#This Row],[FY Plan]],1.000011000011)</f>
        <v>1.8074656188605107</v>
      </c>
    </row>
    <row r="1386" spans="1:37" hidden="1" x14ac:dyDescent="0.2">
      <c r="A1386">
        <f>SUBTOTAL(3,$B$6:B1386)</f>
        <v>0</v>
      </c>
      <c r="B1386" t="s">
        <v>527</v>
      </c>
      <c r="C1386" t="s">
        <v>924</v>
      </c>
      <c r="I1386">
        <v>0</v>
      </c>
      <c r="U1386">
        <v>0.53</v>
      </c>
      <c r="AB1386" s="164">
        <v>40817</v>
      </c>
      <c r="AC1386" s="164">
        <v>41639</v>
      </c>
      <c r="AD1386" s="164">
        <v>41685</v>
      </c>
      <c r="AE1386" s="34">
        <f>SUMPRODUCT(DB_STProjectsSOF[[#This Row],[Plan01]:[Plan12]],$D$4:$O$4)/valUnits2</f>
        <v>0</v>
      </c>
      <c r="AF1386" s="34">
        <f>SUMPRODUCT(DB_STProjectsSOF[[#This Row],[Act01]:[Act12]],$P$4:$AA$4)/valUnits2</f>
        <v>5.2999999999999998E-4</v>
      </c>
      <c r="AG1386" s="34">
        <f>DB_STProjectsSOF[[#This Row],[Actual]]-DB_STProjectsSOF[[#This Row],[Plan]]</f>
        <v>5.2999999999999998E-4</v>
      </c>
      <c r="AH1386" s="34">
        <f>IF(DB_STProjectsSOF[[#This Row],[Plan]]&lt;&gt;0,DB_STProjectsSOF[[#This Row],[Actual]]/DB_STProjectsSOF[[#This Row],[Plan]],1.000011000011)</f>
        <v>1.0000110000110001</v>
      </c>
      <c r="AI1386" s="34">
        <f>SUM(DB_STProjectsSOF[[#This Row],[Plan01]:[Plan12]])/valUnits2</f>
        <v>0</v>
      </c>
      <c r="AJ1386" s="34">
        <f>SUMPRODUCT(DB_STProjectsSOF[[#This Row],[Act01]:[Act12]],$P$3:$AA$3)/valUnits2</f>
        <v>5.2999999999999998E-4</v>
      </c>
      <c r="AK1386" s="34">
        <f>IF(DB_STProjectsSOF[[#This Row],[FY Plan]]&lt;&gt;0,DB_STProjectsSOF[[#This Row],[FY Actuals]]/DB_STProjectsSOF[[#This Row],[FY Plan]],1.000011000011)</f>
        <v>1.0000110000110001</v>
      </c>
    </row>
    <row r="1387" spans="1:37" hidden="1" x14ac:dyDescent="0.2">
      <c r="A1387">
        <f>SUBTOTAL(3,$B$6:B1387)</f>
        <v>0</v>
      </c>
      <c r="B1387" t="s">
        <v>527</v>
      </c>
      <c r="C1387" t="s">
        <v>927</v>
      </c>
      <c r="F1387">
        <v>2.29</v>
      </c>
      <c r="I1387">
        <v>0</v>
      </c>
      <c r="R1387">
        <v>2.29</v>
      </c>
      <c r="U1387">
        <v>7.85</v>
      </c>
      <c r="AB1387" s="164">
        <v>40817</v>
      </c>
      <c r="AC1387" s="164">
        <v>42052</v>
      </c>
      <c r="AD1387" s="164">
        <v>42141</v>
      </c>
      <c r="AE1387" s="34">
        <f>SUMPRODUCT(DB_STProjectsSOF[[#This Row],[Plan01]:[Plan12]],$D$4:$O$4)/valUnits2</f>
        <v>2.2899999999999999E-3</v>
      </c>
      <c r="AF1387" s="34">
        <f>SUMPRODUCT(DB_STProjectsSOF[[#This Row],[Act01]:[Act12]],$P$4:$AA$4)/valUnits2</f>
        <v>1.014E-2</v>
      </c>
      <c r="AG1387" s="34">
        <f>DB_STProjectsSOF[[#This Row],[Actual]]-DB_STProjectsSOF[[#This Row],[Plan]]</f>
        <v>7.8499999999999993E-3</v>
      </c>
      <c r="AH1387" s="34">
        <f>IF(DB_STProjectsSOF[[#This Row],[Plan]]&lt;&gt;0,DB_STProjectsSOF[[#This Row],[Actual]]/DB_STProjectsSOF[[#This Row],[Plan]],1.000011000011)</f>
        <v>4.427947598253275</v>
      </c>
      <c r="AI1387" s="34">
        <f>SUM(DB_STProjectsSOF[[#This Row],[Plan01]:[Plan12]])/valUnits2</f>
        <v>2.2899999999999999E-3</v>
      </c>
      <c r="AJ1387" s="34">
        <f>SUMPRODUCT(DB_STProjectsSOF[[#This Row],[Act01]:[Act12]],$P$3:$AA$3)/valUnits2</f>
        <v>1.014E-2</v>
      </c>
      <c r="AK1387" s="34">
        <f>IF(DB_STProjectsSOF[[#This Row],[FY Plan]]&lt;&gt;0,DB_STProjectsSOF[[#This Row],[FY Actuals]]/DB_STProjectsSOF[[#This Row],[FY Plan]],1.000011000011)</f>
        <v>4.427947598253275</v>
      </c>
    </row>
    <row r="1388" spans="1:37" hidden="1" x14ac:dyDescent="0.2">
      <c r="A1388">
        <f>SUBTOTAL(3,$B$6:B1388)</f>
        <v>0</v>
      </c>
      <c r="B1388" t="s">
        <v>527</v>
      </c>
      <c r="C1388" t="s">
        <v>359</v>
      </c>
      <c r="I1388">
        <v>0</v>
      </c>
      <c r="U1388">
        <v>0.05</v>
      </c>
      <c r="AB1388" s="164">
        <v>41275</v>
      </c>
      <c r="AC1388" s="164">
        <v>41455</v>
      </c>
      <c r="AD1388" s="164">
        <v>41547</v>
      </c>
      <c r="AE1388" s="34">
        <f>SUMPRODUCT(DB_STProjectsSOF[[#This Row],[Plan01]:[Plan12]],$D$4:$O$4)/valUnits2</f>
        <v>0</v>
      </c>
      <c r="AF1388" s="34">
        <f>SUMPRODUCT(DB_STProjectsSOF[[#This Row],[Act01]:[Act12]],$P$4:$AA$4)/valUnits2</f>
        <v>5.0000000000000002E-5</v>
      </c>
      <c r="AG1388" s="34">
        <f>DB_STProjectsSOF[[#This Row],[Actual]]-DB_STProjectsSOF[[#This Row],[Plan]]</f>
        <v>5.0000000000000002E-5</v>
      </c>
      <c r="AH1388" s="34">
        <f>IF(DB_STProjectsSOF[[#This Row],[Plan]]&lt;&gt;0,DB_STProjectsSOF[[#This Row],[Actual]]/DB_STProjectsSOF[[#This Row],[Plan]],1.000011000011)</f>
        <v>1.0000110000110001</v>
      </c>
      <c r="AI1388" s="34">
        <f>SUM(DB_STProjectsSOF[[#This Row],[Plan01]:[Plan12]])/valUnits2</f>
        <v>0</v>
      </c>
      <c r="AJ1388" s="34">
        <f>SUMPRODUCT(DB_STProjectsSOF[[#This Row],[Act01]:[Act12]],$P$3:$AA$3)/valUnits2</f>
        <v>5.0000000000000002E-5</v>
      </c>
      <c r="AK1388" s="34">
        <f>IF(DB_STProjectsSOF[[#This Row],[FY Plan]]&lt;&gt;0,DB_STProjectsSOF[[#This Row],[FY Actuals]]/DB_STProjectsSOF[[#This Row],[FY Plan]],1.000011000011)</f>
        <v>1.0000110000110001</v>
      </c>
    </row>
    <row r="1389" spans="1:37" hidden="1" x14ac:dyDescent="0.2">
      <c r="A1389">
        <f>SUBTOTAL(3,$B$6:B1389)</f>
        <v>0</v>
      </c>
      <c r="B1389" t="s">
        <v>527</v>
      </c>
      <c r="C1389" t="s">
        <v>360</v>
      </c>
      <c r="I1389">
        <v>0</v>
      </c>
      <c r="U1389">
        <v>4.32</v>
      </c>
      <c r="AB1389" s="164">
        <v>41091</v>
      </c>
      <c r="AC1389" s="164">
        <v>41455</v>
      </c>
      <c r="AD1389" s="164">
        <v>41547</v>
      </c>
      <c r="AE1389" s="34">
        <f>SUMPRODUCT(DB_STProjectsSOF[[#This Row],[Plan01]:[Plan12]],$D$4:$O$4)/valUnits2</f>
        <v>0</v>
      </c>
      <c r="AF1389" s="34">
        <f>SUMPRODUCT(DB_STProjectsSOF[[#This Row],[Act01]:[Act12]],$P$4:$AA$4)/valUnits2</f>
        <v>4.3200000000000001E-3</v>
      </c>
      <c r="AG1389" s="34">
        <f>DB_STProjectsSOF[[#This Row],[Actual]]-DB_STProjectsSOF[[#This Row],[Plan]]</f>
        <v>4.3200000000000001E-3</v>
      </c>
      <c r="AH1389" s="34">
        <f>IF(DB_STProjectsSOF[[#This Row],[Plan]]&lt;&gt;0,DB_STProjectsSOF[[#This Row],[Actual]]/DB_STProjectsSOF[[#This Row],[Plan]],1.000011000011)</f>
        <v>1.0000110000110001</v>
      </c>
      <c r="AI1389" s="34">
        <f>SUM(DB_STProjectsSOF[[#This Row],[Plan01]:[Plan12]])/valUnits2</f>
        <v>0</v>
      </c>
      <c r="AJ1389" s="34">
        <f>SUMPRODUCT(DB_STProjectsSOF[[#This Row],[Act01]:[Act12]],$P$3:$AA$3)/valUnits2</f>
        <v>4.3200000000000001E-3</v>
      </c>
      <c r="AK1389" s="34">
        <f>IF(DB_STProjectsSOF[[#This Row],[FY Plan]]&lt;&gt;0,DB_STProjectsSOF[[#This Row],[FY Actuals]]/DB_STProjectsSOF[[#This Row],[FY Plan]],1.000011000011)</f>
        <v>1.0000110000110001</v>
      </c>
    </row>
    <row r="1390" spans="1:37" hidden="1" x14ac:dyDescent="0.2">
      <c r="A1390">
        <f>SUBTOTAL(3,$B$6:B1390)</f>
        <v>0</v>
      </c>
      <c r="B1390" t="s">
        <v>527</v>
      </c>
      <c r="C1390" t="s">
        <v>929</v>
      </c>
      <c r="G1390">
        <v>0.30599999999999999</v>
      </c>
      <c r="S1390">
        <v>0.3</v>
      </c>
      <c r="AB1390" s="164">
        <v>41214</v>
      </c>
      <c r="AC1390" s="164">
        <v>41379</v>
      </c>
      <c r="AD1390" s="164">
        <v>41409</v>
      </c>
      <c r="AE1390" s="34">
        <f>SUMPRODUCT(DB_STProjectsSOF[[#This Row],[Plan01]:[Plan12]],$D$4:$O$4)/valUnits2</f>
        <v>3.0600000000000001E-4</v>
      </c>
      <c r="AF1390" s="34">
        <f>SUMPRODUCT(DB_STProjectsSOF[[#This Row],[Act01]:[Act12]],$P$4:$AA$4)/valUnits2</f>
        <v>2.9999999999999997E-4</v>
      </c>
      <c r="AG1390" s="34">
        <f>DB_STProjectsSOF[[#This Row],[Actual]]-DB_STProjectsSOF[[#This Row],[Plan]]</f>
        <v>-6.0000000000000374E-6</v>
      </c>
      <c r="AH1390" s="34">
        <f>IF(DB_STProjectsSOF[[#This Row],[Plan]]&lt;&gt;0,DB_STProjectsSOF[[#This Row],[Actual]]/DB_STProjectsSOF[[#This Row],[Plan]],1.000011000011)</f>
        <v>0.98039215686274495</v>
      </c>
      <c r="AI1390" s="34">
        <f>SUM(DB_STProjectsSOF[[#This Row],[Plan01]:[Plan12]])/valUnits2</f>
        <v>3.0600000000000001E-4</v>
      </c>
      <c r="AJ1390" s="34">
        <f>SUMPRODUCT(DB_STProjectsSOF[[#This Row],[Act01]:[Act12]],$P$3:$AA$3)/valUnits2</f>
        <v>2.9999999999999997E-4</v>
      </c>
      <c r="AK1390" s="34">
        <f>IF(DB_STProjectsSOF[[#This Row],[FY Plan]]&lt;&gt;0,DB_STProjectsSOF[[#This Row],[FY Actuals]]/DB_STProjectsSOF[[#This Row],[FY Plan]],1.000011000011)</f>
        <v>0.98039215686274495</v>
      </c>
    </row>
    <row r="1391" spans="1:37" hidden="1" x14ac:dyDescent="0.2">
      <c r="A1391">
        <f>SUBTOTAL(3,$B$6:B1391)</f>
        <v>0</v>
      </c>
      <c r="B1391" t="s">
        <v>527</v>
      </c>
      <c r="C1391" t="s">
        <v>930</v>
      </c>
      <c r="F1391">
        <v>3.36</v>
      </c>
      <c r="H1391">
        <v>621.1</v>
      </c>
      <c r="I1391">
        <v>0</v>
      </c>
      <c r="R1391">
        <v>3.36</v>
      </c>
      <c r="T1391">
        <v>621.1</v>
      </c>
      <c r="U1391">
        <v>1.55</v>
      </c>
      <c r="AB1391" s="164">
        <v>40848</v>
      </c>
      <c r="AC1391" s="164">
        <v>41729</v>
      </c>
      <c r="AD1391" s="164">
        <v>41654</v>
      </c>
      <c r="AE1391" s="34">
        <f>SUMPRODUCT(DB_STProjectsSOF[[#This Row],[Plan01]:[Plan12]],$D$4:$O$4)/valUnits2</f>
        <v>0.62446000000000002</v>
      </c>
      <c r="AF1391" s="34">
        <f>SUMPRODUCT(DB_STProjectsSOF[[#This Row],[Act01]:[Act12]],$P$4:$AA$4)/valUnits2</f>
        <v>0.62600999999999996</v>
      </c>
      <c r="AG1391" s="34">
        <f>DB_STProjectsSOF[[#This Row],[Actual]]-DB_STProjectsSOF[[#This Row],[Plan]]</f>
        <v>1.5499999999999403E-3</v>
      </c>
      <c r="AH1391" s="34">
        <f>IF(DB_STProjectsSOF[[#This Row],[Plan]]&lt;&gt;0,DB_STProjectsSOF[[#This Row],[Actual]]/DB_STProjectsSOF[[#This Row],[Plan]],1.000011000011)</f>
        <v>1.0024821445729108</v>
      </c>
      <c r="AI1391" s="34">
        <f>SUM(DB_STProjectsSOF[[#This Row],[Plan01]:[Plan12]])/valUnits2</f>
        <v>0.62446000000000002</v>
      </c>
      <c r="AJ1391" s="34">
        <f>SUMPRODUCT(DB_STProjectsSOF[[#This Row],[Act01]:[Act12]],$P$3:$AA$3)/valUnits2</f>
        <v>0.62600999999999996</v>
      </c>
      <c r="AK1391" s="34">
        <f>IF(DB_STProjectsSOF[[#This Row],[FY Plan]]&lt;&gt;0,DB_STProjectsSOF[[#This Row],[FY Actuals]]/DB_STProjectsSOF[[#This Row],[FY Plan]],1.000011000011)</f>
        <v>1.0024821445729108</v>
      </c>
    </row>
    <row r="1392" spans="1:37" hidden="1" x14ac:dyDescent="0.2">
      <c r="A1392">
        <f>SUBTOTAL(3,$B$6:B1392)</f>
        <v>0</v>
      </c>
      <c r="B1392" t="s">
        <v>527</v>
      </c>
      <c r="C1392" t="s">
        <v>935</v>
      </c>
      <c r="G1392">
        <v>0.95899999999999996</v>
      </c>
      <c r="I1392">
        <v>0</v>
      </c>
      <c r="S1392">
        <v>0.94</v>
      </c>
      <c r="U1392">
        <v>7.78</v>
      </c>
      <c r="AB1392" s="164">
        <v>41000</v>
      </c>
      <c r="AC1392" s="164">
        <v>42094</v>
      </c>
      <c r="AD1392" s="164">
        <v>42124</v>
      </c>
      <c r="AE1392" s="34">
        <f>SUMPRODUCT(DB_STProjectsSOF[[#This Row],[Plan01]:[Plan12]],$D$4:$O$4)/valUnits2</f>
        <v>9.59E-4</v>
      </c>
      <c r="AF1392" s="34">
        <f>SUMPRODUCT(DB_STProjectsSOF[[#This Row],[Act01]:[Act12]],$P$4:$AA$4)/valUnits2</f>
        <v>8.7200000000000003E-3</v>
      </c>
      <c r="AG1392" s="34">
        <f>DB_STProjectsSOF[[#This Row],[Actual]]-DB_STProjectsSOF[[#This Row],[Plan]]</f>
        <v>7.7610000000000005E-3</v>
      </c>
      <c r="AH1392" s="34">
        <f>IF(DB_STProjectsSOF[[#This Row],[Plan]]&lt;&gt;0,DB_STProjectsSOF[[#This Row],[Actual]]/DB_STProjectsSOF[[#This Row],[Plan]],1.000011000011)</f>
        <v>9.0928050052137639</v>
      </c>
      <c r="AI1392" s="34">
        <f>SUM(DB_STProjectsSOF[[#This Row],[Plan01]:[Plan12]])/valUnits2</f>
        <v>9.59E-4</v>
      </c>
      <c r="AJ1392" s="34">
        <f>SUMPRODUCT(DB_STProjectsSOF[[#This Row],[Act01]:[Act12]],$P$3:$AA$3)/valUnits2</f>
        <v>8.7200000000000003E-3</v>
      </c>
      <c r="AK1392" s="34">
        <f>IF(DB_STProjectsSOF[[#This Row],[FY Plan]]&lt;&gt;0,DB_STProjectsSOF[[#This Row],[FY Actuals]]/DB_STProjectsSOF[[#This Row],[FY Plan]],1.000011000011)</f>
        <v>9.0928050052137639</v>
      </c>
    </row>
    <row r="1393" spans="1:37" hidden="1" x14ac:dyDescent="0.2">
      <c r="A1393">
        <f>SUBTOTAL(3,$B$6:B1393)</f>
        <v>0</v>
      </c>
      <c r="B1393" t="s">
        <v>528</v>
      </c>
      <c r="C1393" t="s">
        <v>850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 s="164">
        <v>40817</v>
      </c>
      <c r="AC1393" s="164">
        <v>41639</v>
      </c>
      <c r="AD1393" s="164">
        <v>41820</v>
      </c>
      <c r="AE1393" s="34">
        <f>SUMPRODUCT(DB_STProjectsSOF[[#This Row],[Plan01]:[Plan12]],$D$4:$O$4)/valUnits2</f>
        <v>0</v>
      </c>
      <c r="AF1393" s="34">
        <f>SUMPRODUCT(DB_STProjectsSOF[[#This Row],[Act01]:[Act12]],$P$4:$AA$4)/valUnits2</f>
        <v>0</v>
      </c>
      <c r="AG1393" s="34">
        <f>DB_STProjectsSOF[[#This Row],[Actual]]-DB_STProjectsSOF[[#This Row],[Plan]]</f>
        <v>0</v>
      </c>
      <c r="AH1393" s="34">
        <f>IF(DB_STProjectsSOF[[#This Row],[Plan]]&lt;&gt;0,DB_STProjectsSOF[[#This Row],[Actual]]/DB_STProjectsSOF[[#This Row],[Plan]],1.000011000011)</f>
        <v>1.0000110000110001</v>
      </c>
      <c r="AI1393" s="34">
        <f>SUM(DB_STProjectsSOF[[#This Row],[Plan01]:[Plan12]])/valUnits2</f>
        <v>0</v>
      </c>
      <c r="AJ1393" s="34">
        <f>SUMPRODUCT(DB_STProjectsSOF[[#This Row],[Act01]:[Act12]],$P$3:$AA$3)/valUnits2</f>
        <v>0</v>
      </c>
      <c r="AK1393" s="34">
        <f>IF(DB_STProjectsSOF[[#This Row],[FY Plan]]&lt;&gt;0,DB_STProjectsSOF[[#This Row],[FY Actuals]]/DB_STProjectsSOF[[#This Row],[FY Plan]],1.000011000011)</f>
        <v>1.0000110000110001</v>
      </c>
    </row>
    <row r="1394" spans="1:37" hidden="1" x14ac:dyDescent="0.2">
      <c r="A1394">
        <f>SUBTOTAL(3,$B$6:B1394)</f>
        <v>0</v>
      </c>
      <c r="B1394" t="s">
        <v>528</v>
      </c>
      <c r="C1394" t="s">
        <v>855</v>
      </c>
      <c r="I1394">
        <v>0</v>
      </c>
      <c r="U1394">
        <v>0</v>
      </c>
      <c r="AB1394" s="164">
        <v>40817</v>
      </c>
      <c r="AC1394" s="164">
        <v>41759</v>
      </c>
      <c r="AD1394" s="164">
        <v>41820</v>
      </c>
      <c r="AE1394" s="34">
        <f>SUMPRODUCT(DB_STProjectsSOF[[#This Row],[Plan01]:[Plan12]],$D$4:$O$4)/valUnits2</f>
        <v>0</v>
      </c>
      <c r="AF1394" s="34">
        <f>SUMPRODUCT(DB_STProjectsSOF[[#This Row],[Act01]:[Act12]],$P$4:$AA$4)/valUnits2</f>
        <v>0</v>
      </c>
      <c r="AG1394" s="34">
        <f>DB_STProjectsSOF[[#This Row],[Actual]]-DB_STProjectsSOF[[#This Row],[Plan]]</f>
        <v>0</v>
      </c>
      <c r="AH1394" s="34">
        <f>IF(DB_STProjectsSOF[[#This Row],[Plan]]&lt;&gt;0,DB_STProjectsSOF[[#This Row],[Actual]]/DB_STProjectsSOF[[#This Row],[Plan]],1.000011000011)</f>
        <v>1.0000110000110001</v>
      </c>
      <c r="AI1394" s="34">
        <f>SUM(DB_STProjectsSOF[[#This Row],[Plan01]:[Plan12]])/valUnits2</f>
        <v>0</v>
      </c>
      <c r="AJ1394" s="34">
        <f>SUMPRODUCT(DB_STProjectsSOF[[#This Row],[Act01]:[Act12]],$P$3:$AA$3)/valUnits2</f>
        <v>0</v>
      </c>
      <c r="AK1394" s="34">
        <f>IF(DB_STProjectsSOF[[#This Row],[FY Plan]]&lt;&gt;0,DB_STProjectsSOF[[#This Row],[FY Actuals]]/DB_STProjectsSOF[[#This Row],[FY Plan]],1.000011000011)</f>
        <v>1.0000110000110001</v>
      </c>
    </row>
    <row r="1395" spans="1:37" hidden="1" x14ac:dyDescent="0.2">
      <c r="A1395">
        <f>SUBTOTAL(3,$B$6:B1395)</f>
        <v>0</v>
      </c>
      <c r="B1395" t="s">
        <v>528</v>
      </c>
      <c r="C1395" t="s">
        <v>367</v>
      </c>
      <c r="D1395">
        <v>0</v>
      </c>
      <c r="G1395">
        <v>0</v>
      </c>
      <c r="J1395">
        <v>0</v>
      </c>
      <c r="M1395">
        <v>0</v>
      </c>
      <c r="P1395">
        <v>0</v>
      </c>
      <c r="S1395">
        <v>0</v>
      </c>
      <c r="V1395">
        <v>0</v>
      </c>
      <c r="Y1395">
        <v>0</v>
      </c>
      <c r="AB1395" s="164">
        <v>40817</v>
      </c>
      <c r="AC1395" s="164">
        <v>41547</v>
      </c>
      <c r="AD1395" s="164">
        <v>41670</v>
      </c>
      <c r="AE1395" s="34">
        <f>SUMPRODUCT(DB_STProjectsSOF[[#This Row],[Plan01]:[Plan12]],$D$4:$O$4)/valUnits2</f>
        <v>0</v>
      </c>
      <c r="AF1395" s="34">
        <f>SUMPRODUCT(DB_STProjectsSOF[[#This Row],[Act01]:[Act12]],$P$4:$AA$4)/valUnits2</f>
        <v>0</v>
      </c>
      <c r="AG1395" s="34">
        <f>DB_STProjectsSOF[[#This Row],[Actual]]-DB_STProjectsSOF[[#This Row],[Plan]]</f>
        <v>0</v>
      </c>
      <c r="AH1395" s="34">
        <f>IF(DB_STProjectsSOF[[#This Row],[Plan]]&lt;&gt;0,DB_STProjectsSOF[[#This Row],[Actual]]/DB_STProjectsSOF[[#This Row],[Plan]],1.000011000011)</f>
        <v>1.0000110000110001</v>
      </c>
      <c r="AI1395" s="34">
        <f>SUM(DB_STProjectsSOF[[#This Row],[Plan01]:[Plan12]])/valUnits2</f>
        <v>0</v>
      </c>
      <c r="AJ1395" s="34">
        <f>SUMPRODUCT(DB_STProjectsSOF[[#This Row],[Act01]:[Act12]],$P$3:$AA$3)/valUnits2</f>
        <v>0</v>
      </c>
      <c r="AK1395" s="34">
        <f>IF(DB_STProjectsSOF[[#This Row],[FY Plan]]&lt;&gt;0,DB_STProjectsSOF[[#This Row],[FY Actuals]]/DB_STProjectsSOF[[#This Row],[FY Plan]],1.000011000011)</f>
        <v>1.0000110000110001</v>
      </c>
    </row>
    <row r="1396" spans="1:37" hidden="1" x14ac:dyDescent="0.2">
      <c r="A1396">
        <f>SUBTOTAL(3,$B$6:B1396)</f>
        <v>0</v>
      </c>
      <c r="B1396" t="s">
        <v>528</v>
      </c>
      <c r="C1396" t="s">
        <v>858</v>
      </c>
      <c r="G1396">
        <v>295.89</v>
      </c>
      <c r="S1396">
        <v>295.89</v>
      </c>
      <c r="AB1396" s="164">
        <v>41275</v>
      </c>
      <c r="AC1396" s="164">
        <v>41639</v>
      </c>
      <c r="AD1396" s="164">
        <v>41784</v>
      </c>
      <c r="AE1396" s="34">
        <f>SUMPRODUCT(DB_STProjectsSOF[[#This Row],[Plan01]:[Plan12]],$D$4:$O$4)/valUnits2</f>
        <v>0.29588999999999999</v>
      </c>
      <c r="AF1396" s="34">
        <f>SUMPRODUCT(DB_STProjectsSOF[[#This Row],[Act01]:[Act12]],$P$4:$AA$4)/valUnits2</f>
        <v>0.29588999999999999</v>
      </c>
      <c r="AG1396" s="34">
        <f>DB_STProjectsSOF[[#This Row],[Actual]]-DB_STProjectsSOF[[#This Row],[Plan]]</f>
        <v>0</v>
      </c>
      <c r="AH1396" s="34">
        <f>IF(DB_STProjectsSOF[[#This Row],[Plan]]&lt;&gt;0,DB_STProjectsSOF[[#This Row],[Actual]]/DB_STProjectsSOF[[#This Row],[Plan]],1.000011000011)</f>
        <v>1</v>
      </c>
      <c r="AI1396" s="34">
        <f>SUM(DB_STProjectsSOF[[#This Row],[Plan01]:[Plan12]])/valUnits2</f>
        <v>0.29588999999999999</v>
      </c>
      <c r="AJ1396" s="34">
        <f>SUMPRODUCT(DB_STProjectsSOF[[#This Row],[Act01]:[Act12]],$P$3:$AA$3)/valUnits2</f>
        <v>0.29588999999999999</v>
      </c>
      <c r="AK1396" s="34">
        <f>IF(DB_STProjectsSOF[[#This Row],[FY Plan]]&lt;&gt;0,DB_STProjectsSOF[[#This Row],[FY Actuals]]/DB_STProjectsSOF[[#This Row],[FY Plan]],1.000011000011)</f>
        <v>1</v>
      </c>
    </row>
    <row r="1397" spans="1:37" hidden="1" x14ac:dyDescent="0.2">
      <c r="A1397">
        <f>SUBTOTAL(3,$B$6:B1397)</f>
        <v>0</v>
      </c>
      <c r="B1397" t="s">
        <v>528</v>
      </c>
      <c r="C1397" t="s">
        <v>859</v>
      </c>
      <c r="G1397">
        <v>0</v>
      </c>
      <c r="H1397">
        <v>0</v>
      </c>
      <c r="I1397">
        <v>260.86</v>
      </c>
      <c r="J1397">
        <v>260.86</v>
      </c>
      <c r="K1397">
        <v>260.86</v>
      </c>
      <c r="L1397">
        <v>260.86</v>
      </c>
      <c r="M1397">
        <v>260.86</v>
      </c>
      <c r="N1397">
        <v>260.86</v>
      </c>
      <c r="O1397">
        <v>260.86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 s="164">
        <v>40909</v>
      </c>
      <c r="AC1397" s="164">
        <v>42004</v>
      </c>
      <c r="AD1397" s="164">
        <v>42094</v>
      </c>
      <c r="AE1397" s="34">
        <f>SUMPRODUCT(DB_STProjectsSOF[[#This Row],[Plan01]:[Plan12]],$D$4:$O$4)/valUnits2</f>
        <v>0.26086000000000004</v>
      </c>
      <c r="AF1397" s="34">
        <f>SUMPRODUCT(DB_STProjectsSOF[[#This Row],[Act01]:[Act12]],$P$4:$AA$4)/valUnits2</f>
        <v>0</v>
      </c>
      <c r="AG1397" s="34">
        <f>DB_STProjectsSOF[[#This Row],[Actual]]-DB_STProjectsSOF[[#This Row],[Plan]]</f>
        <v>-0.26086000000000004</v>
      </c>
      <c r="AH1397" s="34">
        <f>IF(DB_STProjectsSOF[[#This Row],[Plan]]&lt;&gt;0,DB_STProjectsSOF[[#This Row],[Actual]]/DB_STProjectsSOF[[#This Row],[Plan]],1.000011000011)</f>
        <v>0</v>
      </c>
      <c r="AI1397" s="34">
        <f>SUM(DB_STProjectsSOF[[#This Row],[Plan01]:[Plan12]])/valUnits2</f>
        <v>1.8260200000000004</v>
      </c>
      <c r="AJ1397" s="34">
        <f>SUMPRODUCT(DB_STProjectsSOF[[#This Row],[Act01]:[Act12]],$P$3:$AA$3)/valUnits2</f>
        <v>0</v>
      </c>
      <c r="AK1397" s="34">
        <f>IF(DB_STProjectsSOF[[#This Row],[FY Plan]]&lt;&gt;0,DB_STProjectsSOF[[#This Row],[FY Actuals]]/DB_STProjectsSOF[[#This Row],[FY Plan]],1.000011000011)</f>
        <v>0</v>
      </c>
    </row>
    <row r="1398" spans="1:37" hidden="1" x14ac:dyDescent="0.2">
      <c r="A1398">
        <f>SUBTOTAL(3,$B$6:B1398)</f>
        <v>0</v>
      </c>
      <c r="B1398" t="s">
        <v>528</v>
      </c>
      <c r="C1398" t="s">
        <v>865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 s="164">
        <v>40817</v>
      </c>
      <c r="AC1398" s="164">
        <v>41639</v>
      </c>
      <c r="AD1398" s="164">
        <v>41820</v>
      </c>
      <c r="AE1398" s="34">
        <f>SUMPRODUCT(DB_STProjectsSOF[[#This Row],[Plan01]:[Plan12]],$D$4:$O$4)/valUnits2</f>
        <v>0</v>
      </c>
      <c r="AF1398" s="34">
        <f>SUMPRODUCT(DB_STProjectsSOF[[#This Row],[Act01]:[Act12]],$P$4:$AA$4)/valUnits2</f>
        <v>0</v>
      </c>
      <c r="AG1398" s="34">
        <f>DB_STProjectsSOF[[#This Row],[Actual]]-DB_STProjectsSOF[[#This Row],[Plan]]</f>
        <v>0</v>
      </c>
      <c r="AH1398" s="34">
        <f>IF(DB_STProjectsSOF[[#This Row],[Plan]]&lt;&gt;0,DB_STProjectsSOF[[#This Row],[Actual]]/DB_STProjectsSOF[[#This Row],[Plan]],1.000011000011)</f>
        <v>1.0000110000110001</v>
      </c>
      <c r="AI1398" s="34">
        <f>SUM(DB_STProjectsSOF[[#This Row],[Plan01]:[Plan12]])/valUnits2</f>
        <v>0</v>
      </c>
      <c r="AJ1398" s="34">
        <f>SUMPRODUCT(DB_STProjectsSOF[[#This Row],[Act01]:[Act12]],$P$3:$AA$3)/valUnits2</f>
        <v>0</v>
      </c>
      <c r="AK1398" s="34">
        <f>IF(DB_STProjectsSOF[[#This Row],[FY Plan]]&lt;&gt;0,DB_STProjectsSOF[[#This Row],[FY Actuals]]/DB_STProjectsSOF[[#This Row],[FY Plan]],1.000011000011)</f>
        <v>1.0000110000110001</v>
      </c>
    </row>
    <row r="1399" spans="1:37" hidden="1" x14ac:dyDescent="0.2">
      <c r="A1399">
        <f>SUBTOTAL(3,$B$6:B1399)</f>
        <v>0</v>
      </c>
      <c r="B1399" t="s">
        <v>528</v>
      </c>
      <c r="C1399" t="s">
        <v>355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AB1399" s="164">
        <v>41275</v>
      </c>
      <c r="AC1399" s="164">
        <v>41455</v>
      </c>
      <c r="AD1399" s="164">
        <v>41547</v>
      </c>
      <c r="AE1399" s="34">
        <f>SUMPRODUCT(DB_STProjectsSOF[[#This Row],[Plan01]:[Plan12]],$D$4:$O$4)/valUnits2</f>
        <v>0</v>
      </c>
      <c r="AF1399" s="34">
        <f>SUMPRODUCT(DB_STProjectsSOF[[#This Row],[Act01]:[Act12]],$P$4:$AA$4)/valUnits2</f>
        <v>0</v>
      </c>
      <c r="AG1399" s="34">
        <f>DB_STProjectsSOF[[#This Row],[Actual]]-DB_STProjectsSOF[[#This Row],[Plan]]</f>
        <v>0</v>
      </c>
      <c r="AH1399" s="34">
        <f>IF(DB_STProjectsSOF[[#This Row],[Plan]]&lt;&gt;0,DB_STProjectsSOF[[#This Row],[Actual]]/DB_STProjectsSOF[[#This Row],[Plan]],1.000011000011)</f>
        <v>1.0000110000110001</v>
      </c>
      <c r="AI1399" s="34">
        <f>SUM(DB_STProjectsSOF[[#This Row],[Plan01]:[Plan12]])/valUnits2</f>
        <v>0</v>
      </c>
      <c r="AJ1399" s="34">
        <f>SUMPRODUCT(DB_STProjectsSOF[[#This Row],[Act01]:[Act12]],$P$3:$AA$3)/valUnits2</f>
        <v>0</v>
      </c>
      <c r="AK1399" s="34">
        <f>IF(DB_STProjectsSOF[[#This Row],[FY Plan]]&lt;&gt;0,DB_STProjectsSOF[[#This Row],[FY Actuals]]/DB_STProjectsSOF[[#This Row],[FY Plan]],1.000011000011)</f>
        <v>1.0000110000110001</v>
      </c>
    </row>
    <row r="1400" spans="1:37" hidden="1" x14ac:dyDescent="0.2">
      <c r="A1400">
        <f>SUBTOTAL(3,$B$6:B1400)</f>
        <v>0</v>
      </c>
      <c r="B1400" t="s">
        <v>528</v>
      </c>
      <c r="C1400" t="s">
        <v>362</v>
      </c>
      <c r="D1400">
        <v>0</v>
      </c>
      <c r="P1400">
        <v>0</v>
      </c>
      <c r="AB1400" s="164">
        <v>40909</v>
      </c>
      <c r="AC1400" s="164">
        <v>41486</v>
      </c>
      <c r="AD1400" s="164">
        <v>41670</v>
      </c>
      <c r="AE1400" s="34">
        <f>SUMPRODUCT(DB_STProjectsSOF[[#This Row],[Plan01]:[Plan12]],$D$4:$O$4)/valUnits2</f>
        <v>0</v>
      </c>
      <c r="AF1400" s="34">
        <f>SUMPRODUCT(DB_STProjectsSOF[[#This Row],[Act01]:[Act12]],$P$4:$AA$4)/valUnits2</f>
        <v>0</v>
      </c>
      <c r="AG1400" s="34">
        <f>DB_STProjectsSOF[[#This Row],[Actual]]-DB_STProjectsSOF[[#This Row],[Plan]]</f>
        <v>0</v>
      </c>
      <c r="AH1400" s="34">
        <f>IF(DB_STProjectsSOF[[#This Row],[Plan]]&lt;&gt;0,DB_STProjectsSOF[[#This Row],[Actual]]/DB_STProjectsSOF[[#This Row],[Plan]],1.000011000011)</f>
        <v>1.0000110000110001</v>
      </c>
      <c r="AI1400" s="34">
        <f>SUM(DB_STProjectsSOF[[#This Row],[Plan01]:[Plan12]])/valUnits2</f>
        <v>0</v>
      </c>
      <c r="AJ1400" s="34">
        <f>SUMPRODUCT(DB_STProjectsSOF[[#This Row],[Act01]:[Act12]],$P$3:$AA$3)/valUnits2</f>
        <v>0</v>
      </c>
      <c r="AK1400" s="34">
        <f>IF(DB_STProjectsSOF[[#This Row],[FY Plan]]&lt;&gt;0,DB_STProjectsSOF[[#This Row],[FY Actuals]]/DB_STProjectsSOF[[#This Row],[FY Plan]],1.000011000011)</f>
        <v>1.0000110000110001</v>
      </c>
    </row>
    <row r="1401" spans="1:37" hidden="1" x14ac:dyDescent="0.2">
      <c r="A1401">
        <f>SUBTOTAL(3,$B$6:B1401)</f>
        <v>0</v>
      </c>
      <c r="B1401" t="s">
        <v>528</v>
      </c>
      <c r="C1401" t="s">
        <v>878</v>
      </c>
      <c r="D1401">
        <v>0</v>
      </c>
      <c r="E1401">
        <v>0</v>
      </c>
      <c r="P1401">
        <v>0</v>
      </c>
      <c r="Q1401">
        <v>0</v>
      </c>
      <c r="AB1401" s="164">
        <v>40969</v>
      </c>
      <c r="AC1401" s="164">
        <v>41333</v>
      </c>
      <c r="AD1401" s="164">
        <v>41364</v>
      </c>
      <c r="AE1401" s="34">
        <f>SUMPRODUCT(DB_STProjectsSOF[[#This Row],[Plan01]:[Plan12]],$D$4:$O$4)/valUnits2</f>
        <v>0</v>
      </c>
      <c r="AF1401" s="34">
        <f>SUMPRODUCT(DB_STProjectsSOF[[#This Row],[Act01]:[Act12]],$P$4:$AA$4)/valUnits2</f>
        <v>0</v>
      </c>
      <c r="AG1401" s="34">
        <f>DB_STProjectsSOF[[#This Row],[Actual]]-DB_STProjectsSOF[[#This Row],[Plan]]</f>
        <v>0</v>
      </c>
      <c r="AH1401" s="34">
        <f>IF(DB_STProjectsSOF[[#This Row],[Plan]]&lt;&gt;0,DB_STProjectsSOF[[#This Row],[Actual]]/DB_STProjectsSOF[[#This Row],[Plan]],1.000011000011)</f>
        <v>1.0000110000110001</v>
      </c>
      <c r="AI1401" s="34">
        <f>SUM(DB_STProjectsSOF[[#This Row],[Plan01]:[Plan12]])/valUnits2</f>
        <v>0</v>
      </c>
      <c r="AJ1401" s="34">
        <f>SUMPRODUCT(DB_STProjectsSOF[[#This Row],[Act01]:[Act12]],$P$3:$AA$3)/valUnits2</f>
        <v>0</v>
      </c>
      <c r="AK1401" s="34">
        <f>IF(DB_STProjectsSOF[[#This Row],[FY Plan]]&lt;&gt;0,DB_STProjectsSOF[[#This Row],[FY Actuals]]/DB_STProjectsSOF[[#This Row],[FY Plan]],1.000011000011)</f>
        <v>1.0000110000110001</v>
      </c>
    </row>
    <row r="1402" spans="1:37" hidden="1" x14ac:dyDescent="0.2">
      <c r="A1402">
        <f>SUBTOTAL(3,$B$6:B1402)</f>
        <v>0</v>
      </c>
      <c r="B1402" t="s">
        <v>528</v>
      </c>
      <c r="C1402" t="s">
        <v>883</v>
      </c>
      <c r="D1402">
        <v>0</v>
      </c>
      <c r="P1402">
        <v>0</v>
      </c>
      <c r="AB1402" s="164">
        <v>40940</v>
      </c>
      <c r="AC1402" s="164">
        <v>41639</v>
      </c>
      <c r="AD1402" s="164">
        <v>41698</v>
      </c>
      <c r="AE1402" s="34">
        <f>SUMPRODUCT(DB_STProjectsSOF[[#This Row],[Plan01]:[Plan12]],$D$4:$O$4)/valUnits2</f>
        <v>0</v>
      </c>
      <c r="AF1402" s="34">
        <f>SUMPRODUCT(DB_STProjectsSOF[[#This Row],[Act01]:[Act12]],$P$4:$AA$4)/valUnits2</f>
        <v>0</v>
      </c>
      <c r="AG1402" s="34">
        <f>DB_STProjectsSOF[[#This Row],[Actual]]-DB_STProjectsSOF[[#This Row],[Plan]]</f>
        <v>0</v>
      </c>
      <c r="AH1402" s="34">
        <f>IF(DB_STProjectsSOF[[#This Row],[Plan]]&lt;&gt;0,DB_STProjectsSOF[[#This Row],[Actual]]/DB_STProjectsSOF[[#This Row],[Plan]],1.000011000011)</f>
        <v>1.0000110000110001</v>
      </c>
      <c r="AI1402" s="34">
        <f>SUM(DB_STProjectsSOF[[#This Row],[Plan01]:[Plan12]])/valUnits2</f>
        <v>0</v>
      </c>
      <c r="AJ1402" s="34">
        <f>SUMPRODUCT(DB_STProjectsSOF[[#This Row],[Act01]:[Act12]],$P$3:$AA$3)/valUnits2</f>
        <v>0</v>
      </c>
      <c r="AK1402" s="34">
        <f>IF(DB_STProjectsSOF[[#This Row],[FY Plan]]&lt;&gt;0,DB_STProjectsSOF[[#This Row],[FY Actuals]]/DB_STProjectsSOF[[#This Row],[FY Plan]],1.000011000011)</f>
        <v>1.0000110000110001</v>
      </c>
    </row>
    <row r="1403" spans="1:37" hidden="1" x14ac:dyDescent="0.2">
      <c r="A1403">
        <f>SUBTOTAL(3,$B$6:B1403)</f>
        <v>0</v>
      </c>
      <c r="B1403" t="s">
        <v>528</v>
      </c>
      <c r="C1403" t="s">
        <v>885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7.8800000000000008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 s="164">
        <v>40817</v>
      </c>
      <c r="AC1403" s="164">
        <v>41639</v>
      </c>
      <c r="AD1403" s="164">
        <v>41820</v>
      </c>
      <c r="AE1403" s="34">
        <f>SUMPRODUCT(DB_STProjectsSOF[[#This Row],[Plan01]:[Plan12]],$D$4:$O$4)/valUnits2</f>
        <v>0</v>
      </c>
      <c r="AF1403" s="34">
        <f>SUMPRODUCT(DB_STProjectsSOF[[#This Row],[Act01]:[Act12]],$P$4:$AA$4)/valUnits2</f>
        <v>7.8800000000000016E-3</v>
      </c>
      <c r="AG1403" s="34">
        <f>DB_STProjectsSOF[[#This Row],[Actual]]-DB_STProjectsSOF[[#This Row],[Plan]]</f>
        <v>7.8800000000000016E-3</v>
      </c>
      <c r="AH1403" s="34">
        <f>IF(DB_STProjectsSOF[[#This Row],[Plan]]&lt;&gt;0,DB_STProjectsSOF[[#This Row],[Actual]]/DB_STProjectsSOF[[#This Row],[Plan]],1.000011000011)</f>
        <v>1.0000110000110001</v>
      </c>
      <c r="AI1403" s="34">
        <f>SUM(DB_STProjectsSOF[[#This Row],[Plan01]:[Plan12]])/valUnits2</f>
        <v>0</v>
      </c>
      <c r="AJ1403" s="34">
        <f>SUMPRODUCT(DB_STProjectsSOF[[#This Row],[Act01]:[Act12]],$P$3:$AA$3)/valUnits2</f>
        <v>7.8800000000000016E-3</v>
      </c>
      <c r="AK1403" s="34">
        <f>IF(DB_STProjectsSOF[[#This Row],[FY Plan]]&lt;&gt;0,DB_STProjectsSOF[[#This Row],[FY Actuals]]/DB_STProjectsSOF[[#This Row],[FY Plan]],1.000011000011)</f>
        <v>1.0000110000110001</v>
      </c>
    </row>
    <row r="1404" spans="1:37" hidden="1" x14ac:dyDescent="0.2">
      <c r="A1404">
        <f>SUBTOTAL(3,$B$6:B1404)</f>
        <v>0</v>
      </c>
      <c r="B1404" t="s">
        <v>528</v>
      </c>
      <c r="C1404" t="s">
        <v>891</v>
      </c>
      <c r="I1404">
        <v>0</v>
      </c>
      <c r="U1404">
        <v>122</v>
      </c>
      <c r="AB1404" s="164">
        <v>41214</v>
      </c>
      <c r="AC1404" s="164">
        <v>42308</v>
      </c>
      <c r="AD1404" s="164">
        <v>42389</v>
      </c>
      <c r="AE1404" s="34">
        <f>SUMPRODUCT(DB_STProjectsSOF[[#This Row],[Plan01]:[Plan12]],$D$4:$O$4)/valUnits2</f>
        <v>0</v>
      </c>
      <c r="AF1404" s="34">
        <f>SUMPRODUCT(DB_STProjectsSOF[[#This Row],[Act01]:[Act12]],$P$4:$AA$4)/valUnits2</f>
        <v>0.122</v>
      </c>
      <c r="AG1404" s="34">
        <f>DB_STProjectsSOF[[#This Row],[Actual]]-DB_STProjectsSOF[[#This Row],[Plan]]</f>
        <v>0.122</v>
      </c>
      <c r="AH1404" s="34">
        <f>IF(DB_STProjectsSOF[[#This Row],[Plan]]&lt;&gt;0,DB_STProjectsSOF[[#This Row],[Actual]]/DB_STProjectsSOF[[#This Row],[Plan]],1.000011000011)</f>
        <v>1.0000110000110001</v>
      </c>
      <c r="AI1404" s="34">
        <f>SUM(DB_STProjectsSOF[[#This Row],[Plan01]:[Plan12]])/valUnits2</f>
        <v>0</v>
      </c>
      <c r="AJ1404" s="34">
        <f>SUMPRODUCT(DB_STProjectsSOF[[#This Row],[Act01]:[Act12]],$P$3:$AA$3)/valUnits2</f>
        <v>0.122</v>
      </c>
      <c r="AK1404" s="34">
        <f>IF(DB_STProjectsSOF[[#This Row],[FY Plan]]&lt;&gt;0,DB_STProjectsSOF[[#This Row],[FY Actuals]]/DB_STProjectsSOF[[#This Row],[FY Plan]],1.000011000011)</f>
        <v>1.0000110000110001</v>
      </c>
    </row>
    <row r="1405" spans="1:37" hidden="1" x14ac:dyDescent="0.2">
      <c r="A1405">
        <f>SUBTOTAL(3,$B$6:B1405)</f>
        <v>0</v>
      </c>
      <c r="B1405" t="s">
        <v>528</v>
      </c>
      <c r="C1405" t="s">
        <v>896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 s="164">
        <v>40817</v>
      </c>
      <c r="AC1405" s="164">
        <v>41639</v>
      </c>
      <c r="AD1405" s="164">
        <v>41820</v>
      </c>
      <c r="AE1405" s="34">
        <f>SUMPRODUCT(DB_STProjectsSOF[[#This Row],[Plan01]:[Plan12]],$D$4:$O$4)/valUnits2</f>
        <v>0</v>
      </c>
      <c r="AF1405" s="34">
        <f>SUMPRODUCT(DB_STProjectsSOF[[#This Row],[Act01]:[Act12]],$P$4:$AA$4)/valUnits2</f>
        <v>0</v>
      </c>
      <c r="AG1405" s="34">
        <f>DB_STProjectsSOF[[#This Row],[Actual]]-DB_STProjectsSOF[[#This Row],[Plan]]</f>
        <v>0</v>
      </c>
      <c r="AH1405" s="34">
        <f>IF(DB_STProjectsSOF[[#This Row],[Plan]]&lt;&gt;0,DB_STProjectsSOF[[#This Row],[Actual]]/DB_STProjectsSOF[[#This Row],[Plan]],1.000011000011)</f>
        <v>1.0000110000110001</v>
      </c>
      <c r="AI1405" s="34">
        <f>SUM(DB_STProjectsSOF[[#This Row],[Plan01]:[Plan12]])/valUnits2</f>
        <v>0</v>
      </c>
      <c r="AJ1405" s="34">
        <f>SUMPRODUCT(DB_STProjectsSOF[[#This Row],[Act01]:[Act12]],$P$3:$AA$3)/valUnits2</f>
        <v>0</v>
      </c>
      <c r="AK1405" s="34">
        <f>IF(DB_STProjectsSOF[[#This Row],[FY Plan]]&lt;&gt;0,DB_STProjectsSOF[[#This Row],[FY Actuals]]/DB_STProjectsSOF[[#This Row],[FY Plan]],1.000011000011)</f>
        <v>1.0000110000110001</v>
      </c>
    </row>
    <row r="1406" spans="1:37" hidden="1" x14ac:dyDescent="0.2">
      <c r="A1406">
        <f>SUBTOTAL(3,$B$6:B1406)</f>
        <v>0</v>
      </c>
      <c r="B1406" t="s">
        <v>528</v>
      </c>
      <c r="C1406" t="s">
        <v>899</v>
      </c>
      <c r="E1406">
        <v>150.49</v>
      </c>
      <c r="F1406">
        <v>1065.2560000000001</v>
      </c>
      <c r="Q1406">
        <v>150.01</v>
      </c>
      <c r="R1406">
        <v>1057.58</v>
      </c>
      <c r="AB1406" s="164">
        <v>40909</v>
      </c>
      <c r="AC1406" s="164">
        <v>41639</v>
      </c>
      <c r="AD1406" s="164">
        <v>41729</v>
      </c>
      <c r="AE1406" s="34">
        <f>SUMPRODUCT(DB_STProjectsSOF[[#This Row],[Plan01]:[Plan12]],$D$4:$O$4)/valUnits2</f>
        <v>1.215746</v>
      </c>
      <c r="AF1406" s="34">
        <f>SUMPRODUCT(DB_STProjectsSOF[[#This Row],[Act01]:[Act12]],$P$4:$AA$4)/valUnits2</f>
        <v>1.2075899999999999</v>
      </c>
      <c r="AG1406" s="34">
        <f>DB_STProjectsSOF[[#This Row],[Actual]]-DB_STProjectsSOF[[#This Row],[Plan]]</f>
        <v>-8.1560000000000521E-3</v>
      </c>
      <c r="AH1406" s="34">
        <f>IF(DB_STProjectsSOF[[#This Row],[Plan]]&lt;&gt;0,DB_STProjectsSOF[[#This Row],[Actual]]/DB_STProjectsSOF[[#This Row],[Plan]],1.000011000011)</f>
        <v>0.99329136184696465</v>
      </c>
      <c r="AI1406" s="34">
        <f>SUM(DB_STProjectsSOF[[#This Row],[Plan01]:[Plan12]])/valUnits2</f>
        <v>1.215746</v>
      </c>
      <c r="AJ1406" s="34">
        <f>SUMPRODUCT(DB_STProjectsSOF[[#This Row],[Act01]:[Act12]],$P$3:$AA$3)/valUnits2</f>
        <v>1.2075899999999999</v>
      </c>
      <c r="AK1406" s="34">
        <f>IF(DB_STProjectsSOF[[#This Row],[FY Plan]]&lt;&gt;0,DB_STProjectsSOF[[#This Row],[FY Actuals]]/DB_STProjectsSOF[[#This Row],[FY Plan]],1.000011000011)</f>
        <v>0.99329136184696465</v>
      </c>
    </row>
    <row r="1407" spans="1:37" hidden="1" x14ac:dyDescent="0.2">
      <c r="A1407">
        <f>SUBTOTAL(3,$B$6:B1407)</f>
        <v>0</v>
      </c>
      <c r="B1407" t="s">
        <v>528</v>
      </c>
      <c r="C1407" t="s">
        <v>908</v>
      </c>
      <c r="F1407">
        <v>0</v>
      </c>
      <c r="G1407">
        <v>0</v>
      </c>
      <c r="H1407">
        <v>0</v>
      </c>
      <c r="I1407">
        <v>34.979999999999997</v>
      </c>
      <c r="J1407">
        <v>34.979999999999997</v>
      </c>
      <c r="K1407">
        <v>34.979999999999997</v>
      </c>
      <c r="L1407">
        <v>34.979999999999997</v>
      </c>
      <c r="M1407">
        <v>34.979999999999997</v>
      </c>
      <c r="N1407">
        <v>34.979999999999997</v>
      </c>
      <c r="O1407">
        <v>34.979999999999997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 s="164">
        <v>40909</v>
      </c>
      <c r="AC1407" s="164">
        <v>42003</v>
      </c>
      <c r="AD1407" s="164">
        <v>42063</v>
      </c>
      <c r="AE1407" s="34">
        <f>SUMPRODUCT(DB_STProjectsSOF[[#This Row],[Plan01]:[Plan12]],$D$4:$O$4)/valUnits2</f>
        <v>3.4979999999999997E-2</v>
      </c>
      <c r="AF1407" s="34">
        <f>SUMPRODUCT(DB_STProjectsSOF[[#This Row],[Act01]:[Act12]],$P$4:$AA$4)/valUnits2</f>
        <v>0</v>
      </c>
      <c r="AG1407" s="34">
        <f>DB_STProjectsSOF[[#This Row],[Actual]]-DB_STProjectsSOF[[#This Row],[Plan]]</f>
        <v>-3.4979999999999997E-2</v>
      </c>
      <c r="AH1407" s="34">
        <f>IF(DB_STProjectsSOF[[#This Row],[Plan]]&lt;&gt;0,DB_STProjectsSOF[[#This Row],[Actual]]/DB_STProjectsSOF[[#This Row],[Plan]],1.000011000011)</f>
        <v>0</v>
      </c>
      <c r="AI1407" s="34">
        <f>SUM(DB_STProjectsSOF[[#This Row],[Plan01]:[Plan12]])/valUnits2</f>
        <v>0.24485999999999997</v>
      </c>
      <c r="AJ1407" s="34">
        <f>SUMPRODUCT(DB_STProjectsSOF[[#This Row],[Act01]:[Act12]],$P$3:$AA$3)/valUnits2</f>
        <v>0</v>
      </c>
      <c r="AK1407" s="34">
        <f>IF(DB_STProjectsSOF[[#This Row],[FY Plan]]&lt;&gt;0,DB_STProjectsSOF[[#This Row],[FY Actuals]]/DB_STProjectsSOF[[#This Row],[FY Plan]],1.000011000011)</f>
        <v>0</v>
      </c>
    </row>
    <row r="1408" spans="1:37" hidden="1" x14ac:dyDescent="0.2">
      <c r="A1408">
        <f>SUBTOTAL(3,$B$6:B1408)</f>
        <v>0</v>
      </c>
      <c r="B1408" t="s">
        <v>528</v>
      </c>
      <c r="C1408" t="s">
        <v>909</v>
      </c>
      <c r="D1408">
        <v>198.06</v>
      </c>
      <c r="F1408">
        <v>401.48</v>
      </c>
      <c r="G1408">
        <v>51.7</v>
      </c>
      <c r="H1408">
        <v>183.57</v>
      </c>
      <c r="I1408">
        <v>0</v>
      </c>
      <c r="P1408">
        <v>198.06</v>
      </c>
      <c r="R1408">
        <v>401.47999999999996</v>
      </c>
      <c r="S1408">
        <v>51.7</v>
      </c>
      <c r="T1408">
        <v>183.57</v>
      </c>
      <c r="U1408">
        <v>482.41999999999996</v>
      </c>
      <c r="AB1408" s="164">
        <v>40817</v>
      </c>
      <c r="AC1408" s="164">
        <v>42155</v>
      </c>
      <c r="AD1408" s="164">
        <v>42217</v>
      </c>
      <c r="AE1408" s="34">
        <f>SUMPRODUCT(DB_STProjectsSOF[[#This Row],[Plan01]:[Plan12]],$D$4:$O$4)/valUnits2</f>
        <v>0.83480999999999994</v>
      </c>
      <c r="AF1408" s="34">
        <f>SUMPRODUCT(DB_STProjectsSOF[[#This Row],[Act01]:[Act12]],$P$4:$AA$4)/valUnits2</f>
        <v>1.3172300000000001</v>
      </c>
      <c r="AG1408" s="34">
        <f>DB_STProjectsSOF[[#This Row],[Actual]]-DB_STProjectsSOF[[#This Row],[Plan]]</f>
        <v>0.48242000000000018</v>
      </c>
      <c r="AH1408" s="34">
        <f>IF(DB_STProjectsSOF[[#This Row],[Plan]]&lt;&gt;0,DB_STProjectsSOF[[#This Row],[Actual]]/DB_STProjectsSOF[[#This Row],[Plan]],1.000011000011)</f>
        <v>1.5778799966459436</v>
      </c>
      <c r="AI1408" s="34">
        <f>SUM(DB_STProjectsSOF[[#This Row],[Plan01]:[Plan12]])/valUnits2</f>
        <v>0.83480999999999994</v>
      </c>
      <c r="AJ1408" s="34">
        <f>SUMPRODUCT(DB_STProjectsSOF[[#This Row],[Act01]:[Act12]],$P$3:$AA$3)/valUnits2</f>
        <v>1.3172300000000001</v>
      </c>
      <c r="AK1408" s="34">
        <f>IF(DB_STProjectsSOF[[#This Row],[FY Plan]]&lt;&gt;0,DB_STProjectsSOF[[#This Row],[FY Actuals]]/DB_STProjectsSOF[[#This Row],[FY Plan]],1.000011000011)</f>
        <v>1.5778799966459436</v>
      </c>
    </row>
    <row r="1409" spans="1:37" hidden="1" x14ac:dyDescent="0.2">
      <c r="A1409">
        <f>SUBTOTAL(3,$B$6:B1409)</f>
        <v>0</v>
      </c>
      <c r="B1409" t="s">
        <v>528</v>
      </c>
      <c r="C1409" t="s">
        <v>918</v>
      </c>
      <c r="D1409">
        <v>0</v>
      </c>
      <c r="G1409">
        <v>0</v>
      </c>
      <c r="H1409">
        <v>115.01900000000001</v>
      </c>
      <c r="J1409">
        <v>0</v>
      </c>
      <c r="M1409">
        <v>0</v>
      </c>
      <c r="P1409">
        <v>0</v>
      </c>
      <c r="S1409">
        <v>0</v>
      </c>
      <c r="T1409">
        <v>114.08000000000001</v>
      </c>
      <c r="V1409">
        <v>0</v>
      </c>
      <c r="Y1409">
        <v>0</v>
      </c>
      <c r="AB1409" s="164">
        <v>41091</v>
      </c>
      <c r="AC1409" s="164">
        <v>42185</v>
      </c>
      <c r="AD1409" s="164">
        <v>42247</v>
      </c>
      <c r="AE1409" s="34">
        <f>SUMPRODUCT(DB_STProjectsSOF[[#This Row],[Plan01]:[Plan12]],$D$4:$O$4)/valUnits2</f>
        <v>0.11501900000000001</v>
      </c>
      <c r="AF1409" s="34">
        <f>SUMPRODUCT(DB_STProjectsSOF[[#This Row],[Act01]:[Act12]],$P$4:$AA$4)/valUnits2</f>
        <v>0.11408000000000001</v>
      </c>
      <c r="AG1409" s="34">
        <f>DB_STProjectsSOF[[#This Row],[Actual]]-DB_STProjectsSOF[[#This Row],[Plan]]</f>
        <v>-9.3899999999999539E-4</v>
      </c>
      <c r="AH1409" s="34">
        <f>IF(DB_STProjectsSOF[[#This Row],[Plan]]&lt;&gt;0,DB_STProjectsSOF[[#This Row],[Actual]]/DB_STProjectsSOF[[#This Row],[Plan]],1.000011000011)</f>
        <v>0.99183613142176519</v>
      </c>
      <c r="AI1409" s="34">
        <f>SUM(DB_STProjectsSOF[[#This Row],[Plan01]:[Plan12]])/valUnits2</f>
        <v>0.11501900000000001</v>
      </c>
      <c r="AJ1409" s="34">
        <f>SUMPRODUCT(DB_STProjectsSOF[[#This Row],[Act01]:[Act12]],$P$3:$AA$3)/valUnits2</f>
        <v>0.11408000000000001</v>
      </c>
      <c r="AK1409" s="34">
        <f>IF(DB_STProjectsSOF[[#This Row],[FY Plan]]&lt;&gt;0,DB_STProjectsSOF[[#This Row],[FY Actuals]]/DB_STProjectsSOF[[#This Row],[FY Plan]],1.000011000011)</f>
        <v>0.99183613142176519</v>
      </c>
    </row>
    <row r="1410" spans="1:37" hidden="1" x14ac:dyDescent="0.2">
      <c r="A1410">
        <f>SUBTOTAL(3,$B$6:B1410)</f>
        <v>0</v>
      </c>
      <c r="B1410" t="s">
        <v>528</v>
      </c>
      <c r="C1410" t="s">
        <v>356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AB1410" s="164">
        <v>41091</v>
      </c>
      <c r="AC1410" s="164">
        <v>41455</v>
      </c>
      <c r="AD1410" s="164">
        <v>41547</v>
      </c>
      <c r="AE1410" s="34">
        <f>SUMPRODUCT(DB_STProjectsSOF[[#This Row],[Plan01]:[Plan12]],$D$4:$O$4)/valUnits2</f>
        <v>0</v>
      </c>
      <c r="AF1410" s="34">
        <f>SUMPRODUCT(DB_STProjectsSOF[[#This Row],[Act01]:[Act12]],$P$4:$AA$4)/valUnits2</f>
        <v>0</v>
      </c>
      <c r="AG1410" s="34">
        <f>DB_STProjectsSOF[[#This Row],[Actual]]-DB_STProjectsSOF[[#This Row],[Plan]]</f>
        <v>0</v>
      </c>
      <c r="AH1410" s="34">
        <f>IF(DB_STProjectsSOF[[#This Row],[Plan]]&lt;&gt;0,DB_STProjectsSOF[[#This Row],[Actual]]/DB_STProjectsSOF[[#This Row],[Plan]],1.000011000011)</f>
        <v>1.0000110000110001</v>
      </c>
      <c r="AI1410" s="34">
        <f>SUM(DB_STProjectsSOF[[#This Row],[Plan01]:[Plan12]])/valUnits2</f>
        <v>0</v>
      </c>
      <c r="AJ1410" s="34">
        <f>SUMPRODUCT(DB_STProjectsSOF[[#This Row],[Act01]:[Act12]],$P$3:$AA$3)/valUnits2</f>
        <v>0</v>
      </c>
      <c r="AK1410" s="34">
        <f>IF(DB_STProjectsSOF[[#This Row],[FY Plan]]&lt;&gt;0,DB_STProjectsSOF[[#This Row],[FY Actuals]]/DB_STProjectsSOF[[#This Row],[FY Plan]],1.000011000011)</f>
        <v>1.0000110000110001</v>
      </c>
    </row>
    <row r="1411" spans="1:37" hidden="1" x14ac:dyDescent="0.2">
      <c r="A1411">
        <f>SUBTOTAL(3,$B$6:B1411)</f>
        <v>0</v>
      </c>
      <c r="B1411" t="s">
        <v>528</v>
      </c>
      <c r="C1411" t="s">
        <v>921</v>
      </c>
      <c r="D1411">
        <v>164.34799999999998</v>
      </c>
      <c r="E1411">
        <v>220.59700000000001</v>
      </c>
      <c r="P1411">
        <v>164.36</v>
      </c>
      <c r="Q1411">
        <v>219.38</v>
      </c>
      <c r="AB1411" s="164">
        <v>40909</v>
      </c>
      <c r="AC1411" s="164">
        <v>41363</v>
      </c>
      <c r="AD1411" s="164">
        <v>41389</v>
      </c>
      <c r="AE1411" s="34">
        <f>SUMPRODUCT(DB_STProjectsSOF[[#This Row],[Plan01]:[Plan12]],$D$4:$O$4)/valUnits2</f>
        <v>0.38494499999999998</v>
      </c>
      <c r="AF1411" s="34">
        <f>SUMPRODUCT(DB_STProjectsSOF[[#This Row],[Act01]:[Act12]],$P$4:$AA$4)/valUnits2</f>
        <v>0.38374000000000003</v>
      </c>
      <c r="AG1411" s="34">
        <f>DB_STProjectsSOF[[#This Row],[Actual]]-DB_STProjectsSOF[[#This Row],[Plan]]</f>
        <v>-1.2049999999999561E-3</v>
      </c>
      <c r="AH1411" s="34">
        <f>IF(DB_STProjectsSOF[[#This Row],[Plan]]&lt;&gt;0,DB_STProjectsSOF[[#This Row],[Actual]]/DB_STProjectsSOF[[#This Row],[Plan]],1.000011000011)</f>
        <v>0.99686968268194165</v>
      </c>
      <c r="AI1411" s="34">
        <f>SUM(DB_STProjectsSOF[[#This Row],[Plan01]:[Plan12]])/valUnits2</f>
        <v>0.38494499999999998</v>
      </c>
      <c r="AJ1411" s="34">
        <f>SUMPRODUCT(DB_STProjectsSOF[[#This Row],[Act01]:[Act12]],$P$3:$AA$3)/valUnits2</f>
        <v>0.38374000000000003</v>
      </c>
      <c r="AK1411" s="34">
        <f>IF(DB_STProjectsSOF[[#This Row],[FY Plan]]&lt;&gt;0,DB_STProjectsSOF[[#This Row],[FY Actuals]]/DB_STProjectsSOF[[#This Row],[FY Plan]],1.000011000011)</f>
        <v>0.99686968268194165</v>
      </c>
    </row>
    <row r="1412" spans="1:37" hidden="1" x14ac:dyDescent="0.2">
      <c r="A1412">
        <f>SUBTOTAL(3,$B$6:B1412)</f>
        <v>0</v>
      </c>
      <c r="B1412" t="s">
        <v>528</v>
      </c>
      <c r="C1412" t="s">
        <v>359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AB1412" s="164">
        <v>41275</v>
      </c>
      <c r="AC1412" s="164">
        <v>41455</v>
      </c>
      <c r="AD1412" s="164">
        <v>41547</v>
      </c>
      <c r="AE1412" s="34">
        <f>SUMPRODUCT(DB_STProjectsSOF[[#This Row],[Plan01]:[Plan12]],$D$4:$O$4)/valUnits2</f>
        <v>0</v>
      </c>
      <c r="AF1412" s="34">
        <f>SUMPRODUCT(DB_STProjectsSOF[[#This Row],[Act01]:[Act12]],$P$4:$AA$4)/valUnits2</f>
        <v>0</v>
      </c>
      <c r="AG1412" s="34">
        <f>DB_STProjectsSOF[[#This Row],[Actual]]-DB_STProjectsSOF[[#This Row],[Plan]]</f>
        <v>0</v>
      </c>
      <c r="AH1412" s="34">
        <f>IF(DB_STProjectsSOF[[#This Row],[Plan]]&lt;&gt;0,DB_STProjectsSOF[[#This Row],[Actual]]/DB_STProjectsSOF[[#This Row],[Plan]],1.000011000011)</f>
        <v>1.0000110000110001</v>
      </c>
      <c r="AI1412" s="34">
        <f>SUM(DB_STProjectsSOF[[#This Row],[Plan01]:[Plan12]])/valUnits2</f>
        <v>0</v>
      </c>
      <c r="AJ1412" s="34">
        <f>SUMPRODUCT(DB_STProjectsSOF[[#This Row],[Act01]:[Act12]],$P$3:$AA$3)/valUnits2</f>
        <v>0</v>
      </c>
      <c r="AK1412" s="34">
        <f>IF(DB_STProjectsSOF[[#This Row],[FY Plan]]&lt;&gt;0,DB_STProjectsSOF[[#This Row],[FY Actuals]]/DB_STProjectsSOF[[#This Row],[FY Plan]],1.000011000011)</f>
        <v>1.0000110000110001</v>
      </c>
    </row>
    <row r="1413" spans="1:37" hidden="1" x14ac:dyDescent="0.2">
      <c r="A1413">
        <f>SUBTOTAL(3,$B$6:B1413)</f>
        <v>0</v>
      </c>
      <c r="B1413" t="s">
        <v>528</v>
      </c>
      <c r="C1413" t="s">
        <v>360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AB1413" s="164">
        <v>41091</v>
      </c>
      <c r="AC1413" s="164">
        <v>41455</v>
      </c>
      <c r="AD1413" s="164">
        <v>41547</v>
      </c>
      <c r="AE1413" s="34">
        <f>SUMPRODUCT(DB_STProjectsSOF[[#This Row],[Plan01]:[Plan12]],$D$4:$O$4)/valUnits2</f>
        <v>0</v>
      </c>
      <c r="AF1413" s="34">
        <f>SUMPRODUCT(DB_STProjectsSOF[[#This Row],[Act01]:[Act12]],$P$4:$AA$4)/valUnits2</f>
        <v>0</v>
      </c>
      <c r="AG1413" s="34">
        <f>DB_STProjectsSOF[[#This Row],[Actual]]-DB_STProjectsSOF[[#This Row],[Plan]]</f>
        <v>0</v>
      </c>
      <c r="AH1413" s="34">
        <f>IF(DB_STProjectsSOF[[#This Row],[Plan]]&lt;&gt;0,DB_STProjectsSOF[[#This Row],[Actual]]/DB_STProjectsSOF[[#This Row],[Plan]],1.000011000011)</f>
        <v>1.0000110000110001</v>
      </c>
      <c r="AI1413" s="34">
        <f>SUM(DB_STProjectsSOF[[#This Row],[Plan01]:[Plan12]])/valUnits2</f>
        <v>0</v>
      </c>
      <c r="AJ1413" s="34">
        <f>SUMPRODUCT(DB_STProjectsSOF[[#This Row],[Act01]:[Act12]],$P$3:$AA$3)/valUnits2</f>
        <v>0</v>
      </c>
      <c r="AK1413" s="34">
        <f>IF(DB_STProjectsSOF[[#This Row],[FY Plan]]&lt;&gt;0,DB_STProjectsSOF[[#This Row],[FY Actuals]]/DB_STProjectsSOF[[#This Row],[FY Plan]],1.000011000011)</f>
        <v>1.0000110000110001</v>
      </c>
    </row>
    <row r="1414" spans="1:37" hidden="1" x14ac:dyDescent="0.2">
      <c r="A1414">
        <f>SUBTOTAL(3,$B$6:B1414)</f>
        <v>0</v>
      </c>
      <c r="B1414" t="s">
        <v>528</v>
      </c>
      <c r="C1414" t="s">
        <v>928</v>
      </c>
      <c r="D1414">
        <v>0</v>
      </c>
      <c r="P1414">
        <v>0</v>
      </c>
      <c r="AB1414" s="164">
        <v>40817</v>
      </c>
      <c r="AC1414" s="164">
        <v>41305</v>
      </c>
      <c r="AD1414" s="164">
        <v>41394</v>
      </c>
      <c r="AE1414" s="34">
        <f>SUMPRODUCT(DB_STProjectsSOF[[#This Row],[Plan01]:[Plan12]],$D$4:$O$4)/valUnits2</f>
        <v>0</v>
      </c>
      <c r="AF1414" s="34">
        <f>SUMPRODUCT(DB_STProjectsSOF[[#This Row],[Act01]:[Act12]],$P$4:$AA$4)/valUnits2</f>
        <v>0</v>
      </c>
      <c r="AG1414" s="34">
        <f>DB_STProjectsSOF[[#This Row],[Actual]]-DB_STProjectsSOF[[#This Row],[Plan]]</f>
        <v>0</v>
      </c>
      <c r="AH1414" s="34">
        <f>IF(DB_STProjectsSOF[[#This Row],[Plan]]&lt;&gt;0,DB_STProjectsSOF[[#This Row],[Actual]]/DB_STProjectsSOF[[#This Row],[Plan]],1.000011000011)</f>
        <v>1.0000110000110001</v>
      </c>
      <c r="AI1414" s="34">
        <f>SUM(DB_STProjectsSOF[[#This Row],[Plan01]:[Plan12]])/valUnits2</f>
        <v>0</v>
      </c>
      <c r="AJ1414" s="34">
        <f>SUMPRODUCT(DB_STProjectsSOF[[#This Row],[Act01]:[Act12]],$P$3:$AA$3)/valUnits2</f>
        <v>0</v>
      </c>
      <c r="AK1414" s="34">
        <f>IF(DB_STProjectsSOF[[#This Row],[FY Plan]]&lt;&gt;0,DB_STProjectsSOF[[#This Row],[FY Actuals]]/DB_STProjectsSOF[[#This Row],[FY Plan]],1.000011000011)</f>
        <v>1.0000110000110001</v>
      </c>
    </row>
    <row r="1415" spans="1:37" hidden="1" x14ac:dyDescent="0.2">
      <c r="A1415">
        <f>SUBTOTAL(3,$B$6:B1415)</f>
        <v>0</v>
      </c>
      <c r="B1415" t="s">
        <v>528</v>
      </c>
      <c r="C1415" t="s">
        <v>933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AB1415" s="164">
        <v>40817</v>
      </c>
      <c r="AC1415" s="164">
        <v>42155</v>
      </c>
      <c r="AD1415" s="164">
        <v>42217</v>
      </c>
      <c r="AE1415" s="34">
        <f>SUMPRODUCT(DB_STProjectsSOF[[#This Row],[Plan01]:[Plan12]],$D$4:$O$4)/valUnits2</f>
        <v>0</v>
      </c>
      <c r="AF1415" s="34">
        <f>SUMPRODUCT(DB_STProjectsSOF[[#This Row],[Act01]:[Act12]],$P$4:$AA$4)/valUnits2</f>
        <v>0</v>
      </c>
      <c r="AG1415" s="34">
        <f>DB_STProjectsSOF[[#This Row],[Actual]]-DB_STProjectsSOF[[#This Row],[Plan]]</f>
        <v>0</v>
      </c>
      <c r="AH1415" s="34">
        <f>IF(DB_STProjectsSOF[[#This Row],[Plan]]&lt;&gt;0,DB_STProjectsSOF[[#This Row],[Actual]]/DB_STProjectsSOF[[#This Row],[Plan]],1.000011000011)</f>
        <v>1.0000110000110001</v>
      </c>
      <c r="AI1415" s="34">
        <f>SUM(DB_STProjectsSOF[[#This Row],[Plan01]:[Plan12]])/valUnits2</f>
        <v>0</v>
      </c>
      <c r="AJ1415" s="34">
        <f>SUMPRODUCT(DB_STProjectsSOF[[#This Row],[Act01]:[Act12]],$P$3:$AA$3)/valUnits2</f>
        <v>0</v>
      </c>
      <c r="AK1415" s="34">
        <f>IF(DB_STProjectsSOF[[#This Row],[FY Plan]]&lt;&gt;0,DB_STProjectsSOF[[#This Row],[FY Actuals]]/DB_STProjectsSOF[[#This Row],[FY Plan]],1.000011000011)</f>
        <v>1.0000110000110001</v>
      </c>
    </row>
    <row r="1416" spans="1:37" hidden="1" x14ac:dyDescent="0.2">
      <c r="A1416">
        <f>SUBTOTAL(3,$B$6:B1416)</f>
        <v>0</v>
      </c>
      <c r="B1416" t="s">
        <v>528</v>
      </c>
      <c r="C1416" t="s">
        <v>935</v>
      </c>
      <c r="D1416">
        <v>0</v>
      </c>
      <c r="G1416">
        <v>0</v>
      </c>
      <c r="J1416">
        <v>0</v>
      </c>
      <c r="M1416">
        <v>0</v>
      </c>
      <c r="P1416">
        <v>0</v>
      </c>
      <c r="S1416">
        <v>0</v>
      </c>
      <c r="V1416">
        <v>0</v>
      </c>
      <c r="Y1416">
        <v>0</v>
      </c>
      <c r="AB1416" s="164">
        <v>41000</v>
      </c>
      <c r="AC1416" s="164">
        <v>42094</v>
      </c>
      <c r="AD1416" s="164">
        <v>42124</v>
      </c>
      <c r="AE1416" s="34">
        <f>SUMPRODUCT(DB_STProjectsSOF[[#This Row],[Plan01]:[Plan12]],$D$4:$O$4)/valUnits2</f>
        <v>0</v>
      </c>
      <c r="AF1416" s="34">
        <f>SUMPRODUCT(DB_STProjectsSOF[[#This Row],[Act01]:[Act12]],$P$4:$AA$4)/valUnits2</f>
        <v>0</v>
      </c>
      <c r="AG1416" s="34">
        <f>DB_STProjectsSOF[[#This Row],[Actual]]-DB_STProjectsSOF[[#This Row],[Plan]]</f>
        <v>0</v>
      </c>
      <c r="AH1416" s="34">
        <f>IF(DB_STProjectsSOF[[#This Row],[Plan]]&lt;&gt;0,DB_STProjectsSOF[[#This Row],[Actual]]/DB_STProjectsSOF[[#This Row],[Plan]],1.000011000011)</f>
        <v>1.0000110000110001</v>
      </c>
      <c r="AI1416" s="34">
        <f>SUM(DB_STProjectsSOF[[#This Row],[Plan01]:[Plan12]])/valUnits2</f>
        <v>0</v>
      </c>
      <c r="AJ1416" s="34">
        <f>SUMPRODUCT(DB_STProjectsSOF[[#This Row],[Act01]:[Act12]],$P$3:$AA$3)/valUnits2</f>
        <v>0</v>
      </c>
      <c r="AK1416" s="34">
        <f>IF(DB_STProjectsSOF[[#This Row],[FY Plan]]&lt;&gt;0,DB_STProjectsSOF[[#This Row],[FY Actuals]]/DB_STProjectsSOF[[#This Row],[FY Plan]],1.000011000011)</f>
        <v>1.0000110000110001</v>
      </c>
    </row>
    <row r="1417" spans="1:37" x14ac:dyDescent="0.2">
      <c r="A1417">
        <f>SUBTOTAL(3,$B$6:B1417)</f>
        <v>0</v>
      </c>
    </row>
    <row r="1418" spans="1:37" x14ac:dyDescent="0.2">
      <c r="A1418">
        <f>SUBTOTAL(3,$B$6:B1418)</f>
        <v>0</v>
      </c>
    </row>
    <row r="1419" spans="1:37" x14ac:dyDescent="0.2">
      <c r="A1419">
        <f>SUBTOTAL(3,$B$6:B1419)</f>
        <v>0</v>
      </c>
    </row>
    <row r="1420" spans="1:37" x14ac:dyDescent="0.2">
      <c r="A1420">
        <f>SUBTOTAL(3,$B$6:B1420)</f>
        <v>0</v>
      </c>
    </row>
    <row r="1421" spans="1:37" x14ac:dyDescent="0.2">
      <c r="A1421">
        <f>SUBTOTAL(3,$B$6:B1421)</f>
        <v>0</v>
      </c>
    </row>
    <row r="1422" spans="1:37" x14ac:dyDescent="0.2">
      <c r="A1422">
        <f>SUBTOTAL(3,$B$6:B1422)</f>
        <v>0</v>
      </c>
    </row>
    <row r="1423" spans="1:37" x14ac:dyDescent="0.2">
      <c r="A1423">
        <f>SUBTOTAL(3,$B$6:B1423)</f>
        <v>0</v>
      </c>
    </row>
    <row r="1424" spans="1:37" x14ac:dyDescent="0.2">
      <c r="A1424">
        <f>SUBTOTAL(3,$B$6:B1424)</f>
        <v>0</v>
      </c>
    </row>
    <row r="1425" spans="1:1" x14ac:dyDescent="0.2">
      <c r="A1425">
        <f>SUBTOTAL(3,$B$6:B1425)</f>
        <v>0</v>
      </c>
    </row>
    <row r="1426" spans="1:1" x14ac:dyDescent="0.2">
      <c r="A1426">
        <f>SUBTOTAL(3,$B$6:B1426)</f>
        <v>0</v>
      </c>
    </row>
    <row r="1427" spans="1:1" x14ac:dyDescent="0.2">
      <c r="A1427">
        <f>SUBTOTAL(3,$B$6:B1427)</f>
        <v>0</v>
      </c>
    </row>
    <row r="1428" spans="1:1" x14ac:dyDescent="0.2">
      <c r="A1428">
        <f>SUBTOTAL(3,$B$6:B1428)</f>
        <v>0</v>
      </c>
    </row>
    <row r="1429" spans="1:1" x14ac:dyDescent="0.2">
      <c r="A1429">
        <f>SUBTOTAL(3,$B$6:B1429)</f>
        <v>0</v>
      </c>
    </row>
    <row r="1430" spans="1:1" x14ac:dyDescent="0.2">
      <c r="A1430">
        <f>SUBTOTAL(3,$B$6:B1430)</f>
        <v>0</v>
      </c>
    </row>
    <row r="1431" spans="1:1" x14ac:dyDescent="0.2">
      <c r="A1431">
        <f>SUBTOTAL(3,$B$6:B1431)</f>
        <v>0</v>
      </c>
    </row>
    <row r="1432" spans="1:1" x14ac:dyDescent="0.2">
      <c r="A1432">
        <f>SUBTOTAL(3,$B$6:B1432)</f>
        <v>0</v>
      </c>
    </row>
    <row r="1433" spans="1:1" x14ac:dyDescent="0.2">
      <c r="A1433">
        <f>SUBTOTAL(3,$B$6:B1433)</f>
        <v>0</v>
      </c>
    </row>
    <row r="1434" spans="1:1" x14ac:dyDescent="0.2">
      <c r="A1434">
        <f>SUBTOTAL(3,$B$6:B1434)</f>
        <v>0</v>
      </c>
    </row>
    <row r="1435" spans="1:1" x14ac:dyDescent="0.2">
      <c r="A1435">
        <f>SUBTOTAL(3,$B$6:B1435)</f>
        <v>0</v>
      </c>
    </row>
    <row r="1436" spans="1:1" x14ac:dyDescent="0.2">
      <c r="A1436">
        <f>SUBTOTAL(3,$B$6:B1436)</f>
        <v>0</v>
      </c>
    </row>
    <row r="1437" spans="1:1" x14ac:dyDescent="0.2">
      <c r="A1437">
        <f>SUBTOTAL(3,$B$6:B1437)</f>
        <v>0</v>
      </c>
    </row>
    <row r="1438" spans="1:1" x14ac:dyDescent="0.2">
      <c r="A1438">
        <f>SUBTOTAL(3,$B$6:B1438)</f>
        <v>0</v>
      </c>
    </row>
    <row r="1439" spans="1:1" x14ac:dyDescent="0.2">
      <c r="A1439">
        <f>SUBTOTAL(3,$B$6:B1439)</f>
        <v>0</v>
      </c>
    </row>
    <row r="1440" spans="1:1" x14ac:dyDescent="0.2">
      <c r="A1440">
        <f>SUBTOTAL(3,$B$6:B1440)</f>
        <v>0</v>
      </c>
    </row>
    <row r="1441" spans="1:1" x14ac:dyDescent="0.2">
      <c r="A1441">
        <f>SUBTOTAL(3,$B$6:B1441)</f>
        <v>0</v>
      </c>
    </row>
    <row r="1442" spans="1:1" x14ac:dyDescent="0.2">
      <c r="A1442">
        <f>SUBTOTAL(3,$B$6:B1442)</f>
        <v>0</v>
      </c>
    </row>
    <row r="1443" spans="1:1" x14ac:dyDescent="0.2">
      <c r="A1443">
        <f>SUBTOTAL(3,$B$6:B1443)</f>
        <v>0</v>
      </c>
    </row>
    <row r="1444" spans="1:1" x14ac:dyDescent="0.2">
      <c r="A1444">
        <f>SUBTOTAL(3,$B$6:B1444)</f>
        <v>0</v>
      </c>
    </row>
    <row r="1445" spans="1:1" x14ac:dyDescent="0.2">
      <c r="A1445">
        <f>SUBTOTAL(3,$B$6:B1445)</f>
        <v>0</v>
      </c>
    </row>
    <row r="1446" spans="1:1" x14ac:dyDescent="0.2">
      <c r="A1446">
        <f>SUBTOTAL(3,$B$6:B1446)</f>
        <v>0</v>
      </c>
    </row>
    <row r="1447" spans="1:1" x14ac:dyDescent="0.2">
      <c r="A1447">
        <f>SUBTOTAL(3,$B$6:B1447)</f>
        <v>0</v>
      </c>
    </row>
    <row r="1448" spans="1:1" x14ac:dyDescent="0.2">
      <c r="A1448">
        <f>SUBTOTAL(3,$B$6:B1448)</f>
        <v>0</v>
      </c>
    </row>
    <row r="1449" spans="1:1" x14ac:dyDescent="0.2">
      <c r="A1449">
        <f>SUBTOTAL(3,$B$6:B1449)</f>
        <v>0</v>
      </c>
    </row>
    <row r="1450" spans="1:1" x14ac:dyDescent="0.2">
      <c r="A1450">
        <f>SUBTOTAL(3,$B$6:B1450)</f>
        <v>0</v>
      </c>
    </row>
    <row r="1451" spans="1:1" x14ac:dyDescent="0.2">
      <c r="A1451">
        <f>SUBTOTAL(3,$B$6:B1451)</f>
        <v>0</v>
      </c>
    </row>
    <row r="1452" spans="1:1" x14ac:dyDescent="0.2">
      <c r="A1452">
        <f>SUBTOTAL(3,$B$6:B1452)</f>
        <v>0</v>
      </c>
    </row>
    <row r="1453" spans="1:1" x14ac:dyDescent="0.2">
      <c r="A1453">
        <f>SUBTOTAL(3,$B$6:B1453)</f>
        <v>0</v>
      </c>
    </row>
    <row r="1454" spans="1:1" x14ac:dyDescent="0.2">
      <c r="A1454">
        <f>SUBTOTAL(3,$B$6:B1454)</f>
        <v>0</v>
      </c>
    </row>
    <row r="1455" spans="1:1" x14ac:dyDescent="0.2">
      <c r="A1455">
        <f>SUBTOTAL(3,$B$6:B1455)</f>
        <v>0</v>
      </c>
    </row>
    <row r="1456" spans="1:1" x14ac:dyDescent="0.2">
      <c r="A1456">
        <f>SUBTOTAL(3,$B$6:B1456)</f>
        <v>0</v>
      </c>
    </row>
    <row r="1457" spans="1:1" x14ac:dyDescent="0.2">
      <c r="A1457">
        <f>SUBTOTAL(3,$B$6:B1457)</f>
        <v>0</v>
      </c>
    </row>
    <row r="1458" spans="1:1" x14ac:dyDescent="0.2">
      <c r="A1458">
        <f>SUBTOTAL(3,$B$6:B1458)</f>
        <v>0</v>
      </c>
    </row>
    <row r="1459" spans="1:1" x14ac:dyDescent="0.2">
      <c r="A1459">
        <f>SUBTOTAL(3,$B$6:B1459)</f>
        <v>0</v>
      </c>
    </row>
    <row r="1460" spans="1:1" x14ac:dyDescent="0.2">
      <c r="A1460">
        <f>SUBTOTAL(3,$B$6:B1460)</f>
        <v>0</v>
      </c>
    </row>
    <row r="1461" spans="1:1" x14ac:dyDescent="0.2">
      <c r="A1461">
        <f>SUBTOTAL(3,$B$6:B1461)</f>
        <v>0</v>
      </c>
    </row>
    <row r="1462" spans="1:1" x14ac:dyDescent="0.2">
      <c r="A1462">
        <f>SUBTOTAL(3,$B$6:B1462)</f>
        <v>0</v>
      </c>
    </row>
    <row r="1463" spans="1:1" x14ac:dyDescent="0.2">
      <c r="A1463">
        <f>SUBTOTAL(3,$B$6:B1463)</f>
        <v>0</v>
      </c>
    </row>
    <row r="1464" spans="1:1" x14ac:dyDescent="0.2">
      <c r="A1464">
        <f>SUBTOTAL(3,$B$6:B1464)</f>
        <v>0</v>
      </c>
    </row>
    <row r="1465" spans="1:1" x14ac:dyDescent="0.2">
      <c r="A1465">
        <f>SUBTOTAL(3,$B$6:B1465)</f>
        <v>0</v>
      </c>
    </row>
    <row r="1466" spans="1:1" x14ac:dyDescent="0.2">
      <c r="A1466">
        <f>SUBTOTAL(3,$B$6:B1466)</f>
        <v>0</v>
      </c>
    </row>
    <row r="1467" spans="1:1" x14ac:dyDescent="0.2">
      <c r="A1467">
        <f>SUBTOTAL(3,$B$6:B1467)</f>
        <v>0</v>
      </c>
    </row>
    <row r="1468" spans="1:1" x14ac:dyDescent="0.2">
      <c r="A1468">
        <f>SUBTOTAL(3,$B$6:B1468)</f>
        <v>0</v>
      </c>
    </row>
    <row r="1469" spans="1:1" x14ac:dyDescent="0.2">
      <c r="A1469">
        <f>SUBTOTAL(3,$B$6:B1469)</f>
        <v>0</v>
      </c>
    </row>
    <row r="1470" spans="1:1" x14ac:dyDescent="0.2">
      <c r="A1470">
        <f>SUBTOTAL(3,$B$6:B1470)</f>
        <v>0</v>
      </c>
    </row>
    <row r="1471" spans="1:1" x14ac:dyDescent="0.2">
      <c r="A1471">
        <f>SUBTOTAL(3,$B$6:B1471)</f>
        <v>0</v>
      </c>
    </row>
    <row r="1472" spans="1:1" x14ac:dyDescent="0.2">
      <c r="A1472">
        <f>SUBTOTAL(3,$B$6:B1472)</f>
        <v>0</v>
      </c>
    </row>
    <row r="1473" spans="1:1" x14ac:dyDescent="0.2">
      <c r="A1473">
        <f>SUBTOTAL(3,$B$6:B1473)</f>
        <v>0</v>
      </c>
    </row>
    <row r="1474" spans="1:1" x14ac:dyDescent="0.2">
      <c r="A1474">
        <f>SUBTOTAL(3,$B$6:B1474)</f>
        <v>0</v>
      </c>
    </row>
    <row r="1475" spans="1:1" x14ac:dyDescent="0.2">
      <c r="A1475">
        <f>SUBTOTAL(3,$B$6:B1475)</f>
        <v>0</v>
      </c>
    </row>
    <row r="1476" spans="1:1" x14ac:dyDescent="0.2">
      <c r="A1476">
        <f>SUBTOTAL(3,$B$6:B1476)</f>
        <v>0</v>
      </c>
    </row>
    <row r="1477" spans="1:1" x14ac:dyDescent="0.2">
      <c r="A1477">
        <f>SUBTOTAL(3,$B$6:B1477)</f>
        <v>0</v>
      </c>
    </row>
    <row r="1478" spans="1:1" x14ac:dyDescent="0.2">
      <c r="A1478">
        <f>SUBTOTAL(3,$B$6:B1478)</f>
        <v>0</v>
      </c>
    </row>
    <row r="1479" spans="1:1" x14ac:dyDescent="0.2">
      <c r="A1479">
        <f>SUBTOTAL(3,$B$6:B1479)</f>
        <v>0</v>
      </c>
    </row>
    <row r="1480" spans="1:1" x14ac:dyDescent="0.2">
      <c r="A1480">
        <f>SUBTOTAL(3,$B$6:B1480)</f>
        <v>0</v>
      </c>
    </row>
    <row r="1481" spans="1:1" x14ac:dyDescent="0.2">
      <c r="A1481">
        <f>SUBTOTAL(3,$B$6:B1481)</f>
        <v>0</v>
      </c>
    </row>
    <row r="1482" spans="1:1" x14ac:dyDescent="0.2">
      <c r="A1482">
        <f>SUBTOTAL(3,$B$6:B1482)</f>
        <v>0</v>
      </c>
    </row>
    <row r="1483" spans="1:1" x14ac:dyDescent="0.2">
      <c r="A1483">
        <f>SUBTOTAL(3,$B$6:B1483)</f>
        <v>0</v>
      </c>
    </row>
    <row r="1484" spans="1:1" x14ac:dyDescent="0.2">
      <c r="A1484">
        <f>SUBTOTAL(3,$B$6:B1484)</f>
        <v>0</v>
      </c>
    </row>
    <row r="1485" spans="1:1" x14ac:dyDescent="0.2">
      <c r="A1485">
        <f>SUBTOTAL(3,$B$6:B1485)</f>
        <v>0</v>
      </c>
    </row>
    <row r="1486" spans="1:1" x14ac:dyDescent="0.2">
      <c r="A1486">
        <f>SUBTOTAL(3,$B$6:B1486)</f>
        <v>0</v>
      </c>
    </row>
    <row r="1487" spans="1:1" x14ac:dyDescent="0.2">
      <c r="A1487">
        <f>SUBTOTAL(3,$B$6:B1487)</f>
        <v>0</v>
      </c>
    </row>
    <row r="1488" spans="1:1" x14ac:dyDescent="0.2">
      <c r="A1488">
        <f>SUBTOTAL(3,$B$6:B1488)</f>
        <v>0</v>
      </c>
    </row>
    <row r="1489" spans="1:1" x14ac:dyDescent="0.2">
      <c r="A1489">
        <f>SUBTOTAL(3,$B$6:B1489)</f>
        <v>0</v>
      </c>
    </row>
    <row r="1490" spans="1:1" x14ac:dyDescent="0.2">
      <c r="A1490">
        <f>SUBTOTAL(3,$B$6:B1490)</f>
        <v>0</v>
      </c>
    </row>
    <row r="1491" spans="1:1" x14ac:dyDescent="0.2">
      <c r="A1491">
        <f>SUBTOTAL(3,$B$6:B1491)</f>
        <v>0</v>
      </c>
    </row>
    <row r="1492" spans="1:1" x14ac:dyDescent="0.2">
      <c r="A1492">
        <f>SUBTOTAL(3,$B$6:B1492)</f>
        <v>0</v>
      </c>
    </row>
    <row r="1493" spans="1:1" x14ac:dyDescent="0.2">
      <c r="A1493">
        <f>SUBTOTAL(3,$B$6:B1493)</f>
        <v>0</v>
      </c>
    </row>
    <row r="1494" spans="1:1" x14ac:dyDescent="0.2">
      <c r="A1494">
        <f>SUBTOTAL(3,$B$6:B1494)</f>
        <v>0</v>
      </c>
    </row>
    <row r="1495" spans="1:1" x14ac:dyDescent="0.2">
      <c r="A1495">
        <f>SUBTOTAL(3,$B$6:B1495)</f>
        <v>0</v>
      </c>
    </row>
    <row r="1496" spans="1:1" x14ac:dyDescent="0.2">
      <c r="A1496">
        <f>SUBTOTAL(3,$B$6:B1496)</f>
        <v>0</v>
      </c>
    </row>
    <row r="1497" spans="1:1" x14ac:dyDescent="0.2">
      <c r="A1497">
        <f>SUBTOTAL(3,$B$6:B1497)</f>
        <v>0</v>
      </c>
    </row>
    <row r="1498" spans="1:1" x14ac:dyDescent="0.2">
      <c r="A1498">
        <f>SUBTOTAL(3,$B$6:B1498)</f>
        <v>0</v>
      </c>
    </row>
    <row r="1499" spans="1:1" x14ac:dyDescent="0.2">
      <c r="A1499">
        <f>SUBTOTAL(3,$B$6:B1499)</f>
        <v>0</v>
      </c>
    </row>
    <row r="1500" spans="1:1" x14ac:dyDescent="0.2">
      <c r="A1500">
        <f>SUBTOTAL(3,$B$6:B1500)</f>
        <v>0</v>
      </c>
    </row>
    <row r="1501" spans="1:1" x14ac:dyDescent="0.2">
      <c r="A1501">
        <f>SUBTOTAL(3,$B$6:B1501)</f>
        <v>0</v>
      </c>
    </row>
    <row r="1502" spans="1:1" x14ac:dyDescent="0.2">
      <c r="A1502">
        <f>SUBTOTAL(3,$B$6:B1502)</f>
        <v>0</v>
      </c>
    </row>
    <row r="1503" spans="1:1" x14ac:dyDescent="0.2">
      <c r="A1503">
        <f>SUBTOTAL(3,$B$6:B1503)</f>
        <v>0</v>
      </c>
    </row>
    <row r="1504" spans="1:1" x14ac:dyDescent="0.2">
      <c r="A1504">
        <f>SUBTOTAL(3,$B$6:B1504)</f>
        <v>0</v>
      </c>
    </row>
    <row r="1505" spans="1:1" x14ac:dyDescent="0.2">
      <c r="A1505">
        <f>SUBTOTAL(3,$B$6:B1505)</f>
        <v>0</v>
      </c>
    </row>
    <row r="1506" spans="1:1" x14ac:dyDescent="0.2">
      <c r="A1506">
        <f>SUBTOTAL(3,$B$6:B1506)</f>
        <v>0</v>
      </c>
    </row>
    <row r="1507" spans="1:1" x14ac:dyDescent="0.2">
      <c r="A1507">
        <f>SUBTOTAL(3,$B$6:B1507)</f>
        <v>0</v>
      </c>
    </row>
    <row r="1508" spans="1:1" x14ac:dyDescent="0.2">
      <c r="A1508">
        <f>SUBTOTAL(3,$B$6:B1508)</f>
        <v>0</v>
      </c>
    </row>
    <row r="1509" spans="1:1" x14ac:dyDescent="0.2">
      <c r="A1509">
        <f>SUBTOTAL(3,$B$6:B1509)</f>
        <v>0</v>
      </c>
    </row>
    <row r="1510" spans="1:1" x14ac:dyDescent="0.2">
      <c r="A1510">
        <f>SUBTOTAL(3,$B$6:B1510)</f>
        <v>0</v>
      </c>
    </row>
    <row r="1511" spans="1:1" x14ac:dyDescent="0.2">
      <c r="A1511">
        <f>SUBTOTAL(3,$B$6:B1511)</f>
        <v>0</v>
      </c>
    </row>
    <row r="1512" spans="1:1" x14ac:dyDescent="0.2">
      <c r="A1512">
        <f>SUBTOTAL(3,$B$6:B1512)</f>
        <v>0</v>
      </c>
    </row>
    <row r="1513" spans="1:1" x14ac:dyDescent="0.2">
      <c r="A1513">
        <f>SUBTOTAL(3,$B$6:B1513)</f>
        <v>0</v>
      </c>
    </row>
    <row r="1514" spans="1:1" x14ac:dyDescent="0.2">
      <c r="A1514">
        <f>SUBTOTAL(3,$B$6:B1514)</f>
        <v>0</v>
      </c>
    </row>
    <row r="1515" spans="1:1" x14ac:dyDescent="0.2">
      <c r="A1515">
        <f>SUBTOTAL(3,$B$6:B1515)</f>
        <v>0</v>
      </c>
    </row>
    <row r="1516" spans="1:1" x14ac:dyDescent="0.2">
      <c r="A1516">
        <f>SUBTOTAL(3,$B$6:B1516)</f>
        <v>0</v>
      </c>
    </row>
    <row r="1517" spans="1:1" x14ac:dyDescent="0.2">
      <c r="A1517">
        <f>SUBTOTAL(3,$B$6:B1517)</f>
        <v>0</v>
      </c>
    </row>
    <row r="1518" spans="1:1" x14ac:dyDescent="0.2">
      <c r="A1518">
        <f>SUBTOTAL(3,$B$6:B1518)</f>
        <v>0</v>
      </c>
    </row>
    <row r="1519" spans="1:1" x14ac:dyDescent="0.2">
      <c r="A1519">
        <f>SUBTOTAL(3,$B$6:B1519)</f>
        <v>0</v>
      </c>
    </row>
    <row r="1520" spans="1:1" x14ac:dyDescent="0.2">
      <c r="A1520">
        <f>SUBTOTAL(3,$B$6:B1520)</f>
        <v>0</v>
      </c>
    </row>
    <row r="1521" spans="1:1" x14ac:dyDescent="0.2">
      <c r="A1521">
        <f>SUBTOTAL(3,$B$6:B1521)</f>
        <v>0</v>
      </c>
    </row>
    <row r="1522" spans="1:1" x14ac:dyDescent="0.2">
      <c r="A1522">
        <f>SUBTOTAL(3,$B$6:B1522)</f>
        <v>0</v>
      </c>
    </row>
    <row r="1523" spans="1:1" x14ac:dyDescent="0.2">
      <c r="A1523">
        <f>SUBTOTAL(3,$B$6:B1523)</f>
        <v>0</v>
      </c>
    </row>
    <row r="1524" spans="1:1" x14ac:dyDescent="0.2">
      <c r="A1524">
        <f>SUBTOTAL(3,$B$6:B1524)</f>
        <v>0</v>
      </c>
    </row>
    <row r="1525" spans="1:1" x14ac:dyDescent="0.2">
      <c r="A1525">
        <f>SUBTOTAL(3,$B$6:B1525)</f>
        <v>0</v>
      </c>
    </row>
    <row r="1526" spans="1:1" x14ac:dyDescent="0.2">
      <c r="A1526">
        <f>SUBTOTAL(3,$B$6:B1526)</f>
        <v>0</v>
      </c>
    </row>
    <row r="1527" spans="1:1" x14ac:dyDescent="0.2">
      <c r="A1527">
        <f>SUBTOTAL(3,$B$6:B1527)</f>
        <v>0</v>
      </c>
    </row>
    <row r="1528" spans="1:1" x14ac:dyDescent="0.2">
      <c r="A1528">
        <f>SUBTOTAL(3,$B$6:B1528)</f>
        <v>0</v>
      </c>
    </row>
    <row r="1529" spans="1:1" x14ac:dyDescent="0.2">
      <c r="A1529">
        <f>SUBTOTAL(3,$B$6:B1529)</f>
        <v>0</v>
      </c>
    </row>
    <row r="1530" spans="1:1" x14ac:dyDescent="0.2">
      <c r="A1530">
        <f>SUBTOTAL(3,$B$6:B1530)</f>
        <v>0</v>
      </c>
    </row>
    <row r="1531" spans="1:1" x14ac:dyDescent="0.2">
      <c r="A1531">
        <f>SUBTOTAL(3,$B$6:B1531)</f>
        <v>0</v>
      </c>
    </row>
    <row r="1532" spans="1:1" x14ac:dyDescent="0.2">
      <c r="A1532">
        <f>SUBTOTAL(3,$B$6:B1532)</f>
        <v>0</v>
      </c>
    </row>
    <row r="1533" spans="1:1" x14ac:dyDescent="0.2">
      <c r="A1533">
        <f>SUBTOTAL(3,$B$6:B1533)</f>
        <v>0</v>
      </c>
    </row>
    <row r="1534" spans="1:1" x14ac:dyDescent="0.2">
      <c r="A1534">
        <f>SUBTOTAL(3,$B$6:B1534)</f>
        <v>0</v>
      </c>
    </row>
    <row r="1535" spans="1:1" x14ac:dyDescent="0.2">
      <c r="A1535">
        <f>SUBTOTAL(3,$B$6:B1535)</f>
        <v>0</v>
      </c>
    </row>
    <row r="1536" spans="1:1" x14ac:dyDescent="0.2">
      <c r="A1536">
        <f>SUBTOTAL(3,$B$6:B1536)</f>
        <v>0</v>
      </c>
    </row>
    <row r="1537" spans="1:1" x14ac:dyDescent="0.2">
      <c r="A1537">
        <f>SUBTOTAL(3,$B$6:B1537)</f>
        <v>0</v>
      </c>
    </row>
    <row r="1538" spans="1:1" x14ac:dyDescent="0.2">
      <c r="A1538">
        <f>SUBTOTAL(3,$B$6:B1538)</f>
        <v>0</v>
      </c>
    </row>
    <row r="1539" spans="1:1" x14ac:dyDescent="0.2">
      <c r="A1539">
        <f>SUBTOTAL(3,$B$6:B1539)</f>
        <v>0</v>
      </c>
    </row>
    <row r="1540" spans="1:1" x14ac:dyDescent="0.2">
      <c r="A1540">
        <f>SUBTOTAL(3,$B$6:B1540)</f>
        <v>0</v>
      </c>
    </row>
    <row r="1541" spans="1:1" x14ac:dyDescent="0.2">
      <c r="A1541">
        <f>SUBTOTAL(3,$B$6:B1541)</f>
        <v>0</v>
      </c>
    </row>
    <row r="1542" spans="1:1" x14ac:dyDescent="0.2">
      <c r="A1542">
        <f>SUBTOTAL(3,$B$6:B1542)</f>
        <v>0</v>
      </c>
    </row>
    <row r="1543" spans="1:1" x14ac:dyDescent="0.2">
      <c r="A1543">
        <f>SUBTOTAL(3,$B$6:B1543)</f>
        <v>0</v>
      </c>
    </row>
    <row r="1544" spans="1:1" x14ac:dyDescent="0.2">
      <c r="A1544">
        <f>SUBTOTAL(3,$B$6:B1544)</f>
        <v>0</v>
      </c>
    </row>
    <row r="1545" spans="1:1" x14ac:dyDescent="0.2">
      <c r="A1545">
        <f>SUBTOTAL(3,$B$6:B1545)</f>
        <v>0</v>
      </c>
    </row>
    <row r="1546" spans="1:1" x14ac:dyDescent="0.2">
      <c r="A1546">
        <f>SUBTOTAL(3,$B$6:B1546)</f>
        <v>0</v>
      </c>
    </row>
    <row r="1547" spans="1:1" x14ac:dyDescent="0.2">
      <c r="A1547">
        <f>SUBTOTAL(3,$B$6:B1547)</f>
        <v>0</v>
      </c>
    </row>
    <row r="1548" spans="1:1" x14ac:dyDescent="0.2">
      <c r="A1548">
        <f>SUBTOTAL(3,$B$6:B1548)</f>
        <v>0</v>
      </c>
    </row>
    <row r="1549" spans="1:1" x14ac:dyDescent="0.2">
      <c r="A1549">
        <f>SUBTOTAL(3,$B$6:B1549)</f>
        <v>0</v>
      </c>
    </row>
    <row r="1550" spans="1:1" x14ac:dyDescent="0.2">
      <c r="A1550">
        <f>SUBTOTAL(3,$B$6:B1550)</f>
        <v>0</v>
      </c>
    </row>
    <row r="1551" spans="1:1" x14ac:dyDescent="0.2">
      <c r="A1551">
        <f>SUBTOTAL(3,$B$6:B1551)</f>
        <v>0</v>
      </c>
    </row>
    <row r="1552" spans="1:1" x14ac:dyDescent="0.2">
      <c r="A1552">
        <f>SUBTOTAL(3,$B$6:B1552)</f>
        <v>0</v>
      </c>
    </row>
    <row r="1553" spans="1:1" x14ac:dyDescent="0.2">
      <c r="A1553">
        <f>SUBTOTAL(3,$B$6:B1553)</f>
        <v>0</v>
      </c>
    </row>
    <row r="1554" spans="1:1" x14ac:dyDescent="0.2">
      <c r="A1554">
        <f>SUBTOTAL(3,$B$6:B1554)</f>
        <v>0</v>
      </c>
    </row>
    <row r="1555" spans="1:1" x14ac:dyDescent="0.2">
      <c r="A1555">
        <f>SUBTOTAL(3,$B$6:B1555)</f>
        <v>0</v>
      </c>
    </row>
    <row r="1556" spans="1:1" x14ac:dyDescent="0.2">
      <c r="A1556">
        <f>SUBTOTAL(3,$B$6:B1556)</f>
        <v>0</v>
      </c>
    </row>
    <row r="1557" spans="1:1" x14ac:dyDescent="0.2">
      <c r="A1557">
        <f>SUBTOTAL(3,$B$6:B1557)</f>
        <v>0</v>
      </c>
    </row>
    <row r="1558" spans="1:1" x14ac:dyDescent="0.2">
      <c r="A1558">
        <f>SUBTOTAL(3,$B$6:B1558)</f>
        <v>0</v>
      </c>
    </row>
    <row r="1559" spans="1:1" x14ac:dyDescent="0.2">
      <c r="A1559">
        <f>SUBTOTAL(3,$B$6:B1559)</f>
        <v>0</v>
      </c>
    </row>
    <row r="1560" spans="1:1" x14ac:dyDescent="0.2">
      <c r="A1560">
        <f>SUBTOTAL(3,$B$6:B1560)</f>
        <v>0</v>
      </c>
    </row>
    <row r="1561" spans="1:1" x14ac:dyDescent="0.2">
      <c r="A1561">
        <f>SUBTOTAL(3,$B$6:B1561)</f>
        <v>0</v>
      </c>
    </row>
    <row r="1562" spans="1:1" x14ac:dyDescent="0.2">
      <c r="A1562">
        <f>SUBTOTAL(3,$B$6:B1562)</f>
        <v>0</v>
      </c>
    </row>
    <row r="1563" spans="1:1" x14ac:dyDescent="0.2">
      <c r="A1563">
        <f>SUBTOTAL(3,$B$6:B1563)</f>
        <v>0</v>
      </c>
    </row>
    <row r="1564" spans="1:1" x14ac:dyDescent="0.2">
      <c r="A1564">
        <f>SUBTOTAL(3,$B$6:B1564)</f>
        <v>0</v>
      </c>
    </row>
    <row r="1565" spans="1:1" x14ac:dyDescent="0.2">
      <c r="A1565">
        <f>SUBTOTAL(3,$B$6:B1565)</f>
        <v>0</v>
      </c>
    </row>
    <row r="1566" spans="1:1" x14ac:dyDescent="0.2">
      <c r="A1566">
        <f>SUBTOTAL(3,$B$6:B1566)</f>
        <v>0</v>
      </c>
    </row>
    <row r="1567" spans="1:1" x14ac:dyDescent="0.2">
      <c r="A1567">
        <f>SUBTOTAL(3,$B$6:B1567)</f>
        <v>0</v>
      </c>
    </row>
    <row r="1568" spans="1:1" x14ac:dyDescent="0.2">
      <c r="A1568">
        <f>SUBTOTAL(3,$B$6:B1568)</f>
        <v>0</v>
      </c>
    </row>
    <row r="1569" spans="1:1" x14ac:dyDescent="0.2">
      <c r="A1569">
        <f>SUBTOTAL(3,$B$6:B1569)</f>
        <v>0</v>
      </c>
    </row>
    <row r="1570" spans="1:1" x14ac:dyDescent="0.2">
      <c r="A1570">
        <f>SUBTOTAL(3,$B$6:B1570)</f>
        <v>0</v>
      </c>
    </row>
    <row r="1571" spans="1:1" x14ac:dyDescent="0.2">
      <c r="A1571">
        <f>SUBTOTAL(3,$B$6:B1571)</f>
        <v>0</v>
      </c>
    </row>
    <row r="1572" spans="1:1" x14ac:dyDescent="0.2">
      <c r="A1572">
        <f>SUBTOTAL(3,$B$6:B1572)</f>
        <v>0</v>
      </c>
    </row>
    <row r="1573" spans="1:1" x14ac:dyDescent="0.2">
      <c r="A1573">
        <f>SUBTOTAL(3,$B$6:B1573)</f>
        <v>0</v>
      </c>
    </row>
    <row r="1574" spans="1:1" x14ac:dyDescent="0.2">
      <c r="A1574">
        <f>SUBTOTAL(3,$B$6:B1574)</f>
        <v>0</v>
      </c>
    </row>
    <row r="1575" spans="1:1" x14ac:dyDescent="0.2">
      <c r="A1575">
        <f>SUBTOTAL(3,$B$6:B1575)</f>
        <v>0</v>
      </c>
    </row>
    <row r="1576" spans="1:1" x14ac:dyDescent="0.2">
      <c r="A1576">
        <f>SUBTOTAL(3,$B$6:B1576)</f>
        <v>0</v>
      </c>
    </row>
    <row r="1577" spans="1:1" x14ac:dyDescent="0.2">
      <c r="A1577">
        <f>SUBTOTAL(3,$B$6:B1577)</f>
        <v>0</v>
      </c>
    </row>
    <row r="1578" spans="1:1" x14ac:dyDescent="0.2">
      <c r="A1578">
        <f>SUBTOTAL(3,$B$6:B1578)</f>
        <v>0</v>
      </c>
    </row>
    <row r="1579" spans="1:1" x14ac:dyDescent="0.2">
      <c r="A1579">
        <f>SUBTOTAL(3,$B$6:B1579)</f>
        <v>0</v>
      </c>
    </row>
    <row r="1580" spans="1:1" x14ac:dyDescent="0.2">
      <c r="A1580">
        <f>SUBTOTAL(3,$B$6:B1580)</f>
        <v>0</v>
      </c>
    </row>
    <row r="1581" spans="1:1" x14ac:dyDescent="0.2">
      <c r="A1581">
        <f>SUBTOTAL(3,$B$6:B1581)</f>
        <v>0</v>
      </c>
    </row>
    <row r="1582" spans="1:1" x14ac:dyDescent="0.2">
      <c r="A1582">
        <f>SUBTOTAL(3,$B$6:B1582)</f>
        <v>0</v>
      </c>
    </row>
    <row r="1583" spans="1:1" x14ac:dyDescent="0.2">
      <c r="A1583">
        <f>SUBTOTAL(3,$B$6:B1583)</f>
        <v>0</v>
      </c>
    </row>
    <row r="1584" spans="1:1" x14ac:dyDescent="0.2">
      <c r="A1584">
        <f>SUBTOTAL(3,$B$6:B1584)</f>
        <v>0</v>
      </c>
    </row>
    <row r="1585" spans="1:1" x14ac:dyDescent="0.2">
      <c r="A1585">
        <f>SUBTOTAL(3,$B$6:B1585)</f>
        <v>0</v>
      </c>
    </row>
    <row r="1586" spans="1:1" x14ac:dyDescent="0.2">
      <c r="A1586">
        <f>SUBTOTAL(3,$B$6:B1586)</f>
        <v>0</v>
      </c>
    </row>
    <row r="1587" spans="1:1" x14ac:dyDescent="0.2">
      <c r="A1587">
        <f>SUBTOTAL(3,$B$6:B1587)</f>
        <v>0</v>
      </c>
    </row>
    <row r="1588" spans="1:1" x14ac:dyDescent="0.2">
      <c r="A1588">
        <f>SUBTOTAL(3,$B$6:B1588)</f>
        <v>0</v>
      </c>
    </row>
    <row r="1589" spans="1:1" x14ac:dyDescent="0.2">
      <c r="A1589">
        <f>SUBTOTAL(3,$B$6:B1589)</f>
        <v>0</v>
      </c>
    </row>
    <row r="1590" spans="1:1" x14ac:dyDescent="0.2">
      <c r="A1590">
        <f>SUBTOTAL(3,$B$6:B1590)</f>
        <v>0</v>
      </c>
    </row>
    <row r="1591" spans="1:1" x14ac:dyDescent="0.2">
      <c r="A1591">
        <f>SUBTOTAL(3,$B$6:B1591)</f>
        <v>0</v>
      </c>
    </row>
    <row r="1592" spans="1:1" x14ac:dyDescent="0.2">
      <c r="A1592">
        <f>SUBTOTAL(3,$B$6:B1592)</f>
        <v>0</v>
      </c>
    </row>
    <row r="1593" spans="1:1" x14ac:dyDescent="0.2">
      <c r="A1593">
        <f>SUBTOTAL(3,$B$6:B1593)</f>
        <v>0</v>
      </c>
    </row>
    <row r="1594" spans="1:1" x14ac:dyDescent="0.2">
      <c r="A1594">
        <f>SUBTOTAL(3,$B$6:B1594)</f>
        <v>0</v>
      </c>
    </row>
    <row r="1595" spans="1:1" x14ac:dyDescent="0.2">
      <c r="A1595">
        <f>SUBTOTAL(3,$B$6:B1595)</f>
        <v>0</v>
      </c>
    </row>
    <row r="1596" spans="1:1" x14ac:dyDescent="0.2">
      <c r="A1596">
        <f>SUBTOTAL(3,$B$6:B1596)</f>
        <v>0</v>
      </c>
    </row>
    <row r="1597" spans="1:1" x14ac:dyDescent="0.2">
      <c r="A1597">
        <f>SUBTOTAL(3,$B$6:B1597)</f>
        <v>0</v>
      </c>
    </row>
    <row r="1598" spans="1:1" x14ac:dyDescent="0.2">
      <c r="A1598">
        <f>SUBTOTAL(3,$B$6:B1598)</f>
        <v>0</v>
      </c>
    </row>
    <row r="1599" spans="1:1" x14ac:dyDescent="0.2">
      <c r="A1599">
        <f>SUBTOTAL(3,$B$6:B1599)</f>
        <v>0</v>
      </c>
    </row>
    <row r="1600" spans="1:1" x14ac:dyDescent="0.2">
      <c r="A1600">
        <f>SUBTOTAL(3,$B$6:B1600)</f>
        <v>0</v>
      </c>
    </row>
    <row r="1601" spans="1:1" x14ac:dyDescent="0.2">
      <c r="A1601">
        <f>SUBTOTAL(3,$B$6:B1601)</f>
        <v>0</v>
      </c>
    </row>
    <row r="1602" spans="1:1" x14ac:dyDescent="0.2">
      <c r="A1602">
        <f>SUBTOTAL(3,$B$6:B1602)</f>
        <v>0</v>
      </c>
    </row>
    <row r="1603" spans="1:1" x14ac:dyDescent="0.2">
      <c r="A1603">
        <f>SUBTOTAL(3,$B$6:B1603)</f>
        <v>0</v>
      </c>
    </row>
    <row r="1604" spans="1:1" x14ac:dyDescent="0.2">
      <c r="A1604">
        <f>SUBTOTAL(3,$B$6:B1604)</f>
        <v>0</v>
      </c>
    </row>
    <row r="1605" spans="1:1" x14ac:dyDescent="0.2">
      <c r="A1605">
        <f>SUBTOTAL(3,$B$6:B1605)</f>
        <v>0</v>
      </c>
    </row>
    <row r="1606" spans="1:1" x14ac:dyDescent="0.2">
      <c r="A1606">
        <f>SUBTOTAL(3,$B$6:B1606)</f>
        <v>0</v>
      </c>
    </row>
    <row r="1607" spans="1:1" x14ac:dyDescent="0.2">
      <c r="A1607">
        <f>SUBTOTAL(3,$B$6:B1607)</f>
        <v>0</v>
      </c>
    </row>
    <row r="1608" spans="1:1" x14ac:dyDescent="0.2">
      <c r="A1608">
        <f>SUBTOTAL(3,$B$6:B1608)</f>
        <v>0</v>
      </c>
    </row>
    <row r="1609" spans="1:1" x14ac:dyDescent="0.2">
      <c r="A1609">
        <f>SUBTOTAL(3,$B$6:B1609)</f>
        <v>0</v>
      </c>
    </row>
    <row r="1610" spans="1:1" x14ac:dyDescent="0.2">
      <c r="A1610">
        <f>SUBTOTAL(3,$B$6:B1610)</f>
        <v>0</v>
      </c>
    </row>
    <row r="1611" spans="1:1" x14ac:dyDescent="0.2">
      <c r="A1611">
        <f>SUBTOTAL(3,$B$6:B1611)</f>
        <v>0</v>
      </c>
    </row>
    <row r="1612" spans="1:1" x14ac:dyDescent="0.2">
      <c r="A1612">
        <f>SUBTOTAL(3,$B$6:B1612)</f>
        <v>0</v>
      </c>
    </row>
    <row r="1613" spans="1:1" x14ac:dyDescent="0.2">
      <c r="A1613">
        <f>SUBTOTAL(3,$B$6:B1613)</f>
        <v>0</v>
      </c>
    </row>
    <row r="1614" spans="1:1" x14ac:dyDescent="0.2">
      <c r="A1614">
        <f>SUBTOTAL(3,$B$6:B1614)</f>
        <v>0</v>
      </c>
    </row>
    <row r="1615" spans="1:1" x14ac:dyDescent="0.2">
      <c r="A1615">
        <f>SUBTOTAL(3,$B$6:B1615)</f>
        <v>0</v>
      </c>
    </row>
    <row r="1616" spans="1:1" x14ac:dyDescent="0.2">
      <c r="A1616">
        <f>SUBTOTAL(3,$B$6:B1616)</f>
        <v>0</v>
      </c>
    </row>
    <row r="1617" spans="1:1" x14ac:dyDescent="0.2">
      <c r="A1617">
        <f>SUBTOTAL(3,$B$6:B1617)</f>
        <v>0</v>
      </c>
    </row>
    <row r="1618" spans="1:1" x14ac:dyDescent="0.2">
      <c r="A1618">
        <f>SUBTOTAL(3,$B$6:B1618)</f>
        <v>0</v>
      </c>
    </row>
    <row r="1619" spans="1:1" x14ac:dyDescent="0.2">
      <c r="A1619">
        <f>SUBTOTAL(3,$B$6:B1619)</f>
        <v>0</v>
      </c>
    </row>
    <row r="1620" spans="1:1" x14ac:dyDescent="0.2">
      <c r="A1620">
        <f>SUBTOTAL(3,$B$6:B1620)</f>
        <v>0</v>
      </c>
    </row>
    <row r="1621" spans="1:1" x14ac:dyDescent="0.2">
      <c r="A1621">
        <f>SUBTOTAL(3,$B$6:B1621)</f>
        <v>0</v>
      </c>
    </row>
    <row r="1622" spans="1:1" x14ac:dyDescent="0.2">
      <c r="A1622">
        <f>SUBTOTAL(3,$B$6:B1622)</f>
        <v>0</v>
      </c>
    </row>
    <row r="1623" spans="1:1" x14ac:dyDescent="0.2">
      <c r="A1623">
        <f>SUBTOTAL(3,$B$6:B1623)</f>
        <v>0</v>
      </c>
    </row>
    <row r="1624" spans="1:1" x14ac:dyDescent="0.2">
      <c r="A1624">
        <f>SUBTOTAL(3,$B$6:B1624)</f>
        <v>0</v>
      </c>
    </row>
    <row r="1625" spans="1:1" x14ac:dyDescent="0.2">
      <c r="A1625">
        <f>SUBTOTAL(3,$B$6:B1625)</f>
        <v>0</v>
      </c>
    </row>
    <row r="1626" spans="1:1" x14ac:dyDescent="0.2">
      <c r="A1626">
        <f>SUBTOTAL(3,$B$6:B1626)</f>
        <v>0</v>
      </c>
    </row>
    <row r="1627" spans="1:1" x14ac:dyDescent="0.2">
      <c r="A1627">
        <f>SUBTOTAL(3,$B$6:B1627)</f>
        <v>0</v>
      </c>
    </row>
    <row r="1628" spans="1:1" x14ac:dyDescent="0.2">
      <c r="A1628">
        <f>SUBTOTAL(3,$B$6:B1628)</f>
        <v>0</v>
      </c>
    </row>
    <row r="1629" spans="1:1" x14ac:dyDescent="0.2">
      <c r="A1629">
        <f>SUBTOTAL(3,$B$6:B1629)</f>
        <v>0</v>
      </c>
    </row>
    <row r="1630" spans="1:1" x14ac:dyDescent="0.2">
      <c r="A1630">
        <f>SUBTOTAL(3,$B$6:B1630)</f>
        <v>0</v>
      </c>
    </row>
    <row r="1631" spans="1:1" x14ac:dyDescent="0.2">
      <c r="A1631">
        <f>SUBTOTAL(3,$B$6:B1631)</f>
        <v>0</v>
      </c>
    </row>
    <row r="1632" spans="1:1" x14ac:dyDescent="0.2">
      <c r="A1632">
        <f>SUBTOTAL(3,$B$6:B1632)</f>
        <v>0</v>
      </c>
    </row>
    <row r="1633" spans="1:1" x14ac:dyDescent="0.2">
      <c r="A1633">
        <f>SUBTOTAL(3,$B$6:B1633)</f>
        <v>0</v>
      </c>
    </row>
    <row r="1634" spans="1:1" x14ac:dyDescent="0.2">
      <c r="A1634">
        <f>SUBTOTAL(3,$B$6:B1634)</f>
        <v>0</v>
      </c>
    </row>
    <row r="1635" spans="1:1" x14ac:dyDescent="0.2">
      <c r="A1635">
        <f>SUBTOTAL(3,$B$6:B1635)</f>
        <v>0</v>
      </c>
    </row>
    <row r="1636" spans="1:1" x14ac:dyDescent="0.2">
      <c r="A1636">
        <f>SUBTOTAL(3,$B$6:B1636)</f>
        <v>0</v>
      </c>
    </row>
    <row r="1637" spans="1:1" x14ac:dyDescent="0.2">
      <c r="A1637">
        <f>SUBTOTAL(3,$B$6:B1637)</f>
        <v>0</v>
      </c>
    </row>
    <row r="1638" spans="1:1" x14ac:dyDescent="0.2">
      <c r="A1638">
        <f>SUBTOTAL(3,$B$6:B1638)</f>
        <v>0</v>
      </c>
    </row>
    <row r="1639" spans="1:1" x14ac:dyDescent="0.2">
      <c r="A1639">
        <f>SUBTOTAL(3,$B$6:B1639)</f>
        <v>0</v>
      </c>
    </row>
    <row r="1640" spans="1:1" x14ac:dyDescent="0.2">
      <c r="A1640">
        <f>SUBTOTAL(3,$B$6:B1640)</f>
        <v>0</v>
      </c>
    </row>
    <row r="1641" spans="1:1" x14ac:dyDescent="0.2">
      <c r="A1641">
        <f>SUBTOTAL(3,$B$6:B1641)</f>
        <v>0</v>
      </c>
    </row>
    <row r="1642" spans="1:1" x14ac:dyDescent="0.2">
      <c r="A1642">
        <f>SUBTOTAL(3,$B$6:B1642)</f>
        <v>0</v>
      </c>
    </row>
    <row r="1643" spans="1:1" x14ac:dyDescent="0.2">
      <c r="A1643">
        <f>SUBTOTAL(3,$B$6:B1643)</f>
        <v>0</v>
      </c>
    </row>
    <row r="1644" spans="1:1" x14ac:dyDescent="0.2">
      <c r="A1644">
        <f>SUBTOTAL(3,$B$6:B1644)</f>
        <v>0</v>
      </c>
    </row>
    <row r="1645" spans="1:1" x14ac:dyDescent="0.2">
      <c r="A1645">
        <f>SUBTOTAL(3,$B$6:B1645)</f>
        <v>0</v>
      </c>
    </row>
    <row r="1646" spans="1:1" x14ac:dyDescent="0.2">
      <c r="A1646">
        <f>SUBTOTAL(3,$B$6:B1646)</f>
        <v>0</v>
      </c>
    </row>
    <row r="1647" spans="1:1" x14ac:dyDescent="0.2">
      <c r="A1647">
        <f>SUBTOTAL(3,$B$6:B1647)</f>
        <v>0</v>
      </c>
    </row>
    <row r="1648" spans="1:1" x14ac:dyDescent="0.2">
      <c r="A1648">
        <f>SUBTOTAL(3,$B$6:B1648)</f>
        <v>0</v>
      </c>
    </row>
    <row r="1649" spans="1:1" x14ac:dyDescent="0.2">
      <c r="A1649">
        <f>SUBTOTAL(3,$B$6:B1649)</f>
        <v>0</v>
      </c>
    </row>
    <row r="1650" spans="1:1" x14ac:dyDescent="0.2">
      <c r="A1650">
        <f>SUBTOTAL(3,$B$6:B1650)</f>
        <v>0</v>
      </c>
    </row>
    <row r="1651" spans="1:1" x14ac:dyDescent="0.2">
      <c r="A1651">
        <f>SUBTOTAL(3,$B$6:B1651)</f>
        <v>0</v>
      </c>
    </row>
    <row r="1652" spans="1:1" x14ac:dyDescent="0.2">
      <c r="A1652">
        <f>SUBTOTAL(3,$B$6:B1652)</f>
        <v>0</v>
      </c>
    </row>
    <row r="1653" spans="1:1" x14ac:dyDescent="0.2">
      <c r="A1653">
        <f>SUBTOTAL(3,$B$6:B1653)</f>
        <v>0</v>
      </c>
    </row>
    <row r="1654" spans="1:1" x14ac:dyDescent="0.2">
      <c r="A1654">
        <f>SUBTOTAL(3,$B$6:B1654)</f>
        <v>0</v>
      </c>
    </row>
    <row r="1655" spans="1:1" x14ac:dyDescent="0.2">
      <c r="A1655">
        <f>SUBTOTAL(3,$B$6:B1655)</f>
        <v>0</v>
      </c>
    </row>
    <row r="1656" spans="1:1" x14ac:dyDescent="0.2">
      <c r="A1656">
        <f>SUBTOTAL(3,$B$6:B1656)</f>
        <v>0</v>
      </c>
    </row>
    <row r="1657" spans="1:1" x14ac:dyDescent="0.2">
      <c r="A1657">
        <f>SUBTOTAL(3,$B$6:B1657)</f>
        <v>0</v>
      </c>
    </row>
    <row r="1658" spans="1:1" x14ac:dyDescent="0.2">
      <c r="A1658">
        <f>SUBTOTAL(3,$B$6:B1658)</f>
        <v>0</v>
      </c>
    </row>
    <row r="1659" spans="1:1" x14ac:dyDescent="0.2">
      <c r="A1659">
        <f>SUBTOTAL(3,$B$6:B1659)</f>
        <v>0</v>
      </c>
    </row>
    <row r="1660" spans="1:1" x14ac:dyDescent="0.2">
      <c r="A1660">
        <f>SUBTOTAL(3,$B$6:B1660)</f>
        <v>0</v>
      </c>
    </row>
    <row r="1661" spans="1:1" x14ac:dyDescent="0.2">
      <c r="A1661">
        <f>SUBTOTAL(3,$B$6:B1661)</f>
        <v>0</v>
      </c>
    </row>
    <row r="1662" spans="1:1" x14ac:dyDescent="0.2">
      <c r="A1662">
        <f>SUBTOTAL(3,$B$6:B1662)</f>
        <v>0</v>
      </c>
    </row>
    <row r="1663" spans="1:1" x14ac:dyDescent="0.2">
      <c r="A1663">
        <f>SUBTOTAL(3,$B$6:B1663)</f>
        <v>0</v>
      </c>
    </row>
    <row r="1664" spans="1:1" x14ac:dyDescent="0.2">
      <c r="A1664">
        <f>SUBTOTAL(3,$B$6:B1664)</f>
        <v>0</v>
      </c>
    </row>
    <row r="1665" spans="1:1" x14ac:dyDescent="0.2">
      <c r="A1665">
        <f>SUBTOTAL(3,$B$6:B1665)</f>
        <v>0</v>
      </c>
    </row>
    <row r="1666" spans="1:1" x14ac:dyDescent="0.2">
      <c r="A1666">
        <f>SUBTOTAL(3,$B$6:B1666)</f>
        <v>0</v>
      </c>
    </row>
    <row r="1667" spans="1:1" x14ac:dyDescent="0.2">
      <c r="A1667">
        <f>SUBTOTAL(3,$B$6:B1667)</f>
        <v>0</v>
      </c>
    </row>
    <row r="1668" spans="1:1" x14ac:dyDescent="0.2">
      <c r="A1668">
        <f>SUBTOTAL(3,$B$6:B1668)</f>
        <v>0</v>
      </c>
    </row>
    <row r="1669" spans="1:1" x14ac:dyDescent="0.2">
      <c r="A1669">
        <f>SUBTOTAL(3,$B$6:B1669)</f>
        <v>0</v>
      </c>
    </row>
    <row r="1670" spans="1:1" x14ac:dyDescent="0.2">
      <c r="A1670">
        <f>SUBTOTAL(3,$B$6:B1670)</f>
        <v>0</v>
      </c>
    </row>
    <row r="1671" spans="1:1" x14ac:dyDescent="0.2">
      <c r="A1671">
        <f>SUBTOTAL(3,$B$6:B1671)</f>
        <v>0</v>
      </c>
    </row>
    <row r="1672" spans="1:1" x14ac:dyDescent="0.2">
      <c r="A1672">
        <f>SUBTOTAL(3,$B$6:B1672)</f>
        <v>0</v>
      </c>
    </row>
    <row r="1673" spans="1:1" x14ac:dyDescent="0.2">
      <c r="A1673">
        <f>SUBTOTAL(3,$B$6:B1673)</f>
        <v>0</v>
      </c>
    </row>
    <row r="1674" spans="1:1" x14ac:dyDescent="0.2">
      <c r="A1674">
        <f>SUBTOTAL(3,$B$6:B1674)</f>
        <v>0</v>
      </c>
    </row>
    <row r="1675" spans="1:1" x14ac:dyDescent="0.2">
      <c r="A1675">
        <f>SUBTOTAL(3,$B$6:B1675)</f>
        <v>0</v>
      </c>
    </row>
    <row r="1676" spans="1:1" x14ac:dyDescent="0.2">
      <c r="A1676">
        <f>SUBTOTAL(3,$B$6:B1676)</f>
        <v>0</v>
      </c>
    </row>
    <row r="1677" spans="1:1" x14ac:dyDescent="0.2">
      <c r="A1677">
        <f>SUBTOTAL(3,$B$6:B1677)</f>
        <v>0</v>
      </c>
    </row>
    <row r="1678" spans="1:1" x14ac:dyDescent="0.2">
      <c r="A1678">
        <f>SUBTOTAL(3,$B$6:B1678)</f>
        <v>0</v>
      </c>
    </row>
    <row r="1679" spans="1:1" x14ac:dyDescent="0.2">
      <c r="A1679">
        <f>SUBTOTAL(3,$B$6:B1679)</f>
        <v>0</v>
      </c>
    </row>
    <row r="1680" spans="1:1" x14ac:dyDescent="0.2">
      <c r="A1680">
        <f>SUBTOTAL(3,$B$6:B1680)</f>
        <v>0</v>
      </c>
    </row>
    <row r="1681" spans="1:1" x14ac:dyDescent="0.2">
      <c r="A1681">
        <f>SUBTOTAL(3,$B$6:B1681)</f>
        <v>0</v>
      </c>
    </row>
    <row r="1682" spans="1:1" x14ac:dyDescent="0.2">
      <c r="A1682">
        <f>SUBTOTAL(3,$B$6:B1682)</f>
        <v>0</v>
      </c>
    </row>
    <row r="1683" spans="1:1" x14ac:dyDescent="0.2">
      <c r="A1683">
        <f>SUBTOTAL(3,$B$6:B1683)</f>
        <v>0</v>
      </c>
    </row>
    <row r="1684" spans="1:1" x14ac:dyDescent="0.2">
      <c r="A1684">
        <f>SUBTOTAL(3,$B$6:B1684)</f>
        <v>0</v>
      </c>
    </row>
    <row r="1685" spans="1:1" x14ac:dyDescent="0.2">
      <c r="A1685">
        <f>SUBTOTAL(3,$B$6:B1685)</f>
        <v>0</v>
      </c>
    </row>
    <row r="1686" spans="1:1" x14ac:dyDescent="0.2">
      <c r="A1686">
        <f>SUBTOTAL(3,$B$6:B1686)</f>
        <v>0</v>
      </c>
    </row>
    <row r="1687" spans="1:1" x14ac:dyDescent="0.2">
      <c r="A1687">
        <f>SUBTOTAL(3,$B$6:B1687)</f>
        <v>0</v>
      </c>
    </row>
    <row r="1688" spans="1:1" x14ac:dyDescent="0.2">
      <c r="A1688">
        <f>SUBTOTAL(3,$B$6:B1688)</f>
        <v>0</v>
      </c>
    </row>
    <row r="1689" spans="1:1" x14ac:dyDescent="0.2">
      <c r="A1689">
        <f>SUBTOTAL(3,$B$6:B1689)</f>
        <v>0</v>
      </c>
    </row>
    <row r="1690" spans="1:1" x14ac:dyDescent="0.2">
      <c r="A1690">
        <f>SUBTOTAL(3,$B$6:B1690)</f>
        <v>0</v>
      </c>
    </row>
    <row r="1691" spans="1:1" x14ac:dyDescent="0.2">
      <c r="A1691">
        <f>SUBTOTAL(3,$B$6:B1691)</f>
        <v>0</v>
      </c>
    </row>
    <row r="1692" spans="1:1" x14ac:dyDescent="0.2">
      <c r="A1692">
        <f>SUBTOTAL(3,$B$6:B1692)</f>
        <v>0</v>
      </c>
    </row>
    <row r="1693" spans="1:1" x14ac:dyDescent="0.2">
      <c r="A1693">
        <f>SUBTOTAL(3,$B$6:B1693)</f>
        <v>0</v>
      </c>
    </row>
    <row r="1694" spans="1:1" x14ac:dyDescent="0.2">
      <c r="A1694">
        <f>SUBTOTAL(3,$B$6:B1694)</f>
        <v>0</v>
      </c>
    </row>
    <row r="1695" spans="1:1" x14ac:dyDescent="0.2">
      <c r="A1695">
        <f>SUBTOTAL(3,$B$6:B1695)</f>
        <v>0</v>
      </c>
    </row>
    <row r="1696" spans="1:1" x14ac:dyDescent="0.2">
      <c r="A1696">
        <f>SUBTOTAL(3,$B$6:B1696)</f>
        <v>0</v>
      </c>
    </row>
    <row r="1697" spans="1:1" x14ac:dyDescent="0.2">
      <c r="A1697">
        <f>SUBTOTAL(3,$B$6:B1697)</f>
        <v>0</v>
      </c>
    </row>
    <row r="1698" spans="1:1" x14ac:dyDescent="0.2">
      <c r="A1698">
        <f>SUBTOTAL(3,$B$6:B1698)</f>
        <v>0</v>
      </c>
    </row>
    <row r="1699" spans="1:1" x14ac:dyDescent="0.2">
      <c r="A1699">
        <f>SUBTOTAL(3,$B$6:B1699)</f>
        <v>0</v>
      </c>
    </row>
    <row r="1700" spans="1:1" x14ac:dyDescent="0.2">
      <c r="A1700">
        <f>SUBTOTAL(3,$B$6:B1700)</f>
        <v>0</v>
      </c>
    </row>
    <row r="1701" spans="1:1" x14ac:dyDescent="0.2">
      <c r="A1701">
        <f>SUBTOTAL(3,$B$6:B1701)</f>
        <v>0</v>
      </c>
    </row>
    <row r="1702" spans="1:1" x14ac:dyDescent="0.2">
      <c r="A1702">
        <f>SUBTOTAL(3,$B$6:B1702)</f>
        <v>0</v>
      </c>
    </row>
    <row r="1703" spans="1:1" x14ac:dyDescent="0.2">
      <c r="A1703">
        <f>SUBTOTAL(3,$B$6:B1703)</f>
        <v>0</v>
      </c>
    </row>
    <row r="1704" spans="1:1" x14ac:dyDescent="0.2">
      <c r="A1704">
        <f>SUBTOTAL(3,$B$6:B1704)</f>
        <v>0</v>
      </c>
    </row>
    <row r="1705" spans="1:1" x14ac:dyDescent="0.2">
      <c r="A1705">
        <f>SUBTOTAL(3,$B$6:B1705)</f>
        <v>0</v>
      </c>
    </row>
    <row r="1706" spans="1:1" x14ac:dyDescent="0.2">
      <c r="A1706">
        <f>SUBTOTAL(3,$B$6:B1706)</f>
        <v>0</v>
      </c>
    </row>
    <row r="1707" spans="1:1" x14ac:dyDescent="0.2">
      <c r="A1707">
        <f>SUBTOTAL(3,$B$6:B1707)</f>
        <v>0</v>
      </c>
    </row>
    <row r="1708" spans="1:1" x14ac:dyDescent="0.2">
      <c r="A1708">
        <f>SUBTOTAL(3,$B$6:B1708)</f>
        <v>0</v>
      </c>
    </row>
    <row r="1709" spans="1:1" x14ac:dyDescent="0.2">
      <c r="A1709">
        <f>SUBTOTAL(3,$B$6:B1709)</f>
        <v>0</v>
      </c>
    </row>
    <row r="1710" spans="1:1" x14ac:dyDescent="0.2">
      <c r="A1710">
        <f>SUBTOTAL(3,$B$6:B1710)</f>
        <v>0</v>
      </c>
    </row>
    <row r="1711" spans="1:1" x14ac:dyDescent="0.2">
      <c r="A1711">
        <f>SUBTOTAL(3,$B$6:B1711)</f>
        <v>0</v>
      </c>
    </row>
    <row r="1712" spans="1:1" x14ac:dyDescent="0.2">
      <c r="A1712">
        <f>SUBTOTAL(3,$B$6:B1712)</f>
        <v>0</v>
      </c>
    </row>
    <row r="1713" spans="1:1" x14ac:dyDescent="0.2">
      <c r="A1713">
        <f>SUBTOTAL(3,$B$6:B1713)</f>
        <v>0</v>
      </c>
    </row>
    <row r="1714" spans="1:1" x14ac:dyDescent="0.2">
      <c r="A1714">
        <f>SUBTOTAL(3,$B$6:B1714)</f>
        <v>0</v>
      </c>
    </row>
    <row r="1715" spans="1:1" x14ac:dyDescent="0.2">
      <c r="A1715">
        <f>SUBTOTAL(3,$B$6:B1715)</f>
        <v>0</v>
      </c>
    </row>
    <row r="1716" spans="1:1" x14ac:dyDescent="0.2">
      <c r="A1716">
        <f>SUBTOTAL(3,$B$6:B1716)</f>
        <v>0</v>
      </c>
    </row>
    <row r="1717" spans="1:1" x14ac:dyDescent="0.2">
      <c r="A1717">
        <f>SUBTOTAL(3,$B$6:B1717)</f>
        <v>0</v>
      </c>
    </row>
    <row r="1718" spans="1:1" x14ac:dyDescent="0.2">
      <c r="A1718">
        <f>SUBTOTAL(3,$B$6:B1718)</f>
        <v>0</v>
      </c>
    </row>
    <row r="1719" spans="1:1" x14ac:dyDescent="0.2">
      <c r="A1719">
        <f>SUBTOTAL(3,$B$6:B1719)</f>
        <v>0</v>
      </c>
    </row>
    <row r="1720" spans="1:1" x14ac:dyDescent="0.2">
      <c r="A1720">
        <f>SUBTOTAL(3,$B$6:B1720)</f>
        <v>0</v>
      </c>
    </row>
    <row r="1721" spans="1:1" x14ac:dyDescent="0.2">
      <c r="A1721">
        <f>SUBTOTAL(3,$B$6:B1721)</f>
        <v>0</v>
      </c>
    </row>
    <row r="1722" spans="1:1" x14ac:dyDescent="0.2">
      <c r="A1722">
        <f>SUBTOTAL(3,$B$6:B1722)</f>
        <v>0</v>
      </c>
    </row>
    <row r="1723" spans="1:1" x14ac:dyDescent="0.2">
      <c r="A1723">
        <f>SUBTOTAL(3,$B$6:B1723)</f>
        <v>0</v>
      </c>
    </row>
    <row r="1724" spans="1:1" x14ac:dyDescent="0.2">
      <c r="A1724">
        <f>SUBTOTAL(3,$B$6:B1724)</f>
        <v>0</v>
      </c>
    </row>
    <row r="1725" spans="1:1" x14ac:dyDescent="0.2">
      <c r="A1725">
        <f>SUBTOTAL(3,$B$6:B1725)</f>
        <v>0</v>
      </c>
    </row>
    <row r="1726" spans="1:1" x14ac:dyDescent="0.2">
      <c r="A1726">
        <f>SUBTOTAL(3,$B$6:B1726)</f>
        <v>0</v>
      </c>
    </row>
    <row r="1727" spans="1:1" x14ac:dyDescent="0.2">
      <c r="A1727">
        <f>SUBTOTAL(3,$B$6:B1727)</f>
        <v>0</v>
      </c>
    </row>
    <row r="1728" spans="1:1" x14ac:dyDescent="0.2">
      <c r="A1728">
        <f>SUBTOTAL(3,$B$6:B1728)</f>
        <v>0</v>
      </c>
    </row>
    <row r="1729" spans="1:1" x14ac:dyDescent="0.2">
      <c r="A1729">
        <f>SUBTOTAL(3,$B$6:B1729)</f>
        <v>0</v>
      </c>
    </row>
    <row r="1730" spans="1:1" x14ac:dyDescent="0.2">
      <c r="A1730">
        <f>SUBTOTAL(3,$B$6:B1730)</f>
        <v>0</v>
      </c>
    </row>
    <row r="1731" spans="1:1" x14ac:dyDescent="0.2">
      <c r="A1731">
        <f>SUBTOTAL(3,$B$6:B1731)</f>
        <v>0</v>
      </c>
    </row>
    <row r="1732" spans="1:1" x14ac:dyDescent="0.2">
      <c r="A1732">
        <f>SUBTOTAL(3,$B$6:B1732)</f>
        <v>0</v>
      </c>
    </row>
    <row r="1733" spans="1:1" x14ac:dyDescent="0.2">
      <c r="A1733">
        <f>SUBTOTAL(3,$B$6:B1733)</f>
        <v>0</v>
      </c>
    </row>
    <row r="1734" spans="1:1" x14ac:dyDescent="0.2">
      <c r="A1734">
        <f>SUBTOTAL(3,$B$6:B1734)</f>
        <v>0</v>
      </c>
    </row>
    <row r="1735" spans="1:1" x14ac:dyDescent="0.2">
      <c r="A1735">
        <f>SUBTOTAL(3,$B$6:B1735)</f>
        <v>0</v>
      </c>
    </row>
    <row r="1736" spans="1:1" x14ac:dyDescent="0.2">
      <c r="A1736">
        <f>SUBTOTAL(3,$B$6:B1736)</f>
        <v>0</v>
      </c>
    </row>
    <row r="1737" spans="1:1" x14ac:dyDescent="0.2">
      <c r="A1737">
        <f>SUBTOTAL(3,$B$6:B1737)</f>
        <v>0</v>
      </c>
    </row>
    <row r="1738" spans="1:1" x14ac:dyDescent="0.2">
      <c r="A1738">
        <f>SUBTOTAL(3,$B$6:B1738)</f>
        <v>0</v>
      </c>
    </row>
    <row r="1739" spans="1:1" x14ac:dyDescent="0.2">
      <c r="A1739">
        <f>SUBTOTAL(3,$B$6:B1739)</f>
        <v>0</v>
      </c>
    </row>
    <row r="1740" spans="1:1" x14ac:dyDescent="0.2">
      <c r="A1740">
        <f>SUBTOTAL(3,$B$6:B1740)</f>
        <v>0</v>
      </c>
    </row>
    <row r="1741" spans="1:1" x14ac:dyDescent="0.2">
      <c r="A1741">
        <f>SUBTOTAL(3,$B$6:B1741)</f>
        <v>0</v>
      </c>
    </row>
    <row r="1742" spans="1:1" x14ac:dyDescent="0.2">
      <c r="A1742">
        <f>SUBTOTAL(3,$B$6:B1742)</f>
        <v>0</v>
      </c>
    </row>
    <row r="1743" spans="1:1" x14ac:dyDescent="0.2">
      <c r="A1743">
        <f>SUBTOTAL(3,$B$6:B1743)</f>
        <v>0</v>
      </c>
    </row>
    <row r="1744" spans="1:1" x14ac:dyDescent="0.2">
      <c r="A1744">
        <f>SUBTOTAL(3,$B$6:B1744)</f>
        <v>0</v>
      </c>
    </row>
    <row r="1745" spans="1:1" x14ac:dyDescent="0.2">
      <c r="A1745">
        <f>SUBTOTAL(3,$B$6:B1745)</f>
        <v>0</v>
      </c>
    </row>
    <row r="1746" spans="1:1" x14ac:dyDescent="0.2">
      <c r="A1746">
        <f>SUBTOTAL(3,$B$6:B1746)</f>
        <v>0</v>
      </c>
    </row>
    <row r="1747" spans="1:1" x14ac:dyDescent="0.2">
      <c r="A1747">
        <f>SUBTOTAL(3,$B$6:B1747)</f>
        <v>0</v>
      </c>
    </row>
    <row r="1748" spans="1:1" x14ac:dyDescent="0.2">
      <c r="A1748">
        <f>SUBTOTAL(3,$B$6:B1748)</f>
        <v>0</v>
      </c>
    </row>
    <row r="1749" spans="1:1" x14ac:dyDescent="0.2">
      <c r="A1749">
        <f>SUBTOTAL(3,$B$6:B1749)</f>
        <v>0</v>
      </c>
    </row>
    <row r="1750" spans="1:1" x14ac:dyDescent="0.2">
      <c r="A1750">
        <f>SUBTOTAL(3,$B$6:B1750)</f>
        <v>0</v>
      </c>
    </row>
    <row r="1751" spans="1:1" x14ac:dyDescent="0.2">
      <c r="A1751">
        <f>SUBTOTAL(3,$B$6:B1751)</f>
        <v>0</v>
      </c>
    </row>
    <row r="1752" spans="1:1" x14ac:dyDescent="0.2">
      <c r="A1752">
        <f>SUBTOTAL(3,$B$6:B1752)</f>
        <v>0</v>
      </c>
    </row>
    <row r="1753" spans="1:1" x14ac:dyDescent="0.2">
      <c r="A1753">
        <f>SUBTOTAL(3,$B$6:B1753)</f>
        <v>0</v>
      </c>
    </row>
    <row r="1754" spans="1:1" x14ac:dyDescent="0.2">
      <c r="A1754">
        <f>SUBTOTAL(3,$B$6:B1754)</f>
        <v>0</v>
      </c>
    </row>
    <row r="1755" spans="1:1" x14ac:dyDescent="0.2">
      <c r="A1755">
        <f>SUBTOTAL(3,$B$6:B1755)</f>
        <v>0</v>
      </c>
    </row>
    <row r="1756" spans="1:1" x14ac:dyDescent="0.2">
      <c r="A1756">
        <f>SUBTOTAL(3,$B$6:B1756)</f>
        <v>0</v>
      </c>
    </row>
    <row r="1757" spans="1:1" x14ac:dyDescent="0.2">
      <c r="A1757">
        <f>SUBTOTAL(3,$B$6:B1757)</f>
        <v>0</v>
      </c>
    </row>
    <row r="1758" spans="1:1" x14ac:dyDescent="0.2">
      <c r="A1758">
        <f>SUBTOTAL(3,$B$6:B1758)</f>
        <v>0</v>
      </c>
    </row>
    <row r="1759" spans="1:1" x14ac:dyDescent="0.2">
      <c r="A1759">
        <f>SUBTOTAL(3,$B$6:B1759)</f>
        <v>0</v>
      </c>
    </row>
    <row r="1760" spans="1:1" x14ac:dyDescent="0.2">
      <c r="A1760">
        <f>SUBTOTAL(3,$B$6:B1760)</f>
        <v>0</v>
      </c>
    </row>
    <row r="1761" spans="1:1" x14ac:dyDescent="0.2">
      <c r="A1761">
        <f>SUBTOTAL(3,$B$6:B1761)</f>
        <v>0</v>
      </c>
    </row>
    <row r="1762" spans="1:1" x14ac:dyDescent="0.2">
      <c r="A1762">
        <f>SUBTOTAL(3,$B$6:B1762)</f>
        <v>0</v>
      </c>
    </row>
    <row r="1763" spans="1:1" x14ac:dyDescent="0.2">
      <c r="A1763">
        <f>SUBTOTAL(3,$B$6:B1763)</f>
        <v>0</v>
      </c>
    </row>
    <row r="1764" spans="1:1" x14ac:dyDescent="0.2">
      <c r="A1764">
        <f>SUBTOTAL(3,$B$6:B1764)</f>
        <v>0</v>
      </c>
    </row>
    <row r="1765" spans="1:1" x14ac:dyDescent="0.2">
      <c r="A1765">
        <f>SUBTOTAL(3,$B$6:B1765)</f>
        <v>0</v>
      </c>
    </row>
    <row r="1766" spans="1:1" x14ac:dyDescent="0.2">
      <c r="A1766">
        <f>SUBTOTAL(3,$B$6:B1766)</f>
        <v>0</v>
      </c>
    </row>
    <row r="1767" spans="1:1" x14ac:dyDescent="0.2">
      <c r="A1767">
        <f>SUBTOTAL(3,$B$6:B1767)</f>
        <v>0</v>
      </c>
    </row>
    <row r="1768" spans="1:1" x14ac:dyDescent="0.2">
      <c r="A1768">
        <f>SUBTOTAL(3,$B$6:B1768)</f>
        <v>0</v>
      </c>
    </row>
    <row r="1769" spans="1:1" x14ac:dyDescent="0.2">
      <c r="A1769">
        <f>SUBTOTAL(3,$B$6:B1769)</f>
        <v>0</v>
      </c>
    </row>
    <row r="1770" spans="1:1" x14ac:dyDescent="0.2">
      <c r="A1770">
        <f>SUBTOTAL(3,$B$6:B1770)</f>
        <v>0</v>
      </c>
    </row>
    <row r="1771" spans="1:1" x14ac:dyDescent="0.2">
      <c r="A1771">
        <f>SUBTOTAL(3,$B$6:B1771)</f>
        <v>0</v>
      </c>
    </row>
    <row r="1772" spans="1:1" x14ac:dyDescent="0.2">
      <c r="A1772">
        <f>SUBTOTAL(3,$B$6:B1772)</f>
        <v>0</v>
      </c>
    </row>
    <row r="1773" spans="1:1" x14ac:dyDescent="0.2">
      <c r="A1773">
        <f>SUBTOTAL(3,$B$6:B1773)</f>
        <v>0</v>
      </c>
    </row>
    <row r="1774" spans="1:1" x14ac:dyDescent="0.2">
      <c r="A1774">
        <f>SUBTOTAL(3,$B$6:B1774)</f>
        <v>0</v>
      </c>
    </row>
    <row r="1775" spans="1:1" x14ac:dyDescent="0.2">
      <c r="A1775">
        <f>SUBTOTAL(3,$B$6:B1775)</f>
        <v>0</v>
      </c>
    </row>
    <row r="1776" spans="1:1" x14ac:dyDescent="0.2">
      <c r="A1776">
        <f>SUBTOTAL(3,$B$6:B1776)</f>
        <v>0</v>
      </c>
    </row>
    <row r="1777" spans="1:1" x14ac:dyDescent="0.2">
      <c r="A1777">
        <f>SUBTOTAL(3,$B$6:B1777)</f>
        <v>0</v>
      </c>
    </row>
    <row r="1778" spans="1:1" x14ac:dyDescent="0.2">
      <c r="A1778">
        <f>SUBTOTAL(3,$B$6:B1778)</f>
        <v>0</v>
      </c>
    </row>
    <row r="1779" spans="1:1" x14ac:dyDescent="0.2">
      <c r="A1779">
        <f>SUBTOTAL(3,$B$6:B1779)</f>
        <v>0</v>
      </c>
    </row>
    <row r="1780" spans="1:1" x14ac:dyDescent="0.2">
      <c r="A1780">
        <f>SUBTOTAL(3,$B$6:B1780)</f>
        <v>0</v>
      </c>
    </row>
    <row r="1781" spans="1:1" x14ac:dyDescent="0.2">
      <c r="A1781">
        <f>SUBTOTAL(3,$B$6:B1781)</f>
        <v>0</v>
      </c>
    </row>
    <row r="1782" spans="1:1" x14ac:dyDescent="0.2">
      <c r="A1782">
        <f>SUBTOTAL(3,$B$6:B1782)</f>
        <v>0</v>
      </c>
    </row>
    <row r="1783" spans="1:1" x14ac:dyDescent="0.2">
      <c r="A1783">
        <f>SUBTOTAL(3,$B$6:B1783)</f>
        <v>0</v>
      </c>
    </row>
    <row r="1784" spans="1:1" x14ac:dyDescent="0.2">
      <c r="A1784">
        <f>SUBTOTAL(3,$B$6:B1784)</f>
        <v>0</v>
      </c>
    </row>
    <row r="1785" spans="1:1" x14ac:dyDescent="0.2">
      <c r="A1785">
        <f>SUBTOTAL(3,$B$6:B1785)</f>
        <v>0</v>
      </c>
    </row>
    <row r="1786" spans="1:1" x14ac:dyDescent="0.2">
      <c r="A1786">
        <f>SUBTOTAL(3,$B$6:B1786)</f>
        <v>0</v>
      </c>
    </row>
    <row r="1787" spans="1:1" x14ac:dyDescent="0.2">
      <c r="A1787">
        <f>SUBTOTAL(3,$B$6:B1787)</f>
        <v>0</v>
      </c>
    </row>
    <row r="1788" spans="1:1" x14ac:dyDescent="0.2">
      <c r="A1788">
        <f>SUBTOTAL(3,$B$6:B1788)</f>
        <v>0</v>
      </c>
    </row>
    <row r="1789" spans="1:1" x14ac:dyDescent="0.2">
      <c r="A1789">
        <f>SUBTOTAL(3,$B$6:B1789)</f>
        <v>0</v>
      </c>
    </row>
    <row r="1790" spans="1:1" x14ac:dyDescent="0.2">
      <c r="A1790">
        <f>SUBTOTAL(3,$B$6:B1790)</f>
        <v>0</v>
      </c>
    </row>
    <row r="1791" spans="1:1" x14ac:dyDescent="0.2">
      <c r="A1791">
        <f>SUBTOTAL(3,$B$6:B1791)</f>
        <v>0</v>
      </c>
    </row>
    <row r="1792" spans="1:1" x14ac:dyDescent="0.2">
      <c r="A1792">
        <f>SUBTOTAL(3,$B$6:B1792)</f>
        <v>0</v>
      </c>
    </row>
    <row r="1793" spans="1:1" x14ac:dyDescent="0.2">
      <c r="A1793">
        <f>SUBTOTAL(3,$B$6:B1793)</f>
        <v>0</v>
      </c>
    </row>
    <row r="1794" spans="1:1" x14ac:dyDescent="0.2">
      <c r="A1794">
        <f>SUBTOTAL(3,$B$6:B1794)</f>
        <v>0</v>
      </c>
    </row>
    <row r="1795" spans="1:1" x14ac:dyDescent="0.2">
      <c r="A1795">
        <f>SUBTOTAL(3,$B$6:B1795)</f>
        <v>0</v>
      </c>
    </row>
    <row r="1796" spans="1:1" x14ac:dyDescent="0.2">
      <c r="A1796">
        <f>SUBTOTAL(3,$B$6:B1796)</f>
        <v>0</v>
      </c>
    </row>
    <row r="1797" spans="1:1" x14ac:dyDescent="0.2">
      <c r="A1797">
        <f>SUBTOTAL(3,$B$6:B1797)</f>
        <v>0</v>
      </c>
    </row>
    <row r="1798" spans="1:1" x14ac:dyDescent="0.2">
      <c r="A1798">
        <f>SUBTOTAL(3,$B$6:B1798)</f>
        <v>0</v>
      </c>
    </row>
    <row r="1799" spans="1:1" x14ac:dyDescent="0.2">
      <c r="A1799">
        <f>SUBTOTAL(3,$B$6:B1799)</f>
        <v>0</v>
      </c>
    </row>
    <row r="1800" spans="1:1" x14ac:dyDescent="0.2">
      <c r="A1800">
        <f>SUBTOTAL(3,$B$6:B1800)</f>
        <v>0</v>
      </c>
    </row>
    <row r="1801" spans="1:1" x14ac:dyDescent="0.2">
      <c r="A1801">
        <f>SUBTOTAL(3,$B$6:B1801)</f>
        <v>0</v>
      </c>
    </row>
    <row r="1802" spans="1:1" x14ac:dyDescent="0.2">
      <c r="A1802">
        <f>SUBTOTAL(3,$B$6:B1802)</f>
        <v>0</v>
      </c>
    </row>
    <row r="1803" spans="1:1" x14ac:dyDescent="0.2">
      <c r="A1803">
        <f>SUBTOTAL(3,$B$6:B1803)</f>
        <v>0</v>
      </c>
    </row>
    <row r="1804" spans="1:1" x14ac:dyDescent="0.2">
      <c r="A1804">
        <f>SUBTOTAL(3,$B$6:B1804)</f>
        <v>0</v>
      </c>
    </row>
    <row r="1805" spans="1:1" x14ac:dyDescent="0.2">
      <c r="A1805">
        <f>SUBTOTAL(3,$B$6:B1805)</f>
        <v>0</v>
      </c>
    </row>
    <row r="1806" spans="1:1" x14ac:dyDescent="0.2">
      <c r="A1806">
        <f>SUBTOTAL(3,$B$6:B1806)</f>
        <v>0</v>
      </c>
    </row>
    <row r="1807" spans="1:1" x14ac:dyDescent="0.2">
      <c r="A1807">
        <f>SUBTOTAL(3,$B$6:B1807)</f>
        <v>0</v>
      </c>
    </row>
    <row r="1808" spans="1:1" x14ac:dyDescent="0.2">
      <c r="A1808">
        <f>SUBTOTAL(3,$B$6:B1808)</f>
        <v>0</v>
      </c>
    </row>
    <row r="1809" spans="1:1" x14ac:dyDescent="0.2">
      <c r="A1809">
        <f>SUBTOTAL(3,$B$6:B1809)</f>
        <v>0</v>
      </c>
    </row>
    <row r="1810" spans="1:1" x14ac:dyDescent="0.2">
      <c r="A1810">
        <f>SUBTOTAL(3,$B$6:B1810)</f>
        <v>0</v>
      </c>
    </row>
    <row r="1811" spans="1:1" x14ac:dyDescent="0.2">
      <c r="A1811">
        <f>SUBTOTAL(3,$B$6:B1811)</f>
        <v>0</v>
      </c>
    </row>
    <row r="1812" spans="1:1" x14ac:dyDescent="0.2">
      <c r="A1812">
        <f>SUBTOTAL(3,$B$6:B1812)</f>
        <v>0</v>
      </c>
    </row>
    <row r="1813" spans="1:1" x14ac:dyDescent="0.2">
      <c r="A1813">
        <f>SUBTOTAL(3,$B$6:B1813)</f>
        <v>0</v>
      </c>
    </row>
    <row r="1814" spans="1:1" x14ac:dyDescent="0.2">
      <c r="A1814">
        <f>SUBTOTAL(3,$B$6:B1814)</f>
        <v>0</v>
      </c>
    </row>
    <row r="1815" spans="1:1" x14ac:dyDescent="0.2">
      <c r="A1815">
        <f>SUBTOTAL(3,$B$6:B1815)</f>
        <v>0</v>
      </c>
    </row>
    <row r="1816" spans="1:1" x14ac:dyDescent="0.2">
      <c r="A1816">
        <f>SUBTOTAL(3,$B$6:B1816)</f>
        <v>0</v>
      </c>
    </row>
    <row r="1817" spans="1:1" x14ac:dyDescent="0.2">
      <c r="A1817">
        <f>SUBTOTAL(3,$B$6:B1817)</f>
        <v>0</v>
      </c>
    </row>
    <row r="1818" spans="1:1" x14ac:dyDescent="0.2">
      <c r="A1818">
        <f>SUBTOTAL(3,$B$6:B1818)</f>
        <v>0</v>
      </c>
    </row>
    <row r="1819" spans="1:1" x14ac:dyDescent="0.2">
      <c r="A1819">
        <f>SUBTOTAL(3,$B$6:B1819)</f>
        <v>0</v>
      </c>
    </row>
    <row r="1820" spans="1:1" x14ac:dyDescent="0.2">
      <c r="A1820">
        <f>SUBTOTAL(3,$B$6:B1820)</f>
        <v>0</v>
      </c>
    </row>
    <row r="1821" spans="1:1" x14ac:dyDescent="0.2">
      <c r="A1821">
        <f>SUBTOTAL(3,$B$6:B1821)</f>
        <v>0</v>
      </c>
    </row>
    <row r="1822" spans="1:1" x14ac:dyDescent="0.2">
      <c r="A1822">
        <f>SUBTOTAL(3,$B$6:B1822)</f>
        <v>0</v>
      </c>
    </row>
    <row r="1823" spans="1:1" x14ac:dyDescent="0.2">
      <c r="A1823">
        <f>SUBTOTAL(3,$B$6:B1823)</f>
        <v>0</v>
      </c>
    </row>
    <row r="1824" spans="1:1" x14ac:dyDescent="0.2">
      <c r="A1824">
        <f>SUBTOTAL(3,$B$6:B1824)</f>
        <v>0</v>
      </c>
    </row>
    <row r="1825" spans="1:1" x14ac:dyDescent="0.2">
      <c r="A1825">
        <f>SUBTOTAL(3,$B$6:B1825)</f>
        <v>0</v>
      </c>
    </row>
    <row r="1826" spans="1:1" x14ac:dyDescent="0.2">
      <c r="A1826">
        <f>SUBTOTAL(3,$B$6:B1826)</f>
        <v>0</v>
      </c>
    </row>
    <row r="1827" spans="1:1" x14ac:dyDescent="0.2">
      <c r="A1827">
        <f>SUBTOTAL(3,$B$6:B1827)</f>
        <v>0</v>
      </c>
    </row>
    <row r="1828" spans="1:1" x14ac:dyDescent="0.2">
      <c r="A1828">
        <f>SUBTOTAL(3,$B$6:B1828)</f>
        <v>0</v>
      </c>
    </row>
    <row r="1829" spans="1:1" x14ac:dyDescent="0.2">
      <c r="A1829">
        <f>SUBTOTAL(3,$B$6:B1829)</f>
        <v>0</v>
      </c>
    </row>
    <row r="1830" spans="1:1" x14ac:dyDescent="0.2">
      <c r="A1830">
        <f>SUBTOTAL(3,$B$6:B1830)</f>
        <v>0</v>
      </c>
    </row>
    <row r="1831" spans="1:1" x14ac:dyDescent="0.2">
      <c r="A1831">
        <f>SUBTOTAL(3,$B$6:B1831)</f>
        <v>0</v>
      </c>
    </row>
    <row r="1832" spans="1:1" x14ac:dyDescent="0.2">
      <c r="A1832">
        <f>SUBTOTAL(3,$B$6:B1832)</f>
        <v>0</v>
      </c>
    </row>
    <row r="1833" spans="1:1" x14ac:dyDescent="0.2">
      <c r="A1833">
        <f>SUBTOTAL(3,$B$6:B1833)</f>
        <v>0</v>
      </c>
    </row>
    <row r="1834" spans="1:1" x14ac:dyDescent="0.2">
      <c r="A1834">
        <f>SUBTOTAL(3,$B$6:B1834)</f>
        <v>0</v>
      </c>
    </row>
    <row r="1835" spans="1:1" x14ac:dyDescent="0.2">
      <c r="A1835">
        <f>SUBTOTAL(3,$B$6:B1835)</f>
        <v>0</v>
      </c>
    </row>
    <row r="1836" spans="1:1" x14ac:dyDescent="0.2">
      <c r="A1836">
        <f>SUBTOTAL(3,$B$6:B1836)</f>
        <v>0</v>
      </c>
    </row>
    <row r="1837" spans="1:1" x14ac:dyDescent="0.2">
      <c r="A1837">
        <f>SUBTOTAL(3,$B$6:B1837)</f>
        <v>0</v>
      </c>
    </row>
    <row r="1838" spans="1:1" x14ac:dyDescent="0.2">
      <c r="A1838">
        <f>SUBTOTAL(3,$B$6:B1838)</f>
        <v>0</v>
      </c>
    </row>
    <row r="1839" spans="1:1" x14ac:dyDescent="0.2">
      <c r="A1839">
        <f>SUBTOTAL(3,$B$6:B1839)</f>
        <v>0</v>
      </c>
    </row>
    <row r="1840" spans="1:1" x14ac:dyDescent="0.2">
      <c r="A1840">
        <f>SUBTOTAL(3,$B$6:B1840)</f>
        <v>0</v>
      </c>
    </row>
    <row r="1841" spans="1:1" x14ac:dyDescent="0.2">
      <c r="A1841">
        <f>SUBTOTAL(3,$B$6:B1841)</f>
        <v>0</v>
      </c>
    </row>
    <row r="1842" spans="1:1" x14ac:dyDescent="0.2">
      <c r="A1842">
        <f>SUBTOTAL(3,$B$6:B1842)</f>
        <v>0</v>
      </c>
    </row>
    <row r="1843" spans="1:1" x14ac:dyDescent="0.2">
      <c r="A1843">
        <f>SUBTOTAL(3,$B$6:B1843)</f>
        <v>0</v>
      </c>
    </row>
    <row r="1844" spans="1:1" x14ac:dyDescent="0.2">
      <c r="A1844">
        <f>SUBTOTAL(3,$B$6:B1844)</f>
        <v>0</v>
      </c>
    </row>
    <row r="1845" spans="1:1" x14ac:dyDescent="0.2">
      <c r="A1845">
        <f>SUBTOTAL(3,$B$6:B1845)</f>
        <v>0</v>
      </c>
    </row>
    <row r="1846" spans="1:1" x14ac:dyDescent="0.2">
      <c r="A1846">
        <f>SUBTOTAL(3,$B$6:B1846)</f>
        <v>0</v>
      </c>
    </row>
    <row r="1847" spans="1:1" x14ac:dyDescent="0.2">
      <c r="A1847">
        <f>SUBTOTAL(3,$B$6:B1847)</f>
        <v>0</v>
      </c>
    </row>
    <row r="1848" spans="1:1" x14ac:dyDescent="0.2">
      <c r="A1848">
        <f>SUBTOTAL(3,$B$6:B1848)</f>
        <v>0</v>
      </c>
    </row>
    <row r="1849" spans="1:1" x14ac:dyDescent="0.2">
      <c r="A1849">
        <f>SUBTOTAL(3,$B$6:B1849)</f>
        <v>0</v>
      </c>
    </row>
    <row r="1850" spans="1:1" x14ac:dyDescent="0.2">
      <c r="A1850">
        <f>SUBTOTAL(3,$B$6:B1850)</f>
        <v>0</v>
      </c>
    </row>
    <row r="1851" spans="1:1" x14ac:dyDescent="0.2">
      <c r="A1851">
        <f>SUBTOTAL(3,$B$6:B1851)</f>
        <v>0</v>
      </c>
    </row>
    <row r="1852" spans="1:1" x14ac:dyDescent="0.2">
      <c r="A1852">
        <f>SUBTOTAL(3,$B$6:B1852)</f>
        <v>0</v>
      </c>
    </row>
    <row r="1853" spans="1:1" x14ac:dyDescent="0.2">
      <c r="A1853">
        <f>SUBTOTAL(3,$B$6:B1853)</f>
        <v>0</v>
      </c>
    </row>
    <row r="1854" spans="1:1" x14ac:dyDescent="0.2">
      <c r="A1854">
        <f>SUBTOTAL(3,$B$6:B1854)</f>
        <v>0</v>
      </c>
    </row>
    <row r="1855" spans="1:1" x14ac:dyDescent="0.2">
      <c r="A1855">
        <f>SUBTOTAL(3,$B$6:B1855)</f>
        <v>0</v>
      </c>
    </row>
    <row r="1856" spans="1:1" x14ac:dyDescent="0.2">
      <c r="A1856">
        <f>SUBTOTAL(3,$B$6:B1856)</f>
        <v>0</v>
      </c>
    </row>
    <row r="1857" spans="1:1" x14ac:dyDescent="0.2">
      <c r="A1857">
        <f>SUBTOTAL(3,$B$6:B1857)</f>
        <v>0</v>
      </c>
    </row>
    <row r="1858" spans="1:1" x14ac:dyDescent="0.2">
      <c r="A1858">
        <f>SUBTOTAL(3,$B$6:B1858)</f>
        <v>0</v>
      </c>
    </row>
    <row r="1859" spans="1:1" x14ac:dyDescent="0.2">
      <c r="A1859">
        <f>SUBTOTAL(3,$B$6:B1859)</f>
        <v>0</v>
      </c>
    </row>
    <row r="1860" spans="1:1" x14ac:dyDescent="0.2">
      <c r="A1860">
        <f>SUBTOTAL(3,$B$6:B1860)</f>
        <v>0</v>
      </c>
    </row>
    <row r="1861" spans="1:1" x14ac:dyDescent="0.2">
      <c r="A1861">
        <f>SUBTOTAL(3,$B$6:B1861)</f>
        <v>0</v>
      </c>
    </row>
    <row r="1862" spans="1:1" x14ac:dyDescent="0.2">
      <c r="A1862">
        <f>SUBTOTAL(3,$B$6:B1862)</f>
        <v>0</v>
      </c>
    </row>
    <row r="1863" spans="1:1" x14ac:dyDescent="0.2">
      <c r="A1863">
        <f>SUBTOTAL(3,$B$6:B1863)</f>
        <v>0</v>
      </c>
    </row>
    <row r="1864" spans="1:1" x14ac:dyDescent="0.2">
      <c r="A1864">
        <f>SUBTOTAL(3,$B$6:B1864)</f>
        <v>0</v>
      </c>
    </row>
    <row r="1865" spans="1:1" x14ac:dyDescent="0.2">
      <c r="A1865">
        <f>SUBTOTAL(3,$B$6:B1865)</f>
        <v>0</v>
      </c>
    </row>
    <row r="1866" spans="1:1" x14ac:dyDescent="0.2">
      <c r="A1866">
        <f>SUBTOTAL(3,$B$6:B1866)</f>
        <v>0</v>
      </c>
    </row>
    <row r="1867" spans="1:1" x14ac:dyDescent="0.2">
      <c r="A1867">
        <f>SUBTOTAL(3,$B$6:B1867)</f>
        <v>0</v>
      </c>
    </row>
    <row r="1868" spans="1:1" x14ac:dyDescent="0.2">
      <c r="A1868">
        <f>SUBTOTAL(3,$B$6:B1868)</f>
        <v>0</v>
      </c>
    </row>
    <row r="1869" spans="1:1" x14ac:dyDescent="0.2">
      <c r="A1869">
        <f>SUBTOTAL(3,$B$6:B1869)</f>
        <v>0</v>
      </c>
    </row>
    <row r="1870" spans="1:1" x14ac:dyDescent="0.2">
      <c r="A1870">
        <f>SUBTOTAL(3,$B$6:B1870)</f>
        <v>0</v>
      </c>
    </row>
    <row r="1871" spans="1:1" x14ac:dyDescent="0.2">
      <c r="A1871">
        <f>SUBTOTAL(3,$B$6:B1871)</f>
        <v>0</v>
      </c>
    </row>
    <row r="1872" spans="1:1" x14ac:dyDescent="0.2">
      <c r="A1872">
        <f>SUBTOTAL(3,$B$6:B1872)</f>
        <v>0</v>
      </c>
    </row>
    <row r="1873" spans="1:1" x14ac:dyDescent="0.2">
      <c r="A1873">
        <f>SUBTOTAL(3,$B$6:B1873)</f>
        <v>0</v>
      </c>
    </row>
    <row r="1874" spans="1:1" x14ac:dyDescent="0.2">
      <c r="A1874">
        <f>SUBTOTAL(3,$B$6:B1874)</f>
        <v>0</v>
      </c>
    </row>
    <row r="1875" spans="1:1" x14ac:dyDescent="0.2">
      <c r="A1875">
        <f>SUBTOTAL(3,$B$6:B1875)</f>
        <v>0</v>
      </c>
    </row>
    <row r="1876" spans="1:1" x14ac:dyDescent="0.2">
      <c r="A1876">
        <f>SUBTOTAL(3,$B$6:B1876)</f>
        <v>0</v>
      </c>
    </row>
    <row r="1877" spans="1:1" x14ac:dyDescent="0.2">
      <c r="A1877">
        <f>SUBTOTAL(3,$B$6:B1877)</f>
        <v>0</v>
      </c>
    </row>
    <row r="1878" spans="1:1" x14ac:dyDescent="0.2">
      <c r="A1878">
        <f>SUBTOTAL(3,$B$6:B1878)</f>
        <v>0</v>
      </c>
    </row>
    <row r="1879" spans="1:1" x14ac:dyDescent="0.2">
      <c r="A1879">
        <f>SUBTOTAL(3,$B$6:B1879)</f>
        <v>0</v>
      </c>
    </row>
    <row r="1880" spans="1:1" x14ac:dyDescent="0.2">
      <c r="A1880">
        <f>SUBTOTAL(3,$B$6:B1880)</f>
        <v>0</v>
      </c>
    </row>
    <row r="1881" spans="1:1" x14ac:dyDescent="0.2">
      <c r="A1881">
        <f>SUBTOTAL(3,$B$6:B1881)</f>
        <v>0</v>
      </c>
    </row>
    <row r="1882" spans="1:1" x14ac:dyDescent="0.2">
      <c r="A1882">
        <f>SUBTOTAL(3,$B$6:B1882)</f>
        <v>0</v>
      </c>
    </row>
    <row r="1883" spans="1:1" x14ac:dyDescent="0.2">
      <c r="A1883">
        <f>SUBTOTAL(3,$B$6:B1883)</f>
        <v>0</v>
      </c>
    </row>
    <row r="1884" spans="1:1" x14ac:dyDescent="0.2">
      <c r="A1884">
        <f>SUBTOTAL(3,$B$6:B1884)</f>
        <v>0</v>
      </c>
    </row>
    <row r="1885" spans="1:1" x14ac:dyDescent="0.2">
      <c r="A1885">
        <f>SUBTOTAL(3,$B$6:B1885)</f>
        <v>0</v>
      </c>
    </row>
    <row r="1886" spans="1:1" x14ac:dyDescent="0.2">
      <c r="A1886">
        <f>SUBTOTAL(3,$B$6:B1886)</f>
        <v>0</v>
      </c>
    </row>
    <row r="1887" spans="1:1" x14ac:dyDescent="0.2">
      <c r="A1887">
        <f>SUBTOTAL(3,$B$6:B1887)</f>
        <v>0</v>
      </c>
    </row>
    <row r="1888" spans="1:1" x14ac:dyDescent="0.2">
      <c r="A1888">
        <f>SUBTOTAL(3,$B$6:B1888)</f>
        <v>0</v>
      </c>
    </row>
    <row r="1889" spans="1:1" x14ac:dyDescent="0.2">
      <c r="A1889">
        <f>SUBTOTAL(3,$B$6:B1889)</f>
        <v>0</v>
      </c>
    </row>
    <row r="1890" spans="1:1" x14ac:dyDescent="0.2">
      <c r="A1890">
        <f>SUBTOTAL(3,$B$6:B1890)</f>
        <v>0</v>
      </c>
    </row>
    <row r="1891" spans="1:1" x14ac:dyDescent="0.2">
      <c r="A1891">
        <f>SUBTOTAL(3,$B$6:B1891)</f>
        <v>0</v>
      </c>
    </row>
    <row r="1892" spans="1:1" x14ac:dyDescent="0.2">
      <c r="A1892">
        <f>SUBTOTAL(3,$B$6:B1892)</f>
        <v>0</v>
      </c>
    </row>
    <row r="1893" spans="1:1" x14ac:dyDescent="0.2">
      <c r="A1893">
        <f>SUBTOTAL(3,$B$6:B1893)</f>
        <v>0</v>
      </c>
    </row>
    <row r="1894" spans="1:1" x14ac:dyDescent="0.2">
      <c r="A1894">
        <f>SUBTOTAL(3,$B$6:B1894)</f>
        <v>0</v>
      </c>
    </row>
    <row r="1895" spans="1:1" x14ac:dyDescent="0.2">
      <c r="A1895">
        <f>SUBTOTAL(3,$B$6:B1895)</f>
        <v>0</v>
      </c>
    </row>
    <row r="1896" spans="1:1" x14ac:dyDescent="0.2">
      <c r="A1896">
        <f>SUBTOTAL(3,$B$6:B1896)</f>
        <v>0</v>
      </c>
    </row>
    <row r="1897" spans="1:1" x14ac:dyDescent="0.2">
      <c r="A1897">
        <f>SUBTOTAL(3,$B$6:B1897)</f>
        <v>0</v>
      </c>
    </row>
    <row r="1898" spans="1:1" x14ac:dyDescent="0.2">
      <c r="A1898">
        <f>SUBTOTAL(3,$B$6:B1898)</f>
        <v>0</v>
      </c>
    </row>
    <row r="1899" spans="1:1" x14ac:dyDescent="0.2">
      <c r="A1899">
        <f>SUBTOTAL(3,$B$6:B1899)</f>
        <v>0</v>
      </c>
    </row>
    <row r="1900" spans="1:1" x14ac:dyDescent="0.2">
      <c r="A1900">
        <f>SUBTOTAL(3,$B$6:B1900)</f>
        <v>0</v>
      </c>
    </row>
    <row r="1901" spans="1:1" x14ac:dyDescent="0.2">
      <c r="A1901">
        <f>SUBTOTAL(3,$B$6:B1901)</f>
        <v>0</v>
      </c>
    </row>
    <row r="1902" spans="1:1" x14ac:dyDescent="0.2">
      <c r="A1902">
        <f>SUBTOTAL(3,$B$6:B1902)</f>
        <v>0</v>
      </c>
    </row>
    <row r="1903" spans="1:1" x14ac:dyDescent="0.2">
      <c r="A1903">
        <f>SUBTOTAL(3,$B$6:B1903)</f>
        <v>0</v>
      </c>
    </row>
    <row r="1904" spans="1:1" x14ac:dyDescent="0.2">
      <c r="A1904">
        <f>SUBTOTAL(3,$B$6:B1904)</f>
        <v>0</v>
      </c>
    </row>
    <row r="1905" spans="1:1" x14ac:dyDescent="0.2">
      <c r="A1905">
        <f>SUBTOTAL(3,$B$6:B1905)</f>
        <v>0</v>
      </c>
    </row>
    <row r="1906" spans="1:1" x14ac:dyDescent="0.2">
      <c r="A1906">
        <f>SUBTOTAL(3,$B$6:B1906)</f>
        <v>0</v>
      </c>
    </row>
    <row r="1907" spans="1:1" x14ac:dyDescent="0.2">
      <c r="A1907">
        <f>SUBTOTAL(3,$B$6:B1907)</f>
        <v>0</v>
      </c>
    </row>
    <row r="1908" spans="1:1" x14ac:dyDescent="0.2">
      <c r="A1908">
        <f>SUBTOTAL(3,$B$6:B1908)</f>
        <v>0</v>
      </c>
    </row>
    <row r="1909" spans="1:1" x14ac:dyDescent="0.2">
      <c r="A1909">
        <f>SUBTOTAL(3,$B$6:B1909)</f>
        <v>0</v>
      </c>
    </row>
    <row r="1910" spans="1:1" x14ac:dyDescent="0.2">
      <c r="A1910">
        <f>SUBTOTAL(3,$B$6:B1910)</f>
        <v>0</v>
      </c>
    </row>
    <row r="1911" spans="1:1" x14ac:dyDescent="0.2">
      <c r="A1911">
        <f>SUBTOTAL(3,$B$6:B1911)</f>
        <v>0</v>
      </c>
    </row>
    <row r="1912" spans="1:1" x14ac:dyDescent="0.2">
      <c r="A1912">
        <f>SUBTOTAL(3,$B$6:B1912)</f>
        <v>0</v>
      </c>
    </row>
    <row r="1913" spans="1:1" x14ac:dyDescent="0.2">
      <c r="A1913">
        <f>SUBTOTAL(3,$B$6:B1913)</f>
        <v>0</v>
      </c>
    </row>
    <row r="1914" spans="1:1" x14ac:dyDescent="0.2">
      <c r="A1914">
        <f>SUBTOTAL(3,$B$6:B1914)</f>
        <v>0</v>
      </c>
    </row>
    <row r="1915" spans="1:1" x14ac:dyDescent="0.2">
      <c r="A1915">
        <f>SUBTOTAL(3,$B$6:B1915)</f>
        <v>0</v>
      </c>
    </row>
    <row r="1916" spans="1:1" x14ac:dyDescent="0.2">
      <c r="A1916">
        <f>SUBTOTAL(3,$B$6:B1916)</f>
        <v>0</v>
      </c>
    </row>
    <row r="1917" spans="1:1" x14ac:dyDescent="0.2">
      <c r="A1917">
        <f>SUBTOTAL(3,$B$6:B1917)</f>
        <v>0</v>
      </c>
    </row>
    <row r="1918" spans="1:1" x14ac:dyDescent="0.2">
      <c r="A1918">
        <f>SUBTOTAL(3,$B$6:B1918)</f>
        <v>0</v>
      </c>
    </row>
    <row r="1919" spans="1:1" x14ac:dyDescent="0.2">
      <c r="A1919">
        <f>SUBTOTAL(3,$B$6:B1919)</f>
        <v>0</v>
      </c>
    </row>
    <row r="1920" spans="1:1" x14ac:dyDescent="0.2">
      <c r="A1920">
        <f>SUBTOTAL(3,$B$6:B1920)</f>
        <v>0</v>
      </c>
    </row>
    <row r="1921" spans="1:1" x14ac:dyDescent="0.2">
      <c r="A1921">
        <f>SUBTOTAL(3,$B$6:B1921)</f>
        <v>0</v>
      </c>
    </row>
    <row r="1922" spans="1:1" x14ac:dyDescent="0.2">
      <c r="A1922">
        <f>SUBTOTAL(3,$B$6:B1922)</f>
        <v>0</v>
      </c>
    </row>
    <row r="1923" spans="1:1" x14ac:dyDescent="0.2">
      <c r="A1923">
        <f>SUBTOTAL(3,$B$6:B1923)</f>
        <v>0</v>
      </c>
    </row>
    <row r="1924" spans="1:1" x14ac:dyDescent="0.2">
      <c r="A1924">
        <f>SUBTOTAL(3,$B$6:B1924)</f>
        <v>0</v>
      </c>
    </row>
    <row r="1925" spans="1:1" x14ac:dyDescent="0.2">
      <c r="A1925">
        <f>SUBTOTAL(3,$B$6:B1925)</f>
        <v>0</v>
      </c>
    </row>
    <row r="1926" spans="1:1" x14ac:dyDescent="0.2">
      <c r="A1926">
        <f>SUBTOTAL(3,$B$6:B1926)</f>
        <v>0</v>
      </c>
    </row>
    <row r="1927" spans="1:1" x14ac:dyDescent="0.2">
      <c r="A1927">
        <f>SUBTOTAL(3,$B$6:B1927)</f>
        <v>0</v>
      </c>
    </row>
    <row r="1928" spans="1:1" x14ac:dyDescent="0.2">
      <c r="A1928">
        <f>SUBTOTAL(3,$B$6:B1928)</f>
        <v>0</v>
      </c>
    </row>
    <row r="1929" spans="1:1" x14ac:dyDescent="0.2">
      <c r="A1929">
        <f>SUBTOTAL(3,$B$6:B1929)</f>
        <v>0</v>
      </c>
    </row>
    <row r="1930" spans="1:1" x14ac:dyDescent="0.2">
      <c r="A1930">
        <f>SUBTOTAL(3,$B$6:B1930)</f>
        <v>0</v>
      </c>
    </row>
    <row r="1931" spans="1:1" x14ac:dyDescent="0.2">
      <c r="A1931">
        <f>SUBTOTAL(3,$B$6:B1931)</f>
        <v>0</v>
      </c>
    </row>
    <row r="1932" spans="1:1" x14ac:dyDescent="0.2">
      <c r="A1932">
        <f>SUBTOTAL(3,$B$6:B1932)</f>
        <v>0</v>
      </c>
    </row>
    <row r="1933" spans="1:1" x14ac:dyDescent="0.2">
      <c r="A1933">
        <f>SUBTOTAL(3,$B$6:B1933)</f>
        <v>0</v>
      </c>
    </row>
    <row r="1934" spans="1:1" x14ac:dyDescent="0.2">
      <c r="A1934">
        <f>SUBTOTAL(3,$B$6:B1934)</f>
        <v>0</v>
      </c>
    </row>
    <row r="1935" spans="1:1" x14ac:dyDescent="0.2">
      <c r="A1935">
        <f>SUBTOTAL(3,$B$6:B1935)</f>
        <v>0</v>
      </c>
    </row>
    <row r="1936" spans="1:1" x14ac:dyDescent="0.2">
      <c r="A1936">
        <f>SUBTOTAL(3,$B$6:B1936)</f>
        <v>0</v>
      </c>
    </row>
    <row r="1937" spans="1:1" x14ac:dyDescent="0.2">
      <c r="A1937">
        <f>SUBTOTAL(3,$B$6:B1937)</f>
        <v>0</v>
      </c>
    </row>
    <row r="1938" spans="1:1" x14ac:dyDescent="0.2">
      <c r="A1938">
        <f>SUBTOTAL(3,$B$6:B1938)</f>
        <v>0</v>
      </c>
    </row>
    <row r="1939" spans="1:1" x14ac:dyDescent="0.2">
      <c r="A1939">
        <f>SUBTOTAL(3,$B$6:B1939)</f>
        <v>0</v>
      </c>
    </row>
    <row r="1940" spans="1:1" x14ac:dyDescent="0.2">
      <c r="A1940">
        <f>SUBTOTAL(3,$B$6:B1940)</f>
        <v>0</v>
      </c>
    </row>
    <row r="1941" spans="1:1" x14ac:dyDescent="0.2">
      <c r="A1941">
        <f>SUBTOTAL(3,$B$6:B1941)</f>
        <v>0</v>
      </c>
    </row>
    <row r="1942" spans="1:1" x14ac:dyDescent="0.2">
      <c r="A1942">
        <f>SUBTOTAL(3,$B$6:B1942)</f>
        <v>0</v>
      </c>
    </row>
    <row r="1943" spans="1:1" x14ac:dyDescent="0.2">
      <c r="A1943">
        <f>SUBTOTAL(3,$B$6:B1943)</f>
        <v>0</v>
      </c>
    </row>
    <row r="1944" spans="1:1" x14ac:dyDescent="0.2">
      <c r="A1944">
        <f>SUBTOTAL(3,$B$6:B1944)</f>
        <v>0</v>
      </c>
    </row>
    <row r="1945" spans="1:1" x14ac:dyDescent="0.2">
      <c r="A1945">
        <f>SUBTOTAL(3,$B$6:B1945)</f>
        <v>0</v>
      </c>
    </row>
    <row r="1946" spans="1:1" x14ac:dyDescent="0.2">
      <c r="A1946">
        <f>SUBTOTAL(3,$B$6:B1946)</f>
        <v>0</v>
      </c>
    </row>
    <row r="1947" spans="1:1" x14ac:dyDescent="0.2">
      <c r="A1947">
        <f>SUBTOTAL(3,$B$6:B1947)</f>
        <v>0</v>
      </c>
    </row>
    <row r="1948" spans="1:1" x14ac:dyDescent="0.2">
      <c r="A1948">
        <f>SUBTOTAL(3,$B$6:B1948)</f>
        <v>0</v>
      </c>
    </row>
    <row r="1949" spans="1:1" x14ac:dyDescent="0.2">
      <c r="A1949">
        <f>SUBTOTAL(3,$B$6:B1949)</f>
        <v>0</v>
      </c>
    </row>
    <row r="1950" spans="1:1" x14ac:dyDescent="0.2">
      <c r="A1950">
        <f>SUBTOTAL(3,$B$6:B1950)</f>
        <v>0</v>
      </c>
    </row>
    <row r="1951" spans="1:1" x14ac:dyDescent="0.2">
      <c r="A1951">
        <f>SUBTOTAL(3,$B$6:B1951)</f>
        <v>0</v>
      </c>
    </row>
    <row r="1952" spans="1:1" x14ac:dyDescent="0.2">
      <c r="A1952">
        <f>SUBTOTAL(3,$B$6:B1952)</f>
        <v>0</v>
      </c>
    </row>
    <row r="1953" spans="1:1" x14ac:dyDescent="0.2">
      <c r="A1953">
        <f>SUBTOTAL(3,$B$6:B1953)</f>
        <v>0</v>
      </c>
    </row>
    <row r="1954" spans="1:1" x14ac:dyDescent="0.2">
      <c r="A1954">
        <f>SUBTOTAL(3,$B$6:B1954)</f>
        <v>0</v>
      </c>
    </row>
    <row r="1955" spans="1:1" x14ac:dyDescent="0.2">
      <c r="A1955">
        <f>SUBTOTAL(3,$B$6:B1955)</f>
        <v>0</v>
      </c>
    </row>
    <row r="1956" spans="1:1" x14ac:dyDescent="0.2">
      <c r="A1956">
        <f>SUBTOTAL(3,$B$6:B1956)</f>
        <v>0</v>
      </c>
    </row>
    <row r="1957" spans="1:1" x14ac:dyDescent="0.2">
      <c r="A1957">
        <f>SUBTOTAL(3,$B$6:B1957)</f>
        <v>0</v>
      </c>
    </row>
    <row r="1958" spans="1:1" x14ac:dyDescent="0.2">
      <c r="A1958">
        <f>SUBTOTAL(3,$B$6:B1958)</f>
        <v>0</v>
      </c>
    </row>
    <row r="1959" spans="1:1" x14ac:dyDescent="0.2">
      <c r="A1959">
        <f>SUBTOTAL(3,$B$6:B1959)</f>
        <v>0</v>
      </c>
    </row>
    <row r="1960" spans="1:1" x14ac:dyDescent="0.2">
      <c r="A1960">
        <f>SUBTOTAL(3,$B$6:B1960)</f>
        <v>0</v>
      </c>
    </row>
    <row r="1961" spans="1:1" x14ac:dyDescent="0.2">
      <c r="A1961">
        <f>SUBTOTAL(3,$B$6:B1961)</f>
        <v>0</v>
      </c>
    </row>
    <row r="1962" spans="1:1" x14ac:dyDescent="0.2">
      <c r="A1962">
        <f>SUBTOTAL(3,$B$6:B1962)</f>
        <v>0</v>
      </c>
    </row>
    <row r="1963" spans="1:1" x14ac:dyDescent="0.2">
      <c r="A1963">
        <f>SUBTOTAL(3,$B$6:B1963)</f>
        <v>0</v>
      </c>
    </row>
    <row r="1964" spans="1:1" x14ac:dyDescent="0.2">
      <c r="A1964">
        <f>SUBTOTAL(3,$B$6:B1964)</f>
        <v>0</v>
      </c>
    </row>
    <row r="1965" spans="1:1" x14ac:dyDescent="0.2">
      <c r="A1965">
        <f>SUBTOTAL(3,$B$6:B1965)</f>
        <v>0</v>
      </c>
    </row>
    <row r="1966" spans="1:1" x14ac:dyDescent="0.2">
      <c r="A1966">
        <f>SUBTOTAL(3,$B$6:B1966)</f>
        <v>0</v>
      </c>
    </row>
    <row r="1967" spans="1:1" x14ac:dyDescent="0.2">
      <c r="A1967">
        <f>SUBTOTAL(3,$B$6:B1967)</f>
        <v>0</v>
      </c>
    </row>
    <row r="1968" spans="1:1" x14ac:dyDescent="0.2">
      <c r="A1968">
        <f>SUBTOTAL(3,$B$6:B1968)</f>
        <v>0</v>
      </c>
    </row>
    <row r="1969" spans="1:1" x14ac:dyDescent="0.2">
      <c r="A1969">
        <f>SUBTOTAL(3,$B$6:B1969)</f>
        <v>0</v>
      </c>
    </row>
    <row r="1970" spans="1:1" x14ac:dyDescent="0.2">
      <c r="A1970">
        <f>SUBTOTAL(3,$B$6:B1970)</f>
        <v>0</v>
      </c>
    </row>
    <row r="1971" spans="1:1" x14ac:dyDescent="0.2">
      <c r="A1971">
        <f>SUBTOTAL(3,$B$6:B1971)</f>
        <v>0</v>
      </c>
    </row>
    <row r="1972" spans="1:1" x14ac:dyDescent="0.2">
      <c r="A1972">
        <f>SUBTOTAL(3,$B$6:B1972)</f>
        <v>0</v>
      </c>
    </row>
    <row r="1973" spans="1:1" x14ac:dyDescent="0.2">
      <c r="A1973">
        <f>SUBTOTAL(3,$B$6:B1973)</f>
        <v>0</v>
      </c>
    </row>
    <row r="1974" spans="1:1" x14ac:dyDescent="0.2">
      <c r="A1974">
        <f>SUBTOTAL(3,$B$6:B1974)</f>
        <v>0</v>
      </c>
    </row>
    <row r="1975" spans="1:1" x14ac:dyDescent="0.2">
      <c r="A1975">
        <f>SUBTOTAL(3,$B$6:B1975)</f>
        <v>0</v>
      </c>
    </row>
    <row r="1976" spans="1:1" x14ac:dyDescent="0.2">
      <c r="A1976">
        <f>SUBTOTAL(3,$B$6:B1976)</f>
        <v>0</v>
      </c>
    </row>
    <row r="1977" spans="1:1" x14ac:dyDescent="0.2">
      <c r="A1977">
        <f>SUBTOTAL(3,$B$6:B1977)</f>
        <v>0</v>
      </c>
    </row>
    <row r="1978" spans="1:1" x14ac:dyDescent="0.2">
      <c r="A1978">
        <f>SUBTOTAL(3,$B$6:B1978)</f>
        <v>0</v>
      </c>
    </row>
    <row r="1979" spans="1:1" x14ac:dyDescent="0.2">
      <c r="A1979">
        <f>SUBTOTAL(3,$B$6:B1979)</f>
        <v>0</v>
      </c>
    </row>
    <row r="1980" spans="1:1" x14ac:dyDescent="0.2">
      <c r="A1980">
        <f>SUBTOTAL(3,$B$6:B1980)</f>
        <v>0</v>
      </c>
    </row>
    <row r="1981" spans="1:1" x14ac:dyDescent="0.2">
      <c r="A1981">
        <f>SUBTOTAL(3,$B$6:B1981)</f>
        <v>0</v>
      </c>
    </row>
    <row r="1982" spans="1:1" x14ac:dyDescent="0.2">
      <c r="A1982">
        <f>SUBTOTAL(3,$B$6:B1982)</f>
        <v>0</v>
      </c>
    </row>
    <row r="1983" spans="1:1" x14ac:dyDescent="0.2">
      <c r="A1983">
        <f>SUBTOTAL(3,$B$6:B1983)</f>
        <v>0</v>
      </c>
    </row>
    <row r="1984" spans="1:1" x14ac:dyDescent="0.2">
      <c r="A1984">
        <f>SUBTOTAL(3,$B$6:B1984)</f>
        <v>0</v>
      </c>
    </row>
    <row r="1985" spans="1:1" x14ac:dyDescent="0.2">
      <c r="A1985">
        <f>SUBTOTAL(3,$B$6:B1985)</f>
        <v>0</v>
      </c>
    </row>
    <row r="1986" spans="1:1" x14ac:dyDescent="0.2">
      <c r="A1986">
        <f>SUBTOTAL(3,$B$6:B1986)</f>
        <v>0</v>
      </c>
    </row>
    <row r="1987" spans="1:1" x14ac:dyDescent="0.2">
      <c r="A1987">
        <f>SUBTOTAL(3,$B$6:B1987)</f>
        <v>0</v>
      </c>
    </row>
    <row r="1988" spans="1:1" x14ac:dyDescent="0.2">
      <c r="A1988">
        <f>SUBTOTAL(3,$B$6:B1988)</f>
        <v>0</v>
      </c>
    </row>
    <row r="1989" spans="1:1" x14ac:dyDescent="0.2">
      <c r="A1989">
        <f>SUBTOTAL(3,$B$6:B1989)</f>
        <v>0</v>
      </c>
    </row>
    <row r="1990" spans="1:1" x14ac:dyDescent="0.2">
      <c r="A1990">
        <f>SUBTOTAL(3,$B$6:B1990)</f>
        <v>0</v>
      </c>
    </row>
    <row r="1991" spans="1:1" x14ac:dyDescent="0.2">
      <c r="A1991">
        <f>SUBTOTAL(3,$B$6:B1991)</f>
        <v>0</v>
      </c>
    </row>
    <row r="1992" spans="1:1" x14ac:dyDescent="0.2">
      <c r="A1992">
        <f>SUBTOTAL(3,$B$6:B1992)</f>
        <v>0</v>
      </c>
    </row>
    <row r="1993" spans="1:1" x14ac:dyDescent="0.2">
      <c r="A1993">
        <f>SUBTOTAL(3,$B$6:B1993)</f>
        <v>0</v>
      </c>
    </row>
    <row r="1994" spans="1:1" x14ac:dyDescent="0.2">
      <c r="A1994">
        <f>SUBTOTAL(3,$B$6:B1994)</f>
        <v>0</v>
      </c>
    </row>
    <row r="1995" spans="1:1" x14ac:dyDescent="0.2">
      <c r="A1995">
        <f>SUBTOTAL(3,$B$6:B1995)</f>
        <v>0</v>
      </c>
    </row>
    <row r="1996" spans="1:1" x14ac:dyDescent="0.2">
      <c r="A1996">
        <f>SUBTOTAL(3,$B$6:B1996)</f>
        <v>0</v>
      </c>
    </row>
    <row r="1997" spans="1:1" x14ac:dyDescent="0.2">
      <c r="A1997">
        <f>SUBTOTAL(3,$B$6:B1997)</f>
        <v>0</v>
      </c>
    </row>
    <row r="1998" spans="1:1" x14ac:dyDescent="0.2">
      <c r="A1998">
        <f>SUBTOTAL(3,$B$6:B1998)</f>
        <v>0</v>
      </c>
    </row>
    <row r="1999" spans="1:1" x14ac:dyDescent="0.2">
      <c r="A1999">
        <f>SUBTOTAL(3,$B$6:B1999)</f>
        <v>0</v>
      </c>
    </row>
    <row r="2000" spans="1:1" x14ac:dyDescent="0.2">
      <c r="A2000">
        <f>SUBTOTAL(3,$B$6:B2000)</f>
        <v>0</v>
      </c>
    </row>
    <row r="2001" spans="1:1" x14ac:dyDescent="0.2">
      <c r="A2001">
        <f>SUBTOTAL(3,$B$6:B2001)</f>
        <v>0</v>
      </c>
    </row>
    <row r="2002" spans="1:1" x14ac:dyDescent="0.2">
      <c r="A2002">
        <f>SUBTOTAL(3,$B$6:B2002)</f>
        <v>0</v>
      </c>
    </row>
    <row r="2003" spans="1:1" x14ac:dyDescent="0.2">
      <c r="A2003">
        <f>SUBTOTAL(3,$B$6:B2003)</f>
        <v>0</v>
      </c>
    </row>
    <row r="2004" spans="1:1" x14ac:dyDescent="0.2">
      <c r="A2004">
        <f>SUBTOTAL(3,$B$6:B2004)</f>
        <v>0</v>
      </c>
    </row>
    <row r="2005" spans="1:1" x14ac:dyDescent="0.2">
      <c r="A2005">
        <f>SUBTOTAL(3,$B$6:B2005)</f>
        <v>0</v>
      </c>
    </row>
    <row r="2006" spans="1:1" x14ac:dyDescent="0.2">
      <c r="A2006">
        <f>SUBTOTAL(3,$B$6:B2006)</f>
        <v>0</v>
      </c>
    </row>
    <row r="2007" spans="1:1" x14ac:dyDescent="0.2">
      <c r="A2007">
        <f>SUBTOTAL(3,$B$6:B2007)</f>
        <v>0</v>
      </c>
    </row>
    <row r="2008" spans="1:1" x14ac:dyDescent="0.2">
      <c r="A2008">
        <f>SUBTOTAL(3,$B$6:B2008)</f>
        <v>0</v>
      </c>
    </row>
    <row r="2009" spans="1:1" x14ac:dyDescent="0.2">
      <c r="A2009">
        <f>SUBTOTAL(3,$B$6:B2009)</f>
        <v>0</v>
      </c>
    </row>
    <row r="2010" spans="1:1" x14ac:dyDescent="0.2">
      <c r="A2010">
        <f>SUBTOTAL(3,$B$6:B2010)</f>
        <v>0</v>
      </c>
    </row>
    <row r="2011" spans="1:1" x14ac:dyDescent="0.2">
      <c r="A2011">
        <f>SUBTOTAL(3,$B$6:B2011)</f>
        <v>0</v>
      </c>
    </row>
    <row r="2012" spans="1:1" x14ac:dyDescent="0.2">
      <c r="A2012">
        <f>SUBTOTAL(3,$B$6:B2012)</f>
        <v>0</v>
      </c>
    </row>
    <row r="2013" spans="1:1" x14ac:dyDescent="0.2">
      <c r="A2013">
        <f>SUBTOTAL(3,$B$6:B2013)</f>
        <v>0</v>
      </c>
    </row>
    <row r="2014" spans="1:1" x14ac:dyDescent="0.2">
      <c r="A2014">
        <f>SUBTOTAL(3,$B$6:B2014)</f>
        <v>0</v>
      </c>
    </row>
    <row r="2015" spans="1:1" x14ac:dyDescent="0.2">
      <c r="A2015">
        <f>SUBTOTAL(3,$B$6:B2015)</f>
        <v>0</v>
      </c>
    </row>
    <row r="2016" spans="1:1" x14ac:dyDescent="0.2">
      <c r="A2016">
        <f>SUBTOTAL(3,$B$6:B2016)</f>
        <v>0</v>
      </c>
    </row>
    <row r="2017" spans="1:1" x14ac:dyDescent="0.2">
      <c r="A2017">
        <f>SUBTOTAL(3,$B$6:B2017)</f>
        <v>0</v>
      </c>
    </row>
    <row r="2018" spans="1:1" x14ac:dyDescent="0.2">
      <c r="A2018">
        <f>SUBTOTAL(3,$B$6:B2018)</f>
        <v>0</v>
      </c>
    </row>
    <row r="2019" spans="1:1" x14ac:dyDescent="0.2">
      <c r="A2019">
        <f>SUBTOTAL(3,$B$6:B2019)</f>
        <v>0</v>
      </c>
    </row>
    <row r="2020" spans="1:1" x14ac:dyDescent="0.2">
      <c r="A2020">
        <f>SUBTOTAL(3,$B$6:B2020)</f>
        <v>0</v>
      </c>
    </row>
    <row r="2021" spans="1:1" x14ac:dyDescent="0.2">
      <c r="A2021">
        <f>SUBTOTAL(3,$B$6:B2021)</f>
        <v>0</v>
      </c>
    </row>
    <row r="2022" spans="1:1" x14ac:dyDescent="0.2">
      <c r="A2022">
        <f>SUBTOTAL(3,$B$6:B2022)</f>
        <v>0</v>
      </c>
    </row>
    <row r="2023" spans="1:1" x14ac:dyDescent="0.2">
      <c r="A2023">
        <f>SUBTOTAL(3,$B$6:B2023)</f>
        <v>0</v>
      </c>
    </row>
    <row r="2024" spans="1:1" x14ac:dyDescent="0.2">
      <c r="A2024">
        <f>SUBTOTAL(3,$B$6:B2024)</f>
        <v>0</v>
      </c>
    </row>
    <row r="2025" spans="1:1" x14ac:dyDescent="0.2">
      <c r="A2025">
        <f>SUBTOTAL(3,$B$6:B2025)</f>
        <v>0</v>
      </c>
    </row>
    <row r="2026" spans="1:1" x14ac:dyDescent="0.2">
      <c r="A2026">
        <f>SUBTOTAL(3,$B$6:B2026)</f>
        <v>0</v>
      </c>
    </row>
    <row r="2027" spans="1:1" x14ac:dyDescent="0.2">
      <c r="A2027">
        <f>SUBTOTAL(3,$B$6:B2027)</f>
        <v>0</v>
      </c>
    </row>
    <row r="2028" spans="1:1" x14ac:dyDescent="0.2">
      <c r="A2028">
        <f>SUBTOTAL(3,$B$6:B2028)</f>
        <v>0</v>
      </c>
    </row>
    <row r="2029" spans="1:1" x14ac:dyDescent="0.2">
      <c r="A2029">
        <f>SUBTOTAL(3,$B$6:B2029)</f>
        <v>0</v>
      </c>
    </row>
    <row r="2030" spans="1:1" x14ac:dyDescent="0.2">
      <c r="A2030">
        <f>SUBTOTAL(3,$B$6:B2030)</f>
        <v>0</v>
      </c>
    </row>
    <row r="2031" spans="1:1" x14ac:dyDescent="0.2">
      <c r="A2031">
        <f>SUBTOTAL(3,$B$6:B2031)</f>
        <v>0</v>
      </c>
    </row>
    <row r="2032" spans="1:1" x14ac:dyDescent="0.2">
      <c r="A2032">
        <f>SUBTOTAL(3,$B$6:B2032)</f>
        <v>0</v>
      </c>
    </row>
    <row r="2033" spans="1:1" x14ac:dyDescent="0.2">
      <c r="A2033">
        <f>SUBTOTAL(3,$B$6:B2033)</f>
        <v>0</v>
      </c>
    </row>
    <row r="2034" spans="1:1" x14ac:dyDescent="0.2">
      <c r="A2034">
        <f>SUBTOTAL(3,$B$6:B2034)</f>
        <v>0</v>
      </c>
    </row>
    <row r="2035" spans="1:1" x14ac:dyDescent="0.2">
      <c r="A2035">
        <f>SUBTOTAL(3,$B$6:B2035)</f>
        <v>0</v>
      </c>
    </row>
    <row r="2036" spans="1:1" x14ac:dyDescent="0.2">
      <c r="A2036">
        <f>SUBTOTAL(3,$B$6:B2036)</f>
        <v>0</v>
      </c>
    </row>
    <row r="2037" spans="1:1" x14ac:dyDescent="0.2">
      <c r="A2037">
        <f>SUBTOTAL(3,$B$6:B2037)</f>
        <v>0</v>
      </c>
    </row>
    <row r="2038" spans="1:1" x14ac:dyDescent="0.2">
      <c r="A2038">
        <f>SUBTOTAL(3,$B$6:B2038)</f>
        <v>0</v>
      </c>
    </row>
    <row r="2039" spans="1:1" x14ac:dyDescent="0.2">
      <c r="A2039">
        <f>SUBTOTAL(3,$B$6:B2039)</f>
        <v>0</v>
      </c>
    </row>
    <row r="2040" spans="1:1" x14ac:dyDescent="0.2">
      <c r="A2040">
        <f>SUBTOTAL(3,$B$6:B2040)</f>
        <v>0</v>
      </c>
    </row>
    <row r="2041" spans="1:1" x14ac:dyDescent="0.2">
      <c r="A2041">
        <f>SUBTOTAL(3,$B$6:B2041)</f>
        <v>0</v>
      </c>
    </row>
    <row r="2042" spans="1:1" x14ac:dyDescent="0.2">
      <c r="A2042">
        <f>SUBTOTAL(3,$B$6:B2042)</f>
        <v>0</v>
      </c>
    </row>
    <row r="2043" spans="1:1" x14ac:dyDescent="0.2">
      <c r="A2043">
        <f>SUBTOTAL(3,$B$6:B2043)</f>
        <v>0</v>
      </c>
    </row>
    <row r="2044" spans="1:1" x14ac:dyDescent="0.2">
      <c r="A2044">
        <f>SUBTOTAL(3,$B$6:B2044)</f>
        <v>0</v>
      </c>
    </row>
    <row r="2045" spans="1:1" x14ac:dyDescent="0.2">
      <c r="A2045">
        <f>SUBTOTAL(3,$B$6:B2045)</f>
        <v>0</v>
      </c>
    </row>
    <row r="2046" spans="1:1" x14ac:dyDescent="0.2">
      <c r="A2046">
        <f>SUBTOTAL(3,$B$6:B2046)</f>
        <v>0</v>
      </c>
    </row>
    <row r="2047" spans="1:1" x14ac:dyDescent="0.2">
      <c r="A2047">
        <f>SUBTOTAL(3,$B$6:B2047)</f>
        <v>0</v>
      </c>
    </row>
    <row r="2048" spans="1:1" x14ac:dyDescent="0.2">
      <c r="A2048">
        <f>SUBTOTAL(3,$B$6:B2048)</f>
        <v>0</v>
      </c>
    </row>
    <row r="2049" spans="1:1" x14ac:dyDescent="0.2">
      <c r="A2049">
        <f>SUBTOTAL(3,$B$6:B2049)</f>
        <v>0</v>
      </c>
    </row>
    <row r="2050" spans="1:1" x14ac:dyDescent="0.2">
      <c r="A2050">
        <f>SUBTOTAL(3,$B$6:B2050)</f>
        <v>0</v>
      </c>
    </row>
    <row r="2051" spans="1:1" x14ac:dyDescent="0.2">
      <c r="A2051">
        <f>SUBTOTAL(3,$B$6:B2051)</f>
        <v>0</v>
      </c>
    </row>
    <row r="2052" spans="1:1" x14ac:dyDescent="0.2">
      <c r="A2052">
        <f>SUBTOTAL(3,$B$6:B2052)</f>
        <v>0</v>
      </c>
    </row>
    <row r="2053" spans="1:1" x14ac:dyDescent="0.2">
      <c r="A2053">
        <f>SUBTOTAL(3,$B$6:B2053)</f>
        <v>0</v>
      </c>
    </row>
    <row r="2054" spans="1:1" x14ac:dyDescent="0.2">
      <c r="A2054">
        <f>SUBTOTAL(3,$B$6:B2054)</f>
        <v>0</v>
      </c>
    </row>
    <row r="2055" spans="1:1" x14ac:dyDescent="0.2">
      <c r="A2055">
        <f>SUBTOTAL(3,$B$6:B2055)</f>
        <v>0</v>
      </c>
    </row>
    <row r="2056" spans="1:1" x14ac:dyDescent="0.2">
      <c r="A2056">
        <f>SUBTOTAL(3,$B$6:B2056)</f>
        <v>0</v>
      </c>
    </row>
    <row r="2057" spans="1:1" x14ac:dyDescent="0.2">
      <c r="A2057">
        <f>SUBTOTAL(3,$B$6:B2057)</f>
        <v>0</v>
      </c>
    </row>
    <row r="2058" spans="1:1" x14ac:dyDescent="0.2">
      <c r="A2058">
        <f>SUBTOTAL(3,$B$6:B2058)</f>
        <v>0</v>
      </c>
    </row>
    <row r="2059" spans="1:1" x14ac:dyDescent="0.2">
      <c r="A2059">
        <f>SUBTOTAL(3,$B$6:B2059)</f>
        <v>0</v>
      </c>
    </row>
    <row r="2060" spans="1:1" x14ac:dyDescent="0.2">
      <c r="A2060">
        <f>SUBTOTAL(3,$B$6:B2060)</f>
        <v>0</v>
      </c>
    </row>
    <row r="2061" spans="1:1" x14ac:dyDescent="0.2">
      <c r="A2061">
        <f>SUBTOTAL(3,$B$6:B2061)</f>
        <v>0</v>
      </c>
    </row>
    <row r="2062" spans="1:1" x14ac:dyDescent="0.2">
      <c r="A2062">
        <f>SUBTOTAL(3,$B$6:B2062)</f>
        <v>0</v>
      </c>
    </row>
    <row r="2063" spans="1:1" x14ac:dyDescent="0.2">
      <c r="A2063">
        <f>SUBTOTAL(3,$B$6:B2063)</f>
        <v>0</v>
      </c>
    </row>
    <row r="2064" spans="1:1" x14ac:dyDescent="0.2">
      <c r="A2064">
        <f>SUBTOTAL(3,$B$6:B2064)</f>
        <v>0</v>
      </c>
    </row>
    <row r="2065" spans="1:1" x14ac:dyDescent="0.2">
      <c r="A2065">
        <f>SUBTOTAL(3,$B$6:B2065)</f>
        <v>0</v>
      </c>
    </row>
    <row r="2066" spans="1:1" x14ac:dyDescent="0.2">
      <c r="A2066">
        <f>SUBTOTAL(3,$B$6:B2066)</f>
        <v>0</v>
      </c>
    </row>
    <row r="2067" spans="1:1" x14ac:dyDescent="0.2">
      <c r="A2067">
        <f>SUBTOTAL(3,$B$6:B2067)</f>
        <v>0</v>
      </c>
    </row>
    <row r="2068" spans="1:1" x14ac:dyDescent="0.2">
      <c r="A2068">
        <f>SUBTOTAL(3,$B$6:B2068)</f>
        <v>0</v>
      </c>
    </row>
    <row r="2069" spans="1:1" x14ac:dyDescent="0.2">
      <c r="A2069">
        <f>SUBTOTAL(3,$B$6:B2069)</f>
        <v>0</v>
      </c>
    </row>
    <row r="2070" spans="1:1" x14ac:dyDescent="0.2">
      <c r="A2070">
        <f>SUBTOTAL(3,$B$6:B2070)</f>
        <v>0</v>
      </c>
    </row>
    <row r="2071" spans="1:1" x14ac:dyDescent="0.2">
      <c r="A2071">
        <f>SUBTOTAL(3,$B$6:B2071)</f>
        <v>0</v>
      </c>
    </row>
    <row r="2072" spans="1:1" x14ac:dyDescent="0.2">
      <c r="A2072">
        <f>SUBTOTAL(3,$B$6:B2072)</f>
        <v>0</v>
      </c>
    </row>
    <row r="2073" spans="1:1" x14ac:dyDescent="0.2">
      <c r="A2073">
        <f>SUBTOTAL(3,$B$6:B2073)</f>
        <v>0</v>
      </c>
    </row>
    <row r="2074" spans="1:1" x14ac:dyDescent="0.2">
      <c r="A2074">
        <f>SUBTOTAL(3,$B$6:B2074)</f>
        <v>0</v>
      </c>
    </row>
    <row r="2075" spans="1:1" x14ac:dyDescent="0.2">
      <c r="A2075">
        <f>SUBTOTAL(3,$B$6:B2075)</f>
        <v>0</v>
      </c>
    </row>
    <row r="2076" spans="1:1" x14ac:dyDescent="0.2">
      <c r="A2076">
        <f>SUBTOTAL(3,$B$6:B2076)</f>
        <v>0</v>
      </c>
    </row>
    <row r="2077" spans="1:1" x14ac:dyDescent="0.2">
      <c r="A2077">
        <f>SUBTOTAL(3,$B$6:B2077)</f>
        <v>0</v>
      </c>
    </row>
    <row r="2078" spans="1:1" x14ac:dyDescent="0.2">
      <c r="A2078">
        <f>SUBTOTAL(3,$B$6:B2078)</f>
        <v>0</v>
      </c>
    </row>
    <row r="2079" spans="1:1" x14ac:dyDescent="0.2">
      <c r="A2079">
        <f>SUBTOTAL(3,$B$6:B2079)</f>
        <v>0</v>
      </c>
    </row>
    <row r="2080" spans="1:1" x14ac:dyDescent="0.2">
      <c r="A2080">
        <f>SUBTOTAL(3,$B$6:B2080)</f>
        <v>0</v>
      </c>
    </row>
    <row r="2081" spans="1:1" x14ac:dyDescent="0.2">
      <c r="A2081">
        <f>SUBTOTAL(3,$B$6:B2081)</f>
        <v>0</v>
      </c>
    </row>
    <row r="2082" spans="1:1" x14ac:dyDescent="0.2">
      <c r="A2082">
        <f>SUBTOTAL(3,$B$6:B2082)</f>
        <v>0</v>
      </c>
    </row>
    <row r="2083" spans="1:1" x14ac:dyDescent="0.2">
      <c r="A2083">
        <f>SUBTOTAL(3,$B$6:B2083)</f>
        <v>0</v>
      </c>
    </row>
    <row r="2084" spans="1:1" x14ac:dyDescent="0.2">
      <c r="A2084">
        <f>SUBTOTAL(3,$B$6:B2084)</f>
        <v>0</v>
      </c>
    </row>
    <row r="2085" spans="1:1" x14ac:dyDescent="0.2">
      <c r="A2085">
        <f>SUBTOTAL(3,$B$6:B2085)</f>
        <v>0</v>
      </c>
    </row>
    <row r="2086" spans="1:1" x14ac:dyDescent="0.2">
      <c r="A2086">
        <f>SUBTOTAL(3,$B$6:B2086)</f>
        <v>0</v>
      </c>
    </row>
    <row r="2087" spans="1:1" x14ac:dyDescent="0.2">
      <c r="A2087">
        <f>SUBTOTAL(3,$B$6:B2087)</f>
        <v>0</v>
      </c>
    </row>
    <row r="2088" spans="1:1" x14ac:dyDescent="0.2">
      <c r="A2088">
        <f>SUBTOTAL(3,$B$6:B2088)</f>
        <v>0</v>
      </c>
    </row>
    <row r="2089" spans="1:1" x14ac:dyDescent="0.2">
      <c r="A2089">
        <f>SUBTOTAL(3,$B$6:B2089)</f>
        <v>0</v>
      </c>
    </row>
    <row r="2090" spans="1:1" x14ac:dyDescent="0.2">
      <c r="A2090">
        <f>SUBTOTAL(3,$B$6:B2090)</f>
        <v>0</v>
      </c>
    </row>
    <row r="2091" spans="1:1" x14ac:dyDescent="0.2">
      <c r="A2091">
        <f>SUBTOTAL(3,$B$6:B2091)</f>
        <v>0</v>
      </c>
    </row>
    <row r="2092" spans="1:1" x14ac:dyDescent="0.2">
      <c r="A2092">
        <f>SUBTOTAL(3,$B$6:B2092)</f>
        <v>0</v>
      </c>
    </row>
    <row r="2093" spans="1:1" x14ac:dyDescent="0.2">
      <c r="A2093">
        <f>SUBTOTAL(3,$B$6:B2093)</f>
        <v>0</v>
      </c>
    </row>
    <row r="2094" spans="1:1" x14ac:dyDescent="0.2">
      <c r="A2094">
        <f>SUBTOTAL(3,$B$6:B2094)</f>
        <v>0</v>
      </c>
    </row>
    <row r="2095" spans="1:1" x14ac:dyDescent="0.2">
      <c r="A2095">
        <f>SUBTOTAL(3,$B$6:B2095)</f>
        <v>0</v>
      </c>
    </row>
    <row r="2096" spans="1:1" x14ac:dyDescent="0.2">
      <c r="A2096">
        <f>SUBTOTAL(3,$B$6:B2096)</f>
        <v>0</v>
      </c>
    </row>
    <row r="2097" spans="1:1" x14ac:dyDescent="0.2">
      <c r="A2097">
        <f>SUBTOTAL(3,$B$6:B2097)</f>
        <v>0</v>
      </c>
    </row>
    <row r="2098" spans="1:1" x14ac:dyDescent="0.2">
      <c r="A2098">
        <f>SUBTOTAL(3,$B$6:B2098)</f>
        <v>0</v>
      </c>
    </row>
    <row r="2099" spans="1:1" x14ac:dyDescent="0.2">
      <c r="A2099">
        <f>SUBTOTAL(3,$B$6:B2099)</f>
        <v>0</v>
      </c>
    </row>
    <row r="2100" spans="1:1" x14ac:dyDescent="0.2">
      <c r="A2100">
        <f>SUBTOTAL(3,$B$6:B2100)</f>
        <v>0</v>
      </c>
    </row>
    <row r="2101" spans="1:1" x14ac:dyDescent="0.2">
      <c r="A2101">
        <f>SUBTOTAL(3,$B$6:B2101)</f>
        <v>0</v>
      </c>
    </row>
    <row r="2102" spans="1:1" x14ac:dyDescent="0.2">
      <c r="A2102">
        <f>SUBTOTAL(3,$B$6:B2102)</f>
        <v>0</v>
      </c>
    </row>
    <row r="2103" spans="1:1" x14ac:dyDescent="0.2">
      <c r="A2103">
        <f>SUBTOTAL(3,$B$6:B2103)</f>
        <v>0</v>
      </c>
    </row>
    <row r="2104" spans="1:1" x14ac:dyDescent="0.2">
      <c r="A2104">
        <f>SUBTOTAL(3,$B$6:B2104)</f>
        <v>0</v>
      </c>
    </row>
    <row r="2105" spans="1:1" x14ac:dyDescent="0.2">
      <c r="A2105">
        <f>SUBTOTAL(3,$B$6:B2105)</f>
        <v>0</v>
      </c>
    </row>
    <row r="2106" spans="1:1" x14ac:dyDescent="0.2">
      <c r="A2106">
        <f>SUBTOTAL(3,$B$6:B2106)</f>
        <v>0</v>
      </c>
    </row>
    <row r="2107" spans="1:1" x14ac:dyDescent="0.2">
      <c r="A2107">
        <f>SUBTOTAL(3,$B$6:B2107)</f>
        <v>0</v>
      </c>
    </row>
    <row r="2108" spans="1:1" x14ac:dyDescent="0.2">
      <c r="A2108">
        <f>SUBTOTAL(3,$B$6:B2108)</f>
        <v>0</v>
      </c>
    </row>
    <row r="2109" spans="1:1" x14ac:dyDescent="0.2">
      <c r="A2109">
        <f>SUBTOTAL(3,$B$6:B2109)</f>
        <v>0</v>
      </c>
    </row>
    <row r="2110" spans="1:1" x14ac:dyDescent="0.2">
      <c r="A2110">
        <f>SUBTOTAL(3,$B$6:B2110)</f>
        <v>0</v>
      </c>
    </row>
    <row r="2111" spans="1:1" x14ac:dyDescent="0.2">
      <c r="A2111">
        <f>SUBTOTAL(3,$B$6:B2111)</f>
        <v>0</v>
      </c>
    </row>
    <row r="2112" spans="1:1" x14ac:dyDescent="0.2">
      <c r="A2112">
        <f>SUBTOTAL(3,$B$6:B2112)</f>
        <v>0</v>
      </c>
    </row>
    <row r="2113" spans="1:1" x14ac:dyDescent="0.2">
      <c r="A2113">
        <f>SUBTOTAL(3,$B$6:B2113)</f>
        <v>0</v>
      </c>
    </row>
    <row r="2114" spans="1:1" x14ac:dyDescent="0.2">
      <c r="A2114">
        <f>SUBTOTAL(3,$B$6:B2114)</f>
        <v>0</v>
      </c>
    </row>
    <row r="2115" spans="1:1" x14ac:dyDescent="0.2">
      <c r="A2115">
        <f>SUBTOTAL(3,$B$6:B2115)</f>
        <v>0</v>
      </c>
    </row>
    <row r="2116" spans="1:1" x14ac:dyDescent="0.2">
      <c r="A2116">
        <f>SUBTOTAL(3,$B$6:B2116)</f>
        <v>0</v>
      </c>
    </row>
    <row r="2117" spans="1:1" x14ac:dyDescent="0.2">
      <c r="A2117">
        <f>SUBTOTAL(3,$B$6:B2117)</f>
        <v>0</v>
      </c>
    </row>
    <row r="2118" spans="1:1" x14ac:dyDescent="0.2">
      <c r="A2118">
        <f>SUBTOTAL(3,$B$6:B2118)</f>
        <v>0</v>
      </c>
    </row>
    <row r="2119" spans="1:1" x14ac:dyDescent="0.2">
      <c r="A2119">
        <f>SUBTOTAL(3,$B$6:B2119)</f>
        <v>0</v>
      </c>
    </row>
    <row r="2120" spans="1:1" x14ac:dyDescent="0.2">
      <c r="A2120">
        <f>SUBTOTAL(3,$B$6:B2120)</f>
        <v>0</v>
      </c>
    </row>
    <row r="2121" spans="1:1" x14ac:dyDescent="0.2">
      <c r="A2121">
        <f>SUBTOTAL(3,$B$6:B2121)</f>
        <v>0</v>
      </c>
    </row>
    <row r="2122" spans="1:1" x14ac:dyDescent="0.2">
      <c r="A2122">
        <f>SUBTOTAL(3,$B$6:B2122)</f>
        <v>0</v>
      </c>
    </row>
    <row r="2123" spans="1:1" x14ac:dyDescent="0.2">
      <c r="A2123">
        <f>SUBTOTAL(3,$B$6:B2123)</f>
        <v>0</v>
      </c>
    </row>
    <row r="2124" spans="1:1" x14ac:dyDescent="0.2">
      <c r="A2124">
        <f>SUBTOTAL(3,$B$6:B2124)</f>
        <v>0</v>
      </c>
    </row>
    <row r="2125" spans="1:1" x14ac:dyDescent="0.2">
      <c r="A2125">
        <f>SUBTOTAL(3,$B$6:B2125)</f>
        <v>0</v>
      </c>
    </row>
    <row r="2126" spans="1:1" x14ac:dyDescent="0.2">
      <c r="A2126">
        <f>SUBTOTAL(3,$B$6:B2126)</f>
        <v>0</v>
      </c>
    </row>
    <row r="2127" spans="1:1" x14ac:dyDescent="0.2">
      <c r="A2127">
        <f>SUBTOTAL(3,$B$6:B2127)</f>
        <v>0</v>
      </c>
    </row>
    <row r="2128" spans="1:1" x14ac:dyDescent="0.2">
      <c r="A2128">
        <f>SUBTOTAL(3,$B$6:B2128)</f>
        <v>0</v>
      </c>
    </row>
    <row r="2129" spans="1:1" x14ac:dyDescent="0.2">
      <c r="A2129">
        <f>SUBTOTAL(3,$B$6:B2129)</f>
        <v>0</v>
      </c>
    </row>
    <row r="2130" spans="1:1" x14ac:dyDescent="0.2">
      <c r="A2130">
        <f>SUBTOTAL(3,$B$6:B2130)</f>
        <v>0</v>
      </c>
    </row>
    <row r="2131" spans="1:1" x14ac:dyDescent="0.2">
      <c r="A2131">
        <f>SUBTOTAL(3,$B$6:B2131)</f>
        <v>0</v>
      </c>
    </row>
    <row r="2132" spans="1:1" x14ac:dyDescent="0.2">
      <c r="A2132">
        <f>SUBTOTAL(3,$B$6:B2132)</f>
        <v>0</v>
      </c>
    </row>
    <row r="2133" spans="1:1" x14ac:dyDescent="0.2">
      <c r="A2133">
        <f>SUBTOTAL(3,$B$6:B2133)</f>
        <v>0</v>
      </c>
    </row>
    <row r="2134" spans="1:1" x14ac:dyDescent="0.2">
      <c r="A2134">
        <f>SUBTOTAL(3,$B$6:B2134)</f>
        <v>0</v>
      </c>
    </row>
    <row r="2135" spans="1:1" x14ac:dyDescent="0.2">
      <c r="A2135">
        <f>SUBTOTAL(3,$B$6:B2135)</f>
        <v>0</v>
      </c>
    </row>
    <row r="2136" spans="1:1" x14ac:dyDescent="0.2">
      <c r="A2136">
        <f>SUBTOTAL(3,$B$6:B2136)</f>
        <v>0</v>
      </c>
    </row>
    <row r="2137" spans="1:1" x14ac:dyDescent="0.2">
      <c r="A2137">
        <f>SUBTOTAL(3,$B$6:B2137)</f>
        <v>0</v>
      </c>
    </row>
    <row r="2138" spans="1:1" x14ac:dyDescent="0.2">
      <c r="A2138">
        <f>SUBTOTAL(3,$B$6:B2138)</f>
        <v>0</v>
      </c>
    </row>
    <row r="2139" spans="1:1" x14ac:dyDescent="0.2">
      <c r="A2139">
        <f>SUBTOTAL(3,$B$6:B2139)</f>
        <v>0</v>
      </c>
    </row>
    <row r="2140" spans="1:1" x14ac:dyDescent="0.2">
      <c r="A2140">
        <f>SUBTOTAL(3,$B$6:B2140)</f>
        <v>0</v>
      </c>
    </row>
    <row r="2141" spans="1:1" x14ac:dyDescent="0.2">
      <c r="A2141">
        <f>SUBTOTAL(3,$B$6:B2141)</f>
        <v>0</v>
      </c>
    </row>
    <row r="2142" spans="1:1" x14ac:dyDescent="0.2">
      <c r="A2142">
        <f>SUBTOTAL(3,$B$6:B2142)</f>
        <v>0</v>
      </c>
    </row>
    <row r="2143" spans="1:1" x14ac:dyDescent="0.2">
      <c r="A2143">
        <f>SUBTOTAL(3,$B$6:B2143)</f>
        <v>0</v>
      </c>
    </row>
    <row r="2144" spans="1:1" x14ac:dyDescent="0.2">
      <c r="A2144">
        <f>SUBTOTAL(3,$B$6:B2144)</f>
        <v>0</v>
      </c>
    </row>
    <row r="2145" spans="1:1" x14ac:dyDescent="0.2">
      <c r="A2145">
        <f>SUBTOTAL(3,$B$6:B2145)</f>
        <v>0</v>
      </c>
    </row>
    <row r="2146" spans="1:1" x14ac:dyDescent="0.2">
      <c r="A2146">
        <f>SUBTOTAL(3,$B$6:B2146)</f>
        <v>0</v>
      </c>
    </row>
    <row r="2147" spans="1:1" x14ac:dyDescent="0.2">
      <c r="A2147">
        <f>SUBTOTAL(3,$B$6:B2147)</f>
        <v>0</v>
      </c>
    </row>
    <row r="2148" spans="1:1" x14ac:dyDescent="0.2">
      <c r="A2148">
        <f>SUBTOTAL(3,$B$6:B2148)</f>
        <v>0</v>
      </c>
    </row>
    <row r="2149" spans="1:1" x14ac:dyDescent="0.2">
      <c r="A2149">
        <f>SUBTOTAL(3,$B$6:B2149)</f>
        <v>0</v>
      </c>
    </row>
    <row r="2150" spans="1:1" x14ac:dyDescent="0.2">
      <c r="A2150">
        <f>SUBTOTAL(3,$B$6:B2150)</f>
        <v>0</v>
      </c>
    </row>
    <row r="2151" spans="1:1" x14ac:dyDescent="0.2">
      <c r="A2151">
        <f>SUBTOTAL(3,$B$6:B2151)</f>
        <v>0</v>
      </c>
    </row>
    <row r="2152" spans="1:1" x14ac:dyDescent="0.2">
      <c r="A2152">
        <f>SUBTOTAL(3,$B$6:B2152)</f>
        <v>0</v>
      </c>
    </row>
    <row r="2153" spans="1:1" x14ac:dyDescent="0.2">
      <c r="A2153">
        <f>SUBTOTAL(3,$B$6:B2153)</f>
        <v>0</v>
      </c>
    </row>
    <row r="2154" spans="1:1" x14ac:dyDescent="0.2">
      <c r="A2154">
        <f>SUBTOTAL(3,$B$6:B2154)</f>
        <v>0</v>
      </c>
    </row>
    <row r="2155" spans="1:1" x14ac:dyDescent="0.2">
      <c r="A2155">
        <f>SUBTOTAL(3,$B$6:B2155)</f>
        <v>0</v>
      </c>
    </row>
    <row r="2156" spans="1:1" x14ac:dyDescent="0.2">
      <c r="A2156">
        <f>SUBTOTAL(3,$B$6:B2156)</f>
        <v>0</v>
      </c>
    </row>
    <row r="2157" spans="1:1" x14ac:dyDescent="0.2">
      <c r="A2157">
        <f>SUBTOTAL(3,$B$6:B2157)</f>
        <v>0</v>
      </c>
    </row>
    <row r="2158" spans="1:1" x14ac:dyDescent="0.2">
      <c r="A2158">
        <f>SUBTOTAL(3,$B$6:B2158)</f>
        <v>0</v>
      </c>
    </row>
    <row r="2159" spans="1:1" x14ac:dyDescent="0.2">
      <c r="A2159">
        <f>SUBTOTAL(3,$B$6:B2159)</f>
        <v>0</v>
      </c>
    </row>
    <row r="2160" spans="1:1" x14ac:dyDescent="0.2">
      <c r="A2160">
        <f>SUBTOTAL(3,$B$6:B2160)</f>
        <v>0</v>
      </c>
    </row>
    <row r="2161" spans="1:1" x14ac:dyDescent="0.2">
      <c r="A2161">
        <f>SUBTOTAL(3,$B$6:B2161)</f>
        <v>0</v>
      </c>
    </row>
    <row r="2162" spans="1:1" x14ac:dyDescent="0.2">
      <c r="A2162">
        <f>SUBTOTAL(3,$B$6:B2162)</f>
        <v>0</v>
      </c>
    </row>
    <row r="2163" spans="1:1" x14ac:dyDescent="0.2">
      <c r="A2163">
        <f>SUBTOTAL(3,$B$6:B2163)</f>
        <v>0</v>
      </c>
    </row>
    <row r="2164" spans="1:1" x14ac:dyDescent="0.2">
      <c r="A2164">
        <f>SUBTOTAL(3,$B$6:B2164)</f>
        <v>0</v>
      </c>
    </row>
    <row r="2165" spans="1:1" x14ac:dyDescent="0.2">
      <c r="A2165">
        <f>SUBTOTAL(3,$B$6:B2165)</f>
        <v>0</v>
      </c>
    </row>
    <row r="2166" spans="1:1" x14ac:dyDescent="0.2">
      <c r="A2166">
        <f>SUBTOTAL(3,$B$6:B2166)</f>
        <v>0</v>
      </c>
    </row>
    <row r="2167" spans="1:1" x14ac:dyDescent="0.2">
      <c r="A2167">
        <f>SUBTOTAL(3,$B$6:B2167)</f>
        <v>0</v>
      </c>
    </row>
    <row r="2168" spans="1:1" x14ac:dyDescent="0.2">
      <c r="A2168">
        <f>SUBTOTAL(3,$B$6:B2168)</f>
        <v>0</v>
      </c>
    </row>
    <row r="2169" spans="1:1" x14ac:dyDescent="0.2">
      <c r="A2169">
        <f>SUBTOTAL(3,$B$6:B2169)</f>
        <v>0</v>
      </c>
    </row>
    <row r="2170" spans="1:1" x14ac:dyDescent="0.2">
      <c r="A2170">
        <f>SUBTOTAL(3,$B$6:B2170)</f>
        <v>0</v>
      </c>
    </row>
    <row r="2171" spans="1:1" x14ac:dyDescent="0.2">
      <c r="A2171">
        <f>SUBTOTAL(3,$B$6:B2171)</f>
        <v>0</v>
      </c>
    </row>
    <row r="2172" spans="1:1" x14ac:dyDescent="0.2">
      <c r="A2172">
        <f>SUBTOTAL(3,$B$6:B2172)</f>
        <v>0</v>
      </c>
    </row>
    <row r="2173" spans="1:1" x14ac:dyDescent="0.2">
      <c r="A2173">
        <f>SUBTOTAL(3,$B$6:B2173)</f>
        <v>0</v>
      </c>
    </row>
    <row r="2174" spans="1:1" x14ac:dyDescent="0.2">
      <c r="A2174">
        <f>SUBTOTAL(3,$B$6:B2174)</f>
        <v>0</v>
      </c>
    </row>
    <row r="2175" spans="1:1" x14ac:dyDescent="0.2">
      <c r="A2175">
        <f>SUBTOTAL(3,$B$6:B2175)</f>
        <v>0</v>
      </c>
    </row>
    <row r="2176" spans="1:1" x14ac:dyDescent="0.2">
      <c r="A2176">
        <f>SUBTOTAL(3,$B$6:B2176)</f>
        <v>0</v>
      </c>
    </row>
    <row r="2177" spans="1:1" x14ac:dyDescent="0.2">
      <c r="A2177">
        <f>SUBTOTAL(3,$B$6:B2177)</f>
        <v>0</v>
      </c>
    </row>
    <row r="2178" spans="1:1" x14ac:dyDescent="0.2">
      <c r="A2178">
        <f>SUBTOTAL(3,$B$6:B2178)</f>
        <v>0</v>
      </c>
    </row>
    <row r="2179" spans="1:1" x14ac:dyDescent="0.2">
      <c r="A2179">
        <f>SUBTOTAL(3,$B$6:B2179)</f>
        <v>0</v>
      </c>
    </row>
    <row r="2180" spans="1:1" x14ac:dyDescent="0.2">
      <c r="A2180">
        <f>SUBTOTAL(3,$B$6:B2180)</f>
        <v>0</v>
      </c>
    </row>
    <row r="2181" spans="1:1" x14ac:dyDescent="0.2">
      <c r="A2181">
        <f>SUBTOTAL(3,$B$6:B2181)</f>
        <v>0</v>
      </c>
    </row>
    <row r="2182" spans="1:1" x14ac:dyDescent="0.2">
      <c r="A2182">
        <f>SUBTOTAL(3,$B$6:B2182)</f>
        <v>0</v>
      </c>
    </row>
    <row r="2183" spans="1:1" x14ac:dyDescent="0.2">
      <c r="A2183">
        <f>SUBTOTAL(3,$B$6:B2183)</f>
        <v>0</v>
      </c>
    </row>
    <row r="2184" spans="1:1" x14ac:dyDescent="0.2">
      <c r="A2184">
        <f>SUBTOTAL(3,$B$6:B2184)</f>
        <v>0</v>
      </c>
    </row>
    <row r="2185" spans="1:1" x14ac:dyDescent="0.2">
      <c r="A2185">
        <f>SUBTOTAL(3,$B$6:B2185)</f>
        <v>0</v>
      </c>
    </row>
    <row r="2186" spans="1:1" x14ac:dyDescent="0.2">
      <c r="A2186">
        <f>SUBTOTAL(3,$B$6:B2186)</f>
        <v>0</v>
      </c>
    </row>
    <row r="2187" spans="1:1" x14ac:dyDescent="0.2">
      <c r="A2187">
        <f>SUBTOTAL(3,$B$6:B2187)</f>
        <v>0</v>
      </c>
    </row>
    <row r="2188" spans="1:1" x14ac:dyDescent="0.2">
      <c r="A2188">
        <f>SUBTOTAL(3,$B$6:B2188)</f>
        <v>0</v>
      </c>
    </row>
    <row r="2189" spans="1:1" x14ac:dyDescent="0.2">
      <c r="A2189">
        <f>SUBTOTAL(3,$B$6:B2189)</f>
        <v>0</v>
      </c>
    </row>
    <row r="2190" spans="1:1" x14ac:dyDescent="0.2">
      <c r="A2190">
        <f>SUBTOTAL(3,$B$6:B2190)</f>
        <v>0</v>
      </c>
    </row>
    <row r="2191" spans="1:1" x14ac:dyDescent="0.2">
      <c r="A2191">
        <f>SUBTOTAL(3,$B$6:B2191)</f>
        <v>0</v>
      </c>
    </row>
    <row r="2192" spans="1:1" x14ac:dyDescent="0.2">
      <c r="A2192">
        <f>SUBTOTAL(3,$B$6:B2192)</f>
        <v>0</v>
      </c>
    </row>
    <row r="2193" spans="1:1" x14ac:dyDescent="0.2">
      <c r="A2193">
        <f>SUBTOTAL(3,$B$6:B2193)</f>
        <v>0</v>
      </c>
    </row>
    <row r="2194" spans="1:1" x14ac:dyDescent="0.2">
      <c r="A2194">
        <f>SUBTOTAL(3,$B$6:B2194)</f>
        <v>0</v>
      </c>
    </row>
    <row r="2195" spans="1:1" x14ac:dyDescent="0.2">
      <c r="A2195">
        <f>SUBTOTAL(3,$B$6:B2195)</f>
        <v>0</v>
      </c>
    </row>
    <row r="2196" spans="1:1" x14ac:dyDescent="0.2">
      <c r="A2196">
        <f>SUBTOTAL(3,$B$6:B2196)</f>
        <v>0</v>
      </c>
    </row>
    <row r="2197" spans="1:1" x14ac:dyDescent="0.2">
      <c r="A2197">
        <f>SUBTOTAL(3,$B$6:B2197)</f>
        <v>0</v>
      </c>
    </row>
    <row r="2198" spans="1:1" x14ac:dyDescent="0.2">
      <c r="A2198">
        <f>SUBTOTAL(3,$B$6:B2198)</f>
        <v>0</v>
      </c>
    </row>
    <row r="2199" spans="1:1" x14ac:dyDescent="0.2">
      <c r="A2199">
        <f>SUBTOTAL(3,$B$6:B2199)</f>
        <v>0</v>
      </c>
    </row>
    <row r="2200" spans="1:1" x14ac:dyDescent="0.2">
      <c r="A2200">
        <f>SUBTOTAL(3,$B$6:B2200)</f>
        <v>0</v>
      </c>
    </row>
    <row r="2201" spans="1:1" x14ac:dyDescent="0.2">
      <c r="A2201">
        <f>SUBTOTAL(3,$B$6:B2201)</f>
        <v>0</v>
      </c>
    </row>
    <row r="2202" spans="1:1" x14ac:dyDescent="0.2">
      <c r="A2202">
        <f>SUBTOTAL(3,$B$6:B2202)</f>
        <v>0</v>
      </c>
    </row>
    <row r="2203" spans="1:1" x14ac:dyDescent="0.2">
      <c r="A2203">
        <f>SUBTOTAL(3,$B$6:B2203)</f>
        <v>0</v>
      </c>
    </row>
    <row r="2204" spans="1:1" x14ac:dyDescent="0.2">
      <c r="A2204">
        <f>SUBTOTAL(3,$B$6:B2204)</f>
        <v>0</v>
      </c>
    </row>
    <row r="2205" spans="1:1" x14ac:dyDescent="0.2">
      <c r="A2205">
        <f>SUBTOTAL(3,$B$6:B2205)</f>
        <v>0</v>
      </c>
    </row>
    <row r="2206" spans="1:1" x14ac:dyDescent="0.2">
      <c r="A2206">
        <f>SUBTOTAL(3,$B$6:B2206)</f>
        <v>0</v>
      </c>
    </row>
    <row r="2207" spans="1:1" x14ac:dyDescent="0.2">
      <c r="A2207">
        <f>SUBTOTAL(3,$B$6:B2207)</f>
        <v>0</v>
      </c>
    </row>
    <row r="2208" spans="1:1" x14ac:dyDescent="0.2">
      <c r="A2208">
        <f>SUBTOTAL(3,$B$6:B2208)</f>
        <v>0</v>
      </c>
    </row>
    <row r="2209" spans="1:1" x14ac:dyDescent="0.2">
      <c r="A2209">
        <f>SUBTOTAL(3,$B$6:B2209)</f>
        <v>0</v>
      </c>
    </row>
    <row r="2210" spans="1:1" x14ac:dyDescent="0.2">
      <c r="A2210">
        <f>SUBTOTAL(3,$B$6:B2210)</f>
        <v>0</v>
      </c>
    </row>
    <row r="2211" spans="1:1" x14ac:dyDescent="0.2">
      <c r="A2211">
        <f>SUBTOTAL(3,$B$6:B2211)</f>
        <v>0</v>
      </c>
    </row>
    <row r="2212" spans="1:1" x14ac:dyDescent="0.2">
      <c r="A2212">
        <f>SUBTOTAL(3,$B$6:B2212)</f>
        <v>0</v>
      </c>
    </row>
    <row r="2213" spans="1:1" x14ac:dyDescent="0.2">
      <c r="A2213">
        <f>SUBTOTAL(3,$B$6:B2213)</f>
        <v>0</v>
      </c>
    </row>
    <row r="2214" spans="1:1" x14ac:dyDescent="0.2">
      <c r="A2214">
        <f>SUBTOTAL(3,$B$6:B2214)</f>
        <v>0</v>
      </c>
    </row>
    <row r="2215" spans="1:1" x14ac:dyDescent="0.2">
      <c r="A2215">
        <f>SUBTOTAL(3,$B$6:B2215)</f>
        <v>0</v>
      </c>
    </row>
    <row r="2216" spans="1:1" x14ac:dyDescent="0.2">
      <c r="A2216">
        <f>SUBTOTAL(3,$B$6:B2216)</f>
        <v>0</v>
      </c>
    </row>
    <row r="2217" spans="1:1" x14ac:dyDescent="0.2">
      <c r="A2217">
        <f>SUBTOTAL(3,$B$6:B2217)</f>
        <v>0</v>
      </c>
    </row>
    <row r="2218" spans="1:1" x14ac:dyDescent="0.2">
      <c r="A2218">
        <f>SUBTOTAL(3,$B$6:B2218)</f>
        <v>0</v>
      </c>
    </row>
    <row r="2219" spans="1:1" x14ac:dyDescent="0.2">
      <c r="A2219">
        <f>SUBTOTAL(3,$B$6:B2219)</f>
        <v>0</v>
      </c>
    </row>
    <row r="2220" spans="1:1" x14ac:dyDescent="0.2">
      <c r="A2220">
        <f>SUBTOTAL(3,$B$6:B2220)</f>
        <v>0</v>
      </c>
    </row>
    <row r="2221" spans="1:1" x14ac:dyDescent="0.2">
      <c r="A2221">
        <f>SUBTOTAL(3,$B$6:B2221)</f>
        <v>0</v>
      </c>
    </row>
    <row r="2222" spans="1:1" x14ac:dyDescent="0.2">
      <c r="A2222">
        <f>SUBTOTAL(3,$B$6:B2222)</f>
        <v>0</v>
      </c>
    </row>
    <row r="2223" spans="1:1" x14ac:dyDescent="0.2">
      <c r="A2223">
        <f>SUBTOTAL(3,$B$6:B2223)</f>
        <v>0</v>
      </c>
    </row>
    <row r="2224" spans="1:1" x14ac:dyDescent="0.2">
      <c r="A2224">
        <f>SUBTOTAL(3,$B$6:B2224)</f>
        <v>0</v>
      </c>
    </row>
    <row r="2225" spans="1:1" x14ac:dyDescent="0.2">
      <c r="A2225">
        <f>SUBTOTAL(3,$B$6:B2225)</f>
        <v>0</v>
      </c>
    </row>
    <row r="2226" spans="1:1" x14ac:dyDescent="0.2">
      <c r="A2226">
        <f>SUBTOTAL(3,$B$6:B2226)</f>
        <v>0</v>
      </c>
    </row>
    <row r="2227" spans="1:1" x14ac:dyDescent="0.2">
      <c r="A2227">
        <f>SUBTOTAL(3,$B$6:B2227)</f>
        <v>0</v>
      </c>
    </row>
    <row r="2228" spans="1:1" x14ac:dyDescent="0.2">
      <c r="A2228">
        <f>SUBTOTAL(3,$B$6:B2228)</f>
        <v>0</v>
      </c>
    </row>
    <row r="2229" spans="1:1" x14ac:dyDescent="0.2">
      <c r="A2229">
        <f>SUBTOTAL(3,$B$6:B2229)</f>
        <v>0</v>
      </c>
    </row>
    <row r="2230" spans="1:1" x14ac:dyDescent="0.2">
      <c r="A2230">
        <f>SUBTOTAL(3,$B$6:B2230)</f>
        <v>0</v>
      </c>
    </row>
    <row r="2231" spans="1:1" x14ac:dyDescent="0.2">
      <c r="A2231">
        <f>SUBTOTAL(3,$B$6:B2231)</f>
        <v>0</v>
      </c>
    </row>
    <row r="2232" spans="1:1" x14ac:dyDescent="0.2">
      <c r="A2232">
        <f>SUBTOTAL(3,$B$6:B2232)</f>
        <v>0</v>
      </c>
    </row>
    <row r="2233" spans="1:1" x14ac:dyDescent="0.2">
      <c r="A2233">
        <f>SUBTOTAL(3,$B$6:B2233)</f>
        <v>0</v>
      </c>
    </row>
    <row r="2234" spans="1:1" x14ac:dyDescent="0.2">
      <c r="A2234">
        <f>SUBTOTAL(3,$B$6:B2234)</f>
        <v>0</v>
      </c>
    </row>
    <row r="2235" spans="1:1" x14ac:dyDescent="0.2">
      <c r="A2235">
        <f>SUBTOTAL(3,$B$6:B2235)</f>
        <v>0</v>
      </c>
    </row>
    <row r="2236" spans="1:1" x14ac:dyDescent="0.2">
      <c r="A2236">
        <f>SUBTOTAL(3,$B$6:B2236)</f>
        <v>0</v>
      </c>
    </row>
    <row r="2237" spans="1:1" x14ac:dyDescent="0.2">
      <c r="A2237">
        <f>SUBTOTAL(3,$B$6:B2237)</f>
        <v>0</v>
      </c>
    </row>
    <row r="2238" spans="1:1" x14ac:dyDescent="0.2">
      <c r="A2238">
        <f>SUBTOTAL(3,$B$6:B2238)</f>
        <v>0</v>
      </c>
    </row>
    <row r="2239" spans="1:1" x14ac:dyDescent="0.2">
      <c r="A2239">
        <f>SUBTOTAL(3,$B$6:B2239)</f>
        <v>0</v>
      </c>
    </row>
    <row r="2240" spans="1:1" x14ac:dyDescent="0.2">
      <c r="A2240">
        <f>SUBTOTAL(3,$B$6:B2240)</f>
        <v>0</v>
      </c>
    </row>
    <row r="2241" spans="1:1" x14ac:dyDescent="0.2">
      <c r="A2241">
        <f>SUBTOTAL(3,$B$6:B2241)</f>
        <v>0</v>
      </c>
    </row>
    <row r="2242" spans="1:1" x14ac:dyDescent="0.2">
      <c r="A2242">
        <f>SUBTOTAL(3,$B$6:B2242)</f>
        <v>0</v>
      </c>
    </row>
    <row r="2243" spans="1:1" x14ac:dyDescent="0.2">
      <c r="A2243">
        <f>SUBTOTAL(3,$B$6:B2243)</f>
        <v>0</v>
      </c>
    </row>
    <row r="2244" spans="1:1" x14ac:dyDescent="0.2">
      <c r="A2244">
        <f>SUBTOTAL(3,$B$6:B2244)</f>
        <v>0</v>
      </c>
    </row>
    <row r="2245" spans="1:1" x14ac:dyDescent="0.2">
      <c r="A2245">
        <f>SUBTOTAL(3,$B$6:B2245)</f>
        <v>0</v>
      </c>
    </row>
    <row r="2246" spans="1:1" x14ac:dyDescent="0.2">
      <c r="A2246">
        <f>SUBTOTAL(3,$B$6:B2246)</f>
        <v>0</v>
      </c>
    </row>
    <row r="2247" spans="1:1" x14ac:dyDescent="0.2">
      <c r="A2247">
        <f>SUBTOTAL(3,$B$6:B2247)</f>
        <v>0</v>
      </c>
    </row>
    <row r="2248" spans="1:1" x14ac:dyDescent="0.2">
      <c r="A2248">
        <f>SUBTOTAL(3,$B$6:B2248)</f>
        <v>0</v>
      </c>
    </row>
    <row r="2249" spans="1:1" x14ac:dyDescent="0.2">
      <c r="A2249">
        <f>SUBTOTAL(3,$B$6:B2249)</f>
        <v>0</v>
      </c>
    </row>
    <row r="2250" spans="1:1" x14ac:dyDescent="0.2">
      <c r="A2250">
        <f>SUBTOTAL(3,$B$6:B2250)</f>
        <v>0</v>
      </c>
    </row>
    <row r="2251" spans="1:1" x14ac:dyDescent="0.2">
      <c r="A2251">
        <f>SUBTOTAL(3,$B$6:B2251)</f>
        <v>0</v>
      </c>
    </row>
    <row r="2252" spans="1:1" x14ac:dyDescent="0.2">
      <c r="A2252">
        <f>SUBTOTAL(3,$B$6:B2252)</f>
        <v>0</v>
      </c>
    </row>
    <row r="2253" spans="1:1" x14ac:dyDescent="0.2">
      <c r="A2253">
        <f>SUBTOTAL(3,$B$6:B2253)</f>
        <v>0</v>
      </c>
    </row>
    <row r="2254" spans="1:1" x14ac:dyDescent="0.2">
      <c r="A2254">
        <f>SUBTOTAL(3,$B$6:B2254)</f>
        <v>0</v>
      </c>
    </row>
    <row r="2255" spans="1:1" x14ac:dyDescent="0.2">
      <c r="A2255">
        <f>SUBTOTAL(3,$B$6:B2255)</f>
        <v>0</v>
      </c>
    </row>
    <row r="2256" spans="1:1" x14ac:dyDescent="0.2">
      <c r="A2256">
        <f>SUBTOTAL(3,$B$6:B2256)</f>
        <v>0</v>
      </c>
    </row>
    <row r="2257" spans="1:1" x14ac:dyDescent="0.2">
      <c r="A2257">
        <f>SUBTOTAL(3,$B$6:B2257)</f>
        <v>0</v>
      </c>
    </row>
    <row r="2258" spans="1:1" x14ac:dyDescent="0.2">
      <c r="A2258">
        <f>SUBTOTAL(3,$B$6:B2258)</f>
        <v>0</v>
      </c>
    </row>
    <row r="2259" spans="1:1" x14ac:dyDescent="0.2">
      <c r="A2259">
        <f>SUBTOTAL(3,$B$6:B2259)</f>
        <v>0</v>
      </c>
    </row>
    <row r="2260" spans="1:1" x14ac:dyDescent="0.2">
      <c r="A2260">
        <f>SUBTOTAL(3,$B$6:B2260)</f>
        <v>0</v>
      </c>
    </row>
    <row r="2261" spans="1:1" x14ac:dyDescent="0.2">
      <c r="A2261">
        <f>SUBTOTAL(3,$B$6:B2261)</f>
        <v>0</v>
      </c>
    </row>
    <row r="2262" spans="1:1" x14ac:dyDescent="0.2">
      <c r="A2262">
        <f>SUBTOTAL(3,$B$6:B2262)</f>
        <v>0</v>
      </c>
    </row>
    <row r="2263" spans="1:1" x14ac:dyDescent="0.2">
      <c r="A2263">
        <f>SUBTOTAL(3,$B$6:B2263)</f>
        <v>0</v>
      </c>
    </row>
    <row r="2264" spans="1:1" x14ac:dyDescent="0.2">
      <c r="A2264">
        <f>SUBTOTAL(3,$B$6:B2264)</f>
        <v>0</v>
      </c>
    </row>
    <row r="2265" spans="1:1" x14ac:dyDescent="0.2">
      <c r="A2265">
        <f>SUBTOTAL(3,$B$6:B2265)</f>
        <v>0</v>
      </c>
    </row>
    <row r="2266" spans="1:1" x14ac:dyDescent="0.2">
      <c r="A2266">
        <f>SUBTOTAL(3,$B$6:B2266)</f>
        <v>0</v>
      </c>
    </row>
    <row r="2267" spans="1:1" x14ac:dyDescent="0.2">
      <c r="A2267">
        <f>SUBTOTAL(3,$B$6:B2267)</f>
        <v>0</v>
      </c>
    </row>
    <row r="2268" spans="1:1" x14ac:dyDescent="0.2">
      <c r="A2268">
        <f>SUBTOTAL(3,$B$6:B2268)</f>
        <v>0</v>
      </c>
    </row>
    <row r="2269" spans="1:1" x14ac:dyDescent="0.2">
      <c r="A2269">
        <f>SUBTOTAL(3,$B$6:B2269)</f>
        <v>0</v>
      </c>
    </row>
    <row r="2270" spans="1:1" x14ac:dyDescent="0.2">
      <c r="A2270">
        <f>SUBTOTAL(3,$B$6:B2270)</f>
        <v>0</v>
      </c>
    </row>
    <row r="2271" spans="1:1" x14ac:dyDescent="0.2">
      <c r="A2271">
        <f>SUBTOTAL(3,$B$6:B2271)</f>
        <v>0</v>
      </c>
    </row>
    <row r="2272" spans="1:1" x14ac:dyDescent="0.2">
      <c r="A2272">
        <f>SUBTOTAL(3,$B$6:B2272)</f>
        <v>0</v>
      </c>
    </row>
    <row r="2273" spans="1:1" x14ac:dyDescent="0.2">
      <c r="A2273">
        <f>SUBTOTAL(3,$B$6:B2273)</f>
        <v>0</v>
      </c>
    </row>
    <row r="2274" spans="1:1" x14ac:dyDescent="0.2">
      <c r="A2274">
        <f>SUBTOTAL(3,$B$6:B2274)</f>
        <v>0</v>
      </c>
    </row>
    <row r="2275" spans="1:1" x14ac:dyDescent="0.2">
      <c r="A2275">
        <f>SUBTOTAL(3,$B$6:B2275)</f>
        <v>0</v>
      </c>
    </row>
    <row r="2276" spans="1:1" x14ac:dyDescent="0.2">
      <c r="A2276">
        <f>SUBTOTAL(3,$B$6:B2276)</f>
        <v>0</v>
      </c>
    </row>
    <row r="2277" spans="1:1" x14ac:dyDescent="0.2">
      <c r="A2277">
        <f>SUBTOTAL(3,$B$6:B2277)</f>
        <v>0</v>
      </c>
    </row>
    <row r="2278" spans="1:1" x14ac:dyDescent="0.2">
      <c r="A2278">
        <f>SUBTOTAL(3,$B$6:B2278)</f>
        <v>0</v>
      </c>
    </row>
    <row r="2279" spans="1:1" x14ac:dyDescent="0.2">
      <c r="A2279">
        <f>SUBTOTAL(3,$B$6:B2279)</f>
        <v>0</v>
      </c>
    </row>
    <row r="2280" spans="1:1" x14ac:dyDescent="0.2">
      <c r="A2280">
        <f>SUBTOTAL(3,$B$6:B2280)</f>
        <v>0</v>
      </c>
    </row>
    <row r="2281" spans="1:1" x14ac:dyDescent="0.2">
      <c r="A2281">
        <f>SUBTOTAL(3,$B$6:B2281)</f>
        <v>0</v>
      </c>
    </row>
    <row r="2282" spans="1:1" x14ac:dyDescent="0.2">
      <c r="A2282">
        <f>SUBTOTAL(3,$B$6:B2282)</f>
        <v>0</v>
      </c>
    </row>
    <row r="2283" spans="1:1" x14ac:dyDescent="0.2">
      <c r="A2283">
        <f>SUBTOTAL(3,$B$6:B2283)</f>
        <v>0</v>
      </c>
    </row>
    <row r="2284" spans="1:1" x14ac:dyDescent="0.2">
      <c r="A2284">
        <f>SUBTOTAL(3,$B$6:B2284)</f>
        <v>0</v>
      </c>
    </row>
    <row r="2285" spans="1:1" x14ac:dyDescent="0.2">
      <c r="A2285">
        <f>SUBTOTAL(3,$B$6:B2285)</f>
        <v>0</v>
      </c>
    </row>
    <row r="2286" spans="1:1" x14ac:dyDescent="0.2">
      <c r="A2286">
        <f>SUBTOTAL(3,$B$6:B2286)</f>
        <v>0</v>
      </c>
    </row>
    <row r="2287" spans="1:1" x14ac:dyDescent="0.2">
      <c r="A2287">
        <f>SUBTOTAL(3,$B$6:B2287)</f>
        <v>0</v>
      </c>
    </row>
    <row r="2288" spans="1:1" x14ac:dyDescent="0.2">
      <c r="A2288">
        <f>SUBTOTAL(3,$B$6:B2288)</f>
        <v>0</v>
      </c>
    </row>
    <row r="2289" spans="1:1" x14ac:dyDescent="0.2">
      <c r="A2289">
        <f>SUBTOTAL(3,$B$6:B2289)</f>
        <v>0</v>
      </c>
    </row>
    <row r="2290" spans="1:1" x14ac:dyDescent="0.2">
      <c r="A2290">
        <f>SUBTOTAL(3,$B$6:B2290)</f>
        <v>0</v>
      </c>
    </row>
    <row r="2291" spans="1:1" x14ac:dyDescent="0.2">
      <c r="A2291">
        <f>SUBTOTAL(3,$B$6:B2291)</f>
        <v>0</v>
      </c>
    </row>
    <row r="2292" spans="1:1" x14ac:dyDescent="0.2">
      <c r="A2292">
        <f>SUBTOTAL(3,$B$6:B2292)</f>
        <v>0</v>
      </c>
    </row>
    <row r="2293" spans="1:1" x14ac:dyDescent="0.2">
      <c r="A2293">
        <f>SUBTOTAL(3,$B$6:B2293)</f>
        <v>0</v>
      </c>
    </row>
    <row r="2294" spans="1:1" x14ac:dyDescent="0.2">
      <c r="A2294">
        <f>SUBTOTAL(3,$B$6:B2294)</f>
        <v>0</v>
      </c>
    </row>
    <row r="2295" spans="1:1" x14ac:dyDescent="0.2">
      <c r="A2295">
        <f>SUBTOTAL(3,$B$6:B2295)</f>
        <v>0</v>
      </c>
    </row>
    <row r="2296" spans="1:1" x14ac:dyDescent="0.2">
      <c r="A2296">
        <f>SUBTOTAL(3,$B$6:B2296)</f>
        <v>0</v>
      </c>
    </row>
    <row r="2297" spans="1:1" x14ac:dyDescent="0.2">
      <c r="A2297">
        <f>SUBTOTAL(3,$B$6:B2297)</f>
        <v>0</v>
      </c>
    </row>
    <row r="2298" spans="1:1" x14ac:dyDescent="0.2">
      <c r="A2298">
        <f>SUBTOTAL(3,$B$6:B2298)</f>
        <v>0</v>
      </c>
    </row>
    <row r="2299" spans="1:1" x14ac:dyDescent="0.2">
      <c r="A2299">
        <f>SUBTOTAL(3,$B$6:B2299)</f>
        <v>0</v>
      </c>
    </row>
    <row r="2300" spans="1:1" x14ac:dyDescent="0.2">
      <c r="A2300">
        <f>SUBTOTAL(3,$B$6:B2300)</f>
        <v>0</v>
      </c>
    </row>
    <row r="2301" spans="1:1" x14ac:dyDescent="0.2">
      <c r="A2301">
        <f>SUBTOTAL(3,$B$6:B2301)</f>
        <v>0</v>
      </c>
    </row>
    <row r="2302" spans="1:1" x14ac:dyDescent="0.2">
      <c r="A2302">
        <f>SUBTOTAL(3,$B$6:B2302)</f>
        <v>0</v>
      </c>
    </row>
    <row r="2303" spans="1:1" x14ac:dyDescent="0.2">
      <c r="A2303">
        <f>SUBTOTAL(3,$B$6:B2303)</f>
        <v>0</v>
      </c>
    </row>
    <row r="2304" spans="1:1" x14ac:dyDescent="0.2">
      <c r="A2304">
        <f>SUBTOTAL(3,$B$6:B2304)</f>
        <v>0</v>
      </c>
    </row>
    <row r="2305" spans="1:1" x14ac:dyDescent="0.2">
      <c r="A2305">
        <f>SUBTOTAL(3,$B$6:B2305)</f>
        <v>0</v>
      </c>
    </row>
    <row r="2306" spans="1:1" x14ac:dyDescent="0.2">
      <c r="A2306">
        <f>SUBTOTAL(3,$B$6:B2306)</f>
        <v>0</v>
      </c>
    </row>
    <row r="2307" spans="1:1" x14ac:dyDescent="0.2">
      <c r="A2307">
        <f>SUBTOTAL(3,$B$6:B2307)</f>
        <v>0</v>
      </c>
    </row>
    <row r="2308" spans="1:1" x14ac:dyDescent="0.2">
      <c r="A2308">
        <f>SUBTOTAL(3,$B$6:B2308)</f>
        <v>0</v>
      </c>
    </row>
    <row r="2309" spans="1:1" x14ac:dyDescent="0.2">
      <c r="A2309">
        <f>SUBTOTAL(3,$B$6:B2309)</f>
        <v>0</v>
      </c>
    </row>
    <row r="2310" spans="1:1" x14ac:dyDescent="0.2">
      <c r="A2310">
        <f>SUBTOTAL(3,$B$6:B2310)</f>
        <v>0</v>
      </c>
    </row>
    <row r="2311" spans="1:1" x14ac:dyDescent="0.2">
      <c r="A2311">
        <f>SUBTOTAL(3,$B$6:B2311)</f>
        <v>0</v>
      </c>
    </row>
    <row r="2312" spans="1:1" x14ac:dyDescent="0.2">
      <c r="A2312">
        <f>SUBTOTAL(3,$B$6:B2312)</f>
        <v>0</v>
      </c>
    </row>
    <row r="2313" spans="1:1" x14ac:dyDescent="0.2">
      <c r="A2313">
        <f>SUBTOTAL(3,$B$6:B2313)</f>
        <v>0</v>
      </c>
    </row>
    <row r="2314" spans="1:1" x14ac:dyDescent="0.2">
      <c r="A2314">
        <f>SUBTOTAL(3,$B$6:B2314)</f>
        <v>0</v>
      </c>
    </row>
    <row r="2315" spans="1:1" x14ac:dyDescent="0.2">
      <c r="A2315">
        <f>SUBTOTAL(3,$B$6:B2315)</f>
        <v>0</v>
      </c>
    </row>
    <row r="2316" spans="1:1" x14ac:dyDescent="0.2">
      <c r="A2316">
        <f>SUBTOTAL(3,$B$6:B2316)</f>
        <v>0</v>
      </c>
    </row>
    <row r="2317" spans="1:1" x14ac:dyDescent="0.2">
      <c r="A2317">
        <f>SUBTOTAL(3,$B$6:B2317)</f>
        <v>0</v>
      </c>
    </row>
    <row r="2318" spans="1:1" x14ac:dyDescent="0.2">
      <c r="A2318">
        <f>SUBTOTAL(3,$B$6:B2318)</f>
        <v>0</v>
      </c>
    </row>
    <row r="2319" spans="1:1" x14ac:dyDescent="0.2">
      <c r="A2319">
        <f>SUBTOTAL(3,$B$6:B2319)</f>
        <v>0</v>
      </c>
    </row>
    <row r="2320" spans="1:1" x14ac:dyDescent="0.2">
      <c r="A2320">
        <f>SUBTOTAL(3,$B$6:B2320)</f>
        <v>0</v>
      </c>
    </row>
    <row r="2321" spans="1:1" x14ac:dyDescent="0.2">
      <c r="A2321">
        <f>SUBTOTAL(3,$B$6:B2321)</f>
        <v>0</v>
      </c>
    </row>
    <row r="2322" spans="1:1" x14ac:dyDescent="0.2">
      <c r="A2322">
        <f>SUBTOTAL(3,$B$6:B2322)</f>
        <v>0</v>
      </c>
    </row>
    <row r="2323" spans="1:1" x14ac:dyDescent="0.2">
      <c r="A2323">
        <f>SUBTOTAL(3,$B$6:B2323)</f>
        <v>0</v>
      </c>
    </row>
    <row r="2324" spans="1:1" x14ac:dyDescent="0.2">
      <c r="A2324">
        <f>SUBTOTAL(3,$B$6:B2324)</f>
        <v>0</v>
      </c>
    </row>
    <row r="2325" spans="1:1" x14ac:dyDescent="0.2">
      <c r="A2325">
        <f>SUBTOTAL(3,$B$6:B2325)</f>
        <v>0</v>
      </c>
    </row>
    <row r="2326" spans="1:1" x14ac:dyDescent="0.2">
      <c r="A2326">
        <f>SUBTOTAL(3,$B$6:B2326)</f>
        <v>0</v>
      </c>
    </row>
    <row r="2327" spans="1:1" x14ac:dyDescent="0.2">
      <c r="A2327">
        <f>SUBTOTAL(3,$B$6:B2327)</f>
        <v>0</v>
      </c>
    </row>
    <row r="2328" spans="1:1" x14ac:dyDescent="0.2">
      <c r="A2328">
        <f>SUBTOTAL(3,$B$6:B2328)</f>
        <v>0</v>
      </c>
    </row>
    <row r="2329" spans="1:1" x14ac:dyDescent="0.2">
      <c r="A2329">
        <f>SUBTOTAL(3,$B$6:B2329)</f>
        <v>0</v>
      </c>
    </row>
    <row r="2330" spans="1:1" x14ac:dyDescent="0.2">
      <c r="A2330">
        <f>SUBTOTAL(3,$B$6:B2330)</f>
        <v>0</v>
      </c>
    </row>
    <row r="2331" spans="1:1" x14ac:dyDescent="0.2">
      <c r="A2331">
        <f>SUBTOTAL(3,$B$6:B2331)</f>
        <v>0</v>
      </c>
    </row>
    <row r="2332" spans="1:1" x14ac:dyDescent="0.2">
      <c r="A2332">
        <f>SUBTOTAL(3,$B$6:B2332)</f>
        <v>0</v>
      </c>
    </row>
    <row r="2333" spans="1:1" x14ac:dyDescent="0.2">
      <c r="A2333">
        <f>SUBTOTAL(3,$B$6:B2333)</f>
        <v>0</v>
      </c>
    </row>
    <row r="2334" spans="1:1" x14ac:dyDescent="0.2">
      <c r="A2334">
        <f>SUBTOTAL(3,$B$6:B2334)</f>
        <v>0</v>
      </c>
    </row>
    <row r="2335" spans="1:1" x14ac:dyDescent="0.2">
      <c r="A2335">
        <f>SUBTOTAL(3,$B$6:B2335)</f>
        <v>0</v>
      </c>
    </row>
    <row r="2336" spans="1:1" x14ac:dyDescent="0.2">
      <c r="A2336">
        <f>SUBTOTAL(3,$B$6:B2336)</f>
        <v>0</v>
      </c>
    </row>
    <row r="2337" spans="1:1" x14ac:dyDescent="0.2">
      <c r="A2337">
        <f>SUBTOTAL(3,$B$6:B2337)</f>
        <v>0</v>
      </c>
    </row>
    <row r="2338" spans="1:1" x14ac:dyDescent="0.2">
      <c r="A2338">
        <f>SUBTOTAL(3,$B$6:B2338)</f>
        <v>0</v>
      </c>
    </row>
    <row r="2339" spans="1:1" x14ac:dyDescent="0.2">
      <c r="A2339">
        <f>SUBTOTAL(3,$B$6:B2339)</f>
        <v>0</v>
      </c>
    </row>
    <row r="2340" spans="1:1" x14ac:dyDescent="0.2">
      <c r="A2340">
        <f>SUBTOTAL(3,$B$6:B2340)</f>
        <v>0</v>
      </c>
    </row>
    <row r="2341" spans="1:1" x14ac:dyDescent="0.2">
      <c r="A2341">
        <f>SUBTOTAL(3,$B$6:B2341)</f>
        <v>0</v>
      </c>
    </row>
    <row r="2342" spans="1:1" x14ac:dyDescent="0.2">
      <c r="A2342">
        <f>SUBTOTAL(3,$B$6:B2342)</f>
        <v>0</v>
      </c>
    </row>
    <row r="2343" spans="1:1" x14ac:dyDescent="0.2">
      <c r="A2343">
        <f>SUBTOTAL(3,$B$6:B2343)</f>
        <v>0</v>
      </c>
    </row>
    <row r="2344" spans="1:1" x14ac:dyDescent="0.2">
      <c r="A2344">
        <f>SUBTOTAL(3,$B$6:B2344)</f>
        <v>0</v>
      </c>
    </row>
    <row r="2345" spans="1:1" x14ac:dyDescent="0.2">
      <c r="A2345">
        <f>SUBTOTAL(3,$B$6:B2345)</f>
        <v>0</v>
      </c>
    </row>
    <row r="2346" spans="1:1" x14ac:dyDescent="0.2">
      <c r="A2346">
        <f>SUBTOTAL(3,$B$6:B2346)</f>
        <v>0</v>
      </c>
    </row>
    <row r="2347" spans="1:1" x14ac:dyDescent="0.2">
      <c r="A2347">
        <f>SUBTOTAL(3,$B$6:B2347)</f>
        <v>0</v>
      </c>
    </row>
    <row r="2348" spans="1:1" x14ac:dyDescent="0.2">
      <c r="A2348">
        <f>SUBTOTAL(3,$B$6:B2348)</f>
        <v>0</v>
      </c>
    </row>
    <row r="2349" spans="1:1" x14ac:dyDescent="0.2">
      <c r="A2349">
        <f>SUBTOTAL(3,$B$6:B2349)</f>
        <v>0</v>
      </c>
    </row>
    <row r="2350" spans="1:1" x14ac:dyDescent="0.2">
      <c r="A2350">
        <f>SUBTOTAL(3,$B$6:B2350)</f>
        <v>0</v>
      </c>
    </row>
    <row r="2351" spans="1:1" x14ac:dyDescent="0.2">
      <c r="A2351">
        <f>SUBTOTAL(3,$B$6:B2351)</f>
        <v>0</v>
      </c>
    </row>
    <row r="2352" spans="1:1" x14ac:dyDescent="0.2">
      <c r="A2352">
        <f>SUBTOTAL(3,$B$6:B2352)</f>
        <v>0</v>
      </c>
    </row>
    <row r="2353" spans="1:1" x14ac:dyDescent="0.2">
      <c r="A2353">
        <f>SUBTOTAL(3,$B$6:B2353)</f>
        <v>0</v>
      </c>
    </row>
    <row r="2354" spans="1:1" x14ac:dyDescent="0.2">
      <c r="A2354">
        <f>SUBTOTAL(3,$B$6:B2354)</f>
        <v>0</v>
      </c>
    </row>
    <row r="2355" spans="1:1" x14ac:dyDescent="0.2">
      <c r="A2355">
        <f>SUBTOTAL(3,$B$6:B2355)</f>
        <v>0</v>
      </c>
    </row>
    <row r="2356" spans="1:1" x14ac:dyDescent="0.2">
      <c r="A2356">
        <f>SUBTOTAL(3,$B$6:B2356)</f>
        <v>0</v>
      </c>
    </row>
    <row r="2357" spans="1:1" x14ac:dyDescent="0.2">
      <c r="A2357">
        <f>SUBTOTAL(3,$B$6:B2357)</f>
        <v>0</v>
      </c>
    </row>
    <row r="2358" spans="1:1" x14ac:dyDescent="0.2">
      <c r="A2358">
        <f>SUBTOTAL(3,$B$6:B2358)</f>
        <v>0</v>
      </c>
    </row>
    <row r="2359" spans="1:1" x14ac:dyDescent="0.2">
      <c r="A2359">
        <f>SUBTOTAL(3,$B$6:B2359)</f>
        <v>0</v>
      </c>
    </row>
    <row r="2360" spans="1:1" x14ac:dyDescent="0.2">
      <c r="A2360">
        <f>SUBTOTAL(3,$B$6:B2360)</f>
        <v>0</v>
      </c>
    </row>
    <row r="2361" spans="1:1" x14ac:dyDescent="0.2">
      <c r="A2361">
        <f>SUBTOTAL(3,$B$6:B2361)</f>
        <v>0</v>
      </c>
    </row>
    <row r="2362" spans="1:1" x14ac:dyDescent="0.2">
      <c r="A2362">
        <f>SUBTOTAL(3,$B$6:B2362)</f>
        <v>0</v>
      </c>
    </row>
    <row r="2363" spans="1:1" x14ac:dyDescent="0.2">
      <c r="A2363">
        <f>SUBTOTAL(3,$B$6:B2363)</f>
        <v>0</v>
      </c>
    </row>
    <row r="2364" spans="1:1" x14ac:dyDescent="0.2">
      <c r="A2364">
        <f>SUBTOTAL(3,$B$6:B2364)</f>
        <v>0</v>
      </c>
    </row>
    <row r="2365" spans="1:1" x14ac:dyDescent="0.2">
      <c r="A2365">
        <f>SUBTOTAL(3,$B$6:B2365)</f>
        <v>0</v>
      </c>
    </row>
    <row r="2366" spans="1:1" x14ac:dyDescent="0.2">
      <c r="A2366">
        <f>SUBTOTAL(3,$B$6:B2366)</f>
        <v>0</v>
      </c>
    </row>
    <row r="2367" spans="1:1" x14ac:dyDescent="0.2">
      <c r="A2367">
        <f>SUBTOTAL(3,$B$6:B2367)</f>
        <v>0</v>
      </c>
    </row>
    <row r="2368" spans="1:1" x14ac:dyDescent="0.2">
      <c r="A2368">
        <f>SUBTOTAL(3,$B$6:B2368)</f>
        <v>0</v>
      </c>
    </row>
    <row r="2369" spans="1:1" x14ac:dyDescent="0.2">
      <c r="A2369">
        <f>SUBTOTAL(3,$B$6:B2369)</f>
        <v>0</v>
      </c>
    </row>
    <row r="2370" spans="1:1" x14ac:dyDescent="0.2">
      <c r="A2370">
        <f>SUBTOTAL(3,$B$6:B2370)</f>
        <v>0</v>
      </c>
    </row>
    <row r="2371" spans="1:1" x14ac:dyDescent="0.2">
      <c r="A2371">
        <f>SUBTOTAL(3,$B$6:B2371)</f>
        <v>0</v>
      </c>
    </row>
    <row r="2372" spans="1:1" x14ac:dyDescent="0.2">
      <c r="A2372">
        <f>SUBTOTAL(3,$B$6:B2372)</f>
        <v>0</v>
      </c>
    </row>
    <row r="2373" spans="1:1" x14ac:dyDescent="0.2">
      <c r="A2373">
        <f>SUBTOTAL(3,$B$6:B2373)</f>
        <v>0</v>
      </c>
    </row>
    <row r="2374" spans="1:1" x14ac:dyDescent="0.2">
      <c r="A2374">
        <f>SUBTOTAL(3,$B$6:B2374)</f>
        <v>0</v>
      </c>
    </row>
    <row r="2375" spans="1:1" x14ac:dyDescent="0.2">
      <c r="A2375">
        <f>SUBTOTAL(3,$B$6:B2375)</f>
        <v>0</v>
      </c>
    </row>
    <row r="2376" spans="1:1" x14ac:dyDescent="0.2">
      <c r="A2376">
        <f>SUBTOTAL(3,$B$6:B2376)</f>
        <v>0</v>
      </c>
    </row>
    <row r="2377" spans="1:1" x14ac:dyDescent="0.2">
      <c r="A2377">
        <f>SUBTOTAL(3,$B$6:B2377)</f>
        <v>0</v>
      </c>
    </row>
    <row r="2378" spans="1:1" x14ac:dyDescent="0.2">
      <c r="A2378">
        <f>SUBTOTAL(3,$B$6:B2378)</f>
        <v>0</v>
      </c>
    </row>
    <row r="2379" spans="1:1" x14ac:dyDescent="0.2">
      <c r="A2379">
        <f>SUBTOTAL(3,$B$6:B2379)</f>
        <v>0</v>
      </c>
    </row>
    <row r="2380" spans="1:1" x14ac:dyDescent="0.2">
      <c r="A2380">
        <f>SUBTOTAL(3,$B$6:B2380)</f>
        <v>0</v>
      </c>
    </row>
    <row r="2381" spans="1:1" x14ac:dyDescent="0.2">
      <c r="A2381">
        <f>SUBTOTAL(3,$B$6:B2381)</f>
        <v>0</v>
      </c>
    </row>
    <row r="2382" spans="1:1" x14ac:dyDescent="0.2">
      <c r="A2382">
        <f>SUBTOTAL(3,$B$6:B2382)</f>
        <v>0</v>
      </c>
    </row>
    <row r="2383" spans="1:1" x14ac:dyDescent="0.2">
      <c r="A2383">
        <f>SUBTOTAL(3,$B$6:B2383)</f>
        <v>0</v>
      </c>
    </row>
    <row r="2384" spans="1:1" x14ac:dyDescent="0.2">
      <c r="A2384">
        <f>SUBTOTAL(3,$B$6:B2384)</f>
        <v>0</v>
      </c>
    </row>
    <row r="2385" spans="1:1" x14ac:dyDescent="0.2">
      <c r="A2385">
        <f>SUBTOTAL(3,$B$6:B2385)</f>
        <v>0</v>
      </c>
    </row>
    <row r="2386" spans="1:1" x14ac:dyDescent="0.2">
      <c r="A2386">
        <f>SUBTOTAL(3,$B$6:B2386)</f>
        <v>0</v>
      </c>
    </row>
    <row r="2387" spans="1:1" x14ac:dyDescent="0.2">
      <c r="A2387">
        <f>SUBTOTAL(3,$B$6:B2387)</f>
        <v>0</v>
      </c>
    </row>
    <row r="2388" spans="1:1" x14ac:dyDescent="0.2">
      <c r="A2388">
        <f>SUBTOTAL(3,$B$6:B2388)</f>
        <v>0</v>
      </c>
    </row>
    <row r="2389" spans="1:1" x14ac:dyDescent="0.2">
      <c r="A2389">
        <f>SUBTOTAL(3,$B$6:B2389)</f>
        <v>0</v>
      </c>
    </row>
    <row r="2390" spans="1:1" x14ac:dyDescent="0.2">
      <c r="A2390">
        <f>SUBTOTAL(3,$B$6:B2390)</f>
        <v>0</v>
      </c>
    </row>
    <row r="2391" spans="1:1" x14ac:dyDescent="0.2">
      <c r="A2391">
        <f>SUBTOTAL(3,$B$6:B2391)</f>
        <v>0</v>
      </c>
    </row>
    <row r="2392" spans="1:1" x14ac:dyDescent="0.2">
      <c r="A2392">
        <f>SUBTOTAL(3,$B$6:B2392)</f>
        <v>0</v>
      </c>
    </row>
    <row r="2393" spans="1:1" x14ac:dyDescent="0.2">
      <c r="A2393">
        <f>SUBTOTAL(3,$B$6:B2393)</f>
        <v>0</v>
      </c>
    </row>
    <row r="2394" spans="1:1" x14ac:dyDescent="0.2">
      <c r="A2394">
        <f>SUBTOTAL(3,$B$6:B2394)</f>
        <v>0</v>
      </c>
    </row>
    <row r="2395" spans="1:1" x14ac:dyDescent="0.2">
      <c r="A2395">
        <f>SUBTOTAL(3,$B$6:B2395)</f>
        <v>0</v>
      </c>
    </row>
    <row r="2396" spans="1:1" x14ac:dyDescent="0.2">
      <c r="A2396">
        <f>SUBTOTAL(3,$B$6:B2396)</f>
        <v>0</v>
      </c>
    </row>
    <row r="2397" spans="1:1" x14ac:dyDescent="0.2">
      <c r="A2397">
        <f>SUBTOTAL(3,$B$6:B2397)</f>
        <v>0</v>
      </c>
    </row>
    <row r="2398" spans="1:1" x14ac:dyDescent="0.2">
      <c r="A2398">
        <f>SUBTOTAL(3,$B$6:B2398)</f>
        <v>0</v>
      </c>
    </row>
    <row r="2399" spans="1:1" x14ac:dyDescent="0.2">
      <c r="A2399">
        <f>SUBTOTAL(3,$B$6:B2399)</f>
        <v>0</v>
      </c>
    </row>
    <row r="2400" spans="1:1" x14ac:dyDescent="0.2">
      <c r="A2400">
        <f>SUBTOTAL(3,$B$6:B2400)</f>
        <v>0</v>
      </c>
    </row>
    <row r="2401" spans="1:1" x14ac:dyDescent="0.2">
      <c r="A2401">
        <f>SUBTOTAL(3,$B$6:B2401)</f>
        <v>0</v>
      </c>
    </row>
    <row r="2402" spans="1:1" x14ac:dyDescent="0.2">
      <c r="A2402">
        <f>SUBTOTAL(3,$B$6:B2402)</f>
        <v>0</v>
      </c>
    </row>
    <row r="2403" spans="1:1" x14ac:dyDescent="0.2">
      <c r="A2403">
        <f>SUBTOTAL(3,$B$6:B2403)</f>
        <v>0</v>
      </c>
    </row>
    <row r="2404" spans="1:1" x14ac:dyDescent="0.2">
      <c r="A2404">
        <f>SUBTOTAL(3,$B$6:B2404)</f>
        <v>0</v>
      </c>
    </row>
    <row r="2405" spans="1:1" x14ac:dyDescent="0.2">
      <c r="A2405">
        <f>SUBTOTAL(3,$B$6:B2405)</f>
        <v>0</v>
      </c>
    </row>
    <row r="2406" spans="1:1" x14ac:dyDescent="0.2">
      <c r="A2406">
        <f>SUBTOTAL(3,$B$6:B2406)</f>
        <v>0</v>
      </c>
    </row>
    <row r="2407" spans="1:1" x14ac:dyDescent="0.2">
      <c r="A2407">
        <f>SUBTOTAL(3,$B$6:B2407)</f>
        <v>0</v>
      </c>
    </row>
    <row r="2408" spans="1:1" x14ac:dyDescent="0.2">
      <c r="A2408">
        <f>SUBTOTAL(3,$B$6:B2408)</f>
        <v>0</v>
      </c>
    </row>
    <row r="2409" spans="1:1" x14ac:dyDescent="0.2">
      <c r="A2409">
        <f>SUBTOTAL(3,$B$6:B2409)</f>
        <v>0</v>
      </c>
    </row>
    <row r="2410" spans="1:1" x14ac:dyDescent="0.2">
      <c r="A2410">
        <f>SUBTOTAL(3,$B$6:B2410)</f>
        <v>0</v>
      </c>
    </row>
    <row r="2411" spans="1:1" x14ac:dyDescent="0.2">
      <c r="A2411">
        <f>SUBTOTAL(3,$B$6:B2411)</f>
        <v>0</v>
      </c>
    </row>
    <row r="2412" spans="1:1" x14ac:dyDescent="0.2">
      <c r="A2412">
        <f>SUBTOTAL(3,$B$6:B2412)</f>
        <v>0</v>
      </c>
    </row>
    <row r="2413" spans="1:1" x14ac:dyDescent="0.2">
      <c r="A2413">
        <f>SUBTOTAL(3,$B$6:B2413)</f>
        <v>0</v>
      </c>
    </row>
    <row r="2414" spans="1:1" x14ac:dyDescent="0.2">
      <c r="A2414">
        <f>SUBTOTAL(3,$B$6:B2414)</f>
        <v>0</v>
      </c>
    </row>
    <row r="2415" spans="1:1" x14ac:dyDescent="0.2">
      <c r="A2415">
        <f>SUBTOTAL(3,$B$6:B2415)</f>
        <v>0</v>
      </c>
    </row>
    <row r="2416" spans="1:1" x14ac:dyDescent="0.2">
      <c r="A2416">
        <f>SUBTOTAL(3,$B$6:B2416)</f>
        <v>0</v>
      </c>
    </row>
    <row r="2417" spans="1:1" x14ac:dyDescent="0.2">
      <c r="A2417">
        <f>SUBTOTAL(3,$B$6:B2417)</f>
        <v>0</v>
      </c>
    </row>
    <row r="2418" spans="1:1" x14ac:dyDescent="0.2">
      <c r="A2418">
        <f>SUBTOTAL(3,$B$6:B2418)</f>
        <v>0</v>
      </c>
    </row>
    <row r="2419" spans="1:1" x14ac:dyDescent="0.2">
      <c r="A2419">
        <f>SUBTOTAL(3,$B$6:B2419)</f>
        <v>0</v>
      </c>
    </row>
    <row r="2420" spans="1:1" x14ac:dyDescent="0.2">
      <c r="A2420">
        <f>SUBTOTAL(3,$B$6:B2420)</f>
        <v>0</v>
      </c>
    </row>
    <row r="2421" spans="1:1" x14ac:dyDescent="0.2">
      <c r="A2421">
        <f>SUBTOTAL(3,$B$6:B2421)</f>
        <v>0</v>
      </c>
    </row>
    <row r="2422" spans="1:1" x14ac:dyDescent="0.2">
      <c r="A2422">
        <f>SUBTOTAL(3,$B$6:B2422)</f>
        <v>0</v>
      </c>
    </row>
    <row r="2423" spans="1:1" x14ac:dyDescent="0.2">
      <c r="A2423">
        <f>SUBTOTAL(3,$B$6:B2423)</f>
        <v>0</v>
      </c>
    </row>
    <row r="2424" spans="1:1" x14ac:dyDescent="0.2">
      <c r="A2424">
        <f>SUBTOTAL(3,$B$6:B2424)</f>
        <v>0</v>
      </c>
    </row>
    <row r="2425" spans="1:1" x14ac:dyDescent="0.2">
      <c r="A2425">
        <f>SUBTOTAL(3,$B$6:B2425)</f>
        <v>0</v>
      </c>
    </row>
    <row r="2426" spans="1:1" x14ac:dyDescent="0.2">
      <c r="A2426">
        <f>SUBTOTAL(3,$B$6:B2426)</f>
        <v>0</v>
      </c>
    </row>
    <row r="2427" spans="1:1" x14ac:dyDescent="0.2">
      <c r="A2427">
        <f>SUBTOTAL(3,$B$6:B2427)</f>
        <v>0</v>
      </c>
    </row>
    <row r="2428" spans="1:1" x14ac:dyDescent="0.2">
      <c r="A2428">
        <f>SUBTOTAL(3,$B$6:B2428)</f>
        <v>0</v>
      </c>
    </row>
    <row r="2429" spans="1:1" x14ac:dyDescent="0.2">
      <c r="A2429">
        <f>SUBTOTAL(3,$B$6:B2429)</f>
        <v>0</v>
      </c>
    </row>
    <row r="2430" spans="1:1" x14ac:dyDescent="0.2">
      <c r="A2430">
        <f>SUBTOTAL(3,$B$6:B2430)</f>
        <v>0</v>
      </c>
    </row>
    <row r="2431" spans="1:1" x14ac:dyDescent="0.2">
      <c r="A2431">
        <f>SUBTOTAL(3,$B$6:B2431)</f>
        <v>0</v>
      </c>
    </row>
    <row r="2432" spans="1:1" x14ac:dyDescent="0.2">
      <c r="A2432">
        <f>SUBTOTAL(3,$B$6:B2432)</f>
        <v>0</v>
      </c>
    </row>
    <row r="2433" spans="1:1" x14ac:dyDescent="0.2">
      <c r="A2433">
        <f>SUBTOTAL(3,$B$6:B2433)</f>
        <v>0</v>
      </c>
    </row>
    <row r="2434" spans="1:1" x14ac:dyDescent="0.2">
      <c r="A2434">
        <f>SUBTOTAL(3,$B$6:B2434)</f>
        <v>0</v>
      </c>
    </row>
    <row r="2435" spans="1:1" x14ac:dyDescent="0.2">
      <c r="A2435">
        <f>SUBTOTAL(3,$B$6:B2435)</f>
        <v>0</v>
      </c>
    </row>
    <row r="2436" spans="1:1" x14ac:dyDescent="0.2">
      <c r="A2436">
        <f>SUBTOTAL(3,$B$6:B2436)</f>
        <v>0</v>
      </c>
    </row>
    <row r="2437" spans="1:1" x14ac:dyDescent="0.2">
      <c r="A2437">
        <f>SUBTOTAL(3,$B$6:B2437)</f>
        <v>0</v>
      </c>
    </row>
    <row r="2438" spans="1:1" x14ac:dyDescent="0.2">
      <c r="A2438">
        <f>SUBTOTAL(3,$B$6:B2438)</f>
        <v>0</v>
      </c>
    </row>
    <row r="2439" spans="1:1" x14ac:dyDescent="0.2">
      <c r="A2439">
        <f>SUBTOTAL(3,$B$6:B2439)</f>
        <v>0</v>
      </c>
    </row>
    <row r="2440" spans="1:1" x14ac:dyDescent="0.2">
      <c r="A2440">
        <f>SUBTOTAL(3,$B$6:B2440)</f>
        <v>0</v>
      </c>
    </row>
    <row r="2441" spans="1:1" x14ac:dyDescent="0.2">
      <c r="A2441">
        <f>SUBTOTAL(3,$B$6:B2441)</f>
        <v>0</v>
      </c>
    </row>
    <row r="2442" spans="1:1" x14ac:dyDescent="0.2">
      <c r="A2442">
        <f>SUBTOTAL(3,$B$6:B2442)</f>
        <v>0</v>
      </c>
    </row>
    <row r="2443" spans="1:1" x14ac:dyDescent="0.2">
      <c r="A2443">
        <f>SUBTOTAL(3,$B$6:B2443)</f>
        <v>0</v>
      </c>
    </row>
    <row r="2444" spans="1:1" x14ac:dyDescent="0.2">
      <c r="A2444">
        <f>SUBTOTAL(3,$B$6:B2444)</f>
        <v>0</v>
      </c>
    </row>
    <row r="2445" spans="1:1" x14ac:dyDescent="0.2">
      <c r="A2445">
        <f>SUBTOTAL(3,$B$6:B2445)</f>
        <v>0</v>
      </c>
    </row>
    <row r="2446" spans="1:1" x14ac:dyDescent="0.2">
      <c r="A2446">
        <f>SUBTOTAL(3,$B$6:B2446)</f>
        <v>0</v>
      </c>
    </row>
    <row r="2447" spans="1:1" x14ac:dyDescent="0.2">
      <c r="A2447">
        <f>SUBTOTAL(3,$B$6:B2447)</f>
        <v>0</v>
      </c>
    </row>
    <row r="2448" spans="1:1" x14ac:dyDescent="0.2">
      <c r="A2448">
        <f>SUBTOTAL(3,$B$6:B2448)</f>
        <v>0</v>
      </c>
    </row>
    <row r="2449" spans="1:1" x14ac:dyDescent="0.2">
      <c r="A2449">
        <f>SUBTOTAL(3,$B$6:B2449)</f>
        <v>0</v>
      </c>
    </row>
    <row r="2450" spans="1:1" x14ac:dyDescent="0.2">
      <c r="A2450">
        <f>SUBTOTAL(3,$B$6:B2450)</f>
        <v>0</v>
      </c>
    </row>
    <row r="2451" spans="1:1" x14ac:dyDescent="0.2">
      <c r="A2451">
        <f>SUBTOTAL(3,$B$6:B2451)</f>
        <v>0</v>
      </c>
    </row>
    <row r="2452" spans="1:1" x14ac:dyDescent="0.2">
      <c r="A2452">
        <f>SUBTOTAL(3,$B$6:B2452)</f>
        <v>0</v>
      </c>
    </row>
    <row r="2453" spans="1:1" x14ac:dyDescent="0.2">
      <c r="A2453">
        <f>SUBTOTAL(3,$B$6:B2453)</f>
        <v>0</v>
      </c>
    </row>
    <row r="2454" spans="1:1" x14ac:dyDescent="0.2">
      <c r="A2454">
        <f>SUBTOTAL(3,$B$6:B2454)</f>
        <v>0</v>
      </c>
    </row>
    <row r="2455" spans="1:1" x14ac:dyDescent="0.2">
      <c r="A2455">
        <f>SUBTOTAL(3,$B$6:B2455)</f>
        <v>0</v>
      </c>
    </row>
    <row r="2456" spans="1:1" x14ac:dyDescent="0.2">
      <c r="A2456">
        <f>SUBTOTAL(3,$B$6:B2456)</f>
        <v>0</v>
      </c>
    </row>
    <row r="2457" spans="1:1" x14ac:dyDescent="0.2">
      <c r="A2457">
        <f>SUBTOTAL(3,$B$6:B2457)</f>
        <v>0</v>
      </c>
    </row>
    <row r="2458" spans="1:1" x14ac:dyDescent="0.2">
      <c r="A2458">
        <f>SUBTOTAL(3,$B$6:B2458)</f>
        <v>0</v>
      </c>
    </row>
    <row r="2459" spans="1:1" x14ac:dyDescent="0.2">
      <c r="A2459">
        <f>SUBTOTAL(3,$B$6:B2459)</f>
        <v>0</v>
      </c>
    </row>
    <row r="2460" spans="1:1" x14ac:dyDescent="0.2">
      <c r="A2460">
        <f>SUBTOTAL(3,$B$6:B2460)</f>
        <v>0</v>
      </c>
    </row>
    <row r="2461" spans="1:1" x14ac:dyDescent="0.2">
      <c r="A2461">
        <f>SUBTOTAL(3,$B$6:B2461)</f>
        <v>0</v>
      </c>
    </row>
    <row r="2462" spans="1:1" x14ac:dyDescent="0.2">
      <c r="A2462">
        <f>SUBTOTAL(3,$B$6:B2462)</f>
        <v>0</v>
      </c>
    </row>
    <row r="2463" spans="1:1" x14ac:dyDescent="0.2">
      <c r="A2463">
        <f>SUBTOTAL(3,$B$6:B2463)</f>
        <v>0</v>
      </c>
    </row>
    <row r="2464" spans="1:1" x14ac:dyDescent="0.2">
      <c r="A2464">
        <f>SUBTOTAL(3,$B$6:B2464)</f>
        <v>0</v>
      </c>
    </row>
    <row r="2465" spans="1:1" x14ac:dyDescent="0.2">
      <c r="A2465">
        <f>SUBTOTAL(3,$B$6:B2465)</f>
        <v>0</v>
      </c>
    </row>
    <row r="2466" spans="1:1" x14ac:dyDescent="0.2">
      <c r="A2466">
        <f>SUBTOTAL(3,$B$6:B2466)</f>
        <v>0</v>
      </c>
    </row>
    <row r="2467" spans="1:1" x14ac:dyDescent="0.2">
      <c r="A2467">
        <f>SUBTOTAL(3,$B$6:B2467)</f>
        <v>0</v>
      </c>
    </row>
    <row r="2468" spans="1:1" x14ac:dyDescent="0.2">
      <c r="A2468">
        <f>SUBTOTAL(3,$B$6:B2468)</f>
        <v>0</v>
      </c>
    </row>
    <row r="2469" spans="1:1" x14ac:dyDescent="0.2">
      <c r="A2469">
        <f>SUBTOTAL(3,$B$6:B2469)</f>
        <v>0</v>
      </c>
    </row>
    <row r="2470" spans="1:1" x14ac:dyDescent="0.2">
      <c r="A2470">
        <f>SUBTOTAL(3,$B$6:B2470)</f>
        <v>0</v>
      </c>
    </row>
    <row r="2471" spans="1:1" x14ac:dyDescent="0.2">
      <c r="A2471">
        <f>SUBTOTAL(3,$B$6:B2471)</f>
        <v>0</v>
      </c>
    </row>
    <row r="2472" spans="1:1" x14ac:dyDescent="0.2">
      <c r="A2472">
        <f>SUBTOTAL(3,$B$6:B2472)</f>
        <v>0</v>
      </c>
    </row>
    <row r="2473" spans="1:1" x14ac:dyDescent="0.2">
      <c r="A2473">
        <f>SUBTOTAL(3,$B$6:B2473)</f>
        <v>0</v>
      </c>
    </row>
    <row r="2474" spans="1:1" x14ac:dyDescent="0.2">
      <c r="A2474">
        <f>SUBTOTAL(3,$B$6:B2474)</f>
        <v>0</v>
      </c>
    </row>
    <row r="2475" spans="1:1" x14ac:dyDescent="0.2">
      <c r="A2475">
        <f>SUBTOTAL(3,$B$6:B2475)</f>
        <v>0</v>
      </c>
    </row>
    <row r="2476" spans="1:1" x14ac:dyDescent="0.2">
      <c r="A2476">
        <f>SUBTOTAL(3,$B$6:B2476)</f>
        <v>0</v>
      </c>
    </row>
    <row r="2477" spans="1:1" x14ac:dyDescent="0.2">
      <c r="A2477">
        <f>SUBTOTAL(3,$B$6:B2477)</f>
        <v>0</v>
      </c>
    </row>
    <row r="2478" spans="1:1" x14ac:dyDescent="0.2">
      <c r="A2478">
        <f>SUBTOTAL(3,$B$6:B2478)</f>
        <v>0</v>
      </c>
    </row>
    <row r="2479" spans="1:1" x14ac:dyDescent="0.2">
      <c r="A2479">
        <f>SUBTOTAL(3,$B$6:B2479)</f>
        <v>0</v>
      </c>
    </row>
    <row r="2480" spans="1:1" x14ac:dyDescent="0.2">
      <c r="A2480">
        <f>SUBTOTAL(3,$B$6:B2480)</f>
        <v>0</v>
      </c>
    </row>
    <row r="2481" spans="1:1" x14ac:dyDescent="0.2">
      <c r="A2481">
        <f>SUBTOTAL(3,$B$6:B2481)</f>
        <v>0</v>
      </c>
    </row>
    <row r="2482" spans="1:1" x14ac:dyDescent="0.2">
      <c r="A2482">
        <f>SUBTOTAL(3,$B$6:B2482)</f>
        <v>0</v>
      </c>
    </row>
    <row r="2483" spans="1:1" x14ac:dyDescent="0.2">
      <c r="A2483">
        <f>SUBTOTAL(3,$B$6:B2483)</f>
        <v>0</v>
      </c>
    </row>
    <row r="2484" spans="1:1" x14ac:dyDescent="0.2">
      <c r="A2484">
        <f>SUBTOTAL(3,$B$6:B2484)</f>
        <v>0</v>
      </c>
    </row>
    <row r="2485" spans="1:1" x14ac:dyDescent="0.2">
      <c r="A2485">
        <f>SUBTOTAL(3,$B$6:B2485)</f>
        <v>0</v>
      </c>
    </row>
    <row r="2486" spans="1:1" x14ac:dyDescent="0.2">
      <c r="A2486">
        <f>SUBTOTAL(3,$B$6:B2486)</f>
        <v>0</v>
      </c>
    </row>
    <row r="2487" spans="1:1" x14ac:dyDescent="0.2">
      <c r="A2487">
        <f>SUBTOTAL(3,$B$6:B2487)</f>
        <v>0</v>
      </c>
    </row>
    <row r="2488" spans="1:1" x14ac:dyDescent="0.2">
      <c r="A2488">
        <f>SUBTOTAL(3,$B$6:B2488)</f>
        <v>0</v>
      </c>
    </row>
    <row r="2489" spans="1:1" x14ac:dyDescent="0.2">
      <c r="A2489">
        <f>SUBTOTAL(3,$B$6:B2489)</f>
        <v>0</v>
      </c>
    </row>
    <row r="2490" spans="1:1" x14ac:dyDescent="0.2">
      <c r="A2490">
        <f>SUBTOTAL(3,$B$6:B2490)</f>
        <v>0</v>
      </c>
    </row>
    <row r="2491" spans="1:1" x14ac:dyDescent="0.2">
      <c r="A2491">
        <f>SUBTOTAL(3,$B$6:B2491)</f>
        <v>0</v>
      </c>
    </row>
    <row r="2492" spans="1:1" x14ac:dyDescent="0.2">
      <c r="A2492">
        <f>SUBTOTAL(3,$B$6:B2492)</f>
        <v>0</v>
      </c>
    </row>
    <row r="2493" spans="1:1" x14ac:dyDescent="0.2">
      <c r="A2493">
        <f>SUBTOTAL(3,$B$6:B2493)</f>
        <v>0</v>
      </c>
    </row>
    <row r="2494" spans="1:1" x14ac:dyDescent="0.2">
      <c r="A2494">
        <f>SUBTOTAL(3,$B$6:B2494)</f>
        <v>0</v>
      </c>
    </row>
    <row r="2495" spans="1:1" x14ac:dyDescent="0.2">
      <c r="A2495">
        <f>SUBTOTAL(3,$B$6:B2495)</f>
        <v>0</v>
      </c>
    </row>
    <row r="2496" spans="1:1" x14ac:dyDescent="0.2">
      <c r="A2496">
        <f>SUBTOTAL(3,$B$6:B2496)</f>
        <v>0</v>
      </c>
    </row>
    <row r="2497" spans="1:1" x14ac:dyDescent="0.2">
      <c r="A2497">
        <f>SUBTOTAL(3,$B$6:B2497)</f>
        <v>0</v>
      </c>
    </row>
    <row r="2498" spans="1:1" x14ac:dyDescent="0.2">
      <c r="A2498">
        <f>SUBTOTAL(3,$B$6:B2498)</f>
        <v>0</v>
      </c>
    </row>
    <row r="2499" spans="1:1" x14ac:dyDescent="0.2">
      <c r="A2499">
        <f>SUBTOTAL(3,$B$6:B2499)</f>
        <v>0</v>
      </c>
    </row>
    <row r="2500" spans="1:1" x14ac:dyDescent="0.2">
      <c r="A2500">
        <f>SUBTOTAL(3,$B$6:B2500)</f>
        <v>0</v>
      </c>
    </row>
    <row r="2501" spans="1:1" x14ac:dyDescent="0.2">
      <c r="A2501">
        <f>SUBTOTAL(3,$B$6:B2501)</f>
        <v>0</v>
      </c>
    </row>
    <row r="2502" spans="1:1" x14ac:dyDescent="0.2">
      <c r="A2502">
        <f>SUBTOTAL(3,$B$6:B2502)</f>
        <v>0</v>
      </c>
    </row>
    <row r="2503" spans="1:1" x14ac:dyDescent="0.2">
      <c r="A2503">
        <f>SUBTOTAL(3,$B$6:B2503)</f>
        <v>0</v>
      </c>
    </row>
    <row r="2504" spans="1:1" x14ac:dyDescent="0.2">
      <c r="A2504">
        <f>SUBTOTAL(3,$B$6:B2504)</f>
        <v>0</v>
      </c>
    </row>
    <row r="2505" spans="1:1" x14ac:dyDescent="0.2">
      <c r="A2505">
        <f>SUBTOTAL(3,$B$6:B2505)</f>
        <v>0</v>
      </c>
    </row>
    <row r="2506" spans="1:1" x14ac:dyDescent="0.2">
      <c r="A2506">
        <f>SUBTOTAL(3,$B$6:B2506)</f>
        <v>0</v>
      </c>
    </row>
    <row r="2507" spans="1:1" x14ac:dyDescent="0.2">
      <c r="A2507">
        <f>SUBTOTAL(3,$B$6:B2507)</f>
        <v>0</v>
      </c>
    </row>
    <row r="2508" spans="1:1" x14ac:dyDescent="0.2">
      <c r="A2508">
        <f>SUBTOTAL(3,$B$6:B2508)</f>
        <v>0</v>
      </c>
    </row>
    <row r="2509" spans="1:1" x14ac:dyDescent="0.2">
      <c r="A2509">
        <f>SUBTOTAL(3,$B$6:B2509)</f>
        <v>0</v>
      </c>
    </row>
    <row r="2510" spans="1:1" x14ac:dyDescent="0.2">
      <c r="A2510">
        <f>SUBTOTAL(3,$B$6:B2510)</f>
        <v>0</v>
      </c>
    </row>
    <row r="2511" spans="1:1" x14ac:dyDescent="0.2">
      <c r="A2511">
        <f>SUBTOTAL(3,$B$6:B2511)</f>
        <v>0</v>
      </c>
    </row>
    <row r="2512" spans="1:1" x14ac:dyDescent="0.2">
      <c r="A2512">
        <f>SUBTOTAL(3,$B$6:B2512)</f>
        <v>0</v>
      </c>
    </row>
    <row r="2513" spans="1:1" x14ac:dyDescent="0.2">
      <c r="A2513">
        <f>SUBTOTAL(3,$B$6:B2513)</f>
        <v>0</v>
      </c>
    </row>
    <row r="2514" spans="1:1" x14ac:dyDescent="0.2">
      <c r="A2514">
        <f>SUBTOTAL(3,$B$6:B2514)</f>
        <v>0</v>
      </c>
    </row>
    <row r="2515" spans="1:1" x14ac:dyDescent="0.2">
      <c r="A2515">
        <f>SUBTOTAL(3,$B$6:B2515)</f>
        <v>0</v>
      </c>
    </row>
    <row r="2516" spans="1:1" x14ac:dyDescent="0.2">
      <c r="A2516">
        <f>SUBTOTAL(3,$B$6:B2516)</f>
        <v>0</v>
      </c>
    </row>
    <row r="2517" spans="1:1" x14ac:dyDescent="0.2">
      <c r="A2517">
        <f>SUBTOTAL(3,$B$6:B2517)</f>
        <v>0</v>
      </c>
    </row>
    <row r="2518" spans="1:1" x14ac:dyDescent="0.2">
      <c r="A2518">
        <f>SUBTOTAL(3,$B$6:B2518)</f>
        <v>0</v>
      </c>
    </row>
    <row r="2519" spans="1:1" x14ac:dyDescent="0.2">
      <c r="A2519">
        <f>SUBTOTAL(3,$B$6:B2519)</f>
        <v>0</v>
      </c>
    </row>
    <row r="2520" spans="1:1" x14ac:dyDescent="0.2">
      <c r="A2520">
        <f>SUBTOTAL(3,$B$6:B2520)</f>
        <v>0</v>
      </c>
    </row>
    <row r="2521" spans="1:1" x14ac:dyDescent="0.2">
      <c r="A2521">
        <f>SUBTOTAL(3,$B$6:B2521)</f>
        <v>0</v>
      </c>
    </row>
    <row r="2522" spans="1:1" x14ac:dyDescent="0.2">
      <c r="A2522">
        <f>SUBTOTAL(3,$B$6:B2522)</f>
        <v>0</v>
      </c>
    </row>
    <row r="2523" spans="1:1" x14ac:dyDescent="0.2">
      <c r="A2523">
        <f>SUBTOTAL(3,$B$6:B2523)</f>
        <v>0</v>
      </c>
    </row>
    <row r="2524" spans="1:1" x14ac:dyDescent="0.2">
      <c r="A2524">
        <f>SUBTOTAL(3,$B$6:B2524)</f>
        <v>0</v>
      </c>
    </row>
    <row r="2525" spans="1:1" x14ac:dyDescent="0.2">
      <c r="A2525">
        <f>SUBTOTAL(3,$B$6:B2525)</f>
        <v>0</v>
      </c>
    </row>
    <row r="2526" spans="1:1" x14ac:dyDescent="0.2">
      <c r="A2526">
        <f>SUBTOTAL(3,$B$6:B2526)</f>
        <v>0</v>
      </c>
    </row>
    <row r="2527" spans="1:1" x14ac:dyDescent="0.2">
      <c r="A2527">
        <f>SUBTOTAL(3,$B$6:B2527)</f>
        <v>0</v>
      </c>
    </row>
    <row r="2528" spans="1:1" x14ac:dyDescent="0.2">
      <c r="A2528">
        <f>SUBTOTAL(3,$B$6:B2528)</f>
        <v>0</v>
      </c>
    </row>
    <row r="2529" spans="1:1" x14ac:dyDescent="0.2">
      <c r="A2529">
        <f>SUBTOTAL(3,$B$6:B2529)</f>
        <v>0</v>
      </c>
    </row>
    <row r="2530" spans="1:1" x14ac:dyDescent="0.2">
      <c r="A2530">
        <f>SUBTOTAL(3,$B$6:B2530)</f>
        <v>0</v>
      </c>
    </row>
    <row r="2531" spans="1:1" x14ac:dyDescent="0.2">
      <c r="A2531">
        <f>SUBTOTAL(3,$B$6:B2531)</f>
        <v>0</v>
      </c>
    </row>
    <row r="2532" spans="1:1" x14ac:dyDescent="0.2">
      <c r="A2532">
        <f>SUBTOTAL(3,$B$6:B2532)</f>
        <v>0</v>
      </c>
    </row>
    <row r="2533" spans="1:1" x14ac:dyDescent="0.2">
      <c r="A2533">
        <f>SUBTOTAL(3,$B$6:B2533)</f>
        <v>0</v>
      </c>
    </row>
    <row r="2534" spans="1:1" x14ac:dyDescent="0.2">
      <c r="A2534">
        <f>SUBTOTAL(3,$B$6:B2534)</f>
        <v>0</v>
      </c>
    </row>
    <row r="2535" spans="1:1" x14ac:dyDescent="0.2">
      <c r="A2535">
        <f>SUBTOTAL(3,$B$6:B2535)</f>
        <v>0</v>
      </c>
    </row>
    <row r="2536" spans="1:1" x14ac:dyDescent="0.2">
      <c r="A2536">
        <f>SUBTOTAL(3,$B$6:B2536)</f>
        <v>0</v>
      </c>
    </row>
    <row r="2537" spans="1:1" x14ac:dyDescent="0.2">
      <c r="A2537">
        <f>SUBTOTAL(3,$B$6:B2537)</f>
        <v>0</v>
      </c>
    </row>
    <row r="2538" spans="1:1" x14ac:dyDescent="0.2">
      <c r="A2538">
        <f>SUBTOTAL(3,$B$6:B2538)</f>
        <v>0</v>
      </c>
    </row>
    <row r="2539" spans="1:1" x14ac:dyDescent="0.2">
      <c r="A2539">
        <f>SUBTOTAL(3,$B$6:B2539)</f>
        <v>0</v>
      </c>
    </row>
    <row r="2540" spans="1:1" x14ac:dyDescent="0.2">
      <c r="A2540">
        <f>SUBTOTAL(3,$B$6:B2540)</f>
        <v>0</v>
      </c>
    </row>
    <row r="2541" spans="1:1" x14ac:dyDescent="0.2">
      <c r="A2541">
        <f>SUBTOTAL(3,$B$6:B2541)</f>
        <v>0</v>
      </c>
    </row>
    <row r="2542" spans="1:1" x14ac:dyDescent="0.2">
      <c r="A2542">
        <f>SUBTOTAL(3,$B$6:B2542)</f>
        <v>0</v>
      </c>
    </row>
    <row r="2543" spans="1:1" x14ac:dyDescent="0.2">
      <c r="A2543">
        <f>SUBTOTAL(3,$B$6:B2543)</f>
        <v>0</v>
      </c>
    </row>
    <row r="2544" spans="1:1" x14ac:dyDescent="0.2">
      <c r="A2544">
        <f>SUBTOTAL(3,$B$6:B2544)</f>
        <v>0</v>
      </c>
    </row>
    <row r="2545" spans="1:1" x14ac:dyDescent="0.2">
      <c r="A2545">
        <f>SUBTOTAL(3,$B$6:B2545)</f>
        <v>0</v>
      </c>
    </row>
    <row r="2546" spans="1:1" x14ac:dyDescent="0.2">
      <c r="A2546">
        <f>SUBTOTAL(3,$B$6:B2546)</f>
        <v>0</v>
      </c>
    </row>
    <row r="2547" spans="1:1" x14ac:dyDescent="0.2">
      <c r="A2547">
        <f>SUBTOTAL(3,$B$6:B2547)</f>
        <v>0</v>
      </c>
    </row>
    <row r="2548" spans="1:1" x14ac:dyDescent="0.2">
      <c r="A2548">
        <f>SUBTOTAL(3,$B$6:B2548)</f>
        <v>0</v>
      </c>
    </row>
    <row r="2549" spans="1:1" x14ac:dyDescent="0.2">
      <c r="A2549">
        <f>SUBTOTAL(3,$B$6:B2549)</f>
        <v>0</v>
      </c>
    </row>
    <row r="2550" spans="1:1" x14ac:dyDescent="0.2">
      <c r="A2550">
        <f>SUBTOTAL(3,$B$6:B2550)</f>
        <v>0</v>
      </c>
    </row>
    <row r="2551" spans="1:1" x14ac:dyDescent="0.2">
      <c r="A2551">
        <f>SUBTOTAL(3,$B$6:B2551)</f>
        <v>0</v>
      </c>
    </row>
    <row r="2552" spans="1:1" x14ac:dyDescent="0.2">
      <c r="A2552">
        <f>SUBTOTAL(3,$B$6:B2552)</f>
        <v>0</v>
      </c>
    </row>
    <row r="2553" spans="1:1" x14ac:dyDescent="0.2">
      <c r="A2553">
        <f>SUBTOTAL(3,$B$6:B2553)</f>
        <v>0</v>
      </c>
    </row>
    <row r="2554" spans="1:1" x14ac:dyDescent="0.2">
      <c r="A2554">
        <f>SUBTOTAL(3,$B$6:B2554)</f>
        <v>0</v>
      </c>
    </row>
    <row r="2555" spans="1:1" x14ac:dyDescent="0.2">
      <c r="A2555">
        <f>SUBTOTAL(3,$B$6:B2555)</f>
        <v>0</v>
      </c>
    </row>
    <row r="2556" spans="1:1" x14ac:dyDescent="0.2">
      <c r="A2556">
        <f>SUBTOTAL(3,$B$6:B2556)</f>
        <v>0</v>
      </c>
    </row>
    <row r="2557" spans="1:1" x14ac:dyDescent="0.2">
      <c r="A2557">
        <f>SUBTOTAL(3,$B$6:B2557)</f>
        <v>0</v>
      </c>
    </row>
    <row r="2558" spans="1:1" x14ac:dyDescent="0.2">
      <c r="A2558">
        <f>SUBTOTAL(3,$B$6:B2558)</f>
        <v>0</v>
      </c>
    </row>
    <row r="2559" spans="1:1" x14ac:dyDescent="0.2">
      <c r="A2559">
        <f>SUBTOTAL(3,$B$6:B2559)</f>
        <v>0</v>
      </c>
    </row>
    <row r="2560" spans="1:1" x14ac:dyDescent="0.2">
      <c r="A2560">
        <f>SUBTOTAL(3,$B$6:B2560)</f>
        <v>0</v>
      </c>
    </row>
    <row r="2561" spans="1:1" x14ac:dyDescent="0.2">
      <c r="A2561">
        <f>SUBTOTAL(3,$B$6:B2561)</f>
        <v>0</v>
      </c>
    </row>
    <row r="2562" spans="1:1" x14ac:dyDescent="0.2">
      <c r="A2562">
        <f>SUBTOTAL(3,$B$6:B2562)</f>
        <v>0</v>
      </c>
    </row>
    <row r="2563" spans="1:1" x14ac:dyDescent="0.2">
      <c r="A2563">
        <f>SUBTOTAL(3,$B$6:B2563)</f>
        <v>0</v>
      </c>
    </row>
    <row r="2564" spans="1:1" x14ac:dyDescent="0.2">
      <c r="A2564">
        <f>SUBTOTAL(3,$B$6:B2564)</f>
        <v>0</v>
      </c>
    </row>
    <row r="2565" spans="1:1" x14ac:dyDescent="0.2">
      <c r="A2565">
        <f>SUBTOTAL(3,$B$6:B2565)</f>
        <v>0</v>
      </c>
    </row>
    <row r="2566" spans="1:1" x14ac:dyDescent="0.2">
      <c r="A2566">
        <f>SUBTOTAL(3,$B$6:B2566)</f>
        <v>0</v>
      </c>
    </row>
    <row r="2567" spans="1:1" x14ac:dyDescent="0.2">
      <c r="A2567">
        <f>SUBTOTAL(3,$B$6:B2567)</f>
        <v>0</v>
      </c>
    </row>
    <row r="2568" spans="1:1" x14ac:dyDescent="0.2">
      <c r="A2568">
        <f>SUBTOTAL(3,$B$6:B2568)</f>
        <v>0</v>
      </c>
    </row>
    <row r="2569" spans="1:1" x14ac:dyDescent="0.2">
      <c r="A2569">
        <f>SUBTOTAL(3,$B$6:B2569)</f>
        <v>0</v>
      </c>
    </row>
    <row r="2570" spans="1:1" x14ac:dyDescent="0.2">
      <c r="A2570">
        <f>SUBTOTAL(3,$B$6:B2570)</f>
        <v>0</v>
      </c>
    </row>
    <row r="2571" spans="1:1" x14ac:dyDescent="0.2">
      <c r="A2571">
        <f>SUBTOTAL(3,$B$6:B2571)</f>
        <v>0</v>
      </c>
    </row>
    <row r="2572" spans="1:1" x14ac:dyDescent="0.2">
      <c r="A2572">
        <f>SUBTOTAL(3,$B$6:B2572)</f>
        <v>0</v>
      </c>
    </row>
    <row r="2573" spans="1:1" x14ac:dyDescent="0.2">
      <c r="A2573">
        <f>SUBTOTAL(3,$B$6:B2573)</f>
        <v>0</v>
      </c>
    </row>
    <row r="2574" spans="1:1" x14ac:dyDescent="0.2">
      <c r="A2574">
        <f>SUBTOTAL(3,$B$6:B2574)</f>
        <v>0</v>
      </c>
    </row>
    <row r="2575" spans="1:1" x14ac:dyDescent="0.2">
      <c r="A2575">
        <f>SUBTOTAL(3,$B$6:B2575)</f>
        <v>0</v>
      </c>
    </row>
    <row r="2576" spans="1:1" x14ac:dyDescent="0.2">
      <c r="A2576">
        <f>SUBTOTAL(3,$B$6:B2576)</f>
        <v>0</v>
      </c>
    </row>
    <row r="2577" spans="1:1" x14ac:dyDescent="0.2">
      <c r="A2577">
        <f>SUBTOTAL(3,$B$6:B2577)</f>
        <v>0</v>
      </c>
    </row>
    <row r="2578" spans="1:1" x14ac:dyDescent="0.2">
      <c r="A2578">
        <f>SUBTOTAL(3,$B$6:B2578)</f>
        <v>0</v>
      </c>
    </row>
    <row r="2579" spans="1:1" x14ac:dyDescent="0.2">
      <c r="A2579">
        <f>SUBTOTAL(3,$B$6:B2579)</f>
        <v>0</v>
      </c>
    </row>
    <row r="2580" spans="1:1" x14ac:dyDescent="0.2">
      <c r="A2580">
        <f>SUBTOTAL(3,$B$6:B2580)</f>
        <v>0</v>
      </c>
    </row>
    <row r="2581" spans="1:1" x14ac:dyDescent="0.2">
      <c r="A2581">
        <f>SUBTOTAL(3,$B$6:B2581)</f>
        <v>0</v>
      </c>
    </row>
    <row r="2582" spans="1:1" x14ac:dyDescent="0.2">
      <c r="A2582">
        <f>SUBTOTAL(3,$B$6:B2582)</f>
        <v>0</v>
      </c>
    </row>
    <row r="2583" spans="1:1" x14ac:dyDescent="0.2">
      <c r="A2583">
        <f>SUBTOTAL(3,$B$6:B2583)</f>
        <v>0</v>
      </c>
    </row>
    <row r="2584" spans="1:1" x14ac:dyDescent="0.2">
      <c r="A2584">
        <f>SUBTOTAL(3,$B$6:B2584)</f>
        <v>0</v>
      </c>
    </row>
    <row r="2585" spans="1:1" x14ac:dyDescent="0.2">
      <c r="A2585">
        <f>SUBTOTAL(3,$B$6:B2585)</f>
        <v>0</v>
      </c>
    </row>
    <row r="2586" spans="1:1" x14ac:dyDescent="0.2">
      <c r="A2586">
        <f>SUBTOTAL(3,$B$6:B2586)</f>
        <v>0</v>
      </c>
    </row>
    <row r="2587" spans="1:1" x14ac:dyDescent="0.2">
      <c r="A2587">
        <f>SUBTOTAL(3,$B$6:B2587)</f>
        <v>0</v>
      </c>
    </row>
    <row r="2588" spans="1:1" x14ac:dyDescent="0.2">
      <c r="A2588">
        <f>SUBTOTAL(3,$B$6:B2588)</f>
        <v>0</v>
      </c>
    </row>
    <row r="2589" spans="1:1" x14ac:dyDescent="0.2">
      <c r="A2589">
        <f>SUBTOTAL(3,$B$6:B2589)</f>
        <v>0</v>
      </c>
    </row>
    <row r="2590" spans="1:1" x14ac:dyDescent="0.2">
      <c r="A2590">
        <f>SUBTOTAL(3,$B$6:B2590)</f>
        <v>0</v>
      </c>
    </row>
    <row r="2591" spans="1:1" x14ac:dyDescent="0.2">
      <c r="A2591">
        <f>SUBTOTAL(3,$B$6:B2591)</f>
        <v>0</v>
      </c>
    </row>
    <row r="2592" spans="1:1" x14ac:dyDescent="0.2">
      <c r="A2592">
        <f>SUBTOTAL(3,$B$6:B2592)</f>
        <v>0</v>
      </c>
    </row>
    <row r="2593" spans="1:1" x14ac:dyDescent="0.2">
      <c r="A2593">
        <f>SUBTOTAL(3,$B$6:B2593)</f>
        <v>0</v>
      </c>
    </row>
    <row r="2594" spans="1:1" x14ac:dyDescent="0.2">
      <c r="A2594">
        <f>SUBTOTAL(3,$B$6:B2594)</f>
        <v>0</v>
      </c>
    </row>
    <row r="2595" spans="1:1" x14ac:dyDescent="0.2">
      <c r="A2595">
        <f>SUBTOTAL(3,$B$6:B2595)</f>
        <v>0</v>
      </c>
    </row>
    <row r="2596" spans="1:1" x14ac:dyDescent="0.2">
      <c r="A2596">
        <f>SUBTOTAL(3,$B$6:B2596)</f>
        <v>0</v>
      </c>
    </row>
    <row r="2597" spans="1:1" x14ac:dyDescent="0.2">
      <c r="A2597">
        <f>SUBTOTAL(3,$B$6:B2597)</f>
        <v>0</v>
      </c>
    </row>
    <row r="2598" spans="1:1" x14ac:dyDescent="0.2">
      <c r="A2598">
        <f>SUBTOTAL(3,$B$6:B2598)</f>
        <v>0</v>
      </c>
    </row>
    <row r="2599" spans="1:1" x14ac:dyDescent="0.2">
      <c r="A2599">
        <f>SUBTOTAL(3,$B$6:B2599)</f>
        <v>0</v>
      </c>
    </row>
    <row r="2600" spans="1:1" x14ac:dyDescent="0.2">
      <c r="A2600">
        <f>SUBTOTAL(3,$B$6:B2600)</f>
        <v>0</v>
      </c>
    </row>
    <row r="2601" spans="1:1" x14ac:dyDescent="0.2">
      <c r="A2601">
        <f>SUBTOTAL(3,$B$6:B2601)</f>
        <v>0</v>
      </c>
    </row>
    <row r="2602" spans="1:1" x14ac:dyDescent="0.2">
      <c r="A2602">
        <f>SUBTOTAL(3,$B$6:B2602)</f>
        <v>0</v>
      </c>
    </row>
    <row r="2603" spans="1:1" x14ac:dyDescent="0.2">
      <c r="A2603">
        <f>SUBTOTAL(3,$B$6:B2603)</f>
        <v>0</v>
      </c>
    </row>
    <row r="2604" spans="1:1" x14ac:dyDescent="0.2">
      <c r="A2604">
        <f>SUBTOTAL(3,$B$6:B2604)</f>
        <v>0</v>
      </c>
    </row>
    <row r="2605" spans="1:1" x14ac:dyDescent="0.2">
      <c r="A2605">
        <f>SUBTOTAL(3,$B$6:B2605)</f>
        <v>0</v>
      </c>
    </row>
    <row r="2606" spans="1:1" x14ac:dyDescent="0.2">
      <c r="A2606">
        <f>SUBTOTAL(3,$B$6:B2606)</f>
        <v>0</v>
      </c>
    </row>
    <row r="2607" spans="1:1" x14ac:dyDescent="0.2">
      <c r="A2607">
        <f>SUBTOTAL(3,$B$6:B2607)</f>
        <v>0</v>
      </c>
    </row>
    <row r="2608" spans="1:1" x14ac:dyDescent="0.2">
      <c r="A2608">
        <f>SUBTOTAL(3,$B$6:B2608)</f>
        <v>0</v>
      </c>
    </row>
    <row r="2609" spans="1:1" x14ac:dyDescent="0.2">
      <c r="A2609">
        <f>SUBTOTAL(3,$B$6:B2609)</f>
        <v>0</v>
      </c>
    </row>
    <row r="2610" spans="1:1" x14ac:dyDescent="0.2">
      <c r="A2610">
        <f>SUBTOTAL(3,$B$6:B2610)</f>
        <v>0</v>
      </c>
    </row>
    <row r="2611" spans="1:1" x14ac:dyDescent="0.2">
      <c r="A2611">
        <f>SUBTOTAL(3,$B$6:B2611)</f>
        <v>0</v>
      </c>
    </row>
    <row r="2612" spans="1:1" x14ac:dyDescent="0.2">
      <c r="A2612">
        <f>SUBTOTAL(3,$B$6:B2612)</f>
        <v>0</v>
      </c>
    </row>
    <row r="2613" spans="1:1" x14ac:dyDescent="0.2">
      <c r="A2613">
        <f>SUBTOTAL(3,$B$6:B2613)</f>
        <v>0</v>
      </c>
    </row>
    <row r="2614" spans="1:1" x14ac:dyDescent="0.2">
      <c r="A2614">
        <f>SUBTOTAL(3,$B$6:B2614)</f>
        <v>0</v>
      </c>
    </row>
    <row r="2615" spans="1:1" x14ac:dyDescent="0.2">
      <c r="A2615">
        <f>SUBTOTAL(3,$B$6:B2615)</f>
        <v>0</v>
      </c>
    </row>
    <row r="2616" spans="1:1" x14ac:dyDescent="0.2">
      <c r="A2616">
        <f>SUBTOTAL(3,$B$6:B2616)</f>
        <v>0</v>
      </c>
    </row>
    <row r="2617" spans="1:1" x14ac:dyDescent="0.2">
      <c r="A2617">
        <f>SUBTOTAL(3,$B$6:B2617)</f>
        <v>0</v>
      </c>
    </row>
    <row r="2618" spans="1:1" x14ac:dyDescent="0.2">
      <c r="A2618">
        <f>SUBTOTAL(3,$B$6:B2618)</f>
        <v>0</v>
      </c>
    </row>
    <row r="2619" spans="1:1" x14ac:dyDescent="0.2">
      <c r="A2619">
        <f>SUBTOTAL(3,$B$6:B2619)</f>
        <v>0</v>
      </c>
    </row>
    <row r="2620" spans="1:1" x14ac:dyDescent="0.2">
      <c r="A2620">
        <f>SUBTOTAL(3,$B$6:B2620)</f>
        <v>0</v>
      </c>
    </row>
    <row r="2621" spans="1:1" x14ac:dyDescent="0.2">
      <c r="A2621">
        <f>SUBTOTAL(3,$B$6:B2621)</f>
        <v>0</v>
      </c>
    </row>
    <row r="2622" spans="1:1" x14ac:dyDescent="0.2">
      <c r="A2622">
        <f>SUBTOTAL(3,$B$6:B2622)</f>
        <v>0</v>
      </c>
    </row>
    <row r="2623" spans="1:1" x14ac:dyDescent="0.2">
      <c r="A2623">
        <f>SUBTOTAL(3,$B$6:B2623)</f>
        <v>0</v>
      </c>
    </row>
    <row r="2624" spans="1:1" x14ac:dyDescent="0.2">
      <c r="A2624">
        <f>SUBTOTAL(3,$B$6:B2624)</f>
        <v>0</v>
      </c>
    </row>
    <row r="2625" spans="1:1" x14ac:dyDescent="0.2">
      <c r="A2625">
        <f>SUBTOTAL(3,$B$6:B2625)</f>
        <v>0</v>
      </c>
    </row>
    <row r="2626" spans="1:1" x14ac:dyDescent="0.2">
      <c r="A2626">
        <f>SUBTOTAL(3,$B$6:B2626)</f>
        <v>0</v>
      </c>
    </row>
    <row r="2627" spans="1:1" x14ac:dyDescent="0.2">
      <c r="A2627">
        <f>SUBTOTAL(3,$B$6:B2627)</f>
        <v>0</v>
      </c>
    </row>
    <row r="2628" spans="1:1" x14ac:dyDescent="0.2">
      <c r="A2628">
        <f>SUBTOTAL(3,$B$6:B2628)</f>
        <v>0</v>
      </c>
    </row>
    <row r="2629" spans="1:1" x14ac:dyDescent="0.2">
      <c r="A2629">
        <f>SUBTOTAL(3,$B$6:B2629)</f>
        <v>0</v>
      </c>
    </row>
    <row r="2630" spans="1:1" x14ac:dyDescent="0.2">
      <c r="A2630">
        <f>SUBTOTAL(3,$B$6:B2630)</f>
        <v>0</v>
      </c>
    </row>
    <row r="2631" spans="1:1" x14ac:dyDescent="0.2">
      <c r="A2631">
        <f>SUBTOTAL(3,$B$6:B2631)</f>
        <v>0</v>
      </c>
    </row>
    <row r="2632" spans="1:1" x14ac:dyDescent="0.2">
      <c r="A2632">
        <f>SUBTOTAL(3,$B$6:B2632)</f>
        <v>0</v>
      </c>
    </row>
    <row r="2633" spans="1:1" x14ac:dyDescent="0.2">
      <c r="A2633">
        <f>SUBTOTAL(3,$B$6:B2633)</f>
        <v>0</v>
      </c>
    </row>
    <row r="2634" spans="1:1" x14ac:dyDescent="0.2">
      <c r="A2634">
        <f>SUBTOTAL(3,$B$6:B2634)</f>
        <v>0</v>
      </c>
    </row>
    <row r="2635" spans="1:1" x14ac:dyDescent="0.2">
      <c r="A2635">
        <f>SUBTOTAL(3,$B$6:B2635)</f>
        <v>0</v>
      </c>
    </row>
    <row r="2636" spans="1:1" x14ac:dyDescent="0.2">
      <c r="A2636">
        <f>SUBTOTAL(3,$B$6:B2636)</f>
        <v>0</v>
      </c>
    </row>
    <row r="2637" spans="1:1" x14ac:dyDescent="0.2">
      <c r="A2637">
        <f>SUBTOTAL(3,$B$6:B2637)</f>
        <v>0</v>
      </c>
    </row>
    <row r="2638" spans="1:1" x14ac:dyDescent="0.2">
      <c r="A2638">
        <f>SUBTOTAL(3,$B$6:B2638)</f>
        <v>0</v>
      </c>
    </row>
    <row r="2639" spans="1:1" x14ac:dyDescent="0.2">
      <c r="A2639">
        <f>SUBTOTAL(3,$B$6:B2639)</f>
        <v>0</v>
      </c>
    </row>
    <row r="2640" spans="1:1" x14ac:dyDescent="0.2">
      <c r="A2640">
        <f>SUBTOTAL(3,$B$6:B2640)</f>
        <v>0</v>
      </c>
    </row>
    <row r="2641" spans="1:1" x14ac:dyDescent="0.2">
      <c r="A2641">
        <f>SUBTOTAL(3,$B$6:B2641)</f>
        <v>0</v>
      </c>
    </row>
    <row r="2642" spans="1:1" x14ac:dyDescent="0.2">
      <c r="A2642">
        <f>SUBTOTAL(3,$B$6:B2642)</f>
        <v>0</v>
      </c>
    </row>
    <row r="2643" spans="1:1" x14ac:dyDescent="0.2">
      <c r="A2643">
        <f>SUBTOTAL(3,$B$6:B2643)</f>
        <v>0</v>
      </c>
    </row>
    <row r="2644" spans="1:1" x14ac:dyDescent="0.2">
      <c r="A2644">
        <f>SUBTOTAL(3,$B$6:B2644)</f>
        <v>0</v>
      </c>
    </row>
    <row r="2645" spans="1:1" x14ac:dyDescent="0.2">
      <c r="A2645">
        <f>SUBTOTAL(3,$B$6:B2645)</f>
        <v>0</v>
      </c>
    </row>
    <row r="2646" spans="1:1" x14ac:dyDescent="0.2">
      <c r="A2646">
        <f>SUBTOTAL(3,$B$6:B2646)</f>
        <v>0</v>
      </c>
    </row>
    <row r="2647" spans="1:1" x14ac:dyDescent="0.2">
      <c r="A2647">
        <f>SUBTOTAL(3,$B$6:B2647)</f>
        <v>0</v>
      </c>
    </row>
    <row r="2648" spans="1:1" x14ac:dyDescent="0.2">
      <c r="A2648">
        <f>SUBTOTAL(3,$B$6:B2648)</f>
        <v>0</v>
      </c>
    </row>
    <row r="2649" spans="1:1" x14ac:dyDescent="0.2">
      <c r="A2649">
        <f>SUBTOTAL(3,$B$6:B2649)</f>
        <v>0</v>
      </c>
    </row>
    <row r="2650" spans="1:1" x14ac:dyDescent="0.2">
      <c r="A2650">
        <f>SUBTOTAL(3,$B$6:B2650)</f>
        <v>0</v>
      </c>
    </row>
    <row r="2651" spans="1:1" x14ac:dyDescent="0.2">
      <c r="A2651">
        <f>SUBTOTAL(3,$B$6:B2651)</f>
        <v>0</v>
      </c>
    </row>
    <row r="2652" spans="1:1" x14ac:dyDescent="0.2">
      <c r="A2652">
        <f>SUBTOTAL(3,$B$6:B2652)</f>
        <v>0</v>
      </c>
    </row>
    <row r="2653" spans="1:1" x14ac:dyDescent="0.2">
      <c r="A2653">
        <f>SUBTOTAL(3,$B$6:B2653)</f>
        <v>0</v>
      </c>
    </row>
    <row r="2654" spans="1:1" x14ac:dyDescent="0.2">
      <c r="A2654">
        <f>SUBTOTAL(3,$B$6:B2654)</f>
        <v>0</v>
      </c>
    </row>
    <row r="2655" spans="1:1" x14ac:dyDescent="0.2">
      <c r="A2655">
        <f>SUBTOTAL(3,$B$6:B2655)</f>
        <v>0</v>
      </c>
    </row>
    <row r="2656" spans="1:1" x14ac:dyDescent="0.2">
      <c r="A2656">
        <f>SUBTOTAL(3,$B$6:B2656)</f>
        <v>0</v>
      </c>
    </row>
    <row r="2657" spans="1:1" x14ac:dyDescent="0.2">
      <c r="A2657">
        <f>SUBTOTAL(3,$B$6:B2657)</f>
        <v>0</v>
      </c>
    </row>
    <row r="2658" spans="1:1" x14ac:dyDescent="0.2">
      <c r="A2658">
        <f>SUBTOTAL(3,$B$6:B2658)</f>
        <v>0</v>
      </c>
    </row>
    <row r="2659" spans="1:1" x14ac:dyDescent="0.2">
      <c r="A2659">
        <f>SUBTOTAL(3,$B$6:B2659)</f>
        <v>0</v>
      </c>
    </row>
    <row r="2660" spans="1:1" x14ac:dyDescent="0.2">
      <c r="A2660">
        <f>SUBTOTAL(3,$B$6:B2660)</f>
        <v>0</v>
      </c>
    </row>
    <row r="2661" spans="1:1" x14ac:dyDescent="0.2">
      <c r="A2661">
        <f>SUBTOTAL(3,$B$6:B2661)</f>
        <v>0</v>
      </c>
    </row>
    <row r="2662" spans="1:1" x14ac:dyDescent="0.2">
      <c r="A2662">
        <f>SUBTOTAL(3,$B$6:B2662)</f>
        <v>0</v>
      </c>
    </row>
    <row r="2663" spans="1:1" x14ac:dyDescent="0.2">
      <c r="A2663">
        <f>SUBTOTAL(3,$B$6:B2663)</f>
        <v>0</v>
      </c>
    </row>
    <row r="2664" spans="1:1" x14ac:dyDescent="0.2">
      <c r="A2664">
        <f>SUBTOTAL(3,$B$6:B2664)</f>
        <v>0</v>
      </c>
    </row>
    <row r="2665" spans="1:1" x14ac:dyDescent="0.2">
      <c r="A2665">
        <f>SUBTOTAL(3,$B$6:B2665)</f>
        <v>0</v>
      </c>
    </row>
    <row r="2666" spans="1:1" x14ac:dyDescent="0.2">
      <c r="A2666">
        <f>SUBTOTAL(3,$B$6:B2666)</f>
        <v>0</v>
      </c>
    </row>
    <row r="2667" spans="1:1" x14ac:dyDescent="0.2">
      <c r="A2667">
        <f>SUBTOTAL(3,$B$6:B2667)</f>
        <v>0</v>
      </c>
    </row>
    <row r="2668" spans="1:1" x14ac:dyDescent="0.2">
      <c r="A2668">
        <f>SUBTOTAL(3,$B$6:B2668)</f>
        <v>0</v>
      </c>
    </row>
    <row r="2669" spans="1:1" x14ac:dyDescent="0.2">
      <c r="A2669">
        <f>SUBTOTAL(3,$B$6:B2669)</f>
        <v>0</v>
      </c>
    </row>
    <row r="2670" spans="1:1" x14ac:dyDescent="0.2">
      <c r="A2670">
        <f>SUBTOTAL(3,$B$6:B2670)</f>
        <v>0</v>
      </c>
    </row>
    <row r="2671" spans="1:1" x14ac:dyDescent="0.2">
      <c r="A2671">
        <f>SUBTOTAL(3,$B$6:B2671)</f>
        <v>0</v>
      </c>
    </row>
    <row r="2672" spans="1:1" x14ac:dyDescent="0.2">
      <c r="A2672">
        <f>SUBTOTAL(3,$B$6:B2672)</f>
        <v>0</v>
      </c>
    </row>
    <row r="2673" spans="1:1" x14ac:dyDescent="0.2">
      <c r="A2673">
        <f>SUBTOTAL(3,$B$6:B2673)</f>
        <v>0</v>
      </c>
    </row>
    <row r="2674" spans="1:1" x14ac:dyDescent="0.2">
      <c r="A2674">
        <f>SUBTOTAL(3,$B$6:B2674)</f>
        <v>0</v>
      </c>
    </row>
    <row r="2675" spans="1:1" x14ac:dyDescent="0.2">
      <c r="A2675">
        <f>SUBTOTAL(3,$B$6:B2675)</f>
        <v>0</v>
      </c>
    </row>
    <row r="2676" spans="1:1" x14ac:dyDescent="0.2">
      <c r="A2676">
        <f>SUBTOTAL(3,$B$6:B2676)</f>
        <v>0</v>
      </c>
    </row>
    <row r="2677" spans="1:1" x14ac:dyDescent="0.2">
      <c r="A2677">
        <f>SUBTOTAL(3,$B$6:B2677)</f>
        <v>0</v>
      </c>
    </row>
    <row r="2678" spans="1:1" x14ac:dyDescent="0.2">
      <c r="A2678">
        <f>SUBTOTAL(3,$B$6:B2678)</f>
        <v>0</v>
      </c>
    </row>
    <row r="2679" spans="1:1" x14ac:dyDescent="0.2">
      <c r="A2679">
        <f>SUBTOTAL(3,$B$6:B2679)</f>
        <v>0</v>
      </c>
    </row>
    <row r="2680" spans="1:1" x14ac:dyDescent="0.2">
      <c r="A2680">
        <f>SUBTOTAL(3,$B$6:B2680)</f>
        <v>0</v>
      </c>
    </row>
    <row r="2681" spans="1:1" x14ac:dyDescent="0.2">
      <c r="A2681">
        <f>SUBTOTAL(3,$B$6:B2681)</f>
        <v>0</v>
      </c>
    </row>
    <row r="2682" spans="1:1" x14ac:dyDescent="0.2">
      <c r="A2682">
        <f>SUBTOTAL(3,$B$6:B2682)</f>
        <v>0</v>
      </c>
    </row>
    <row r="2683" spans="1:1" x14ac:dyDescent="0.2">
      <c r="A2683">
        <f>SUBTOTAL(3,$B$6:B2683)</f>
        <v>0</v>
      </c>
    </row>
    <row r="2684" spans="1:1" x14ac:dyDescent="0.2">
      <c r="A2684">
        <f>SUBTOTAL(3,$B$6:B2684)</f>
        <v>0</v>
      </c>
    </row>
    <row r="2685" spans="1:1" x14ac:dyDescent="0.2">
      <c r="A2685">
        <f>SUBTOTAL(3,$B$6:B2685)</f>
        <v>0</v>
      </c>
    </row>
    <row r="2686" spans="1:1" x14ac:dyDescent="0.2">
      <c r="A2686">
        <f>SUBTOTAL(3,$B$6:B2686)</f>
        <v>0</v>
      </c>
    </row>
    <row r="2687" spans="1:1" x14ac:dyDescent="0.2">
      <c r="A2687">
        <f>SUBTOTAL(3,$B$6:B2687)</f>
        <v>0</v>
      </c>
    </row>
    <row r="2688" spans="1:1" x14ac:dyDescent="0.2">
      <c r="A2688">
        <f>SUBTOTAL(3,$B$6:B2688)</f>
        <v>0</v>
      </c>
    </row>
    <row r="2689" spans="1:1" x14ac:dyDescent="0.2">
      <c r="A2689">
        <f>SUBTOTAL(3,$B$6:B2689)</f>
        <v>0</v>
      </c>
    </row>
    <row r="2690" spans="1:1" x14ac:dyDescent="0.2">
      <c r="A2690">
        <f>SUBTOTAL(3,$B$6:B2690)</f>
        <v>0</v>
      </c>
    </row>
    <row r="2691" spans="1:1" x14ac:dyDescent="0.2">
      <c r="A2691">
        <f>SUBTOTAL(3,$B$6:B2691)</f>
        <v>0</v>
      </c>
    </row>
    <row r="2692" spans="1:1" x14ac:dyDescent="0.2">
      <c r="A2692">
        <f>SUBTOTAL(3,$B$6:B2692)</f>
        <v>0</v>
      </c>
    </row>
    <row r="2693" spans="1:1" x14ac:dyDescent="0.2">
      <c r="A2693">
        <f>SUBTOTAL(3,$B$6:B2693)</f>
        <v>0</v>
      </c>
    </row>
    <row r="2694" spans="1:1" x14ac:dyDescent="0.2">
      <c r="A2694">
        <f>SUBTOTAL(3,$B$6:B2694)</f>
        <v>0</v>
      </c>
    </row>
    <row r="2695" spans="1:1" x14ac:dyDescent="0.2">
      <c r="A2695">
        <f>SUBTOTAL(3,$B$6:B2695)</f>
        <v>0</v>
      </c>
    </row>
    <row r="2696" spans="1:1" x14ac:dyDescent="0.2">
      <c r="A2696">
        <f>SUBTOTAL(3,$B$6:B2696)</f>
        <v>0</v>
      </c>
    </row>
    <row r="2697" spans="1:1" x14ac:dyDescent="0.2">
      <c r="A2697">
        <f>SUBTOTAL(3,$B$6:B2697)</f>
        <v>0</v>
      </c>
    </row>
    <row r="2698" spans="1:1" x14ac:dyDescent="0.2">
      <c r="A2698">
        <f>SUBTOTAL(3,$B$6:B2698)</f>
        <v>0</v>
      </c>
    </row>
    <row r="2699" spans="1:1" x14ac:dyDescent="0.2">
      <c r="A2699">
        <f>SUBTOTAL(3,$B$6:B2699)</f>
        <v>0</v>
      </c>
    </row>
    <row r="2700" spans="1:1" x14ac:dyDescent="0.2">
      <c r="A2700">
        <f>SUBTOTAL(3,$B$6:B2700)</f>
        <v>0</v>
      </c>
    </row>
    <row r="2701" spans="1:1" x14ac:dyDescent="0.2">
      <c r="A2701">
        <f>SUBTOTAL(3,$B$6:B2701)</f>
        <v>0</v>
      </c>
    </row>
    <row r="2702" spans="1:1" x14ac:dyDescent="0.2">
      <c r="A2702">
        <f>SUBTOTAL(3,$B$6:B2702)</f>
        <v>0</v>
      </c>
    </row>
    <row r="2703" spans="1:1" x14ac:dyDescent="0.2">
      <c r="A2703">
        <f>SUBTOTAL(3,$B$6:B2703)</f>
        <v>0</v>
      </c>
    </row>
    <row r="2704" spans="1:1" x14ac:dyDescent="0.2">
      <c r="A2704">
        <f>SUBTOTAL(3,$B$6:B2704)</f>
        <v>0</v>
      </c>
    </row>
    <row r="2705" spans="1:1" x14ac:dyDescent="0.2">
      <c r="A2705">
        <f>SUBTOTAL(3,$B$6:B2705)</f>
        <v>0</v>
      </c>
    </row>
    <row r="2706" spans="1:1" x14ac:dyDescent="0.2">
      <c r="A2706">
        <f>SUBTOTAL(3,$B$6:B2706)</f>
        <v>0</v>
      </c>
    </row>
    <row r="2707" spans="1:1" x14ac:dyDescent="0.2">
      <c r="A2707">
        <f>SUBTOTAL(3,$B$6:B2707)</f>
        <v>0</v>
      </c>
    </row>
    <row r="2708" spans="1:1" x14ac:dyDescent="0.2">
      <c r="A2708">
        <f>SUBTOTAL(3,$B$6:B2708)</f>
        <v>0</v>
      </c>
    </row>
    <row r="2709" spans="1:1" x14ac:dyDescent="0.2">
      <c r="A2709">
        <f>SUBTOTAL(3,$B$6:B2709)</f>
        <v>0</v>
      </c>
    </row>
    <row r="2710" spans="1:1" x14ac:dyDescent="0.2">
      <c r="A2710">
        <f>SUBTOTAL(3,$B$6:B2710)</f>
        <v>0</v>
      </c>
    </row>
    <row r="2711" spans="1:1" x14ac:dyDescent="0.2">
      <c r="A2711">
        <f>SUBTOTAL(3,$B$6:B2711)</f>
        <v>0</v>
      </c>
    </row>
    <row r="2712" spans="1:1" x14ac:dyDescent="0.2">
      <c r="A2712">
        <f>SUBTOTAL(3,$B$6:B2712)</f>
        <v>0</v>
      </c>
    </row>
    <row r="2713" spans="1:1" x14ac:dyDescent="0.2">
      <c r="A2713">
        <f>SUBTOTAL(3,$B$6:B2713)</f>
        <v>0</v>
      </c>
    </row>
    <row r="2714" spans="1:1" x14ac:dyDescent="0.2">
      <c r="A2714">
        <f>SUBTOTAL(3,$B$6:B2714)</f>
        <v>0</v>
      </c>
    </row>
    <row r="2715" spans="1:1" x14ac:dyDescent="0.2">
      <c r="A2715">
        <f>SUBTOTAL(3,$B$6:B2715)</f>
        <v>0</v>
      </c>
    </row>
    <row r="2716" spans="1:1" x14ac:dyDescent="0.2">
      <c r="A2716">
        <f>SUBTOTAL(3,$B$6:B2716)</f>
        <v>0</v>
      </c>
    </row>
    <row r="2717" spans="1:1" x14ac:dyDescent="0.2">
      <c r="A2717">
        <f>SUBTOTAL(3,$B$6:B2717)</f>
        <v>0</v>
      </c>
    </row>
    <row r="2718" spans="1:1" x14ac:dyDescent="0.2">
      <c r="A2718">
        <f>SUBTOTAL(3,$B$6:B2718)</f>
        <v>0</v>
      </c>
    </row>
    <row r="2719" spans="1:1" x14ac:dyDescent="0.2">
      <c r="A2719">
        <f>SUBTOTAL(3,$B$6:B2719)</f>
        <v>0</v>
      </c>
    </row>
    <row r="2720" spans="1:1" x14ac:dyDescent="0.2">
      <c r="A2720">
        <f>SUBTOTAL(3,$B$6:B2720)</f>
        <v>0</v>
      </c>
    </row>
    <row r="2721" spans="1:1" x14ac:dyDescent="0.2">
      <c r="A2721">
        <f>SUBTOTAL(3,$B$6:B2721)</f>
        <v>0</v>
      </c>
    </row>
    <row r="2722" spans="1:1" x14ac:dyDescent="0.2">
      <c r="A2722">
        <f>SUBTOTAL(3,$B$6:B2722)</f>
        <v>0</v>
      </c>
    </row>
    <row r="2723" spans="1:1" x14ac:dyDescent="0.2">
      <c r="A2723">
        <f>SUBTOTAL(3,$B$6:B2723)</f>
        <v>0</v>
      </c>
    </row>
    <row r="2724" spans="1:1" x14ac:dyDescent="0.2">
      <c r="A2724">
        <f>SUBTOTAL(3,$B$6:B2724)</f>
        <v>0</v>
      </c>
    </row>
    <row r="2725" spans="1:1" x14ac:dyDescent="0.2">
      <c r="A2725">
        <f>SUBTOTAL(3,$B$6:B2725)</f>
        <v>0</v>
      </c>
    </row>
    <row r="2726" spans="1:1" x14ac:dyDescent="0.2">
      <c r="A2726">
        <f>SUBTOTAL(3,$B$6:B2726)</f>
        <v>0</v>
      </c>
    </row>
    <row r="2727" spans="1:1" x14ac:dyDescent="0.2">
      <c r="A2727">
        <f>SUBTOTAL(3,$B$6:B2727)</f>
        <v>0</v>
      </c>
    </row>
    <row r="2728" spans="1:1" x14ac:dyDescent="0.2">
      <c r="A2728">
        <f>SUBTOTAL(3,$B$6:B2728)</f>
        <v>0</v>
      </c>
    </row>
    <row r="2729" spans="1:1" x14ac:dyDescent="0.2">
      <c r="A2729">
        <f>SUBTOTAL(3,$B$6:B2729)</f>
        <v>0</v>
      </c>
    </row>
    <row r="2730" spans="1:1" x14ac:dyDescent="0.2">
      <c r="A2730">
        <f>SUBTOTAL(3,$B$6:B2730)</f>
        <v>0</v>
      </c>
    </row>
    <row r="2731" spans="1:1" x14ac:dyDescent="0.2">
      <c r="A2731">
        <f>SUBTOTAL(3,$B$6:B2731)</f>
        <v>0</v>
      </c>
    </row>
    <row r="2732" spans="1:1" x14ac:dyDescent="0.2">
      <c r="A2732">
        <f>SUBTOTAL(3,$B$6:B2732)</f>
        <v>0</v>
      </c>
    </row>
    <row r="2733" spans="1:1" x14ac:dyDescent="0.2">
      <c r="A2733">
        <f>SUBTOTAL(3,$B$6:B2733)</f>
        <v>0</v>
      </c>
    </row>
    <row r="2734" spans="1:1" x14ac:dyDescent="0.2">
      <c r="A2734">
        <f>SUBTOTAL(3,$B$6:B2734)</f>
        <v>0</v>
      </c>
    </row>
    <row r="2735" spans="1:1" x14ac:dyDescent="0.2">
      <c r="A2735">
        <f>SUBTOTAL(3,$B$6:B2735)</f>
        <v>0</v>
      </c>
    </row>
    <row r="2736" spans="1:1" x14ac:dyDescent="0.2">
      <c r="A2736">
        <f>SUBTOTAL(3,$B$6:B2736)</f>
        <v>0</v>
      </c>
    </row>
    <row r="2737" spans="1:1" x14ac:dyDescent="0.2">
      <c r="A2737">
        <f>SUBTOTAL(3,$B$6:B2737)</f>
        <v>0</v>
      </c>
    </row>
    <row r="2738" spans="1:1" x14ac:dyDescent="0.2">
      <c r="A2738">
        <f>SUBTOTAL(3,$B$6:B2738)</f>
        <v>0</v>
      </c>
    </row>
    <row r="2739" spans="1:1" x14ac:dyDescent="0.2">
      <c r="A2739">
        <f>SUBTOTAL(3,$B$6:B2739)</f>
        <v>0</v>
      </c>
    </row>
    <row r="2740" spans="1:1" x14ac:dyDescent="0.2">
      <c r="A2740">
        <f>SUBTOTAL(3,$B$6:B2740)</f>
        <v>0</v>
      </c>
    </row>
    <row r="2741" spans="1:1" x14ac:dyDescent="0.2">
      <c r="A2741">
        <f>SUBTOTAL(3,$B$6:B2741)</f>
        <v>0</v>
      </c>
    </row>
    <row r="2742" spans="1:1" x14ac:dyDescent="0.2">
      <c r="A2742">
        <f>SUBTOTAL(3,$B$6:B2742)</f>
        <v>0</v>
      </c>
    </row>
    <row r="2743" spans="1:1" x14ac:dyDescent="0.2">
      <c r="A2743">
        <f>SUBTOTAL(3,$B$6:B2743)</f>
        <v>0</v>
      </c>
    </row>
    <row r="2744" spans="1:1" x14ac:dyDescent="0.2">
      <c r="A2744">
        <f>SUBTOTAL(3,$B$6:B2744)</f>
        <v>0</v>
      </c>
    </row>
    <row r="2745" spans="1:1" x14ac:dyDescent="0.2">
      <c r="A2745">
        <f>SUBTOTAL(3,$B$6:B2745)</f>
        <v>0</v>
      </c>
    </row>
    <row r="2746" spans="1:1" x14ac:dyDescent="0.2">
      <c r="A2746">
        <f>SUBTOTAL(3,$B$6:B2746)</f>
        <v>0</v>
      </c>
    </row>
    <row r="2747" spans="1:1" x14ac:dyDescent="0.2">
      <c r="A2747">
        <f>SUBTOTAL(3,$B$6:B2747)</f>
        <v>0</v>
      </c>
    </row>
    <row r="2748" spans="1:1" x14ac:dyDescent="0.2">
      <c r="A2748">
        <f>SUBTOTAL(3,$B$6:B2748)</f>
        <v>0</v>
      </c>
    </row>
    <row r="2749" spans="1:1" x14ac:dyDescent="0.2">
      <c r="A2749">
        <f>SUBTOTAL(3,$B$6:B2749)</f>
        <v>0</v>
      </c>
    </row>
    <row r="2750" spans="1:1" x14ac:dyDescent="0.2">
      <c r="A2750">
        <f>SUBTOTAL(3,$B$6:B2750)</f>
        <v>0</v>
      </c>
    </row>
    <row r="2751" spans="1:1" x14ac:dyDescent="0.2">
      <c r="A2751">
        <f>SUBTOTAL(3,$B$6:B2751)</f>
        <v>0</v>
      </c>
    </row>
    <row r="2752" spans="1:1" x14ac:dyDescent="0.2">
      <c r="A2752">
        <f>SUBTOTAL(3,$B$6:B2752)</f>
        <v>0</v>
      </c>
    </row>
    <row r="2753" spans="1:1" x14ac:dyDescent="0.2">
      <c r="A2753">
        <f>SUBTOTAL(3,$B$6:B2753)</f>
        <v>0</v>
      </c>
    </row>
    <row r="2754" spans="1:1" x14ac:dyDescent="0.2">
      <c r="A2754">
        <f>SUBTOTAL(3,$B$6:B2754)</f>
        <v>0</v>
      </c>
    </row>
    <row r="2755" spans="1:1" x14ac:dyDescent="0.2">
      <c r="A2755">
        <f>SUBTOTAL(3,$B$6:B2755)</f>
        <v>0</v>
      </c>
    </row>
    <row r="2756" spans="1:1" x14ac:dyDescent="0.2">
      <c r="A2756">
        <f>SUBTOTAL(3,$B$6:B2756)</f>
        <v>0</v>
      </c>
    </row>
    <row r="2757" spans="1:1" x14ac:dyDescent="0.2">
      <c r="A2757">
        <f>SUBTOTAL(3,$B$6:B2757)</f>
        <v>0</v>
      </c>
    </row>
    <row r="2758" spans="1:1" x14ac:dyDescent="0.2">
      <c r="A2758">
        <f>SUBTOTAL(3,$B$6:B2758)</f>
        <v>0</v>
      </c>
    </row>
    <row r="2759" spans="1:1" x14ac:dyDescent="0.2">
      <c r="A2759">
        <f>SUBTOTAL(3,$B$6:B2759)</f>
        <v>0</v>
      </c>
    </row>
    <row r="2760" spans="1:1" x14ac:dyDescent="0.2">
      <c r="A2760">
        <f>SUBTOTAL(3,$B$6:B2760)</f>
        <v>0</v>
      </c>
    </row>
    <row r="2761" spans="1:1" x14ac:dyDescent="0.2">
      <c r="A2761">
        <f>SUBTOTAL(3,$B$6:B2761)</f>
        <v>0</v>
      </c>
    </row>
    <row r="2762" spans="1:1" x14ac:dyDescent="0.2">
      <c r="A2762">
        <f>SUBTOTAL(3,$B$6:B2762)</f>
        <v>0</v>
      </c>
    </row>
    <row r="2763" spans="1:1" x14ac:dyDescent="0.2">
      <c r="A2763">
        <f>SUBTOTAL(3,$B$6:B2763)</f>
        <v>0</v>
      </c>
    </row>
    <row r="2764" spans="1:1" x14ac:dyDescent="0.2">
      <c r="A2764">
        <f>SUBTOTAL(3,$B$6:B2764)</f>
        <v>0</v>
      </c>
    </row>
    <row r="2765" spans="1:1" x14ac:dyDescent="0.2">
      <c r="A2765">
        <f>SUBTOTAL(3,$B$6:B2765)</f>
        <v>0</v>
      </c>
    </row>
    <row r="2766" spans="1:1" x14ac:dyDescent="0.2">
      <c r="A2766">
        <f>SUBTOTAL(3,$B$6:B2766)</f>
        <v>0</v>
      </c>
    </row>
    <row r="2767" spans="1:1" x14ac:dyDescent="0.2">
      <c r="A2767">
        <f>SUBTOTAL(3,$B$6:B2767)</f>
        <v>0</v>
      </c>
    </row>
    <row r="2768" spans="1:1" x14ac:dyDescent="0.2">
      <c r="A2768">
        <f>SUBTOTAL(3,$B$6:B2768)</f>
        <v>0</v>
      </c>
    </row>
    <row r="2769" spans="1:1" x14ac:dyDescent="0.2">
      <c r="A2769">
        <f>SUBTOTAL(3,$B$6:B2769)</f>
        <v>0</v>
      </c>
    </row>
    <row r="2770" spans="1:1" x14ac:dyDescent="0.2">
      <c r="A2770">
        <f>SUBTOTAL(3,$B$6:B2770)</f>
        <v>0</v>
      </c>
    </row>
    <row r="2771" spans="1:1" x14ac:dyDescent="0.2">
      <c r="A2771">
        <f>SUBTOTAL(3,$B$6:B2771)</f>
        <v>0</v>
      </c>
    </row>
    <row r="2772" spans="1:1" x14ac:dyDescent="0.2">
      <c r="A2772">
        <f>SUBTOTAL(3,$B$6:B2772)</f>
        <v>0</v>
      </c>
    </row>
    <row r="2773" spans="1:1" x14ac:dyDescent="0.2">
      <c r="A2773">
        <f>SUBTOTAL(3,$B$6:B2773)</f>
        <v>0</v>
      </c>
    </row>
    <row r="2774" spans="1:1" x14ac:dyDescent="0.2">
      <c r="A2774">
        <f>SUBTOTAL(3,$B$6:B2774)</f>
        <v>0</v>
      </c>
    </row>
    <row r="2775" spans="1:1" x14ac:dyDescent="0.2">
      <c r="A2775">
        <f>SUBTOTAL(3,$B$6:B2775)</f>
        <v>0</v>
      </c>
    </row>
    <row r="2776" spans="1:1" x14ac:dyDescent="0.2">
      <c r="A2776">
        <f>SUBTOTAL(3,$B$6:B2776)</f>
        <v>0</v>
      </c>
    </row>
    <row r="2777" spans="1:1" x14ac:dyDescent="0.2">
      <c r="A2777">
        <f>SUBTOTAL(3,$B$6:B2777)</f>
        <v>0</v>
      </c>
    </row>
    <row r="2778" spans="1:1" x14ac:dyDescent="0.2">
      <c r="A2778">
        <f>SUBTOTAL(3,$B$6:B2778)</f>
        <v>0</v>
      </c>
    </row>
    <row r="2779" spans="1:1" x14ac:dyDescent="0.2">
      <c r="A2779">
        <f>SUBTOTAL(3,$B$6:B2779)</f>
        <v>0</v>
      </c>
    </row>
    <row r="2780" spans="1:1" x14ac:dyDescent="0.2">
      <c r="A2780">
        <f>SUBTOTAL(3,$B$6:B2780)</f>
        <v>0</v>
      </c>
    </row>
    <row r="2781" spans="1:1" x14ac:dyDescent="0.2">
      <c r="A2781">
        <f>SUBTOTAL(3,$B$6:B2781)</f>
        <v>0</v>
      </c>
    </row>
    <row r="2782" spans="1:1" x14ac:dyDescent="0.2">
      <c r="A2782">
        <f>SUBTOTAL(3,$B$6:B2782)</f>
        <v>0</v>
      </c>
    </row>
    <row r="2783" spans="1:1" x14ac:dyDescent="0.2">
      <c r="A2783">
        <f>SUBTOTAL(3,$B$6:B2783)</f>
        <v>0</v>
      </c>
    </row>
    <row r="2784" spans="1:1" x14ac:dyDescent="0.2">
      <c r="A2784">
        <f>SUBTOTAL(3,$B$6:B2784)</f>
        <v>0</v>
      </c>
    </row>
    <row r="2785" spans="1:1" x14ac:dyDescent="0.2">
      <c r="A2785">
        <f>SUBTOTAL(3,$B$6:B2785)</f>
        <v>0</v>
      </c>
    </row>
    <row r="2786" spans="1:1" x14ac:dyDescent="0.2">
      <c r="A2786">
        <f>SUBTOTAL(3,$B$6:B2786)</f>
        <v>0</v>
      </c>
    </row>
    <row r="2787" spans="1:1" x14ac:dyDescent="0.2">
      <c r="A2787">
        <f>SUBTOTAL(3,$B$6:B2787)</f>
        <v>0</v>
      </c>
    </row>
    <row r="2788" spans="1:1" x14ac:dyDescent="0.2">
      <c r="A2788">
        <f>SUBTOTAL(3,$B$6:B2788)</f>
        <v>0</v>
      </c>
    </row>
    <row r="2789" spans="1:1" x14ac:dyDescent="0.2">
      <c r="A2789">
        <f>SUBTOTAL(3,$B$6:B2789)</f>
        <v>0</v>
      </c>
    </row>
    <row r="2790" spans="1:1" x14ac:dyDescent="0.2">
      <c r="A2790">
        <f>SUBTOTAL(3,$B$6:B2790)</f>
        <v>0</v>
      </c>
    </row>
    <row r="2791" spans="1:1" x14ac:dyDescent="0.2">
      <c r="A2791">
        <f>SUBTOTAL(3,$B$6:B2791)</f>
        <v>0</v>
      </c>
    </row>
    <row r="2792" spans="1:1" x14ac:dyDescent="0.2">
      <c r="A2792">
        <f>SUBTOTAL(3,$B$6:B2792)</f>
        <v>0</v>
      </c>
    </row>
    <row r="2793" spans="1:1" x14ac:dyDescent="0.2">
      <c r="A2793">
        <f>SUBTOTAL(3,$B$6:B2793)</f>
        <v>0</v>
      </c>
    </row>
    <row r="2794" spans="1:1" x14ac:dyDescent="0.2">
      <c r="A2794">
        <f>SUBTOTAL(3,$B$6:B2794)</f>
        <v>0</v>
      </c>
    </row>
    <row r="2795" spans="1:1" x14ac:dyDescent="0.2">
      <c r="A2795">
        <f>SUBTOTAL(3,$B$6:B2795)</f>
        <v>0</v>
      </c>
    </row>
    <row r="2796" spans="1:1" x14ac:dyDescent="0.2">
      <c r="A2796">
        <f>SUBTOTAL(3,$B$6:B2796)</f>
        <v>0</v>
      </c>
    </row>
    <row r="2797" spans="1:1" x14ac:dyDescent="0.2">
      <c r="A2797">
        <f>SUBTOTAL(3,$B$6:B2797)</f>
        <v>0</v>
      </c>
    </row>
    <row r="2798" spans="1:1" x14ac:dyDescent="0.2">
      <c r="A2798">
        <f>SUBTOTAL(3,$B$6:B2798)</f>
        <v>0</v>
      </c>
    </row>
    <row r="2799" spans="1:1" x14ac:dyDescent="0.2">
      <c r="A2799">
        <f>SUBTOTAL(3,$B$6:B2799)</f>
        <v>0</v>
      </c>
    </row>
    <row r="2800" spans="1:1" x14ac:dyDescent="0.2">
      <c r="A2800">
        <f>SUBTOTAL(3,$B$6:B2800)</f>
        <v>0</v>
      </c>
    </row>
    <row r="2801" spans="1:1" x14ac:dyDescent="0.2">
      <c r="A2801">
        <f>SUBTOTAL(3,$B$6:B2801)</f>
        <v>0</v>
      </c>
    </row>
    <row r="2802" spans="1:1" x14ac:dyDescent="0.2">
      <c r="A2802">
        <f>SUBTOTAL(3,$B$6:B2802)</f>
        <v>0</v>
      </c>
    </row>
    <row r="2803" spans="1:1" x14ac:dyDescent="0.2">
      <c r="A2803">
        <f>SUBTOTAL(3,$B$6:B2803)</f>
        <v>0</v>
      </c>
    </row>
    <row r="2804" spans="1:1" x14ac:dyDescent="0.2">
      <c r="A2804">
        <f>SUBTOTAL(3,$B$6:B2804)</f>
        <v>0</v>
      </c>
    </row>
    <row r="2805" spans="1:1" x14ac:dyDescent="0.2">
      <c r="A2805">
        <f>SUBTOTAL(3,$B$6:B2805)</f>
        <v>0</v>
      </c>
    </row>
    <row r="2806" spans="1:1" x14ac:dyDescent="0.2">
      <c r="A2806">
        <f>SUBTOTAL(3,$B$6:B2806)</f>
        <v>0</v>
      </c>
    </row>
    <row r="2807" spans="1:1" x14ac:dyDescent="0.2">
      <c r="A2807">
        <f>SUBTOTAL(3,$B$6:B2807)</f>
        <v>0</v>
      </c>
    </row>
    <row r="2808" spans="1:1" x14ac:dyDescent="0.2">
      <c r="A2808">
        <f>SUBTOTAL(3,$B$6:B2808)</f>
        <v>0</v>
      </c>
    </row>
    <row r="2809" spans="1:1" x14ac:dyDescent="0.2">
      <c r="A2809">
        <f>SUBTOTAL(3,$B$6:B2809)</f>
        <v>0</v>
      </c>
    </row>
    <row r="2810" spans="1:1" x14ac:dyDescent="0.2">
      <c r="A2810">
        <f>SUBTOTAL(3,$B$6:B2810)</f>
        <v>0</v>
      </c>
    </row>
    <row r="2811" spans="1:1" x14ac:dyDescent="0.2">
      <c r="A2811">
        <f>SUBTOTAL(3,$B$6:B2811)</f>
        <v>0</v>
      </c>
    </row>
    <row r="2812" spans="1:1" x14ac:dyDescent="0.2">
      <c r="A2812">
        <f>SUBTOTAL(3,$B$6:B2812)</f>
        <v>0</v>
      </c>
    </row>
    <row r="2813" spans="1:1" x14ac:dyDescent="0.2">
      <c r="A2813">
        <f>SUBTOTAL(3,$B$6:B2813)</f>
        <v>0</v>
      </c>
    </row>
    <row r="2814" spans="1:1" x14ac:dyDescent="0.2">
      <c r="A2814">
        <f>SUBTOTAL(3,$B$6:B2814)</f>
        <v>0</v>
      </c>
    </row>
    <row r="2815" spans="1:1" x14ac:dyDescent="0.2">
      <c r="A2815">
        <f>SUBTOTAL(3,$B$6:B2815)</f>
        <v>0</v>
      </c>
    </row>
    <row r="2816" spans="1:1" x14ac:dyDescent="0.2">
      <c r="A2816">
        <f>SUBTOTAL(3,$B$6:B2816)</f>
        <v>0</v>
      </c>
    </row>
    <row r="2817" spans="1:1" x14ac:dyDescent="0.2">
      <c r="A2817">
        <f>SUBTOTAL(3,$B$6:B2817)</f>
        <v>0</v>
      </c>
    </row>
    <row r="2818" spans="1:1" x14ac:dyDescent="0.2">
      <c r="A2818">
        <f>SUBTOTAL(3,$B$6:B2818)</f>
        <v>0</v>
      </c>
    </row>
    <row r="2819" spans="1:1" x14ac:dyDescent="0.2">
      <c r="A2819">
        <f>SUBTOTAL(3,$B$6:B2819)</f>
        <v>0</v>
      </c>
    </row>
    <row r="2820" spans="1:1" x14ac:dyDescent="0.2">
      <c r="A2820">
        <f>SUBTOTAL(3,$B$6:B2820)</f>
        <v>0</v>
      </c>
    </row>
    <row r="2821" spans="1:1" x14ac:dyDescent="0.2">
      <c r="A2821">
        <f>SUBTOTAL(3,$B$6:B2821)</f>
        <v>0</v>
      </c>
    </row>
    <row r="2822" spans="1:1" x14ac:dyDescent="0.2">
      <c r="A2822">
        <f>SUBTOTAL(3,$B$6:B2822)</f>
        <v>0</v>
      </c>
    </row>
    <row r="2823" spans="1:1" x14ac:dyDescent="0.2">
      <c r="A2823">
        <f>SUBTOTAL(3,$B$6:B2823)</f>
        <v>0</v>
      </c>
    </row>
    <row r="2824" spans="1:1" x14ac:dyDescent="0.2">
      <c r="A2824">
        <f>SUBTOTAL(3,$B$6:B2824)</f>
        <v>0</v>
      </c>
    </row>
    <row r="2825" spans="1:1" x14ac:dyDescent="0.2">
      <c r="A2825">
        <f>SUBTOTAL(3,$B$6:B2825)</f>
        <v>0</v>
      </c>
    </row>
    <row r="2826" spans="1:1" x14ac:dyDescent="0.2">
      <c r="A2826">
        <f>SUBTOTAL(3,$B$6:B2826)</f>
        <v>0</v>
      </c>
    </row>
    <row r="2827" spans="1:1" x14ac:dyDescent="0.2">
      <c r="A2827">
        <f>SUBTOTAL(3,$B$6:B2827)</f>
        <v>0</v>
      </c>
    </row>
    <row r="2828" spans="1:1" x14ac:dyDescent="0.2">
      <c r="A2828">
        <f>SUBTOTAL(3,$B$6:B2828)</f>
        <v>0</v>
      </c>
    </row>
    <row r="2829" spans="1:1" x14ac:dyDescent="0.2">
      <c r="A2829">
        <f>SUBTOTAL(3,$B$6:B2829)</f>
        <v>0</v>
      </c>
    </row>
    <row r="2830" spans="1:1" x14ac:dyDescent="0.2">
      <c r="A2830">
        <f>SUBTOTAL(3,$B$6:B2830)</f>
        <v>0</v>
      </c>
    </row>
    <row r="2831" spans="1:1" x14ac:dyDescent="0.2">
      <c r="A2831">
        <f>SUBTOTAL(3,$B$6:B2831)</f>
        <v>0</v>
      </c>
    </row>
    <row r="2832" spans="1:1" x14ac:dyDescent="0.2">
      <c r="A2832">
        <f>SUBTOTAL(3,$B$6:B2832)</f>
        <v>0</v>
      </c>
    </row>
    <row r="2833" spans="1:1" x14ac:dyDescent="0.2">
      <c r="A2833">
        <f>SUBTOTAL(3,$B$6:B2833)</f>
        <v>0</v>
      </c>
    </row>
    <row r="2834" spans="1:1" x14ac:dyDescent="0.2">
      <c r="A2834">
        <f>SUBTOTAL(3,$B$6:B2834)</f>
        <v>0</v>
      </c>
    </row>
    <row r="2835" spans="1:1" x14ac:dyDescent="0.2">
      <c r="A2835">
        <f>SUBTOTAL(3,$B$6:B2835)</f>
        <v>0</v>
      </c>
    </row>
    <row r="2836" spans="1:1" x14ac:dyDescent="0.2">
      <c r="A2836">
        <f>SUBTOTAL(3,$B$6:B2836)</f>
        <v>0</v>
      </c>
    </row>
    <row r="2837" spans="1:1" x14ac:dyDescent="0.2">
      <c r="A2837">
        <f>SUBTOTAL(3,$B$6:B2837)</f>
        <v>0</v>
      </c>
    </row>
    <row r="2838" spans="1:1" x14ac:dyDescent="0.2">
      <c r="A2838">
        <f>SUBTOTAL(3,$B$6:B2838)</f>
        <v>0</v>
      </c>
    </row>
    <row r="2839" spans="1:1" x14ac:dyDescent="0.2">
      <c r="A2839">
        <f>SUBTOTAL(3,$B$6:B2839)</f>
        <v>0</v>
      </c>
    </row>
    <row r="2840" spans="1:1" x14ac:dyDescent="0.2">
      <c r="A2840">
        <f>SUBTOTAL(3,$B$6:B2840)</f>
        <v>0</v>
      </c>
    </row>
    <row r="2841" spans="1:1" x14ac:dyDescent="0.2">
      <c r="A2841">
        <f>SUBTOTAL(3,$B$6:B2841)</f>
        <v>0</v>
      </c>
    </row>
    <row r="2842" spans="1:1" x14ac:dyDescent="0.2">
      <c r="A2842">
        <f>SUBTOTAL(3,$B$6:B2842)</f>
        <v>0</v>
      </c>
    </row>
    <row r="2843" spans="1:1" x14ac:dyDescent="0.2">
      <c r="A2843">
        <f>SUBTOTAL(3,$B$6:B2843)</f>
        <v>0</v>
      </c>
    </row>
    <row r="2844" spans="1:1" x14ac:dyDescent="0.2">
      <c r="A2844">
        <f>SUBTOTAL(3,$B$6:B2844)</f>
        <v>0</v>
      </c>
    </row>
    <row r="2845" spans="1:1" x14ac:dyDescent="0.2">
      <c r="A2845">
        <f>SUBTOTAL(3,$B$6:B2845)</f>
        <v>0</v>
      </c>
    </row>
    <row r="2846" spans="1:1" x14ac:dyDescent="0.2">
      <c r="A2846">
        <f>SUBTOTAL(3,$B$6:B2846)</f>
        <v>0</v>
      </c>
    </row>
    <row r="2847" spans="1:1" x14ac:dyDescent="0.2">
      <c r="A2847">
        <f>SUBTOTAL(3,$B$6:B2847)</f>
        <v>0</v>
      </c>
    </row>
    <row r="2848" spans="1:1" x14ac:dyDescent="0.2">
      <c r="A2848">
        <f>SUBTOTAL(3,$B$6:B2848)</f>
        <v>0</v>
      </c>
    </row>
    <row r="2849" spans="1:1" x14ac:dyDescent="0.2">
      <c r="A2849">
        <f>SUBTOTAL(3,$B$6:B2849)</f>
        <v>0</v>
      </c>
    </row>
    <row r="2850" spans="1:1" x14ac:dyDescent="0.2">
      <c r="A2850">
        <f>SUBTOTAL(3,$B$6:B2850)</f>
        <v>0</v>
      </c>
    </row>
    <row r="2851" spans="1:1" x14ac:dyDescent="0.2">
      <c r="A2851">
        <f>SUBTOTAL(3,$B$6:B2851)</f>
        <v>0</v>
      </c>
    </row>
    <row r="2852" spans="1:1" x14ac:dyDescent="0.2">
      <c r="A2852">
        <f>SUBTOTAL(3,$B$6:B2852)</f>
        <v>0</v>
      </c>
    </row>
    <row r="2853" spans="1:1" x14ac:dyDescent="0.2">
      <c r="A2853">
        <f>SUBTOTAL(3,$B$6:B2853)</f>
        <v>0</v>
      </c>
    </row>
    <row r="2854" spans="1:1" x14ac:dyDescent="0.2">
      <c r="A2854">
        <f>SUBTOTAL(3,$B$6:B2854)</f>
        <v>0</v>
      </c>
    </row>
    <row r="2855" spans="1:1" x14ac:dyDescent="0.2">
      <c r="A2855">
        <f>SUBTOTAL(3,$B$6:B2855)</f>
        <v>0</v>
      </c>
    </row>
    <row r="2856" spans="1:1" x14ac:dyDescent="0.2">
      <c r="A2856">
        <f>SUBTOTAL(3,$B$6:B2856)</f>
        <v>0</v>
      </c>
    </row>
    <row r="2857" spans="1:1" x14ac:dyDescent="0.2">
      <c r="A2857">
        <f>SUBTOTAL(3,$B$6:B2857)</f>
        <v>0</v>
      </c>
    </row>
    <row r="2858" spans="1:1" x14ac:dyDescent="0.2">
      <c r="A2858">
        <f>SUBTOTAL(3,$B$6:B2858)</f>
        <v>0</v>
      </c>
    </row>
    <row r="2859" spans="1:1" x14ac:dyDescent="0.2">
      <c r="A2859">
        <f>SUBTOTAL(3,$B$6:B2859)</f>
        <v>0</v>
      </c>
    </row>
    <row r="2860" spans="1:1" x14ac:dyDescent="0.2">
      <c r="A2860">
        <f>SUBTOTAL(3,$B$6:B2860)</f>
        <v>0</v>
      </c>
    </row>
    <row r="2861" spans="1:1" x14ac:dyDescent="0.2">
      <c r="A2861">
        <f>SUBTOTAL(3,$B$6:B2861)</f>
        <v>0</v>
      </c>
    </row>
    <row r="2862" spans="1:1" x14ac:dyDescent="0.2">
      <c r="A2862">
        <f>SUBTOTAL(3,$B$6:B2862)</f>
        <v>0</v>
      </c>
    </row>
    <row r="2863" spans="1:1" x14ac:dyDescent="0.2">
      <c r="A2863">
        <f>SUBTOTAL(3,$B$6:B2863)</f>
        <v>0</v>
      </c>
    </row>
    <row r="2864" spans="1:1" x14ac:dyDescent="0.2">
      <c r="A2864">
        <f>SUBTOTAL(3,$B$6:B2864)</f>
        <v>0</v>
      </c>
    </row>
    <row r="2865" spans="1:1" x14ac:dyDescent="0.2">
      <c r="A2865">
        <f>SUBTOTAL(3,$B$6:B2865)</f>
        <v>0</v>
      </c>
    </row>
    <row r="2866" spans="1:1" x14ac:dyDescent="0.2">
      <c r="A2866">
        <f>SUBTOTAL(3,$B$6:B2866)</f>
        <v>0</v>
      </c>
    </row>
    <row r="2867" spans="1:1" x14ac:dyDescent="0.2">
      <c r="A2867">
        <f>SUBTOTAL(3,$B$6:B2867)</f>
        <v>0</v>
      </c>
    </row>
    <row r="2868" spans="1:1" x14ac:dyDescent="0.2">
      <c r="A2868">
        <f>SUBTOTAL(3,$B$6:B2868)</f>
        <v>0</v>
      </c>
    </row>
    <row r="2869" spans="1:1" x14ac:dyDescent="0.2">
      <c r="A2869">
        <f>SUBTOTAL(3,$B$6:B2869)</f>
        <v>0</v>
      </c>
    </row>
    <row r="2870" spans="1:1" x14ac:dyDescent="0.2">
      <c r="A2870">
        <f>SUBTOTAL(3,$B$6:B2870)</f>
        <v>0</v>
      </c>
    </row>
    <row r="2871" spans="1:1" x14ac:dyDescent="0.2">
      <c r="A2871">
        <f>SUBTOTAL(3,$B$6:B2871)</f>
        <v>0</v>
      </c>
    </row>
    <row r="2872" spans="1:1" x14ac:dyDescent="0.2">
      <c r="A2872">
        <f>SUBTOTAL(3,$B$6:B2872)</f>
        <v>0</v>
      </c>
    </row>
    <row r="2873" spans="1:1" x14ac:dyDescent="0.2">
      <c r="A2873">
        <f>SUBTOTAL(3,$B$6:B2873)</f>
        <v>0</v>
      </c>
    </row>
    <row r="2874" spans="1:1" x14ac:dyDescent="0.2">
      <c r="A2874">
        <f>SUBTOTAL(3,$B$6:B2874)</f>
        <v>0</v>
      </c>
    </row>
    <row r="2875" spans="1:1" x14ac:dyDescent="0.2">
      <c r="A2875">
        <f>SUBTOTAL(3,$B$6:B2875)</f>
        <v>0</v>
      </c>
    </row>
    <row r="2876" spans="1:1" x14ac:dyDescent="0.2">
      <c r="A2876">
        <f>SUBTOTAL(3,$B$6:B2876)</f>
        <v>0</v>
      </c>
    </row>
    <row r="2877" spans="1:1" x14ac:dyDescent="0.2">
      <c r="A2877">
        <f>SUBTOTAL(3,$B$6:B2877)</f>
        <v>0</v>
      </c>
    </row>
    <row r="2878" spans="1:1" x14ac:dyDescent="0.2">
      <c r="A2878">
        <f>SUBTOTAL(3,$B$6:B2878)</f>
        <v>0</v>
      </c>
    </row>
    <row r="2879" spans="1:1" x14ac:dyDescent="0.2">
      <c r="A2879">
        <f>SUBTOTAL(3,$B$6:B2879)</f>
        <v>0</v>
      </c>
    </row>
    <row r="2880" spans="1:1" x14ac:dyDescent="0.2">
      <c r="A2880">
        <f>SUBTOTAL(3,$B$6:B2880)</f>
        <v>0</v>
      </c>
    </row>
    <row r="2881" spans="1:1" x14ac:dyDescent="0.2">
      <c r="A2881">
        <f>SUBTOTAL(3,$B$6:B2881)</f>
        <v>0</v>
      </c>
    </row>
    <row r="2882" spans="1:1" x14ac:dyDescent="0.2">
      <c r="A2882">
        <f>SUBTOTAL(3,$B$6:B2882)</f>
        <v>0</v>
      </c>
    </row>
    <row r="2883" spans="1:1" x14ac:dyDescent="0.2">
      <c r="A2883">
        <f>SUBTOTAL(3,$B$6:B2883)</f>
        <v>0</v>
      </c>
    </row>
    <row r="2884" spans="1:1" x14ac:dyDescent="0.2">
      <c r="A2884">
        <f>SUBTOTAL(3,$B$6:B2884)</f>
        <v>0</v>
      </c>
    </row>
    <row r="2885" spans="1:1" x14ac:dyDescent="0.2">
      <c r="A2885">
        <f>SUBTOTAL(3,$B$6:B2885)</f>
        <v>0</v>
      </c>
    </row>
    <row r="2886" spans="1:1" x14ac:dyDescent="0.2">
      <c r="A2886">
        <f>SUBTOTAL(3,$B$6:B2886)</f>
        <v>0</v>
      </c>
    </row>
    <row r="2887" spans="1:1" x14ac:dyDescent="0.2">
      <c r="A2887">
        <f>SUBTOTAL(3,$B$6:B2887)</f>
        <v>0</v>
      </c>
    </row>
    <row r="2888" spans="1:1" x14ac:dyDescent="0.2">
      <c r="A2888">
        <f>SUBTOTAL(3,$B$6:B2888)</f>
        <v>0</v>
      </c>
    </row>
    <row r="2889" spans="1:1" x14ac:dyDescent="0.2">
      <c r="A2889">
        <f>SUBTOTAL(3,$B$6:B2889)</f>
        <v>0</v>
      </c>
    </row>
    <row r="2890" spans="1:1" x14ac:dyDescent="0.2">
      <c r="A2890">
        <f>SUBTOTAL(3,$B$6:B2890)</f>
        <v>0</v>
      </c>
    </row>
    <row r="2891" spans="1:1" x14ac:dyDescent="0.2">
      <c r="A2891">
        <f>SUBTOTAL(3,$B$6:B2891)</f>
        <v>0</v>
      </c>
    </row>
    <row r="2892" spans="1:1" x14ac:dyDescent="0.2">
      <c r="A2892">
        <f>SUBTOTAL(3,$B$6:B2892)</f>
        <v>0</v>
      </c>
    </row>
    <row r="2893" spans="1:1" x14ac:dyDescent="0.2">
      <c r="A2893">
        <f>SUBTOTAL(3,$B$6:B2893)</f>
        <v>0</v>
      </c>
    </row>
    <row r="2894" spans="1:1" x14ac:dyDescent="0.2">
      <c r="A2894">
        <f>SUBTOTAL(3,$B$6:B2894)</f>
        <v>0</v>
      </c>
    </row>
    <row r="2895" spans="1:1" x14ac:dyDescent="0.2">
      <c r="A2895">
        <f>SUBTOTAL(3,$B$6:B2895)</f>
        <v>0</v>
      </c>
    </row>
    <row r="2896" spans="1:1" x14ac:dyDescent="0.2">
      <c r="A2896">
        <f>SUBTOTAL(3,$B$6:B2896)</f>
        <v>0</v>
      </c>
    </row>
    <row r="2897" spans="1:1" x14ac:dyDescent="0.2">
      <c r="A2897">
        <f>SUBTOTAL(3,$B$6:B2897)</f>
        <v>0</v>
      </c>
    </row>
    <row r="2898" spans="1:1" x14ac:dyDescent="0.2">
      <c r="A2898">
        <f>SUBTOTAL(3,$B$6:B2898)</f>
        <v>0</v>
      </c>
    </row>
    <row r="2899" spans="1:1" x14ac:dyDescent="0.2">
      <c r="A2899">
        <f>SUBTOTAL(3,$B$6:B2899)</f>
        <v>0</v>
      </c>
    </row>
    <row r="2900" spans="1:1" x14ac:dyDescent="0.2">
      <c r="A2900">
        <f>SUBTOTAL(3,$B$6:B2900)</f>
        <v>0</v>
      </c>
    </row>
    <row r="2901" spans="1:1" x14ac:dyDescent="0.2">
      <c r="A2901">
        <f>SUBTOTAL(3,$B$6:B2901)</f>
        <v>0</v>
      </c>
    </row>
    <row r="2902" spans="1:1" x14ac:dyDescent="0.2">
      <c r="A2902">
        <f>SUBTOTAL(3,$B$6:B2902)</f>
        <v>0</v>
      </c>
    </row>
    <row r="2903" spans="1:1" x14ac:dyDescent="0.2">
      <c r="A2903">
        <f>SUBTOTAL(3,$B$6:B2903)</f>
        <v>0</v>
      </c>
    </row>
    <row r="2904" spans="1:1" x14ac:dyDescent="0.2">
      <c r="A2904">
        <f>SUBTOTAL(3,$B$6:B2904)</f>
        <v>0</v>
      </c>
    </row>
    <row r="2905" spans="1:1" x14ac:dyDescent="0.2">
      <c r="A2905">
        <f>SUBTOTAL(3,$B$6:B2905)</f>
        <v>0</v>
      </c>
    </row>
    <row r="2906" spans="1:1" x14ac:dyDescent="0.2">
      <c r="A2906">
        <f>SUBTOTAL(3,$B$6:B2906)</f>
        <v>0</v>
      </c>
    </row>
    <row r="2907" spans="1:1" x14ac:dyDescent="0.2">
      <c r="A2907">
        <f>SUBTOTAL(3,$B$6:B2907)</f>
        <v>0</v>
      </c>
    </row>
    <row r="2908" spans="1:1" x14ac:dyDescent="0.2">
      <c r="A2908">
        <f>SUBTOTAL(3,$B$6:B2908)</f>
        <v>0</v>
      </c>
    </row>
    <row r="2909" spans="1:1" x14ac:dyDescent="0.2">
      <c r="A2909">
        <f>SUBTOTAL(3,$B$6:B2909)</f>
        <v>0</v>
      </c>
    </row>
    <row r="2910" spans="1:1" x14ac:dyDescent="0.2">
      <c r="A2910">
        <f>SUBTOTAL(3,$B$6:B2910)</f>
        <v>0</v>
      </c>
    </row>
    <row r="2911" spans="1:1" x14ac:dyDescent="0.2">
      <c r="A2911">
        <f>SUBTOTAL(3,$B$6:B2911)</f>
        <v>0</v>
      </c>
    </row>
    <row r="2912" spans="1:1" x14ac:dyDescent="0.2">
      <c r="A2912">
        <f>SUBTOTAL(3,$B$6:B2912)</f>
        <v>0</v>
      </c>
    </row>
    <row r="2913" spans="1:1" x14ac:dyDescent="0.2">
      <c r="A2913">
        <f>SUBTOTAL(3,$B$6:B2913)</f>
        <v>0</v>
      </c>
    </row>
    <row r="2914" spans="1:1" x14ac:dyDescent="0.2">
      <c r="A2914">
        <f>SUBTOTAL(3,$B$6:B2914)</f>
        <v>0</v>
      </c>
    </row>
    <row r="2915" spans="1:1" x14ac:dyDescent="0.2">
      <c r="A2915">
        <f>SUBTOTAL(3,$B$6:B2915)</f>
        <v>0</v>
      </c>
    </row>
    <row r="2916" spans="1:1" x14ac:dyDescent="0.2">
      <c r="A2916">
        <f>SUBTOTAL(3,$B$6:B2916)</f>
        <v>0</v>
      </c>
    </row>
    <row r="2917" spans="1:1" x14ac:dyDescent="0.2">
      <c r="A2917">
        <f>SUBTOTAL(3,$B$6:B2917)</f>
        <v>0</v>
      </c>
    </row>
    <row r="2918" spans="1:1" x14ac:dyDescent="0.2">
      <c r="A2918">
        <f>SUBTOTAL(3,$B$6:B2918)</f>
        <v>0</v>
      </c>
    </row>
    <row r="2919" spans="1:1" x14ac:dyDescent="0.2">
      <c r="A2919">
        <f>SUBTOTAL(3,$B$6:B2919)</f>
        <v>0</v>
      </c>
    </row>
    <row r="2920" spans="1:1" x14ac:dyDescent="0.2">
      <c r="A2920">
        <f>SUBTOTAL(3,$B$6:B2920)</f>
        <v>0</v>
      </c>
    </row>
    <row r="2921" spans="1:1" x14ac:dyDescent="0.2">
      <c r="A2921">
        <f>SUBTOTAL(3,$B$6:B2921)</f>
        <v>0</v>
      </c>
    </row>
    <row r="2922" spans="1:1" x14ac:dyDescent="0.2">
      <c r="A2922">
        <f>SUBTOTAL(3,$B$6:B2922)</f>
        <v>0</v>
      </c>
    </row>
    <row r="2923" spans="1:1" x14ac:dyDescent="0.2">
      <c r="A2923">
        <f>SUBTOTAL(3,$B$6:B2923)</f>
        <v>0</v>
      </c>
    </row>
    <row r="2924" spans="1:1" x14ac:dyDescent="0.2">
      <c r="A2924">
        <f>SUBTOTAL(3,$B$6:B2924)</f>
        <v>0</v>
      </c>
    </row>
    <row r="2925" spans="1:1" x14ac:dyDescent="0.2">
      <c r="A2925">
        <f>SUBTOTAL(3,$B$6:B2925)</f>
        <v>0</v>
      </c>
    </row>
    <row r="2926" spans="1:1" x14ac:dyDescent="0.2">
      <c r="A2926">
        <f>SUBTOTAL(3,$B$6:B2926)</f>
        <v>0</v>
      </c>
    </row>
    <row r="2927" spans="1:1" x14ac:dyDescent="0.2">
      <c r="A2927">
        <f>SUBTOTAL(3,$B$6:B2927)</f>
        <v>0</v>
      </c>
    </row>
    <row r="2928" spans="1:1" x14ac:dyDescent="0.2">
      <c r="A2928">
        <f>SUBTOTAL(3,$B$6:B2928)</f>
        <v>0</v>
      </c>
    </row>
    <row r="2929" spans="1:1" x14ac:dyDescent="0.2">
      <c r="A2929">
        <f>SUBTOTAL(3,$B$6:B2929)</f>
        <v>0</v>
      </c>
    </row>
    <row r="2930" spans="1:1" x14ac:dyDescent="0.2">
      <c r="A2930">
        <f>SUBTOTAL(3,$B$6:B2930)</f>
        <v>0</v>
      </c>
    </row>
    <row r="2931" spans="1:1" x14ac:dyDescent="0.2">
      <c r="A2931">
        <f>SUBTOTAL(3,$B$6:B2931)</f>
        <v>0</v>
      </c>
    </row>
    <row r="2932" spans="1:1" x14ac:dyDescent="0.2">
      <c r="A2932">
        <f>SUBTOTAL(3,$B$6:B2932)</f>
        <v>0</v>
      </c>
    </row>
    <row r="2933" spans="1:1" x14ac:dyDescent="0.2">
      <c r="A2933">
        <f>SUBTOTAL(3,$B$6:B2933)</f>
        <v>0</v>
      </c>
    </row>
    <row r="2934" spans="1:1" x14ac:dyDescent="0.2">
      <c r="A2934">
        <f>SUBTOTAL(3,$B$6:B2934)</f>
        <v>0</v>
      </c>
    </row>
    <row r="2935" spans="1:1" x14ac:dyDescent="0.2">
      <c r="A2935">
        <f>SUBTOTAL(3,$B$6:B2935)</f>
        <v>0</v>
      </c>
    </row>
    <row r="2936" spans="1:1" x14ac:dyDescent="0.2">
      <c r="A2936">
        <f>SUBTOTAL(3,$B$6:B2936)</f>
        <v>0</v>
      </c>
    </row>
    <row r="2937" spans="1:1" x14ac:dyDescent="0.2">
      <c r="A2937">
        <f>SUBTOTAL(3,$B$6:B2937)</f>
        <v>0</v>
      </c>
    </row>
    <row r="2938" spans="1:1" x14ac:dyDescent="0.2">
      <c r="A2938">
        <f>SUBTOTAL(3,$B$6:B2938)</f>
        <v>0</v>
      </c>
    </row>
    <row r="2939" spans="1:1" x14ac:dyDescent="0.2">
      <c r="A2939">
        <f>SUBTOTAL(3,$B$6:B2939)</f>
        <v>0</v>
      </c>
    </row>
    <row r="2940" spans="1:1" x14ac:dyDescent="0.2">
      <c r="A2940">
        <f>SUBTOTAL(3,$B$6:B2940)</f>
        <v>0</v>
      </c>
    </row>
    <row r="2941" spans="1:1" x14ac:dyDescent="0.2">
      <c r="A2941">
        <f>SUBTOTAL(3,$B$6:B2941)</f>
        <v>0</v>
      </c>
    </row>
    <row r="2942" spans="1:1" x14ac:dyDescent="0.2">
      <c r="A2942">
        <f>SUBTOTAL(3,$B$6:B2942)</f>
        <v>0</v>
      </c>
    </row>
    <row r="2943" spans="1:1" x14ac:dyDescent="0.2">
      <c r="A2943">
        <f>SUBTOTAL(3,$B$6:B2943)</f>
        <v>0</v>
      </c>
    </row>
    <row r="2944" spans="1:1" x14ac:dyDescent="0.2">
      <c r="A2944">
        <f>SUBTOTAL(3,$B$6:B2944)</f>
        <v>0</v>
      </c>
    </row>
    <row r="2945" spans="1:1" x14ac:dyDescent="0.2">
      <c r="A2945">
        <f>SUBTOTAL(3,$B$6:B2945)</f>
        <v>0</v>
      </c>
    </row>
    <row r="2946" spans="1:1" x14ac:dyDescent="0.2">
      <c r="A2946">
        <f>SUBTOTAL(3,$B$6:B2946)</f>
        <v>0</v>
      </c>
    </row>
    <row r="2947" spans="1:1" x14ac:dyDescent="0.2">
      <c r="A2947">
        <f>SUBTOTAL(3,$B$6:B2947)</f>
        <v>0</v>
      </c>
    </row>
    <row r="2948" spans="1:1" x14ac:dyDescent="0.2">
      <c r="A2948">
        <f>SUBTOTAL(3,$B$6:B2948)</f>
        <v>0</v>
      </c>
    </row>
    <row r="2949" spans="1:1" x14ac:dyDescent="0.2">
      <c r="A2949">
        <f>SUBTOTAL(3,$B$6:B2949)</f>
        <v>0</v>
      </c>
    </row>
    <row r="2950" spans="1:1" x14ac:dyDescent="0.2">
      <c r="A2950">
        <f>SUBTOTAL(3,$B$6:B2950)</f>
        <v>0</v>
      </c>
    </row>
    <row r="2951" spans="1:1" x14ac:dyDescent="0.2">
      <c r="A2951">
        <f>SUBTOTAL(3,$B$6:B2951)</f>
        <v>0</v>
      </c>
    </row>
    <row r="2952" spans="1:1" x14ac:dyDescent="0.2">
      <c r="A2952">
        <f>SUBTOTAL(3,$B$6:B2952)</f>
        <v>0</v>
      </c>
    </row>
    <row r="2953" spans="1:1" x14ac:dyDescent="0.2">
      <c r="A2953">
        <f>SUBTOTAL(3,$B$6:B2953)</f>
        <v>0</v>
      </c>
    </row>
    <row r="2954" spans="1:1" x14ac:dyDescent="0.2">
      <c r="A2954">
        <f>SUBTOTAL(3,$B$6:B2954)</f>
        <v>0</v>
      </c>
    </row>
    <row r="2955" spans="1:1" x14ac:dyDescent="0.2">
      <c r="A2955">
        <f>SUBTOTAL(3,$B$6:B2955)</f>
        <v>0</v>
      </c>
    </row>
    <row r="2956" spans="1:1" x14ac:dyDescent="0.2">
      <c r="A2956">
        <f>SUBTOTAL(3,$B$6:B2956)</f>
        <v>0</v>
      </c>
    </row>
    <row r="2957" spans="1:1" x14ac:dyDescent="0.2">
      <c r="A2957">
        <f>SUBTOTAL(3,$B$6:B2957)</f>
        <v>0</v>
      </c>
    </row>
    <row r="2958" spans="1:1" x14ac:dyDescent="0.2">
      <c r="A2958">
        <f>SUBTOTAL(3,$B$6:B2958)</f>
        <v>0</v>
      </c>
    </row>
    <row r="2959" spans="1:1" x14ac:dyDescent="0.2">
      <c r="A2959">
        <f>SUBTOTAL(3,$B$6:B2959)</f>
        <v>0</v>
      </c>
    </row>
    <row r="2960" spans="1:1" x14ac:dyDescent="0.2">
      <c r="A2960">
        <f>SUBTOTAL(3,$B$6:B2960)</f>
        <v>0</v>
      </c>
    </row>
    <row r="2961" spans="1:1" x14ac:dyDescent="0.2">
      <c r="A2961">
        <f>SUBTOTAL(3,$B$6:B2961)</f>
        <v>0</v>
      </c>
    </row>
    <row r="2962" spans="1:1" x14ac:dyDescent="0.2">
      <c r="A2962">
        <f>SUBTOTAL(3,$B$6:B2962)</f>
        <v>0</v>
      </c>
    </row>
    <row r="2963" spans="1:1" x14ac:dyDescent="0.2">
      <c r="A2963">
        <f>SUBTOTAL(3,$B$6:B2963)</f>
        <v>0</v>
      </c>
    </row>
    <row r="2964" spans="1:1" x14ac:dyDescent="0.2">
      <c r="A2964">
        <f>SUBTOTAL(3,$B$6:B2964)</f>
        <v>0</v>
      </c>
    </row>
    <row r="2965" spans="1:1" x14ac:dyDescent="0.2">
      <c r="A2965">
        <f>SUBTOTAL(3,$B$6:B2965)</f>
        <v>0</v>
      </c>
    </row>
    <row r="2966" spans="1:1" x14ac:dyDescent="0.2">
      <c r="A2966">
        <f>SUBTOTAL(3,$B$6:B2966)</f>
        <v>0</v>
      </c>
    </row>
    <row r="2967" spans="1:1" x14ac:dyDescent="0.2">
      <c r="A2967">
        <f>SUBTOTAL(3,$B$6:B2967)</f>
        <v>0</v>
      </c>
    </row>
    <row r="2968" spans="1:1" x14ac:dyDescent="0.2">
      <c r="A2968">
        <f>SUBTOTAL(3,$B$6:B2968)</f>
        <v>0</v>
      </c>
    </row>
    <row r="2969" spans="1:1" x14ac:dyDescent="0.2">
      <c r="A2969">
        <f>SUBTOTAL(3,$B$6:B2969)</f>
        <v>0</v>
      </c>
    </row>
    <row r="2970" spans="1:1" x14ac:dyDescent="0.2">
      <c r="A2970">
        <f>SUBTOTAL(3,$B$6:B2970)</f>
        <v>0</v>
      </c>
    </row>
    <row r="2971" spans="1:1" x14ac:dyDescent="0.2">
      <c r="A2971">
        <f>SUBTOTAL(3,$B$6:B2971)</f>
        <v>0</v>
      </c>
    </row>
    <row r="2972" spans="1:1" x14ac:dyDescent="0.2">
      <c r="A2972">
        <f>SUBTOTAL(3,$B$6:B2972)</f>
        <v>0</v>
      </c>
    </row>
    <row r="2973" spans="1:1" x14ac:dyDescent="0.2">
      <c r="A2973">
        <f>SUBTOTAL(3,$B$6:B2973)</f>
        <v>0</v>
      </c>
    </row>
    <row r="2974" spans="1:1" x14ac:dyDescent="0.2">
      <c r="A2974">
        <f>SUBTOTAL(3,$B$6:B2974)</f>
        <v>0</v>
      </c>
    </row>
    <row r="2975" spans="1:1" x14ac:dyDescent="0.2">
      <c r="A2975">
        <f>SUBTOTAL(3,$B$6:B2975)</f>
        <v>0</v>
      </c>
    </row>
    <row r="2976" spans="1:1" x14ac:dyDescent="0.2">
      <c r="A2976">
        <f>SUBTOTAL(3,$B$6:B2976)</f>
        <v>0</v>
      </c>
    </row>
    <row r="2977" spans="1:1" x14ac:dyDescent="0.2">
      <c r="A2977">
        <f>SUBTOTAL(3,$B$6:B2977)</f>
        <v>0</v>
      </c>
    </row>
    <row r="2978" spans="1:1" x14ac:dyDescent="0.2">
      <c r="A2978">
        <f>SUBTOTAL(3,$B$6:B2978)</f>
        <v>0</v>
      </c>
    </row>
    <row r="2979" spans="1:1" x14ac:dyDescent="0.2">
      <c r="A2979">
        <f>SUBTOTAL(3,$B$6:B2979)</f>
        <v>0</v>
      </c>
    </row>
    <row r="2980" spans="1:1" x14ac:dyDescent="0.2">
      <c r="A2980">
        <f>SUBTOTAL(3,$B$6:B2980)</f>
        <v>0</v>
      </c>
    </row>
    <row r="2981" spans="1:1" x14ac:dyDescent="0.2">
      <c r="A2981">
        <f>SUBTOTAL(3,$B$6:B2981)</f>
        <v>0</v>
      </c>
    </row>
    <row r="2982" spans="1:1" x14ac:dyDescent="0.2">
      <c r="A2982">
        <f>SUBTOTAL(3,$B$6:B2982)</f>
        <v>0</v>
      </c>
    </row>
    <row r="2983" spans="1:1" x14ac:dyDescent="0.2">
      <c r="A2983">
        <f>SUBTOTAL(3,$B$6:B2983)</f>
        <v>0</v>
      </c>
    </row>
    <row r="2984" spans="1:1" x14ac:dyDescent="0.2">
      <c r="A2984">
        <f>SUBTOTAL(3,$B$6:B2984)</f>
        <v>0</v>
      </c>
    </row>
    <row r="2985" spans="1:1" x14ac:dyDescent="0.2">
      <c r="A2985">
        <f>SUBTOTAL(3,$B$6:B2985)</f>
        <v>0</v>
      </c>
    </row>
    <row r="2986" spans="1:1" x14ac:dyDescent="0.2">
      <c r="A2986">
        <f>SUBTOTAL(3,$B$6:B2986)</f>
        <v>0</v>
      </c>
    </row>
    <row r="2987" spans="1:1" x14ac:dyDescent="0.2">
      <c r="A2987">
        <f>SUBTOTAL(3,$B$6:B2987)</f>
        <v>0</v>
      </c>
    </row>
    <row r="2988" spans="1:1" x14ac:dyDescent="0.2">
      <c r="A2988">
        <f>SUBTOTAL(3,$B$6:B2988)</f>
        <v>0</v>
      </c>
    </row>
    <row r="2989" spans="1:1" x14ac:dyDescent="0.2">
      <c r="A2989">
        <f>SUBTOTAL(3,$B$6:B2989)</f>
        <v>0</v>
      </c>
    </row>
    <row r="2990" spans="1:1" x14ac:dyDescent="0.2">
      <c r="A2990">
        <f>SUBTOTAL(3,$B$6:B2990)</f>
        <v>0</v>
      </c>
    </row>
    <row r="2991" spans="1:1" x14ac:dyDescent="0.2">
      <c r="A2991">
        <f>SUBTOTAL(3,$B$6:B2991)</f>
        <v>0</v>
      </c>
    </row>
    <row r="2992" spans="1:1" x14ac:dyDescent="0.2">
      <c r="A2992">
        <f>SUBTOTAL(3,$B$6:B2992)</f>
        <v>0</v>
      </c>
    </row>
    <row r="2993" spans="1:1" x14ac:dyDescent="0.2">
      <c r="A2993">
        <f>SUBTOTAL(3,$B$6:B2993)</f>
        <v>0</v>
      </c>
    </row>
    <row r="2994" spans="1:1" x14ac:dyDescent="0.2">
      <c r="A2994">
        <f>SUBTOTAL(3,$B$6:B2994)</f>
        <v>0</v>
      </c>
    </row>
    <row r="2995" spans="1:1" x14ac:dyDescent="0.2">
      <c r="A2995">
        <f>SUBTOTAL(3,$B$6:B2995)</f>
        <v>0</v>
      </c>
    </row>
    <row r="2996" spans="1:1" x14ac:dyDescent="0.2">
      <c r="A2996">
        <f>SUBTOTAL(3,$B$6:B2996)</f>
        <v>0</v>
      </c>
    </row>
    <row r="2997" spans="1:1" x14ac:dyDescent="0.2">
      <c r="A2997">
        <f>SUBTOTAL(3,$B$6:B2997)</f>
        <v>0</v>
      </c>
    </row>
    <row r="2998" spans="1:1" x14ac:dyDescent="0.2">
      <c r="A2998">
        <f>SUBTOTAL(3,$B$6:B2998)</f>
        <v>0</v>
      </c>
    </row>
    <row r="2999" spans="1:1" x14ac:dyDescent="0.2">
      <c r="A2999">
        <f>SUBTOTAL(3,$B$6:B2999)</f>
        <v>0</v>
      </c>
    </row>
    <row r="3000" spans="1:1" x14ac:dyDescent="0.2">
      <c r="A3000">
        <f>SUBTOTAL(3,$B$6:B3000)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63</vt:i4>
      </vt:variant>
    </vt:vector>
  </HeadingPairs>
  <TitlesOfParts>
    <vt:vector size="82" baseType="lpstr">
      <vt:lpstr>Instructions</vt:lpstr>
      <vt:lpstr>Selections</vt:lpstr>
      <vt:lpstr>At-a-glance</vt:lpstr>
      <vt:lpstr>Funding</vt:lpstr>
      <vt:lpstr>Expense</vt:lpstr>
      <vt:lpstr>HighLikely</vt:lpstr>
      <vt:lpstr>SOFend3Mon</vt:lpstr>
      <vt:lpstr>HighSOF</vt:lpstr>
      <vt:lpstr>HighProject</vt:lpstr>
      <vt:lpstr>SOF Details</vt:lpstr>
      <vt:lpstr>SOFList</vt:lpstr>
      <vt:lpstr>SOFThemeProject</vt:lpstr>
      <vt:lpstr>SOFThemeAcct</vt:lpstr>
      <vt:lpstr>SOFFS</vt:lpstr>
      <vt:lpstr>Project Details</vt:lpstr>
      <vt:lpstr>STProjectList</vt:lpstr>
      <vt:lpstr>STProjectbyMonth</vt:lpstr>
      <vt:lpstr>STProjectbyAcct</vt:lpstr>
      <vt:lpstr>STProjectbySOF</vt:lpstr>
      <vt:lpstr>Aag_Home</vt:lpstr>
      <vt:lpstr>AAGCells_UnitChange</vt:lpstr>
      <vt:lpstr>Aat_Home</vt:lpstr>
      <vt:lpstr>LastClosedMon</vt:lpstr>
      <vt:lpstr>ListForecasts</vt:lpstr>
      <vt:lpstr>numAccounts</vt:lpstr>
      <vt:lpstr>numThemes</vt:lpstr>
      <vt:lpstr>'At-a-glance'!Print_Area</vt:lpstr>
      <vt:lpstr>'Project Details'!Print_Area</vt:lpstr>
      <vt:lpstr>'SOF Details'!Print_Area</vt:lpstr>
      <vt:lpstr>Project_Home</vt:lpstr>
      <vt:lpstr>ProjectCells_UnitChange</vt:lpstr>
      <vt:lpstr>ProjectCells_UnitChange2</vt:lpstr>
      <vt:lpstr>Projectdetailrange</vt:lpstr>
      <vt:lpstr>selHelpShow</vt:lpstr>
      <vt:lpstr>selHelpShow2</vt:lpstr>
      <vt:lpstr>selHelpShow3</vt:lpstr>
      <vt:lpstr>selHelpShow4</vt:lpstr>
      <vt:lpstr>selProjectLink</vt:lpstr>
      <vt:lpstr>selProjectShow</vt:lpstr>
      <vt:lpstr>selSOFLink</vt:lpstr>
      <vt:lpstr>selSOFShow</vt:lpstr>
      <vt:lpstr>ShowMsg</vt:lpstr>
      <vt:lpstr>ShowMsg2</vt:lpstr>
      <vt:lpstr>Slider_SOF3mon</vt:lpstr>
      <vt:lpstr>Slider_SOFList</vt:lpstr>
      <vt:lpstr>Slider_STProjectList</vt:lpstr>
      <vt:lpstr>Slider_STProjectsSOF</vt:lpstr>
      <vt:lpstr>SOF_Home</vt:lpstr>
      <vt:lpstr>SOFCells_UnitChange</vt:lpstr>
      <vt:lpstr>SOFdetailrange</vt:lpstr>
      <vt:lpstr>SOFLink_projects</vt:lpstr>
      <vt:lpstr>Table_HighLikely</vt:lpstr>
      <vt:lpstr>Table_HighProject</vt:lpstr>
      <vt:lpstr>Table_HighSOF</vt:lpstr>
      <vt:lpstr>Table_SOF3mon</vt:lpstr>
      <vt:lpstr>Table_SOFList</vt:lpstr>
      <vt:lpstr>Table_STProjectList</vt:lpstr>
      <vt:lpstr>Table_STProjectSOF</vt:lpstr>
      <vt:lpstr>ThemeList</vt:lpstr>
      <vt:lpstr>threshRed</vt:lpstr>
      <vt:lpstr>threshYellow</vt:lpstr>
      <vt:lpstr>UnitsList</vt:lpstr>
      <vt:lpstr>userForecast</vt:lpstr>
      <vt:lpstr>userForecast2</vt:lpstr>
      <vt:lpstr>userLastUpdate</vt:lpstr>
      <vt:lpstr>valCumm</vt:lpstr>
      <vt:lpstr>valCumm2</vt:lpstr>
      <vt:lpstr>valProjectSort</vt:lpstr>
      <vt:lpstr>valProjectSort2</vt:lpstr>
      <vt:lpstr>valSOF</vt:lpstr>
      <vt:lpstr>valSOF2</vt:lpstr>
      <vt:lpstr>valSOFSort</vt:lpstr>
      <vt:lpstr>valSOFSort2</vt:lpstr>
      <vt:lpstr>valSort</vt:lpstr>
      <vt:lpstr>valSort2</vt:lpstr>
      <vt:lpstr>valSTProject</vt:lpstr>
      <vt:lpstr>valTheme</vt:lpstr>
      <vt:lpstr>valTheme2</vt:lpstr>
      <vt:lpstr>valThemeOrder</vt:lpstr>
      <vt:lpstr>valUnits</vt:lpstr>
      <vt:lpstr>valUnits2</vt:lpstr>
      <vt:lpstr>valUnits3</vt:lpstr>
    </vt:vector>
  </TitlesOfParts>
  <Company>Merck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Waters, Marjorie See</dc:creator>
  <cp:lastModifiedBy>Marjorie Waters</cp:lastModifiedBy>
  <cp:lastPrinted>2013-07-13T14:40:04Z</cp:lastPrinted>
  <dcterms:created xsi:type="dcterms:W3CDTF">2013-06-11T12:46:08Z</dcterms:created>
  <dcterms:modified xsi:type="dcterms:W3CDTF">2014-12-11T01:12:26Z</dcterms:modified>
</cp:coreProperties>
</file>